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270" windowWidth="13290" windowHeight="7860" tabRatio="870" activeTab="5"/>
  </bookViews>
  <sheets>
    <sheet name="Feriados" sheetId="5" r:id="rId1"/>
    <sheet name="Cadastro" sheetId="2" r:id="rId2"/>
    <sheet name="Cotações" sheetId="4" r:id="rId3"/>
    <sheet name="Testes" sheetId="14" r:id="rId4"/>
    <sheet name="Cálculo TIR" sheetId="3" r:id="rId5"/>
    <sheet name="Cálculo PU" sheetId="1" r:id="rId6"/>
    <sheet name="&lt;&gt; TAB_JUROS_U" sheetId="16" r:id="rId7"/>
    <sheet name="TAB_CORRECAO_U" sheetId="27" r:id="rId8"/>
    <sheet name="TAB_AMORTIZACAO_U" sheetId="28" r:id="rId9"/>
    <sheet name="TAB_JUROS_C" sheetId="24" r:id="rId10"/>
    <sheet name="Plan1" sheetId="29" r:id="rId11"/>
    <sheet name="Rastreio Calculo TIR" sheetId="30" r:id="rId12"/>
    <sheet name="Plan2" sheetId="31" r:id="rId13"/>
    <sheet name="Plan3" sheetId="32" r:id="rId14"/>
  </sheets>
  <externalReferences>
    <externalReference r:id="rId15"/>
    <externalReference r:id="rId16"/>
  </externalReferences>
  <definedNames>
    <definedName name="_xlnm._FilterDatabase" localSheetId="4" hidden="1">'Cálculo TIR'!$A$6:$L$4768</definedName>
    <definedName name="_xlnm._FilterDatabase" localSheetId="10" hidden="1">Plan1!$H$4:$I$3008</definedName>
    <definedName name="Curva_PRE">[1]PRE!$A:$D</definedName>
    <definedName name="DT_B_CORC">'Cálculo PU'!$C$7</definedName>
    <definedName name="DT_B_JURS">'Cálculo PU'!$C$6</definedName>
    <definedName name="DT_CALCULO_C">'Cálculo PU'!$C$16</definedName>
    <definedName name="DT_CALCULO_U">'Cálculo PU'!$C$21</definedName>
    <definedName name="Feriados">[2]Feriados!$A:$A</definedName>
    <definedName name="PC_IDXR">'Cálculo PU'!$C$10</definedName>
    <definedName name="PU_COMPRA">'Cálculo PU'!$C$15</definedName>
    <definedName name="PU_EMISSAO">'Cálculo PU'!$C$8</definedName>
    <definedName name="TIR_C">'Cálculo PU'!$C$18</definedName>
    <definedName name="TIR_C_CALC">'Cálculo TIR'!$J$3</definedName>
    <definedName name="TIR_U">'Cálculo PU'!$C$17</definedName>
    <definedName name="TIR_U_CALC">'Cálculo TIR'!$D$3</definedName>
    <definedName name="TX_EMISSAO">'Cálculo PU'!$C$9</definedName>
  </definedNames>
  <calcPr calcId="144525"/>
</workbook>
</file>

<file path=xl/calcChain.xml><?xml version="1.0" encoding="utf-8"?>
<calcChain xmlns="http://schemas.openxmlformats.org/spreadsheetml/2006/main">
  <c r="I2" i="14" l="1"/>
  <c r="CM3" i="16" l="1"/>
  <c r="CO4" i="16"/>
  <c r="CO5" i="16"/>
  <c r="CO6" i="16"/>
  <c r="CO7" i="16"/>
  <c r="CO8" i="16"/>
  <c r="CO9" i="16"/>
  <c r="CO10" i="16"/>
  <c r="CO11" i="16"/>
  <c r="CO12" i="16"/>
  <c r="CO13" i="16"/>
  <c r="CO14" i="16"/>
  <c r="CO15" i="16"/>
  <c r="CO16" i="16"/>
  <c r="CO17" i="16"/>
  <c r="CO18" i="16"/>
  <c r="CO19" i="16"/>
  <c r="CO20" i="16"/>
  <c r="CO21" i="16"/>
  <c r="CO22" i="16"/>
  <c r="CO23" i="16"/>
  <c r="CO24" i="16"/>
  <c r="CO25" i="16"/>
  <c r="CO26" i="16"/>
  <c r="CO27" i="16"/>
  <c r="CO28" i="16"/>
  <c r="CO29" i="16"/>
  <c r="CO30" i="16"/>
  <c r="CO31" i="16"/>
  <c r="CO32" i="16"/>
  <c r="CO33" i="16"/>
  <c r="CO34" i="16"/>
  <c r="CO35" i="16"/>
  <c r="CO36" i="16"/>
  <c r="CO37" i="16"/>
  <c r="CO38" i="16"/>
  <c r="CO39" i="16"/>
  <c r="CO40" i="16"/>
  <c r="CO41" i="16"/>
  <c r="CO42" i="16"/>
  <c r="CO43" i="16"/>
  <c r="CO44" i="16"/>
  <c r="CO45" i="16"/>
  <c r="CO46" i="16"/>
  <c r="CO47" i="16"/>
  <c r="CO48" i="16"/>
  <c r="CO49" i="16"/>
  <c r="CO50" i="16"/>
  <c r="CO51" i="16"/>
  <c r="CO52" i="16"/>
  <c r="CO53" i="16"/>
  <c r="CO54" i="16"/>
  <c r="CO55" i="16"/>
  <c r="CO56" i="16"/>
  <c r="CO57" i="16"/>
  <c r="CO58" i="16"/>
  <c r="CO59" i="16"/>
  <c r="CO60" i="16"/>
  <c r="CO61" i="16"/>
  <c r="CO62" i="16"/>
  <c r="CO63" i="16"/>
  <c r="CO64" i="16"/>
  <c r="CO65" i="16"/>
  <c r="CO66" i="16"/>
  <c r="CO67" i="16"/>
  <c r="CO68" i="16"/>
  <c r="CO69" i="16"/>
  <c r="CO70" i="16"/>
  <c r="CO71" i="16"/>
  <c r="CO72" i="16"/>
  <c r="CO73" i="16"/>
  <c r="CO74" i="16"/>
  <c r="CO75" i="16"/>
  <c r="CO76" i="16"/>
  <c r="CO77" i="16"/>
  <c r="CO78" i="16"/>
  <c r="CO79" i="16"/>
  <c r="CO80" i="16"/>
  <c r="CO81" i="16"/>
  <c r="CO82" i="16"/>
  <c r="CO83" i="16"/>
  <c r="CO84" i="16"/>
  <c r="CO85" i="16"/>
  <c r="CO86" i="16"/>
  <c r="CO87" i="16"/>
  <c r="CO88" i="16"/>
  <c r="CO89" i="16"/>
  <c r="CO90" i="16"/>
  <c r="CO91" i="16"/>
  <c r="CO92" i="16"/>
  <c r="CO93" i="16"/>
  <c r="CO94" i="16"/>
  <c r="CO95" i="16"/>
  <c r="CO96" i="16"/>
  <c r="CO97" i="16"/>
  <c r="CO98" i="16"/>
  <c r="CO99" i="16"/>
  <c r="CO100" i="16"/>
  <c r="CO101" i="16"/>
  <c r="CO102" i="16"/>
  <c r="CO103" i="16"/>
  <c r="CO104" i="16"/>
  <c r="CO105" i="16"/>
  <c r="CO106" i="16"/>
  <c r="CO107" i="16"/>
  <c r="CO108" i="16"/>
  <c r="CO109" i="16"/>
  <c r="CO110" i="16"/>
  <c r="CO111" i="16"/>
  <c r="CO112" i="16"/>
  <c r="CO113" i="16"/>
  <c r="CO3" i="16"/>
  <c r="CN4" i="16"/>
  <c r="CN5" i="16"/>
  <c r="CN6" i="16"/>
  <c r="CN7" i="16"/>
  <c r="CN8" i="16"/>
  <c r="CN9" i="16"/>
  <c r="CN10" i="16"/>
  <c r="CN11" i="16"/>
  <c r="CN12" i="16"/>
  <c r="CN13" i="16"/>
  <c r="CN14" i="16"/>
  <c r="CN15" i="16"/>
  <c r="CN16" i="16"/>
  <c r="CN17" i="16"/>
  <c r="CN18" i="16"/>
  <c r="CN19" i="16"/>
  <c r="CN20" i="16"/>
  <c r="CN21" i="16"/>
  <c r="CN22" i="16"/>
  <c r="CN23" i="16"/>
  <c r="CN24" i="16"/>
  <c r="CN25" i="16"/>
  <c r="CN26" i="16"/>
  <c r="CN27" i="16"/>
  <c r="CN28" i="16"/>
  <c r="CN29" i="16"/>
  <c r="CN30" i="16"/>
  <c r="CN31" i="16"/>
  <c r="CN32" i="16"/>
  <c r="CN33" i="16"/>
  <c r="CN34" i="16"/>
  <c r="CN35" i="16"/>
  <c r="CN36" i="16"/>
  <c r="CN37" i="16"/>
  <c r="CN38" i="16"/>
  <c r="CN39" i="16"/>
  <c r="CN40" i="16"/>
  <c r="CN41" i="16"/>
  <c r="CN42" i="16"/>
  <c r="CN43" i="16"/>
  <c r="CN44" i="16"/>
  <c r="CN45" i="16"/>
  <c r="CN46" i="16"/>
  <c r="CN47" i="16"/>
  <c r="CN48" i="16"/>
  <c r="CN49" i="16"/>
  <c r="CN50" i="16"/>
  <c r="CN51" i="16"/>
  <c r="CN52" i="16"/>
  <c r="CN53" i="16"/>
  <c r="CN54" i="16"/>
  <c r="CN55" i="16"/>
  <c r="CN56" i="16"/>
  <c r="CN57" i="16"/>
  <c r="CN58" i="16"/>
  <c r="CN59" i="16"/>
  <c r="CN60" i="16"/>
  <c r="CN61" i="16"/>
  <c r="CN62" i="16"/>
  <c r="CN63" i="16"/>
  <c r="CN64" i="16"/>
  <c r="CN65" i="16"/>
  <c r="CN66" i="16"/>
  <c r="CN67" i="16"/>
  <c r="CN68" i="16"/>
  <c r="CN69" i="16"/>
  <c r="CN70" i="16"/>
  <c r="CN71" i="16"/>
  <c r="CN72" i="16"/>
  <c r="CN73" i="16"/>
  <c r="CN74" i="16"/>
  <c r="CN75" i="16"/>
  <c r="CN76" i="16"/>
  <c r="CN77" i="16"/>
  <c r="CN78" i="16"/>
  <c r="CN79" i="16"/>
  <c r="CN80" i="16"/>
  <c r="CN81" i="16"/>
  <c r="CN82" i="16"/>
  <c r="CN83" i="16"/>
  <c r="CN84" i="16"/>
  <c r="CN85" i="16"/>
  <c r="CN86" i="16"/>
  <c r="CN87" i="16"/>
  <c r="CN88" i="16"/>
  <c r="CN89" i="16"/>
  <c r="CN90" i="16"/>
  <c r="CN91" i="16"/>
  <c r="CN92" i="16"/>
  <c r="CN93" i="16"/>
  <c r="CN94" i="16"/>
  <c r="CN95" i="16"/>
  <c r="CN96" i="16"/>
  <c r="CN97" i="16"/>
  <c r="CN98" i="16"/>
  <c r="CN99" i="16"/>
  <c r="CN100" i="16"/>
  <c r="CN101" i="16"/>
  <c r="CN102" i="16"/>
  <c r="CN103" i="16"/>
  <c r="CN104" i="16"/>
  <c r="CN105" i="16"/>
  <c r="CN106" i="16"/>
  <c r="CN107" i="16"/>
  <c r="CN108" i="16"/>
  <c r="CN109" i="16"/>
  <c r="CN110" i="16"/>
  <c r="CN111" i="16"/>
  <c r="CN112" i="16"/>
  <c r="CN113" i="16"/>
  <c r="CN3" i="16"/>
  <c r="CM4" i="16"/>
  <c r="CM5" i="16"/>
  <c r="CM6" i="16"/>
  <c r="CM7" i="16"/>
  <c r="CM8" i="16"/>
  <c r="CM9" i="16"/>
  <c r="CM10" i="16"/>
  <c r="CM11" i="16"/>
  <c r="CM12" i="16"/>
  <c r="CM13" i="16"/>
  <c r="CM14" i="16"/>
  <c r="CM15" i="16"/>
  <c r="CM16" i="16"/>
  <c r="CM17" i="16"/>
  <c r="CM18" i="16"/>
  <c r="CM19" i="16"/>
  <c r="CM20" i="16"/>
  <c r="CM21" i="16"/>
  <c r="CM22" i="16"/>
  <c r="CM23" i="16"/>
  <c r="CM24" i="16"/>
  <c r="CM25" i="16"/>
  <c r="CM26" i="16"/>
  <c r="CM27" i="16"/>
  <c r="CM28" i="16"/>
  <c r="CM29" i="16"/>
  <c r="CM30" i="16"/>
  <c r="CM31" i="16"/>
  <c r="CM32" i="16"/>
  <c r="CM33" i="16"/>
  <c r="CM34" i="16"/>
  <c r="CM35" i="16"/>
  <c r="CM36" i="16"/>
  <c r="CM37" i="16"/>
  <c r="CM38" i="16"/>
  <c r="CM39" i="16"/>
  <c r="CM40" i="16"/>
  <c r="CM41" i="16"/>
  <c r="CM42" i="16"/>
  <c r="CM43" i="16"/>
  <c r="CM44" i="16"/>
  <c r="CM45" i="16"/>
  <c r="CM46" i="16"/>
  <c r="CM47" i="16"/>
  <c r="CM48" i="16"/>
  <c r="CM49" i="16"/>
  <c r="CM50" i="16"/>
  <c r="CM51" i="16"/>
  <c r="CM52" i="16"/>
  <c r="CM53" i="16"/>
  <c r="CM54" i="16"/>
  <c r="CM55" i="16"/>
  <c r="CM56" i="16"/>
  <c r="CM57" i="16"/>
  <c r="CM58" i="16"/>
  <c r="CM59" i="16"/>
  <c r="CM60" i="16"/>
  <c r="CM61" i="16"/>
  <c r="CM62" i="16"/>
  <c r="CM63" i="16"/>
  <c r="CM64" i="16"/>
  <c r="CM65" i="16"/>
  <c r="CM66" i="16"/>
  <c r="CM67" i="16"/>
  <c r="CM68" i="16"/>
  <c r="CM69" i="16"/>
  <c r="CM70" i="16"/>
  <c r="CM71" i="16"/>
  <c r="CM72" i="16"/>
  <c r="CM73" i="16"/>
  <c r="CM74" i="16"/>
  <c r="CM75" i="16"/>
  <c r="CM76" i="16"/>
  <c r="CM77" i="16"/>
  <c r="CM78" i="16"/>
  <c r="CM79" i="16"/>
  <c r="CM80" i="16"/>
  <c r="CM81" i="16"/>
  <c r="CM82" i="16"/>
  <c r="CM83" i="16"/>
  <c r="CM84" i="16"/>
  <c r="CM85" i="16"/>
  <c r="CM86" i="16"/>
  <c r="CM87" i="16"/>
  <c r="CM88" i="16"/>
  <c r="CM89" i="16"/>
  <c r="CM90" i="16"/>
  <c r="CM91" i="16"/>
  <c r="CM92" i="16"/>
  <c r="CM93" i="16"/>
  <c r="CM94" i="16"/>
  <c r="CM95" i="16"/>
  <c r="CM96" i="16"/>
  <c r="CM97" i="16"/>
  <c r="CM98" i="16"/>
  <c r="CM99" i="16"/>
  <c r="CM100" i="16"/>
  <c r="CM101" i="16"/>
  <c r="CM102" i="16"/>
  <c r="CM103" i="16"/>
  <c r="CM104" i="16"/>
  <c r="CM105" i="16"/>
  <c r="CM106" i="16"/>
  <c r="CM107" i="16"/>
  <c r="CM108" i="16"/>
  <c r="CM109" i="16"/>
  <c r="CM110" i="16"/>
  <c r="CM111" i="16"/>
  <c r="CM112" i="16"/>
  <c r="CM113" i="16"/>
  <c r="CL4" i="16"/>
  <c r="CL5" i="16"/>
  <c r="CL6" i="16"/>
  <c r="CL7" i="16"/>
  <c r="CL8" i="16"/>
  <c r="CL9" i="16"/>
  <c r="CL10" i="16"/>
  <c r="CL11" i="16"/>
  <c r="CL12" i="16"/>
  <c r="CL13" i="16"/>
  <c r="CL14" i="16"/>
  <c r="CL15" i="16"/>
  <c r="CL16" i="16"/>
  <c r="CL17" i="16"/>
  <c r="CL18" i="16"/>
  <c r="CL19" i="16"/>
  <c r="CL20" i="16"/>
  <c r="CL21" i="16"/>
  <c r="CL22" i="16"/>
  <c r="CL23" i="16"/>
  <c r="CL24" i="16"/>
  <c r="CL25" i="16"/>
  <c r="CL26" i="16"/>
  <c r="CL27" i="16"/>
  <c r="CL28" i="16"/>
  <c r="CL29" i="16"/>
  <c r="CL30" i="16"/>
  <c r="CL31" i="16"/>
  <c r="CL32" i="16"/>
  <c r="CL33" i="16"/>
  <c r="CL34" i="16"/>
  <c r="CL35" i="16"/>
  <c r="CL36" i="16"/>
  <c r="CL37" i="16"/>
  <c r="CL38" i="16"/>
  <c r="CL39" i="16"/>
  <c r="CL40" i="16"/>
  <c r="CL41" i="16"/>
  <c r="CL42" i="16"/>
  <c r="CL43" i="16"/>
  <c r="CL44" i="16"/>
  <c r="CL45" i="16"/>
  <c r="CL46" i="16"/>
  <c r="CL47" i="16"/>
  <c r="CL48" i="16"/>
  <c r="CL49" i="16"/>
  <c r="CL50" i="16"/>
  <c r="CL51" i="16"/>
  <c r="CL52" i="16"/>
  <c r="CL53" i="16"/>
  <c r="CL54" i="16"/>
  <c r="CL55" i="16"/>
  <c r="CL56" i="16"/>
  <c r="CL57" i="16"/>
  <c r="CL58" i="16"/>
  <c r="CL59" i="16"/>
  <c r="CL60" i="16"/>
  <c r="CL61" i="16"/>
  <c r="CL62" i="16"/>
  <c r="CL63" i="16"/>
  <c r="CL64" i="16"/>
  <c r="CL65" i="16"/>
  <c r="CL66" i="16"/>
  <c r="CL67" i="16"/>
  <c r="CL68" i="16"/>
  <c r="CL69" i="16"/>
  <c r="CL70" i="16"/>
  <c r="CL71" i="16"/>
  <c r="CL72" i="16"/>
  <c r="CL73" i="16"/>
  <c r="CL74" i="16"/>
  <c r="CL75" i="16"/>
  <c r="CL76" i="16"/>
  <c r="CL77" i="16"/>
  <c r="CL78" i="16"/>
  <c r="CL79" i="16"/>
  <c r="CL80" i="16"/>
  <c r="CL81" i="16"/>
  <c r="CL82" i="16"/>
  <c r="CL83" i="16"/>
  <c r="CL84" i="16"/>
  <c r="CL85" i="16"/>
  <c r="CL86" i="16"/>
  <c r="CL87" i="16"/>
  <c r="CL88" i="16"/>
  <c r="CL89" i="16"/>
  <c r="CL90" i="16"/>
  <c r="CL91" i="16"/>
  <c r="CL92" i="16"/>
  <c r="CL93" i="16"/>
  <c r="CL94" i="16"/>
  <c r="CL95" i="16"/>
  <c r="CL96" i="16"/>
  <c r="CL97" i="16"/>
  <c r="CL98" i="16"/>
  <c r="CL99" i="16"/>
  <c r="CL100" i="16"/>
  <c r="CL101" i="16"/>
  <c r="CL102" i="16"/>
  <c r="CL103" i="16"/>
  <c r="CL104" i="16"/>
  <c r="CL105" i="16"/>
  <c r="CL106" i="16"/>
  <c r="CL107" i="16"/>
  <c r="CL108" i="16"/>
  <c r="CL109" i="16"/>
  <c r="CL110" i="16"/>
  <c r="CL111" i="16"/>
  <c r="CL112" i="16"/>
  <c r="CL113" i="16"/>
  <c r="CL3" i="16"/>
  <c r="CK4" i="16"/>
  <c r="CK5" i="16"/>
  <c r="CK6" i="16"/>
  <c r="CK7" i="16"/>
  <c r="CK8" i="16"/>
  <c r="CK9" i="16"/>
  <c r="CK10" i="16"/>
  <c r="CK11" i="16"/>
  <c r="CK12" i="16"/>
  <c r="CK13" i="16"/>
  <c r="CK14" i="16"/>
  <c r="CK15" i="16"/>
  <c r="CK16" i="16"/>
  <c r="CK17" i="16"/>
  <c r="CK18" i="16"/>
  <c r="CK19" i="16"/>
  <c r="CK20" i="16"/>
  <c r="CK21" i="16"/>
  <c r="CK22" i="16"/>
  <c r="CK23" i="16"/>
  <c r="CK24" i="16"/>
  <c r="CK25" i="16"/>
  <c r="CK26" i="16"/>
  <c r="CK27" i="16"/>
  <c r="CK28" i="16"/>
  <c r="CK29" i="16"/>
  <c r="CK30" i="16"/>
  <c r="CK31" i="16"/>
  <c r="CK32" i="16"/>
  <c r="CK33" i="16"/>
  <c r="CK34" i="16"/>
  <c r="CK35" i="16"/>
  <c r="CK36" i="16"/>
  <c r="CK37" i="16"/>
  <c r="CK38" i="16"/>
  <c r="CK39" i="16"/>
  <c r="CK40" i="16"/>
  <c r="CK41" i="16"/>
  <c r="CK42" i="16"/>
  <c r="CK43" i="16"/>
  <c r="CK44" i="16"/>
  <c r="CK45" i="16"/>
  <c r="CK46" i="16"/>
  <c r="CK47" i="16"/>
  <c r="CK48" i="16"/>
  <c r="CK49" i="16"/>
  <c r="CK50" i="16"/>
  <c r="CK51" i="16"/>
  <c r="CK52" i="16"/>
  <c r="CK53" i="16"/>
  <c r="CK54" i="16"/>
  <c r="CK55" i="16"/>
  <c r="CK56" i="16"/>
  <c r="CK57" i="16"/>
  <c r="CK58" i="16"/>
  <c r="CK59" i="16"/>
  <c r="CK60" i="16"/>
  <c r="CK61" i="16"/>
  <c r="CK62" i="16"/>
  <c r="CK63" i="16"/>
  <c r="CK64" i="16"/>
  <c r="CK65" i="16"/>
  <c r="CK66" i="16"/>
  <c r="CK67" i="16"/>
  <c r="CK68" i="16"/>
  <c r="CK69" i="16"/>
  <c r="CK70" i="16"/>
  <c r="CK71" i="16"/>
  <c r="CK72" i="16"/>
  <c r="CK73" i="16"/>
  <c r="CK74" i="16"/>
  <c r="CK75" i="16"/>
  <c r="CK76" i="16"/>
  <c r="CK77" i="16"/>
  <c r="CK78" i="16"/>
  <c r="CK79" i="16"/>
  <c r="CK80" i="16"/>
  <c r="CK81" i="16"/>
  <c r="CK82" i="16"/>
  <c r="CK83" i="16"/>
  <c r="CK84" i="16"/>
  <c r="CK85" i="16"/>
  <c r="CK86" i="16"/>
  <c r="CK87" i="16"/>
  <c r="CK88" i="16"/>
  <c r="CK89" i="16"/>
  <c r="CK90" i="16"/>
  <c r="CK91" i="16"/>
  <c r="CK92" i="16"/>
  <c r="CK93" i="16"/>
  <c r="CK94" i="16"/>
  <c r="CK95" i="16"/>
  <c r="CK96" i="16"/>
  <c r="CK97" i="16"/>
  <c r="CK98" i="16"/>
  <c r="CK99" i="16"/>
  <c r="CK100" i="16"/>
  <c r="CK101" i="16"/>
  <c r="CK102" i="16"/>
  <c r="CK103" i="16"/>
  <c r="CK104" i="16"/>
  <c r="CK105" i="16"/>
  <c r="CK106" i="16"/>
  <c r="CK107" i="16"/>
  <c r="CK108" i="16"/>
  <c r="CK109" i="16"/>
  <c r="CK110" i="16"/>
  <c r="CK111" i="16"/>
  <c r="CK112" i="16"/>
  <c r="CK113" i="16"/>
  <c r="CK3" i="16"/>
  <c r="BG4" i="16"/>
  <c r="BG5" i="16"/>
  <c r="BG6" i="16"/>
  <c r="BG7" i="16"/>
  <c r="BG8" i="16"/>
  <c r="BG9" i="16"/>
  <c r="BG10" i="16"/>
  <c r="BG11" i="16"/>
  <c r="BG12" i="16"/>
  <c r="BG13" i="16"/>
  <c r="BG14" i="16"/>
  <c r="BG15" i="16"/>
  <c r="BG16" i="16"/>
  <c r="BG17" i="16"/>
  <c r="BG18" i="16"/>
  <c r="BG19" i="16"/>
  <c r="BG20" i="16"/>
  <c r="BG21" i="16"/>
  <c r="BG22" i="16"/>
  <c r="BG23" i="16"/>
  <c r="BG24" i="16"/>
  <c r="BG25" i="16"/>
  <c r="BG26" i="16"/>
  <c r="BG27" i="16"/>
  <c r="BG28" i="16"/>
  <c r="BG29" i="16"/>
  <c r="BG30" i="16"/>
  <c r="BG31" i="16"/>
  <c r="BG32" i="16"/>
  <c r="BG33" i="16"/>
  <c r="BG34" i="16"/>
  <c r="BG35" i="16"/>
  <c r="BG36" i="16"/>
  <c r="BG37" i="16"/>
  <c r="BG38" i="16"/>
  <c r="BG39" i="16"/>
  <c r="BG40" i="16"/>
  <c r="BG41" i="16"/>
  <c r="BG42" i="16"/>
  <c r="BG43" i="16"/>
  <c r="BG44" i="16"/>
  <c r="BG45" i="16"/>
  <c r="BG46" i="16"/>
  <c r="BG47" i="16"/>
  <c r="BG48" i="16"/>
  <c r="BG49" i="16"/>
  <c r="BG50" i="16"/>
  <c r="BG51" i="16"/>
  <c r="BG52" i="16"/>
  <c r="BG53" i="16"/>
  <c r="BG54" i="16"/>
  <c r="BG55" i="16"/>
  <c r="BG56" i="16"/>
  <c r="BG57" i="16"/>
  <c r="BG58" i="16"/>
  <c r="BG59" i="16"/>
  <c r="BG60" i="16"/>
  <c r="BG61" i="16"/>
  <c r="BG62" i="16"/>
  <c r="BG63" i="16"/>
  <c r="BG64" i="16"/>
  <c r="BG65" i="16"/>
  <c r="BG66" i="16"/>
  <c r="BG67" i="16"/>
  <c r="BG68" i="16"/>
  <c r="BG69" i="16"/>
  <c r="BG70" i="16"/>
  <c r="BG71" i="16"/>
  <c r="BG72" i="16"/>
  <c r="BG73" i="16"/>
  <c r="BG74" i="16"/>
  <c r="BG75" i="16"/>
  <c r="BG76" i="16"/>
  <c r="BG77" i="16"/>
  <c r="BG78" i="16"/>
  <c r="BG79" i="16"/>
  <c r="BG80" i="16"/>
  <c r="BG81" i="16"/>
  <c r="BG82" i="16"/>
  <c r="BG83" i="16"/>
  <c r="BG84" i="16"/>
  <c r="BG85" i="16"/>
  <c r="BG86" i="16"/>
  <c r="BG87" i="16"/>
  <c r="BG88" i="16"/>
  <c r="BG89" i="16"/>
  <c r="BG90" i="16"/>
  <c r="BG91" i="16"/>
  <c r="BG92" i="16"/>
  <c r="BG93" i="16"/>
  <c r="BG94" i="16"/>
  <c r="BG95" i="16"/>
  <c r="BG96" i="16"/>
  <c r="BG97" i="16"/>
  <c r="BG98" i="16"/>
  <c r="BG99" i="16"/>
  <c r="BG100" i="16"/>
  <c r="BG101" i="16"/>
  <c r="BG102" i="16"/>
  <c r="BG103" i="16"/>
  <c r="BG104" i="16"/>
  <c r="BG105" i="16"/>
  <c r="BG106" i="16"/>
  <c r="BG107" i="16"/>
  <c r="BG108" i="16"/>
  <c r="BG109" i="16"/>
  <c r="BG110" i="16"/>
  <c r="BG111" i="16"/>
  <c r="BG112" i="16"/>
  <c r="BG113" i="16"/>
  <c r="BG3" i="16"/>
  <c r="L4" i="32" l="1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L102" i="32"/>
  <c r="L103" i="32"/>
  <c r="L104" i="32"/>
  <c r="L105" i="32"/>
  <c r="L106" i="32"/>
  <c r="L107" i="32"/>
  <c r="L108" i="32"/>
  <c r="L109" i="32"/>
  <c r="L110" i="32"/>
  <c r="L111" i="32"/>
  <c r="L112" i="32"/>
  <c r="L113" i="32"/>
  <c r="L114" i="32"/>
  <c r="L115" i="32"/>
  <c r="L116" i="32"/>
  <c r="L117" i="32"/>
  <c r="L118" i="32"/>
  <c r="L119" i="32"/>
  <c r="L120" i="32"/>
  <c r="L121" i="32"/>
  <c r="L122" i="32"/>
  <c r="L123" i="32"/>
  <c r="L124" i="32"/>
  <c r="L125" i="32"/>
  <c r="L126" i="32"/>
  <c r="L127" i="32"/>
  <c r="L128" i="32"/>
  <c r="L129" i="32"/>
  <c r="L130" i="32"/>
  <c r="L131" i="32"/>
  <c r="L132" i="32"/>
  <c r="L133" i="32"/>
  <c r="L134" i="32"/>
  <c r="L135" i="32"/>
  <c r="L136" i="32"/>
  <c r="L137" i="32"/>
  <c r="L138" i="32"/>
  <c r="L139" i="32"/>
  <c r="L140" i="32"/>
  <c r="L141" i="32"/>
  <c r="L142" i="32"/>
  <c r="L143" i="32"/>
  <c r="L144" i="32"/>
  <c r="L145" i="32"/>
  <c r="L146" i="32"/>
  <c r="L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K102" i="32"/>
  <c r="K103" i="32"/>
  <c r="K104" i="32"/>
  <c r="K105" i="32"/>
  <c r="K106" i="32"/>
  <c r="K107" i="32"/>
  <c r="K108" i="32"/>
  <c r="K109" i="32"/>
  <c r="K110" i="32"/>
  <c r="K111" i="32"/>
  <c r="K112" i="32"/>
  <c r="K113" i="32"/>
  <c r="K114" i="32"/>
  <c r="K115" i="32"/>
  <c r="K116" i="32"/>
  <c r="K117" i="32"/>
  <c r="K118" i="32"/>
  <c r="K119" i="32"/>
  <c r="K120" i="32"/>
  <c r="K121" i="32"/>
  <c r="K122" i="32"/>
  <c r="K123" i="32"/>
  <c r="K124" i="32"/>
  <c r="K125" i="32"/>
  <c r="K126" i="32"/>
  <c r="K127" i="32"/>
  <c r="K128" i="32"/>
  <c r="K129" i="32"/>
  <c r="K130" i="32"/>
  <c r="K131" i="32"/>
  <c r="K132" i="32"/>
  <c r="K133" i="32"/>
  <c r="K134" i="32"/>
  <c r="K135" i="32"/>
  <c r="K136" i="32"/>
  <c r="K137" i="32"/>
  <c r="K138" i="32"/>
  <c r="K139" i="32"/>
  <c r="K140" i="32"/>
  <c r="K141" i="32"/>
  <c r="K142" i="32"/>
  <c r="K143" i="32"/>
  <c r="K144" i="32"/>
  <c r="K145" i="32"/>
  <c r="K146" i="32"/>
  <c r="K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3" i="32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D81" i="32"/>
  <c r="D82" i="32"/>
  <c r="D83" i="32"/>
  <c r="D84" i="32"/>
  <c r="D85" i="32"/>
  <c r="D86" i="32"/>
  <c r="D87" i="32"/>
  <c r="D88" i="32"/>
  <c r="D89" i="32"/>
  <c r="D90" i="32"/>
  <c r="D91" i="32"/>
  <c r="D92" i="32"/>
  <c r="D93" i="32"/>
  <c r="D94" i="32"/>
  <c r="D95" i="32"/>
  <c r="D96" i="32"/>
  <c r="D97" i="32"/>
  <c r="D98" i="32"/>
  <c r="D99" i="32"/>
  <c r="D100" i="32"/>
  <c r="D101" i="32"/>
  <c r="D102" i="32"/>
  <c r="D103" i="32"/>
  <c r="D104" i="32"/>
  <c r="D105" i="32"/>
  <c r="D106" i="32"/>
  <c r="D107" i="32"/>
  <c r="D108" i="32"/>
  <c r="D109" i="32"/>
  <c r="D110" i="32"/>
  <c r="D111" i="32"/>
  <c r="D112" i="32"/>
  <c r="D113" i="32"/>
  <c r="D114" i="32"/>
  <c r="D115" i="32"/>
  <c r="D116" i="32"/>
  <c r="D117" i="32"/>
  <c r="D118" i="32"/>
  <c r="D119" i="32"/>
  <c r="D120" i="32"/>
  <c r="D121" i="32"/>
  <c r="D122" i="32"/>
  <c r="D123" i="32"/>
  <c r="D124" i="32"/>
  <c r="D125" i="32"/>
  <c r="D126" i="32"/>
  <c r="D127" i="32"/>
  <c r="D128" i="32"/>
  <c r="D129" i="32"/>
  <c r="D130" i="32"/>
  <c r="D131" i="32"/>
  <c r="D132" i="32"/>
  <c r="D133" i="32"/>
  <c r="D134" i="32"/>
  <c r="D135" i="32"/>
  <c r="D136" i="32"/>
  <c r="D137" i="32"/>
  <c r="D138" i="32"/>
  <c r="D139" i="32"/>
  <c r="D140" i="32"/>
  <c r="D141" i="32"/>
  <c r="D142" i="32"/>
  <c r="D143" i="32"/>
  <c r="D144" i="32"/>
  <c r="D145" i="32"/>
  <c r="D146" i="32"/>
  <c r="D3" i="32"/>
  <c r="C7" i="1" l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N102" i="31"/>
  <c r="N103" i="31"/>
  <c r="N104" i="31"/>
  <c r="N105" i="31"/>
  <c r="N106" i="31"/>
  <c r="N107" i="31"/>
  <c r="N108" i="31"/>
  <c r="N109" i="31"/>
  <c r="N110" i="31"/>
  <c r="N111" i="31"/>
  <c r="N112" i="31"/>
  <c r="N113" i="31"/>
  <c r="N114" i="31"/>
  <c r="N115" i="31"/>
  <c r="N116" i="31"/>
  <c r="N117" i="31"/>
  <c r="N118" i="31"/>
  <c r="N119" i="31"/>
  <c r="N120" i="31"/>
  <c r="N121" i="31"/>
  <c r="N122" i="31"/>
  <c r="N123" i="31"/>
  <c r="N124" i="31"/>
  <c r="N125" i="31"/>
  <c r="N126" i="31"/>
  <c r="N127" i="31"/>
  <c r="N128" i="31"/>
  <c r="N129" i="31"/>
  <c r="N130" i="31"/>
  <c r="N131" i="31"/>
  <c r="N132" i="31"/>
  <c r="N133" i="31"/>
  <c r="N134" i="31"/>
  <c r="N135" i="31"/>
  <c r="N136" i="31"/>
  <c r="N137" i="31"/>
  <c r="N138" i="31"/>
  <c r="N139" i="31"/>
  <c r="N140" i="31"/>
  <c r="N141" i="31"/>
  <c r="N142" i="31"/>
  <c r="N143" i="31"/>
  <c r="N144" i="31"/>
  <c r="N145" i="31"/>
  <c r="N146" i="31"/>
  <c r="N3" i="3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I4" i="31"/>
  <c r="I5" i="31"/>
  <c r="I6" i="31"/>
  <c r="I7" i="31"/>
  <c r="I8" i="31"/>
  <c r="I9" i="31"/>
  <c r="I10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23" i="31"/>
  <c r="I24" i="31"/>
  <c r="I25" i="31"/>
  <c r="I26" i="31"/>
  <c r="I27" i="31"/>
  <c r="I28" i="31"/>
  <c r="I29" i="31"/>
  <c r="I30" i="31"/>
  <c r="I31" i="31"/>
  <c r="I32" i="31"/>
  <c r="I33" i="31"/>
  <c r="I34" i="31"/>
  <c r="I35" i="31"/>
  <c r="I36" i="31"/>
  <c r="I37" i="31"/>
  <c r="I38" i="31"/>
  <c r="I39" i="31"/>
  <c r="I40" i="31"/>
  <c r="I41" i="31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7" i="31"/>
  <c r="I68" i="31"/>
  <c r="I69" i="31"/>
  <c r="I70" i="31"/>
  <c r="I71" i="31"/>
  <c r="I72" i="31"/>
  <c r="I73" i="31"/>
  <c r="I74" i="31"/>
  <c r="I75" i="31"/>
  <c r="I76" i="31"/>
  <c r="I77" i="31"/>
  <c r="I78" i="31"/>
  <c r="I79" i="31"/>
  <c r="I80" i="31"/>
  <c r="I81" i="31"/>
  <c r="I82" i="31"/>
  <c r="I83" i="31"/>
  <c r="I84" i="31"/>
  <c r="I85" i="31"/>
  <c r="I86" i="31"/>
  <c r="I87" i="31"/>
  <c r="I88" i="31"/>
  <c r="I89" i="31"/>
  <c r="I90" i="31"/>
  <c r="I91" i="31"/>
  <c r="I92" i="31"/>
  <c r="I93" i="31"/>
  <c r="I94" i="31"/>
  <c r="I95" i="31"/>
  <c r="I96" i="31"/>
  <c r="I97" i="31"/>
  <c r="I98" i="31"/>
  <c r="I99" i="31"/>
  <c r="I100" i="31"/>
  <c r="I101" i="31"/>
  <c r="I102" i="31"/>
  <c r="I103" i="31"/>
  <c r="I104" i="31"/>
  <c r="I105" i="31"/>
  <c r="I106" i="31"/>
  <c r="I107" i="31"/>
  <c r="I108" i="31"/>
  <c r="I109" i="31"/>
  <c r="I110" i="31"/>
  <c r="I111" i="31"/>
  <c r="I112" i="31"/>
  <c r="I113" i="31"/>
  <c r="I114" i="31"/>
  <c r="I115" i="31"/>
  <c r="I116" i="31"/>
  <c r="I117" i="31"/>
  <c r="I118" i="31"/>
  <c r="I119" i="31"/>
  <c r="I120" i="31"/>
  <c r="I121" i="31"/>
  <c r="I122" i="31"/>
  <c r="I123" i="31"/>
  <c r="I124" i="31"/>
  <c r="I125" i="31"/>
  <c r="I126" i="31"/>
  <c r="I127" i="31"/>
  <c r="I128" i="31"/>
  <c r="I129" i="31"/>
  <c r="I130" i="31"/>
  <c r="I131" i="31"/>
  <c r="I132" i="31"/>
  <c r="I133" i="31"/>
  <c r="I134" i="31"/>
  <c r="I135" i="31"/>
  <c r="I136" i="31"/>
  <c r="I137" i="31"/>
  <c r="I138" i="31"/>
  <c r="I139" i="31"/>
  <c r="I140" i="31"/>
  <c r="I141" i="31"/>
  <c r="I142" i="31"/>
  <c r="I143" i="31"/>
  <c r="I144" i="31"/>
  <c r="I145" i="31"/>
  <c r="I146" i="31"/>
  <c r="I3" i="31"/>
  <c r="C6" i="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35" i="31"/>
  <c r="C36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8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80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102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123" i="31"/>
  <c r="C124" i="31"/>
  <c r="C125" i="31"/>
  <c r="C126" i="31"/>
  <c r="C127" i="31"/>
  <c r="C128" i="31"/>
  <c r="C129" i="31"/>
  <c r="C130" i="31"/>
  <c r="C131" i="31"/>
  <c r="C132" i="31"/>
  <c r="C133" i="31"/>
  <c r="C134" i="31"/>
  <c r="C135" i="31"/>
  <c r="C136" i="31"/>
  <c r="C137" i="31"/>
  <c r="C138" i="31"/>
  <c r="C139" i="31"/>
  <c r="C140" i="31"/>
  <c r="C141" i="31"/>
  <c r="C142" i="31"/>
  <c r="C143" i="31"/>
  <c r="C144" i="31"/>
  <c r="C145" i="31"/>
  <c r="C146" i="31"/>
  <c r="C3" i="31"/>
  <c r="AD7" i="30" l="1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45" i="30"/>
  <c r="AD46" i="30"/>
  <c r="AD47" i="30"/>
  <c r="AD48" i="30"/>
  <c r="AD49" i="30"/>
  <c r="AD50" i="30"/>
  <c r="AD51" i="30"/>
  <c r="AD52" i="30"/>
  <c r="AD53" i="30"/>
  <c r="AD54" i="30"/>
  <c r="AD55" i="30"/>
  <c r="AD56" i="30"/>
  <c r="AD57" i="30"/>
  <c r="AD58" i="30"/>
  <c r="AD59" i="30"/>
  <c r="AD60" i="30"/>
  <c r="AD61" i="30"/>
  <c r="AD62" i="30"/>
  <c r="AD63" i="30"/>
  <c r="AD64" i="30"/>
  <c r="AD65" i="30"/>
  <c r="AD66" i="30"/>
  <c r="AD67" i="30"/>
  <c r="AD68" i="30"/>
  <c r="AD69" i="30"/>
  <c r="AD70" i="30"/>
  <c r="AD71" i="30"/>
  <c r="AD72" i="30"/>
  <c r="AD73" i="30"/>
  <c r="AD74" i="30"/>
  <c r="AD75" i="30"/>
  <c r="AD76" i="30"/>
  <c r="AD77" i="30"/>
  <c r="AD78" i="30"/>
  <c r="AD79" i="30"/>
  <c r="AD80" i="30"/>
  <c r="AD81" i="30"/>
  <c r="AD82" i="30"/>
  <c r="AD83" i="30"/>
  <c r="AD84" i="30"/>
  <c r="AD85" i="30"/>
  <c r="AD86" i="30"/>
  <c r="AD87" i="30"/>
  <c r="AD88" i="30"/>
  <c r="AD89" i="30"/>
  <c r="AD90" i="30"/>
  <c r="AD91" i="30"/>
  <c r="AD92" i="30"/>
  <c r="AD93" i="30"/>
  <c r="AD94" i="30"/>
  <c r="AD95" i="30"/>
  <c r="AD96" i="30"/>
  <c r="AD97" i="30"/>
  <c r="AD98" i="30"/>
  <c r="AD99" i="30"/>
  <c r="AD100" i="30"/>
  <c r="AD101" i="30"/>
  <c r="AD102" i="30"/>
  <c r="AD103" i="30"/>
  <c r="AD104" i="30"/>
  <c r="AD105" i="30"/>
  <c r="AD106" i="30"/>
  <c r="AD107" i="30"/>
  <c r="AD108" i="30"/>
  <c r="AD109" i="30"/>
  <c r="AD110" i="30"/>
  <c r="AD111" i="30"/>
  <c r="AD112" i="30"/>
  <c r="AD113" i="30"/>
  <c r="AD114" i="30"/>
  <c r="AD115" i="30"/>
  <c r="AD116" i="30"/>
  <c r="AD117" i="30"/>
  <c r="AD118" i="30"/>
  <c r="AD119" i="30"/>
  <c r="AD120" i="30"/>
  <c r="AD121" i="30"/>
  <c r="AD122" i="30"/>
  <c r="AD123" i="30"/>
  <c r="AD124" i="30"/>
  <c r="AD125" i="30"/>
  <c r="AD126" i="30"/>
  <c r="AD127" i="30"/>
  <c r="AD128" i="30"/>
  <c r="AD129" i="30"/>
  <c r="AD130" i="30"/>
  <c r="AD131" i="30"/>
  <c r="AD132" i="30"/>
  <c r="AD133" i="30"/>
  <c r="AD134" i="30"/>
  <c r="AD135" i="30"/>
  <c r="AD136" i="30"/>
  <c r="AD137" i="30"/>
  <c r="AD138" i="30"/>
  <c r="AD139" i="30"/>
  <c r="AD140" i="30"/>
  <c r="AD141" i="30"/>
  <c r="AD142" i="30"/>
  <c r="AD143" i="30"/>
  <c r="AD144" i="30"/>
  <c r="AD145" i="30"/>
  <c r="AD146" i="30"/>
  <c r="AD147" i="30"/>
  <c r="AD148" i="30"/>
  <c r="AD149" i="30"/>
  <c r="AC7" i="30"/>
  <c r="AC8" i="30"/>
  <c r="AC9" i="30"/>
  <c r="AC10" i="30"/>
  <c r="AC11" i="30"/>
  <c r="AC12" i="30"/>
  <c r="AC13" i="30"/>
  <c r="AC14" i="30"/>
  <c r="AC15" i="30"/>
  <c r="AC16" i="30"/>
  <c r="AC17" i="30"/>
  <c r="AC18" i="30"/>
  <c r="AC19" i="30"/>
  <c r="AC20" i="30"/>
  <c r="AC21" i="30"/>
  <c r="AC22" i="30"/>
  <c r="AC23" i="30"/>
  <c r="AC24" i="30"/>
  <c r="AC25" i="30"/>
  <c r="AC26" i="30"/>
  <c r="AC27" i="30"/>
  <c r="AC28" i="30"/>
  <c r="AC29" i="30"/>
  <c r="AC30" i="30"/>
  <c r="AC31" i="30"/>
  <c r="AC32" i="30"/>
  <c r="AC33" i="30"/>
  <c r="AC34" i="30"/>
  <c r="AC35" i="30"/>
  <c r="AC36" i="30"/>
  <c r="AC37" i="30"/>
  <c r="AC38" i="30"/>
  <c r="AC39" i="30"/>
  <c r="AC40" i="30"/>
  <c r="AC41" i="30"/>
  <c r="AC42" i="30"/>
  <c r="AC43" i="30"/>
  <c r="AC44" i="30"/>
  <c r="AC45" i="30"/>
  <c r="AC46" i="30"/>
  <c r="AC47" i="30"/>
  <c r="AC48" i="30"/>
  <c r="AC49" i="30"/>
  <c r="AC50" i="30"/>
  <c r="AC51" i="30"/>
  <c r="AC52" i="30"/>
  <c r="AC53" i="30"/>
  <c r="AC54" i="30"/>
  <c r="AC55" i="30"/>
  <c r="AC56" i="30"/>
  <c r="AC57" i="30"/>
  <c r="AC58" i="30"/>
  <c r="AC59" i="30"/>
  <c r="AC60" i="30"/>
  <c r="AC61" i="30"/>
  <c r="AC62" i="30"/>
  <c r="AC63" i="30"/>
  <c r="AC64" i="30"/>
  <c r="AC65" i="30"/>
  <c r="AC66" i="30"/>
  <c r="AC67" i="30"/>
  <c r="AC68" i="30"/>
  <c r="AC69" i="30"/>
  <c r="AC70" i="30"/>
  <c r="AC71" i="30"/>
  <c r="AC72" i="30"/>
  <c r="AC73" i="30"/>
  <c r="AC74" i="30"/>
  <c r="AC75" i="30"/>
  <c r="AC76" i="30"/>
  <c r="AC77" i="30"/>
  <c r="AC78" i="30"/>
  <c r="AC79" i="30"/>
  <c r="AC80" i="30"/>
  <c r="AC81" i="30"/>
  <c r="AC82" i="30"/>
  <c r="AC83" i="30"/>
  <c r="AC84" i="30"/>
  <c r="AC85" i="30"/>
  <c r="AC86" i="30"/>
  <c r="AC87" i="30"/>
  <c r="AC88" i="30"/>
  <c r="AC89" i="30"/>
  <c r="AC90" i="30"/>
  <c r="AC91" i="30"/>
  <c r="AC92" i="30"/>
  <c r="AC93" i="30"/>
  <c r="AC94" i="30"/>
  <c r="AC95" i="30"/>
  <c r="AC96" i="30"/>
  <c r="AC97" i="30"/>
  <c r="AC98" i="30"/>
  <c r="AC99" i="30"/>
  <c r="AC100" i="30"/>
  <c r="AC101" i="30"/>
  <c r="AC102" i="30"/>
  <c r="AC103" i="30"/>
  <c r="AC104" i="30"/>
  <c r="AC105" i="30"/>
  <c r="AC106" i="30"/>
  <c r="AC107" i="30"/>
  <c r="AC108" i="30"/>
  <c r="AC109" i="30"/>
  <c r="AC110" i="30"/>
  <c r="AC111" i="30"/>
  <c r="AC112" i="30"/>
  <c r="AC113" i="30"/>
  <c r="AC114" i="30"/>
  <c r="AC115" i="30"/>
  <c r="AC116" i="30"/>
  <c r="AC117" i="30"/>
  <c r="AC118" i="30"/>
  <c r="AC119" i="30"/>
  <c r="AC120" i="30"/>
  <c r="AC121" i="30"/>
  <c r="AC122" i="30"/>
  <c r="AC123" i="30"/>
  <c r="AC124" i="30"/>
  <c r="AC125" i="30"/>
  <c r="AC126" i="30"/>
  <c r="AC127" i="30"/>
  <c r="AC128" i="30"/>
  <c r="AC129" i="30"/>
  <c r="AC130" i="30"/>
  <c r="AC131" i="30"/>
  <c r="AC132" i="30"/>
  <c r="AC133" i="30"/>
  <c r="AC134" i="30"/>
  <c r="AC135" i="30"/>
  <c r="AC136" i="30"/>
  <c r="AC137" i="30"/>
  <c r="AC138" i="30"/>
  <c r="AC139" i="30"/>
  <c r="AC140" i="30"/>
  <c r="AC141" i="30"/>
  <c r="AC142" i="30"/>
  <c r="AC143" i="30"/>
  <c r="AC144" i="30"/>
  <c r="AC145" i="30"/>
  <c r="AC146" i="30"/>
  <c r="AC147" i="30"/>
  <c r="AC148" i="30"/>
  <c r="AC149" i="30"/>
  <c r="AB7" i="30"/>
  <c r="AB8" i="30"/>
  <c r="AB9" i="30"/>
  <c r="AB10" i="30"/>
  <c r="AB11" i="30"/>
  <c r="AB12" i="30"/>
  <c r="AB13" i="30"/>
  <c r="AB14" i="30"/>
  <c r="AB15" i="30"/>
  <c r="AB16" i="30"/>
  <c r="AB17" i="30"/>
  <c r="AB18" i="30"/>
  <c r="AB19" i="30"/>
  <c r="AB20" i="30"/>
  <c r="AB21" i="30"/>
  <c r="AB22" i="30"/>
  <c r="AB23" i="30"/>
  <c r="AB24" i="30"/>
  <c r="AB25" i="30"/>
  <c r="AB26" i="30"/>
  <c r="AB27" i="30"/>
  <c r="AB28" i="30"/>
  <c r="AB29" i="30"/>
  <c r="AB30" i="30"/>
  <c r="AB31" i="30"/>
  <c r="AB32" i="30"/>
  <c r="AB33" i="30"/>
  <c r="AB34" i="30"/>
  <c r="AB35" i="30"/>
  <c r="AB36" i="30"/>
  <c r="AB37" i="30"/>
  <c r="AB38" i="30"/>
  <c r="AB39" i="30"/>
  <c r="AB40" i="30"/>
  <c r="AB41" i="30"/>
  <c r="AB42" i="30"/>
  <c r="AB43" i="30"/>
  <c r="AB44" i="30"/>
  <c r="AB45" i="30"/>
  <c r="AB46" i="30"/>
  <c r="AB47" i="30"/>
  <c r="AB48" i="30"/>
  <c r="AB49" i="30"/>
  <c r="AB50" i="30"/>
  <c r="AB51" i="30"/>
  <c r="AB52" i="30"/>
  <c r="AB53" i="30"/>
  <c r="AB54" i="30"/>
  <c r="AB55" i="30"/>
  <c r="AB56" i="30"/>
  <c r="AB57" i="30"/>
  <c r="AB58" i="30"/>
  <c r="AB59" i="30"/>
  <c r="AB60" i="30"/>
  <c r="AB61" i="30"/>
  <c r="AB62" i="30"/>
  <c r="AB63" i="30"/>
  <c r="AB64" i="30"/>
  <c r="AB65" i="30"/>
  <c r="AB66" i="30"/>
  <c r="AB67" i="30"/>
  <c r="AB68" i="30"/>
  <c r="AB69" i="30"/>
  <c r="AB70" i="30"/>
  <c r="AB71" i="30"/>
  <c r="AB72" i="30"/>
  <c r="AB73" i="30"/>
  <c r="AB74" i="30"/>
  <c r="AB75" i="30"/>
  <c r="AB76" i="30"/>
  <c r="AB77" i="30"/>
  <c r="AB78" i="30"/>
  <c r="AB79" i="30"/>
  <c r="AB80" i="30"/>
  <c r="AB81" i="30"/>
  <c r="AB82" i="30"/>
  <c r="AB83" i="30"/>
  <c r="AB84" i="30"/>
  <c r="AB85" i="30"/>
  <c r="AB86" i="30"/>
  <c r="AB87" i="30"/>
  <c r="AB88" i="30"/>
  <c r="AB89" i="30"/>
  <c r="AB90" i="30"/>
  <c r="AB91" i="30"/>
  <c r="AB92" i="30"/>
  <c r="AB93" i="30"/>
  <c r="AB94" i="30"/>
  <c r="AB95" i="30"/>
  <c r="AB96" i="30"/>
  <c r="AB97" i="30"/>
  <c r="AB98" i="30"/>
  <c r="AB99" i="30"/>
  <c r="AB100" i="30"/>
  <c r="AB101" i="30"/>
  <c r="AB102" i="30"/>
  <c r="AB103" i="30"/>
  <c r="AB104" i="30"/>
  <c r="AB105" i="30"/>
  <c r="AB106" i="30"/>
  <c r="AB107" i="30"/>
  <c r="AB108" i="30"/>
  <c r="AB109" i="30"/>
  <c r="AB110" i="30"/>
  <c r="AB111" i="30"/>
  <c r="AB112" i="30"/>
  <c r="AB113" i="30"/>
  <c r="AB114" i="30"/>
  <c r="AB115" i="30"/>
  <c r="AB116" i="30"/>
  <c r="AB117" i="30"/>
  <c r="AB118" i="30"/>
  <c r="AB119" i="30"/>
  <c r="AB120" i="30"/>
  <c r="AB121" i="30"/>
  <c r="AB122" i="30"/>
  <c r="AB123" i="30"/>
  <c r="AB124" i="30"/>
  <c r="AB125" i="30"/>
  <c r="AB126" i="30"/>
  <c r="AB127" i="30"/>
  <c r="AB128" i="30"/>
  <c r="AB129" i="30"/>
  <c r="AB130" i="30"/>
  <c r="AB131" i="30"/>
  <c r="AB132" i="30"/>
  <c r="AB133" i="30"/>
  <c r="AB134" i="30"/>
  <c r="AB135" i="30"/>
  <c r="AB136" i="30"/>
  <c r="AB137" i="30"/>
  <c r="AB138" i="30"/>
  <c r="AB139" i="30"/>
  <c r="AB140" i="30"/>
  <c r="AB141" i="30"/>
  <c r="AB142" i="30"/>
  <c r="AB143" i="30"/>
  <c r="AB144" i="30"/>
  <c r="AB145" i="30"/>
  <c r="AB146" i="30"/>
  <c r="AB147" i="30"/>
  <c r="AB148" i="30"/>
  <c r="AB149" i="30"/>
  <c r="AC6" i="30"/>
  <c r="AD6" i="30" s="1"/>
  <c r="AB6" i="30"/>
  <c r="V7" i="30"/>
  <c r="V8" i="30"/>
  <c r="V9" i="30"/>
  <c r="V10" i="30"/>
  <c r="V11" i="30"/>
  <c r="V12" i="30"/>
  <c r="V13" i="30"/>
  <c r="V14" i="30"/>
  <c r="V15" i="30"/>
  <c r="V16" i="30"/>
  <c r="V17" i="30"/>
  <c r="V18" i="30"/>
  <c r="V19" i="30"/>
  <c r="V20" i="30"/>
  <c r="V21" i="30"/>
  <c r="V22" i="30"/>
  <c r="V23" i="30"/>
  <c r="V24" i="30"/>
  <c r="V25" i="30"/>
  <c r="V26" i="30"/>
  <c r="V27" i="30"/>
  <c r="V28" i="30"/>
  <c r="V29" i="30"/>
  <c r="V30" i="30"/>
  <c r="V31" i="30"/>
  <c r="V32" i="30"/>
  <c r="V33" i="30"/>
  <c r="V34" i="30"/>
  <c r="V35" i="30"/>
  <c r="V36" i="30"/>
  <c r="V37" i="30"/>
  <c r="V38" i="30"/>
  <c r="V39" i="30"/>
  <c r="V40" i="30"/>
  <c r="V41" i="30"/>
  <c r="V42" i="30"/>
  <c r="V43" i="30"/>
  <c r="V44" i="30"/>
  <c r="V45" i="30"/>
  <c r="V46" i="30"/>
  <c r="V47" i="30"/>
  <c r="V48" i="30"/>
  <c r="V49" i="30"/>
  <c r="V50" i="30"/>
  <c r="V51" i="30"/>
  <c r="V52" i="30"/>
  <c r="V53" i="30"/>
  <c r="V54" i="30"/>
  <c r="V55" i="30"/>
  <c r="V56" i="30"/>
  <c r="V57" i="30"/>
  <c r="V58" i="30"/>
  <c r="V59" i="30"/>
  <c r="V60" i="30"/>
  <c r="V61" i="30"/>
  <c r="V62" i="30"/>
  <c r="V63" i="30"/>
  <c r="V64" i="30"/>
  <c r="V65" i="30"/>
  <c r="V66" i="30"/>
  <c r="V67" i="30"/>
  <c r="V68" i="30"/>
  <c r="V69" i="30"/>
  <c r="V70" i="30"/>
  <c r="V71" i="30"/>
  <c r="V72" i="30"/>
  <c r="V73" i="30"/>
  <c r="V74" i="30"/>
  <c r="V75" i="30"/>
  <c r="V76" i="30"/>
  <c r="V77" i="30"/>
  <c r="V78" i="30"/>
  <c r="V79" i="30"/>
  <c r="V80" i="30"/>
  <c r="V81" i="30"/>
  <c r="V82" i="30"/>
  <c r="V83" i="30"/>
  <c r="V84" i="30"/>
  <c r="V85" i="30"/>
  <c r="V86" i="30"/>
  <c r="V87" i="30"/>
  <c r="V88" i="30"/>
  <c r="V89" i="30"/>
  <c r="V90" i="30"/>
  <c r="V91" i="30"/>
  <c r="V92" i="30"/>
  <c r="V93" i="30"/>
  <c r="V94" i="30"/>
  <c r="V95" i="30"/>
  <c r="V96" i="30"/>
  <c r="V97" i="30"/>
  <c r="V98" i="30"/>
  <c r="V99" i="30"/>
  <c r="V100" i="30"/>
  <c r="V101" i="30"/>
  <c r="V102" i="30"/>
  <c r="V103" i="30"/>
  <c r="V104" i="30"/>
  <c r="V105" i="30"/>
  <c r="V106" i="30"/>
  <c r="V107" i="30"/>
  <c r="V108" i="30"/>
  <c r="V109" i="30"/>
  <c r="V110" i="30"/>
  <c r="V111" i="30"/>
  <c r="V112" i="30"/>
  <c r="V113" i="30"/>
  <c r="V114" i="30"/>
  <c r="V115" i="30"/>
  <c r="V116" i="30"/>
  <c r="V117" i="30"/>
  <c r="V118" i="30"/>
  <c r="V119" i="30"/>
  <c r="V120" i="30"/>
  <c r="V121" i="30"/>
  <c r="V122" i="30"/>
  <c r="V123" i="30"/>
  <c r="V124" i="30"/>
  <c r="V125" i="30"/>
  <c r="V126" i="30"/>
  <c r="V127" i="30"/>
  <c r="V128" i="30"/>
  <c r="V129" i="30"/>
  <c r="V130" i="30"/>
  <c r="V131" i="30"/>
  <c r="V132" i="30"/>
  <c r="V133" i="30"/>
  <c r="V134" i="30"/>
  <c r="V135" i="30"/>
  <c r="V136" i="30"/>
  <c r="V137" i="30"/>
  <c r="V138" i="30"/>
  <c r="V139" i="30"/>
  <c r="V140" i="30"/>
  <c r="V141" i="30"/>
  <c r="V142" i="30"/>
  <c r="V143" i="30"/>
  <c r="V144" i="30"/>
  <c r="V145" i="30"/>
  <c r="V146" i="30"/>
  <c r="V147" i="30"/>
  <c r="V148" i="30"/>
  <c r="V149" i="30"/>
  <c r="V6" i="30"/>
  <c r="Z6" i="30"/>
  <c r="O7" i="30" l="1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O102" i="30"/>
  <c r="O103" i="30"/>
  <c r="O104" i="30"/>
  <c r="O105" i="30"/>
  <c r="O106" i="30"/>
  <c r="O107" i="30"/>
  <c r="O108" i="30"/>
  <c r="O109" i="30"/>
  <c r="O110" i="30"/>
  <c r="O111" i="30"/>
  <c r="O112" i="30"/>
  <c r="O113" i="30"/>
  <c r="O114" i="30"/>
  <c r="O115" i="30"/>
  <c r="O116" i="30"/>
  <c r="O117" i="30"/>
  <c r="O118" i="30"/>
  <c r="O119" i="30"/>
  <c r="O120" i="30"/>
  <c r="O121" i="30"/>
  <c r="O122" i="30"/>
  <c r="O123" i="30"/>
  <c r="O124" i="30"/>
  <c r="O125" i="30"/>
  <c r="O126" i="30"/>
  <c r="O127" i="30"/>
  <c r="O128" i="30"/>
  <c r="O129" i="30"/>
  <c r="O130" i="30"/>
  <c r="O131" i="30"/>
  <c r="O132" i="30"/>
  <c r="O133" i="30"/>
  <c r="O134" i="30"/>
  <c r="O135" i="30"/>
  <c r="O136" i="30"/>
  <c r="O137" i="30"/>
  <c r="O138" i="30"/>
  <c r="O139" i="30"/>
  <c r="O140" i="30"/>
  <c r="O141" i="30"/>
  <c r="O142" i="30"/>
  <c r="O143" i="30"/>
  <c r="O144" i="30"/>
  <c r="O145" i="30"/>
  <c r="O146" i="30"/>
  <c r="O147" i="30"/>
  <c r="O148" i="30"/>
  <c r="O149" i="30"/>
  <c r="O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N102" i="30"/>
  <c r="N103" i="30"/>
  <c r="N104" i="30"/>
  <c r="N105" i="30"/>
  <c r="N106" i="30"/>
  <c r="N107" i="30"/>
  <c r="N108" i="30"/>
  <c r="N109" i="30"/>
  <c r="N110" i="30"/>
  <c r="N111" i="30"/>
  <c r="N112" i="30"/>
  <c r="N113" i="30"/>
  <c r="N114" i="30"/>
  <c r="N115" i="30"/>
  <c r="N116" i="30"/>
  <c r="N117" i="30"/>
  <c r="N118" i="30"/>
  <c r="N119" i="30"/>
  <c r="N120" i="30"/>
  <c r="N121" i="30"/>
  <c r="N122" i="30"/>
  <c r="N123" i="30"/>
  <c r="N124" i="30"/>
  <c r="N125" i="30"/>
  <c r="N126" i="30"/>
  <c r="N127" i="30"/>
  <c r="N128" i="30"/>
  <c r="N129" i="30"/>
  <c r="N130" i="30"/>
  <c r="N131" i="30"/>
  <c r="N132" i="30"/>
  <c r="N133" i="30"/>
  <c r="N134" i="30"/>
  <c r="N135" i="30"/>
  <c r="N136" i="30"/>
  <c r="N137" i="30"/>
  <c r="N138" i="30"/>
  <c r="N139" i="30"/>
  <c r="N140" i="30"/>
  <c r="N141" i="30"/>
  <c r="N142" i="30"/>
  <c r="N143" i="30"/>
  <c r="N144" i="30"/>
  <c r="N145" i="30"/>
  <c r="N146" i="30"/>
  <c r="N147" i="30"/>
  <c r="N148" i="30"/>
  <c r="N149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M102" i="30"/>
  <c r="M103" i="30"/>
  <c r="M104" i="30"/>
  <c r="M105" i="30"/>
  <c r="M106" i="30"/>
  <c r="M107" i="30"/>
  <c r="M108" i="30"/>
  <c r="M109" i="30"/>
  <c r="M110" i="30"/>
  <c r="M111" i="30"/>
  <c r="M112" i="30"/>
  <c r="M113" i="30"/>
  <c r="M114" i="30"/>
  <c r="M115" i="30"/>
  <c r="M116" i="30"/>
  <c r="M117" i="30"/>
  <c r="M118" i="30"/>
  <c r="M119" i="30"/>
  <c r="M120" i="30"/>
  <c r="M121" i="30"/>
  <c r="M122" i="30"/>
  <c r="M123" i="30"/>
  <c r="M124" i="30"/>
  <c r="M125" i="30"/>
  <c r="M126" i="30"/>
  <c r="M127" i="30"/>
  <c r="M128" i="30"/>
  <c r="M129" i="30"/>
  <c r="M130" i="30"/>
  <c r="M131" i="30"/>
  <c r="M132" i="30"/>
  <c r="M133" i="30"/>
  <c r="M134" i="30"/>
  <c r="M135" i="30"/>
  <c r="M136" i="30"/>
  <c r="M137" i="30"/>
  <c r="M138" i="30"/>
  <c r="M139" i="30"/>
  <c r="M140" i="30"/>
  <c r="M141" i="30"/>
  <c r="M142" i="30"/>
  <c r="M143" i="30"/>
  <c r="M144" i="30"/>
  <c r="M145" i="30"/>
  <c r="M146" i="30"/>
  <c r="M147" i="30"/>
  <c r="M148" i="30"/>
  <c r="M149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L102" i="30"/>
  <c r="L103" i="30"/>
  <c r="L104" i="30"/>
  <c r="L105" i="30"/>
  <c r="L106" i="30"/>
  <c r="L107" i="30"/>
  <c r="L108" i="30"/>
  <c r="L109" i="30"/>
  <c r="L110" i="30"/>
  <c r="L111" i="30"/>
  <c r="L112" i="30"/>
  <c r="L113" i="30"/>
  <c r="L114" i="30"/>
  <c r="L115" i="30"/>
  <c r="L116" i="30"/>
  <c r="L117" i="30"/>
  <c r="L118" i="30"/>
  <c r="L119" i="30"/>
  <c r="L120" i="30"/>
  <c r="L121" i="30"/>
  <c r="L122" i="30"/>
  <c r="L123" i="30"/>
  <c r="L124" i="30"/>
  <c r="L125" i="30"/>
  <c r="L126" i="30"/>
  <c r="L127" i="30"/>
  <c r="L128" i="30"/>
  <c r="L129" i="30"/>
  <c r="L130" i="30"/>
  <c r="L131" i="30"/>
  <c r="L132" i="30"/>
  <c r="L133" i="30"/>
  <c r="L134" i="30"/>
  <c r="L135" i="30"/>
  <c r="L136" i="30"/>
  <c r="L137" i="30"/>
  <c r="L138" i="30"/>
  <c r="L139" i="30"/>
  <c r="L140" i="30"/>
  <c r="L141" i="30"/>
  <c r="L142" i="30"/>
  <c r="L143" i="30"/>
  <c r="L144" i="30"/>
  <c r="L145" i="30"/>
  <c r="L146" i="30"/>
  <c r="L147" i="30"/>
  <c r="L148" i="30"/>
  <c r="L149" i="30"/>
  <c r="N6" i="30"/>
  <c r="M6" i="30"/>
  <c r="L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K102" i="30"/>
  <c r="K103" i="30"/>
  <c r="K104" i="30"/>
  <c r="K105" i="30"/>
  <c r="K106" i="30"/>
  <c r="K107" i="30"/>
  <c r="K108" i="30"/>
  <c r="K109" i="30"/>
  <c r="K110" i="30"/>
  <c r="K111" i="30"/>
  <c r="K112" i="30"/>
  <c r="K113" i="30"/>
  <c r="K114" i="30"/>
  <c r="K115" i="30"/>
  <c r="K116" i="30"/>
  <c r="K117" i="30"/>
  <c r="K118" i="30"/>
  <c r="K119" i="30"/>
  <c r="K120" i="30"/>
  <c r="K121" i="30"/>
  <c r="K122" i="30"/>
  <c r="K123" i="30"/>
  <c r="K124" i="30"/>
  <c r="K125" i="30"/>
  <c r="K126" i="30"/>
  <c r="K127" i="30"/>
  <c r="K128" i="30"/>
  <c r="K129" i="30"/>
  <c r="K130" i="30"/>
  <c r="K131" i="30"/>
  <c r="K132" i="30"/>
  <c r="K133" i="30"/>
  <c r="K134" i="30"/>
  <c r="K135" i="30"/>
  <c r="K136" i="30"/>
  <c r="K137" i="30"/>
  <c r="K138" i="30"/>
  <c r="K139" i="30"/>
  <c r="K140" i="30"/>
  <c r="K141" i="30"/>
  <c r="K142" i="30"/>
  <c r="K143" i="30"/>
  <c r="K144" i="30"/>
  <c r="K145" i="30"/>
  <c r="K146" i="30"/>
  <c r="K147" i="30"/>
  <c r="K148" i="30"/>
  <c r="K149" i="30"/>
  <c r="K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J102" i="30"/>
  <c r="J103" i="30"/>
  <c r="J104" i="30"/>
  <c r="J105" i="30"/>
  <c r="J106" i="30"/>
  <c r="J107" i="30"/>
  <c r="J108" i="30"/>
  <c r="J109" i="30"/>
  <c r="J110" i="30"/>
  <c r="J111" i="30"/>
  <c r="J112" i="30"/>
  <c r="J113" i="30"/>
  <c r="J114" i="30"/>
  <c r="J115" i="30"/>
  <c r="J116" i="30"/>
  <c r="J117" i="30"/>
  <c r="J118" i="30"/>
  <c r="J119" i="30"/>
  <c r="J120" i="30"/>
  <c r="J121" i="30"/>
  <c r="J122" i="30"/>
  <c r="J123" i="30"/>
  <c r="J124" i="30"/>
  <c r="J125" i="30"/>
  <c r="J126" i="30"/>
  <c r="J127" i="30"/>
  <c r="J128" i="30"/>
  <c r="J129" i="30"/>
  <c r="J130" i="30"/>
  <c r="J131" i="30"/>
  <c r="J132" i="30"/>
  <c r="J133" i="30"/>
  <c r="J134" i="30"/>
  <c r="J135" i="30"/>
  <c r="J136" i="30"/>
  <c r="J137" i="30"/>
  <c r="J138" i="30"/>
  <c r="J139" i="30"/>
  <c r="J140" i="30"/>
  <c r="J141" i="30"/>
  <c r="J142" i="30"/>
  <c r="J143" i="30"/>
  <c r="J144" i="30"/>
  <c r="J145" i="30"/>
  <c r="J146" i="30"/>
  <c r="J147" i="30"/>
  <c r="J148" i="30"/>
  <c r="J149" i="30"/>
  <c r="J6" i="30"/>
  <c r="I7" i="30"/>
  <c r="I8" i="30"/>
  <c r="I9" i="30"/>
  <c r="I10" i="30"/>
  <c r="I11" i="30"/>
  <c r="I12" i="30"/>
  <c r="I13" i="30"/>
  <c r="I14" i="30"/>
  <c r="I15" i="30"/>
  <c r="I16" i="30"/>
  <c r="I17" i="30"/>
  <c r="I18" i="30"/>
  <c r="I19" i="30"/>
  <c r="I20" i="30"/>
  <c r="I21" i="30"/>
  <c r="I22" i="30"/>
  <c r="I23" i="30"/>
  <c r="I24" i="30"/>
  <c r="I25" i="30"/>
  <c r="I26" i="30"/>
  <c r="I27" i="30"/>
  <c r="I28" i="30"/>
  <c r="I29" i="30"/>
  <c r="I30" i="30"/>
  <c r="I31" i="30"/>
  <c r="I32" i="30"/>
  <c r="I33" i="30"/>
  <c r="I34" i="30"/>
  <c r="I35" i="30"/>
  <c r="I36" i="30"/>
  <c r="I37" i="30"/>
  <c r="I38" i="30"/>
  <c r="I39" i="30"/>
  <c r="I40" i="30"/>
  <c r="I41" i="30"/>
  <c r="I42" i="30"/>
  <c r="I43" i="30"/>
  <c r="I44" i="30"/>
  <c r="I45" i="30"/>
  <c r="I46" i="30"/>
  <c r="I47" i="30"/>
  <c r="I48" i="30"/>
  <c r="I49" i="30"/>
  <c r="I50" i="30"/>
  <c r="I51" i="30"/>
  <c r="I52" i="30"/>
  <c r="I53" i="30"/>
  <c r="I54" i="30"/>
  <c r="I55" i="30"/>
  <c r="I56" i="30"/>
  <c r="I57" i="30"/>
  <c r="I58" i="30"/>
  <c r="I59" i="30"/>
  <c r="I60" i="30"/>
  <c r="I61" i="30"/>
  <c r="I62" i="30"/>
  <c r="I63" i="30"/>
  <c r="I64" i="30"/>
  <c r="I65" i="30"/>
  <c r="I66" i="30"/>
  <c r="I67" i="30"/>
  <c r="I68" i="30"/>
  <c r="I69" i="30"/>
  <c r="I70" i="30"/>
  <c r="I71" i="30"/>
  <c r="I72" i="30"/>
  <c r="I73" i="30"/>
  <c r="I74" i="30"/>
  <c r="I75" i="30"/>
  <c r="I76" i="30"/>
  <c r="I77" i="30"/>
  <c r="I78" i="30"/>
  <c r="I79" i="30"/>
  <c r="I80" i="30"/>
  <c r="I81" i="30"/>
  <c r="I82" i="30"/>
  <c r="I83" i="30"/>
  <c r="I84" i="30"/>
  <c r="I85" i="30"/>
  <c r="I86" i="30"/>
  <c r="I87" i="30"/>
  <c r="I88" i="30"/>
  <c r="I89" i="30"/>
  <c r="I90" i="30"/>
  <c r="I91" i="30"/>
  <c r="I92" i="30"/>
  <c r="I93" i="30"/>
  <c r="I94" i="30"/>
  <c r="I95" i="30"/>
  <c r="I96" i="30"/>
  <c r="I97" i="30"/>
  <c r="I98" i="30"/>
  <c r="I99" i="30"/>
  <c r="I100" i="30"/>
  <c r="I101" i="30"/>
  <c r="I102" i="30"/>
  <c r="I103" i="30"/>
  <c r="I104" i="30"/>
  <c r="I105" i="30"/>
  <c r="I106" i="30"/>
  <c r="I107" i="30"/>
  <c r="I108" i="30"/>
  <c r="I109" i="30"/>
  <c r="I110" i="30"/>
  <c r="I111" i="30"/>
  <c r="I112" i="30"/>
  <c r="I113" i="30"/>
  <c r="I114" i="30"/>
  <c r="I115" i="30"/>
  <c r="I116" i="30"/>
  <c r="I117" i="30"/>
  <c r="I118" i="30"/>
  <c r="I119" i="30"/>
  <c r="I120" i="30"/>
  <c r="I121" i="30"/>
  <c r="I122" i="30"/>
  <c r="I123" i="30"/>
  <c r="I124" i="30"/>
  <c r="I125" i="30"/>
  <c r="I126" i="30"/>
  <c r="I127" i="30"/>
  <c r="I128" i="30"/>
  <c r="I129" i="30"/>
  <c r="I130" i="30"/>
  <c r="I131" i="30"/>
  <c r="I132" i="30"/>
  <c r="I133" i="30"/>
  <c r="I134" i="30"/>
  <c r="I135" i="30"/>
  <c r="I136" i="30"/>
  <c r="I137" i="30"/>
  <c r="I138" i="30"/>
  <c r="I139" i="30"/>
  <c r="I140" i="30"/>
  <c r="I141" i="30"/>
  <c r="I142" i="30"/>
  <c r="I143" i="30"/>
  <c r="I144" i="30"/>
  <c r="I145" i="30"/>
  <c r="I146" i="30"/>
  <c r="I147" i="30"/>
  <c r="I148" i="30"/>
  <c r="I149" i="30"/>
  <c r="I6" i="30"/>
  <c r="I3" i="14" l="1"/>
  <c r="C14" i="1" l="1"/>
  <c r="F13" i="1" l="1"/>
  <c r="F12" i="1"/>
  <c r="F11" i="1"/>
  <c r="F10" i="1"/>
  <c r="C16" i="1"/>
  <c r="C15" i="1"/>
  <c r="B6" i="3" s="1"/>
  <c r="D6" i="3" l="1"/>
  <c r="E6" i="3"/>
  <c r="F6" i="3"/>
  <c r="F5" i="3" s="1"/>
  <c r="Z462" i="1" l="1"/>
  <c r="Y462" i="1"/>
  <c r="Z461" i="1"/>
  <c r="Y461" i="1"/>
  <c r="Z460" i="1"/>
  <c r="Y460" i="1"/>
  <c r="Z459" i="1"/>
  <c r="Y459" i="1"/>
  <c r="Z458" i="1"/>
  <c r="Y458" i="1"/>
  <c r="Z457" i="1"/>
  <c r="Y457" i="1"/>
  <c r="Z456" i="1"/>
  <c r="Y456" i="1"/>
  <c r="Z455" i="1"/>
  <c r="Y455" i="1"/>
  <c r="Z454" i="1"/>
  <c r="Y454" i="1"/>
  <c r="Z453" i="1"/>
  <c r="Y453" i="1"/>
  <c r="Z452" i="1"/>
  <c r="Y452" i="1"/>
  <c r="Z451" i="1"/>
  <c r="Y451" i="1"/>
  <c r="Z450" i="1"/>
  <c r="Y450" i="1"/>
  <c r="Z449" i="1"/>
  <c r="Y449" i="1"/>
  <c r="Z448" i="1"/>
  <c r="Y448" i="1"/>
  <c r="Z447" i="1"/>
  <c r="Y447" i="1"/>
  <c r="Z446" i="1"/>
  <c r="Y446" i="1"/>
  <c r="Z445" i="1"/>
  <c r="Y445" i="1"/>
  <c r="Z444" i="1"/>
  <c r="Y444" i="1"/>
  <c r="Z443" i="1"/>
  <c r="Y443" i="1"/>
  <c r="Z442" i="1"/>
  <c r="Y442" i="1"/>
  <c r="Z441" i="1"/>
  <c r="Y441" i="1"/>
  <c r="Z440" i="1"/>
  <c r="Y440" i="1"/>
  <c r="Z439" i="1"/>
  <c r="Y439" i="1"/>
  <c r="Z438" i="1"/>
  <c r="Y438" i="1"/>
  <c r="Z437" i="1"/>
  <c r="Y437" i="1"/>
  <c r="Z436" i="1"/>
  <c r="Y436" i="1"/>
  <c r="Z435" i="1"/>
  <c r="Y435" i="1"/>
  <c r="Z434" i="1"/>
  <c r="Y434" i="1"/>
  <c r="Z433" i="1"/>
  <c r="Y433" i="1"/>
  <c r="Z432" i="1"/>
  <c r="Y432" i="1"/>
  <c r="Z431" i="1"/>
  <c r="Y431" i="1"/>
  <c r="Z430" i="1"/>
  <c r="Y430" i="1"/>
  <c r="Z429" i="1"/>
  <c r="Y429" i="1"/>
  <c r="Z428" i="1"/>
  <c r="Y428" i="1"/>
  <c r="Z427" i="1"/>
  <c r="Y427" i="1"/>
  <c r="Z426" i="1"/>
  <c r="Y426" i="1"/>
  <c r="Z425" i="1"/>
  <c r="Y425" i="1"/>
  <c r="Z424" i="1"/>
  <c r="Y424" i="1"/>
  <c r="Z423" i="1"/>
  <c r="Y423" i="1"/>
  <c r="Z422" i="1"/>
  <c r="Y422" i="1"/>
  <c r="Z421" i="1"/>
  <c r="Y421" i="1"/>
  <c r="Z420" i="1"/>
  <c r="Y420" i="1"/>
  <c r="Z419" i="1"/>
  <c r="Y419" i="1"/>
  <c r="Z418" i="1"/>
  <c r="Y418" i="1"/>
  <c r="Z417" i="1"/>
  <c r="Y417" i="1"/>
  <c r="Z416" i="1"/>
  <c r="Y416" i="1"/>
  <c r="Z415" i="1"/>
  <c r="Y415" i="1"/>
  <c r="Z414" i="1"/>
  <c r="Y414" i="1"/>
  <c r="Z413" i="1"/>
  <c r="Y413" i="1"/>
  <c r="Z412" i="1"/>
  <c r="Y412" i="1"/>
  <c r="Z411" i="1"/>
  <c r="Y411" i="1"/>
  <c r="Z410" i="1"/>
  <c r="Y410" i="1"/>
  <c r="Z409" i="1"/>
  <c r="Y409" i="1"/>
  <c r="Z408" i="1"/>
  <c r="Y408" i="1"/>
  <c r="Z407" i="1"/>
  <c r="Y407" i="1"/>
  <c r="Z406" i="1"/>
  <c r="Y406" i="1"/>
  <c r="Z405" i="1"/>
  <c r="Y405" i="1"/>
  <c r="Z404" i="1"/>
  <c r="Y404" i="1"/>
  <c r="Z403" i="1"/>
  <c r="Y403" i="1"/>
  <c r="Z402" i="1"/>
  <c r="Y402" i="1"/>
  <c r="Z401" i="1"/>
  <c r="Y401" i="1"/>
  <c r="Z400" i="1"/>
  <c r="Y400" i="1"/>
  <c r="Z399" i="1"/>
  <c r="Y399" i="1"/>
  <c r="Z398" i="1"/>
  <c r="Y398" i="1"/>
  <c r="Z397" i="1"/>
  <c r="Y397" i="1"/>
  <c r="Z396" i="1"/>
  <c r="Y396" i="1"/>
  <c r="Z395" i="1"/>
  <c r="Y395" i="1"/>
  <c r="Z394" i="1"/>
  <c r="Y394" i="1"/>
  <c r="Z393" i="1"/>
  <c r="Y393" i="1"/>
  <c r="Z392" i="1"/>
  <c r="Y392" i="1"/>
  <c r="Z391" i="1"/>
  <c r="Y391" i="1"/>
  <c r="Z390" i="1"/>
  <c r="Y390" i="1"/>
  <c r="Z389" i="1"/>
  <c r="Y389" i="1"/>
  <c r="Z388" i="1"/>
  <c r="Y388" i="1"/>
  <c r="Z387" i="1"/>
  <c r="Y387" i="1"/>
  <c r="Z386" i="1"/>
  <c r="Y386" i="1"/>
  <c r="Z385" i="1"/>
  <c r="Y385" i="1"/>
  <c r="Z384" i="1"/>
  <c r="Y384" i="1"/>
  <c r="Z383" i="1"/>
  <c r="Y383" i="1"/>
  <c r="Z382" i="1"/>
  <c r="Y382" i="1"/>
  <c r="Z381" i="1"/>
  <c r="Y381" i="1"/>
  <c r="Z380" i="1"/>
  <c r="Y380" i="1"/>
  <c r="Z379" i="1"/>
  <c r="Y379" i="1"/>
  <c r="Z378" i="1"/>
  <c r="Y378" i="1"/>
  <c r="Z377" i="1"/>
  <c r="Y377" i="1"/>
  <c r="Z376" i="1"/>
  <c r="Y376" i="1"/>
  <c r="Z375" i="1"/>
  <c r="Y375" i="1"/>
  <c r="Z374" i="1"/>
  <c r="Y374" i="1"/>
  <c r="Z373" i="1"/>
  <c r="Y373" i="1"/>
  <c r="Z372" i="1"/>
  <c r="Y372" i="1"/>
  <c r="Z371" i="1"/>
  <c r="Y371" i="1"/>
  <c r="Z370" i="1"/>
  <c r="Y370" i="1"/>
  <c r="Z369" i="1"/>
  <c r="Y369" i="1"/>
  <c r="Z368" i="1"/>
  <c r="Y368" i="1"/>
  <c r="Z367" i="1"/>
  <c r="Y367" i="1"/>
  <c r="Z366" i="1"/>
  <c r="Y366" i="1"/>
  <c r="Z365" i="1"/>
  <c r="Y365" i="1"/>
  <c r="Z364" i="1"/>
  <c r="Y364" i="1"/>
  <c r="Z363" i="1"/>
  <c r="Y363" i="1"/>
  <c r="Z362" i="1"/>
  <c r="Y362" i="1"/>
  <c r="Z361" i="1"/>
  <c r="Y361" i="1"/>
  <c r="Z360" i="1"/>
  <c r="Y360" i="1"/>
  <c r="Z359" i="1"/>
  <c r="Y359" i="1"/>
  <c r="Z358" i="1"/>
  <c r="Y358" i="1"/>
  <c r="Z357" i="1"/>
  <c r="Y357" i="1"/>
  <c r="Z356" i="1"/>
  <c r="Y356" i="1"/>
  <c r="Z355" i="1"/>
  <c r="Y355" i="1"/>
  <c r="Z354" i="1"/>
  <c r="Y354" i="1"/>
  <c r="Z353" i="1"/>
  <c r="Y353" i="1"/>
  <c r="Z352" i="1"/>
  <c r="Y352" i="1"/>
  <c r="Z351" i="1"/>
  <c r="Y351" i="1"/>
  <c r="Z350" i="1"/>
  <c r="Y350" i="1"/>
  <c r="Z349" i="1"/>
  <c r="Y349" i="1"/>
  <c r="Z348" i="1"/>
  <c r="Y348" i="1"/>
  <c r="Z347" i="1"/>
  <c r="Y347" i="1"/>
  <c r="Z346" i="1"/>
  <c r="Y346" i="1"/>
  <c r="Z345" i="1"/>
  <c r="Y345" i="1"/>
  <c r="Z344" i="1"/>
  <c r="Y344" i="1"/>
  <c r="Z343" i="1"/>
  <c r="Y343" i="1"/>
  <c r="Z342" i="1"/>
  <c r="Y342" i="1"/>
  <c r="Z341" i="1"/>
  <c r="Y341" i="1"/>
  <c r="Z340" i="1"/>
  <c r="Y340" i="1"/>
  <c r="Z339" i="1"/>
  <c r="Y339" i="1"/>
  <c r="Z338" i="1"/>
  <c r="Y338" i="1"/>
  <c r="Z337" i="1"/>
  <c r="Y337" i="1"/>
  <c r="Z336" i="1"/>
  <c r="Y336" i="1"/>
  <c r="Z335" i="1"/>
  <c r="Y335" i="1"/>
  <c r="Z334" i="1"/>
  <c r="Y334" i="1"/>
  <c r="Z333" i="1"/>
  <c r="Y333" i="1"/>
  <c r="Z332" i="1"/>
  <c r="Y332" i="1"/>
  <c r="Z331" i="1"/>
  <c r="Y331" i="1"/>
  <c r="Z330" i="1"/>
  <c r="Y330" i="1"/>
  <c r="Z329" i="1"/>
  <c r="Y329" i="1"/>
  <c r="Z328" i="1"/>
  <c r="Y328" i="1"/>
  <c r="Z327" i="1"/>
  <c r="Y327" i="1"/>
  <c r="Z326" i="1"/>
  <c r="Y326" i="1"/>
  <c r="Z325" i="1"/>
  <c r="Y325" i="1"/>
  <c r="Z324" i="1"/>
  <c r="Y324" i="1"/>
  <c r="Z323" i="1"/>
  <c r="Y323" i="1"/>
  <c r="Z322" i="1"/>
  <c r="Y322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Z321" i="1" l="1"/>
  <c r="Y321" i="1"/>
  <c r="Z320" i="1"/>
  <c r="Y320" i="1"/>
  <c r="A320" i="1"/>
  <c r="S321" i="1"/>
  <c r="S320" i="1"/>
  <c r="A173" i="1"/>
  <c r="A26" i="1"/>
  <c r="E26" i="1" l="1"/>
  <c r="A27" i="1"/>
  <c r="A28" i="1" s="1"/>
  <c r="A29" i="1" s="1"/>
  <c r="A30" i="1" s="1"/>
  <c r="A31" i="1" s="1"/>
  <c r="A32" i="1" s="1"/>
  <c r="A33" i="1" s="1"/>
  <c r="A34" i="1" s="1"/>
  <c r="A35" i="1" s="1"/>
  <c r="E320" i="1"/>
  <c r="AA320" i="1" s="1"/>
  <c r="F173" i="1"/>
  <c r="H173" i="1" s="1"/>
  <c r="D320" i="1"/>
  <c r="P320" i="1" s="1"/>
  <c r="F320" i="1"/>
  <c r="H320" i="1" s="1"/>
  <c r="B320" i="1"/>
  <c r="A321" i="1"/>
  <c r="A322" i="1" s="1"/>
  <c r="C320" i="1"/>
  <c r="G320" i="1"/>
  <c r="C173" i="1"/>
  <c r="A174" i="1"/>
  <c r="D173" i="1"/>
  <c r="P173" i="1" s="1"/>
  <c r="E173" i="1"/>
  <c r="B173" i="1"/>
  <c r="B26" i="1"/>
  <c r="F26" i="1"/>
  <c r="H26" i="1" s="1"/>
  <c r="C26" i="1"/>
  <c r="D26" i="1"/>
  <c r="P26" i="1" s="1"/>
  <c r="B25" i="1"/>
  <c r="C25" i="1"/>
  <c r="D25" i="1"/>
  <c r="P25" i="1" s="1"/>
  <c r="E25" i="1"/>
  <c r="F25" i="1"/>
  <c r="H25" i="1" s="1"/>
  <c r="E322" i="1" l="1"/>
  <c r="AA322" i="1" s="1"/>
  <c r="C322" i="1"/>
  <c r="F322" i="1"/>
  <c r="H322" i="1" s="1"/>
  <c r="D322" i="1"/>
  <c r="P322" i="1" s="1"/>
  <c r="A323" i="1"/>
  <c r="B322" i="1"/>
  <c r="C174" i="1"/>
  <c r="A175" i="1"/>
  <c r="F28" i="1"/>
  <c r="H28" i="1" s="1"/>
  <c r="A36" i="1"/>
  <c r="B35" i="1"/>
  <c r="E35" i="1"/>
  <c r="D35" i="1"/>
  <c r="P35" i="1" s="1"/>
  <c r="F35" i="1"/>
  <c r="H35" i="1" s="1"/>
  <c r="C35" i="1"/>
  <c r="G25" i="1"/>
  <c r="E174" i="1"/>
  <c r="F321" i="1"/>
  <c r="H321" i="1" s="1"/>
  <c r="B321" i="1"/>
  <c r="E321" i="1"/>
  <c r="AA321" i="1" s="1"/>
  <c r="D321" i="1"/>
  <c r="P321" i="1" s="1"/>
  <c r="C321" i="1"/>
  <c r="D174" i="1"/>
  <c r="P174" i="1" s="1"/>
  <c r="F174" i="1"/>
  <c r="H174" i="1" s="1"/>
  <c r="B174" i="1"/>
  <c r="E28" i="1"/>
  <c r="G173" i="1"/>
  <c r="C28" i="1"/>
  <c r="D27" i="1"/>
  <c r="P27" i="1" s="1"/>
  <c r="E27" i="1"/>
  <c r="F27" i="1"/>
  <c r="H27" i="1" s="1"/>
  <c r="B28" i="1"/>
  <c r="D28" i="1"/>
  <c r="P28" i="1" s="1"/>
  <c r="B27" i="1"/>
  <c r="C27" i="1"/>
  <c r="E29" i="1"/>
  <c r="D29" i="1"/>
  <c r="P29" i="1" s="1"/>
  <c r="C29" i="1"/>
  <c r="F29" i="1"/>
  <c r="H29" i="1" s="1"/>
  <c r="B29" i="1"/>
  <c r="G26" i="1"/>
  <c r="F319" i="1"/>
  <c r="E319" i="1"/>
  <c r="D319" i="1"/>
  <c r="P319" i="1" s="1"/>
  <c r="C319" i="1"/>
  <c r="B319" i="1"/>
  <c r="F172" i="1"/>
  <c r="E172" i="1"/>
  <c r="D172" i="1"/>
  <c r="P172" i="1" s="1"/>
  <c r="C172" i="1"/>
  <c r="B172" i="1"/>
  <c r="Z319" i="1"/>
  <c r="Y319" i="1"/>
  <c r="G322" i="1" l="1"/>
  <c r="J322" i="1"/>
  <c r="E323" i="1"/>
  <c r="AA323" i="1" s="1"/>
  <c r="A324" i="1"/>
  <c r="C323" i="1"/>
  <c r="D323" i="1"/>
  <c r="P323" i="1" s="1"/>
  <c r="B323" i="1"/>
  <c r="F323" i="1"/>
  <c r="H323" i="1" s="1"/>
  <c r="E175" i="1"/>
  <c r="D175" i="1"/>
  <c r="P175" i="1" s="1"/>
  <c r="A176" i="1"/>
  <c r="C175" i="1"/>
  <c r="B175" i="1"/>
  <c r="F175" i="1"/>
  <c r="H175" i="1" s="1"/>
  <c r="G35" i="1"/>
  <c r="B36" i="1"/>
  <c r="D36" i="1"/>
  <c r="P36" i="1" s="1"/>
  <c r="F36" i="1"/>
  <c r="H36" i="1" s="1"/>
  <c r="A37" i="1"/>
  <c r="E36" i="1"/>
  <c r="C36" i="1"/>
  <c r="J319" i="1"/>
  <c r="J321" i="1"/>
  <c r="G28" i="1"/>
  <c r="J320" i="1"/>
  <c r="G321" i="1"/>
  <c r="G174" i="1"/>
  <c r="G27" i="1"/>
  <c r="C30" i="1"/>
  <c r="F30" i="1"/>
  <c r="H30" i="1" s="1"/>
  <c r="B30" i="1"/>
  <c r="E30" i="1"/>
  <c r="D30" i="1"/>
  <c r="P30" i="1" s="1"/>
  <c r="G29" i="1"/>
  <c r="AA319" i="1"/>
  <c r="C5" i="1"/>
  <c r="N26" i="1" l="1"/>
  <c r="M4" i="31" s="1"/>
  <c r="E4" i="31"/>
  <c r="F4" i="31" s="1"/>
  <c r="M322" i="1"/>
  <c r="M321" i="1"/>
  <c r="M174" i="1"/>
  <c r="C324" i="1"/>
  <c r="E324" i="1"/>
  <c r="AA324" i="1" s="1"/>
  <c r="A325" i="1"/>
  <c r="F324" i="1"/>
  <c r="H324" i="1" s="1"/>
  <c r="D324" i="1"/>
  <c r="P324" i="1" s="1"/>
  <c r="B324" i="1"/>
  <c r="G323" i="1"/>
  <c r="M323" i="1" s="1"/>
  <c r="J323" i="1"/>
  <c r="A177" i="1"/>
  <c r="C176" i="1"/>
  <c r="B176" i="1"/>
  <c r="D176" i="1"/>
  <c r="P176" i="1" s="1"/>
  <c r="F176" i="1"/>
  <c r="H176" i="1" s="1"/>
  <c r="E176" i="1"/>
  <c r="G175" i="1"/>
  <c r="G36" i="1"/>
  <c r="A38" i="1"/>
  <c r="E37" i="1"/>
  <c r="D37" i="1"/>
  <c r="P37" i="1" s="1"/>
  <c r="B37" i="1"/>
  <c r="C37" i="1"/>
  <c r="F37" i="1"/>
  <c r="H37" i="1" s="1"/>
  <c r="G30" i="1"/>
  <c r="D31" i="1"/>
  <c r="P31" i="1" s="1"/>
  <c r="C31" i="1"/>
  <c r="F31" i="1"/>
  <c r="H31" i="1" s="1"/>
  <c r="B31" i="1"/>
  <c r="E31" i="1"/>
  <c r="N29" i="1" l="1"/>
  <c r="M7" i="31" s="1"/>
  <c r="E7" i="31"/>
  <c r="F7" i="31" s="1"/>
  <c r="N27" i="1"/>
  <c r="M5" i="31" s="1"/>
  <c r="E5" i="31"/>
  <c r="F5" i="31" s="1"/>
  <c r="N28" i="1"/>
  <c r="M6" i="31" s="1"/>
  <c r="E6" i="31"/>
  <c r="F6" i="31" s="1"/>
  <c r="Q321" i="1"/>
  <c r="Q323" i="1"/>
  <c r="Q322" i="1"/>
  <c r="Q324" i="1"/>
  <c r="Q320" i="1"/>
  <c r="Q173" i="1"/>
  <c r="Q174" i="1"/>
  <c r="Q176" i="1"/>
  <c r="X174" i="1"/>
  <c r="Q25" i="1"/>
  <c r="Q30" i="1"/>
  <c r="Q27" i="1"/>
  <c r="Q35" i="1"/>
  <c r="Q36" i="1"/>
  <c r="X175" i="1"/>
  <c r="X30" i="1"/>
  <c r="R36" i="1"/>
  <c r="S36" i="1" s="1"/>
  <c r="X320" i="1"/>
  <c r="X26" i="1"/>
  <c r="X25" i="1"/>
  <c r="X173" i="1"/>
  <c r="X35" i="1"/>
  <c r="X322" i="1"/>
  <c r="X321" i="1"/>
  <c r="X28" i="1"/>
  <c r="X29" i="1"/>
  <c r="X27" i="1"/>
  <c r="X323" i="1"/>
  <c r="X36" i="1"/>
  <c r="M175" i="1"/>
  <c r="Y37" i="1"/>
  <c r="Z37" i="1" s="1"/>
  <c r="Y176" i="1"/>
  <c r="Z176" i="1" s="1"/>
  <c r="R26" i="1"/>
  <c r="S26" i="1" s="1"/>
  <c r="Q26" i="1"/>
  <c r="R173" i="1"/>
  <c r="S173" i="1" s="1"/>
  <c r="Y26" i="1"/>
  <c r="Z26" i="1" s="1"/>
  <c r="Y173" i="1"/>
  <c r="Z173" i="1" s="1"/>
  <c r="R25" i="1"/>
  <c r="S25" i="1" s="1"/>
  <c r="Y29" i="1"/>
  <c r="Z29" i="1" s="1"/>
  <c r="Y174" i="1"/>
  <c r="Z174" i="1" s="1"/>
  <c r="R174" i="1"/>
  <c r="S174" i="1" s="1"/>
  <c r="Y25" i="1"/>
  <c r="Z25" i="1" s="1"/>
  <c r="Y28" i="1"/>
  <c r="Z28" i="1" s="1"/>
  <c r="Q29" i="1"/>
  <c r="Y35" i="1"/>
  <c r="Z35" i="1" s="1"/>
  <c r="R35" i="1"/>
  <c r="S35" i="1" s="1"/>
  <c r="Q28" i="1"/>
  <c r="Y27" i="1"/>
  <c r="Z27" i="1" s="1"/>
  <c r="R28" i="1"/>
  <c r="S28" i="1" s="1"/>
  <c r="R29" i="1"/>
  <c r="S29" i="1" s="1"/>
  <c r="R27" i="1"/>
  <c r="S27" i="1" s="1"/>
  <c r="R172" i="1"/>
  <c r="S172" i="1" s="1"/>
  <c r="Y30" i="1"/>
  <c r="Z30" i="1" s="1"/>
  <c r="Y172" i="1"/>
  <c r="Z172" i="1" s="1"/>
  <c r="R30" i="1"/>
  <c r="S30" i="1" s="1"/>
  <c r="R175" i="1"/>
  <c r="S175" i="1" s="1"/>
  <c r="Y36" i="1"/>
  <c r="Z36" i="1" s="1"/>
  <c r="Q175" i="1"/>
  <c r="Y175" i="1"/>
  <c r="Z175" i="1" s="1"/>
  <c r="A326" i="1"/>
  <c r="F325" i="1"/>
  <c r="H325" i="1" s="1"/>
  <c r="D325" i="1"/>
  <c r="P325" i="1" s="1"/>
  <c r="B325" i="1"/>
  <c r="C325" i="1"/>
  <c r="E325" i="1"/>
  <c r="G324" i="1"/>
  <c r="M324" i="1" s="1"/>
  <c r="J324" i="1"/>
  <c r="E177" i="1"/>
  <c r="A178" i="1"/>
  <c r="F177" i="1"/>
  <c r="H177" i="1" s="1"/>
  <c r="B177" i="1"/>
  <c r="D177" i="1"/>
  <c r="C177" i="1"/>
  <c r="R176" i="1"/>
  <c r="S176" i="1" s="1"/>
  <c r="G176" i="1"/>
  <c r="X176" i="1" s="1"/>
  <c r="R37" i="1"/>
  <c r="S37" i="1" s="1"/>
  <c r="G37" i="1"/>
  <c r="A39" i="1"/>
  <c r="E38" i="1"/>
  <c r="F38" i="1"/>
  <c r="H38" i="1" s="1"/>
  <c r="C38" i="1"/>
  <c r="B38" i="1"/>
  <c r="D38" i="1"/>
  <c r="Y31" i="1"/>
  <c r="Z31" i="1" s="1"/>
  <c r="G31" i="1"/>
  <c r="R31" i="1"/>
  <c r="S31" i="1" s="1"/>
  <c r="F32" i="1"/>
  <c r="H32" i="1" s="1"/>
  <c r="B32" i="1"/>
  <c r="E32" i="1"/>
  <c r="D32" i="1"/>
  <c r="P32" i="1" s="1"/>
  <c r="C32" i="1"/>
  <c r="C21" i="1"/>
  <c r="N30" i="1" l="1"/>
  <c r="M8" i="31" s="1"/>
  <c r="E8" i="31"/>
  <c r="F8" i="31" s="1"/>
  <c r="N36" i="1"/>
  <c r="M14" i="31" s="1"/>
  <c r="E14" i="31"/>
  <c r="F14" i="31" s="1"/>
  <c r="Y38" i="1"/>
  <c r="Z38" i="1" s="1"/>
  <c r="P38" i="1"/>
  <c r="Y177" i="1"/>
  <c r="Z177" i="1" s="1"/>
  <c r="P177" i="1"/>
  <c r="Q177" i="1" s="1"/>
  <c r="X37" i="1"/>
  <c r="Q37" i="1"/>
  <c r="X31" i="1"/>
  <c r="Q31" i="1"/>
  <c r="K25" i="1"/>
  <c r="L323" i="1"/>
  <c r="T323" i="1" s="1"/>
  <c r="L320" i="1"/>
  <c r="T320" i="1" s="1"/>
  <c r="L324" i="1"/>
  <c r="T324" i="1" s="1"/>
  <c r="L321" i="1"/>
  <c r="T321" i="1" s="1"/>
  <c r="L325" i="1"/>
  <c r="L322" i="1"/>
  <c r="T322" i="1" s="1"/>
  <c r="L176" i="1"/>
  <c r="L173" i="1"/>
  <c r="L177" i="1"/>
  <c r="L174" i="1"/>
  <c r="L175" i="1"/>
  <c r="L25" i="1"/>
  <c r="L26" i="1"/>
  <c r="L30" i="1"/>
  <c r="L38" i="1"/>
  <c r="L27" i="1"/>
  <c r="L28" i="1"/>
  <c r="L32" i="1"/>
  <c r="L36" i="1"/>
  <c r="L29" i="1"/>
  <c r="L31" i="1"/>
  <c r="L35" i="1"/>
  <c r="L37" i="1"/>
  <c r="K320" i="1"/>
  <c r="K321" i="1"/>
  <c r="K322" i="1"/>
  <c r="K323" i="1"/>
  <c r="K324" i="1"/>
  <c r="X324" i="1"/>
  <c r="K36" i="1"/>
  <c r="K173" i="1"/>
  <c r="K174" i="1"/>
  <c r="K175" i="1"/>
  <c r="K176" i="1"/>
  <c r="M176" i="1"/>
  <c r="K26" i="1"/>
  <c r="K27" i="1"/>
  <c r="K28" i="1"/>
  <c r="K35" i="1"/>
  <c r="K29" i="1"/>
  <c r="K30" i="1"/>
  <c r="K31" i="1"/>
  <c r="K37" i="1"/>
  <c r="AA325" i="1"/>
  <c r="Q325" i="1"/>
  <c r="G325" i="1"/>
  <c r="J325" i="1"/>
  <c r="F326" i="1"/>
  <c r="H326" i="1" s="1"/>
  <c r="C326" i="1"/>
  <c r="B326" i="1"/>
  <c r="E326" i="1"/>
  <c r="AA326" i="1" s="1"/>
  <c r="A327" i="1"/>
  <c r="D326" i="1"/>
  <c r="P326" i="1" s="1"/>
  <c r="D178" i="1"/>
  <c r="C178" i="1"/>
  <c r="A179" i="1"/>
  <c r="F178" i="1"/>
  <c r="H178" i="1" s="1"/>
  <c r="E178" i="1"/>
  <c r="B178" i="1"/>
  <c r="R177" i="1"/>
  <c r="S177" i="1" s="1"/>
  <c r="G177" i="1"/>
  <c r="X177" i="1" s="1"/>
  <c r="G38" i="1"/>
  <c r="R38" i="1"/>
  <c r="S38" i="1" s="1"/>
  <c r="A40" i="1"/>
  <c r="E39" i="1"/>
  <c r="C39" i="1"/>
  <c r="F39" i="1"/>
  <c r="H39" i="1" s="1"/>
  <c r="D39" i="1"/>
  <c r="B39" i="1"/>
  <c r="Y32" i="1"/>
  <c r="Z32" i="1" s="1"/>
  <c r="C33" i="1"/>
  <c r="F33" i="1"/>
  <c r="H33" i="1" s="1"/>
  <c r="B33" i="1"/>
  <c r="E33" i="1"/>
  <c r="D33" i="1"/>
  <c r="P33" i="1" s="1"/>
  <c r="G32" i="1"/>
  <c r="Q32" i="1" s="1"/>
  <c r="R32" i="1"/>
  <c r="S32" i="1" s="1"/>
  <c r="C9" i="1"/>
  <c r="Q38" i="1" l="1"/>
  <c r="N31" i="1"/>
  <c r="E9" i="31"/>
  <c r="F9" i="31" s="1"/>
  <c r="N37" i="1"/>
  <c r="M15" i="31" s="1"/>
  <c r="E15" i="31"/>
  <c r="F15" i="31" s="1"/>
  <c r="T325" i="1"/>
  <c r="Y39" i="1"/>
  <c r="Z39" i="1" s="1"/>
  <c r="P39" i="1"/>
  <c r="Y178" i="1"/>
  <c r="Z178" i="1" s="1"/>
  <c r="P178" i="1"/>
  <c r="Q178" i="1" s="1"/>
  <c r="L326" i="1"/>
  <c r="Q326" i="1"/>
  <c r="L178" i="1"/>
  <c r="L39" i="1"/>
  <c r="L33" i="1"/>
  <c r="X325" i="1"/>
  <c r="K325" i="1"/>
  <c r="M325" i="1"/>
  <c r="N325" i="1" s="1"/>
  <c r="E10" i="31"/>
  <c r="F10" i="31" s="1"/>
  <c r="X32" i="1"/>
  <c r="E16" i="31"/>
  <c r="F16" i="31" s="1"/>
  <c r="X38" i="1"/>
  <c r="K177" i="1"/>
  <c r="M177" i="1"/>
  <c r="N177" i="1" s="1"/>
  <c r="K38" i="1"/>
  <c r="K32" i="1"/>
  <c r="B327" i="1"/>
  <c r="E327" i="1"/>
  <c r="AA327" i="1" s="1"/>
  <c r="A328" i="1"/>
  <c r="D327" i="1"/>
  <c r="P327" i="1" s="1"/>
  <c r="F327" i="1"/>
  <c r="H327" i="1" s="1"/>
  <c r="C327" i="1"/>
  <c r="N175" i="1"/>
  <c r="N322" i="1"/>
  <c r="N323" i="1"/>
  <c r="N324" i="1"/>
  <c r="G326" i="1"/>
  <c r="J326" i="1"/>
  <c r="D179" i="1"/>
  <c r="B179" i="1"/>
  <c r="C179" i="1"/>
  <c r="E179" i="1"/>
  <c r="A180" i="1"/>
  <c r="F179" i="1"/>
  <c r="H179" i="1" s="1"/>
  <c r="N176" i="1"/>
  <c r="G178" i="1"/>
  <c r="X178" i="1" s="1"/>
  <c r="R178" i="1"/>
  <c r="S178" i="1" s="1"/>
  <c r="N321" i="1"/>
  <c r="G39" i="1"/>
  <c r="R39" i="1"/>
  <c r="S39" i="1" s="1"/>
  <c r="A41" i="1"/>
  <c r="D40" i="1"/>
  <c r="C40" i="1"/>
  <c r="F40" i="1"/>
  <c r="H40" i="1" s="1"/>
  <c r="E40" i="1"/>
  <c r="B40" i="1"/>
  <c r="Y33" i="1"/>
  <c r="Z33" i="1" s="1"/>
  <c r="N174" i="1"/>
  <c r="F34" i="1"/>
  <c r="H34" i="1" s="1"/>
  <c r="B34" i="1"/>
  <c r="E34" i="1"/>
  <c r="D34" i="1"/>
  <c r="P34" i="1" s="1"/>
  <c r="C34" i="1"/>
  <c r="G33" i="1"/>
  <c r="Q33" i="1" s="1"/>
  <c r="R33" i="1"/>
  <c r="S33" i="1" s="1"/>
  <c r="L6" i="3"/>
  <c r="K6" i="3"/>
  <c r="J6" i="3"/>
  <c r="M9" i="31" l="1"/>
  <c r="N38" i="1"/>
  <c r="N32" i="1"/>
  <c r="T326" i="1"/>
  <c r="Y40" i="1"/>
  <c r="Z40" i="1" s="1"/>
  <c r="P40" i="1"/>
  <c r="Y179" i="1"/>
  <c r="Z179" i="1" s="1"/>
  <c r="P179" i="1"/>
  <c r="Q179" i="1" s="1"/>
  <c r="X39" i="1"/>
  <c r="Q39" i="1"/>
  <c r="L327" i="1"/>
  <c r="Q327" i="1"/>
  <c r="L179" i="1"/>
  <c r="L34" i="1"/>
  <c r="L40" i="1"/>
  <c r="X326" i="1"/>
  <c r="K326" i="1"/>
  <c r="M326" i="1"/>
  <c r="N326" i="1" s="1"/>
  <c r="E11" i="31"/>
  <c r="F11" i="31" s="1"/>
  <c r="X33" i="1"/>
  <c r="K178" i="1"/>
  <c r="M178" i="1"/>
  <c r="N178" i="1" s="1"/>
  <c r="K39" i="1"/>
  <c r="K33" i="1"/>
  <c r="E17" i="31"/>
  <c r="F17" i="31" s="1"/>
  <c r="G327" i="1"/>
  <c r="J327" i="1"/>
  <c r="A329" i="1"/>
  <c r="E328" i="1"/>
  <c r="AA328" i="1" s="1"/>
  <c r="F328" i="1"/>
  <c r="H328" i="1" s="1"/>
  <c r="D328" i="1"/>
  <c r="P328" i="1" s="1"/>
  <c r="B328" i="1"/>
  <c r="C328" i="1"/>
  <c r="C180" i="1"/>
  <c r="E180" i="1"/>
  <c r="A181" i="1"/>
  <c r="D180" i="1"/>
  <c r="F180" i="1"/>
  <c r="H180" i="1" s="1"/>
  <c r="B180" i="1"/>
  <c r="R179" i="1"/>
  <c r="S179" i="1" s="1"/>
  <c r="G179" i="1"/>
  <c r="G40" i="1"/>
  <c r="R40" i="1"/>
  <c r="S40" i="1" s="1"/>
  <c r="A42" i="1"/>
  <c r="F41" i="1"/>
  <c r="H41" i="1" s="1"/>
  <c r="B41" i="1"/>
  <c r="D41" i="1"/>
  <c r="E41" i="1"/>
  <c r="C41" i="1"/>
  <c r="Y34" i="1"/>
  <c r="Z34" i="1" s="1"/>
  <c r="R34" i="1"/>
  <c r="S34" i="1" s="1"/>
  <c r="G34" i="1"/>
  <c r="C10" i="1"/>
  <c r="C4" i="1"/>
  <c r="C3" i="1"/>
  <c r="S319" i="1"/>
  <c r="M16" i="31" l="1"/>
  <c r="M10" i="31"/>
  <c r="N25" i="1"/>
  <c r="M3" i="31" s="1"/>
  <c r="E3" i="31"/>
  <c r="F3" i="31" s="1"/>
  <c r="N33" i="1"/>
  <c r="N39" i="1"/>
  <c r="T327" i="1"/>
  <c r="U327" i="1" s="1"/>
  <c r="Y41" i="1"/>
  <c r="Z41" i="1" s="1"/>
  <c r="P41" i="1"/>
  <c r="Y180" i="1"/>
  <c r="Z180" i="1" s="1"/>
  <c r="P180" i="1"/>
  <c r="Q180" i="1" s="1"/>
  <c r="X34" i="1"/>
  <c r="Q34" i="1"/>
  <c r="X40" i="1"/>
  <c r="Q40" i="1"/>
  <c r="L328" i="1"/>
  <c r="Q328" i="1"/>
  <c r="L180" i="1"/>
  <c r="U323" i="1"/>
  <c r="U320" i="1"/>
  <c r="U321" i="1"/>
  <c r="U324" i="1"/>
  <c r="U322" i="1"/>
  <c r="U325" i="1"/>
  <c r="U326" i="1"/>
  <c r="L41" i="1"/>
  <c r="X327" i="1"/>
  <c r="K327" i="1"/>
  <c r="M327" i="1"/>
  <c r="N327" i="1" s="1"/>
  <c r="M179" i="1"/>
  <c r="N179" i="1" s="1"/>
  <c r="X179" i="1"/>
  <c r="K179" i="1"/>
  <c r="K34" i="1"/>
  <c r="E13" i="31"/>
  <c r="F13" i="31" s="1"/>
  <c r="E12" i="31"/>
  <c r="F12" i="31" s="1"/>
  <c r="K40" i="1"/>
  <c r="E18" i="31"/>
  <c r="F18" i="31" s="1"/>
  <c r="A330" i="1"/>
  <c r="F329" i="1"/>
  <c r="H329" i="1" s="1"/>
  <c r="D329" i="1"/>
  <c r="P329" i="1" s="1"/>
  <c r="B329" i="1"/>
  <c r="C329" i="1"/>
  <c r="E329" i="1"/>
  <c r="AA329" i="1" s="1"/>
  <c r="J328" i="1"/>
  <c r="G328" i="1"/>
  <c r="G180" i="1"/>
  <c r="X180" i="1" s="1"/>
  <c r="R180" i="1"/>
  <c r="S180" i="1" s="1"/>
  <c r="A182" i="1"/>
  <c r="D181" i="1"/>
  <c r="F181" i="1"/>
  <c r="H181" i="1" s="1"/>
  <c r="C181" i="1"/>
  <c r="B181" i="1"/>
  <c r="E181" i="1"/>
  <c r="A43" i="1"/>
  <c r="B42" i="1"/>
  <c r="E42" i="1"/>
  <c r="C42" i="1"/>
  <c r="D42" i="1"/>
  <c r="F42" i="1"/>
  <c r="H42" i="1" s="1"/>
  <c r="G41" i="1"/>
  <c r="R41" i="1"/>
  <c r="S41" i="1" s="1"/>
  <c r="E5" i="3"/>
  <c r="D5" i="3"/>
  <c r="A7" i="3"/>
  <c r="M17" i="31" l="1"/>
  <c r="M11" i="31"/>
  <c r="N40" i="1"/>
  <c r="N34" i="1"/>
  <c r="N35" i="1"/>
  <c r="T328" i="1"/>
  <c r="U328" i="1" s="1"/>
  <c r="Y42" i="1"/>
  <c r="Z42" i="1" s="1"/>
  <c r="P42" i="1"/>
  <c r="Q41" i="1"/>
  <c r="Y181" i="1"/>
  <c r="Z181" i="1" s="1"/>
  <c r="P181" i="1"/>
  <c r="Q181" i="1" s="1"/>
  <c r="AD326" i="1"/>
  <c r="AD324" i="1"/>
  <c r="AD325" i="1"/>
  <c r="AD322" i="1"/>
  <c r="AD323" i="1"/>
  <c r="L329" i="1"/>
  <c r="Q329" i="1"/>
  <c r="L181" i="1"/>
  <c r="L42" i="1"/>
  <c r="X328" i="1"/>
  <c r="K328" i="1"/>
  <c r="M328" i="1"/>
  <c r="N328" i="1" s="1"/>
  <c r="E19" i="31"/>
  <c r="F19" i="31" s="1"/>
  <c r="X41" i="1"/>
  <c r="K180" i="1"/>
  <c r="M180" i="1"/>
  <c r="N180" i="1" s="1"/>
  <c r="K41" i="1"/>
  <c r="G329" i="1"/>
  <c r="M329" i="1" s="1"/>
  <c r="J329" i="1"/>
  <c r="C330" i="1"/>
  <c r="E330" i="1"/>
  <c r="A331" i="1"/>
  <c r="D330" i="1"/>
  <c r="P330" i="1" s="1"/>
  <c r="F330" i="1"/>
  <c r="H330" i="1" s="1"/>
  <c r="B330" i="1"/>
  <c r="G181" i="1"/>
  <c r="X181" i="1" s="1"/>
  <c r="R181" i="1"/>
  <c r="S181" i="1" s="1"/>
  <c r="A183" i="1"/>
  <c r="E182" i="1"/>
  <c r="F182" i="1"/>
  <c r="H182" i="1" s="1"/>
  <c r="D182" i="1"/>
  <c r="B182" i="1"/>
  <c r="C182" i="1"/>
  <c r="G42" i="1"/>
  <c r="R42" i="1"/>
  <c r="S42" i="1" s="1"/>
  <c r="A44" i="1"/>
  <c r="D43" i="1"/>
  <c r="F43" i="1"/>
  <c r="H43" i="1" s="1"/>
  <c r="C43" i="1"/>
  <c r="B43" i="1"/>
  <c r="E43" i="1"/>
  <c r="A8" i="3"/>
  <c r="A9" i="3" s="1"/>
  <c r="C8" i="1"/>
  <c r="H319" i="1"/>
  <c r="H172" i="1"/>
  <c r="M13" i="31" l="1"/>
  <c r="M12" i="31"/>
  <c r="M18" i="31"/>
  <c r="N41" i="1"/>
  <c r="T329" i="1"/>
  <c r="U329" i="1" s="1"/>
  <c r="Y43" i="1"/>
  <c r="Z43" i="1" s="1"/>
  <c r="P43" i="1"/>
  <c r="Y182" i="1"/>
  <c r="Z182" i="1" s="1"/>
  <c r="P182" i="1"/>
  <c r="Q182" i="1" s="1"/>
  <c r="X42" i="1"/>
  <c r="Q42" i="1"/>
  <c r="L319" i="1"/>
  <c r="Q319" i="1"/>
  <c r="L330" i="1"/>
  <c r="Q330" i="1"/>
  <c r="L182" i="1"/>
  <c r="L172" i="1"/>
  <c r="Q172" i="1"/>
  <c r="AD327" i="1"/>
  <c r="L43" i="1"/>
  <c r="N329" i="1"/>
  <c r="X329" i="1"/>
  <c r="K329" i="1"/>
  <c r="A10" i="3"/>
  <c r="K181" i="1"/>
  <c r="M181" i="1"/>
  <c r="N181" i="1" s="1"/>
  <c r="K42" i="1"/>
  <c r="E20" i="31"/>
  <c r="F20" i="31" s="1"/>
  <c r="AA330" i="1"/>
  <c r="E331" i="1"/>
  <c r="AA331" i="1" s="1"/>
  <c r="F331" i="1"/>
  <c r="H331" i="1" s="1"/>
  <c r="C331" i="1"/>
  <c r="B331" i="1"/>
  <c r="A332" i="1"/>
  <c r="D331" i="1"/>
  <c r="P331" i="1" s="1"/>
  <c r="J330" i="1"/>
  <c r="G330" i="1"/>
  <c r="M330" i="1" s="1"/>
  <c r="C183" i="1"/>
  <c r="E183" i="1"/>
  <c r="A184" i="1"/>
  <c r="F183" i="1"/>
  <c r="H183" i="1" s="1"/>
  <c r="D183" i="1"/>
  <c r="B183" i="1"/>
  <c r="G182" i="1"/>
  <c r="X182" i="1" s="1"/>
  <c r="R182" i="1"/>
  <c r="S182" i="1" s="1"/>
  <c r="A45" i="1"/>
  <c r="D44" i="1"/>
  <c r="C44" i="1"/>
  <c r="F44" i="1"/>
  <c r="H44" i="1" s="1"/>
  <c r="E44" i="1"/>
  <c r="B44" i="1"/>
  <c r="G43" i="1"/>
  <c r="R43" i="1"/>
  <c r="S43" i="1" s="1"/>
  <c r="H6" i="3"/>
  <c r="G319" i="1"/>
  <c r="G172" i="1"/>
  <c r="X172" i="1" s="1"/>
  <c r="M19" i="31" l="1"/>
  <c r="N42" i="1"/>
  <c r="T319" i="1"/>
  <c r="U319" i="1" s="1"/>
  <c r="N6" i="3"/>
  <c r="T330" i="1"/>
  <c r="U330" i="1" s="1"/>
  <c r="Y44" i="1"/>
  <c r="Z44" i="1" s="1"/>
  <c r="P44" i="1"/>
  <c r="Y183" i="1"/>
  <c r="Z183" i="1" s="1"/>
  <c r="P183" i="1"/>
  <c r="X43" i="1"/>
  <c r="Q43" i="1"/>
  <c r="L331" i="1"/>
  <c r="Q331" i="1"/>
  <c r="L183" i="1"/>
  <c r="AD328" i="1"/>
  <c r="L44" i="1"/>
  <c r="X319" i="1"/>
  <c r="M320" i="1"/>
  <c r="N320" i="1" s="1"/>
  <c r="M319" i="1"/>
  <c r="N319" i="1" s="1"/>
  <c r="K319" i="1"/>
  <c r="N330" i="1"/>
  <c r="X330" i="1"/>
  <c r="K330" i="1"/>
  <c r="A11" i="3"/>
  <c r="M173" i="1"/>
  <c r="N173" i="1" s="1"/>
  <c r="K172" i="1"/>
  <c r="M172" i="1"/>
  <c r="N172" i="1" s="1"/>
  <c r="K182" i="1"/>
  <c r="M182" i="1"/>
  <c r="N182" i="1" s="1"/>
  <c r="K43" i="1"/>
  <c r="E21" i="31"/>
  <c r="F21" i="31" s="1"/>
  <c r="G331" i="1"/>
  <c r="M331" i="1" s="1"/>
  <c r="J331" i="1"/>
  <c r="A333" i="1"/>
  <c r="D332" i="1"/>
  <c r="P332" i="1" s="1"/>
  <c r="B332" i="1"/>
  <c r="C332" i="1"/>
  <c r="E332" i="1"/>
  <c r="AA332" i="1" s="1"/>
  <c r="F332" i="1"/>
  <c r="H332" i="1" s="1"/>
  <c r="G183" i="1"/>
  <c r="X183" i="1" s="1"/>
  <c r="R183" i="1"/>
  <c r="S183" i="1" s="1"/>
  <c r="Q183" i="1"/>
  <c r="A185" i="1"/>
  <c r="D184" i="1"/>
  <c r="F184" i="1"/>
  <c r="H184" i="1" s="1"/>
  <c r="B184" i="1"/>
  <c r="C184" i="1"/>
  <c r="E184" i="1"/>
  <c r="R44" i="1"/>
  <c r="S44" i="1" s="1"/>
  <c r="G44" i="1"/>
  <c r="A46" i="1"/>
  <c r="B45" i="1"/>
  <c r="C45" i="1"/>
  <c r="F45" i="1"/>
  <c r="H45" i="1" s="1"/>
  <c r="D45" i="1"/>
  <c r="E45" i="1"/>
  <c r="M20" i="31" l="1"/>
  <c r="N43" i="1"/>
  <c r="T331" i="1"/>
  <c r="U331" i="1" s="1"/>
  <c r="Y45" i="1"/>
  <c r="Z45" i="1" s="1"/>
  <c r="P45" i="1"/>
  <c r="Y184" i="1"/>
  <c r="Z184" i="1" s="1"/>
  <c r="P184" i="1"/>
  <c r="Q184" i="1" s="1"/>
  <c r="X44" i="1"/>
  <c r="Q44" i="1"/>
  <c r="L332" i="1"/>
  <c r="Q332" i="1"/>
  <c r="L184" i="1"/>
  <c r="AD329" i="1"/>
  <c r="L45" i="1"/>
  <c r="N331" i="1"/>
  <c r="X331" i="1"/>
  <c r="K331" i="1"/>
  <c r="A12" i="3"/>
  <c r="K183" i="1"/>
  <c r="M183" i="1"/>
  <c r="N183" i="1" s="1"/>
  <c r="K44" i="1"/>
  <c r="E22" i="31"/>
  <c r="F22" i="31" s="1"/>
  <c r="G332" i="1"/>
  <c r="J332" i="1"/>
  <c r="C333" i="1"/>
  <c r="E333" i="1"/>
  <c r="AA333" i="1" s="1"/>
  <c r="A334" i="1"/>
  <c r="F333" i="1"/>
  <c r="H333" i="1" s="1"/>
  <c r="D333" i="1"/>
  <c r="P333" i="1" s="1"/>
  <c r="B333" i="1"/>
  <c r="G184" i="1"/>
  <c r="X184" i="1" s="1"/>
  <c r="R184" i="1"/>
  <c r="S184" i="1" s="1"/>
  <c r="A186" i="1"/>
  <c r="D185" i="1"/>
  <c r="F185" i="1"/>
  <c r="H185" i="1" s="1"/>
  <c r="C185" i="1"/>
  <c r="B185" i="1"/>
  <c r="E185" i="1"/>
  <c r="R45" i="1"/>
  <c r="S45" i="1" s="1"/>
  <c r="G45" i="1"/>
  <c r="A47" i="1"/>
  <c r="C46" i="1"/>
  <c r="D46" i="1"/>
  <c r="F46" i="1"/>
  <c r="H46" i="1" s="1"/>
  <c r="E46" i="1"/>
  <c r="B46" i="1"/>
  <c r="Q45" i="1" l="1"/>
  <c r="M21" i="31"/>
  <c r="N44" i="1"/>
  <c r="T332" i="1"/>
  <c r="U332" i="1" s="1"/>
  <c r="Y46" i="1"/>
  <c r="Z46" i="1" s="1"/>
  <c r="P46" i="1"/>
  <c r="Y185" i="1"/>
  <c r="Z185" i="1" s="1"/>
  <c r="P185" i="1"/>
  <c r="Q185" i="1" s="1"/>
  <c r="L333" i="1"/>
  <c r="Q333" i="1"/>
  <c r="L185" i="1"/>
  <c r="AD330" i="1"/>
  <c r="L46" i="1"/>
  <c r="K332" i="1"/>
  <c r="X332" i="1"/>
  <c r="M332" i="1"/>
  <c r="N332" i="1" s="1"/>
  <c r="A13" i="3"/>
  <c r="E23" i="31"/>
  <c r="F23" i="31" s="1"/>
  <c r="X45" i="1"/>
  <c r="K184" i="1"/>
  <c r="M184" i="1"/>
  <c r="N184" i="1" s="1"/>
  <c r="K45" i="1"/>
  <c r="G333" i="1"/>
  <c r="M333" i="1" s="1"/>
  <c r="J333" i="1"/>
  <c r="B334" i="1"/>
  <c r="A335" i="1"/>
  <c r="D334" i="1"/>
  <c r="P334" i="1" s="1"/>
  <c r="C334" i="1"/>
  <c r="E334" i="1"/>
  <c r="AA334" i="1" s="1"/>
  <c r="F334" i="1"/>
  <c r="H334" i="1" s="1"/>
  <c r="E186" i="1"/>
  <c r="F186" i="1"/>
  <c r="H186" i="1" s="1"/>
  <c r="D186" i="1"/>
  <c r="B186" i="1"/>
  <c r="C186" i="1"/>
  <c r="A187" i="1"/>
  <c r="G185" i="1"/>
  <c r="X185" i="1" s="1"/>
  <c r="R185" i="1"/>
  <c r="S185" i="1" s="1"/>
  <c r="R46" i="1"/>
  <c r="S46" i="1" s="1"/>
  <c r="G46" i="1"/>
  <c r="A48" i="1"/>
  <c r="E47" i="1"/>
  <c r="D47" i="1"/>
  <c r="F47" i="1"/>
  <c r="H47" i="1" s="1"/>
  <c r="C47" i="1"/>
  <c r="B47" i="1"/>
  <c r="Q46" i="1" l="1"/>
  <c r="M22" i="31"/>
  <c r="N45" i="1"/>
  <c r="T333" i="1"/>
  <c r="U333" i="1" s="1"/>
  <c r="Y47" i="1"/>
  <c r="Z47" i="1" s="1"/>
  <c r="P47" i="1"/>
  <c r="Y186" i="1"/>
  <c r="Z186" i="1" s="1"/>
  <c r="P186" i="1"/>
  <c r="Q186" i="1" s="1"/>
  <c r="L334" i="1"/>
  <c r="Q334" i="1"/>
  <c r="L186" i="1"/>
  <c r="AD331" i="1"/>
  <c r="L47" i="1"/>
  <c r="N333" i="1"/>
  <c r="X333" i="1"/>
  <c r="K333" i="1"/>
  <c r="A14" i="3"/>
  <c r="E24" i="31"/>
  <c r="F24" i="31" s="1"/>
  <c r="X46" i="1"/>
  <c r="K185" i="1"/>
  <c r="M185" i="1"/>
  <c r="N185" i="1" s="1"/>
  <c r="K46" i="1"/>
  <c r="E335" i="1"/>
  <c r="AA335" i="1" s="1"/>
  <c r="A336" i="1"/>
  <c r="D335" i="1"/>
  <c r="P335" i="1" s="1"/>
  <c r="F335" i="1"/>
  <c r="H335" i="1" s="1"/>
  <c r="C335" i="1"/>
  <c r="B335" i="1"/>
  <c r="G334" i="1"/>
  <c r="J334" i="1"/>
  <c r="D187" i="1"/>
  <c r="B187" i="1"/>
  <c r="C187" i="1"/>
  <c r="E187" i="1"/>
  <c r="F187" i="1"/>
  <c r="H187" i="1" s="1"/>
  <c r="A188" i="1"/>
  <c r="R186" i="1"/>
  <c r="S186" i="1" s="1"/>
  <c r="G186" i="1"/>
  <c r="X186" i="1" s="1"/>
  <c r="G47" i="1"/>
  <c r="R47" i="1"/>
  <c r="S47" i="1" s="1"/>
  <c r="A49" i="1"/>
  <c r="E48" i="1"/>
  <c r="B48" i="1"/>
  <c r="D48" i="1"/>
  <c r="C48" i="1"/>
  <c r="F48" i="1"/>
  <c r="H48" i="1" s="1"/>
  <c r="M23" i="31" l="1"/>
  <c r="N46" i="1"/>
  <c r="T334" i="1"/>
  <c r="U334" i="1" s="1"/>
  <c r="Y48" i="1"/>
  <c r="Z48" i="1" s="1"/>
  <c r="P48" i="1"/>
  <c r="Y187" i="1"/>
  <c r="Z187" i="1" s="1"/>
  <c r="P187" i="1"/>
  <c r="Q187" i="1" s="1"/>
  <c r="X47" i="1"/>
  <c r="Q47" i="1"/>
  <c r="L335" i="1"/>
  <c r="Q335" i="1"/>
  <c r="L187" i="1"/>
  <c r="L48" i="1"/>
  <c r="X334" i="1"/>
  <c r="K334" i="1"/>
  <c r="M334" i="1"/>
  <c r="N334" i="1" s="1"/>
  <c r="A15" i="3"/>
  <c r="K186" i="1"/>
  <c r="M186" i="1"/>
  <c r="N186" i="1" s="1"/>
  <c r="K47" i="1"/>
  <c r="E25" i="31"/>
  <c r="F25" i="31" s="1"/>
  <c r="J335" i="1"/>
  <c r="G335" i="1"/>
  <c r="D336" i="1"/>
  <c r="P336" i="1" s="1"/>
  <c r="B336" i="1"/>
  <c r="C336" i="1"/>
  <c r="A337" i="1"/>
  <c r="E336" i="1"/>
  <c r="AA336" i="1" s="1"/>
  <c r="F336" i="1"/>
  <c r="H336" i="1" s="1"/>
  <c r="F188" i="1"/>
  <c r="H188" i="1" s="1"/>
  <c r="B188" i="1"/>
  <c r="C188" i="1"/>
  <c r="E188" i="1"/>
  <c r="A189" i="1"/>
  <c r="D188" i="1"/>
  <c r="R187" i="1"/>
  <c r="S187" i="1" s="1"/>
  <c r="G187" i="1"/>
  <c r="X187" i="1" s="1"/>
  <c r="A50" i="1"/>
  <c r="F49" i="1"/>
  <c r="H49" i="1" s="1"/>
  <c r="C49" i="1"/>
  <c r="D49" i="1"/>
  <c r="E49" i="1"/>
  <c r="B49" i="1"/>
  <c r="G48" i="1"/>
  <c r="R48" i="1"/>
  <c r="S48" i="1" s="1"/>
  <c r="M24" i="31" l="1"/>
  <c r="N47" i="1"/>
  <c r="T335" i="1"/>
  <c r="U335" i="1" s="1"/>
  <c r="Y49" i="1"/>
  <c r="Z49" i="1" s="1"/>
  <c r="P49" i="1"/>
  <c r="Y188" i="1"/>
  <c r="Z188" i="1" s="1"/>
  <c r="P188" i="1"/>
  <c r="Q188" i="1" s="1"/>
  <c r="X48" i="1"/>
  <c r="Q48" i="1"/>
  <c r="L336" i="1"/>
  <c r="Q336" i="1"/>
  <c r="L188" i="1"/>
  <c r="AD332" i="1"/>
  <c r="L49" i="1"/>
  <c r="X335" i="1"/>
  <c r="K335" i="1"/>
  <c r="M335" i="1"/>
  <c r="N335" i="1" s="1"/>
  <c r="A16" i="3"/>
  <c r="K187" i="1"/>
  <c r="M187" i="1"/>
  <c r="N187" i="1" s="1"/>
  <c r="K48" i="1"/>
  <c r="E26" i="31"/>
  <c r="F26" i="31" s="1"/>
  <c r="J336" i="1"/>
  <c r="G336" i="1"/>
  <c r="M336" i="1" s="1"/>
  <c r="C337" i="1"/>
  <c r="E337" i="1"/>
  <c r="AA337" i="1" s="1"/>
  <c r="A338" i="1"/>
  <c r="F337" i="1"/>
  <c r="H337" i="1" s="1"/>
  <c r="D337" i="1"/>
  <c r="P337" i="1" s="1"/>
  <c r="B337" i="1"/>
  <c r="G188" i="1"/>
  <c r="X188" i="1" s="1"/>
  <c r="R188" i="1"/>
  <c r="S188" i="1" s="1"/>
  <c r="F189" i="1"/>
  <c r="H189" i="1" s="1"/>
  <c r="C189" i="1"/>
  <c r="B189" i="1"/>
  <c r="E189" i="1"/>
  <c r="A190" i="1"/>
  <c r="D189" i="1"/>
  <c r="A51" i="1"/>
  <c r="D50" i="1"/>
  <c r="C50" i="1"/>
  <c r="E50" i="1"/>
  <c r="F50" i="1"/>
  <c r="H50" i="1" s="1"/>
  <c r="B50" i="1"/>
  <c r="G49" i="1"/>
  <c r="R49" i="1"/>
  <c r="S49" i="1" s="1"/>
  <c r="M25" i="31" l="1"/>
  <c r="N48" i="1"/>
  <c r="T336" i="1"/>
  <c r="U336" i="1" s="1"/>
  <c r="Y50" i="1"/>
  <c r="Z50" i="1" s="1"/>
  <c r="P50" i="1"/>
  <c r="Y189" i="1"/>
  <c r="Z189" i="1" s="1"/>
  <c r="P189" i="1"/>
  <c r="Q189" i="1" s="1"/>
  <c r="X49" i="1"/>
  <c r="Q49" i="1"/>
  <c r="L337" i="1"/>
  <c r="Q337" i="1"/>
  <c r="L189" i="1"/>
  <c r="AD334" i="1"/>
  <c r="AD333" i="1"/>
  <c r="L50" i="1"/>
  <c r="N336" i="1"/>
  <c r="X336" i="1"/>
  <c r="K336" i="1"/>
  <c r="A17" i="3"/>
  <c r="K188" i="1"/>
  <c r="M188" i="1"/>
  <c r="N188" i="1" s="1"/>
  <c r="K49" i="1"/>
  <c r="E27" i="31"/>
  <c r="F27" i="31" s="1"/>
  <c r="G337" i="1"/>
  <c r="J337" i="1"/>
  <c r="A339" i="1"/>
  <c r="D338" i="1"/>
  <c r="P338" i="1" s="1"/>
  <c r="B338" i="1"/>
  <c r="F338" i="1"/>
  <c r="H338" i="1" s="1"/>
  <c r="C338" i="1"/>
  <c r="E338" i="1"/>
  <c r="AA338" i="1" s="1"/>
  <c r="G189" i="1"/>
  <c r="X189" i="1" s="1"/>
  <c r="R189" i="1"/>
  <c r="S189" i="1" s="1"/>
  <c r="A191" i="1"/>
  <c r="E190" i="1"/>
  <c r="F190" i="1"/>
  <c r="H190" i="1" s="1"/>
  <c r="D190" i="1"/>
  <c r="B190" i="1"/>
  <c r="C190" i="1"/>
  <c r="G50" i="1"/>
  <c r="R50" i="1"/>
  <c r="S50" i="1" s="1"/>
  <c r="A52" i="1"/>
  <c r="F51" i="1"/>
  <c r="H51" i="1" s="1"/>
  <c r="E51" i="1"/>
  <c r="B51" i="1"/>
  <c r="C51" i="1"/>
  <c r="D51" i="1"/>
  <c r="M26" i="31" l="1"/>
  <c r="N49" i="1"/>
  <c r="T337" i="1"/>
  <c r="U337" i="1" s="1"/>
  <c r="Y51" i="1"/>
  <c r="Z51" i="1" s="1"/>
  <c r="P51" i="1"/>
  <c r="Y190" i="1"/>
  <c r="Z190" i="1" s="1"/>
  <c r="P190" i="1"/>
  <c r="Q190" i="1" s="1"/>
  <c r="X50" i="1"/>
  <c r="Q50" i="1"/>
  <c r="L338" i="1"/>
  <c r="Q338" i="1"/>
  <c r="L190" i="1"/>
  <c r="AD335" i="1"/>
  <c r="L51" i="1"/>
  <c r="X337" i="1"/>
  <c r="K337" i="1"/>
  <c r="M337" i="1"/>
  <c r="N337" i="1" s="1"/>
  <c r="A18" i="3"/>
  <c r="K189" i="1"/>
  <c r="M189" i="1"/>
  <c r="N189" i="1" s="1"/>
  <c r="K50" i="1"/>
  <c r="E28" i="31"/>
  <c r="F28" i="31" s="1"/>
  <c r="J338" i="1"/>
  <c r="G338" i="1"/>
  <c r="E339" i="1"/>
  <c r="AA339" i="1" s="1"/>
  <c r="A340" i="1"/>
  <c r="D339" i="1"/>
  <c r="P339" i="1" s="1"/>
  <c r="B339" i="1"/>
  <c r="F339" i="1"/>
  <c r="H339" i="1" s="1"/>
  <c r="C339" i="1"/>
  <c r="R190" i="1"/>
  <c r="S190" i="1" s="1"/>
  <c r="G190" i="1"/>
  <c r="A192" i="1"/>
  <c r="D191" i="1"/>
  <c r="B191" i="1"/>
  <c r="C191" i="1"/>
  <c r="E191" i="1"/>
  <c r="F191" i="1"/>
  <c r="H191" i="1" s="1"/>
  <c r="G51" i="1"/>
  <c r="Q51" i="1" s="1"/>
  <c r="R51" i="1"/>
  <c r="S51" i="1" s="1"/>
  <c r="A53" i="1"/>
  <c r="C52" i="1"/>
  <c r="F52" i="1"/>
  <c r="H52" i="1" s="1"/>
  <c r="E52" i="1"/>
  <c r="B52" i="1"/>
  <c r="D52" i="1"/>
  <c r="M27" i="31" l="1"/>
  <c r="N50" i="1"/>
  <c r="T338" i="1"/>
  <c r="U338" i="1" s="1"/>
  <c r="Y52" i="1"/>
  <c r="Z52" i="1" s="1"/>
  <c r="P52" i="1"/>
  <c r="Y191" i="1"/>
  <c r="Z191" i="1" s="1"/>
  <c r="P191" i="1"/>
  <c r="Q191" i="1" s="1"/>
  <c r="L339" i="1"/>
  <c r="Q339" i="1"/>
  <c r="L191" i="1"/>
  <c r="AD336" i="1"/>
  <c r="L52" i="1"/>
  <c r="X338" i="1"/>
  <c r="K338" i="1"/>
  <c r="M338" i="1"/>
  <c r="N338" i="1" s="1"/>
  <c r="A19" i="3"/>
  <c r="M190" i="1"/>
  <c r="N190" i="1" s="1"/>
  <c r="X190" i="1"/>
  <c r="E29" i="31"/>
  <c r="F29" i="31" s="1"/>
  <c r="X51" i="1"/>
  <c r="K190" i="1"/>
  <c r="K51" i="1"/>
  <c r="J339" i="1"/>
  <c r="G339" i="1"/>
  <c r="E340" i="1"/>
  <c r="F340" i="1"/>
  <c r="H340" i="1" s="1"/>
  <c r="D340" i="1"/>
  <c r="P340" i="1" s="1"/>
  <c r="B340" i="1"/>
  <c r="C340" i="1"/>
  <c r="A341" i="1"/>
  <c r="F192" i="1"/>
  <c r="H192" i="1" s="1"/>
  <c r="B192" i="1"/>
  <c r="A193" i="1"/>
  <c r="E192" i="1"/>
  <c r="C192" i="1"/>
  <c r="D192" i="1"/>
  <c r="R191" i="1"/>
  <c r="S191" i="1" s="1"/>
  <c r="G191" i="1"/>
  <c r="X191" i="1" s="1"/>
  <c r="G52" i="1"/>
  <c r="R52" i="1"/>
  <c r="S52" i="1" s="1"/>
  <c r="A54" i="1"/>
  <c r="B53" i="1"/>
  <c r="D53" i="1"/>
  <c r="E53" i="1"/>
  <c r="F53" i="1"/>
  <c r="H53" i="1" s="1"/>
  <c r="C53" i="1"/>
  <c r="M28" i="31" l="1"/>
  <c r="N51" i="1"/>
  <c r="T339" i="1"/>
  <c r="U339" i="1" s="1"/>
  <c r="Y53" i="1"/>
  <c r="Z53" i="1" s="1"/>
  <c r="P53" i="1"/>
  <c r="Y192" i="1"/>
  <c r="Z192" i="1" s="1"/>
  <c r="P192" i="1"/>
  <c r="Q192" i="1" s="1"/>
  <c r="X52" i="1"/>
  <c r="Q52" i="1"/>
  <c r="L340" i="1"/>
  <c r="Q340" i="1"/>
  <c r="L192" i="1"/>
  <c r="AD337" i="1"/>
  <c r="L53" i="1"/>
  <c r="X339" i="1"/>
  <c r="K339" i="1"/>
  <c r="M339" i="1"/>
  <c r="N339" i="1" s="1"/>
  <c r="A20" i="3"/>
  <c r="K191" i="1"/>
  <c r="M191" i="1"/>
  <c r="N191" i="1" s="1"/>
  <c r="K52" i="1"/>
  <c r="E30" i="31"/>
  <c r="F30" i="31" s="1"/>
  <c r="AA340" i="1"/>
  <c r="J340" i="1"/>
  <c r="G340" i="1"/>
  <c r="M340" i="1" s="1"/>
  <c r="F341" i="1"/>
  <c r="H341" i="1" s="1"/>
  <c r="D341" i="1"/>
  <c r="P341" i="1" s="1"/>
  <c r="B341" i="1"/>
  <c r="A342" i="1"/>
  <c r="C341" i="1"/>
  <c r="E341" i="1"/>
  <c r="E193" i="1"/>
  <c r="F193" i="1"/>
  <c r="H193" i="1" s="1"/>
  <c r="C193" i="1"/>
  <c r="D193" i="1"/>
  <c r="A194" i="1"/>
  <c r="B193" i="1"/>
  <c r="R192" i="1"/>
  <c r="S192" i="1" s="1"/>
  <c r="G192" i="1"/>
  <c r="X192" i="1" s="1"/>
  <c r="R53" i="1"/>
  <c r="S53" i="1" s="1"/>
  <c r="G53" i="1"/>
  <c r="A55" i="1"/>
  <c r="E54" i="1"/>
  <c r="C54" i="1"/>
  <c r="D54" i="1"/>
  <c r="F54" i="1"/>
  <c r="H54" i="1" s="1"/>
  <c r="B54" i="1"/>
  <c r="M29" i="31" l="1"/>
  <c r="N52" i="1"/>
  <c r="T340" i="1"/>
  <c r="U340" i="1" s="1"/>
  <c r="Y54" i="1"/>
  <c r="Z54" i="1" s="1"/>
  <c r="P54" i="1"/>
  <c r="Y193" i="1"/>
  <c r="Z193" i="1" s="1"/>
  <c r="P193" i="1"/>
  <c r="Q193" i="1" s="1"/>
  <c r="X53" i="1"/>
  <c r="Q53" i="1"/>
  <c r="L341" i="1"/>
  <c r="Q341" i="1"/>
  <c r="L193" i="1"/>
  <c r="AD338" i="1"/>
  <c r="L54" i="1"/>
  <c r="N340" i="1"/>
  <c r="K340" i="1"/>
  <c r="X340" i="1"/>
  <c r="A21" i="3"/>
  <c r="K192" i="1"/>
  <c r="M192" i="1"/>
  <c r="N192" i="1" s="1"/>
  <c r="K53" i="1"/>
  <c r="E31" i="31"/>
  <c r="F31" i="31" s="1"/>
  <c r="AA341" i="1"/>
  <c r="F342" i="1"/>
  <c r="H342" i="1" s="1"/>
  <c r="C342" i="1"/>
  <c r="E342" i="1"/>
  <c r="AA342" i="1" s="1"/>
  <c r="B342" i="1"/>
  <c r="A343" i="1"/>
  <c r="D342" i="1"/>
  <c r="P342" i="1" s="1"/>
  <c r="J341" i="1"/>
  <c r="G341" i="1"/>
  <c r="M341" i="1" s="1"/>
  <c r="G193" i="1"/>
  <c r="X193" i="1" s="1"/>
  <c r="R193" i="1"/>
  <c r="S193" i="1" s="1"/>
  <c r="A195" i="1"/>
  <c r="D194" i="1"/>
  <c r="F194" i="1"/>
  <c r="H194" i="1" s="1"/>
  <c r="C194" i="1"/>
  <c r="B194" i="1"/>
  <c r="E194" i="1"/>
  <c r="A56" i="1"/>
  <c r="F55" i="1"/>
  <c r="H55" i="1" s="1"/>
  <c r="C55" i="1"/>
  <c r="D55" i="1"/>
  <c r="B55" i="1"/>
  <c r="E55" i="1"/>
  <c r="G54" i="1"/>
  <c r="Q54" i="1" s="1"/>
  <c r="R54" i="1"/>
  <c r="S54" i="1" s="1"/>
  <c r="M30" i="31" l="1"/>
  <c r="N53" i="1"/>
  <c r="T341" i="1"/>
  <c r="U341" i="1" s="1"/>
  <c r="Y55" i="1"/>
  <c r="Z55" i="1" s="1"/>
  <c r="P55" i="1"/>
  <c r="Y194" i="1"/>
  <c r="Z194" i="1" s="1"/>
  <c r="P194" i="1"/>
  <c r="L342" i="1"/>
  <c r="Q342" i="1"/>
  <c r="L194" i="1"/>
  <c r="Q194" i="1"/>
  <c r="AD339" i="1"/>
  <c r="L55" i="1"/>
  <c r="N341" i="1"/>
  <c r="X341" i="1"/>
  <c r="K341" i="1"/>
  <c r="A22" i="3"/>
  <c r="E32" i="31"/>
  <c r="F32" i="31" s="1"/>
  <c r="X54" i="1"/>
  <c r="K193" i="1"/>
  <c r="M193" i="1"/>
  <c r="N193" i="1" s="1"/>
  <c r="K54" i="1"/>
  <c r="J342" i="1"/>
  <c r="G342" i="1"/>
  <c r="B343" i="1"/>
  <c r="E343" i="1"/>
  <c r="AA343" i="1" s="1"/>
  <c r="A344" i="1"/>
  <c r="D343" i="1"/>
  <c r="P343" i="1" s="1"/>
  <c r="F343" i="1"/>
  <c r="H343" i="1" s="1"/>
  <c r="C343" i="1"/>
  <c r="G194" i="1"/>
  <c r="X194" i="1" s="1"/>
  <c r="R194" i="1"/>
  <c r="S194" i="1" s="1"/>
  <c r="A196" i="1"/>
  <c r="E195" i="1"/>
  <c r="F195" i="1"/>
  <c r="H195" i="1" s="1"/>
  <c r="D195" i="1"/>
  <c r="B195" i="1"/>
  <c r="C195" i="1"/>
  <c r="G55" i="1"/>
  <c r="R55" i="1"/>
  <c r="S55" i="1" s="1"/>
  <c r="A57" i="1"/>
  <c r="E56" i="1"/>
  <c r="B56" i="1"/>
  <c r="D56" i="1"/>
  <c r="C56" i="1"/>
  <c r="F56" i="1"/>
  <c r="H56" i="1" s="1"/>
  <c r="Q55" i="1" l="1"/>
  <c r="M31" i="31"/>
  <c r="N54" i="1"/>
  <c r="T342" i="1"/>
  <c r="U342" i="1" s="1"/>
  <c r="Y56" i="1"/>
  <c r="Z56" i="1" s="1"/>
  <c r="P56" i="1"/>
  <c r="Y195" i="1"/>
  <c r="Z195" i="1" s="1"/>
  <c r="P195" i="1"/>
  <c r="Q195" i="1" s="1"/>
  <c r="L343" i="1"/>
  <c r="Q343" i="1"/>
  <c r="L195" i="1"/>
  <c r="L56" i="1"/>
  <c r="X342" i="1"/>
  <c r="K342" i="1"/>
  <c r="M342" i="1"/>
  <c r="N342" i="1" s="1"/>
  <c r="A23" i="3"/>
  <c r="E33" i="31"/>
  <c r="F33" i="31" s="1"/>
  <c r="X55" i="1"/>
  <c r="K194" i="1"/>
  <c r="M194" i="1"/>
  <c r="N194" i="1" s="1"/>
  <c r="K55" i="1"/>
  <c r="J343" i="1"/>
  <c r="G343" i="1"/>
  <c r="M343" i="1" s="1"/>
  <c r="D344" i="1"/>
  <c r="P344" i="1" s="1"/>
  <c r="B344" i="1"/>
  <c r="E344" i="1"/>
  <c r="F344" i="1"/>
  <c r="H344" i="1" s="1"/>
  <c r="C344" i="1"/>
  <c r="A345" i="1"/>
  <c r="D196" i="1"/>
  <c r="B196" i="1"/>
  <c r="C196" i="1"/>
  <c r="E196" i="1"/>
  <c r="A197" i="1"/>
  <c r="F196" i="1"/>
  <c r="H196" i="1" s="1"/>
  <c r="G195" i="1"/>
  <c r="X195" i="1" s="1"/>
  <c r="R195" i="1"/>
  <c r="S195" i="1" s="1"/>
  <c r="G56" i="1"/>
  <c r="R56" i="1"/>
  <c r="S56" i="1" s="1"/>
  <c r="A58" i="1"/>
  <c r="D57" i="1"/>
  <c r="E57" i="1"/>
  <c r="C57" i="1"/>
  <c r="B57" i="1"/>
  <c r="F57" i="1"/>
  <c r="H57" i="1" s="1"/>
  <c r="M32" i="31" l="1"/>
  <c r="N55" i="1"/>
  <c r="T343" i="1"/>
  <c r="U343" i="1" s="1"/>
  <c r="Y57" i="1"/>
  <c r="Z57" i="1" s="1"/>
  <c r="P57" i="1"/>
  <c r="Y196" i="1"/>
  <c r="Z196" i="1" s="1"/>
  <c r="P196" i="1"/>
  <c r="Q196" i="1" s="1"/>
  <c r="X56" i="1"/>
  <c r="Q56" i="1"/>
  <c r="L344" i="1"/>
  <c r="Q344" i="1"/>
  <c r="L196" i="1"/>
  <c r="AD340" i="1"/>
  <c r="L57" i="1"/>
  <c r="N343" i="1"/>
  <c r="X343" i="1"/>
  <c r="K343" i="1"/>
  <c r="A24" i="3"/>
  <c r="K195" i="1"/>
  <c r="M195" i="1"/>
  <c r="N195" i="1" s="1"/>
  <c r="K56" i="1"/>
  <c r="E34" i="31"/>
  <c r="F34" i="31" s="1"/>
  <c r="AA344" i="1"/>
  <c r="G344" i="1"/>
  <c r="J344" i="1"/>
  <c r="C345" i="1"/>
  <c r="E345" i="1"/>
  <c r="AA345" i="1" s="1"/>
  <c r="A346" i="1"/>
  <c r="F345" i="1"/>
  <c r="H345" i="1" s="1"/>
  <c r="D345" i="1"/>
  <c r="P345" i="1" s="1"/>
  <c r="B345" i="1"/>
  <c r="B197" i="1"/>
  <c r="F197" i="1"/>
  <c r="H197" i="1" s="1"/>
  <c r="C197" i="1"/>
  <c r="E197" i="1"/>
  <c r="A198" i="1"/>
  <c r="D197" i="1"/>
  <c r="R196" i="1"/>
  <c r="S196" i="1" s="1"/>
  <c r="G196" i="1"/>
  <c r="X196" i="1" s="1"/>
  <c r="G57" i="1"/>
  <c r="R57" i="1"/>
  <c r="S57" i="1" s="1"/>
  <c r="A59" i="1"/>
  <c r="B58" i="1"/>
  <c r="E58" i="1"/>
  <c r="F58" i="1"/>
  <c r="H58" i="1" s="1"/>
  <c r="C58" i="1"/>
  <c r="D58" i="1"/>
  <c r="M33" i="31" l="1"/>
  <c r="N56" i="1"/>
  <c r="T344" i="1"/>
  <c r="U344" i="1" s="1"/>
  <c r="Y58" i="1"/>
  <c r="Z58" i="1" s="1"/>
  <c r="P58" i="1"/>
  <c r="Y197" i="1"/>
  <c r="Z197" i="1" s="1"/>
  <c r="P197" i="1"/>
  <c r="Q197" i="1" s="1"/>
  <c r="X57" i="1"/>
  <c r="Q57" i="1"/>
  <c r="L345" i="1"/>
  <c r="Q345" i="1"/>
  <c r="L197" i="1"/>
  <c r="AD342" i="1"/>
  <c r="AD341" i="1"/>
  <c r="L58" i="1"/>
  <c r="AW3" i="16" s="1"/>
  <c r="X344" i="1"/>
  <c r="K344" i="1"/>
  <c r="M344" i="1"/>
  <c r="N344" i="1" s="1"/>
  <c r="A25" i="3"/>
  <c r="K196" i="1"/>
  <c r="M196" i="1"/>
  <c r="N196" i="1" s="1"/>
  <c r="K57" i="1"/>
  <c r="E35" i="31"/>
  <c r="F35" i="31" s="1"/>
  <c r="J345" i="1"/>
  <c r="G345" i="1"/>
  <c r="M345" i="1" s="1"/>
  <c r="A347" i="1"/>
  <c r="D346" i="1"/>
  <c r="P346" i="1" s="1"/>
  <c r="F346" i="1"/>
  <c r="H346" i="1" s="1"/>
  <c r="B346" i="1"/>
  <c r="C346" i="1"/>
  <c r="E346" i="1"/>
  <c r="AA346" i="1" s="1"/>
  <c r="G197" i="1"/>
  <c r="X197" i="1" s="1"/>
  <c r="R197" i="1"/>
  <c r="S197" i="1" s="1"/>
  <c r="F198" i="1"/>
  <c r="H198" i="1" s="1"/>
  <c r="C198" i="1"/>
  <c r="E198" i="1"/>
  <c r="A199" i="1"/>
  <c r="D198" i="1"/>
  <c r="B198" i="1"/>
  <c r="R58" i="1"/>
  <c r="S58" i="1" s="1"/>
  <c r="CA3" i="16" s="1"/>
  <c r="G58" i="1"/>
  <c r="A60" i="1"/>
  <c r="E59" i="1"/>
  <c r="D59" i="1"/>
  <c r="F59" i="1"/>
  <c r="H59" i="1" s="1"/>
  <c r="C59" i="1"/>
  <c r="B59" i="1"/>
  <c r="M34" i="31" l="1"/>
  <c r="N57" i="1"/>
  <c r="CB3" i="16"/>
  <c r="AX3" i="16"/>
  <c r="T345" i="1"/>
  <c r="U345" i="1" s="1"/>
  <c r="Y59" i="1"/>
  <c r="Z59" i="1" s="1"/>
  <c r="P59" i="1"/>
  <c r="Y198" i="1"/>
  <c r="Z198" i="1" s="1"/>
  <c r="P198" i="1"/>
  <c r="Q198" i="1" s="1"/>
  <c r="X58" i="1"/>
  <c r="Q58" i="1"/>
  <c r="AM3" i="16" s="1"/>
  <c r="L346" i="1"/>
  <c r="Q346" i="1"/>
  <c r="L198" i="1"/>
  <c r="AD343" i="1"/>
  <c r="L59" i="1"/>
  <c r="AW4" i="16" s="1"/>
  <c r="N345" i="1"/>
  <c r="X345" i="1"/>
  <c r="K345" i="1"/>
  <c r="A26" i="3"/>
  <c r="K197" i="1"/>
  <c r="M197" i="1"/>
  <c r="N197" i="1" s="1"/>
  <c r="K58" i="1"/>
  <c r="G346" i="1"/>
  <c r="J346" i="1"/>
  <c r="A348" i="1"/>
  <c r="D347" i="1"/>
  <c r="P347" i="1" s="1"/>
  <c r="F347" i="1"/>
  <c r="H347" i="1" s="1"/>
  <c r="C347" i="1"/>
  <c r="B347" i="1"/>
  <c r="E347" i="1"/>
  <c r="AA347" i="1" s="1"/>
  <c r="A200" i="1"/>
  <c r="E199" i="1"/>
  <c r="F199" i="1"/>
  <c r="H199" i="1" s="1"/>
  <c r="D199" i="1"/>
  <c r="B199" i="1"/>
  <c r="C199" i="1"/>
  <c r="G198" i="1"/>
  <c r="X198" i="1" s="1"/>
  <c r="R198" i="1"/>
  <c r="S198" i="1" s="1"/>
  <c r="G59" i="1"/>
  <c r="R59" i="1"/>
  <c r="S59" i="1" s="1"/>
  <c r="CA4" i="16" s="1"/>
  <c r="A61" i="1"/>
  <c r="D60" i="1"/>
  <c r="C60" i="1"/>
  <c r="F60" i="1"/>
  <c r="H60" i="1" s="1"/>
  <c r="E60" i="1"/>
  <c r="B60" i="1"/>
  <c r="M35" i="31" l="1"/>
  <c r="N58" i="1"/>
  <c r="M36" i="31" s="1"/>
  <c r="E36" i="31"/>
  <c r="F36" i="31" s="1"/>
  <c r="BH3" i="16"/>
  <c r="AN3" i="16"/>
  <c r="AX4" i="16"/>
  <c r="CB4" i="16"/>
  <c r="T346" i="1"/>
  <c r="U346" i="1" s="1"/>
  <c r="Y60" i="1"/>
  <c r="Z60" i="1" s="1"/>
  <c r="P60" i="1"/>
  <c r="Y199" i="1"/>
  <c r="Z199" i="1" s="1"/>
  <c r="P199" i="1"/>
  <c r="Q199" i="1" s="1"/>
  <c r="X59" i="1"/>
  <c r="Q59" i="1"/>
  <c r="AM4" i="16" s="1"/>
  <c r="L347" i="1"/>
  <c r="Q347" i="1"/>
  <c r="L199" i="1"/>
  <c r="AD344" i="1"/>
  <c r="L60" i="1"/>
  <c r="AW5" i="16" s="1"/>
  <c r="X346" i="1"/>
  <c r="K346" i="1"/>
  <c r="M346" i="1"/>
  <c r="N346" i="1" s="1"/>
  <c r="A27" i="3"/>
  <c r="K198" i="1"/>
  <c r="M198" i="1"/>
  <c r="N198" i="1" s="1"/>
  <c r="K59" i="1"/>
  <c r="A349" i="1"/>
  <c r="D348" i="1"/>
  <c r="P348" i="1" s="1"/>
  <c r="B348" i="1"/>
  <c r="E348" i="1"/>
  <c r="AA348" i="1" s="1"/>
  <c r="F348" i="1"/>
  <c r="H348" i="1" s="1"/>
  <c r="C348" i="1"/>
  <c r="G347" i="1"/>
  <c r="M347" i="1" s="1"/>
  <c r="J347" i="1"/>
  <c r="A201" i="1"/>
  <c r="F200" i="1"/>
  <c r="H200" i="1" s="1"/>
  <c r="D200" i="1"/>
  <c r="B200" i="1"/>
  <c r="C200" i="1"/>
  <c r="E200" i="1"/>
  <c r="R199" i="1"/>
  <c r="S199" i="1" s="1"/>
  <c r="G199" i="1"/>
  <c r="X199" i="1" s="1"/>
  <c r="A62" i="1"/>
  <c r="B61" i="1"/>
  <c r="D61" i="1"/>
  <c r="E61" i="1"/>
  <c r="C61" i="1"/>
  <c r="F61" i="1"/>
  <c r="H61" i="1" s="1"/>
  <c r="G60" i="1"/>
  <c r="R60" i="1"/>
  <c r="S60" i="1" s="1"/>
  <c r="CA5" i="16" s="1"/>
  <c r="Q60" i="1" l="1"/>
  <c r="AM5" i="16" s="1"/>
  <c r="AN5" i="16" s="1"/>
  <c r="N59" i="1"/>
  <c r="M37" i="31" s="1"/>
  <c r="E37" i="31"/>
  <c r="F37" i="31" s="1"/>
  <c r="BH4" i="16"/>
  <c r="AN4" i="16"/>
  <c r="CB5" i="16"/>
  <c r="AX5" i="16"/>
  <c r="T347" i="1"/>
  <c r="U347" i="1" s="1"/>
  <c r="Y61" i="1"/>
  <c r="Z61" i="1" s="1"/>
  <c r="P61" i="1"/>
  <c r="Y200" i="1"/>
  <c r="Z200" i="1" s="1"/>
  <c r="P200" i="1"/>
  <c r="L348" i="1"/>
  <c r="Q348" i="1"/>
  <c r="L200" i="1"/>
  <c r="Q200" i="1"/>
  <c r="AD345" i="1"/>
  <c r="L61" i="1"/>
  <c r="AW6" i="16" s="1"/>
  <c r="N347" i="1"/>
  <c r="X347" i="1"/>
  <c r="K347" i="1"/>
  <c r="A28" i="3"/>
  <c r="X60" i="1"/>
  <c r="K199" i="1"/>
  <c r="M199" i="1"/>
  <c r="N199" i="1" s="1"/>
  <c r="K60" i="1"/>
  <c r="G348" i="1"/>
  <c r="M348" i="1" s="1"/>
  <c r="J348" i="1"/>
  <c r="D349" i="1"/>
  <c r="P349" i="1" s="1"/>
  <c r="B349" i="1"/>
  <c r="A350" i="1"/>
  <c r="F349" i="1"/>
  <c r="H349" i="1" s="1"/>
  <c r="C349" i="1"/>
  <c r="E349" i="1"/>
  <c r="AA349" i="1" s="1"/>
  <c r="B201" i="1"/>
  <c r="C201" i="1"/>
  <c r="E201" i="1"/>
  <c r="A202" i="1"/>
  <c r="D201" i="1"/>
  <c r="F201" i="1"/>
  <c r="H201" i="1" s="1"/>
  <c r="G200" i="1"/>
  <c r="X200" i="1" s="1"/>
  <c r="R200" i="1"/>
  <c r="S200" i="1" s="1"/>
  <c r="G61" i="1"/>
  <c r="R61" i="1"/>
  <c r="S61" i="1" s="1"/>
  <c r="CA6" i="16" s="1"/>
  <c r="A63" i="1"/>
  <c r="E62" i="1"/>
  <c r="D62" i="1"/>
  <c r="F62" i="1"/>
  <c r="H62" i="1" s="1"/>
  <c r="B62" i="1"/>
  <c r="C62" i="1"/>
  <c r="N60" i="1" l="1"/>
  <c r="M38" i="31" s="1"/>
  <c r="E38" i="31"/>
  <c r="F38" i="31" s="1"/>
  <c r="BH5" i="16"/>
  <c r="AX6" i="16"/>
  <c r="CB6" i="16"/>
  <c r="T348" i="1"/>
  <c r="U348" i="1" s="1"/>
  <c r="Y62" i="1"/>
  <c r="Z62" i="1" s="1"/>
  <c r="P62" i="1"/>
  <c r="Y201" i="1"/>
  <c r="Z201" i="1" s="1"/>
  <c r="P201" i="1"/>
  <c r="Q201" i="1" s="1"/>
  <c r="X61" i="1"/>
  <c r="Q61" i="1"/>
  <c r="AM6" i="16" s="1"/>
  <c r="L349" i="1"/>
  <c r="Q349" i="1"/>
  <c r="L201" i="1"/>
  <c r="AD346" i="1"/>
  <c r="L62" i="1"/>
  <c r="AW7" i="16" s="1"/>
  <c r="N348" i="1"/>
  <c r="K348" i="1"/>
  <c r="X348" i="1"/>
  <c r="A29" i="3"/>
  <c r="K200" i="1"/>
  <c r="M200" i="1"/>
  <c r="N200" i="1" s="1"/>
  <c r="K61" i="1"/>
  <c r="J349" i="1"/>
  <c r="G349" i="1"/>
  <c r="C350" i="1"/>
  <c r="E350" i="1"/>
  <c r="AA350" i="1" s="1"/>
  <c r="A351" i="1"/>
  <c r="D350" i="1"/>
  <c r="P350" i="1" s="1"/>
  <c r="F350" i="1"/>
  <c r="H350" i="1" s="1"/>
  <c r="B350" i="1"/>
  <c r="R201" i="1"/>
  <c r="S201" i="1" s="1"/>
  <c r="G201" i="1"/>
  <c r="X201" i="1" s="1"/>
  <c r="B202" i="1"/>
  <c r="E202" i="1"/>
  <c r="A203" i="1"/>
  <c r="D202" i="1"/>
  <c r="F202" i="1"/>
  <c r="H202" i="1" s="1"/>
  <c r="C202" i="1"/>
  <c r="R62" i="1"/>
  <c r="S62" i="1" s="1"/>
  <c r="CA7" i="16" s="1"/>
  <c r="G62" i="1"/>
  <c r="A64" i="1"/>
  <c r="E63" i="1"/>
  <c r="D63" i="1"/>
  <c r="F63" i="1"/>
  <c r="H63" i="1" s="1"/>
  <c r="C63" i="1"/>
  <c r="B63" i="1"/>
  <c r="N61" i="1" l="1"/>
  <c r="M39" i="31" s="1"/>
  <c r="E39" i="31"/>
  <c r="F39" i="31" s="1"/>
  <c r="BH6" i="16"/>
  <c r="AN6" i="16"/>
  <c r="AX7" i="16"/>
  <c r="CB7" i="16"/>
  <c r="T349" i="1"/>
  <c r="U349" i="1" s="1"/>
  <c r="Y63" i="1"/>
  <c r="Z63" i="1" s="1"/>
  <c r="P63" i="1"/>
  <c r="Y202" i="1"/>
  <c r="Z202" i="1" s="1"/>
  <c r="P202" i="1"/>
  <c r="Q202" i="1" s="1"/>
  <c r="X62" i="1"/>
  <c r="Q62" i="1"/>
  <c r="AM7" i="16" s="1"/>
  <c r="L350" i="1"/>
  <c r="Q350" i="1"/>
  <c r="L202" i="1"/>
  <c r="L63" i="1"/>
  <c r="AW8" i="16" s="1"/>
  <c r="X349" i="1"/>
  <c r="K349" i="1"/>
  <c r="M349" i="1"/>
  <c r="N349" i="1" s="1"/>
  <c r="A30" i="3"/>
  <c r="K201" i="1"/>
  <c r="M201" i="1"/>
  <c r="N201" i="1" s="1"/>
  <c r="K62" i="1"/>
  <c r="B351" i="1"/>
  <c r="E351" i="1"/>
  <c r="AA351" i="1" s="1"/>
  <c r="A352" i="1"/>
  <c r="D351" i="1"/>
  <c r="P351" i="1" s="1"/>
  <c r="F351" i="1"/>
  <c r="H351" i="1" s="1"/>
  <c r="C351" i="1"/>
  <c r="J350" i="1"/>
  <c r="G350" i="1"/>
  <c r="M350" i="1" s="1"/>
  <c r="G202" i="1"/>
  <c r="X202" i="1" s="1"/>
  <c r="R202" i="1"/>
  <c r="S202" i="1" s="1"/>
  <c r="A204" i="1"/>
  <c r="E203" i="1"/>
  <c r="F203" i="1"/>
  <c r="H203" i="1" s="1"/>
  <c r="D203" i="1"/>
  <c r="B203" i="1"/>
  <c r="C203" i="1"/>
  <c r="R63" i="1"/>
  <c r="S63" i="1" s="1"/>
  <c r="CA8" i="16" s="1"/>
  <c r="G63" i="1"/>
  <c r="A65" i="1"/>
  <c r="E64" i="1"/>
  <c r="B64" i="1"/>
  <c r="F64" i="1"/>
  <c r="H64" i="1" s="1"/>
  <c r="D64" i="1"/>
  <c r="C64" i="1"/>
  <c r="N62" i="1" l="1"/>
  <c r="M40" i="31" s="1"/>
  <c r="E40" i="31"/>
  <c r="F40" i="31" s="1"/>
  <c r="BH7" i="16"/>
  <c r="AN7" i="16"/>
  <c r="CB8" i="16"/>
  <c r="AX8" i="16"/>
  <c r="T350" i="1"/>
  <c r="U350" i="1" s="1"/>
  <c r="Y64" i="1"/>
  <c r="Z64" i="1" s="1"/>
  <c r="P64" i="1"/>
  <c r="Y203" i="1"/>
  <c r="Z203" i="1" s="1"/>
  <c r="P203" i="1"/>
  <c r="Q203" i="1" s="1"/>
  <c r="X63" i="1"/>
  <c r="Q63" i="1"/>
  <c r="AM8" i="16" s="1"/>
  <c r="L351" i="1"/>
  <c r="Q351" i="1"/>
  <c r="L203" i="1"/>
  <c r="AD348" i="1"/>
  <c r="AD347" i="1"/>
  <c r="L64" i="1"/>
  <c r="AW9" i="16" s="1"/>
  <c r="N350" i="1"/>
  <c r="X350" i="1"/>
  <c r="K350" i="1"/>
  <c r="A31" i="3"/>
  <c r="K202" i="1"/>
  <c r="M202" i="1"/>
  <c r="N202" i="1" s="1"/>
  <c r="K63" i="1"/>
  <c r="G351" i="1"/>
  <c r="J351" i="1"/>
  <c r="A353" i="1"/>
  <c r="E352" i="1"/>
  <c r="AA352" i="1" s="1"/>
  <c r="F352" i="1"/>
  <c r="H352" i="1" s="1"/>
  <c r="D352" i="1"/>
  <c r="P352" i="1" s="1"/>
  <c r="B352" i="1"/>
  <c r="C352" i="1"/>
  <c r="D204" i="1"/>
  <c r="B204" i="1"/>
  <c r="C204" i="1"/>
  <c r="E204" i="1"/>
  <c r="A205" i="1"/>
  <c r="F204" i="1"/>
  <c r="H204" i="1" s="1"/>
  <c r="G203" i="1"/>
  <c r="X203" i="1" s="1"/>
  <c r="R203" i="1"/>
  <c r="S203" i="1" s="1"/>
  <c r="G64" i="1"/>
  <c r="R64" i="1"/>
  <c r="S64" i="1" s="1"/>
  <c r="CA9" i="16" s="1"/>
  <c r="B65" i="1"/>
  <c r="E65" i="1"/>
  <c r="D65" i="1"/>
  <c r="C65" i="1"/>
  <c r="A66" i="1"/>
  <c r="F65" i="1"/>
  <c r="H65" i="1" s="1"/>
  <c r="N63" i="1" l="1"/>
  <c r="M41" i="31" s="1"/>
  <c r="E41" i="31"/>
  <c r="F41" i="31" s="1"/>
  <c r="BH8" i="16"/>
  <c r="AN8" i="16"/>
  <c r="CB9" i="16"/>
  <c r="AX9" i="16"/>
  <c r="T351" i="1"/>
  <c r="U351" i="1" s="1"/>
  <c r="Y65" i="1"/>
  <c r="Z65" i="1" s="1"/>
  <c r="P65" i="1"/>
  <c r="Y204" i="1"/>
  <c r="Z204" i="1" s="1"/>
  <c r="P204" i="1"/>
  <c r="Q204" i="1" s="1"/>
  <c r="X64" i="1"/>
  <c r="Q64" i="1"/>
  <c r="AM9" i="16" s="1"/>
  <c r="L352" i="1"/>
  <c r="AW3" i="28" s="1"/>
  <c r="AX3" i="28" s="1"/>
  <c r="Q352" i="1"/>
  <c r="L204" i="1"/>
  <c r="L65" i="1"/>
  <c r="AW10" i="16" s="1"/>
  <c r="X351" i="1"/>
  <c r="K351" i="1"/>
  <c r="M351" i="1"/>
  <c r="N351" i="1" s="1"/>
  <c r="A32" i="3"/>
  <c r="K203" i="1"/>
  <c r="M203" i="1"/>
  <c r="N203" i="1" s="1"/>
  <c r="K64" i="1"/>
  <c r="C353" i="1"/>
  <c r="E353" i="1"/>
  <c r="A354" i="1"/>
  <c r="F353" i="1"/>
  <c r="H353" i="1" s="1"/>
  <c r="D353" i="1"/>
  <c r="P353" i="1" s="1"/>
  <c r="B353" i="1"/>
  <c r="J352" i="1"/>
  <c r="G352" i="1"/>
  <c r="C205" i="1"/>
  <c r="E205" i="1"/>
  <c r="A206" i="1"/>
  <c r="D205" i="1"/>
  <c r="F205" i="1"/>
  <c r="H205" i="1" s="1"/>
  <c r="B205" i="1"/>
  <c r="G204" i="1"/>
  <c r="R204" i="1"/>
  <c r="S204" i="1" s="1"/>
  <c r="R65" i="1"/>
  <c r="S65" i="1" s="1"/>
  <c r="CA10" i="16" s="1"/>
  <c r="G65" i="1"/>
  <c r="A67" i="1"/>
  <c r="E66" i="1"/>
  <c r="C66" i="1"/>
  <c r="F66" i="1"/>
  <c r="H66" i="1" s="1"/>
  <c r="B66" i="1"/>
  <c r="D66" i="1"/>
  <c r="N64" i="1" l="1"/>
  <c r="M42" i="31" s="1"/>
  <c r="E42" i="31"/>
  <c r="F42" i="31" s="1"/>
  <c r="BH9" i="16"/>
  <c r="AN9" i="16"/>
  <c r="T352" i="1"/>
  <c r="U352" i="1" s="1"/>
  <c r="CB10" i="16"/>
  <c r="AX10" i="16"/>
  <c r="Y66" i="1"/>
  <c r="Z66" i="1" s="1"/>
  <c r="P66" i="1"/>
  <c r="Y205" i="1"/>
  <c r="Z205" i="1" s="1"/>
  <c r="P205" i="1"/>
  <c r="Q205" i="1" s="1"/>
  <c r="AW3" i="27" s="1"/>
  <c r="AX3" i="27" s="1"/>
  <c r="X65" i="1"/>
  <c r="Q65" i="1"/>
  <c r="AM10" i="16" s="1"/>
  <c r="L353" i="1"/>
  <c r="AW4" i="28" s="1"/>
  <c r="AX4" i="28" s="1"/>
  <c r="Q353" i="1"/>
  <c r="L205" i="1"/>
  <c r="BG3" i="27" s="1"/>
  <c r="BH3" i="27" s="1"/>
  <c r="AD349" i="1"/>
  <c r="L66" i="1"/>
  <c r="AW11" i="16" s="1"/>
  <c r="X352" i="1"/>
  <c r="K352" i="1"/>
  <c r="M352" i="1"/>
  <c r="N352" i="1" s="1"/>
  <c r="A33" i="3"/>
  <c r="M204" i="1"/>
  <c r="N204" i="1" s="1"/>
  <c r="X204" i="1"/>
  <c r="K204" i="1"/>
  <c r="K65" i="1"/>
  <c r="AA353" i="1"/>
  <c r="C354" i="1"/>
  <c r="E354" i="1"/>
  <c r="AA354" i="1" s="1"/>
  <c r="A355" i="1"/>
  <c r="D354" i="1"/>
  <c r="P354" i="1" s="1"/>
  <c r="F354" i="1"/>
  <c r="H354" i="1" s="1"/>
  <c r="B354" i="1"/>
  <c r="G353" i="1"/>
  <c r="J353" i="1"/>
  <c r="R205" i="1"/>
  <c r="S205" i="1" s="1"/>
  <c r="G205" i="1"/>
  <c r="X205" i="1" s="1"/>
  <c r="E206" i="1"/>
  <c r="A207" i="1"/>
  <c r="D206" i="1"/>
  <c r="F206" i="1"/>
  <c r="H206" i="1" s="1"/>
  <c r="C206" i="1"/>
  <c r="B206" i="1"/>
  <c r="G66" i="1"/>
  <c r="R66" i="1"/>
  <c r="S66" i="1" s="1"/>
  <c r="CA11" i="16" s="1"/>
  <c r="A68" i="1"/>
  <c r="D67" i="1"/>
  <c r="C67" i="1"/>
  <c r="B67" i="1"/>
  <c r="E67" i="1"/>
  <c r="F67" i="1"/>
  <c r="H67" i="1" s="1"/>
  <c r="N65" i="1" l="1"/>
  <c r="M43" i="31" s="1"/>
  <c r="E43" i="31"/>
  <c r="F43" i="31" s="1"/>
  <c r="AN10" i="16"/>
  <c r="BH10" i="16"/>
  <c r="AC3" i="28"/>
  <c r="Q66" i="1"/>
  <c r="AM11" i="16" s="1"/>
  <c r="T353" i="1"/>
  <c r="AC4" i="28" s="1"/>
  <c r="AD4" i="28" s="1"/>
  <c r="CB11" i="16"/>
  <c r="AX11" i="16"/>
  <c r="Y67" i="1"/>
  <c r="Z67" i="1" s="1"/>
  <c r="P67" i="1"/>
  <c r="Y206" i="1"/>
  <c r="Z206" i="1" s="1"/>
  <c r="P206" i="1"/>
  <c r="Q206" i="1" s="1"/>
  <c r="AW4" i="27" s="1"/>
  <c r="AX4" i="27" s="1"/>
  <c r="S3" i="28"/>
  <c r="T3" i="28" s="1"/>
  <c r="L354" i="1"/>
  <c r="AW5" i="28" s="1"/>
  <c r="AX5" i="28" s="1"/>
  <c r="Q354" i="1"/>
  <c r="L206" i="1"/>
  <c r="BG4" i="27" s="1"/>
  <c r="BH4" i="27" s="1"/>
  <c r="AD351" i="1"/>
  <c r="AD350" i="1"/>
  <c r="L67" i="1"/>
  <c r="AW12" i="16" s="1"/>
  <c r="X353" i="1"/>
  <c r="K353" i="1"/>
  <c r="M353" i="1"/>
  <c r="N353" i="1" s="1"/>
  <c r="A34" i="3"/>
  <c r="X66" i="1"/>
  <c r="K205" i="1"/>
  <c r="M205" i="1"/>
  <c r="N205" i="1" s="1"/>
  <c r="K66" i="1"/>
  <c r="G354" i="1"/>
  <c r="J354" i="1"/>
  <c r="F355" i="1"/>
  <c r="H355" i="1" s="1"/>
  <c r="C355" i="1"/>
  <c r="B355" i="1"/>
  <c r="E355" i="1"/>
  <c r="AA355" i="1" s="1"/>
  <c r="A356" i="1"/>
  <c r="D355" i="1"/>
  <c r="P355" i="1" s="1"/>
  <c r="R206" i="1"/>
  <c r="S206" i="1" s="1"/>
  <c r="G206" i="1"/>
  <c r="X206" i="1" s="1"/>
  <c r="A208" i="1"/>
  <c r="E207" i="1"/>
  <c r="F207" i="1"/>
  <c r="H207" i="1" s="1"/>
  <c r="D207" i="1"/>
  <c r="B207" i="1"/>
  <c r="C207" i="1"/>
  <c r="G67" i="1"/>
  <c r="R67" i="1"/>
  <c r="S67" i="1" s="1"/>
  <c r="CA12" i="16" s="1"/>
  <c r="A69" i="1"/>
  <c r="F68" i="1"/>
  <c r="H68" i="1" s="1"/>
  <c r="C68" i="1"/>
  <c r="B68" i="1"/>
  <c r="E68" i="1"/>
  <c r="D68" i="1"/>
  <c r="Q67" i="1" l="1"/>
  <c r="AM12" i="16" s="1"/>
  <c r="AN12" i="16" s="1"/>
  <c r="N66" i="1"/>
  <c r="M44" i="31" s="1"/>
  <c r="E44" i="31"/>
  <c r="F44" i="31" s="1"/>
  <c r="BH11" i="16"/>
  <c r="AN11" i="16"/>
  <c r="U353" i="1"/>
  <c r="S4" i="28" s="1"/>
  <c r="T4" i="28" s="1"/>
  <c r="T354" i="1"/>
  <c r="U354" i="1" s="1"/>
  <c r="AX12" i="16"/>
  <c r="CB12" i="16"/>
  <c r="Y68" i="1"/>
  <c r="Z68" i="1" s="1"/>
  <c r="P68" i="1"/>
  <c r="Y207" i="1"/>
  <c r="Z207" i="1" s="1"/>
  <c r="P207" i="1"/>
  <c r="Q207" i="1" s="1"/>
  <c r="AW5" i="27" s="1"/>
  <c r="AX5" i="27" s="1"/>
  <c r="L355" i="1"/>
  <c r="AW6" i="28" s="1"/>
  <c r="AX6" i="28" s="1"/>
  <c r="Q355" i="1"/>
  <c r="L207" i="1"/>
  <c r="BG5" i="27" s="1"/>
  <c r="BH5" i="27" s="1"/>
  <c r="L68" i="1"/>
  <c r="AW13" i="16" s="1"/>
  <c r="X354" i="1"/>
  <c r="K354" i="1"/>
  <c r="M354" i="1"/>
  <c r="N354" i="1" s="1"/>
  <c r="A35" i="3"/>
  <c r="X67" i="1"/>
  <c r="K206" i="1"/>
  <c r="M206" i="1"/>
  <c r="N206" i="1" s="1"/>
  <c r="K67" i="1"/>
  <c r="J355" i="1"/>
  <c r="G355" i="1"/>
  <c r="C356" i="1"/>
  <c r="E356" i="1"/>
  <c r="AA356" i="1" s="1"/>
  <c r="F356" i="1"/>
  <c r="H356" i="1" s="1"/>
  <c r="D356" i="1"/>
  <c r="P356" i="1" s="1"/>
  <c r="B356" i="1"/>
  <c r="A357" i="1"/>
  <c r="C208" i="1"/>
  <c r="E208" i="1"/>
  <c r="A209" i="1"/>
  <c r="F208" i="1"/>
  <c r="H208" i="1" s="1"/>
  <c r="D208" i="1"/>
  <c r="B208" i="1"/>
  <c r="G207" i="1"/>
  <c r="X207" i="1" s="1"/>
  <c r="R207" i="1"/>
  <c r="S207" i="1" s="1"/>
  <c r="R68" i="1"/>
  <c r="S68" i="1" s="1"/>
  <c r="CA13" i="16" s="1"/>
  <c r="G68" i="1"/>
  <c r="A70" i="1"/>
  <c r="F69" i="1"/>
  <c r="H69" i="1" s="1"/>
  <c r="C69" i="1"/>
  <c r="B69" i="1"/>
  <c r="E69" i="1"/>
  <c r="D69" i="1"/>
  <c r="N67" i="1" l="1"/>
  <c r="M45" i="31" s="1"/>
  <c r="E45" i="31"/>
  <c r="F45" i="31" s="1"/>
  <c r="T355" i="1"/>
  <c r="AC6" i="28" s="1"/>
  <c r="AD6" i="28" s="1"/>
  <c r="BH12" i="16"/>
  <c r="AC5" i="28"/>
  <c r="AD5" i="28" s="1"/>
  <c r="Q68" i="1"/>
  <c r="AM13" i="16" s="1"/>
  <c r="AX13" i="16"/>
  <c r="CB13" i="16"/>
  <c r="Y69" i="1"/>
  <c r="Z69" i="1" s="1"/>
  <c r="P69" i="1"/>
  <c r="Y208" i="1"/>
  <c r="Z208" i="1" s="1"/>
  <c r="P208" i="1"/>
  <c r="Q208" i="1" s="1"/>
  <c r="AW6" i="27" s="1"/>
  <c r="AX6" i="27" s="1"/>
  <c r="S5" i="28"/>
  <c r="T5" i="28" s="1"/>
  <c r="L356" i="1"/>
  <c r="AW7" i="28" s="1"/>
  <c r="AX7" i="28" s="1"/>
  <c r="Q356" i="1"/>
  <c r="L208" i="1"/>
  <c r="BG6" i="27" s="1"/>
  <c r="BH6" i="27" s="1"/>
  <c r="AD352" i="1"/>
  <c r="AD353" i="1"/>
  <c r="L69" i="1"/>
  <c r="AW14" i="16" s="1"/>
  <c r="X355" i="1"/>
  <c r="K355" i="1"/>
  <c r="M355" i="1"/>
  <c r="N355" i="1" s="1"/>
  <c r="A36" i="3"/>
  <c r="X68" i="1"/>
  <c r="K207" i="1"/>
  <c r="M207" i="1"/>
  <c r="N207" i="1" s="1"/>
  <c r="K68" i="1"/>
  <c r="C357" i="1"/>
  <c r="F357" i="1"/>
  <c r="H357" i="1" s="1"/>
  <c r="D357" i="1"/>
  <c r="P357" i="1" s="1"/>
  <c r="E357" i="1"/>
  <c r="B357" i="1"/>
  <c r="A358" i="1"/>
  <c r="J356" i="1"/>
  <c r="G356" i="1"/>
  <c r="F209" i="1"/>
  <c r="H209" i="1" s="1"/>
  <c r="A210" i="1"/>
  <c r="D209" i="1"/>
  <c r="B209" i="1"/>
  <c r="C209" i="1"/>
  <c r="E209" i="1"/>
  <c r="R208" i="1"/>
  <c r="S208" i="1" s="1"/>
  <c r="G208" i="1"/>
  <c r="X208" i="1" s="1"/>
  <c r="A71" i="1"/>
  <c r="C70" i="1"/>
  <c r="F70" i="1"/>
  <c r="H70" i="1" s="1"/>
  <c r="D70" i="1"/>
  <c r="E70" i="1"/>
  <c r="B70" i="1"/>
  <c r="G69" i="1"/>
  <c r="R69" i="1"/>
  <c r="S69" i="1" s="1"/>
  <c r="CA14" i="16" s="1"/>
  <c r="N68" i="1" l="1"/>
  <c r="M46" i="31" s="1"/>
  <c r="E46" i="31"/>
  <c r="F46" i="31" s="1"/>
  <c r="U355" i="1"/>
  <c r="S6" i="28" s="1"/>
  <c r="T6" i="28" s="1"/>
  <c r="T356" i="1"/>
  <c r="AC7" i="28" s="1"/>
  <c r="AD7" i="28" s="1"/>
  <c r="AN13" i="16"/>
  <c r="BH13" i="16"/>
  <c r="CB14" i="16"/>
  <c r="AX14" i="16"/>
  <c r="Y70" i="1"/>
  <c r="Z70" i="1" s="1"/>
  <c r="P70" i="1"/>
  <c r="Y209" i="1"/>
  <c r="Z209" i="1" s="1"/>
  <c r="P209" i="1"/>
  <c r="Q209" i="1" s="1"/>
  <c r="AW7" i="27" s="1"/>
  <c r="AX7" i="27" s="1"/>
  <c r="X69" i="1"/>
  <c r="Q69" i="1"/>
  <c r="AM14" i="16" s="1"/>
  <c r="L357" i="1"/>
  <c r="AW8" i="28" s="1"/>
  <c r="AX8" i="28" s="1"/>
  <c r="Q357" i="1"/>
  <c r="L209" i="1"/>
  <c r="BG7" i="27" s="1"/>
  <c r="BH7" i="27" s="1"/>
  <c r="L70" i="1"/>
  <c r="AW15" i="16" s="1"/>
  <c r="K356" i="1"/>
  <c r="X356" i="1"/>
  <c r="M356" i="1"/>
  <c r="N356" i="1" s="1"/>
  <c r="A37" i="3"/>
  <c r="K208" i="1"/>
  <c r="M208" i="1"/>
  <c r="N208" i="1" s="1"/>
  <c r="K69" i="1"/>
  <c r="AA357" i="1"/>
  <c r="A359" i="1"/>
  <c r="C358" i="1"/>
  <c r="F358" i="1"/>
  <c r="H358" i="1" s="1"/>
  <c r="E358" i="1"/>
  <c r="AA358" i="1" s="1"/>
  <c r="D358" i="1"/>
  <c r="P358" i="1" s="1"/>
  <c r="B358" i="1"/>
  <c r="J357" i="1"/>
  <c r="G357" i="1"/>
  <c r="M357" i="1" s="1"/>
  <c r="G209" i="1"/>
  <c r="X209" i="1" s="1"/>
  <c r="R209" i="1"/>
  <c r="S209" i="1" s="1"/>
  <c r="F210" i="1"/>
  <c r="H210" i="1" s="1"/>
  <c r="C210" i="1"/>
  <c r="A211" i="1"/>
  <c r="D210" i="1"/>
  <c r="B210" i="1"/>
  <c r="E210" i="1"/>
  <c r="G70" i="1"/>
  <c r="R70" i="1"/>
  <c r="S70" i="1" s="1"/>
  <c r="CA15" i="16" s="1"/>
  <c r="A72" i="1"/>
  <c r="B71" i="1"/>
  <c r="D71" i="1"/>
  <c r="E71" i="1"/>
  <c r="C71" i="1"/>
  <c r="F71" i="1"/>
  <c r="H71" i="1" s="1"/>
  <c r="N69" i="1" l="1"/>
  <c r="M47" i="31" s="1"/>
  <c r="E47" i="31"/>
  <c r="F47" i="31" s="1"/>
  <c r="U356" i="1"/>
  <c r="S7" i="28" s="1"/>
  <c r="T7" i="28" s="1"/>
  <c r="AN14" i="16"/>
  <c r="BH14" i="16"/>
  <c r="T357" i="1"/>
  <c r="U357" i="1" s="1"/>
  <c r="AX15" i="16"/>
  <c r="CB15" i="16"/>
  <c r="Y71" i="1"/>
  <c r="Z71" i="1" s="1"/>
  <c r="P71" i="1"/>
  <c r="Y210" i="1"/>
  <c r="Z210" i="1" s="1"/>
  <c r="P210" i="1"/>
  <c r="Q210" i="1" s="1"/>
  <c r="AW8" i="27" s="1"/>
  <c r="AX8" i="27" s="1"/>
  <c r="X70" i="1"/>
  <c r="Q70" i="1"/>
  <c r="AM15" i="16" s="1"/>
  <c r="L358" i="1"/>
  <c r="AW9" i="28" s="1"/>
  <c r="AX9" i="28" s="1"/>
  <c r="Q358" i="1"/>
  <c r="L210" i="1"/>
  <c r="BG8" i="27" s="1"/>
  <c r="BH8" i="27" s="1"/>
  <c r="AD354" i="1"/>
  <c r="L71" i="1"/>
  <c r="AW16" i="16" s="1"/>
  <c r="N357" i="1"/>
  <c r="X357" i="1"/>
  <c r="K357" i="1"/>
  <c r="A38" i="3"/>
  <c r="K209" i="1"/>
  <c r="M209" i="1"/>
  <c r="N209" i="1" s="1"/>
  <c r="K70" i="1"/>
  <c r="J358" i="1"/>
  <c r="G358" i="1"/>
  <c r="M358" i="1" s="1"/>
  <c r="E359" i="1"/>
  <c r="AA359" i="1" s="1"/>
  <c r="D359" i="1"/>
  <c r="P359" i="1" s="1"/>
  <c r="B359" i="1"/>
  <c r="A360" i="1"/>
  <c r="C359" i="1"/>
  <c r="F359" i="1"/>
  <c r="H359" i="1" s="1"/>
  <c r="C211" i="1"/>
  <c r="A212" i="1"/>
  <c r="D211" i="1"/>
  <c r="B211" i="1"/>
  <c r="E211" i="1"/>
  <c r="F211" i="1"/>
  <c r="H211" i="1" s="1"/>
  <c r="G210" i="1"/>
  <c r="X210" i="1" s="1"/>
  <c r="R210" i="1"/>
  <c r="S210" i="1" s="1"/>
  <c r="G71" i="1"/>
  <c r="R71" i="1"/>
  <c r="S71" i="1" s="1"/>
  <c r="CA16" i="16" s="1"/>
  <c r="A73" i="1"/>
  <c r="F72" i="1"/>
  <c r="H72" i="1" s="1"/>
  <c r="B72" i="1"/>
  <c r="E72" i="1"/>
  <c r="C72" i="1"/>
  <c r="D72" i="1"/>
  <c r="N70" i="1" l="1"/>
  <c r="M48" i="31" s="1"/>
  <c r="E48" i="31"/>
  <c r="F48" i="31" s="1"/>
  <c r="AC8" i="28"/>
  <c r="AD8" i="28" s="1"/>
  <c r="BH15" i="16"/>
  <c r="AN15" i="16"/>
  <c r="AX16" i="16"/>
  <c r="CB16" i="16"/>
  <c r="T358" i="1"/>
  <c r="U358" i="1" s="1"/>
  <c r="Y72" i="1"/>
  <c r="Z72" i="1" s="1"/>
  <c r="P72" i="1"/>
  <c r="Y211" i="1"/>
  <c r="Z211" i="1" s="1"/>
  <c r="P211" i="1"/>
  <c r="Q211" i="1" s="1"/>
  <c r="AW9" i="27" s="1"/>
  <c r="AX9" i="27" s="1"/>
  <c r="S8" i="28"/>
  <c r="T8" i="28" s="1"/>
  <c r="X71" i="1"/>
  <c r="Q71" i="1"/>
  <c r="AM16" i="16" s="1"/>
  <c r="L359" i="1"/>
  <c r="AW10" i="28" s="1"/>
  <c r="AX10" i="28" s="1"/>
  <c r="Q359" i="1"/>
  <c r="L211" i="1"/>
  <c r="BG9" i="27" s="1"/>
  <c r="BH9" i="27" s="1"/>
  <c r="AD355" i="1"/>
  <c r="AD356" i="1"/>
  <c r="L72" i="1"/>
  <c r="AW17" i="16" s="1"/>
  <c r="N358" i="1"/>
  <c r="X358" i="1"/>
  <c r="K358" i="1"/>
  <c r="A39" i="3"/>
  <c r="K210" i="1"/>
  <c r="M210" i="1"/>
  <c r="N210" i="1" s="1"/>
  <c r="K71" i="1"/>
  <c r="G359" i="1"/>
  <c r="M359" i="1" s="1"/>
  <c r="J359" i="1"/>
  <c r="A361" i="1"/>
  <c r="C360" i="1"/>
  <c r="F360" i="1"/>
  <c r="H360" i="1" s="1"/>
  <c r="E360" i="1"/>
  <c r="AA360" i="1" s="1"/>
  <c r="B360" i="1"/>
  <c r="D360" i="1"/>
  <c r="P360" i="1" s="1"/>
  <c r="G211" i="1"/>
  <c r="X211" i="1" s="1"/>
  <c r="R211" i="1"/>
  <c r="S211" i="1" s="1"/>
  <c r="F212" i="1"/>
  <c r="H212" i="1" s="1"/>
  <c r="D212" i="1"/>
  <c r="B212" i="1"/>
  <c r="C212" i="1"/>
  <c r="E212" i="1"/>
  <c r="A213" i="1"/>
  <c r="A74" i="1"/>
  <c r="E73" i="1"/>
  <c r="D73" i="1"/>
  <c r="F73" i="1"/>
  <c r="H73" i="1" s="1"/>
  <c r="C73" i="1"/>
  <c r="B73" i="1"/>
  <c r="R72" i="1"/>
  <c r="S72" i="1" s="1"/>
  <c r="CA17" i="16" s="1"/>
  <c r="G72" i="1"/>
  <c r="Q72" i="1" s="1"/>
  <c r="AM17" i="16" s="1"/>
  <c r="N71" i="1" l="1"/>
  <c r="M49" i="31" s="1"/>
  <c r="E49" i="31"/>
  <c r="F49" i="31" s="1"/>
  <c r="AN16" i="16"/>
  <c r="BH16" i="16"/>
  <c r="AN17" i="16"/>
  <c r="AC9" i="28"/>
  <c r="AD9" i="28" s="1"/>
  <c r="CB17" i="16"/>
  <c r="AX17" i="16"/>
  <c r="T359" i="1"/>
  <c r="AC10" i="28" s="1"/>
  <c r="AD10" i="28" s="1"/>
  <c r="Y73" i="1"/>
  <c r="Z73" i="1" s="1"/>
  <c r="P73" i="1"/>
  <c r="Y212" i="1"/>
  <c r="Z212" i="1" s="1"/>
  <c r="P212" i="1"/>
  <c r="Q212" i="1" s="1"/>
  <c r="AW10" i="27" s="1"/>
  <c r="AX10" i="27" s="1"/>
  <c r="S9" i="28"/>
  <c r="T9" i="28" s="1"/>
  <c r="L360" i="1"/>
  <c r="AW11" i="28" s="1"/>
  <c r="AX11" i="28" s="1"/>
  <c r="Q360" i="1"/>
  <c r="L212" i="1"/>
  <c r="BG10" i="27" s="1"/>
  <c r="BH10" i="27" s="1"/>
  <c r="AD357" i="1"/>
  <c r="L73" i="1"/>
  <c r="AW18" i="16" s="1"/>
  <c r="N359" i="1"/>
  <c r="X359" i="1"/>
  <c r="K359" i="1"/>
  <c r="A40" i="3"/>
  <c r="X72" i="1"/>
  <c r="K211" i="1"/>
  <c r="M211" i="1"/>
  <c r="N211" i="1" s="1"/>
  <c r="K72" i="1"/>
  <c r="J360" i="1"/>
  <c r="G360" i="1"/>
  <c r="M360" i="1" s="1"/>
  <c r="C361" i="1"/>
  <c r="F361" i="1"/>
  <c r="H361" i="1" s="1"/>
  <c r="D361" i="1"/>
  <c r="P361" i="1" s="1"/>
  <c r="B361" i="1"/>
  <c r="E361" i="1"/>
  <c r="AA361" i="1" s="1"/>
  <c r="A362" i="1"/>
  <c r="F213" i="1"/>
  <c r="H213" i="1" s="1"/>
  <c r="B213" i="1"/>
  <c r="C213" i="1"/>
  <c r="E213" i="1"/>
  <c r="A214" i="1"/>
  <c r="D213" i="1"/>
  <c r="R212" i="1"/>
  <c r="S212" i="1" s="1"/>
  <c r="G212" i="1"/>
  <c r="X212" i="1" s="1"/>
  <c r="R73" i="1"/>
  <c r="S73" i="1" s="1"/>
  <c r="CA18" i="16" s="1"/>
  <c r="G73" i="1"/>
  <c r="A75" i="1"/>
  <c r="E74" i="1"/>
  <c r="B74" i="1"/>
  <c r="C74" i="1"/>
  <c r="F74" i="1"/>
  <c r="H74" i="1" s="1"/>
  <c r="D74" i="1"/>
  <c r="N72" i="1" l="1"/>
  <c r="M50" i="31" s="1"/>
  <c r="E50" i="31"/>
  <c r="F50" i="31" s="1"/>
  <c r="BH17" i="16"/>
  <c r="AX18" i="16"/>
  <c r="CB18" i="16"/>
  <c r="U359" i="1"/>
  <c r="T360" i="1"/>
  <c r="U360" i="1" s="1"/>
  <c r="Y74" i="1"/>
  <c r="Z74" i="1" s="1"/>
  <c r="P74" i="1"/>
  <c r="Y213" i="1"/>
  <c r="Z213" i="1" s="1"/>
  <c r="P213" i="1"/>
  <c r="Q213" i="1" s="1"/>
  <c r="AW11" i="27" s="1"/>
  <c r="AX11" i="27" s="1"/>
  <c r="X73" i="1"/>
  <c r="Q73" i="1"/>
  <c r="AM18" i="16" s="1"/>
  <c r="L361" i="1"/>
  <c r="AW12" i="28" s="1"/>
  <c r="AX12" i="28" s="1"/>
  <c r="Q361" i="1"/>
  <c r="L213" i="1"/>
  <c r="BG11" i="27" s="1"/>
  <c r="BH11" i="27" s="1"/>
  <c r="L74" i="1"/>
  <c r="AW19" i="16" s="1"/>
  <c r="N360" i="1"/>
  <c r="X360" i="1"/>
  <c r="K360" i="1"/>
  <c r="A41" i="3"/>
  <c r="K212" i="1"/>
  <c r="M212" i="1"/>
  <c r="N212" i="1" s="1"/>
  <c r="K73" i="1"/>
  <c r="B362" i="1"/>
  <c r="D362" i="1"/>
  <c r="P362" i="1" s="1"/>
  <c r="E362" i="1"/>
  <c r="AA362" i="1" s="1"/>
  <c r="A363" i="1"/>
  <c r="C362" i="1"/>
  <c r="F362" i="1"/>
  <c r="H362" i="1" s="1"/>
  <c r="G361" i="1"/>
  <c r="M361" i="1" s="1"/>
  <c r="J361" i="1"/>
  <c r="B214" i="1"/>
  <c r="F214" i="1"/>
  <c r="H214" i="1" s="1"/>
  <c r="C214" i="1"/>
  <c r="E214" i="1"/>
  <c r="A215" i="1"/>
  <c r="D214" i="1"/>
  <c r="G213" i="1"/>
  <c r="X213" i="1" s="1"/>
  <c r="R213" i="1"/>
  <c r="S213" i="1" s="1"/>
  <c r="A76" i="1"/>
  <c r="D75" i="1"/>
  <c r="E75" i="1"/>
  <c r="C75" i="1"/>
  <c r="B75" i="1"/>
  <c r="F75" i="1"/>
  <c r="H75" i="1" s="1"/>
  <c r="G74" i="1"/>
  <c r="R74" i="1"/>
  <c r="S74" i="1" s="1"/>
  <c r="CA19" i="16" s="1"/>
  <c r="N73" i="1" l="1"/>
  <c r="M51" i="31" s="1"/>
  <c r="E51" i="31"/>
  <c r="F51" i="31" s="1"/>
  <c r="BH18" i="16"/>
  <c r="AN18" i="16"/>
  <c r="AC11" i="28"/>
  <c r="AD11" i="28" s="1"/>
  <c r="CB19" i="16"/>
  <c r="AX19" i="16"/>
  <c r="S10" i="28"/>
  <c r="T10" i="28" s="1"/>
  <c r="T361" i="1"/>
  <c r="AC12" i="28" s="1"/>
  <c r="AD12" i="28" s="1"/>
  <c r="Y75" i="1"/>
  <c r="Z75" i="1" s="1"/>
  <c r="P75" i="1"/>
  <c r="Y214" i="1"/>
  <c r="Z214" i="1" s="1"/>
  <c r="P214" i="1"/>
  <c r="Q214" i="1" s="1"/>
  <c r="AW12" i="27" s="1"/>
  <c r="AX12" i="27" s="1"/>
  <c r="S11" i="28"/>
  <c r="T11" i="28" s="1"/>
  <c r="X74" i="1"/>
  <c r="Q74" i="1"/>
  <c r="AM19" i="16" s="1"/>
  <c r="L362" i="1"/>
  <c r="AW13" i="28" s="1"/>
  <c r="AX13" i="28" s="1"/>
  <c r="Q362" i="1"/>
  <c r="L214" i="1"/>
  <c r="BG12" i="27" s="1"/>
  <c r="BH12" i="27" s="1"/>
  <c r="AD358" i="1"/>
  <c r="L75" i="1"/>
  <c r="AW20" i="16" s="1"/>
  <c r="N361" i="1"/>
  <c r="X361" i="1"/>
  <c r="K361" i="1"/>
  <c r="A42" i="3"/>
  <c r="K213" i="1"/>
  <c r="M213" i="1"/>
  <c r="N213" i="1" s="1"/>
  <c r="K74" i="1"/>
  <c r="J362" i="1"/>
  <c r="G362" i="1"/>
  <c r="E363" i="1"/>
  <c r="AA363" i="1" s="1"/>
  <c r="A364" i="1"/>
  <c r="F363" i="1"/>
  <c r="H363" i="1" s="1"/>
  <c r="D363" i="1"/>
  <c r="P363" i="1" s="1"/>
  <c r="C363" i="1"/>
  <c r="B363" i="1"/>
  <c r="R214" i="1"/>
  <c r="S214" i="1" s="1"/>
  <c r="G214" i="1"/>
  <c r="X214" i="1" s="1"/>
  <c r="A216" i="1"/>
  <c r="E215" i="1"/>
  <c r="F215" i="1"/>
  <c r="H215" i="1" s="1"/>
  <c r="D215" i="1"/>
  <c r="B215" i="1"/>
  <c r="C215" i="1"/>
  <c r="G75" i="1"/>
  <c r="R75" i="1"/>
  <c r="S75" i="1" s="1"/>
  <c r="CA20" i="16" s="1"/>
  <c r="A77" i="1"/>
  <c r="B76" i="1"/>
  <c r="E76" i="1"/>
  <c r="C76" i="1"/>
  <c r="D76" i="1"/>
  <c r="F76" i="1"/>
  <c r="H76" i="1" s="1"/>
  <c r="N74" i="1" l="1"/>
  <c r="M52" i="31" s="1"/>
  <c r="E52" i="31"/>
  <c r="F52" i="31" s="1"/>
  <c r="BH19" i="16"/>
  <c r="AN19" i="16"/>
  <c r="T362" i="1"/>
  <c r="AC13" i="28" s="1"/>
  <c r="AD13" i="28" s="1"/>
  <c r="AX20" i="16"/>
  <c r="CB20" i="16"/>
  <c r="U361" i="1"/>
  <c r="Y76" i="1"/>
  <c r="Z76" i="1" s="1"/>
  <c r="P76" i="1"/>
  <c r="Y215" i="1"/>
  <c r="Z215" i="1" s="1"/>
  <c r="P215" i="1"/>
  <c r="Q215" i="1" s="1"/>
  <c r="AW13" i="27" s="1"/>
  <c r="AX13" i="27" s="1"/>
  <c r="X75" i="1"/>
  <c r="Q75" i="1"/>
  <c r="AM20" i="16" s="1"/>
  <c r="L363" i="1"/>
  <c r="AW14" i="28" s="1"/>
  <c r="AX14" i="28" s="1"/>
  <c r="Q363" i="1"/>
  <c r="L215" i="1"/>
  <c r="BG13" i="27" s="1"/>
  <c r="BH13" i="27" s="1"/>
  <c r="AD360" i="1"/>
  <c r="AD359" i="1"/>
  <c r="L76" i="1"/>
  <c r="AW21" i="16" s="1"/>
  <c r="X362" i="1"/>
  <c r="K362" i="1"/>
  <c r="M362" i="1"/>
  <c r="N362" i="1" s="1"/>
  <c r="A43" i="3"/>
  <c r="K214" i="1"/>
  <c r="M214" i="1"/>
  <c r="N214" i="1" s="1"/>
  <c r="K75" i="1"/>
  <c r="G363" i="1"/>
  <c r="J363" i="1"/>
  <c r="D364" i="1"/>
  <c r="P364" i="1" s="1"/>
  <c r="A365" i="1"/>
  <c r="E364" i="1"/>
  <c r="AA364" i="1" s="1"/>
  <c r="F364" i="1"/>
  <c r="H364" i="1" s="1"/>
  <c r="C364" i="1"/>
  <c r="B364" i="1"/>
  <c r="R215" i="1"/>
  <c r="S215" i="1" s="1"/>
  <c r="G215" i="1"/>
  <c r="X215" i="1" s="1"/>
  <c r="A217" i="1"/>
  <c r="F216" i="1"/>
  <c r="H216" i="1" s="1"/>
  <c r="D216" i="1"/>
  <c r="B216" i="1"/>
  <c r="C216" i="1"/>
  <c r="E216" i="1"/>
  <c r="R76" i="1"/>
  <c r="S76" i="1" s="1"/>
  <c r="CA21" i="16" s="1"/>
  <c r="G76" i="1"/>
  <c r="Q76" i="1" s="1"/>
  <c r="AM21" i="16" s="1"/>
  <c r="A78" i="1"/>
  <c r="E77" i="1"/>
  <c r="D77" i="1"/>
  <c r="F77" i="1"/>
  <c r="H77" i="1" s="1"/>
  <c r="C77" i="1"/>
  <c r="B77" i="1"/>
  <c r="N75" i="1" l="1"/>
  <c r="M53" i="31" s="1"/>
  <c r="E53" i="31"/>
  <c r="F53" i="31" s="1"/>
  <c r="T363" i="1"/>
  <c r="AC14" i="28" s="1"/>
  <c r="AD14" i="28" s="1"/>
  <c r="AN20" i="16"/>
  <c r="BH20" i="16"/>
  <c r="AN21" i="16"/>
  <c r="U362" i="1"/>
  <c r="S13" i="28" s="1"/>
  <c r="T13" i="28" s="1"/>
  <c r="AX21" i="16"/>
  <c r="CB21" i="16"/>
  <c r="S12" i="28"/>
  <c r="T12" i="28" s="1"/>
  <c r="Y77" i="1"/>
  <c r="Z77" i="1" s="1"/>
  <c r="P77" i="1"/>
  <c r="Y216" i="1"/>
  <c r="Z216" i="1" s="1"/>
  <c r="P216" i="1"/>
  <c r="Q216" i="1" s="1"/>
  <c r="AW14" i="27" s="1"/>
  <c r="AX14" i="27" s="1"/>
  <c r="L364" i="1"/>
  <c r="AW15" i="28" s="1"/>
  <c r="AX15" i="28" s="1"/>
  <c r="Q364" i="1"/>
  <c r="L216" i="1"/>
  <c r="BG14" i="27" s="1"/>
  <c r="BH14" i="27" s="1"/>
  <c r="L77" i="1"/>
  <c r="AW22" i="16" s="1"/>
  <c r="X363" i="1"/>
  <c r="K363" i="1"/>
  <c r="M363" i="1"/>
  <c r="N363" i="1" s="1"/>
  <c r="A44" i="3"/>
  <c r="X76" i="1"/>
  <c r="K215" i="1"/>
  <c r="M215" i="1"/>
  <c r="N215" i="1" s="1"/>
  <c r="K76" i="1"/>
  <c r="F365" i="1"/>
  <c r="H365" i="1" s="1"/>
  <c r="D365" i="1"/>
  <c r="P365" i="1" s="1"/>
  <c r="B365" i="1"/>
  <c r="E365" i="1"/>
  <c r="AA365" i="1" s="1"/>
  <c r="A366" i="1"/>
  <c r="C365" i="1"/>
  <c r="J364" i="1"/>
  <c r="G364" i="1"/>
  <c r="M364" i="1" s="1"/>
  <c r="C217" i="1"/>
  <c r="E217" i="1"/>
  <c r="F217" i="1"/>
  <c r="H217" i="1" s="1"/>
  <c r="B217" i="1"/>
  <c r="A218" i="1"/>
  <c r="D217" i="1"/>
  <c r="G216" i="1"/>
  <c r="X216" i="1" s="1"/>
  <c r="R216" i="1"/>
  <c r="S216" i="1" s="1"/>
  <c r="A79" i="1"/>
  <c r="F78" i="1"/>
  <c r="H78" i="1" s="1"/>
  <c r="E78" i="1"/>
  <c r="B78" i="1"/>
  <c r="D78" i="1"/>
  <c r="C78" i="1"/>
  <c r="G77" i="1"/>
  <c r="R77" i="1"/>
  <c r="S77" i="1" s="1"/>
  <c r="CA22" i="16" s="1"/>
  <c r="U363" i="1" l="1"/>
  <c r="T364" i="1"/>
  <c r="N76" i="1"/>
  <c r="M54" i="31" s="1"/>
  <c r="E54" i="31"/>
  <c r="F54" i="31" s="1"/>
  <c r="BH21" i="16"/>
  <c r="AX22" i="16"/>
  <c r="CB22" i="16"/>
  <c r="Y78" i="1"/>
  <c r="Z78" i="1" s="1"/>
  <c r="P78" i="1"/>
  <c r="Y217" i="1"/>
  <c r="Z217" i="1" s="1"/>
  <c r="P217" i="1"/>
  <c r="Q217" i="1" s="1"/>
  <c r="AW15" i="27" s="1"/>
  <c r="AX15" i="27" s="1"/>
  <c r="AC15" i="28"/>
  <c r="AD15" i="28" s="1"/>
  <c r="S14" i="28"/>
  <c r="T14" i="28" s="1"/>
  <c r="X77" i="1"/>
  <c r="Q77" i="1"/>
  <c r="AM22" i="16" s="1"/>
  <c r="L365" i="1"/>
  <c r="AW16" i="28" s="1"/>
  <c r="AX16" i="28" s="1"/>
  <c r="Q365" i="1"/>
  <c r="L217" i="1"/>
  <c r="BG15" i="27" s="1"/>
  <c r="BH15" i="27" s="1"/>
  <c r="U364" i="1"/>
  <c r="AD361" i="1"/>
  <c r="AD362" i="1"/>
  <c r="L78" i="1"/>
  <c r="AW23" i="16" s="1"/>
  <c r="N364" i="1"/>
  <c r="X364" i="1"/>
  <c r="K364" i="1"/>
  <c r="A45" i="3"/>
  <c r="K216" i="1"/>
  <c r="M216" i="1"/>
  <c r="N216" i="1" s="1"/>
  <c r="K77" i="1"/>
  <c r="J365" i="1"/>
  <c r="G365" i="1"/>
  <c r="E366" i="1"/>
  <c r="AA366" i="1" s="1"/>
  <c r="B366" i="1"/>
  <c r="D366" i="1"/>
  <c r="P366" i="1" s="1"/>
  <c r="C366" i="1"/>
  <c r="A367" i="1"/>
  <c r="F366" i="1"/>
  <c r="H366" i="1" s="1"/>
  <c r="R217" i="1"/>
  <c r="S217" i="1" s="1"/>
  <c r="G217" i="1"/>
  <c r="X217" i="1" s="1"/>
  <c r="E218" i="1"/>
  <c r="A219" i="1"/>
  <c r="D218" i="1"/>
  <c r="B218" i="1"/>
  <c r="F218" i="1"/>
  <c r="H218" i="1" s="1"/>
  <c r="C218" i="1"/>
  <c r="G78" i="1"/>
  <c r="R78" i="1"/>
  <c r="S78" i="1" s="1"/>
  <c r="CA23" i="16" s="1"/>
  <c r="A80" i="1"/>
  <c r="C79" i="1"/>
  <c r="F79" i="1"/>
  <c r="H79" i="1" s="1"/>
  <c r="B79" i="1"/>
  <c r="D79" i="1"/>
  <c r="E79" i="1"/>
  <c r="N77" i="1" l="1"/>
  <c r="M55" i="31" s="1"/>
  <c r="E55" i="31"/>
  <c r="F55" i="31" s="1"/>
  <c r="AN22" i="16"/>
  <c r="BH22" i="16"/>
  <c r="AX23" i="16"/>
  <c r="CB23" i="16"/>
  <c r="T365" i="1"/>
  <c r="AC16" i="28" s="1"/>
  <c r="AD16" i="28" s="1"/>
  <c r="Y79" i="1"/>
  <c r="Z79" i="1" s="1"/>
  <c r="P79" i="1"/>
  <c r="Y218" i="1"/>
  <c r="Z218" i="1" s="1"/>
  <c r="P218" i="1"/>
  <c r="Q218" i="1" s="1"/>
  <c r="AW16" i="27" s="1"/>
  <c r="AX16" i="27" s="1"/>
  <c r="S15" i="28"/>
  <c r="T15" i="28" s="1"/>
  <c r="X78" i="1"/>
  <c r="Q78" i="1"/>
  <c r="AM23" i="16" s="1"/>
  <c r="L366" i="1"/>
  <c r="AW17" i="28" s="1"/>
  <c r="AX17" i="28" s="1"/>
  <c r="Q366" i="1"/>
  <c r="L218" i="1"/>
  <c r="BG16" i="27" s="1"/>
  <c r="BH16" i="27" s="1"/>
  <c r="AD363" i="1"/>
  <c r="L79" i="1"/>
  <c r="AW24" i="16" s="1"/>
  <c r="X365" i="1"/>
  <c r="K365" i="1"/>
  <c r="M365" i="1"/>
  <c r="N365" i="1" s="1"/>
  <c r="A46" i="3"/>
  <c r="K217" i="1"/>
  <c r="M217" i="1"/>
  <c r="N217" i="1" s="1"/>
  <c r="K78" i="1"/>
  <c r="G366" i="1"/>
  <c r="J366" i="1"/>
  <c r="A368" i="1"/>
  <c r="F367" i="1"/>
  <c r="H367" i="1" s="1"/>
  <c r="D367" i="1"/>
  <c r="P367" i="1" s="1"/>
  <c r="B367" i="1"/>
  <c r="C367" i="1"/>
  <c r="E367" i="1"/>
  <c r="AA367" i="1" s="1"/>
  <c r="A220" i="1"/>
  <c r="E219" i="1"/>
  <c r="F219" i="1"/>
  <c r="H219" i="1" s="1"/>
  <c r="D219" i="1"/>
  <c r="B219" i="1"/>
  <c r="C219" i="1"/>
  <c r="G218" i="1"/>
  <c r="X218" i="1" s="1"/>
  <c r="R218" i="1"/>
  <c r="S218" i="1" s="1"/>
  <c r="R79" i="1"/>
  <c r="S79" i="1" s="1"/>
  <c r="CA24" i="16" s="1"/>
  <c r="G79" i="1"/>
  <c r="A81" i="1"/>
  <c r="C80" i="1"/>
  <c r="D80" i="1"/>
  <c r="F80" i="1"/>
  <c r="H80" i="1" s="1"/>
  <c r="E80" i="1"/>
  <c r="B80" i="1"/>
  <c r="T366" i="1" l="1"/>
  <c r="N78" i="1"/>
  <c r="M56" i="31" s="1"/>
  <c r="E56" i="31"/>
  <c r="F56" i="31" s="1"/>
  <c r="Q79" i="1"/>
  <c r="AM24" i="16" s="1"/>
  <c r="AN24" i="16" s="1"/>
  <c r="AN23" i="16"/>
  <c r="BH23" i="16"/>
  <c r="U365" i="1"/>
  <c r="S16" i="28" s="1"/>
  <c r="T16" i="28" s="1"/>
  <c r="CB24" i="16"/>
  <c r="AX24" i="16"/>
  <c r="Y80" i="1"/>
  <c r="Z80" i="1" s="1"/>
  <c r="P80" i="1"/>
  <c r="Y219" i="1"/>
  <c r="Z219" i="1" s="1"/>
  <c r="P219" i="1"/>
  <c r="Q219" i="1" s="1"/>
  <c r="AW17" i="27" s="1"/>
  <c r="AX17" i="27" s="1"/>
  <c r="AC17" i="28"/>
  <c r="AD17" i="28" s="1"/>
  <c r="L367" i="1"/>
  <c r="AW18" i="28" s="1"/>
  <c r="AX18" i="28" s="1"/>
  <c r="Q367" i="1"/>
  <c r="L219" i="1"/>
  <c r="BG17" i="27" s="1"/>
  <c r="BH17" i="27" s="1"/>
  <c r="U366" i="1"/>
  <c r="AD364" i="1"/>
  <c r="L80" i="1"/>
  <c r="AW25" i="16" s="1"/>
  <c r="X366" i="1"/>
  <c r="K366" i="1"/>
  <c r="M366" i="1"/>
  <c r="N366" i="1" s="1"/>
  <c r="A47" i="3"/>
  <c r="X79" i="1"/>
  <c r="K218" i="1"/>
  <c r="M218" i="1"/>
  <c r="N218" i="1" s="1"/>
  <c r="K79" i="1"/>
  <c r="G367" i="1"/>
  <c r="M367" i="1" s="1"/>
  <c r="J367" i="1"/>
  <c r="B368" i="1"/>
  <c r="C368" i="1"/>
  <c r="E368" i="1"/>
  <c r="AA368" i="1" s="1"/>
  <c r="A369" i="1"/>
  <c r="D368" i="1"/>
  <c r="P368" i="1" s="1"/>
  <c r="F368" i="1"/>
  <c r="H368" i="1" s="1"/>
  <c r="R219" i="1"/>
  <c r="S219" i="1" s="1"/>
  <c r="G219" i="1"/>
  <c r="X219" i="1" s="1"/>
  <c r="A221" i="1"/>
  <c r="F220" i="1"/>
  <c r="H220" i="1" s="1"/>
  <c r="D220" i="1"/>
  <c r="B220" i="1"/>
  <c r="C220" i="1"/>
  <c r="E220" i="1"/>
  <c r="G80" i="1"/>
  <c r="R80" i="1"/>
  <c r="S80" i="1" s="1"/>
  <c r="CA25" i="16" s="1"/>
  <c r="A82" i="1"/>
  <c r="F81" i="1"/>
  <c r="H81" i="1" s="1"/>
  <c r="C81" i="1"/>
  <c r="B81" i="1"/>
  <c r="E81" i="1"/>
  <c r="D81" i="1"/>
  <c r="T367" i="1" l="1"/>
  <c r="N79" i="1"/>
  <c r="M57" i="31" s="1"/>
  <c r="E57" i="31"/>
  <c r="F57" i="31" s="1"/>
  <c r="BH24" i="16"/>
  <c r="CB25" i="16"/>
  <c r="AX25" i="16"/>
  <c r="Y81" i="1"/>
  <c r="Z81" i="1" s="1"/>
  <c r="P81" i="1"/>
  <c r="Y220" i="1"/>
  <c r="Z220" i="1" s="1"/>
  <c r="P220" i="1"/>
  <c r="Q220" i="1" s="1"/>
  <c r="AW18" i="27" s="1"/>
  <c r="AX18" i="27" s="1"/>
  <c r="AC18" i="28"/>
  <c r="AD18" i="28" s="1"/>
  <c r="S17" i="28"/>
  <c r="T17" i="28" s="1"/>
  <c r="X80" i="1"/>
  <c r="Q80" i="1"/>
  <c r="AM25" i="16" s="1"/>
  <c r="L368" i="1"/>
  <c r="AW19" i="28" s="1"/>
  <c r="AX19" i="28" s="1"/>
  <c r="Q368" i="1"/>
  <c r="L220" i="1"/>
  <c r="BG18" i="27" s="1"/>
  <c r="BH18" i="27" s="1"/>
  <c r="U367" i="1"/>
  <c r="AD365" i="1"/>
  <c r="L81" i="1"/>
  <c r="AW26" i="16" s="1"/>
  <c r="N367" i="1"/>
  <c r="X367" i="1"/>
  <c r="K367" i="1"/>
  <c r="A48" i="3"/>
  <c r="K219" i="1"/>
  <c r="M219" i="1"/>
  <c r="N219" i="1" s="1"/>
  <c r="K80" i="1"/>
  <c r="G368" i="1"/>
  <c r="M368" i="1" s="1"/>
  <c r="J368" i="1"/>
  <c r="A370" i="1"/>
  <c r="D369" i="1"/>
  <c r="P369" i="1" s="1"/>
  <c r="F369" i="1"/>
  <c r="H369" i="1" s="1"/>
  <c r="C369" i="1"/>
  <c r="B369" i="1"/>
  <c r="E369" i="1"/>
  <c r="AA369" i="1" s="1"/>
  <c r="A222" i="1"/>
  <c r="D221" i="1"/>
  <c r="F221" i="1"/>
  <c r="H221" i="1" s="1"/>
  <c r="B221" i="1"/>
  <c r="C221" i="1"/>
  <c r="E221" i="1"/>
  <c r="R220" i="1"/>
  <c r="S220" i="1" s="1"/>
  <c r="G220" i="1"/>
  <c r="X220" i="1" s="1"/>
  <c r="A83" i="1"/>
  <c r="B82" i="1"/>
  <c r="D82" i="1"/>
  <c r="F82" i="1"/>
  <c r="H82" i="1" s="1"/>
  <c r="C82" i="1"/>
  <c r="E82" i="1"/>
  <c r="R81" i="1"/>
  <c r="S81" i="1" s="1"/>
  <c r="CA26" i="16" s="1"/>
  <c r="G81" i="1"/>
  <c r="Q81" i="1" l="1"/>
  <c r="AM26" i="16" s="1"/>
  <c r="AN26" i="16" s="1"/>
  <c r="N80" i="1"/>
  <c r="M58" i="31" s="1"/>
  <c r="E58" i="31"/>
  <c r="F58" i="31" s="1"/>
  <c r="BH25" i="16"/>
  <c r="AN25" i="16"/>
  <c r="CB26" i="16"/>
  <c r="AX26" i="16"/>
  <c r="T368" i="1"/>
  <c r="AC19" i="28" s="1"/>
  <c r="AD19" i="28" s="1"/>
  <c r="Y82" i="1"/>
  <c r="Z82" i="1" s="1"/>
  <c r="P82" i="1"/>
  <c r="Y221" i="1"/>
  <c r="Z221" i="1" s="1"/>
  <c r="P221" i="1"/>
  <c r="Q221" i="1" s="1"/>
  <c r="AW19" i="27" s="1"/>
  <c r="AX19" i="27" s="1"/>
  <c r="S18" i="28"/>
  <c r="T18" i="28" s="1"/>
  <c r="L369" i="1"/>
  <c r="AW20" i="28" s="1"/>
  <c r="AX20" i="28" s="1"/>
  <c r="Q369" i="1"/>
  <c r="L221" i="1"/>
  <c r="BG19" i="27" s="1"/>
  <c r="BH19" i="27" s="1"/>
  <c r="L82" i="1"/>
  <c r="AW27" i="16" s="1"/>
  <c r="N368" i="1"/>
  <c r="X368" i="1"/>
  <c r="K368" i="1"/>
  <c r="A49" i="3"/>
  <c r="X81" i="1"/>
  <c r="K220" i="1"/>
  <c r="M220" i="1"/>
  <c r="N220" i="1" s="1"/>
  <c r="K81" i="1"/>
  <c r="J369" i="1"/>
  <c r="G369" i="1"/>
  <c r="M369" i="1" s="1"/>
  <c r="E370" i="1"/>
  <c r="AA370" i="1" s="1"/>
  <c r="F370" i="1"/>
  <c r="H370" i="1" s="1"/>
  <c r="D370" i="1"/>
  <c r="P370" i="1" s="1"/>
  <c r="B370" i="1"/>
  <c r="C370" i="1"/>
  <c r="A371" i="1"/>
  <c r="R221" i="1"/>
  <c r="S221" i="1" s="1"/>
  <c r="G221" i="1"/>
  <c r="X221" i="1" s="1"/>
  <c r="B222" i="1"/>
  <c r="E222" i="1"/>
  <c r="A223" i="1"/>
  <c r="D222" i="1"/>
  <c r="F222" i="1"/>
  <c r="H222" i="1" s="1"/>
  <c r="C222" i="1"/>
  <c r="A84" i="1"/>
  <c r="E83" i="1"/>
  <c r="F83" i="1"/>
  <c r="H83" i="1" s="1"/>
  <c r="C83" i="1"/>
  <c r="D83" i="1"/>
  <c r="B83" i="1"/>
  <c r="G82" i="1"/>
  <c r="R82" i="1"/>
  <c r="S82" i="1" s="1"/>
  <c r="CA27" i="16" s="1"/>
  <c r="N81" i="1" l="1"/>
  <c r="M59" i="31" s="1"/>
  <c r="E59" i="31"/>
  <c r="F59" i="31" s="1"/>
  <c r="BH26" i="16"/>
  <c r="T369" i="1"/>
  <c r="AC20" i="28" s="1"/>
  <c r="AD20" i="28" s="1"/>
  <c r="U368" i="1"/>
  <c r="S19" i="28" s="1"/>
  <c r="T19" i="28" s="1"/>
  <c r="CB27" i="16"/>
  <c r="AX27" i="16"/>
  <c r="Y83" i="1"/>
  <c r="Z83" i="1" s="1"/>
  <c r="P83" i="1"/>
  <c r="Y222" i="1"/>
  <c r="Z222" i="1" s="1"/>
  <c r="P222" i="1"/>
  <c r="Q222" i="1" s="1"/>
  <c r="AW20" i="27" s="1"/>
  <c r="AX20" i="27" s="1"/>
  <c r="X82" i="1"/>
  <c r="Q82" i="1"/>
  <c r="AM27" i="16" s="1"/>
  <c r="L370" i="1"/>
  <c r="AW21" i="28" s="1"/>
  <c r="AX21" i="28" s="1"/>
  <c r="Q370" i="1"/>
  <c r="L222" i="1"/>
  <c r="BG20" i="27" s="1"/>
  <c r="BH20" i="27" s="1"/>
  <c r="AD367" i="1"/>
  <c r="AD366" i="1"/>
  <c r="L83" i="1"/>
  <c r="AW28" i="16" s="1"/>
  <c r="N369" i="1"/>
  <c r="X369" i="1"/>
  <c r="K369" i="1"/>
  <c r="A50" i="3"/>
  <c r="K221" i="1"/>
  <c r="M221" i="1"/>
  <c r="N221" i="1" s="1"/>
  <c r="K82" i="1"/>
  <c r="G370" i="1"/>
  <c r="J370" i="1"/>
  <c r="A372" i="1"/>
  <c r="F371" i="1"/>
  <c r="H371" i="1" s="1"/>
  <c r="D371" i="1"/>
  <c r="P371" i="1" s="1"/>
  <c r="B371" i="1"/>
  <c r="C371" i="1"/>
  <c r="E371" i="1"/>
  <c r="AA371" i="1" s="1"/>
  <c r="A224" i="1"/>
  <c r="E223" i="1"/>
  <c r="F223" i="1"/>
  <c r="H223" i="1" s="1"/>
  <c r="D223" i="1"/>
  <c r="B223" i="1"/>
  <c r="C223" i="1"/>
  <c r="G222" i="1"/>
  <c r="X222" i="1" s="1"/>
  <c r="R222" i="1"/>
  <c r="S222" i="1" s="1"/>
  <c r="G83" i="1"/>
  <c r="R83" i="1"/>
  <c r="S83" i="1" s="1"/>
  <c r="CA28" i="16" s="1"/>
  <c r="A85" i="1"/>
  <c r="D84" i="1"/>
  <c r="C84" i="1"/>
  <c r="B84" i="1"/>
  <c r="F84" i="1"/>
  <c r="H84" i="1" s="1"/>
  <c r="E84" i="1"/>
  <c r="N82" i="1" l="1"/>
  <c r="M60" i="31" s="1"/>
  <c r="E60" i="31"/>
  <c r="F60" i="31" s="1"/>
  <c r="U369" i="1"/>
  <c r="S20" i="28" s="1"/>
  <c r="T20" i="28" s="1"/>
  <c r="AN27" i="16"/>
  <c r="BH27" i="16"/>
  <c r="AX28" i="16"/>
  <c r="CB28" i="16"/>
  <c r="T370" i="1"/>
  <c r="AC21" i="28" s="1"/>
  <c r="AD21" i="28" s="1"/>
  <c r="Y84" i="1"/>
  <c r="Z84" i="1" s="1"/>
  <c r="P84" i="1"/>
  <c r="Y223" i="1"/>
  <c r="Z223" i="1" s="1"/>
  <c r="P223" i="1"/>
  <c r="Q223" i="1" s="1"/>
  <c r="AW21" i="27" s="1"/>
  <c r="AX21" i="27" s="1"/>
  <c r="X83" i="1"/>
  <c r="Q83" i="1"/>
  <c r="AM28" i="16" s="1"/>
  <c r="L371" i="1"/>
  <c r="AW22" i="28" s="1"/>
  <c r="AX22" i="28" s="1"/>
  <c r="Q371" i="1"/>
  <c r="L223" i="1"/>
  <c r="BG21" i="27" s="1"/>
  <c r="BH21" i="27" s="1"/>
  <c r="L84" i="1"/>
  <c r="AW29" i="16" s="1"/>
  <c r="X370" i="1"/>
  <c r="K370" i="1"/>
  <c r="M370" i="1"/>
  <c r="N370" i="1" s="1"/>
  <c r="A51" i="3"/>
  <c r="K222" i="1"/>
  <c r="M222" i="1"/>
  <c r="N222" i="1" s="1"/>
  <c r="K83" i="1"/>
  <c r="C372" i="1"/>
  <c r="E372" i="1"/>
  <c r="AA372" i="1" s="1"/>
  <c r="A373" i="1"/>
  <c r="D372" i="1"/>
  <c r="P372" i="1" s="1"/>
  <c r="F372" i="1"/>
  <c r="H372" i="1" s="1"/>
  <c r="B372" i="1"/>
  <c r="G371" i="1"/>
  <c r="M371" i="1" s="1"/>
  <c r="J371" i="1"/>
  <c r="R223" i="1"/>
  <c r="S223" i="1" s="1"/>
  <c r="G223" i="1"/>
  <c r="X223" i="1" s="1"/>
  <c r="C224" i="1"/>
  <c r="E224" i="1"/>
  <c r="A225" i="1"/>
  <c r="F224" i="1"/>
  <c r="H224" i="1" s="1"/>
  <c r="D224" i="1"/>
  <c r="B224" i="1"/>
  <c r="A86" i="1"/>
  <c r="E85" i="1"/>
  <c r="D85" i="1"/>
  <c r="B85" i="1"/>
  <c r="C85" i="1"/>
  <c r="F85" i="1"/>
  <c r="H85" i="1" s="1"/>
  <c r="G84" i="1"/>
  <c r="Q84" i="1" s="1"/>
  <c r="AM29" i="16" s="1"/>
  <c r="R84" i="1"/>
  <c r="S84" i="1" s="1"/>
  <c r="CA29" i="16" s="1"/>
  <c r="T371" i="1" l="1"/>
  <c r="N83" i="1"/>
  <c r="M61" i="31" s="1"/>
  <c r="E61" i="31"/>
  <c r="F61" i="31" s="1"/>
  <c r="BH28" i="16"/>
  <c r="AN28" i="16"/>
  <c r="AN29" i="16"/>
  <c r="CB29" i="16"/>
  <c r="AX29" i="16"/>
  <c r="U370" i="1"/>
  <c r="Y85" i="1"/>
  <c r="Z85" i="1" s="1"/>
  <c r="P85" i="1"/>
  <c r="Y224" i="1"/>
  <c r="Z224" i="1" s="1"/>
  <c r="P224" i="1"/>
  <c r="Q224" i="1" s="1"/>
  <c r="AW22" i="27" s="1"/>
  <c r="AX22" i="27" s="1"/>
  <c r="AC22" i="28"/>
  <c r="AD22" i="28" s="1"/>
  <c r="L372" i="1"/>
  <c r="AW23" i="28" s="1"/>
  <c r="AX23" i="28" s="1"/>
  <c r="Q372" i="1"/>
  <c r="L224" i="1"/>
  <c r="BG22" i="27" s="1"/>
  <c r="BH22" i="27" s="1"/>
  <c r="U371" i="1"/>
  <c r="AD369" i="1"/>
  <c r="AD368" i="1"/>
  <c r="L85" i="1"/>
  <c r="AW30" i="16" s="1"/>
  <c r="N371" i="1"/>
  <c r="X371" i="1"/>
  <c r="K371" i="1"/>
  <c r="A52" i="3"/>
  <c r="X84" i="1"/>
  <c r="K223" i="1"/>
  <c r="M223" i="1"/>
  <c r="N223" i="1" s="1"/>
  <c r="K84" i="1"/>
  <c r="G372" i="1"/>
  <c r="M372" i="1" s="1"/>
  <c r="J372" i="1"/>
  <c r="B373" i="1"/>
  <c r="E373" i="1"/>
  <c r="AA373" i="1" s="1"/>
  <c r="A374" i="1"/>
  <c r="D373" i="1"/>
  <c r="P373" i="1" s="1"/>
  <c r="F373" i="1"/>
  <c r="H373" i="1" s="1"/>
  <c r="C373" i="1"/>
  <c r="B225" i="1"/>
  <c r="C225" i="1"/>
  <c r="E225" i="1"/>
  <c r="A226" i="1"/>
  <c r="D225" i="1"/>
  <c r="F225" i="1"/>
  <c r="H225" i="1" s="1"/>
  <c r="G224" i="1"/>
  <c r="X224" i="1" s="1"/>
  <c r="R224" i="1"/>
  <c r="S224" i="1" s="1"/>
  <c r="G85" i="1"/>
  <c r="R85" i="1"/>
  <c r="S85" i="1" s="1"/>
  <c r="CA30" i="16" s="1"/>
  <c r="A87" i="1"/>
  <c r="D86" i="1"/>
  <c r="F86" i="1"/>
  <c r="H86" i="1" s="1"/>
  <c r="C86" i="1"/>
  <c r="E86" i="1"/>
  <c r="B86" i="1"/>
  <c r="T372" i="1" l="1"/>
  <c r="N84" i="1"/>
  <c r="M62" i="31" s="1"/>
  <c r="E62" i="31"/>
  <c r="F62" i="31" s="1"/>
  <c r="BH29" i="16"/>
  <c r="AX30" i="16"/>
  <c r="CB30" i="16"/>
  <c r="S21" i="28"/>
  <c r="T21" i="28" s="1"/>
  <c r="Y86" i="1"/>
  <c r="Z86" i="1" s="1"/>
  <c r="P86" i="1"/>
  <c r="Y225" i="1"/>
  <c r="Z225" i="1" s="1"/>
  <c r="P225" i="1"/>
  <c r="AC23" i="28"/>
  <c r="AD23" i="28" s="1"/>
  <c r="S22" i="28"/>
  <c r="T22" i="28" s="1"/>
  <c r="X85" i="1"/>
  <c r="Q85" i="1"/>
  <c r="AM30" i="16" s="1"/>
  <c r="L373" i="1"/>
  <c r="AW24" i="28" s="1"/>
  <c r="AX24" i="28" s="1"/>
  <c r="Q373" i="1"/>
  <c r="L225" i="1"/>
  <c r="BG23" i="27" s="1"/>
  <c r="BH23" i="27" s="1"/>
  <c r="Q225" i="1"/>
  <c r="AW23" i="27" s="1"/>
  <c r="AX23" i="27" s="1"/>
  <c r="U372" i="1"/>
  <c r="AD370" i="1"/>
  <c r="L86" i="1"/>
  <c r="AW31" i="16" s="1"/>
  <c r="N372" i="1"/>
  <c r="X372" i="1"/>
  <c r="K372" i="1"/>
  <c r="A53" i="3"/>
  <c r="K224" i="1"/>
  <c r="M224" i="1"/>
  <c r="N224" i="1" s="1"/>
  <c r="K85" i="1"/>
  <c r="J373" i="1"/>
  <c r="G373" i="1"/>
  <c r="M373" i="1" s="1"/>
  <c r="E374" i="1"/>
  <c r="AA374" i="1" s="1"/>
  <c r="F374" i="1"/>
  <c r="H374" i="1" s="1"/>
  <c r="D374" i="1"/>
  <c r="P374" i="1" s="1"/>
  <c r="B374" i="1"/>
  <c r="C374" i="1"/>
  <c r="A375" i="1"/>
  <c r="E226" i="1"/>
  <c r="B226" i="1"/>
  <c r="A227" i="1"/>
  <c r="D226" i="1"/>
  <c r="F226" i="1"/>
  <c r="H226" i="1" s="1"/>
  <c r="C226" i="1"/>
  <c r="R225" i="1"/>
  <c r="S225" i="1" s="1"/>
  <c r="G225" i="1"/>
  <c r="G86" i="1"/>
  <c r="R86" i="1"/>
  <c r="S86" i="1" s="1"/>
  <c r="CA31" i="16" s="1"/>
  <c r="A88" i="1"/>
  <c r="D87" i="1"/>
  <c r="F87" i="1"/>
  <c r="H87" i="1" s="1"/>
  <c r="C87" i="1"/>
  <c r="B87" i="1"/>
  <c r="E87" i="1"/>
  <c r="N85" i="1" l="1"/>
  <c r="M63" i="31" s="1"/>
  <c r="E63" i="31"/>
  <c r="F63" i="31" s="1"/>
  <c r="AN30" i="16"/>
  <c r="BH30" i="16"/>
  <c r="T373" i="1"/>
  <c r="U373" i="1" s="1"/>
  <c r="AX31" i="16"/>
  <c r="CB31" i="16"/>
  <c r="Y87" i="1"/>
  <c r="Z87" i="1" s="1"/>
  <c r="P87" i="1"/>
  <c r="Y226" i="1"/>
  <c r="Z226" i="1" s="1"/>
  <c r="P226" i="1"/>
  <c r="Q226" i="1" s="1"/>
  <c r="AW24" i="27" s="1"/>
  <c r="AX24" i="27" s="1"/>
  <c r="S23" i="28"/>
  <c r="T23" i="28" s="1"/>
  <c r="X86" i="1"/>
  <c r="Q86" i="1"/>
  <c r="AM31" i="16" s="1"/>
  <c r="L374" i="1"/>
  <c r="AW25" i="28" s="1"/>
  <c r="AX25" i="28" s="1"/>
  <c r="Q374" i="1"/>
  <c r="L226" i="1"/>
  <c r="BG24" i="27" s="1"/>
  <c r="BH24" i="27" s="1"/>
  <c r="AD371" i="1"/>
  <c r="L87" i="1"/>
  <c r="AW32" i="16" s="1"/>
  <c r="N373" i="1"/>
  <c r="X373" i="1"/>
  <c r="K373" i="1"/>
  <c r="A54" i="3"/>
  <c r="M225" i="1"/>
  <c r="N225" i="1" s="1"/>
  <c r="X225" i="1"/>
  <c r="K225" i="1"/>
  <c r="K86" i="1"/>
  <c r="J374" i="1"/>
  <c r="G374" i="1"/>
  <c r="M374" i="1" s="1"/>
  <c r="C375" i="1"/>
  <c r="E375" i="1"/>
  <c r="A376" i="1"/>
  <c r="F375" i="1"/>
  <c r="H375" i="1" s="1"/>
  <c r="D375" i="1"/>
  <c r="P375" i="1" s="1"/>
  <c r="B375" i="1"/>
  <c r="G226" i="1"/>
  <c r="X226" i="1" s="1"/>
  <c r="R226" i="1"/>
  <c r="S226" i="1" s="1"/>
  <c r="A228" i="1"/>
  <c r="D227" i="1"/>
  <c r="B227" i="1"/>
  <c r="C227" i="1"/>
  <c r="E227" i="1"/>
  <c r="F227" i="1"/>
  <c r="H227" i="1" s="1"/>
  <c r="R87" i="1"/>
  <c r="S87" i="1" s="1"/>
  <c r="CA32" i="16" s="1"/>
  <c r="G87" i="1"/>
  <c r="A89" i="1"/>
  <c r="C88" i="1"/>
  <c r="E88" i="1"/>
  <c r="B88" i="1"/>
  <c r="D88" i="1"/>
  <c r="F88" i="1"/>
  <c r="H88" i="1" s="1"/>
  <c r="N86" i="1" l="1"/>
  <c r="M64" i="31" s="1"/>
  <c r="E64" i="31"/>
  <c r="F64" i="31" s="1"/>
  <c r="AN31" i="16"/>
  <c r="BH31" i="16"/>
  <c r="AC24" i="28"/>
  <c r="AD24" i="28" s="1"/>
  <c r="CB32" i="16"/>
  <c r="AX32" i="16"/>
  <c r="T374" i="1"/>
  <c r="AC25" i="28" s="1"/>
  <c r="AD25" i="28" s="1"/>
  <c r="Y88" i="1"/>
  <c r="Z88" i="1" s="1"/>
  <c r="P88" i="1"/>
  <c r="Y227" i="1"/>
  <c r="Z227" i="1" s="1"/>
  <c r="P227" i="1"/>
  <c r="Q227" i="1" s="1"/>
  <c r="AW25" i="27" s="1"/>
  <c r="AX25" i="27" s="1"/>
  <c r="S24" i="28"/>
  <c r="T24" i="28" s="1"/>
  <c r="X87" i="1"/>
  <c r="Q87" i="1"/>
  <c r="AM32" i="16" s="1"/>
  <c r="L375" i="1"/>
  <c r="AW26" i="28" s="1"/>
  <c r="AX26" i="28" s="1"/>
  <c r="Q375" i="1"/>
  <c r="L227" i="1"/>
  <c r="BG25" i="27" s="1"/>
  <c r="BH25" i="27" s="1"/>
  <c r="AD372" i="1"/>
  <c r="L88" i="1"/>
  <c r="AW33" i="16" s="1"/>
  <c r="N374" i="1"/>
  <c r="X374" i="1"/>
  <c r="K374" i="1"/>
  <c r="A55" i="3"/>
  <c r="K226" i="1"/>
  <c r="M226" i="1"/>
  <c r="N226" i="1" s="1"/>
  <c r="K87" i="1"/>
  <c r="AA375" i="1"/>
  <c r="B376" i="1"/>
  <c r="C376" i="1"/>
  <c r="E376" i="1"/>
  <c r="AA376" i="1" s="1"/>
  <c r="A377" i="1"/>
  <c r="D376" i="1"/>
  <c r="P376" i="1" s="1"/>
  <c r="F376" i="1"/>
  <c r="H376" i="1" s="1"/>
  <c r="G375" i="1"/>
  <c r="J375" i="1"/>
  <c r="G227" i="1"/>
  <c r="X227" i="1" s="1"/>
  <c r="R227" i="1"/>
  <c r="S227" i="1" s="1"/>
  <c r="C228" i="1"/>
  <c r="E228" i="1"/>
  <c r="D228" i="1"/>
  <c r="B228" i="1"/>
  <c r="A229" i="1"/>
  <c r="F228" i="1"/>
  <c r="H228" i="1" s="1"/>
  <c r="G88" i="1"/>
  <c r="R88" i="1"/>
  <c r="S88" i="1" s="1"/>
  <c r="CA33" i="16" s="1"/>
  <c r="A90" i="1"/>
  <c r="C89" i="1"/>
  <c r="F89" i="1"/>
  <c r="H89" i="1" s="1"/>
  <c r="B89" i="1"/>
  <c r="D89" i="1"/>
  <c r="E89" i="1"/>
  <c r="T375" i="1" l="1"/>
  <c r="N87" i="1"/>
  <c r="M65" i="31" s="1"/>
  <c r="E65" i="31"/>
  <c r="F65" i="31" s="1"/>
  <c r="BH32" i="16"/>
  <c r="AN32" i="16"/>
  <c r="CB33" i="16"/>
  <c r="AX33" i="16"/>
  <c r="U374" i="1"/>
  <c r="Y89" i="1"/>
  <c r="Z89" i="1" s="1"/>
  <c r="P89" i="1"/>
  <c r="Y228" i="1"/>
  <c r="Z228" i="1" s="1"/>
  <c r="P228" i="1"/>
  <c r="Q228" i="1" s="1"/>
  <c r="AW26" i="27" s="1"/>
  <c r="AX26" i="27" s="1"/>
  <c r="AC26" i="28"/>
  <c r="AD26" i="28" s="1"/>
  <c r="X88" i="1"/>
  <c r="Q88" i="1"/>
  <c r="AM33" i="16" s="1"/>
  <c r="L376" i="1"/>
  <c r="AW27" i="28" s="1"/>
  <c r="AX27" i="28" s="1"/>
  <c r="Q376" i="1"/>
  <c r="L228" i="1"/>
  <c r="BG26" i="27" s="1"/>
  <c r="BH26" i="27" s="1"/>
  <c r="U375" i="1"/>
  <c r="L89" i="1"/>
  <c r="AW34" i="16" s="1"/>
  <c r="X375" i="1"/>
  <c r="K375" i="1"/>
  <c r="M375" i="1"/>
  <c r="N375" i="1" s="1"/>
  <c r="A56" i="3"/>
  <c r="K227" i="1"/>
  <c r="M227" i="1"/>
  <c r="N227" i="1" s="1"/>
  <c r="K88" i="1"/>
  <c r="E377" i="1"/>
  <c r="AA377" i="1" s="1"/>
  <c r="A378" i="1"/>
  <c r="D377" i="1"/>
  <c r="P377" i="1" s="1"/>
  <c r="F377" i="1"/>
  <c r="H377" i="1" s="1"/>
  <c r="C377" i="1"/>
  <c r="B377" i="1"/>
  <c r="G376" i="1"/>
  <c r="M376" i="1" s="1"/>
  <c r="J376" i="1"/>
  <c r="B229" i="1"/>
  <c r="C229" i="1"/>
  <c r="E229" i="1"/>
  <c r="A230" i="1"/>
  <c r="D229" i="1"/>
  <c r="F229" i="1"/>
  <c r="H229" i="1" s="1"/>
  <c r="G228" i="1"/>
  <c r="X228" i="1" s="1"/>
  <c r="R228" i="1"/>
  <c r="S228" i="1" s="1"/>
  <c r="G89" i="1"/>
  <c r="R89" i="1"/>
  <c r="S89" i="1" s="1"/>
  <c r="CA34" i="16" s="1"/>
  <c r="A91" i="1"/>
  <c r="B90" i="1"/>
  <c r="E90" i="1"/>
  <c r="C90" i="1"/>
  <c r="D90" i="1"/>
  <c r="F90" i="1"/>
  <c r="H90" i="1" s="1"/>
  <c r="N88" i="1" l="1"/>
  <c r="M66" i="31" s="1"/>
  <c r="E66" i="31"/>
  <c r="F66" i="31" s="1"/>
  <c r="AN33" i="16"/>
  <c r="BH33" i="16"/>
  <c r="T376" i="1"/>
  <c r="AC27" i="28" s="1"/>
  <c r="AD27" i="28" s="1"/>
  <c r="CB34" i="16"/>
  <c r="AX34" i="16"/>
  <c r="S25" i="28"/>
  <c r="T25" i="28" s="1"/>
  <c r="Y90" i="1"/>
  <c r="Z90" i="1" s="1"/>
  <c r="P90" i="1"/>
  <c r="Y229" i="1"/>
  <c r="Z229" i="1" s="1"/>
  <c r="P229" i="1"/>
  <c r="Q229" i="1" s="1"/>
  <c r="AW27" i="27" s="1"/>
  <c r="AX27" i="27" s="1"/>
  <c r="S26" i="28"/>
  <c r="T26" i="28" s="1"/>
  <c r="X89" i="1"/>
  <c r="Q89" i="1"/>
  <c r="AM34" i="16" s="1"/>
  <c r="L377" i="1"/>
  <c r="AW28" i="28" s="1"/>
  <c r="AX28" i="28" s="1"/>
  <c r="Q377" i="1"/>
  <c r="L229" i="1"/>
  <c r="BG27" i="27" s="1"/>
  <c r="BH27" i="27" s="1"/>
  <c r="AD374" i="1"/>
  <c r="AD373" i="1"/>
  <c r="L90" i="1"/>
  <c r="AW35" i="16" s="1"/>
  <c r="N376" i="1"/>
  <c r="X376" i="1"/>
  <c r="K376" i="1"/>
  <c r="A57" i="3"/>
  <c r="K228" i="1"/>
  <c r="M228" i="1"/>
  <c r="N228" i="1" s="1"/>
  <c r="K89" i="1"/>
  <c r="G377" i="1"/>
  <c r="M377" i="1" s="1"/>
  <c r="J377" i="1"/>
  <c r="E378" i="1"/>
  <c r="AA378" i="1" s="1"/>
  <c r="F378" i="1"/>
  <c r="H378" i="1" s="1"/>
  <c r="C378" i="1"/>
  <c r="A379" i="1"/>
  <c r="D378" i="1"/>
  <c r="P378" i="1" s="1"/>
  <c r="B378" i="1"/>
  <c r="B230" i="1"/>
  <c r="E230" i="1"/>
  <c r="A231" i="1"/>
  <c r="D230" i="1"/>
  <c r="F230" i="1"/>
  <c r="H230" i="1" s="1"/>
  <c r="C230" i="1"/>
  <c r="R229" i="1"/>
  <c r="S229" i="1" s="1"/>
  <c r="G229" i="1"/>
  <c r="X229" i="1" s="1"/>
  <c r="R90" i="1"/>
  <c r="S90" i="1" s="1"/>
  <c r="CA35" i="16" s="1"/>
  <c r="G90" i="1"/>
  <c r="A92" i="1"/>
  <c r="E91" i="1"/>
  <c r="F91" i="1"/>
  <c r="H91" i="1" s="1"/>
  <c r="C91" i="1"/>
  <c r="B91" i="1"/>
  <c r="D91" i="1"/>
  <c r="N89" i="1" l="1"/>
  <c r="M67" i="31" s="1"/>
  <c r="E67" i="31"/>
  <c r="F67" i="31" s="1"/>
  <c r="BH34" i="16"/>
  <c r="AN34" i="16"/>
  <c r="U376" i="1"/>
  <c r="S27" i="28" s="1"/>
  <c r="T27" i="28" s="1"/>
  <c r="CB35" i="16"/>
  <c r="AX35" i="16"/>
  <c r="T377" i="1"/>
  <c r="AC28" i="28" s="1"/>
  <c r="AD28" i="28" s="1"/>
  <c r="Y91" i="1"/>
  <c r="Z91" i="1" s="1"/>
  <c r="P91" i="1"/>
  <c r="Y230" i="1"/>
  <c r="Z230" i="1" s="1"/>
  <c r="P230" i="1"/>
  <c r="Q230" i="1" s="1"/>
  <c r="AW28" i="27" s="1"/>
  <c r="AX28" i="27" s="1"/>
  <c r="X90" i="1"/>
  <c r="Q90" i="1"/>
  <c r="AM35" i="16" s="1"/>
  <c r="L378" i="1"/>
  <c r="AW29" i="28" s="1"/>
  <c r="AX29" i="28" s="1"/>
  <c r="Q378" i="1"/>
  <c r="L230" i="1"/>
  <c r="BG28" i="27" s="1"/>
  <c r="BH28" i="27" s="1"/>
  <c r="AD375" i="1"/>
  <c r="L91" i="1"/>
  <c r="AW36" i="16" s="1"/>
  <c r="N377" i="1"/>
  <c r="X377" i="1"/>
  <c r="K377" i="1"/>
  <c r="A58" i="3"/>
  <c r="K229" i="1"/>
  <c r="M229" i="1"/>
  <c r="N229" i="1" s="1"/>
  <c r="K90" i="1"/>
  <c r="G378" i="1"/>
  <c r="M378" i="1" s="1"/>
  <c r="J378" i="1"/>
  <c r="F379" i="1"/>
  <c r="H379" i="1" s="1"/>
  <c r="D379" i="1"/>
  <c r="P379" i="1" s="1"/>
  <c r="B379" i="1"/>
  <c r="C379" i="1"/>
  <c r="E379" i="1"/>
  <c r="AA379" i="1" s="1"/>
  <c r="A380" i="1"/>
  <c r="G230" i="1"/>
  <c r="X230" i="1" s="1"/>
  <c r="R230" i="1"/>
  <c r="S230" i="1" s="1"/>
  <c r="A232" i="1"/>
  <c r="E231" i="1"/>
  <c r="F231" i="1"/>
  <c r="H231" i="1" s="1"/>
  <c r="D231" i="1"/>
  <c r="B231" i="1"/>
  <c r="C231" i="1"/>
  <c r="R91" i="1"/>
  <c r="S91" i="1" s="1"/>
  <c r="CA36" i="16" s="1"/>
  <c r="G91" i="1"/>
  <c r="A93" i="1"/>
  <c r="D92" i="1"/>
  <c r="C92" i="1"/>
  <c r="F92" i="1"/>
  <c r="H92" i="1" s="1"/>
  <c r="E92" i="1"/>
  <c r="B92" i="1"/>
  <c r="N90" i="1" l="1"/>
  <c r="M68" i="31" s="1"/>
  <c r="E68" i="31"/>
  <c r="F68" i="31" s="1"/>
  <c r="BH35" i="16"/>
  <c r="AN35" i="16"/>
  <c r="CB36" i="16"/>
  <c r="AX36" i="16"/>
  <c r="T378" i="1"/>
  <c r="U378" i="1" s="1"/>
  <c r="U377" i="1"/>
  <c r="Y92" i="1"/>
  <c r="Z92" i="1" s="1"/>
  <c r="P92" i="1"/>
  <c r="Y231" i="1"/>
  <c r="Z231" i="1" s="1"/>
  <c r="P231" i="1"/>
  <c r="Q231" i="1" s="1"/>
  <c r="AW29" i="27" s="1"/>
  <c r="AX29" i="27" s="1"/>
  <c r="X91" i="1"/>
  <c r="Q91" i="1"/>
  <c r="AM36" i="16" s="1"/>
  <c r="L379" i="1"/>
  <c r="AW30" i="28" s="1"/>
  <c r="AX30" i="28" s="1"/>
  <c r="Q379" i="1"/>
  <c r="L231" i="1"/>
  <c r="BG29" i="27" s="1"/>
  <c r="BH29" i="27" s="1"/>
  <c r="L92" i="1"/>
  <c r="AW37" i="16" s="1"/>
  <c r="N378" i="1"/>
  <c r="X378" i="1"/>
  <c r="K378" i="1"/>
  <c r="A59" i="3"/>
  <c r="K230" i="1"/>
  <c r="M230" i="1"/>
  <c r="N230" i="1" s="1"/>
  <c r="K91" i="1"/>
  <c r="C380" i="1"/>
  <c r="E380" i="1"/>
  <c r="AA380" i="1" s="1"/>
  <c r="A381" i="1"/>
  <c r="D380" i="1"/>
  <c r="P380" i="1" s="1"/>
  <c r="F380" i="1"/>
  <c r="H380" i="1" s="1"/>
  <c r="B380" i="1"/>
  <c r="J379" i="1"/>
  <c r="G379" i="1"/>
  <c r="D232" i="1"/>
  <c r="B232" i="1"/>
  <c r="A233" i="1"/>
  <c r="F232" i="1"/>
  <c r="H232" i="1" s="1"/>
  <c r="C232" i="1"/>
  <c r="E232" i="1"/>
  <c r="G231" i="1"/>
  <c r="X231" i="1" s="1"/>
  <c r="R231" i="1"/>
  <c r="S231" i="1" s="1"/>
  <c r="G92" i="1"/>
  <c r="R92" i="1"/>
  <c r="S92" i="1" s="1"/>
  <c r="CA37" i="16" s="1"/>
  <c r="A94" i="1"/>
  <c r="B93" i="1"/>
  <c r="D93" i="1"/>
  <c r="E93" i="1"/>
  <c r="C93" i="1"/>
  <c r="F93" i="1"/>
  <c r="H93" i="1" s="1"/>
  <c r="T379" i="1" l="1"/>
  <c r="N91" i="1"/>
  <c r="M69" i="31" s="1"/>
  <c r="E69" i="31"/>
  <c r="F69" i="31" s="1"/>
  <c r="BH36" i="16"/>
  <c r="AN36" i="16"/>
  <c r="AC29" i="28"/>
  <c r="AD29" i="28" s="1"/>
  <c r="AX37" i="16"/>
  <c r="CB37" i="16"/>
  <c r="S28" i="28"/>
  <c r="T28" i="28" s="1"/>
  <c r="Y93" i="1"/>
  <c r="Z93" i="1" s="1"/>
  <c r="P93" i="1"/>
  <c r="Y232" i="1"/>
  <c r="Z232" i="1" s="1"/>
  <c r="P232" i="1"/>
  <c r="AC30" i="28"/>
  <c r="AD30" i="28" s="1"/>
  <c r="S29" i="28"/>
  <c r="T29" i="28" s="1"/>
  <c r="X92" i="1"/>
  <c r="Q92" i="1"/>
  <c r="AM37" i="16" s="1"/>
  <c r="L380" i="1"/>
  <c r="AW31" i="28" s="1"/>
  <c r="AX31" i="28" s="1"/>
  <c r="Q380" i="1"/>
  <c r="L232" i="1"/>
  <c r="BG30" i="27" s="1"/>
  <c r="BH30" i="27" s="1"/>
  <c r="Q232" i="1"/>
  <c r="AW30" i="27" s="1"/>
  <c r="AX30" i="27" s="1"/>
  <c r="U379" i="1"/>
  <c r="AD377" i="1"/>
  <c r="AD376" i="1"/>
  <c r="L93" i="1"/>
  <c r="AW38" i="16" s="1"/>
  <c r="X379" i="1"/>
  <c r="K379" i="1"/>
  <c r="M379" i="1"/>
  <c r="N379" i="1" s="1"/>
  <c r="A60" i="3"/>
  <c r="K231" i="1"/>
  <c r="M231" i="1"/>
  <c r="N231" i="1" s="1"/>
  <c r="K92" i="1"/>
  <c r="G380" i="1"/>
  <c r="M380" i="1" s="1"/>
  <c r="J380" i="1"/>
  <c r="B381" i="1"/>
  <c r="E381" i="1"/>
  <c r="AA381" i="1" s="1"/>
  <c r="A382" i="1"/>
  <c r="D381" i="1"/>
  <c r="P381" i="1" s="1"/>
  <c r="F381" i="1"/>
  <c r="H381" i="1" s="1"/>
  <c r="C381" i="1"/>
  <c r="B233" i="1"/>
  <c r="C233" i="1"/>
  <c r="E233" i="1"/>
  <c r="F233" i="1"/>
  <c r="H233" i="1" s="1"/>
  <c r="A234" i="1"/>
  <c r="D233" i="1"/>
  <c r="G232" i="1"/>
  <c r="X232" i="1" s="1"/>
  <c r="R232" i="1"/>
  <c r="S232" i="1" s="1"/>
  <c r="G93" i="1"/>
  <c r="R93" i="1"/>
  <c r="S93" i="1" s="1"/>
  <c r="CA38" i="16" s="1"/>
  <c r="A95" i="1"/>
  <c r="B94" i="1"/>
  <c r="C94" i="1"/>
  <c r="D94" i="1"/>
  <c r="F94" i="1"/>
  <c r="H94" i="1" s="1"/>
  <c r="E94" i="1"/>
  <c r="N92" i="1" l="1"/>
  <c r="M70" i="31" s="1"/>
  <c r="E70" i="31"/>
  <c r="F70" i="31" s="1"/>
  <c r="BH37" i="16"/>
  <c r="AN37" i="16"/>
  <c r="T380" i="1"/>
  <c r="AC31" i="28" s="1"/>
  <c r="AD31" i="28" s="1"/>
  <c r="CB38" i="16"/>
  <c r="AX38" i="16"/>
  <c r="Y94" i="1"/>
  <c r="Z94" i="1" s="1"/>
  <c r="P94" i="1"/>
  <c r="Y233" i="1"/>
  <c r="Z233" i="1" s="1"/>
  <c r="P233" i="1"/>
  <c r="Q233" i="1" s="1"/>
  <c r="AW31" i="27" s="1"/>
  <c r="AX31" i="27" s="1"/>
  <c r="S30" i="28"/>
  <c r="T30" i="28" s="1"/>
  <c r="X93" i="1"/>
  <c r="Q93" i="1"/>
  <c r="AM38" i="16" s="1"/>
  <c r="L381" i="1"/>
  <c r="AW32" i="28" s="1"/>
  <c r="AX32" i="28" s="1"/>
  <c r="Q381" i="1"/>
  <c r="L233" i="1"/>
  <c r="BG31" i="27" s="1"/>
  <c r="BH31" i="27" s="1"/>
  <c r="AD378" i="1"/>
  <c r="L94" i="1"/>
  <c r="AW39" i="16" s="1"/>
  <c r="N380" i="1"/>
  <c r="X380" i="1"/>
  <c r="K380" i="1"/>
  <c r="A61" i="3"/>
  <c r="K232" i="1"/>
  <c r="M232" i="1"/>
  <c r="N232" i="1" s="1"/>
  <c r="K93" i="1"/>
  <c r="G381" i="1"/>
  <c r="J381" i="1"/>
  <c r="C382" i="1"/>
  <c r="A383" i="1"/>
  <c r="E382" i="1"/>
  <c r="AA382" i="1" s="1"/>
  <c r="F382" i="1"/>
  <c r="H382" i="1" s="1"/>
  <c r="D382" i="1"/>
  <c r="P382" i="1" s="1"/>
  <c r="B382" i="1"/>
  <c r="G233" i="1"/>
  <c r="X233" i="1" s="1"/>
  <c r="R233" i="1"/>
  <c r="S233" i="1" s="1"/>
  <c r="A235" i="1"/>
  <c r="D234" i="1"/>
  <c r="B234" i="1"/>
  <c r="F234" i="1"/>
  <c r="H234" i="1" s="1"/>
  <c r="C234" i="1"/>
  <c r="E234" i="1"/>
  <c r="A96" i="1"/>
  <c r="D95" i="1"/>
  <c r="E95" i="1"/>
  <c r="F95" i="1"/>
  <c r="H95" i="1" s="1"/>
  <c r="C95" i="1"/>
  <c r="B95" i="1"/>
  <c r="R94" i="1"/>
  <c r="S94" i="1" s="1"/>
  <c r="CA39" i="16" s="1"/>
  <c r="G94" i="1"/>
  <c r="N93" i="1" l="1"/>
  <c r="M71" i="31" s="1"/>
  <c r="E71" i="31"/>
  <c r="F71" i="31" s="1"/>
  <c r="AN38" i="16"/>
  <c r="BH38" i="16"/>
  <c r="U380" i="1"/>
  <c r="S31" i="28" s="1"/>
  <c r="T31" i="28" s="1"/>
  <c r="CB39" i="16"/>
  <c r="AX39" i="16"/>
  <c r="T381" i="1"/>
  <c r="AC32" i="28" s="1"/>
  <c r="AD32" i="28" s="1"/>
  <c r="Y95" i="1"/>
  <c r="Z95" i="1" s="1"/>
  <c r="P95" i="1"/>
  <c r="Y234" i="1"/>
  <c r="Z234" i="1" s="1"/>
  <c r="P234" i="1"/>
  <c r="Q234" i="1" s="1"/>
  <c r="AW32" i="27" s="1"/>
  <c r="AX32" i="27" s="1"/>
  <c r="X94" i="1"/>
  <c r="Q94" i="1"/>
  <c r="AM39" i="16" s="1"/>
  <c r="L382" i="1"/>
  <c r="AW33" i="28" s="1"/>
  <c r="AX33" i="28" s="1"/>
  <c r="Q382" i="1"/>
  <c r="L234" i="1"/>
  <c r="BG32" i="27" s="1"/>
  <c r="BH32" i="27" s="1"/>
  <c r="AD379" i="1"/>
  <c r="L95" i="1"/>
  <c r="AW40" i="16" s="1"/>
  <c r="X381" i="1"/>
  <c r="K381" i="1"/>
  <c r="M381" i="1"/>
  <c r="N381" i="1" s="1"/>
  <c r="A62" i="3"/>
  <c r="K233" i="1"/>
  <c r="M233" i="1"/>
  <c r="N233" i="1" s="1"/>
  <c r="K94" i="1"/>
  <c r="A384" i="1"/>
  <c r="F383" i="1"/>
  <c r="H383" i="1" s="1"/>
  <c r="D383" i="1"/>
  <c r="P383" i="1" s="1"/>
  <c r="B383" i="1"/>
  <c r="C383" i="1"/>
  <c r="E383" i="1"/>
  <c r="AA383" i="1" s="1"/>
  <c r="G382" i="1"/>
  <c r="J382" i="1"/>
  <c r="R234" i="1"/>
  <c r="S234" i="1" s="1"/>
  <c r="G234" i="1"/>
  <c r="X234" i="1" s="1"/>
  <c r="E235" i="1"/>
  <c r="F235" i="1"/>
  <c r="H235" i="1" s="1"/>
  <c r="D235" i="1"/>
  <c r="B235" i="1"/>
  <c r="C235" i="1"/>
  <c r="A236" i="1"/>
  <c r="R95" i="1"/>
  <c r="S95" i="1" s="1"/>
  <c r="CA40" i="16" s="1"/>
  <c r="G95" i="1"/>
  <c r="A97" i="1"/>
  <c r="E96" i="1"/>
  <c r="B96" i="1"/>
  <c r="C96" i="1"/>
  <c r="F96" i="1"/>
  <c r="H96" i="1" s="1"/>
  <c r="D96" i="1"/>
  <c r="T382" i="1" l="1"/>
  <c r="N94" i="1"/>
  <c r="M72" i="31" s="1"/>
  <c r="E72" i="31"/>
  <c r="F72" i="31" s="1"/>
  <c r="AN39" i="16"/>
  <c r="BH39" i="16"/>
  <c r="CB40" i="16"/>
  <c r="AX40" i="16"/>
  <c r="U381" i="1"/>
  <c r="Y96" i="1"/>
  <c r="Z96" i="1" s="1"/>
  <c r="P96" i="1"/>
  <c r="Y235" i="1"/>
  <c r="Z235" i="1" s="1"/>
  <c r="P235" i="1"/>
  <c r="Q235" i="1" s="1"/>
  <c r="AW33" i="27" s="1"/>
  <c r="AX33" i="27" s="1"/>
  <c r="AC33" i="28"/>
  <c r="AD33" i="28" s="1"/>
  <c r="X95" i="1"/>
  <c r="Q95" i="1"/>
  <c r="AM40" i="16" s="1"/>
  <c r="L383" i="1"/>
  <c r="AW34" i="28" s="1"/>
  <c r="AX34" i="28" s="1"/>
  <c r="Q383" i="1"/>
  <c r="L235" i="1"/>
  <c r="BG33" i="27" s="1"/>
  <c r="BH33" i="27" s="1"/>
  <c r="U382" i="1"/>
  <c r="AD380" i="1"/>
  <c r="L96" i="1"/>
  <c r="AW41" i="16" s="1"/>
  <c r="X382" i="1"/>
  <c r="K382" i="1"/>
  <c r="M382" i="1"/>
  <c r="N382" i="1" s="1"/>
  <c r="A63" i="3"/>
  <c r="K234" i="1"/>
  <c r="M234" i="1"/>
  <c r="N234" i="1" s="1"/>
  <c r="K95" i="1"/>
  <c r="G383" i="1"/>
  <c r="M383" i="1" s="1"/>
  <c r="J383" i="1"/>
  <c r="C384" i="1"/>
  <c r="E384" i="1"/>
  <c r="AA384" i="1" s="1"/>
  <c r="A385" i="1"/>
  <c r="D384" i="1"/>
  <c r="P384" i="1" s="1"/>
  <c r="F384" i="1"/>
  <c r="H384" i="1" s="1"/>
  <c r="B384" i="1"/>
  <c r="G235" i="1"/>
  <c r="X235" i="1" s="1"/>
  <c r="R235" i="1"/>
  <c r="S235" i="1" s="1"/>
  <c r="C236" i="1"/>
  <c r="E236" i="1"/>
  <c r="A237" i="1"/>
  <c r="F236" i="1"/>
  <c r="H236" i="1" s="1"/>
  <c r="D236" i="1"/>
  <c r="B236" i="1"/>
  <c r="G96" i="1"/>
  <c r="R96" i="1"/>
  <c r="S96" i="1" s="1"/>
  <c r="CA41" i="16" s="1"/>
  <c r="A98" i="1"/>
  <c r="B97" i="1"/>
  <c r="D97" i="1"/>
  <c r="E97" i="1"/>
  <c r="C97" i="1"/>
  <c r="F97" i="1"/>
  <c r="H97" i="1" s="1"/>
  <c r="N95" i="1" l="1"/>
  <c r="M73" i="31" s="1"/>
  <c r="E73" i="31"/>
  <c r="F73" i="31" s="1"/>
  <c r="AN40" i="16"/>
  <c r="BH40" i="16"/>
  <c r="T383" i="1"/>
  <c r="AC34" i="28" s="1"/>
  <c r="AD34" i="28" s="1"/>
  <c r="CB41" i="16"/>
  <c r="AX41" i="16"/>
  <c r="S32" i="28"/>
  <c r="T32" i="28" s="1"/>
  <c r="Y97" i="1"/>
  <c r="Z97" i="1" s="1"/>
  <c r="P97" i="1"/>
  <c r="Y236" i="1"/>
  <c r="Z236" i="1" s="1"/>
  <c r="P236" i="1"/>
  <c r="Q236" i="1" s="1"/>
  <c r="AW34" i="27" s="1"/>
  <c r="AX34" i="27" s="1"/>
  <c r="S33" i="28"/>
  <c r="T33" i="28" s="1"/>
  <c r="X96" i="1"/>
  <c r="Q96" i="1"/>
  <c r="AM41" i="16" s="1"/>
  <c r="L384" i="1"/>
  <c r="AW35" i="28" s="1"/>
  <c r="AX35" i="28" s="1"/>
  <c r="Q384" i="1"/>
  <c r="L236" i="1"/>
  <c r="BG34" i="27" s="1"/>
  <c r="BH34" i="27" s="1"/>
  <c r="AD381" i="1"/>
  <c r="L97" i="1"/>
  <c r="AW42" i="16" s="1"/>
  <c r="N383" i="1"/>
  <c r="X383" i="1"/>
  <c r="K383" i="1"/>
  <c r="A64" i="3"/>
  <c r="K235" i="1"/>
  <c r="M235" i="1"/>
  <c r="N235" i="1" s="1"/>
  <c r="K96" i="1"/>
  <c r="J384" i="1"/>
  <c r="G384" i="1"/>
  <c r="M384" i="1" s="1"/>
  <c r="B385" i="1"/>
  <c r="E385" i="1"/>
  <c r="AA385" i="1" s="1"/>
  <c r="A386" i="1"/>
  <c r="D385" i="1"/>
  <c r="P385" i="1" s="1"/>
  <c r="F385" i="1"/>
  <c r="H385" i="1" s="1"/>
  <c r="C385" i="1"/>
  <c r="G236" i="1"/>
  <c r="X236" i="1" s="1"/>
  <c r="R236" i="1"/>
  <c r="S236" i="1" s="1"/>
  <c r="C237" i="1"/>
  <c r="E237" i="1"/>
  <c r="B237" i="1"/>
  <c r="A238" i="1"/>
  <c r="D237" i="1"/>
  <c r="F237" i="1"/>
  <c r="H237" i="1" s="1"/>
  <c r="A99" i="1"/>
  <c r="F98" i="1"/>
  <c r="H98" i="1" s="1"/>
  <c r="B98" i="1"/>
  <c r="E98" i="1"/>
  <c r="C98" i="1"/>
  <c r="D98" i="1"/>
  <c r="G97" i="1"/>
  <c r="Q97" i="1" s="1"/>
  <c r="AM42" i="16" s="1"/>
  <c r="R97" i="1"/>
  <c r="S97" i="1" s="1"/>
  <c r="CA42" i="16" s="1"/>
  <c r="N96" i="1" l="1"/>
  <c r="M74" i="31" s="1"/>
  <c r="E74" i="31"/>
  <c r="F74" i="31" s="1"/>
  <c r="AN42" i="16"/>
  <c r="BH41" i="16"/>
  <c r="AN41" i="16"/>
  <c r="U383" i="1"/>
  <c r="S34" i="28" s="1"/>
  <c r="T34" i="28" s="1"/>
  <c r="CB42" i="16"/>
  <c r="T384" i="1"/>
  <c r="AC35" i="28" s="1"/>
  <c r="AD35" i="28" s="1"/>
  <c r="AX42" i="16"/>
  <c r="Y98" i="1"/>
  <c r="Z98" i="1" s="1"/>
  <c r="P98" i="1"/>
  <c r="Y237" i="1"/>
  <c r="Z237" i="1" s="1"/>
  <c r="P237" i="1"/>
  <c r="Q237" i="1" s="1"/>
  <c r="AW35" i="27" s="1"/>
  <c r="AX35" i="27" s="1"/>
  <c r="L385" i="1"/>
  <c r="AW36" i="28" s="1"/>
  <c r="AX36" i="28" s="1"/>
  <c r="Q385" i="1"/>
  <c r="L237" i="1"/>
  <c r="BG35" i="27" s="1"/>
  <c r="BH35" i="27" s="1"/>
  <c r="AD382" i="1"/>
  <c r="L98" i="1"/>
  <c r="AW43" i="16" s="1"/>
  <c r="N384" i="1"/>
  <c r="X384" i="1"/>
  <c r="K384" i="1"/>
  <c r="A65" i="3"/>
  <c r="X97" i="1"/>
  <c r="K236" i="1"/>
  <c r="M236" i="1"/>
  <c r="N236" i="1" s="1"/>
  <c r="K97" i="1"/>
  <c r="J385" i="1"/>
  <c r="G385" i="1"/>
  <c r="M385" i="1" s="1"/>
  <c r="E386" i="1"/>
  <c r="AA386" i="1" s="1"/>
  <c r="F386" i="1"/>
  <c r="H386" i="1" s="1"/>
  <c r="D386" i="1"/>
  <c r="P386" i="1" s="1"/>
  <c r="B386" i="1"/>
  <c r="C386" i="1"/>
  <c r="A387" i="1"/>
  <c r="G237" i="1"/>
  <c r="X237" i="1" s="1"/>
  <c r="R237" i="1"/>
  <c r="S237" i="1" s="1"/>
  <c r="A239" i="1"/>
  <c r="D238" i="1"/>
  <c r="F238" i="1"/>
  <c r="H238" i="1" s="1"/>
  <c r="C238" i="1"/>
  <c r="E238" i="1"/>
  <c r="B238" i="1"/>
  <c r="R98" i="1"/>
  <c r="S98" i="1" s="1"/>
  <c r="CA43" i="16" s="1"/>
  <c r="G98" i="1"/>
  <c r="A100" i="1"/>
  <c r="E99" i="1"/>
  <c r="F99" i="1"/>
  <c r="H99" i="1" s="1"/>
  <c r="C99" i="1"/>
  <c r="B99" i="1"/>
  <c r="D99" i="1"/>
  <c r="N97" i="1" l="1"/>
  <c r="M75" i="31" s="1"/>
  <c r="E75" i="31"/>
  <c r="F75" i="31" s="1"/>
  <c r="BH42" i="16"/>
  <c r="U384" i="1"/>
  <c r="S35" i="28" s="1"/>
  <c r="T35" i="28" s="1"/>
  <c r="CB43" i="16"/>
  <c r="AX43" i="16"/>
  <c r="T385" i="1"/>
  <c r="AC36" i="28" s="1"/>
  <c r="AD36" i="28" s="1"/>
  <c r="Y99" i="1"/>
  <c r="Z99" i="1" s="1"/>
  <c r="P99" i="1"/>
  <c r="Y238" i="1"/>
  <c r="Z238" i="1" s="1"/>
  <c r="P238" i="1"/>
  <c r="Q238" i="1" s="1"/>
  <c r="AW36" i="27" s="1"/>
  <c r="AX36" i="27" s="1"/>
  <c r="X98" i="1"/>
  <c r="Q98" i="1"/>
  <c r="AM43" i="16" s="1"/>
  <c r="L386" i="1"/>
  <c r="AW37" i="28" s="1"/>
  <c r="AX37" i="28" s="1"/>
  <c r="Q386" i="1"/>
  <c r="L238" i="1"/>
  <c r="BG36" i="27" s="1"/>
  <c r="BH36" i="27" s="1"/>
  <c r="AD383" i="1"/>
  <c r="L99" i="1"/>
  <c r="AW44" i="16" s="1"/>
  <c r="N385" i="1"/>
  <c r="X385" i="1"/>
  <c r="K385" i="1"/>
  <c r="A66" i="3"/>
  <c r="K237" i="1"/>
  <c r="M237" i="1"/>
  <c r="N237" i="1" s="1"/>
  <c r="K98" i="1"/>
  <c r="G386" i="1"/>
  <c r="M386" i="1" s="1"/>
  <c r="J386" i="1"/>
  <c r="D387" i="1"/>
  <c r="P387" i="1" s="1"/>
  <c r="B387" i="1"/>
  <c r="C387" i="1"/>
  <c r="E387" i="1"/>
  <c r="AA387" i="1" s="1"/>
  <c r="A388" i="1"/>
  <c r="F387" i="1"/>
  <c r="H387" i="1" s="1"/>
  <c r="E239" i="1"/>
  <c r="F239" i="1"/>
  <c r="H239" i="1" s="1"/>
  <c r="D239" i="1"/>
  <c r="B239" i="1"/>
  <c r="C239" i="1"/>
  <c r="A240" i="1"/>
  <c r="R238" i="1"/>
  <c r="S238" i="1" s="1"/>
  <c r="G238" i="1"/>
  <c r="X238" i="1" s="1"/>
  <c r="R99" i="1"/>
  <c r="S99" i="1" s="1"/>
  <c r="CA44" i="16" s="1"/>
  <c r="G99" i="1"/>
  <c r="A101" i="1"/>
  <c r="D100" i="1"/>
  <c r="F100" i="1"/>
  <c r="H100" i="1" s="1"/>
  <c r="E100" i="1"/>
  <c r="B100" i="1"/>
  <c r="C100" i="1"/>
  <c r="N98" i="1" l="1"/>
  <c r="M76" i="31" s="1"/>
  <c r="E76" i="31"/>
  <c r="F76" i="31" s="1"/>
  <c r="AN43" i="16"/>
  <c r="BH43" i="16"/>
  <c r="T386" i="1"/>
  <c r="U386" i="1" s="1"/>
  <c r="CB44" i="16"/>
  <c r="AX44" i="16"/>
  <c r="U385" i="1"/>
  <c r="Y100" i="1"/>
  <c r="Z100" i="1" s="1"/>
  <c r="P100" i="1"/>
  <c r="Y239" i="1"/>
  <c r="Z239" i="1" s="1"/>
  <c r="P239" i="1"/>
  <c r="Q239" i="1" s="1"/>
  <c r="AW37" i="27" s="1"/>
  <c r="AX37" i="27" s="1"/>
  <c r="X99" i="1"/>
  <c r="Q99" i="1"/>
  <c r="AM44" i="16" s="1"/>
  <c r="L387" i="1"/>
  <c r="AW38" i="28" s="1"/>
  <c r="AX38" i="28" s="1"/>
  <c r="Q387" i="1"/>
  <c r="L239" i="1"/>
  <c r="BG37" i="27" s="1"/>
  <c r="BH37" i="27" s="1"/>
  <c r="L100" i="1"/>
  <c r="AW45" i="16" s="1"/>
  <c r="N386" i="1"/>
  <c r="X386" i="1"/>
  <c r="K386" i="1"/>
  <c r="A67" i="3"/>
  <c r="K238" i="1"/>
  <c r="M238" i="1"/>
  <c r="N238" i="1" s="1"/>
  <c r="K99" i="1"/>
  <c r="A389" i="1"/>
  <c r="D388" i="1"/>
  <c r="P388" i="1" s="1"/>
  <c r="F388" i="1"/>
  <c r="H388" i="1" s="1"/>
  <c r="B388" i="1"/>
  <c r="C388" i="1"/>
  <c r="E388" i="1"/>
  <c r="AA388" i="1" s="1"/>
  <c r="J387" i="1"/>
  <c r="G387" i="1"/>
  <c r="F240" i="1"/>
  <c r="H240" i="1" s="1"/>
  <c r="D240" i="1"/>
  <c r="B240" i="1"/>
  <c r="C240" i="1"/>
  <c r="E240" i="1"/>
  <c r="A241" i="1"/>
  <c r="G239" i="1"/>
  <c r="X239" i="1" s="1"/>
  <c r="R239" i="1"/>
  <c r="S239" i="1" s="1"/>
  <c r="G100" i="1"/>
  <c r="R100" i="1"/>
  <c r="S100" i="1" s="1"/>
  <c r="CA45" i="16" s="1"/>
  <c r="A102" i="1"/>
  <c r="F101" i="1"/>
  <c r="H101" i="1" s="1"/>
  <c r="B101" i="1"/>
  <c r="C101" i="1"/>
  <c r="D101" i="1"/>
  <c r="E101" i="1"/>
  <c r="T387" i="1" l="1"/>
  <c r="N99" i="1"/>
  <c r="M77" i="31" s="1"/>
  <c r="E77" i="31"/>
  <c r="F77" i="31" s="1"/>
  <c r="AC37" i="28"/>
  <c r="AD37" i="28" s="1"/>
  <c r="BH44" i="16"/>
  <c r="AN44" i="16"/>
  <c r="AX45" i="16"/>
  <c r="CB45" i="16"/>
  <c r="S36" i="28"/>
  <c r="T36" i="28" s="1"/>
  <c r="Y101" i="1"/>
  <c r="Z101" i="1" s="1"/>
  <c r="P101" i="1"/>
  <c r="Y240" i="1"/>
  <c r="Z240" i="1" s="1"/>
  <c r="P240" i="1"/>
  <c r="S37" i="28"/>
  <c r="T37" i="28" s="1"/>
  <c r="AC38" i="28"/>
  <c r="AD38" i="28" s="1"/>
  <c r="X100" i="1"/>
  <c r="Q100" i="1"/>
  <c r="AM45" i="16" s="1"/>
  <c r="L388" i="1"/>
  <c r="AW39" i="28" s="1"/>
  <c r="AX39" i="28" s="1"/>
  <c r="Q388" i="1"/>
  <c r="L240" i="1"/>
  <c r="BG38" i="27" s="1"/>
  <c r="BH38" i="27" s="1"/>
  <c r="Q240" i="1"/>
  <c r="AW38" i="27" s="1"/>
  <c r="AX38" i="27" s="1"/>
  <c r="U387" i="1"/>
  <c r="AD384" i="1"/>
  <c r="AD385" i="1"/>
  <c r="L101" i="1"/>
  <c r="AW46" i="16" s="1"/>
  <c r="X387" i="1"/>
  <c r="K387" i="1"/>
  <c r="M387" i="1"/>
  <c r="N387" i="1" s="1"/>
  <c r="A68" i="3"/>
  <c r="K239" i="1"/>
  <c r="M239" i="1"/>
  <c r="N239" i="1" s="1"/>
  <c r="K100" i="1"/>
  <c r="G388" i="1"/>
  <c r="M388" i="1" s="1"/>
  <c r="J388" i="1"/>
  <c r="A390" i="1"/>
  <c r="D389" i="1"/>
  <c r="P389" i="1" s="1"/>
  <c r="F389" i="1"/>
  <c r="H389" i="1" s="1"/>
  <c r="C389" i="1"/>
  <c r="B389" i="1"/>
  <c r="E389" i="1"/>
  <c r="AA389" i="1" s="1"/>
  <c r="C241" i="1"/>
  <c r="E241" i="1"/>
  <c r="A242" i="1"/>
  <c r="D241" i="1"/>
  <c r="F241" i="1"/>
  <c r="H241" i="1" s="1"/>
  <c r="B241" i="1"/>
  <c r="G240" i="1"/>
  <c r="X240" i="1" s="1"/>
  <c r="R240" i="1"/>
  <c r="S240" i="1" s="1"/>
  <c r="G101" i="1"/>
  <c r="R101" i="1"/>
  <c r="S101" i="1" s="1"/>
  <c r="CA46" i="16" s="1"/>
  <c r="A103" i="1"/>
  <c r="C102" i="1"/>
  <c r="B102" i="1"/>
  <c r="F102" i="1"/>
  <c r="H102" i="1" s="1"/>
  <c r="D102" i="1"/>
  <c r="E102" i="1"/>
  <c r="N100" i="1" l="1"/>
  <c r="M78" i="31" s="1"/>
  <c r="E78" i="31"/>
  <c r="F78" i="31" s="1"/>
  <c r="BH45" i="16"/>
  <c r="AN45" i="16"/>
  <c r="T388" i="1"/>
  <c r="AC39" i="28" s="1"/>
  <c r="AD39" i="28" s="1"/>
  <c r="CB46" i="16"/>
  <c r="AX46" i="16"/>
  <c r="Y102" i="1"/>
  <c r="Z102" i="1" s="1"/>
  <c r="P102" i="1"/>
  <c r="Y241" i="1"/>
  <c r="Z241" i="1" s="1"/>
  <c r="P241" i="1"/>
  <c r="Q241" i="1" s="1"/>
  <c r="AW39" i="27" s="1"/>
  <c r="AX39" i="27" s="1"/>
  <c r="S38" i="28"/>
  <c r="T38" i="28" s="1"/>
  <c r="X101" i="1"/>
  <c r="Q101" i="1"/>
  <c r="AM46" i="16" s="1"/>
  <c r="L389" i="1"/>
  <c r="AW40" i="28" s="1"/>
  <c r="AX40" i="28" s="1"/>
  <c r="Q389" i="1"/>
  <c r="L241" i="1"/>
  <c r="BG39" i="27" s="1"/>
  <c r="BH39" i="27" s="1"/>
  <c r="AD386" i="1"/>
  <c r="L102" i="1"/>
  <c r="AW47" i="16" s="1"/>
  <c r="N388" i="1"/>
  <c r="X388" i="1"/>
  <c r="K388" i="1"/>
  <c r="A69" i="3"/>
  <c r="K240" i="1"/>
  <c r="M240" i="1"/>
  <c r="N240" i="1" s="1"/>
  <c r="K101" i="1"/>
  <c r="F390" i="1"/>
  <c r="H390" i="1" s="1"/>
  <c r="E390" i="1"/>
  <c r="AA390" i="1" s="1"/>
  <c r="C390" i="1"/>
  <c r="D390" i="1"/>
  <c r="P390" i="1" s="1"/>
  <c r="A391" i="1"/>
  <c r="B390" i="1"/>
  <c r="G389" i="1"/>
  <c r="J389" i="1"/>
  <c r="R241" i="1"/>
  <c r="S241" i="1" s="1"/>
  <c r="G241" i="1"/>
  <c r="X241" i="1" s="1"/>
  <c r="B242" i="1"/>
  <c r="E242" i="1"/>
  <c r="A243" i="1"/>
  <c r="D242" i="1"/>
  <c r="F242" i="1"/>
  <c r="H242" i="1" s="1"/>
  <c r="C242" i="1"/>
  <c r="G102" i="1"/>
  <c r="R102" i="1"/>
  <c r="S102" i="1" s="1"/>
  <c r="CA47" i="16" s="1"/>
  <c r="A104" i="1"/>
  <c r="D103" i="1"/>
  <c r="F103" i="1"/>
  <c r="H103" i="1" s="1"/>
  <c r="C103" i="1"/>
  <c r="E103" i="1"/>
  <c r="B103" i="1"/>
  <c r="U388" i="1" l="1"/>
  <c r="T389" i="1"/>
  <c r="AC40" i="28" s="1"/>
  <c r="AD40" i="28" s="1"/>
  <c r="N101" i="1"/>
  <c r="M79" i="31" s="1"/>
  <c r="E79" i="31"/>
  <c r="F79" i="31" s="1"/>
  <c r="BH46" i="16"/>
  <c r="AN46" i="16"/>
  <c r="AX47" i="16"/>
  <c r="CB47" i="16"/>
  <c r="Y103" i="1"/>
  <c r="Z103" i="1" s="1"/>
  <c r="P103" i="1"/>
  <c r="Y242" i="1"/>
  <c r="Z242" i="1" s="1"/>
  <c r="P242" i="1"/>
  <c r="Q242" i="1" s="1"/>
  <c r="AW40" i="27" s="1"/>
  <c r="AX40" i="27" s="1"/>
  <c r="S39" i="28"/>
  <c r="T39" i="28" s="1"/>
  <c r="X102" i="1"/>
  <c r="Q102" i="1"/>
  <c r="AM47" i="16" s="1"/>
  <c r="L390" i="1"/>
  <c r="AW41" i="28" s="1"/>
  <c r="AX41" i="28" s="1"/>
  <c r="Q390" i="1"/>
  <c r="L242" i="1"/>
  <c r="BG40" i="27" s="1"/>
  <c r="BH40" i="27" s="1"/>
  <c r="AD387" i="1"/>
  <c r="L103" i="1"/>
  <c r="AW48" i="16" s="1"/>
  <c r="X389" i="1"/>
  <c r="K389" i="1"/>
  <c r="M389" i="1"/>
  <c r="N389" i="1" s="1"/>
  <c r="A70" i="3"/>
  <c r="K241" i="1"/>
  <c r="M241" i="1"/>
  <c r="N241" i="1" s="1"/>
  <c r="K102" i="1"/>
  <c r="B391" i="1"/>
  <c r="E391" i="1"/>
  <c r="AA391" i="1" s="1"/>
  <c r="A392" i="1"/>
  <c r="D391" i="1"/>
  <c r="P391" i="1" s="1"/>
  <c r="F391" i="1"/>
  <c r="H391" i="1" s="1"/>
  <c r="C391" i="1"/>
  <c r="G390" i="1"/>
  <c r="M390" i="1" s="1"/>
  <c r="J390" i="1"/>
  <c r="T390" i="1" s="1"/>
  <c r="G242" i="1"/>
  <c r="X242" i="1" s="1"/>
  <c r="R242" i="1"/>
  <c r="S242" i="1" s="1"/>
  <c r="E243" i="1"/>
  <c r="A244" i="1"/>
  <c r="D243" i="1"/>
  <c r="B243" i="1"/>
  <c r="C243" i="1"/>
  <c r="F243" i="1"/>
  <c r="H243" i="1" s="1"/>
  <c r="A105" i="1"/>
  <c r="E104" i="1"/>
  <c r="D104" i="1"/>
  <c r="F104" i="1"/>
  <c r="H104" i="1" s="1"/>
  <c r="C104" i="1"/>
  <c r="B104" i="1"/>
  <c r="R103" i="1"/>
  <c r="S103" i="1" s="1"/>
  <c r="CA48" i="16" s="1"/>
  <c r="G103" i="1"/>
  <c r="U389" i="1" l="1"/>
  <c r="N102" i="1"/>
  <c r="M80" i="31" s="1"/>
  <c r="E80" i="31"/>
  <c r="F80" i="31" s="1"/>
  <c r="AN47" i="16"/>
  <c r="BH47" i="16"/>
  <c r="AX48" i="16"/>
  <c r="CB48" i="16"/>
  <c r="Y104" i="1"/>
  <c r="Z104" i="1" s="1"/>
  <c r="P104" i="1"/>
  <c r="Y243" i="1"/>
  <c r="Z243" i="1" s="1"/>
  <c r="P243" i="1"/>
  <c r="AC41" i="28"/>
  <c r="AD41" i="28" s="1"/>
  <c r="S40" i="28"/>
  <c r="T40" i="28" s="1"/>
  <c r="X103" i="1"/>
  <c r="Q103" i="1"/>
  <c r="AM48" i="16" s="1"/>
  <c r="L391" i="1"/>
  <c r="AW42" i="28" s="1"/>
  <c r="AX42" i="28" s="1"/>
  <c r="Q391" i="1"/>
  <c r="L243" i="1"/>
  <c r="BG41" i="27" s="1"/>
  <c r="BH41" i="27" s="1"/>
  <c r="Q243" i="1"/>
  <c r="AW41" i="27" s="1"/>
  <c r="AX41" i="27" s="1"/>
  <c r="U390" i="1"/>
  <c r="L104" i="1"/>
  <c r="AW49" i="16" s="1"/>
  <c r="N390" i="1"/>
  <c r="X390" i="1"/>
  <c r="K390" i="1"/>
  <c r="A71" i="3"/>
  <c r="K242" i="1"/>
  <c r="M242" i="1"/>
  <c r="N242" i="1" s="1"/>
  <c r="K103" i="1"/>
  <c r="G391" i="1"/>
  <c r="M391" i="1" s="1"/>
  <c r="J391" i="1"/>
  <c r="A393" i="1"/>
  <c r="F392" i="1"/>
  <c r="H392" i="1" s="1"/>
  <c r="C392" i="1"/>
  <c r="D392" i="1"/>
  <c r="P392" i="1" s="1"/>
  <c r="E392" i="1"/>
  <c r="AA392" i="1" s="1"/>
  <c r="B392" i="1"/>
  <c r="C244" i="1"/>
  <c r="E244" i="1"/>
  <c r="F244" i="1"/>
  <c r="H244" i="1" s="1"/>
  <c r="D244" i="1"/>
  <c r="B244" i="1"/>
  <c r="A245" i="1"/>
  <c r="G243" i="1"/>
  <c r="X243" i="1" s="1"/>
  <c r="R243" i="1"/>
  <c r="S243" i="1" s="1"/>
  <c r="R104" i="1"/>
  <c r="S104" i="1" s="1"/>
  <c r="CA49" i="16" s="1"/>
  <c r="G104" i="1"/>
  <c r="A106" i="1"/>
  <c r="E105" i="1"/>
  <c r="B105" i="1"/>
  <c r="D105" i="1"/>
  <c r="C105" i="1"/>
  <c r="F105" i="1"/>
  <c r="H105" i="1" s="1"/>
  <c r="N103" i="1" l="1"/>
  <c r="M81" i="31" s="1"/>
  <c r="E81" i="31"/>
  <c r="F81" i="31" s="1"/>
  <c r="AN48" i="16"/>
  <c r="BH48" i="16"/>
  <c r="CB49" i="16"/>
  <c r="AX49" i="16"/>
  <c r="T391" i="1"/>
  <c r="U391" i="1" s="1"/>
  <c r="Y105" i="1"/>
  <c r="Z105" i="1" s="1"/>
  <c r="P105" i="1"/>
  <c r="Y244" i="1"/>
  <c r="Z244" i="1" s="1"/>
  <c r="P244" i="1"/>
  <c r="Q244" i="1" s="1"/>
  <c r="AW42" i="27" s="1"/>
  <c r="AX42" i="27" s="1"/>
  <c r="S41" i="28"/>
  <c r="T41" i="28" s="1"/>
  <c r="X104" i="1"/>
  <c r="Q104" i="1"/>
  <c r="AM49" i="16" s="1"/>
  <c r="L392" i="1"/>
  <c r="AW43" i="28" s="1"/>
  <c r="AX43" i="28" s="1"/>
  <c r="Q392" i="1"/>
  <c r="L244" i="1"/>
  <c r="BG42" i="27" s="1"/>
  <c r="BH42" i="27" s="1"/>
  <c r="AD388" i="1"/>
  <c r="AD389" i="1"/>
  <c r="L105" i="1"/>
  <c r="AW50" i="16" s="1"/>
  <c r="N391" i="1"/>
  <c r="X391" i="1"/>
  <c r="K391" i="1"/>
  <c r="A72" i="3"/>
  <c r="K243" i="1"/>
  <c r="M243" i="1"/>
  <c r="N243" i="1" s="1"/>
  <c r="K104" i="1"/>
  <c r="G392" i="1"/>
  <c r="M392" i="1" s="1"/>
  <c r="J392" i="1"/>
  <c r="A394" i="1"/>
  <c r="E393" i="1"/>
  <c r="AA393" i="1" s="1"/>
  <c r="F393" i="1"/>
  <c r="H393" i="1" s="1"/>
  <c r="C393" i="1"/>
  <c r="B393" i="1"/>
  <c r="D393" i="1"/>
  <c r="P393" i="1" s="1"/>
  <c r="G244" i="1"/>
  <c r="X244" i="1" s="1"/>
  <c r="R244" i="1"/>
  <c r="S244" i="1" s="1"/>
  <c r="B245" i="1"/>
  <c r="C245" i="1"/>
  <c r="E245" i="1"/>
  <c r="A246" i="1"/>
  <c r="D245" i="1"/>
  <c r="F245" i="1"/>
  <c r="H245" i="1" s="1"/>
  <c r="G105" i="1"/>
  <c r="R105" i="1"/>
  <c r="S105" i="1" s="1"/>
  <c r="CA50" i="16" s="1"/>
  <c r="A107" i="1"/>
  <c r="B106" i="1"/>
  <c r="D106" i="1"/>
  <c r="E106" i="1"/>
  <c r="F106" i="1"/>
  <c r="H106" i="1" s="1"/>
  <c r="C106" i="1"/>
  <c r="N104" i="1" l="1"/>
  <c r="M82" i="31" s="1"/>
  <c r="E82" i="31"/>
  <c r="F82" i="31" s="1"/>
  <c r="AN49" i="16"/>
  <c r="BH49" i="16"/>
  <c r="CB50" i="16"/>
  <c r="AX50" i="16"/>
  <c r="AC42" i="28"/>
  <c r="AD42" i="28" s="1"/>
  <c r="T392" i="1"/>
  <c r="AC43" i="28" s="1"/>
  <c r="AD43" i="28" s="1"/>
  <c r="Y106" i="1"/>
  <c r="Z106" i="1" s="1"/>
  <c r="P106" i="1"/>
  <c r="Y245" i="1"/>
  <c r="Z245" i="1" s="1"/>
  <c r="P245" i="1"/>
  <c r="Q245" i="1" s="1"/>
  <c r="AW43" i="27" s="1"/>
  <c r="AX43" i="27" s="1"/>
  <c r="S42" i="28"/>
  <c r="T42" i="28" s="1"/>
  <c r="X105" i="1"/>
  <c r="Q105" i="1"/>
  <c r="AM50" i="16" s="1"/>
  <c r="L393" i="1"/>
  <c r="AW44" i="28" s="1"/>
  <c r="AX44" i="28" s="1"/>
  <c r="Q393" i="1"/>
  <c r="L245" i="1"/>
  <c r="BG43" i="27" s="1"/>
  <c r="BH43" i="27" s="1"/>
  <c r="L106" i="1"/>
  <c r="AW51" i="16" s="1"/>
  <c r="N392" i="1"/>
  <c r="X392" i="1"/>
  <c r="K392" i="1"/>
  <c r="A73" i="3"/>
  <c r="K244" i="1"/>
  <c r="M244" i="1"/>
  <c r="N244" i="1" s="1"/>
  <c r="K105" i="1"/>
  <c r="J393" i="1"/>
  <c r="T393" i="1" s="1"/>
  <c r="G393" i="1"/>
  <c r="M393" i="1" s="1"/>
  <c r="F394" i="1"/>
  <c r="H394" i="1" s="1"/>
  <c r="C394" i="1"/>
  <c r="D394" i="1"/>
  <c r="P394" i="1" s="1"/>
  <c r="B394" i="1"/>
  <c r="A395" i="1"/>
  <c r="E394" i="1"/>
  <c r="AA394" i="1" s="1"/>
  <c r="F246" i="1"/>
  <c r="H246" i="1" s="1"/>
  <c r="C246" i="1"/>
  <c r="A247" i="1"/>
  <c r="D246" i="1"/>
  <c r="B246" i="1"/>
  <c r="E246" i="1"/>
  <c r="G245" i="1"/>
  <c r="X245" i="1" s="1"/>
  <c r="R245" i="1"/>
  <c r="S245" i="1" s="1"/>
  <c r="A108" i="1"/>
  <c r="F107" i="1"/>
  <c r="H107" i="1" s="1"/>
  <c r="B107" i="1"/>
  <c r="E107" i="1"/>
  <c r="C107" i="1"/>
  <c r="D107" i="1"/>
  <c r="R106" i="1"/>
  <c r="S106" i="1" s="1"/>
  <c r="CA51" i="16" s="1"/>
  <c r="G106" i="1"/>
  <c r="N105" i="1" l="1"/>
  <c r="M83" i="31" s="1"/>
  <c r="E83" i="31"/>
  <c r="F83" i="31" s="1"/>
  <c r="BH50" i="16"/>
  <c r="AN50" i="16"/>
  <c r="AX51" i="16"/>
  <c r="CB51" i="16"/>
  <c r="U392" i="1"/>
  <c r="Y107" i="1"/>
  <c r="Z107" i="1" s="1"/>
  <c r="P107" i="1"/>
  <c r="Y246" i="1"/>
  <c r="Z246" i="1" s="1"/>
  <c r="P246" i="1"/>
  <c r="Q246" i="1" s="1"/>
  <c r="AW44" i="27" s="1"/>
  <c r="AX44" i="27" s="1"/>
  <c r="AC44" i="28"/>
  <c r="AD44" i="28" s="1"/>
  <c r="X106" i="1"/>
  <c r="Q106" i="1"/>
  <c r="AM51" i="16" s="1"/>
  <c r="L394" i="1"/>
  <c r="AW45" i="28" s="1"/>
  <c r="AX45" i="28" s="1"/>
  <c r="Q394" i="1"/>
  <c r="L246" i="1"/>
  <c r="BG44" i="27" s="1"/>
  <c r="BH44" i="27" s="1"/>
  <c r="U393" i="1"/>
  <c r="AD391" i="1"/>
  <c r="AD390" i="1"/>
  <c r="L107" i="1"/>
  <c r="AW52" i="16" s="1"/>
  <c r="N393" i="1"/>
  <c r="X393" i="1"/>
  <c r="K393" i="1"/>
  <c r="A74" i="3"/>
  <c r="K245" i="1"/>
  <c r="M245" i="1"/>
  <c r="N245" i="1" s="1"/>
  <c r="K106" i="1"/>
  <c r="J394" i="1"/>
  <c r="G394" i="1"/>
  <c r="M394" i="1" s="1"/>
  <c r="D395" i="1"/>
  <c r="P395" i="1" s="1"/>
  <c r="C395" i="1"/>
  <c r="A396" i="1"/>
  <c r="E395" i="1"/>
  <c r="AA395" i="1" s="1"/>
  <c r="F395" i="1"/>
  <c r="H395" i="1" s="1"/>
  <c r="B395" i="1"/>
  <c r="G246" i="1"/>
  <c r="X246" i="1" s="1"/>
  <c r="R246" i="1"/>
  <c r="S246" i="1" s="1"/>
  <c r="A248" i="1"/>
  <c r="E247" i="1"/>
  <c r="F247" i="1"/>
  <c r="H247" i="1" s="1"/>
  <c r="D247" i="1"/>
  <c r="B247" i="1"/>
  <c r="C247" i="1"/>
  <c r="A109" i="1"/>
  <c r="B108" i="1"/>
  <c r="D108" i="1"/>
  <c r="E108" i="1"/>
  <c r="F108" i="1"/>
  <c r="H108" i="1" s="1"/>
  <c r="C108" i="1"/>
  <c r="R107" i="1"/>
  <c r="S107" i="1" s="1"/>
  <c r="CA52" i="16" s="1"/>
  <c r="G107" i="1"/>
  <c r="N106" i="1" l="1"/>
  <c r="M84" i="31" s="1"/>
  <c r="E84" i="31"/>
  <c r="F84" i="31" s="1"/>
  <c r="AN51" i="16"/>
  <c r="BH51" i="16"/>
  <c r="Q107" i="1"/>
  <c r="AM52" i="16" s="1"/>
  <c r="T394" i="1"/>
  <c r="U394" i="1" s="1"/>
  <c r="AX52" i="16"/>
  <c r="CB52" i="16"/>
  <c r="S43" i="28"/>
  <c r="T43" i="28" s="1"/>
  <c r="Y108" i="1"/>
  <c r="Z108" i="1" s="1"/>
  <c r="P108" i="1"/>
  <c r="Y247" i="1"/>
  <c r="Z247" i="1" s="1"/>
  <c r="P247" i="1"/>
  <c r="Q247" i="1" s="1"/>
  <c r="AW45" i="27" s="1"/>
  <c r="AX45" i="27" s="1"/>
  <c r="S44" i="28"/>
  <c r="T44" i="28" s="1"/>
  <c r="L395" i="1"/>
  <c r="AW46" i="28" s="1"/>
  <c r="AX46" i="28" s="1"/>
  <c r="Q395" i="1"/>
  <c r="L247" i="1"/>
  <c r="BG45" i="27" s="1"/>
  <c r="BH45" i="27" s="1"/>
  <c r="AD392" i="1"/>
  <c r="L108" i="1"/>
  <c r="AW53" i="16" s="1"/>
  <c r="N394" i="1"/>
  <c r="X394" i="1"/>
  <c r="K394" i="1"/>
  <c r="A75" i="3"/>
  <c r="X107" i="1"/>
  <c r="K246" i="1"/>
  <c r="M246" i="1"/>
  <c r="N246" i="1" s="1"/>
  <c r="K107" i="1"/>
  <c r="B396" i="1"/>
  <c r="C396" i="1"/>
  <c r="E396" i="1"/>
  <c r="A397" i="1"/>
  <c r="D396" i="1"/>
  <c r="P396" i="1" s="1"/>
  <c r="F396" i="1"/>
  <c r="H396" i="1" s="1"/>
  <c r="J395" i="1"/>
  <c r="G395" i="1"/>
  <c r="M395" i="1" s="1"/>
  <c r="D248" i="1"/>
  <c r="B248" i="1"/>
  <c r="C248" i="1"/>
  <c r="E248" i="1"/>
  <c r="A249" i="1"/>
  <c r="F248" i="1"/>
  <c r="H248" i="1" s="1"/>
  <c r="G247" i="1"/>
  <c r="X247" i="1" s="1"/>
  <c r="R247" i="1"/>
  <c r="S247" i="1" s="1"/>
  <c r="A110" i="1"/>
  <c r="D109" i="1"/>
  <c r="C109" i="1"/>
  <c r="F109" i="1"/>
  <c r="H109" i="1" s="1"/>
  <c r="E109" i="1"/>
  <c r="B109" i="1"/>
  <c r="G108" i="1"/>
  <c r="R108" i="1"/>
  <c r="S108" i="1" s="1"/>
  <c r="CA53" i="16" s="1"/>
  <c r="N107" i="1" l="1"/>
  <c r="M85" i="31" s="1"/>
  <c r="E85" i="31"/>
  <c r="F85" i="31" s="1"/>
  <c r="BH52" i="16"/>
  <c r="AN52" i="16"/>
  <c r="AC45" i="28"/>
  <c r="AD45" i="28" s="1"/>
  <c r="T395" i="1"/>
  <c r="AC46" i="28" s="1"/>
  <c r="AD46" i="28" s="1"/>
  <c r="CB53" i="16"/>
  <c r="AX53" i="16"/>
  <c r="Y109" i="1"/>
  <c r="Z109" i="1" s="1"/>
  <c r="P109" i="1"/>
  <c r="Y248" i="1"/>
  <c r="Z248" i="1" s="1"/>
  <c r="P248" i="1"/>
  <c r="Q248" i="1" s="1"/>
  <c r="S45" i="28"/>
  <c r="T45" i="28" s="1"/>
  <c r="X108" i="1"/>
  <c r="Q108" i="1"/>
  <c r="AM53" i="16" s="1"/>
  <c r="L396" i="1"/>
  <c r="AW47" i="28" s="1"/>
  <c r="AX47" i="28" s="1"/>
  <c r="Q396" i="1"/>
  <c r="L248" i="1"/>
  <c r="BG46" i="27" s="1"/>
  <c r="BH46" i="27" s="1"/>
  <c r="AD393" i="1"/>
  <c r="L109" i="1"/>
  <c r="AW54" i="16" s="1"/>
  <c r="N395" i="1"/>
  <c r="X395" i="1"/>
  <c r="K395" i="1"/>
  <c r="A76" i="3"/>
  <c r="K247" i="1"/>
  <c r="M247" i="1"/>
  <c r="N247" i="1" s="1"/>
  <c r="K108" i="1"/>
  <c r="AA396" i="1"/>
  <c r="A398" i="1"/>
  <c r="D397" i="1"/>
  <c r="P397" i="1" s="1"/>
  <c r="F397" i="1"/>
  <c r="H397" i="1" s="1"/>
  <c r="C397" i="1"/>
  <c r="B397" i="1"/>
  <c r="E397" i="1"/>
  <c r="AA397" i="1" s="1"/>
  <c r="G396" i="1"/>
  <c r="J396" i="1"/>
  <c r="C249" i="1"/>
  <c r="E249" i="1"/>
  <c r="A250" i="1"/>
  <c r="D249" i="1"/>
  <c r="F249" i="1"/>
  <c r="H249" i="1" s="1"/>
  <c r="B249" i="1"/>
  <c r="G248" i="1"/>
  <c r="X248" i="1" s="1"/>
  <c r="R248" i="1"/>
  <c r="S248" i="1" s="1"/>
  <c r="G109" i="1"/>
  <c r="R109" i="1"/>
  <c r="S109" i="1" s="1"/>
  <c r="CA54" i="16" s="1"/>
  <c r="A111" i="1"/>
  <c r="F110" i="1"/>
  <c r="H110" i="1" s="1"/>
  <c r="C110" i="1"/>
  <c r="B110" i="1"/>
  <c r="D110" i="1"/>
  <c r="E110" i="1"/>
  <c r="N108" i="1" l="1"/>
  <c r="M86" i="31" s="1"/>
  <c r="E86" i="31"/>
  <c r="F86" i="31" s="1"/>
  <c r="BH53" i="16"/>
  <c r="AN53" i="16"/>
  <c r="U395" i="1"/>
  <c r="S46" i="28" s="1"/>
  <c r="T46" i="28" s="1"/>
  <c r="T396" i="1"/>
  <c r="AC47" i="28" s="1"/>
  <c r="AD47" i="28" s="1"/>
  <c r="Q109" i="1"/>
  <c r="AM54" i="16" s="1"/>
  <c r="AX54" i="16"/>
  <c r="CB54" i="16"/>
  <c r="Y110" i="1"/>
  <c r="Z110" i="1" s="1"/>
  <c r="P110" i="1"/>
  <c r="Y249" i="1"/>
  <c r="Z249" i="1" s="1"/>
  <c r="P249" i="1"/>
  <c r="Q249" i="1" s="1"/>
  <c r="AW47" i="27" s="1"/>
  <c r="AX47" i="27" s="1"/>
  <c r="AW46" i="27"/>
  <c r="AX46" i="27" s="1"/>
  <c r="L397" i="1"/>
  <c r="AW48" i="28" s="1"/>
  <c r="AX48" i="28" s="1"/>
  <c r="Q397" i="1"/>
  <c r="L249" i="1"/>
  <c r="BG47" i="27" s="1"/>
  <c r="BH47" i="27" s="1"/>
  <c r="AD394" i="1"/>
  <c r="L110" i="1"/>
  <c r="AW55" i="16" s="1"/>
  <c r="X396" i="1"/>
  <c r="K396" i="1"/>
  <c r="M396" i="1"/>
  <c r="N396" i="1" s="1"/>
  <c r="A77" i="3"/>
  <c r="X109" i="1"/>
  <c r="K248" i="1"/>
  <c r="M248" i="1"/>
  <c r="N248" i="1" s="1"/>
  <c r="K109" i="1"/>
  <c r="J397" i="1"/>
  <c r="G397" i="1"/>
  <c r="B398" i="1"/>
  <c r="A399" i="1"/>
  <c r="D398" i="1"/>
  <c r="P398" i="1" s="1"/>
  <c r="F398" i="1"/>
  <c r="H398" i="1" s="1"/>
  <c r="C398" i="1"/>
  <c r="E398" i="1"/>
  <c r="AA398" i="1" s="1"/>
  <c r="R249" i="1"/>
  <c r="S249" i="1" s="1"/>
  <c r="G249" i="1"/>
  <c r="X249" i="1" s="1"/>
  <c r="E250" i="1"/>
  <c r="A251" i="1"/>
  <c r="D250" i="1"/>
  <c r="F250" i="1"/>
  <c r="H250" i="1" s="1"/>
  <c r="C250" i="1"/>
  <c r="B250" i="1"/>
  <c r="G110" i="1"/>
  <c r="R110" i="1"/>
  <c r="S110" i="1" s="1"/>
  <c r="CA55" i="16" s="1"/>
  <c r="A112" i="1"/>
  <c r="F111" i="1"/>
  <c r="H111" i="1" s="1"/>
  <c r="B111" i="1"/>
  <c r="D111" i="1"/>
  <c r="E111" i="1"/>
  <c r="C111" i="1"/>
  <c r="N109" i="1" l="1"/>
  <c r="M87" i="31" s="1"/>
  <c r="E87" i="31"/>
  <c r="F87" i="31" s="1"/>
  <c r="AN54" i="16"/>
  <c r="BH54" i="16"/>
  <c r="U396" i="1"/>
  <c r="S47" i="28" s="1"/>
  <c r="T47" i="28" s="1"/>
  <c r="T397" i="1"/>
  <c r="AC48" i="28" s="1"/>
  <c r="AD48" i="28" s="1"/>
  <c r="AX55" i="16"/>
  <c r="CB55" i="16"/>
  <c r="Y111" i="1"/>
  <c r="Z111" i="1" s="1"/>
  <c r="P111" i="1"/>
  <c r="Y250" i="1"/>
  <c r="Z250" i="1" s="1"/>
  <c r="P250" i="1"/>
  <c r="Q250" i="1" s="1"/>
  <c r="AW48" i="27" s="1"/>
  <c r="AX48" i="27" s="1"/>
  <c r="X110" i="1"/>
  <c r="Q110" i="1"/>
  <c r="AM55" i="16" s="1"/>
  <c r="L398" i="1"/>
  <c r="AW49" i="28" s="1"/>
  <c r="AX49" i="28" s="1"/>
  <c r="Q398" i="1"/>
  <c r="L250" i="1"/>
  <c r="BG48" i="27" s="1"/>
  <c r="BH48" i="27" s="1"/>
  <c r="L111" i="1"/>
  <c r="AW56" i="16" s="1"/>
  <c r="X397" i="1"/>
  <c r="K397" i="1"/>
  <c r="M397" i="1"/>
  <c r="N397" i="1" s="1"/>
  <c r="A78" i="3"/>
  <c r="K249" i="1"/>
  <c r="M249" i="1"/>
  <c r="N249" i="1" s="1"/>
  <c r="K110" i="1"/>
  <c r="J398" i="1"/>
  <c r="G398" i="1"/>
  <c r="M398" i="1" s="1"/>
  <c r="E399" i="1"/>
  <c r="F399" i="1"/>
  <c r="H399" i="1" s="1"/>
  <c r="D399" i="1"/>
  <c r="P399" i="1" s="1"/>
  <c r="B399" i="1"/>
  <c r="C399" i="1"/>
  <c r="A400" i="1"/>
  <c r="G250" i="1"/>
  <c r="X250" i="1" s="1"/>
  <c r="R250" i="1"/>
  <c r="S250" i="1" s="1"/>
  <c r="A252" i="1"/>
  <c r="E251" i="1"/>
  <c r="F251" i="1"/>
  <c r="H251" i="1" s="1"/>
  <c r="D251" i="1"/>
  <c r="B251" i="1"/>
  <c r="C251" i="1"/>
  <c r="A113" i="1"/>
  <c r="D112" i="1"/>
  <c r="F112" i="1"/>
  <c r="H112" i="1" s="1"/>
  <c r="C112" i="1"/>
  <c r="B112" i="1"/>
  <c r="E112" i="1"/>
  <c r="G111" i="1"/>
  <c r="R111" i="1"/>
  <c r="S111" i="1" s="1"/>
  <c r="CA56" i="16" s="1"/>
  <c r="N110" i="1" l="1"/>
  <c r="M88" i="31" s="1"/>
  <c r="E88" i="31"/>
  <c r="F88" i="31" s="1"/>
  <c r="AN55" i="16"/>
  <c r="T398" i="1"/>
  <c r="U398" i="1" s="1"/>
  <c r="BH55" i="16"/>
  <c r="U397" i="1"/>
  <c r="S48" i="28" s="1"/>
  <c r="T48" i="28" s="1"/>
  <c r="CB56" i="16"/>
  <c r="AX56" i="16"/>
  <c r="Y112" i="1"/>
  <c r="Z112" i="1" s="1"/>
  <c r="P112" i="1"/>
  <c r="Y251" i="1"/>
  <c r="Z251" i="1" s="1"/>
  <c r="P251" i="1"/>
  <c r="Q251" i="1" s="1"/>
  <c r="AW49" i="27" s="1"/>
  <c r="AX49" i="27" s="1"/>
  <c r="X111" i="1"/>
  <c r="Q111" i="1"/>
  <c r="AM56" i="16" s="1"/>
  <c r="L399" i="1"/>
  <c r="AW50" i="28" s="1"/>
  <c r="AX50" i="28" s="1"/>
  <c r="Q399" i="1"/>
  <c r="L251" i="1"/>
  <c r="BG49" i="27" s="1"/>
  <c r="BH49" i="27" s="1"/>
  <c r="AD395" i="1"/>
  <c r="AD396" i="1"/>
  <c r="L112" i="1"/>
  <c r="AW57" i="16" s="1"/>
  <c r="N398" i="1"/>
  <c r="X398" i="1"/>
  <c r="K398" i="1"/>
  <c r="A79" i="3"/>
  <c r="K250" i="1"/>
  <c r="M250" i="1"/>
  <c r="N250" i="1" s="1"/>
  <c r="K111" i="1"/>
  <c r="AA399" i="1"/>
  <c r="G399" i="1"/>
  <c r="M399" i="1" s="1"/>
  <c r="J399" i="1"/>
  <c r="C400" i="1"/>
  <c r="E400" i="1"/>
  <c r="AA400" i="1" s="1"/>
  <c r="A401" i="1"/>
  <c r="F400" i="1"/>
  <c r="H400" i="1" s="1"/>
  <c r="D400" i="1"/>
  <c r="P400" i="1" s="1"/>
  <c r="B400" i="1"/>
  <c r="F252" i="1"/>
  <c r="H252" i="1" s="1"/>
  <c r="C252" i="1"/>
  <c r="E252" i="1"/>
  <c r="A253" i="1"/>
  <c r="D252" i="1"/>
  <c r="B252" i="1"/>
  <c r="R251" i="1"/>
  <c r="S251" i="1" s="1"/>
  <c r="G251" i="1"/>
  <c r="X251" i="1" s="1"/>
  <c r="G112" i="1"/>
  <c r="R112" i="1"/>
  <c r="S112" i="1" s="1"/>
  <c r="CA57" i="16" s="1"/>
  <c r="A114" i="1"/>
  <c r="F113" i="1"/>
  <c r="H113" i="1" s="1"/>
  <c r="E113" i="1"/>
  <c r="B113" i="1"/>
  <c r="C113" i="1"/>
  <c r="D113" i="1"/>
  <c r="N111" i="1" l="1"/>
  <c r="M89" i="31" s="1"/>
  <c r="E89" i="31"/>
  <c r="F89" i="31" s="1"/>
  <c r="AC49" i="28"/>
  <c r="AD49" i="28" s="1"/>
  <c r="BH56" i="16"/>
  <c r="AN56" i="16"/>
  <c r="T399" i="1"/>
  <c r="U399" i="1" s="1"/>
  <c r="CB57" i="16"/>
  <c r="AX57" i="16"/>
  <c r="Y113" i="1"/>
  <c r="Z113" i="1" s="1"/>
  <c r="P113" i="1"/>
  <c r="Y252" i="1"/>
  <c r="Z252" i="1" s="1"/>
  <c r="P252" i="1"/>
  <c r="Q252" i="1" s="1"/>
  <c r="AW50" i="27" s="1"/>
  <c r="AX50" i="27" s="1"/>
  <c r="S49" i="28"/>
  <c r="T49" i="28" s="1"/>
  <c r="X112" i="1"/>
  <c r="Q112" i="1"/>
  <c r="AM57" i="16" s="1"/>
  <c r="L400" i="1"/>
  <c r="AW51" i="28" s="1"/>
  <c r="AX51" i="28" s="1"/>
  <c r="Q400" i="1"/>
  <c r="L252" i="1"/>
  <c r="BG50" i="27" s="1"/>
  <c r="BH50" i="27" s="1"/>
  <c r="AD397" i="1"/>
  <c r="L113" i="1"/>
  <c r="AW58" i="16" s="1"/>
  <c r="N399" i="1"/>
  <c r="X399" i="1"/>
  <c r="K399" i="1"/>
  <c r="A80" i="3"/>
  <c r="K251" i="1"/>
  <c r="M251" i="1"/>
  <c r="N251" i="1" s="1"/>
  <c r="K112" i="1"/>
  <c r="F401" i="1"/>
  <c r="H401" i="1" s="1"/>
  <c r="B401" i="1"/>
  <c r="C401" i="1"/>
  <c r="E401" i="1"/>
  <c r="AA401" i="1" s="1"/>
  <c r="A402" i="1"/>
  <c r="D401" i="1"/>
  <c r="P401" i="1" s="1"/>
  <c r="G400" i="1"/>
  <c r="M400" i="1" s="1"/>
  <c r="J400" i="1"/>
  <c r="T400" i="1" s="1"/>
  <c r="G252" i="1"/>
  <c r="R252" i="1"/>
  <c r="S252" i="1" s="1"/>
  <c r="B253" i="1"/>
  <c r="C253" i="1"/>
  <c r="E253" i="1"/>
  <c r="A254" i="1"/>
  <c r="D253" i="1"/>
  <c r="F253" i="1"/>
  <c r="H253" i="1" s="1"/>
  <c r="G113" i="1"/>
  <c r="R113" i="1"/>
  <c r="S113" i="1" s="1"/>
  <c r="CA58" i="16" s="1"/>
  <c r="A115" i="1"/>
  <c r="B114" i="1"/>
  <c r="F114" i="1"/>
  <c r="H114" i="1" s="1"/>
  <c r="C114" i="1"/>
  <c r="D114" i="1"/>
  <c r="E114" i="1"/>
  <c r="N112" i="1" l="1"/>
  <c r="M90" i="31" s="1"/>
  <c r="E90" i="31"/>
  <c r="F90" i="31" s="1"/>
  <c r="AC50" i="28"/>
  <c r="AD50" i="28" s="1"/>
  <c r="BH57" i="16"/>
  <c r="AN57" i="16"/>
  <c r="CB58" i="16"/>
  <c r="AX58" i="16"/>
  <c r="Y114" i="1"/>
  <c r="Z114" i="1" s="1"/>
  <c r="P114" i="1"/>
  <c r="Y253" i="1"/>
  <c r="Z253" i="1" s="1"/>
  <c r="P253" i="1"/>
  <c r="Q253" i="1" s="1"/>
  <c r="AW51" i="27" s="1"/>
  <c r="AX51" i="27" s="1"/>
  <c r="S50" i="28"/>
  <c r="T50" i="28" s="1"/>
  <c r="AC51" i="28"/>
  <c r="AD51" i="28" s="1"/>
  <c r="X113" i="1"/>
  <c r="Q113" i="1"/>
  <c r="AM58" i="16" s="1"/>
  <c r="L401" i="1"/>
  <c r="AW52" i="28" s="1"/>
  <c r="AX52" i="28" s="1"/>
  <c r="Q401" i="1"/>
  <c r="L253" i="1"/>
  <c r="BG51" i="27" s="1"/>
  <c r="BH51" i="27" s="1"/>
  <c r="U400" i="1"/>
  <c r="AD398" i="1"/>
  <c r="L114" i="1"/>
  <c r="AW59" i="16" s="1"/>
  <c r="N400" i="1"/>
  <c r="X400" i="1"/>
  <c r="K400" i="1"/>
  <c r="A81" i="3"/>
  <c r="M252" i="1"/>
  <c r="N252" i="1" s="1"/>
  <c r="X252" i="1"/>
  <c r="K252" i="1"/>
  <c r="K113" i="1"/>
  <c r="B402" i="1"/>
  <c r="E402" i="1"/>
  <c r="AA402" i="1" s="1"/>
  <c r="A403" i="1"/>
  <c r="D402" i="1"/>
  <c r="P402" i="1" s="1"/>
  <c r="F402" i="1"/>
  <c r="H402" i="1" s="1"/>
  <c r="C402" i="1"/>
  <c r="G401" i="1"/>
  <c r="J401" i="1"/>
  <c r="D254" i="1"/>
  <c r="C254" i="1"/>
  <c r="A255" i="1"/>
  <c r="E254" i="1"/>
  <c r="F254" i="1"/>
  <c r="H254" i="1" s="1"/>
  <c r="B254" i="1"/>
  <c r="R253" i="1"/>
  <c r="S253" i="1" s="1"/>
  <c r="G253" i="1"/>
  <c r="G114" i="1"/>
  <c r="R114" i="1"/>
  <c r="S114" i="1" s="1"/>
  <c r="CA59" i="16" s="1"/>
  <c r="A116" i="1"/>
  <c r="D115" i="1"/>
  <c r="E115" i="1"/>
  <c r="B115" i="1"/>
  <c r="F115" i="1"/>
  <c r="H115" i="1" s="1"/>
  <c r="C115" i="1"/>
  <c r="N113" i="1" l="1"/>
  <c r="M91" i="31" s="1"/>
  <c r="E91" i="31"/>
  <c r="F91" i="31" s="1"/>
  <c r="BH58" i="16"/>
  <c r="AN58" i="16"/>
  <c r="AX59" i="16"/>
  <c r="CB59" i="16"/>
  <c r="T401" i="1"/>
  <c r="U401" i="1" s="1"/>
  <c r="Y115" i="1"/>
  <c r="Z115" i="1" s="1"/>
  <c r="P115" i="1"/>
  <c r="Y254" i="1"/>
  <c r="Z254" i="1" s="1"/>
  <c r="P254" i="1"/>
  <c r="Q254" i="1" s="1"/>
  <c r="AW52" i="27" s="1"/>
  <c r="AX52" i="27" s="1"/>
  <c r="S51" i="28"/>
  <c r="T51" i="28" s="1"/>
  <c r="X114" i="1"/>
  <c r="Q114" i="1"/>
  <c r="AM59" i="16" s="1"/>
  <c r="L402" i="1"/>
  <c r="AW53" i="28" s="1"/>
  <c r="AX53" i="28" s="1"/>
  <c r="Q402" i="1"/>
  <c r="L254" i="1"/>
  <c r="BG52" i="27" s="1"/>
  <c r="BH52" i="27" s="1"/>
  <c r="L115" i="1"/>
  <c r="AW60" i="16" s="1"/>
  <c r="X401" i="1"/>
  <c r="K401" i="1"/>
  <c r="M401" i="1"/>
  <c r="N401" i="1" s="1"/>
  <c r="A82" i="3"/>
  <c r="M253" i="1"/>
  <c r="N253" i="1" s="1"/>
  <c r="X253" i="1"/>
  <c r="K253" i="1"/>
  <c r="K114" i="1"/>
  <c r="G402" i="1"/>
  <c r="J402" i="1"/>
  <c r="C403" i="1"/>
  <c r="A404" i="1"/>
  <c r="E403" i="1"/>
  <c r="AA403" i="1" s="1"/>
  <c r="F403" i="1"/>
  <c r="H403" i="1" s="1"/>
  <c r="D403" i="1"/>
  <c r="P403" i="1" s="1"/>
  <c r="B403" i="1"/>
  <c r="E255" i="1"/>
  <c r="B255" i="1"/>
  <c r="A256" i="1"/>
  <c r="F255" i="1"/>
  <c r="H255" i="1" s="1"/>
  <c r="C255" i="1"/>
  <c r="D255" i="1"/>
  <c r="G254" i="1"/>
  <c r="R254" i="1"/>
  <c r="S254" i="1" s="1"/>
  <c r="R115" i="1"/>
  <c r="S115" i="1" s="1"/>
  <c r="CA60" i="16" s="1"/>
  <c r="G115" i="1"/>
  <c r="Q115" i="1" s="1"/>
  <c r="AM60" i="16" s="1"/>
  <c r="A117" i="1"/>
  <c r="E116" i="1"/>
  <c r="F116" i="1"/>
  <c r="H116" i="1" s="1"/>
  <c r="C116" i="1"/>
  <c r="B116" i="1"/>
  <c r="D116" i="1"/>
  <c r="T402" i="1" l="1"/>
  <c r="AC53" i="28" s="1"/>
  <c r="AD53" i="28" s="1"/>
  <c r="N114" i="1"/>
  <c r="M92" i="31" s="1"/>
  <c r="E92" i="31"/>
  <c r="F92" i="31" s="1"/>
  <c r="AN59" i="16"/>
  <c r="AN60" i="16"/>
  <c r="BH59" i="16"/>
  <c r="CB60" i="16"/>
  <c r="AX60" i="16"/>
  <c r="AC52" i="28"/>
  <c r="AD52" i="28" s="1"/>
  <c r="Y116" i="1"/>
  <c r="Z116" i="1" s="1"/>
  <c r="P116" i="1"/>
  <c r="Y255" i="1"/>
  <c r="Z255" i="1" s="1"/>
  <c r="P255" i="1"/>
  <c r="S52" i="28"/>
  <c r="T52" i="28" s="1"/>
  <c r="L403" i="1"/>
  <c r="AW54" i="28" s="1"/>
  <c r="AX54" i="28" s="1"/>
  <c r="Q403" i="1"/>
  <c r="L255" i="1"/>
  <c r="BG53" i="27" s="1"/>
  <c r="BH53" i="27" s="1"/>
  <c r="AD399" i="1"/>
  <c r="L116" i="1"/>
  <c r="AW61" i="16" s="1"/>
  <c r="X402" i="1"/>
  <c r="K402" i="1"/>
  <c r="M402" i="1"/>
  <c r="N402" i="1" s="1"/>
  <c r="A83" i="3"/>
  <c r="M254" i="1"/>
  <c r="N254" i="1" s="1"/>
  <c r="X254" i="1"/>
  <c r="X115" i="1"/>
  <c r="K254" i="1"/>
  <c r="K115" i="1"/>
  <c r="C404" i="1"/>
  <c r="E404" i="1"/>
  <c r="AA404" i="1" s="1"/>
  <c r="A405" i="1"/>
  <c r="F404" i="1"/>
  <c r="H404" i="1" s="1"/>
  <c r="D404" i="1"/>
  <c r="P404" i="1" s="1"/>
  <c r="B404" i="1"/>
  <c r="G403" i="1"/>
  <c r="J403" i="1"/>
  <c r="R255" i="1"/>
  <c r="S255" i="1" s="1"/>
  <c r="Q255" i="1"/>
  <c r="AW53" i="27" s="1"/>
  <c r="AX53" i="27" s="1"/>
  <c r="G255" i="1"/>
  <c r="X255" i="1" s="1"/>
  <c r="F256" i="1"/>
  <c r="H256" i="1" s="1"/>
  <c r="C256" i="1"/>
  <c r="D256" i="1"/>
  <c r="A257" i="1"/>
  <c r="E256" i="1"/>
  <c r="B256" i="1"/>
  <c r="R116" i="1"/>
  <c r="S116" i="1" s="1"/>
  <c r="CA61" i="16" s="1"/>
  <c r="G116" i="1"/>
  <c r="A118" i="1"/>
  <c r="E117" i="1"/>
  <c r="B117" i="1"/>
  <c r="D117" i="1"/>
  <c r="C117" i="1"/>
  <c r="F117" i="1"/>
  <c r="H117" i="1" s="1"/>
  <c r="U402" i="1" l="1"/>
  <c r="T403" i="1"/>
  <c r="N115" i="1"/>
  <c r="M93" i="31" s="1"/>
  <c r="E93" i="31"/>
  <c r="F93" i="31" s="1"/>
  <c r="BH60" i="16"/>
  <c r="CB61" i="16"/>
  <c r="AX61" i="16"/>
  <c r="Y117" i="1"/>
  <c r="Z117" i="1" s="1"/>
  <c r="P117" i="1"/>
  <c r="Y256" i="1"/>
  <c r="Z256" i="1" s="1"/>
  <c r="P256" i="1"/>
  <c r="S53" i="28"/>
  <c r="T53" i="28" s="1"/>
  <c r="AC54" i="28"/>
  <c r="AD54" i="28" s="1"/>
  <c r="X116" i="1"/>
  <c r="Q116" i="1"/>
  <c r="AM61" i="16" s="1"/>
  <c r="L404" i="1"/>
  <c r="AW55" i="28" s="1"/>
  <c r="AX55" i="28" s="1"/>
  <c r="Q404" i="1"/>
  <c r="L256" i="1"/>
  <c r="BG54" i="27" s="1"/>
  <c r="BH54" i="27" s="1"/>
  <c r="Q256" i="1"/>
  <c r="AW54" i="27" s="1"/>
  <c r="AX54" i="27" s="1"/>
  <c r="U403" i="1"/>
  <c r="AD400" i="1"/>
  <c r="L117" i="1"/>
  <c r="AW62" i="16" s="1"/>
  <c r="X403" i="1"/>
  <c r="K403" i="1"/>
  <c r="M403" i="1"/>
  <c r="N403" i="1" s="1"/>
  <c r="A84" i="3"/>
  <c r="K255" i="1"/>
  <c r="M255" i="1"/>
  <c r="N255" i="1" s="1"/>
  <c r="K116" i="1"/>
  <c r="C405" i="1"/>
  <c r="E405" i="1"/>
  <c r="AA405" i="1" s="1"/>
  <c r="A406" i="1"/>
  <c r="D405" i="1"/>
  <c r="P405" i="1" s="1"/>
  <c r="F405" i="1"/>
  <c r="H405" i="1" s="1"/>
  <c r="B405" i="1"/>
  <c r="J404" i="1"/>
  <c r="G404" i="1"/>
  <c r="M404" i="1" s="1"/>
  <c r="E257" i="1"/>
  <c r="A258" i="1"/>
  <c r="C257" i="1"/>
  <c r="F257" i="1"/>
  <c r="H257" i="1" s="1"/>
  <c r="D257" i="1"/>
  <c r="B257" i="1"/>
  <c r="R256" i="1"/>
  <c r="S256" i="1" s="1"/>
  <c r="G256" i="1"/>
  <c r="X256" i="1" s="1"/>
  <c r="A119" i="1"/>
  <c r="C118" i="1"/>
  <c r="F118" i="1"/>
  <c r="H118" i="1" s="1"/>
  <c r="B118" i="1"/>
  <c r="D118" i="1"/>
  <c r="E118" i="1"/>
  <c r="R117" i="1"/>
  <c r="S117" i="1" s="1"/>
  <c r="CA62" i="16" s="1"/>
  <c r="G117" i="1"/>
  <c r="N116" i="1" l="1"/>
  <c r="M94" i="31" s="1"/>
  <c r="E94" i="31"/>
  <c r="F94" i="31" s="1"/>
  <c r="AN61" i="16"/>
  <c r="BH61" i="16"/>
  <c r="T404" i="1"/>
  <c r="AC55" i="28" s="1"/>
  <c r="AD55" i="28" s="1"/>
  <c r="CB62" i="16"/>
  <c r="AX62" i="16"/>
  <c r="Y118" i="1"/>
  <c r="Z118" i="1" s="1"/>
  <c r="P118" i="1"/>
  <c r="Y257" i="1"/>
  <c r="Z257" i="1" s="1"/>
  <c r="P257" i="1"/>
  <c r="Q257" i="1" s="1"/>
  <c r="AW55" i="27" s="1"/>
  <c r="AX55" i="27" s="1"/>
  <c r="S54" i="28"/>
  <c r="T54" i="28" s="1"/>
  <c r="X117" i="1"/>
  <c r="Q117" i="1"/>
  <c r="AM62" i="16" s="1"/>
  <c r="L405" i="1"/>
  <c r="AW56" i="28" s="1"/>
  <c r="AX56" i="28" s="1"/>
  <c r="Q405" i="1"/>
  <c r="L257" i="1"/>
  <c r="BG55" i="27" s="1"/>
  <c r="BH55" i="27" s="1"/>
  <c r="AD401" i="1"/>
  <c r="AD402" i="1"/>
  <c r="L118" i="1"/>
  <c r="AW63" i="16" s="1"/>
  <c r="N404" i="1"/>
  <c r="X404" i="1"/>
  <c r="K404" i="1"/>
  <c r="A85" i="3"/>
  <c r="K256" i="1"/>
  <c r="M256" i="1"/>
  <c r="N256" i="1" s="1"/>
  <c r="K117" i="1"/>
  <c r="G405" i="1"/>
  <c r="J405" i="1"/>
  <c r="B406" i="1"/>
  <c r="E406" i="1"/>
  <c r="AA406" i="1" s="1"/>
  <c r="A407" i="1"/>
  <c r="D406" i="1"/>
  <c r="P406" i="1" s="1"/>
  <c r="F406" i="1"/>
  <c r="H406" i="1" s="1"/>
  <c r="C406" i="1"/>
  <c r="B258" i="1"/>
  <c r="A259" i="1"/>
  <c r="C258" i="1"/>
  <c r="D258" i="1"/>
  <c r="E258" i="1"/>
  <c r="F258" i="1"/>
  <c r="H258" i="1" s="1"/>
  <c r="R257" i="1"/>
  <c r="S257" i="1" s="1"/>
  <c r="G257" i="1"/>
  <c r="X257" i="1" s="1"/>
  <c r="R118" i="1"/>
  <c r="S118" i="1" s="1"/>
  <c r="CA63" i="16" s="1"/>
  <c r="G118" i="1"/>
  <c r="Q118" i="1" s="1"/>
  <c r="AM63" i="16" s="1"/>
  <c r="A120" i="1"/>
  <c r="C119" i="1"/>
  <c r="D119" i="1"/>
  <c r="F119" i="1"/>
  <c r="H119" i="1" s="1"/>
  <c r="E119" i="1"/>
  <c r="B119" i="1"/>
  <c r="U404" i="1" l="1"/>
  <c r="S55" i="28" s="1"/>
  <c r="T55" i="28" s="1"/>
  <c r="N117" i="1"/>
  <c r="M95" i="31" s="1"/>
  <c r="E95" i="31"/>
  <c r="F95" i="31" s="1"/>
  <c r="AN63" i="16"/>
  <c r="BH62" i="16"/>
  <c r="AN62" i="16"/>
  <c r="CB63" i="16"/>
  <c r="AX63" i="16"/>
  <c r="T405" i="1"/>
  <c r="AC56" i="28" s="1"/>
  <c r="AD56" i="28" s="1"/>
  <c r="Y119" i="1"/>
  <c r="Z119" i="1" s="1"/>
  <c r="P119" i="1"/>
  <c r="Y258" i="1"/>
  <c r="Z258" i="1" s="1"/>
  <c r="P258" i="1"/>
  <c r="Q258" i="1" s="1"/>
  <c r="AW56" i="27" s="1"/>
  <c r="AX56" i="27" s="1"/>
  <c r="L406" i="1"/>
  <c r="AW57" i="28" s="1"/>
  <c r="AX57" i="28" s="1"/>
  <c r="Q406" i="1"/>
  <c r="L258" i="1"/>
  <c r="BG56" i="27" s="1"/>
  <c r="BH56" i="27" s="1"/>
  <c r="AD403" i="1"/>
  <c r="L119" i="1"/>
  <c r="AW64" i="16" s="1"/>
  <c r="X405" i="1"/>
  <c r="K405" i="1"/>
  <c r="M405" i="1"/>
  <c r="N405" i="1" s="1"/>
  <c r="A86" i="3"/>
  <c r="X118" i="1"/>
  <c r="K257" i="1"/>
  <c r="M257" i="1"/>
  <c r="N257" i="1" s="1"/>
  <c r="K118" i="1"/>
  <c r="J406" i="1"/>
  <c r="G406" i="1"/>
  <c r="M406" i="1" s="1"/>
  <c r="D407" i="1"/>
  <c r="P407" i="1" s="1"/>
  <c r="B407" i="1"/>
  <c r="C407" i="1"/>
  <c r="A408" i="1"/>
  <c r="E407" i="1"/>
  <c r="AA407" i="1" s="1"/>
  <c r="F407" i="1"/>
  <c r="H407" i="1" s="1"/>
  <c r="B259" i="1"/>
  <c r="A260" i="1"/>
  <c r="C259" i="1"/>
  <c r="F259" i="1"/>
  <c r="H259" i="1" s="1"/>
  <c r="E259" i="1"/>
  <c r="D259" i="1"/>
  <c r="R258" i="1"/>
  <c r="S258" i="1" s="1"/>
  <c r="G258" i="1"/>
  <c r="X258" i="1" s="1"/>
  <c r="G119" i="1"/>
  <c r="R119" i="1"/>
  <c r="S119" i="1" s="1"/>
  <c r="CA64" i="16" s="1"/>
  <c r="A121" i="1"/>
  <c r="D120" i="1"/>
  <c r="F120" i="1"/>
  <c r="H120" i="1" s="1"/>
  <c r="C120" i="1"/>
  <c r="B120" i="1"/>
  <c r="E120" i="1"/>
  <c r="N118" i="1" l="1"/>
  <c r="M96" i="31" s="1"/>
  <c r="E96" i="31"/>
  <c r="F96" i="31" s="1"/>
  <c r="BH63" i="16"/>
  <c r="AX64" i="16"/>
  <c r="CB64" i="16"/>
  <c r="U405" i="1"/>
  <c r="T406" i="1"/>
  <c r="AC57" i="28" s="1"/>
  <c r="AD57" i="28" s="1"/>
  <c r="Y120" i="1"/>
  <c r="Z120" i="1" s="1"/>
  <c r="P120" i="1"/>
  <c r="Y259" i="1"/>
  <c r="Z259" i="1" s="1"/>
  <c r="P259" i="1"/>
  <c r="Q259" i="1" s="1"/>
  <c r="AW57" i="27" s="1"/>
  <c r="AX57" i="27" s="1"/>
  <c r="X119" i="1"/>
  <c r="Q119" i="1"/>
  <c r="AM64" i="16" s="1"/>
  <c r="L407" i="1"/>
  <c r="AW58" i="28" s="1"/>
  <c r="AX58" i="28" s="1"/>
  <c r="Q407" i="1"/>
  <c r="L259" i="1"/>
  <c r="BG57" i="27" s="1"/>
  <c r="BH57" i="27" s="1"/>
  <c r="AD404" i="1"/>
  <c r="L120" i="1"/>
  <c r="AW65" i="16" s="1"/>
  <c r="N406" i="1"/>
  <c r="X406" i="1"/>
  <c r="K406" i="1"/>
  <c r="A87" i="3"/>
  <c r="K258" i="1"/>
  <c r="M258" i="1"/>
  <c r="N258" i="1" s="1"/>
  <c r="K119" i="1"/>
  <c r="G407" i="1"/>
  <c r="J407" i="1"/>
  <c r="D408" i="1"/>
  <c r="P408" i="1" s="1"/>
  <c r="B408" i="1"/>
  <c r="C408" i="1"/>
  <c r="E408" i="1"/>
  <c r="AA408" i="1" s="1"/>
  <c r="A409" i="1"/>
  <c r="F408" i="1"/>
  <c r="H408" i="1" s="1"/>
  <c r="G259" i="1"/>
  <c r="X259" i="1" s="1"/>
  <c r="R259" i="1"/>
  <c r="S259" i="1" s="1"/>
  <c r="A261" i="1"/>
  <c r="D260" i="1"/>
  <c r="F260" i="1"/>
  <c r="H260" i="1" s="1"/>
  <c r="C260" i="1"/>
  <c r="B260" i="1"/>
  <c r="E260" i="1"/>
  <c r="G120" i="1"/>
  <c r="R120" i="1"/>
  <c r="S120" i="1" s="1"/>
  <c r="CA65" i="16" s="1"/>
  <c r="A122" i="1"/>
  <c r="C121" i="1"/>
  <c r="F121" i="1"/>
  <c r="H121" i="1" s="1"/>
  <c r="E121" i="1"/>
  <c r="B121" i="1"/>
  <c r="D121" i="1"/>
  <c r="N119" i="1" l="1"/>
  <c r="M97" i="31" s="1"/>
  <c r="E97" i="31"/>
  <c r="F97" i="31" s="1"/>
  <c r="BH64" i="16"/>
  <c r="AN64" i="16"/>
  <c r="T407" i="1"/>
  <c r="AC58" i="28" s="1"/>
  <c r="AD58" i="28" s="1"/>
  <c r="U406" i="1"/>
  <c r="S57" i="28" s="1"/>
  <c r="T57" i="28" s="1"/>
  <c r="CB65" i="16"/>
  <c r="AX65" i="16"/>
  <c r="S56" i="28"/>
  <c r="T56" i="28" s="1"/>
  <c r="Y121" i="1"/>
  <c r="Z121" i="1" s="1"/>
  <c r="P121" i="1"/>
  <c r="Y260" i="1"/>
  <c r="Z260" i="1" s="1"/>
  <c r="P260" i="1"/>
  <c r="Q260" i="1" s="1"/>
  <c r="AW58" i="27" s="1"/>
  <c r="AX58" i="27" s="1"/>
  <c r="X120" i="1"/>
  <c r="Q120" i="1"/>
  <c r="AM65" i="16" s="1"/>
  <c r="L408" i="1"/>
  <c r="AW59" i="28" s="1"/>
  <c r="AX59" i="28" s="1"/>
  <c r="Q408" i="1"/>
  <c r="L260" i="1"/>
  <c r="BG58" i="27" s="1"/>
  <c r="BH58" i="27" s="1"/>
  <c r="L121" i="1"/>
  <c r="AW66" i="16" s="1"/>
  <c r="X407" i="1"/>
  <c r="K407" i="1"/>
  <c r="M407" i="1"/>
  <c r="N407" i="1" s="1"/>
  <c r="A88" i="3"/>
  <c r="K259" i="1"/>
  <c r="M259" i="1"/>
  <c r="N259" i="1" s="1"/>
  <c r="K120" i="1"/>
  <c r="B409" i="1"/>
  <c r="C409" i="1"/>
  <c r="E409" i="1"/>
  <c r="AA409" i="1" s="1"/>
  <c r="A410" i="1"/>
  <c r="D409" i="1"/>
  <c r="P409" i="1" s="1"/>
  <c r="F409" i="1"/>
  <c r="H409" i="1" s="1"/>
  <c r="G408" i="1"/>
  <c r="J408" i="1"/>
  <c r="G260" i="1"/>
  <c r="X260" i="1" s="1"/>
  <c r="R260" i="1"/>
  <c r="S260" i="1" s="1"/>
  <c r="D261" i="1"/>
  <c r="C261" i="1"/>
  <c r="A262" i="1"/>
  <c r="B261" i="1"/>
  <c r="E261" i="1"/>
  <c r="F261" i="1"/>
  <c r="H261" i="1" s="1"/>
  <c r="A123" i="1"/>
  <c r="B122" i="1"/>
  <c r="D122" i="1"/>
  <c r="E122" i="1"/>
  <c r="C122" i="1"/>
  <c r="F122" i="1"/>
  <c r="H122" i="1" s="1"/>
  <c r="G121" i="1"/>
  <c r="R121" i="1"/>
  <c r="S121" i="1" s="1"/>
  <c r="CA66" i="16" s="1"/>
  <c r="U407" i="1" l="1"/>
  <c r="Q121" i="1"/>
  <c r="AM66" i="16" s="1"/>
  <c r="AN66" i="16" s="1"/>
  <c r="T408" i="1"/>
  <c r="U408" i="1" s="1"/>
  <c r="N120" i="1"/>
  <c r="M98" i="31" s="1"/>
  <c r="E98" i="31"/>
  <c r="F98" i="31" s="1"/>
  <c r="BH65" i="16"/>
  <c r="AN65" i="16"/>
  <c r="AX66" i="16"/>
  <c r="CB66" i="16"/>
  <c r="Y122" i="1"/>
  <c r="Z122" i="1" s="1"/>
  <c r="P122" i="1"/>
  <c r="Y261" i="1"/>
  <c r="Z261" i="1" s="1"/>
  <c r="P261" i="1"/>
  <c r="S58" i="28"/>
  <c r="T58" i="28" s="1"/>
  <c r="L409" i="1"/>
  <c r="AW60" i="28" s="1"/>
  <c r="AX60" i="28" s="1"/>
  <c r="Q409" i="1"/>
  <c r="L261" i="1"/>
  <c r="BG59" i="27" s="1"/>
  <c r="BH59" i="27" s="1"/>
  <c r="AD406" i="1"/>
  <c r="AD405" i="1"/>
  <c r="L122" i="1"/>
  <c r="AW67" i="16" s="1"/>
  <c r="X408" i="1"/>
  <c r="K408" i="1"/>
  <c r="M408" i="1"/>
  <c r="N408" i="1" s="1"/>
  <c r="A89" i="3"/>
  <c r="X121" i="1"/>
  <c r="K260" i="1"/>
  <c r="M260" i="1"/>
  <c r="N260" i="1" s="1"/>
  <c r="K121" i="1"/>
  <c r="G409" i="1"/>
  <c r="M409" i="1" s="1"/>
  <c r="J409" i="1"/>
  <c r="F410" i="1"/>
  <c r="H410" i="1" s="1"/>
  <c r="C410" i="1"/>
  <c r="B410" i="1"/>
  <c r="E410" i="1"/>
  <c r="AA410" i="1" s="1"/>
  <c r="A411" i="1"/>
  <c r="D410" i="1"/>
  <c r="P410" i="1" s="1"/>
  <c r="R261" i="1"/>
  <c r="S261" i="1" s="1"/>
  <c r="Q261" i="1"/>
  <c r="AW59" i="27" s="1"/>
  <c r="AX59" i="27" s="1"/>
  <c r="G261" i="1"/>
  <c r="C262" i="1"/>
  <c r="A263" i="1"/>
  <c r="E262" i="1"/>
  <c r="F262" i="1"/>
  <c r="H262" i="1" s="1"/>
  <c r="D262" i="1"/>
  <c r="B262" i="1"/>
  <c r="G122" i="1"/>
  <c r="R122" i="1"/>
  <c r="S122" i="1" s="1"/>
  <c r="CA67" i="16" s="1"/>
  <c r="A124" i="1"/>
  <c r="F123" i="1"/>
  <c r="H123" i="1" s="1"/>
  <c r="B123" i="1"/>
  <c r="E123" i="1"/>
  <c r="C123" i="1"/>
  <c r="D123" i="1"/>
  <c r="AC59" i="28" l="1"/>
  <c r="AD59" i="28" s="1"/>
  <c r="N121" i="1"/>
  <c r="M99" i="31" s="1"/>
  <c r="E99" i="31"/>
  <c r="F99" i="31" s="1"/>
  <c r="BH66" i="16"/>
  <c r="T409" i="1"/>
  <c r="U409" i="1" s="1"/>
  <c r="CB67" i="16"/>
  <c r="AX67" i="16"/>
  <c r="Y123" i="1"/>
  <c r="Z123" i="1" s="1"/>
  <c r="P123" i="1"/>
  <c r="Y262" i="1"/>
  <c r="Z262" i="1" s="1"/>
  <c r="P262" i="1"/>
  <c r="Q262" i="1" s="1"/>
  <c r="AW60" i="27" s="1"/>
  <c r="AX60" i="27" s="1"/>
  <c r="S59" i="28"/>
  <c r="T59" i="28" s="1"/>
  <c r="X122" i="1"/>
  <c r="Q122" i="1"/>
  <c r="AM67" i="16" s="1"/>
  <c r="L410" i="1"/>
  <c r="AW61" i="28" s="1"/>
  <c r="AX61" i="28" s="1"/>
  <c r="Q410" i="1"/>
  <c r="L262" i="1"/>
  <c r="BG60" i="27" s="1"/>
  <c r="BH60" i="27" s="1"/>
  <c r="AD407" i="1"/>
  <c r="L123" i="1"/>
  <c r="AW68" i="16" s="1"/>
  <c r="N409" i="1"/>
  <c r="X409" i="1"/>
  <c r="K409" i="1"/>
  <c r="A90" i="3"/>
  <c r="M261" i="1"/>
  <c r="N261" i="1" s="1"/>
  <c r="X261" i="1"/>
  <c r="K261" i="1"/>
  <c r="K122" i="1"/>
  <c r="J410" i="1"/>
  <c r="G410" i="1"/>
  <c r="D411" i="1"/>
  <c r="P411" i="1" s="1"/>
  <c r="B411" i="1"/>
  <c r="C411" i="1"/>
  <c r="A412" i="1"/>
  <c r="E411" i="1"/>
  <c r="AA411" i="1" s="1"/>
  <c r="F411" i="1"/>
  <c r="H411" i="1" s="1"/>
  <c r="A264" i="1"/>
  <c r="F263" i="1"/>
  <c r="H263" i="1" s="1"/>
  <c r="C263" i="1"/>
  <c r="E263" i="1"/>
  <c r="D263" i="1"/>
  <c r="B263" i="1"/>
  <c r="G262" i="1"/>
  <c r="X262" i="1" s="1"/>
  <c r="R262" i="1"/>
  <c r="S262" i="1" s="1"/>
  <c r="R123" i="1"/>
  <c r="S123" i="1" s="1"/>
  <c r="CA68" i="16" s="1"/>
  <c r="G123" i="1"/>
  <c r="A125" i="1"/>
  <c r="D124" i="1"/>
  <c r="E124" i="1"/>
  <c r="F124" i="1"/>
  <c r="H124" i="1" s="1"/>
  <c r="C124" i="1"/>
  <c r="B124" i="1"/>
  <c r="N122" i="1" l="1"/>
  <c r="M100" i="31" s="1"/>
  <c r="E100" i="31"/>
  <c r="F100" i="31" s="1"/>
  <c r="AC60" i="28"/>
  <c r="AD60" i="28" s="1"/>
  <c r="AN67" i="16"/>
  <c r="BH67" i="16"/>
  <c r="CB68" i="16"/>
  <c r="AX68" i="16"/>
  <c r="T410" i="1"/>
  <c r="AC61" i="28" s="1"/>
  <c r="AD61" i="28" s="1"/>
  <c r="Y124" i="1"/>
  <c r="Z124" i="1" s="1"/>
  <c r="P124" i="1"/>
  <c r="Y263" i="1"/>
  <c r="Z263" i="1" s="1"/>
  <c r="P263" i="1"/>
  <c r="Q263" i="1" s="1"/>
  <c r="AW61" i="27" s="1"/>
  <c r="AX61" i="27" s="1"/>
  <c r="S60" i="28"/>
  <c r="T60" i="28" s="1"/>
  <c r="X123" i="1"/>
  <c r="Q123" i="1"/>
  <c r="AM68" i="16" s="1"/>
  <c r="L411" i="1"/>
  <c r="AW62" i="28" s="1"/>
  <c r="AX62" i="28" s="1"/>
  <c r="Q411" i="1"/>
  <c r="L263" i="1"/>
  <c r="BG61" i="27" s="1"/>
  <c r="BH61" i="27" s="1"/>
  <c r="L124" i="1"/>
  <c r="AW69" i="16" s="1"/>
  <c r="X410" i="1"/>
  <c r="K410" i="1"/>
  <c r="M410" i="1"/>
  <c r="N410" i="1" s="1"/>
  <c r="A91" i="3"/>
  <c r="K262" i="1"/>
  <c r="M262" i="1"/>
  <c r="N262" i="1" s="1"/>
  <c r="K123" i="1"/>
  <c r="F412" i="1"/>
  <c r="H412" i="1" s="1"/>
  <c r="D412" i="1"/>
  <c r="P412" i="1" s="1"/>
  <c r="B412" i="1"/>
  <c r="C412" i="1"/>
  <c r="E412" i="1"/>
  <c r="AA412" i="1" s="1"/>
  <c r="A413" i="1"/>
  <c r="G411" i="1"/>
  <c r="J411" i="1"/>
  <c r="G263" i="1"/>
  <c r="X263" i="1" s="1"/>
  <c r="R263" i="1"/>
  <c r="S263" i="1" s="1"/>
  <c r="C264" i="1"/>
  <c r="E264" i="1"/>
  <c r="B264" i="1"/>
  <c r="A265" i="1"/>
  <c r="D264" i="1"/>
  <c r="F264" i="1"/>
  <c r="H264" i="1" s="1"/>
  <c r="G124" i="1"/>
  <c r="R124" i="1"/>
  <c r="S124" i="1" s="1"/>
  <c r="CA69" i="16" s="1"/>
  <c r="A126" i="1"/>
  <c r="F125" i="1"/>
  <c r="H125" i="1" s="1"/>
  <c r="D125" i="1"/>
  <c r="C125" i="1"/>
  <c r="E125" i="1"/>
  <c r="B125" i="1"/>
  <c r="N123" i="1" l="1"/>
  <c r="M101" i="31" s="1"/>
  <c r="E101" i="31"/>
  <c r="F101" i="31" s="1"/>
  <c r="BH68" i="16"/>
  <c r="AN68" i="16"/>
  <c r="T411" i="1"/>
  <c r="AC62" i="28" s="1"/>
  <c r="AD62" i="28" s="1"/>
  <c r="Q124" i="1"/>
  <c r="AM69" i="16" s="1"/>
  <c r="CB69" i="16"/>
  <c r="AX69" i="16"/>
  <c r="U410" i="1"/>
  <c r="Y125" i="1"/>
  <c r="Z125" i="1" s="1"/>
  <c r="P125" i="1"/>
  <c r="Y264" i="1"/>
  <c r="Z264" i="1" s="1"/>
  <c r="P264" i="1"/>
  <c r="Q264" i="1" s="1"/>
  <c r="AW62" i="27" s="1"/>
  <c r="AX62" i="27" s="1"/>
  <c r="L412" i="1"/>
  <c r="AW63" i="28" s="1"/>
  <c r="AX63" i="28" s="1"/>
  <c r="Q412" i="1"/>
  <c r="L264" i="1"/>
  <c r="BG62" i="27" s="1"/>
  <c r="BH62" i="27" s="1"/>
  <c r="AD408" i="1"/>
  <c r="L125" i="1"/>
  <c r="AW70" i="16" s="1"/>
  <c r="X411" i="1"/>
  <c r="K411" i="1"/>
  <c r="M411" i="1"/>
  <c r="N411" i="1" s="1"/>
  <c r="A92" i="3"/>
  <c r="X124" i="1"/>
  <c r="K263" i="1"/>
  <c r="M263" i="1"/>
  <c r="N263" i="1" s="1"/>
  <c r="K124" i="1"/>
  <c r="B413" i="1"/>
  <c r="C413" i="1"/>
  <c r="E413" i="1"/>
  <c r="AA413" i="1" s="1"/>
  <c r="A414" i="1"/>
  <c r="D413" i="1"/>
  <c r="P413" i="1" s="1"/>
  <c r="F413" i="1"/>
  <c r="H413" i="1" s="1"/>
  <c r="G412" i="1"/>
  <c r="J412" i="1"/>
  <c r="A266" i="1"/>
  <c r="D265" i="1"/>
  <c r="E265" i="1"/>
  <c r="F265" i="1"/>
  <c r="H265" i="1" s="1"/>
  <c r="C265" i="1"/>
  <c r="B265" i="1"/>
  <c r="G264" i="1"/>
  <c r="X264" i="1" s="1"/>
  <c r="R264" i="1"/>
  <c r="S264" i="1" s="1"/>
  <c r="A127" i="1"/>
  <c r="F126" i="1"/>
  <c r="H126" i="1" s="1"/>
  <c r="B126" i="1"/>
  <c r="D126" i="1"/>
  <c r="E126" i="1"/>
  <c r="C126" i="1"/>
  <c r="G125" i="1"/>
  <c r="R125" i="1"/>
  <c r="S125" i="1" s="1"/>
  <c r="CA70" i="16" s="1"/>
  <c r="N124" i="1" l="1"/>
  <c r="M102" i="31" s="1"/>
  <c r="E102" i="31"/>
  <c r="F102" i="31" s="1"/>
  <c r="T412" i="1"/>
  <c r="AC63" i="28" s="1"/>
  <c r="AD63" i="28" s="1"/>
  <c r="AN69" i="16"/>
  <c r="BH69" i="16"/>
  <c r="U411" i="1"/>
  <c r="S62" i="28" s="1"/>
  <c r="T62" i="28" s="1"/>
  <c r="AX70" i="16"/>
  <c r="CB70" i="16"/>
  <c r="S61" i="28"/>
  <c r="T61" i="28" s="1"/>
  <c r="Y126" i="1"/>
  <c r="Z126" i="1" s="1"/>
  <c r="P126" i="1"/>
  <c r="Y265" i="1"/>
  <c r="Z265" i="1" s="1"/>
  <c r="P265" i="1"/>
  <c r="Q265" i="1" s="1"/>
  <c r="AW63" i="27" s="1"/>
  <c r="AX63" i="27" s="1"/>
  <c r="X125" i="1"/>
  <c r="Q125" i="1"/>
  <c r="AM70" i="16" s="1"/>
  <c r="L413" i="1"/>
  <c r="AW64" i="28" s="1"/>
  <c r="AX64" i="28" s="1"/>
  <c r="Q413" i="1"/>
  <c r="L265" i="1"/>
  <c r="BG63" i="27" s="1"/>
  <c r="BH63" i="27" s="1"/>
  <c r="AD410" i="1"/>
  <c r="AD409" i="1"/>
  <c r="L126" i="1"/>
  <c r="AW71" i="16" s="1"/>
  <c r="X412" i="1"/>
  <c r="K412" i="1"/>
  <c r="M412" i="1"/>
  <c r="N412" i="1" s="1"/>
  <c r="A93" i="3"/>
  <c r="K264" i="1"/>
  <c r="M264" i="1"/>
  <c r="N264" i="1" s="1"/>
  <c r="K125" i="1"/>
  <c r="G413" i="1"/>
  <c r="J413" i="1"/>
  <c r="F414" i="1"/>
  <c r="H414" i="1" s="1"/>
  <c r="C414" i="1"/>
  <c r="B414" i="1"/>
  <c r="E414" i="1"/>
  <c r="AA414" i="1" s="1"/>
  <c r="A415" i="1"/>
  <c r="D414" i="1"/>
  <c r="P414" i="1" s="1"/>
  <c r="R265" i="1"/>
  <c r="S265" i="1" s="1"/>
  <c r="G265" i="1"/>
  <c r="X265" i="1" s="1"/>
  <c r="D266" i="1"/>
  <c r="B266" i="1"/>
  <c r="C266" i="1"/>
  <c r="A267" i="1"/>
  <c r="E266" i="1"/>
  <c r="F266" i="1"/>
  <c r="H266" i="1" s="1"/>
  <c r="R126" i="1"/>
  <c r="S126" i="1" s="1"/>
  <c r="CA71" i="16" s="1"/>
  <c r="G126" i="1"/>
  <c r="A128" i="1"/>
  <c r="F127" i="1"/>
  <c r="H127" i="1" s="1"/>
  <c r="B127" i="1"/>
  <c r="C127" i="1"/>
  <c r="D127" i="1"/>
  <c r="E127" i="1"/>
  <c r="U412" i="1" l="1"/>
  <c r="N125" i="1"/>
  <c r="M103" i="31" s="1"/>
  <c r="E103" i="31"/>
  <c r="F103" i="31" s="1"/>
  <c r="BH70" i="16"/>
  <c r="AN70" i="16"/>
  <c r="T413" i="1"/>
  <c r="AC64" i="28" s="1"/>
  <c r="AD64" i="28" s="1"/>
  <c r="CB71" i="16"/>
  <c r="AX71" i="16"/>
  <c r="Y127" i="1"/>
  <c r="Z127" i="1" s="1"/>
  <c r="P127" i="1"/>
  <c r="Y266" i="1"/>
  <c r="Z266" i="1" s="1"/>
  <c r="P266" i="1"/>
  <c r="Q266" i="1" s="1"/>
  <c r="AW64" i="27" s="1"/>
  <c r="AX64" i="27" s="1"/>
  <c r="S63" i="28"/>
  <c r="T63" i="28" s="1"/>
  <c r="X126" i="1"/>
  <c r="Q126" i="1"/>
  <c r="AM71" i="16" s="1"/>
  <c r="L414" i="1"/>
  <c r="AW65" i="28" s="1"/>
  <c r="AX65" i="28" s="1"/>
  <c r="Q414" i="1"/>
  <c r="L266" i="1"/>
  <c r="BG64" i="27" s="1"/>
  <c r="BH64" i="27" s="1"/>
  <c r="L127" i="1"/>
  <c r="AW72" i="16" s="1"/>
  <c r="X413" i="1"/>
  <c r="K413" i="1"/>
  <c r="M413" i="1"/>
  <c r="N413" i="1" s="1"/>
  <c r="A94" i="3"/>
  <c r="K265" i="1"/>
  <c r="M265" i="1"/>
  <c r="N265" i="1" s="1"/>
  <c r="K126" i="1"/>
  <c r="J414" i="1"/>
  <c r="G414" i="1"/>
  <c r="M414" i="1" s="1"/>
  <c r="D415" i="1"/>
  <c r="P415" i="1" s="1"/>
  <c r="B415" i="1"/>
  <c r="A416" i="1"/>
  <c r="C415" i="1"/>
  <c r="E415" i="1"/>
  <c r="AA415" i="1" s="1"/>
  <c r="F415" i="1"/>
  <c r="H415" i="1" s="1"/>
  <c r="R266" i="1"/>
  <c r="S266" i="1" s="1"/>
  <c r="G266" i="1"/>
  <c r="C267" i="1"/>
  <c r="E267" i="1"/>
  <c r="A268" i="1"/>
  <c r="D267" i="1"/>
  <c r="B267" i="1"/>
  <c r="F267" i="1"/>
  <c r="H267" i="1" s="1"/>
  <c r="R127" i="1"/>
  <c r="S127" i="1" s="1"/>
  <c r="CA72" i="16" s="1"/>
  <c r="G127" i="1"/>
  <c r="A129" i="1"/>
  <c r="F128" i="1"/>
  <c r="H128" i="1" s="1"/>
  <c r="C128" i="1"/>
  <c r="B128" i="1"/>
  <c r="E128" i="1"/>
  <c r="D128" i="1"/>
  <c r="U413" i="1" l="1"/>
  <c r="N126" i="1"/>
  <c r="M104" i="31" s="1"/>
  <c r="E104" i="31"/>
  <c r="F104" i="31" s="1"/>
  <c r="BH71" i="16"/>
  <c r="AN71" i="16"/>
  <c r="T414" i="1"/>
  <c r="AC65" i="28" s="1"/>
  <c r="AD65" i="28" s="1"/>
  <c r="CB72" i="16"/>
  <c r="AX72" i="16"/>
  <c r="Y128" i="1"/>
  <c r="Z128" i="1" s="1"/>
  <c r="P128" i="1"/>
  <c r="Y267" i="1"/>
  <c r="Z267" i="1" s="1"/>
  <c r="P267" i="1"/>
  <c r="Q267" i="1" s="1"/>
  <c r="AW65" i="27" s="1"/>
  <c r="AX65" i="27" s="1"/>
  <c r="S64" i="28"/>
  <c r="T64" i="28" s="1"/>
  <c r="X127" i="1"/>
  <c r="Q127" i="1"/>
  <c r="AM72" i="16" s="1"/>
  <c r="L415" i="1"/>
  <c r="AW66" i="28" s="1"/>
  <c r="AX66" i="28" s="1"/>
  <c r="Q415" i="1"/>
  <c r="L267" i="1"/>
  <c r="BG65" i="27" s="1"/>
  <c r="BH65" i="27" s="1"/>
  <c r="AD411" i="1"/>
  <c r="AD412" i="1"/>
  <c r="L128" i="1"/>
  <c r="AW73" i="16" s="1"/>
  <c r="N414" i="1"/>
  <c r="X414" i="1"/>
  <c r="K414" i="1"/>
  <c r="A95" i="3"/>
  <c r="M266" i="1"/>
  <c r="N266" i="1" s="1"/>
  <c r="X266" i="1"/>
  <c r="K266" i="1"/>
  <c r="K127" i="1"/>
  <c r="G415" i="1"/>
  <c r="J415" i="1"/>
  <c r="D416" i="1"/>
  <c r="P416" i="1" s="1"/>
  <c r="B416" i="1"/>
  <c r="C416" i="1"/>
  <c r="E416" i="1"/>
  <c r="AA416" i="1" s="1"/>
  <c r="A417" i="1"/>
  <c r="F416" i="1"/>
  <c r="H416" i="1" s="1"/>
  <c r="R267" i="1"/>
  <c r="S267" i="1" s="1"/>
  <c r="G267" i="1"/>
  <c r="X267" i="1" s="1"/>
  <c r="F268" i="1"/>
  <c r="H268" i="1" s="1"/>
  <c r="B268" i="1"/>
  <c r="C268" i="1"/>
  <c r="E268" i="1"/>
  <c r="A269" i="1"/>
  <c r="D268" i="1"/>
  <c r="R128" i="1"/>
  <c r="S128" i="1" s="1"/>
  <c r="CA73" i="16" s="1"/>
  <c r="G128" i="1"/>
  <c r="A130" i="1"/>
  <c r="C129" i="1"/>
  <c r="E129" i="1"/>
  <c r="B129" i="1"/>
  <c r="F129" i="1"/>
  <c r="H129" i="1" s="1"/>
  <c r="D129" i="1"/>
  <c r="U414" i="1" l="1"/>
  <c r="N127" i="1"/>
  <c r="E105" i="31"/>
  <c r="F105" i="31" s="1"/>
  <c r="BH72" i="16"/>
  <c r="AN72" i="16"/>
  <c r="T415" i="1"/>
  <c r="AC66" i="28" s="1"/>
  <c r="AD66" i="28" s="1"/>
  <c r="AX73" i="16"/>
  <c r="CB73" i="16"/>
  <c r="Y129" i="1"/>
  <c r="Z129" i="1" s="1"/>
  <c r="P129" i="1"/>
  <c r="Y268" i="1"/>
  <c r="Z268" i="1" s="1"/>
  <c r="P268" i="1"/>
  <c r="Q268" i="1" s="1"/>
  <c r="AW66" i="27" s="1"/>
  <c r="AX66" i="27" s="1"/>
  <c r="S65" i="28"/>
  <c r="T65" i="28" s="1"/>
  <c r="X128" i="1"/>
  <c r="Q128" i="1"/>
  <c r="AM73" i="16" s="1"/>
  <c r="L416" i="1"/>
  <c r="AW67" i="28" s="1"/>
  <c r="AX67" i="28" s="1"/>
  <c r="Q416" i="1"/>
  <c r="L268" i="1"/>
  <c r="BG66" i="27" s="1"/>
  <c r="BH66" i="27" s="1"/>
  <c r="AD413" i="1"/>
  <c r="L129" i="1"/>
  <c r="AW74" i="16" s="1"/>
  <c r="X415" i="1"/>
  <c r="K415" i="1"/>
  <c r="M415" i="1"/>
  <c r="N415" i="1" s="1"/>
  <c r="A96" i="3"/>
  <c r="K267" i="1"/>
  <c r="M267" i="1"/>
  <c r="N267" i="1" s="1"/>
  <c r="K128" i="1"/>
  <c r="B417" i="1"/>
  <c r="C417" i="1"/>
  <c r="E417" i="1"/>
  <c r="AA417" i="1" s="1"/>
  <c r="A418" i="1"/>
  <c r="D417" i="1"/>
  <c r="P417" i="1" s="1"/>
  <c r="F417" i="1"/>
  <c r="H417" i="1" s="1"/>
  <c r="G416" i="1"/>
  <c r="J416" i="1"/>
  <c r="R268" i="1"/>
  <c r="S268" i="1" s="1"/>
  <c r="G268" i="1"/>
  <c r="X268" i="1" s="1"/>
  <c r="E269" i="1"/>
  <c r="F269" i="1"/>
  <c r="H269" i="1" s="1"/>
  <c r="C269" i="1"/>
  <c r="A270" i="1"/>
  <c r="D269" i="1"/>
  <c r="B269" i="1"/>
  <c r="D130" i="1"/>
  <c r="B130" i="1"/>
  <c r="C130" i="1"/>
  <c r="F130" i="1"/>
  <c r="H130" i="1" s="1"/>
  <c r="A131" i="1"/>
  <c r="E130" i="1"/>
  <c r="G129" i="1"/>
  <c r="R129" i="1"/>
  <c r="S129" i="1" s="1"/>
  <c r="CA74" i="16" s="1"/>
  <c r="M105" i="31" l="1"/>
  <c r="N128" i="1"/>
  <c r="M106" i="31" s="1"/>
  <c r="E106" i="31"/>
  <c r="F106" i="31" s="1"/>
  <c r="U415" i="1"/>
  <c r="S66" i="28" s="1"/>
  <c r="T66" i="28" s="1"/>
  <c r="BH73" i="16"/>
  <c r="AN73" i="16"/>
  <c r="T416" i="1"/>
  <c r="U416" i="1" s="1"/>
  <c r="CB74" i="16"/>
  <c r="AX74" i="16"/>
  <c r="Y130" i="1"/>
  <c r="Z130" i="1" s="1"/>
  <c r="P130" i="1"/>
  <c r="Y269" i="1"/>
  <c r="Z269" i="1" s="1"/>
  <c r="P269" i="1"/>
  <c r="Q269" i="1" s="1"/>
  <c r="AW67" i="27" s="1"/>
  <c r="AX67" i="27" s="1"/>
  <c r="X129" i="1"/>
  <c r="Q129" i="1"/>
  <c r="AM74" i="16" s="1"/>
  <c r="L417" i="1"/>
  <c r="AW68" i="28" s="1"/>
  <c r="AX68" i="28" s="1"/>
  <c r="Q417" i="1"/>
  <c r="L269" i="1"/>
  <c r="BG67" i="27" s="1"/>
  <c r="BH67" i="27" s="1"/>
  <c r="L130" i="1"/>
  <c r="AW75" i="16" s="1"/>
  <c r="X416" i="1"/>
  <c r="K416" i="1"/>
  <c r="M416" i="1"/>
  <c r="N416" i="1" s="1"/>
  <c r="A97" i="3"/>
  <c r="K268" i="1"/>
  <c r="M268" i="1"/>
  <c r="N268" i="1" s="1"/>
  <c r="K129" i="1"/>
  <c r="J417" i="1"/>
  <c r="G417" i="1"/>
  <c r="M417" i="1" s="1"/>
  <c r="B418" i="1"/>
  <c r="E418" i="1"/>
  <c r="AA418" i="1" s="1"/>
  <c r="A419" i="1"/>
  <c r="D418" i="1"/>
  <c r="P418" i="1" s="1"/>
  <c r="F418" i="1"/>
  <c r="H418" i="1" s="1"/>
  <c r="C418" i="1"/>
  <c r="A271" i="1"/>
  <c r="E270" i="1"/>
  <c r="F270" i="1"/>
  <c r="H270" i="1" s="1"/>
  <c r="D270" i="1"/>
  <c r="B270" i="1"/>
  <c r="C270" i="1"/>
  <c r="G269" i="1"/>
  <c r="X269" i="1" s="1"/>
  <c r="R269" i="1"/>
  <c r="S269" i="1" s="1"/>
  <c r="F131" i="1"/>
  <c r="H131" i="1" s="1"/>
  <c r="B131" i="1"/>
  <c r="C131" i="1"/>
  <c r="E131" i="1"/>
  <c r="A132" i="1"/>
  <c r="D131" i="1"/>
  <c r="R130" i="1"/>
  <c r="S130" i="1" s="1"/>
  <c r="CA75" i="16" s="1"/>
  <c r="G130" i="1"/>
  <c r="T417" i="1" l="1"/>
  <c r="N129" i="1"/>
  <c r="M107" i="31" s="1"/>
  <c r="E107" i="31"/>
  <c r="F107" i="31" s="1"/>
  <c r="AN74" i="16"/>
  <c r="BH74" i="16"/>
  <c r="AC67" i="28"/>
  <c r="AD67" i="28" s="1"/>
  <c r="CB75" i="16"/>
  <c r="AX75" i="16"/>
  <c r="Y131" i="1"/>
  <c r="Z131" i="1" s="1"/>
  <c r="P131" i="1"/>
  <c r="Y270" i="1"/>
  <c r="Z270" i="1" s="1"/>
  <c r="P270" i="1"/>
  <c r="S67" i="28"/>
  <c r="T67" i="28" s="1"/>
  <c r="AC68" i="28"/>
  <c r="AD68" i="28" s="1"/>
  <c r="X130" i="1"/>
  <c r="Q130" i="1"/>
  <c r="AM75" i="16" s="1"/>
  <c r="L418" i="1"/>
  <c r="AW69" i="28" s="1"/>
  <c r="AX69" i="28" s="1"/>
  <c r="Q418" i="1"/>
  <c r="L270" i="1"/>
  <c r="BG68" i="27" s="1"/>
  <c r="BH68" i="27" s="1"/>
  <c r="Q270" i="1"/>
  <c r="AW68" i="27" s="1"/>
  <c r="AX68" i="27" s="1"/>
  <c r="U417" i="1"/>
  <c r="AD414" i="1"/>
  <c r="AD415" i="1"/>
  <c r="L131" i="1"/>
  <c r="AW76" i="16" s="1"/>
  <c r="N417" i="1"/>
  <c r="X417" i="1"/>
  <c r="K417" i="1"/>
  <c r="A98" i="3"/>
  <c r="K269" i="1"/>
  <c r="M269" i="1"/>
  <c r="N269" i="1" s="1"/>
  <c r="K130" i="1"/>
  <c r="G418" i="1"/>
  <c r="M418" i="1" s="1"/>
  <c r="J418" i="1"/>
  <c r="C419" i="1"/>
  <c r="A420" i="1"/>
  <c r="E419" i="1"/>
  <c r="AA419" i="1" s="1"/>
  <c r="F419" i="1"/>
  <c r="H419" i="1" s="1"/>
  <c r="D419" i="1"/>
  <c r="P419" i="1" s="1"/>
  <c r="B419" i="1"/>
  <c r="R270" i="1"/>
  <c r="S270" i="1" s="1"/>
  <c r="G270" i="1"/>
  <c r="X270" i="1" s="1"/>
  <c r="F271" i="1"/>
  <c r="H271" i="1" s="1"/>
  <c r="D271" i="1"/>
  <c r="B271" i="1"/>
  <c r="E271" i="1"/>
  <c r="A272" i="1"/>
  <c r="C271" i="1"/>
  <c r="G131" i="1"/>
  <c r="R131" i="1"/>
  <c r="S131" i="1" s="1"/>
  <c r="CA76" i="16" s="1"/>
  <c r="D132" i="1"/>
  <c r="C132" i="1"/>
  <c r="A133" i="1"/>
  <c r="E132" i="1"/>
  <c r="F132" i="1"/>
  <c r="H132" i="1" s="1"/>
  <c r="B132" i="1"/>
  <c r="N130" i="1" l="1"/>
  <c r="M108" i="31" s="1"/>
  <c r="E108" i="31"/>
  <c r="F108" i="31" s="1"/>
  <c r="BH75" i="16"/>
  <c r="AN75" i="16"/>
  <c r="CB76" i="16"/>
  <c r="AX76" i="16"/>
  <c r="T418" i="1"/>
  <c r="AC69" i="28" s="1"/>
  <c r="AD69" i="28" s="1"/>
  <c r="Y132" i="1"/>
  <c r="Z132" i="1" s="1"/>
  <c r="P132" i="1"/>
  <c r="Y271" i="1"/>
  <c r="Z271" i="1" s="1"/>
  <c r="P271" i="1"/>
  <c r="Q271" i="1" s="1"/>
  <c r="AW69" i="27" s="1"/>
  <c r="AX69" i="27" s="1"/>
  <c r="S68" i="28"/>
  <c r="T68" i="28" s="1"/>
  <c r="X131" i="1"/>
  <c r="Q131" i="1"/>
  <c r="AM76" i="16" s="1"/>
  <c r="L419" i="1"/>
  <c r="AW70" i="28" s="1"/>
  <c r="AX70" i="28" s="1"/>
  <c r="Q419" i="1"/>
  <c r="L271" i="1"/>
  <c r="BG69" i="27" s="1"/>
  <c r="BH69" i="27" s="1"/>
  <c r="AD416" i="1"/>
  <c r="L132" i="1"/>
  <c r="AW77" i="16" s="1"/>
  <c r="N418" i="1"/>
  <c r="X418" i="1"/>
  <c r="K418" i="1"/>
  <c r="A99" i="3"/>
  <c r="K270" i="1"/>
  <c r="M270" i="1"/>
  <c r="N270" i="1" s="1"/>
  <c r="K131" i="1"/>
  <c r="D420" i="1"/>
  <c r="P420" i="1" s="1"/>
  <c r="E420" i="1"/>
  <c r="AA420" i="1" s="1"/>
  <c r="C420" i="1"/>
  <c r="F420" i="1"/>
  <c r="H420" i="1" s="1"/>
  <c r="A421" i="1"/>
  <c r="B420" i="1"/>
  <c r="G419" i="1"/>
  <c r="J419" i="1"/>
  <c r="C272" i="1"/>
  <c r="E272" i="1"/>
  <c r="F272" i="1"/>
  <c r="H272" i="1" s="1"/>
  <c r="B272" i="1"/>
  <c r="A273" i="1"/>
  <c r="D272" i="1"/>
  <c r="G271" i="1"/>
  <c r="X271" i="1" s="1"/>
  <c r="R271" i="1"/>
  <c r="S271" i="1" s="1"/>
  <c r="C133" i="1"/>
  <c r="E133" i="1"/>
  <c r="A134" i="1"/>
  <c r="D133" i="1"/>
  <c r="F133" i="1"/>
  <c r="H133" i="1" s="1"/>
  <c r="B133" i="1"/>
  <c r="G132" i="1"/>
  <c r="R132" i="1"/>
  <c r="S132" i="1" s="1"/>
  <c r="CA77" i="16" s="1"/>
  <c r="T419" i="1" l="1"/>
  <c r="N131" i="1"/>
  <c r="M109" i="31" s="1"/>
  <c r="E109" i="31"/>
  <c r="F109" i="31" s="1"/>
  <c r="AN76" i="16"/>
  <c r="BH76" i="16"/>
  <c r="Q132" i="1"/>
  <c r="AM77" i="16" s="1"/>
  <c r="CB77" i="16"/>
  <c r="AX77" i="16"/>
  <c r="U418" i="1"/>
  <c r="Y133" i="1"/>
  <c r="Z133" i="1" s="1"/>
  <c r="P133" i="1"/>
  <c r="Y272" i="1"/>
  <c r="Z272" i="1" s="1"/>
  <c r="P272" i="1"/>
  <c r="Q272" i="1" s="1"/>
  <c r="AW70" i="27" s="1"/>
  <c r="AX70" i="27" s="1"/>
  <c r="AC70" i="28"/>
  <c r="AD70" i="28" s="1"/>
  <c r="L420" i="1"/>
  <c r="AW71" i="28" s="1"/>
  <c r="AX71" i="28" s="1"/>
  <c r="Q420" i="1"/>
  <c r="L272" i="1"/>
  <c r="BG70" i="27" s="1"/>
  <c r="BH70" i="27" s="1"/>
  <c r="U419" i="1"/>
  <c r="AD417" i="1"/>
  <c r="L133" i="1"/>
  <c r="AW78" i="16" s="1"/>
  <c r="X419" i="1"/>
  <c r="K419" i="1"/>
  <c r="M419" i="1"/>
  <c r="N419" i="1" s="1"/>
  <c r="A100" i="3"/>
  <c r="X132" i="1"/>
  <c r="K271" i="1"/>
  <c r="M271" i="1"/>
  <c r="N271" i="1" s="1"/>
  <c r="K132" i="1"/>
  <c r="E421" i="1"/>
  <c r="AA421" i="1" s="1"/>
  <c r="B421" i="1"/>
  <c r="A422" i="1"/>
  <c r="F421" i="1"/>
  <c r="H421" i="1" s="1"/>
  <c r="C421" i="1"/>
  <c r="D421" i="1"/>
  <c r="P421" i="1" s="1"/>
  <c r="G420" i="1"/>
  <c r="J420" i="1"/>
  <c r="R272" i="1"/>
  <c r="S272" i="1" s="1"/>
  <c r="G272" i="1"/>
  <c r="X272" i="1" s="1"/>
  <c r="E273" i="1"/>
  <c r="A274" i="1"/>
  <c r="D273" i="1"/>
  <c r="F273" i="1"/>
  <c r="H273" i="1" s="1"/>
  <c r="C273" i="1"/>
  <c r="B273" i="1"/>
  <c r="R133" i="1"/>
  <c r="S133" i="1" s="1"/>
  <c r="CA78" i="16" s="1"/>
  <c r="G133" i="1"/>
  <c r="E134" i="1"/>
  <c r="C134" i="1"/>
  <c r="D134" i="1"/>
  <c r="F134" i="1"/>
  <c r="H134" i="1" s="1"/>
  <c r="A135" i="1"/>
  <c r="B134" i="1"/>
  <c r="T420" i="1" l="1"/>
  <c r="N132" i="1"/>
  <c r="M110" i="31" s="1"/>
  <c r="E110" i="31"/>
  <c r="F110" i="31" s="1"/>
  <c r="BH77" i="16"/>
  <c r="AN77" i="16"/>
  <c r="CB78" i="16"/>
  <c r="AX78" i="16"/>
  <c r="S69" i="28"/>
  <c r="T69" i="28" s="1"/>
  <c r="Y134" i="1"/>
  <c r="Z134" i="1" s="1"/>
  <c r="P134" i="1"/>
  <c r="Y273" i="1"/>
  <c r="Z273" i="1" s="1"/>
  <c r="P273" i="1"/>
  <c r="AC71" i="28"/>
  <c r="AD71" i="28" s="1"/>
  <c r="S70" i="28"/>
  <c r="T70" i="28" s="1"/>
  <c r="X133" i="1"/>
  <c r="Q133" i="1"/>
  <c r="AM78" i="16" s="1"/>
  <c r="L421" i="1"/>
  <c r="AW72" i="28" s="1"/>
  <c r="AX72" i="28" s="1"/>
  <c r="Q421" i="1"/>
  <c r="L273" i="1"/>
  <c r="BG71" i="27" s="1"/>
  <c r="BH71" i="27" s="1"/>
  <c r="Q273" i="1"/>
  <c r="AW71" i="27" s="1"/>
  <c r="AX71" i="27" s="1"/>
  <c r="U420" i="1"/>
  <c r="AD418" i="1"/>
  <c r="L134" i="1"/>
  <c r="AW79" i="16" s="1"/>
  <c r="X420" i="1"/>
  <c r="K420" i="1"/>
  <c r="M420" i="1"/>
  <c r="N420" i="1" s="1"/>
  <c r="A101" i="3"/>
  <c r="K272" i="1"/>
  <c r="M272" i="1"/>
  <c r="N272" i="1" s="1"/>
  <c r="K133" i="1"/>
  <c r="G421" i="1"/>
  <c r="J421" i="1"/>
  <c r="D422" i="1"/>
  <c r="P422" i="1" s="1"/>
  <c r="A423" i="1"/>
  <c r="E422" i="1"/>
  <c r="AA422" i="1" s="1"/>
  <c r="F422" i="1"/>
  <c r="H422" i="1" s="1"/>
  <c r="C422" i="1"/>
  <c r="B422" i="1"/>
  <c r="R273" i="1"/>
  <c r="S273" i="1" s="1"/>
  <c r="G273" i="1"/>
  <c r="X273" i="1" s="1"/>
  <c r="E274" i="1"/>
  <c r="F274" i="1"/>
  <c r="H274" i="1" s="1"/>
  <c r="D274" i="1"/>
  <c r="B274" i="1"/>
  <c r="A275" i="1"/>
  <c r="C274" i="1"/>
  <c r="D135" i="1"/>
  <c r="F135" i="1"/>
  <c r="H135" i="1" s="1"/>
  <c r="A136" i="1"/>
  <c r="C135" i="1"/>
  <c r="B135" i="1"/>
  <c r="E135" i="1"/>
  <c r="R134" i="1"/>
  <c r="S134" i="1" s="1"/>
  <c r="CA79" i="16" s="1"/>
  <c r="G134" i="1"/>
  <c r="T421" i="1" l="1"/>
  <c r="N133" i="1"/>
  <c r="E111" i="31"/>
  <c r="F111" i="31" s="1"/>
  <c r="BH78" i="16"/>
  <c r="AN78" i="16"/>
  <c r="AX79" i="16"/>
  <c r="CB79" i="16"/>
  <c r="Y135" i="1"/>
  <c r="Z135" i="1" s="1"/>
  <c r="P135" i="1"/>
  <c r="Y274" i="1"/>
  <c r="Z274" i="1" s="1"/>
  <c r="P274" i="1"/>
  <c r="AC72" i="28"/>
  <c r="AD72" i="28" s="1"/>
  <c r="S71" i="28"/>
  <c r="T71" i="28" s="1"/>
  <c r="X134" i="1"/>
  <c r="Q134" i="1"/>
  <c r="AM79" i="16" s="1"/>
  <c r="L422" i="1"/>
  <c r="AW73" i="28" s="1"/>
  <c r="AX73" i="28" s="1"/>
  <c r="Q422" i="1"/>
  <c r="L274" i="1"/>
  <c r="BG72" i="27" s="1"/>
  <c r="BH72" i="27" s="1"/>
  <c r="Q274" i="1"/>
  <c r="AW72" i="27" s="1"/>
  <c r="AX72" i="27" s="1"/>
  <c r="U421" i="1"/>
  <c r="AD419" i="1"/>
  <c r="L135" i="1"/>
  <c r="AW80" i="16" s="1"/>
  <c r="X421" i="1"/>
  <c r="K421" i="1"/>
  <c r="M421" i="1"/>
  <c r="N421" i="1" s="1"/>
  <c r="A102" i="3"/>
  <c r="K273" i="1"/>
  <c r="M273" i="1"/>
  <c r="N273" i="1" s="1"/>
  <c r="K134" i="1"/>
  <c r="B423" i="1"/>
  <c r="A424" i="1"/>
  <c r="E423" i="1"/>
  <c r="AA423" i="1" s="1"/>
  <c r="F423" i="1"/>
  <c r="H423" i="1" s="1"/>
  <c r="C423" i="1"/>
  <c r="D423" i="1"/>
  <c r="P423" i="1" s="1"/>
  <c r="J422" i="1"/>
  <c r="G422" i="1"/>
  <c r="M422" i="1" s="1"/>
  <c r="F275" i="1"/>
  <c r="H275" i="1" s="1"/>
  <c r="D275" i="1"/>
  <c r="B275" i="1"/>
  <c r="C275" i="1"/>
  <c r="E275" i="1"/>
  <c r="A276" i="1"/>
  <c r="G274" i="1"/>
  <c r="X274" i="1" s="1"/>
  <c r="R274" i="1"/>
  <c r="S274" i="1" s="1"/>
  <c r="G135" i="1"/>
  <c r="R135" i="1"/>
  <c r="S135" i="1" s="1"/>
  <c r="CA80" i="16" s="1"/>
  <c r="C136" i="1"/>
  <c r="E136" i="1"/>
  <c r="A137" i="1"/>
  <c r="F136" i="1"/>
  <c r="H136" i="1" s="1"/>
  <c r="D136" i="1"/>
  <c r="B136" i="1"/>
  <c r="M111" i="31" l="1"/>
  <c r="N134" i="1"/>
  <c r="M112" i="31" s="1"/>
  <c r="E112" i="31"/>
  <c r="F112" i="31" s="1"/>
  <c r="AN79" i="16"/>
  <c r="BH79" i="16"/>
  <c r="CB80" i="16"/>
  <c r="AX80" i="16"/>
  <c r="T422" i="1"/>
  <c r="AC73" i="28" s="1"/>
  <c r="AD73" i="28" s="1"/>
  <c r="Y136" i="1"/>
  <c r="Z136" i="1" s="1"/>
  <c r="P136" i="1"/>
  <c r="Y275" i="1"/>
  <c r="Z275" i="1" s="1"/>
  <c r="P275" i="1"/>
  <c r="Q275" i="1" s="1"/>
  <c r="AW73" i="27" s="1"/>
  <c r="AX73" i="27" s="1"/>
  <c r="S72" i="28"/>
  <c r="T72" i="28" s="1"/>
  <c r="X135" i="1"/>
  <c r="Q135" i="1"/>
  <c r="AM80" i="16" s="1"/>
  <c r="L423" i="1"/>
  <c r="AW74" i="28" s="1"/>
  <c r="AX74" i="28" s="1"/>
  <c r="Q423" i="1"/>
  <c r="L275" i="1"/>
  <c r="BG73" i="27" s="1"/>
  <c r="BH73" i="27" s="1"/>
  <c r="AD420" i="1"/>
  <c r="L136" i="1"/>
  <c r="N422" i="1"/>
  <c r="X422" i="1"/>
  <c r="K422" i="1"/>
  <c r="A103" i="3"/>
  <c r="K274" i="1"/>
  <c r="M274" i="1"/>
  <c r="N274" i="1" s="1"/>
  <c r="K135" i="1"/>
  <c r="J423" i="1"/>
  <c r="G423" i="1"/>
  <c r="M423" i="1" s="1"/>
  <c r="B424" i="1"/>
  <c r="D424" i="1"/>
  <c r="P424" i="1" s="1"/>
  <c r="C424" i="1"/>
  <c r="A425" i="1"/>
  <c r="E424" i="1"/>
  <c r="AA424" i="1" s="1"/>
  <c r="F424" i="1"/>
  <c r="H424" i="1" s="1"/>
  <c r="A277" i="1"/>
  <c r="D276" i="1"/>
  <c r="F276" i="1"/>
  <c r="H276" i="1" s="1"/>
  <c r="C276" i="1"/>
  <c r="E276" i="1"/>
  <c r="B276" i="1"/>
  <c r="R275" i="1"/>
  <c r="S275" i="1" s="1"/>
  <c r="G275" i="1"/>
  <c r="X275" i="1" s="1"/>
  <c r="G136" i="1"/>
  <c r="R136" i="1"/>
  <c r="S136" i="1" s="1"/>
  <c r="B137" i="1"/>
  <c r="A138" i="1"/>
  <c r="E137" i="1"/>
  <c r="C137" i="1"/>
  <c r="D137" i="1"/>
  <c r="F137" i="1"/>
  <c r="H137" i="1" s="1"/>
  <c r="U422" i="1" l="1"/>
  <c r="CA81" i="16"/>
  <c r="CB81" i="16" s="1"/>
  <c r="AW81" i="16"/>
  <c r="AX81" i="16" s="1"/>
  <c r="N135" i="1"/>
  <c r="M113" i="31" s="1"/>
  <c r="E113" i="31"/>
  <c r="F113" i="31" s="1"/>
  <c r="BH80" i="16"/>
  <c r="AN80" i="16"/>
  <c r="T423" i="1"/>
  <c r="U423" i="1" s="1"/>
  <c r="Y137" i="1"/>
  <c r="Z137" i="1" s="1"/>
  <c r="P137" i="1"/>
  <c r="Y276" i="1"/>
  <c r="Z276" i="1" s="1"/>
  <c r="P276" i="1"/>
  <c r="Q276" i="1" s="1"/>
  <c r="AW74" i="27" s="1"/>
  <c r="AX74" i="27" s="1"/>
  <c r="S73" i="28"/>
  <c r="T73" i="28" s="1"/>
  <c r="X136" i="1"/>
  <c r="Q136" i="1"/>
  <c r="AM81" i="16" s="1"/>
  <c r="L424" i="1"/>
  <c r="AW75" i="28" s="1"/>
  <c r="AX75" i="28" s="1"/>
  <c r="Q424" i="1"/>
  <c r="L276" i="1"/>
  <c r="BG74" i="27" s="1"/>
  <c r="BH74" i="27" s="1"/>
  <c r="AD421" i="1"/>
  <c r="L137" i="1"/>
  <c r="N423" i="1"/>
  <c r="X423" i="1"/>
  <c r="K423" i="1"/>
  <c r="A104" i="3"/>
  <c r="K275" i="1"/>
  <c r="M275" i="1"/>
  <c r="N275" i="1" s="1"/>
  <c r="K136" i="1"/>
  <c r="B425" i="1"/>
  <c r="C425" i="1"/>
  <c r="A426" i="1"/>
  <c r="E425" i="1"/>
  <c r="AA425" i="1" s="1"/>
  <c r="F425" i="1"/>
  <c r="H425" i="1" s="1"/>
  <c r="D425" i="1"/>
  <c r="P425" i="1" s="1"/>
  <c r="G424" i="1"/>
  <c r="J424" i="1"/>
  <c r="R276" i="1"/>
  <c r="S276" i="1" s="1"/>
  <c r="G276" i="1"/>
  <c r="X276" i="1" s="1"/>
  <c r="B277" i="1"/>
  <c r="E277" i="1"/>
  <c r="A278" i="1"/>
  <c r="D277" i="1"/>
  <c r="F277" i="1"/>
  <c r="H277" i="1" s="1"/>
  <c r="C277" i="1"/>
  <c r="R137" i="1"/>
  <c r="S137" i="1" s="1"/>
  <c r="G137" i="1"/>
  <c r="A139" i="1"/>
  <c r="D138" i="1"/>
  <c r="F138" i="1"/>
  <c r="H138" i="1" s="1"/>
  <c r="C138" i="1"/>
  <c r="B138" i="1"/>
  <c r="E138" i="1"/>
  <c r="CA82" i="16" l="1"/>
  <c r="CB82" i="16" s="1"/>
  <c r="AW82" i="16"/>
  <c r="AX82" i="16" s="1"/>
  <c r="T424" i="1"/>
  <c r="AC75" i="28" s="1"/>
  <c r="AD75" i="28" s="1"/>
  <c r="N136" i="1"/>
  <c r="M114" i="31" s="1"/>
  <c r="E114" i="31"/>
  <c r="F114" i="31" s="1"/>
  <c r="AN81" i="16"/>
  <c r="BH81" i="16"/>
  <c r="AC74" i="28"/>
  <c r="AD74" i="28" s="1"/>
  <c r="Y138" i="1"/>
  <c r="Z138" i="1" s="1"/>
  <c r="P138" i="1"/>
  <c r="Y277" i="1"/>
  <c r="Z277" i="1" s="1"/>
  <c r="P277" i="1"/>
  <c r="Q277" i="1" s="1"/>
  <c r="AW75" i="27" s="1"/>
  <c r="AX75" i="27" s="1"/>
  <c r="S74" i="28"/>
  <c r="T74" i="28" s="1"/>
  <c r="X137" i="1"/>
  <c r="Q137" i="1"/>
  <c r="AM82" i="16" s="1"/>
  <c r="L425" i="1"/>
  <c r="AW76" i="28" s="1"/>
  <c r="AX76" i="28" s="1"/>
  <c r="Q425" i="1"/>
  <c r="L277" i="1"/>
  <c r="BG75" i="27" s="1"/>
  <c r="BH75" i="27" s="1"/>
  <c r="U424" i="1"/>
  <c r="AD422" i="1"/>
  <c r="L138" i="1"/>
  <c r="X424" i="1"/>
  <c r="K424" i="1"/>
  <c r="M424" i="1"/>
  <c r="N424" i="1" s="1"/>
  <c r="A105" i="3"/>
  <c r="K276" i="1"/>
  <c r="M276" i="1"/>
  <c r="N276" i="1" s="1"/>
  <c r="K137" i="1"/>
  <c r="F426" i="1"/>
  <c r="H426" i="1" s="1"/>
  <c r="C426" i="1"/>
  <c r="B426" i="1"/>
  <c r="D426" i="1"/>
  <c r="P426" i="1" s="1"/>
  <c r="A427" i="1"/>
  <c r="E426" i="1"/>
  <c r="AA426" i="1" s="1"/>
  <c r="G425" i="1"/>
  <c r="J425" i="1"/>
  <c r="T425" i="1" s="1"/>
  <c r="D278" i="1"/>
  <c r="B278" i="1"/>
  <c r="C278" i="1"/>
  <c r="E278" i="1"/>
  <c r="F278" i="1"/>
  <c r="H278" i="1" s="1"/>
  <c r="A279" i="1"/>
  <c r="R277" i="1"/>
  <c r="S277" i="1" s="1"/>
  <c r="G277" i="1"/>
  <c r="X277" i="1" s="1"/>
  <c r="F139" i="1"/>
  <c r="H139" i="1" s="1"/>
  <c r="A140" i="1"/>
  <c r="C139" i="1"/>
  <c r="E139" i="1"/>
  <c r="D139" i="1"/>
  <c r="B139" i="1"/>
  <c r="G138" i="1"/>
  <c r="R138" i="1"/>
  <c r="S138" i="1" s="1"/>
  <c r="CA83" i="16" l="1"/>
  <c r="CB83" i="16" s="1"/>
  <c r="AW83" i="16"/>
  <c r="AX83" i="16" s="1"/>
  <c r="N137" i="1"/>
  <c r="M115" i="31" s="1"/>
  <c r="E115" i="31"/>
  <c r="F115" i="31" s="1"/>
  <c r="BH82" i="16"/>
  <c r="AN82" i="16"/>
  <c r="Y139" i="1"/>
  <c r="Z139" i="1" s="1"/>
  <c r="P139" i="1"/>
  <c r="Y278" i="1"/>
  <c r="Z278" i="1" s="1"/>
  <c r="P278" i="1"/>
  <c r="Q278" i="1" s="1"/>
  <c r="AW76" i="27" s="1"/>
  <c r="AX76" i="27" s="1"/>
  <c r="S75" i="28"/>
  <c r="T75" i="28" s="1"/>
  <c r="AC76" i="28"/>
  <c r="AD76" i="28" s="1"/>
  <c r="X138" i="1"/>
  <c r="Q138" i="1"/>
  <c r="AM83" i="16" s="1"/>
  <c r="L426" i="1"/>
  <c r="AW77" i="28" s="1"/>
  <c r="AX77" i="28" s="1"/>
  <c r="Q426" i="1"/>
  <c r="L278" i="1"/>
  <c r="BG76" i="27" s="1"/>
  <c r="BH76" i="27" s="1"/>
  <c r="U425" i="1"/>
  <c r="AD423" i="1"/>
  <c r="L139" i="1"/>
  <c r="X425" i="1"/>
  <c r="K425" i="1"/>
  <c r="M425" i="1"/>
  <c r="N425" i="1" s="1"/>
  <c r="A106" i="3"/>
  <c r="K277" i="1"/>
  <c r="M277" i="1"/>
  <c r="N277" i="1" s="1"/>
  <c r="K138" i="1"/>
  <c r="C427" i="1"/>
  <c r="A428" i="1"/>
  <c r="F427" i="1"/>
  <c r="H427" i="1" s="1"/>
  <c r="D427" i="1"/>
  <c r="P427" i="1" s="1"/>
  <c r="E427" i="1"/>
  <c r="AA427" i="1" s="1"/>
  <c r="B427" i="1"/>
  <c r="J426" i="1"/>
  <c r="G426" i="1"/>
  <c r="R278" i="1"/>
  <c r="S278" i="1" s="1"/>
  <c r="G278" i="1"/>
  <c r="F279" i="1"/>
  <c r="H279" i="1" s="1"/>
  <c r="D279" i="1"/>
  <c r="B279" i="1"/>
  <c r="C279" i="1"/>
  <c r="E279" i="1"/>
  <c r="A280" i="1"/>
  <c r="F140" i="1"/>
  <c r="H140" i="1" s="1"/>
  <c r="C140" i="1"/>
  <c r="E140" i="1"/>
  <c r="A141" i="1"/>
  <c r="D140" i="1"/>
  <c r="B140" i="1"/>
  <c r="G139" i="1"/>
  <c r="R139" i="1"/>
  <c r="S139" i="1" s="1"/>
  <c r="CA84" i="16" l="1"/>
  <c r="CB84" i="16" s="1"/>
  <c r="AW84" i="16"/>
  <c r="AX84" i="16" s="1"/>
  <c r="T426" i="1"/>
  <c r="N138" i="1"/>
  <c r="M116" i="31" s="1"/>
  <c r="E116" i="31"/>
  <c r="F116" i="31" s="1"/>
  <c r="AN83" i="16"/>
  <c r="BH83" i="16"/>
  <c r="Y140" i="1"/>
  <c r="Z140" i="1" s="1"/>
  <c r="P140" i="1"/>
  <c r="Y279" i="1"/>
  <c r="Z279" i="1" s="1"/>
  <c r="P279" i="1"/>
  <c r="Q279" i="1" s="1"/>
  <c r="AW77" i="27" s="1"/>
  <c r="AX77" i="27" s="1"/>
  <c r="AC77" i="28"/>
  <c r="AD77" i="28" s="1"/>
  <c r="S76" i="28"/>
  <c r="T76" i="28" s="1"/>
  <c r="X139" i="1"/>
  <c r="Q139" i="1"/>
  <c r="AM84" i="16" s="1"/>
  <c r="L427" i="1"/>
  <c r="AW78" i="28" s="1"/>
  <c r="AX78" i="28" s="1"/>
  <c r="Q427" i="1"/>
  <c r="L279" i="1"/>
  <c r="BG77" i="27" s="1"/>
  <c r="BH77" i="27" s="1"/>
  <c r="U426" i="1"/>
  <c r="AD424" i="1"/>
  <c r="L140" i="1"/>
  <c r="X426" i="1"/>
  <c r="K426" i="1"/>
  <c r="M426" i="1"/>
  <c r="N426" i="1" s="1"/>
  <c r="A107" i="3"/>
  <c r="M278" i="1"/>
  <c r="N278" i="1" s="1"/>
  <c r="X278" i="1"/>
  <c r="K278" i="1"/>
  <c r="K139" i="1"/>
  <c r="A429" i="1"/>
  <c r="C428" i="1"/>
  <c r="F428" i="1"/>
  <c r="H428" i="1" s="1"/>
  <c r="B428" i="1"/>
  <c r="D428" i="1"/>
  <c r="P428" i="1" s="1"/>
  <c r="E428" i="1"/>
  <c r="AA428" i="1" s="1"/>
  <c r="G427" i="1"/>
  <c r="M427" i="1" s="1"/>
  <c r="J427" i="1"/>
  <c r="B280" i="1"/>
  <c r="F280" i="1"/>
  <c r="H280" i="1" s="1"/>
  <c r="C280" i="1"/>
  <c r="E280" i="1"/>
  <c r="A281" i="1"/>
  <c r="D280" i="1"/>
  <c r="R279" i="1"/>
  <c r="S279" i="1" s="1"/>
  <c r="G279" i="1"/>
  <c r="X279" i="1" s="1"/>
  <c r="G140" i="1"/>
  <c r="R140" i="1"/>
  <c r="S140" i="1" s="1"/>
  <c r="B141" i="1"/>
  <c r="C141" i="1"/>
  <c r="A142" i="1"/>
  <c r="D141" i="1"/>
  <c r="F141" i="1"/>
  <c r="H141" i="1" s="1"/>
  <c r="E141" i="1"/>
  <c r="AW85" i="16" l="1"/>
  <c r="AX85" i="16" s="1"/>
  <c r="CA85" i="16"/>
  <c r="CB85" i="16" s="1"/>
  <c r="N139" i="1"/>
  <c r="M117" i="31" s="1"/>
  <c r="E117" i="31"/>
  <c r="F117" i="31" s="1"/>
  <c r="AN84" i="16"/>
  <c r="BH84" i="16"/>
  <c r="T427" i="1"/>
  <c r="AC78" i="28" s="1"/>
  <c r="AD78" i="28" s="1"/>
  <c r="Y141" i="1"/>
  <c r="Z141" i="1" s="1"/>
  <c r="P141" i="1"/>
  <c r="Y280" i="1"/>
  <c r="Z280" i="1" s="1"/>
  <c r="P280" i="1"/>
  <c r="Q280" i="1" s="1"/>
  <c r="AW78" i="27" s="1"/>
  <c r="AX78" i="27" s="1"/>
  <c r="S77" i="28"/>
  <c r="T77" i="28" s="1"/>
  <c r="X140" i="1"/>
  <c r="Q140" i="1"/>
  <c r="AM85" i="16" s="1"/>
  <c r="L428" i="1"/>
  <c r="AW79" i="28" s="1"/>
  <c r="AX79" i="28" s="1"/>
  <c r="Q428" i="1"/>
  <c r="L280" i="1"/>
  <c r="BG78" i="27" s="1"/>
  <c r="BH78" i="27" s="1"/>
  <c r="AD425" i="1"/>
  <c r="L141" i="1"/>
  <c r="N427" i="1"/>
  <c r="X427" i="1"/>
  <c r="K427" i="1"/>
  <c r="A108" i="3"/>
  <c r="K279" i="1"/>
  <c r="M279" i="1"/>
  <c r="N279" i="1" s="1"/>
  <c r="K140" i="1"/>
  <c r="J428" i="1"/>
  <c r="G428" i="1"/>
  <c r="E429" i="1"/>
  <c r="AA429" i="1" s="1"/>
  <c r="B429" i="1"/>
  <c r="A430" i="1"/>
  <c r="F429" i="1"/>
  <c r="H429" i="1" s="1"/>
  <c r="C429" i="1"/>
  <c r="D429" i="1"/>
  <c r="P429" i="1" s="1"/>
  <c r="F281" i="1"/>
  <c r="H281" i="1" s="1"/>
  <c r="C281" i="1"/>
  <c r="E281" i="1"/>
  <c r="B281" i="1"/>
  <c r="A282" i="1"/>
  <c r="D281" i="1"/>
  <c r="G280" i="1"/>
  <c r="X280" i="1" s="1"/>
  <c r="R280" i="1"/>
  <c r="S280" i="1" s="1"/>
  <c r="G141" i="1"/>
  <c r="R141" i="1"/>
  <c r="S141" i="1" s="1"/>
  <c r="E142" i="1"/>
  <c r="D142" i="1"/>
  <c r="A143" i="1"/>
  <c r="C142" i="1"/>
  <c r="F142" i="1"/>
  <c r="H142" i="1" s="1"/>
  <c r="B142" i="1"/>
  <c r="CA86" i="16" l="1"/>
  <c r="CB86" i="16" s="1"/>
  <c r="AW86" i="16"/>
  <c r="AX86" i="16" s="1"/>
  <c r="U427" i="1"/>
  <c r="S78" i="28" s="1"/>
  <c r="T78" i="28" s="1"/>
  <c r="N140" i="1"/>
  <c r="M118" i="31" s="1"/>
  <c r="E118" i="31"/>
  <c r="F118" i="31" s="1"/>
  <c r="BH85" i="16"/>
  <c r="AN85" i="16"/>
  <c r="T428" i="1"/>
  <c r="U428" i="1" s="1"/>
  <c r="Y142" i="1"/>
  <c r="Z142" i="1" s="1"/>
  <c r="P142" i="1"/>
  <c r="Y281" i="1"/>
  <c r="Z281" i="1" s="1"/>
  <c r="P281" i="1"/>
  <c r="Q281" i="1" s="1"/>
  <c r="AW79" i="27" s="1"/>
  <c r="AX79" i="27" s="1"/>
  <c r="X141" i="1"/>
  <c r="Q141" i="1"/>
  <c r="AM86" i="16" s="1"/>
  <c r="L429" i="1"/>
  <c r="AW80" i="28" s="1"/>
  <c r="AX80" i="28" s="1"/>
  <c r="Q429" i="1"/>
  <c r="L281" i="1"/>
  <c r="BG79" i="27" s="1"/>
  <c r="BH79" i="27" s="1"/>
  <c r="L142" i="1"/>
  <c r="X428" i="1"/>
  <c r="K428" i="1"/>
  <c r="M428" i="1"/>
  <c r="N428" i="1" s="1"/>
  <c r="A109" i="3"/>
  <c r="K280" i="1"/>
  <c r="M280" i="1"/>
  <c r="N280" i="1" s="1"/>
  <c r="K141" i="1"/>
  <c r="A431" i="1"/>
  <c r="E430" i="1"/>
  <c r="AA430" i="1" s="1"/>
  <c r="F430" i="1"/>
  <c r="H430" i="1" s="1"/>
  <c r="C430" i="1"/>
  <c r="D430" i="1"/>
  <c r="P430" i="1" s="1"/>
  <c r="B430" i="1"/>
  <c r="J429" i="1"/>
  <c r="G429" i="1"/>
  <c r="M429" i="1" s="1"/>
  <c r="G281" i="1"/>
  <c r="X281" i="1" s="1"/>
  <c r="R281" i="1"/>
  <c r="S281" i="1" s="1"/>
  <c r="A283" i="1"/>
  <c r="E282" i="1"/>
  <c r="F282" i="1"/>
  <c r="H282" i="1" s="1"/>
  <c r="D282" i="1"/>
  <c r="B282" i="1"/>
  <c r="C282" i="1"/>
  <c r="A144" i="1"/>
  <c r="E143" i="1"/>
  <c r="C143" i="1"/>
  <c r="B143" i="1"/>
  <c r="D143" i="1"/>
  <c r="F143" i="1"/>
  <c r="H143" i="1" s="1"/>
  <c r="R142" i="1"/>
  <c r="S142" i="1" s="1"/>
  <c r="G142" i="1"/>
  <c r="Q142" i="1" s="1"/>
  <c r="AM87" i="16" s="1"/>
  <c r="CA87" i="16" l="1"/>
  <c r="CB87" i="16" s="1"/>
  <c r="AW87" i="16"/>
  <c r="AX87" i="16" s="1"/>
  <c r="AC79" i="28"/>
  <c r="AD79" i="28" s="1"/>
  <c r="N141" i="1"/>
  <c r="M119" i="31" s="1"/>
  <c r="E119" i="31"/>
  <c r="F119" i="31" s="1"/>
  <c r="T429" i="1"/>
  <c r="AN87" i="16"/>
  <c r="BH86" i="16"/>
  <c r="AN86" i="16"/>
  <c r="Y143" i="1"/>
  <c r="Z143" i="1" s="1"/>
  <c r="P143" i="1"/>
  <c r="Y282" i="1"/>
  <c r="Z282" i="1" s="1"/>
  <c r="P282" i="1"/>
  <c r="Q282" i="1" s="1"/>
  <c r="AW80" i="27" s="1"/>
  <c r="AX80" i="27" s="1"/>
  <c r="S79" i="28"/>
  <c r="T79" i="28" s="1"/>
  <c r="AC80" i="28"/>
  <c r="AD80" i="28" s="1"/>
  <c r="L430" i="1"/>
  <c r="AW81" i="28" s="1"/>
  <c r="AX81" i="28" s="1"/>
  <c r="Q430" i="1"/>
  <c r="L282" i="1"/>
  <c r="BG80" i="27" s="1"/>
  <c r="BH80" i="27" s="1"/>
  <c r="U429" i="1"/>
  <c r="AD427" i="1"/>
  <c r="AD426" i="1"/>
  <c r="L143" i="1"/>
  <c r="N429" i="1"/>
  <c r="X429" i="1"/>
  <c r="K429" i="1"/>
  <c r="A110" i="3"/>
  <c r="X142" i="1"/>
  <c r="K281" i="1"/>
  <c r="M281" i="1"/>
  <c r="N281" i="1" s="1"/>
  <c r="K142" i="1"/>
  <c r="G430" i="1"/>
  <c r="M430" i="1" s="1"/>
  <c r="J430" i="1"/>
  <c r="E431" i="1"/>
  <c r="AA431" i="1" s="1"/>
  <c r="A432" i="1"/>
  <c r="C431" i="1"/>
  <c r="F431" i="1"/>
  <c r="H431" i="1" s="1"/>
  <c r="D431" i="1"/>
  <c r="P431" i="1" s="1"/>
  <c r="B431" i="1"/>
  <c r="A284" i="1"/>
  <c r="F283" i="1"/>
  <c r="H283" i="1" s="1"/>
  <c r="C283" i="1"/>
  <c r="E283" i="1"/>
  <c r="D283" i="1"/>
  <c r="B283" i="1"/>
  <c r="R282" i="1"/>
  <c r="S282" i="1" s="1"/>
  <c r="G282" i="1"/>
  <c r="R143" i="1"/>
  <c r="S143" i="1" s="1"/>
  <c r="G143" i="1"/>
  <c r="B144" i="1"/>
  <c r="E144" i="1"/>
  <c r="C144" i="1"/>
  <c r="A145" i="1"/>
  <c r="D144" i="1"/>
  <c r="F144" i="1"/>
  <c r="H144" i="1" s="1"/>
  <c r="AW88" i="16" l="1"/>
  <c r="AX88" i="16" s="1"/>
  <c r="CA88" i="16"/>
  <c r="CB88" i="16" s="1"/>
  <c r="N142" i="1"/>
  <c r="E120" i="31"/>
  <c r="F120" i="31" s="1"/>
  <c r="BH87" i="16"/>
  <c r="T430" i="1"/>
  <c r="AC81" i="28" s="1"/>
  <c r="AD81" i="28" s="1"/>
  <c r="Y144" i="1"/>
  <c r="Z144" i="1" s="1"/>
  <c r="P144" i="1"/>
  <c r="Y283" i="1"/>
  <c r="Z283" i="1" s="1"/>
  <c r="P283" i="1"/>
  <c r="Q283" i="1" s="1"/>
  <c r="AW81" i="27" s="1"/>
  <c r="AX81" i="27" s="1"/>
  <c r="S80" i="28"/>
  <c r="T80" i="28" s="1"/>
  <c r="X143" i="1"/>
  <c r="Q143" i="1"/>
  <c r="AM88" i="16" s="1"/>
  <c r="L431" i="1"/>
  <c r="AW82" i="28" s="1"/>
  <c r="AX82" i="28" s="1"/>
  <c r="Q431" i="1"/>
  <c r="L283" i="1"/>
  <c r="BG81" i="27" s="1"/>
  <c r="BH81" i="27" s="1"/>
  <c r="AD428" i="1"/>
  <c r="L144" i="1"/>
  <c r="N430" i="1"/>
  <c r="X430" i="1"/>
  <c r="K430" i="1"/>
  <c r="A111" i="3"/>
  <c r="M282" i="1"/>
  <c r="N282" i="1" s="1"/>
  <c r="X282" i="1"/>
  <c r="K282" i="1"/>
  <c r="K143" i="1"/>
  <c r="E432" i="1"/>
  <c r="AA432" i="1" s="1"/>
  <c r="F432" i="1"/>
  <c r="H432" i="1" s="1"/>
  <c r="D432" i="1"/>
  <c r="P432" i="1" s="1"/>
  <c r="B432" i="1"/>
  <c r="A433" i="1"/>
  <c r="C432" i="1"/>
  <c r="J431" i="1"/>
  <c r="G431" i="1"/>
  <c r="M431" i="1" s="1"/>
  <c r="R283" i="1"/>
  <c r="S283" i="1" s="1"/>
  <c r="G283" i="1"/>
  <c r="X283" i="1" s="1"/>
  <c r="B284" i="1"/>
  <c r="A285" i="1"/>
  <c r="D284" i="1"/>
  <c r="F284" i="1"/>
  <c r="H284" i="1" s="1"/>
  <c r="C284" i="1"/>
  <c r="E284" i="1"/>
  <c r="D145" i="1"/>
  <c r="A146" i="1"/>
  <c r="C145" i="1"/>
  <c r="B145" i="1"/>
  <c r="F145" i="1"/>
  <c r="H145" i="1" s="1"/>
  <c r="E145" i="1"/>
  <c r="R144" i="1"/>
  <c r="S144" i="1" s="1"/>
  <c r="G144" i="1"/>
  <c r="AW89" i="16" l="1"/>
  <c r="AX89" i="16" s="1"/>
  <c r="CA89" i="16"/>
  <c r="CB89" i="16" s="1"/>
  <c r="M120" i="31"/>
  <c r="N143" i="1"/>
  <c r="E121" i="31"/>
  <c r="F121" i="31" s="1"/>
  <c r="BH88" i="16"/>
  <c r="AN88" i="16"/>
  <c r="U430" i="1"/>
  <c r="T431" i="1"/>
  <c r="AC82" i="28" s="1"/>
  <c r="AD82" i="28" s="1"/>
  <c r="Y145" i="1"/>
  <c r="Z145" i="1" s="1"/>
  <c r="P145" i="1"/>
  <c r="Y284" i="1"/>
  <c r="Z284" i="1" s="1"/>
  <c r="P284" i="1"/>
  <c r="Q284" i="1" s="1"/>
  <c r="AW82" i="27" s="1"/>
  <c r="AX82" i="27" s="1"/>
  <c r="X144" i="1"/>
  <c r="Q144" i="1"/>
  <c r="AM89" i="16" s="1"/>
  <c r="L432" i="1"/>
  <c r="AW83" i="28" s="1"/>
  <c r="AX83" i="28" s="1"/>
  <c r="Q432" i="1"/>
  <c r="L284" i="1"/>
  <c r="BG82" i="27" s="1"/>
  <c r="BH82" i="27" s="1"/>
  <c r="L145" i="1"/>
  <c r="N431" i="1"/>
  <c r="X431" i="1"/>
  <c r="K431" i="1"/>
  <c r="A112" i="3"/>
  <c r="K283" i="1"/>
  <c r="M283" i="1"/>
  <c r="N283" i="1" s="1"/>
  <c r="K144" i="1"/>
  <c r="A434" i="1"/>
  <c r="F433" i="1"/>
  <c r="H433" i="1" s="1"/>
  <c r="D433" i="1"/>
  <c r="P433" i="1" s="1"/>
  <c r="B433" i="1"/>
  <c r="C433" i="1"/>
  <c r="E433" i="1"/>
  <c r="AA433" i="1" s="1"/>
  <c r="J432" i="1"/>
  <c r="G432" i="1"/>
  <c r="R284" i="1"/>
  <c r="S284" i="1" s="1"/>
  <c r="G284" i="1"/>
  <c r="X284" i="1" s="1"/>
  <c r="F285" i="1"/>
  <c r="H285" i="1" s="1"/>
  <c r="B285" i="1"/>
  <c r="E285" i="1"/>
  <c r="A286" i="1"/>
  <c r="D285" i="1"/>
  <c r="C285" i="1"/>
  <c r="C146" i="1"/>
  <c r="A147" i="1"/>
  <c r="E146" i="1"/>
  <c r="F146" i="1"/>
  <c r="H146" i="1" s="1"/>
  <c r="D146" i="1"/>
  <c r="B146" i="1"/>
  <c r="R145" i="1"/>
  <c r="S145" i="1" s="1"/>
  <c r="G145" i="1"/>
  <c r="CA90" i="16" l="1"/>
  <c r="CB90" i="16" s="1"/>
  <c r="AW90" i="16"/>
  <c r="AX90" i="16" s="1"/>
  <c r="Q145" i="1"/>
  <c r="AM90" i="16" s="1"/>
  <c r="AN90" i="16" s="1"/>
  <c r="M121" i="31"/>
  <c r="N144" i="1"/>
  <c r="M122" i="31" s="1"/>
  <c r="E122" i="31"/>
  <c r="F122" i="31" s="1"/>
  <c r="BH89" i="16"/>
  <c r="AN89" i="16"/>
  <c r="S81" i="28"/>
  <c r="T81" i="28" s="1"/>
  <c r="T432" i="1"/>
  <c r="AC83" i="28" s="1"/>
  <c r="AD83" i="28" s="1"/>
  <c r="U431" i="1"/>
  <c r="Y146" i="1"/>
  <c r="Z146" i="1" s="1"/>
  <c r="P146" i="1"/>
  <c r="Y285" i="1"/>
  <c r="Z285" i="1" s="1"/>
  <c r="P285" i="1"/>
  <c r="L433" i="1"/>
  <c r="AW84" i="28" s="1"/>
  <c r="AX84" i="28" s="1"/>
  <c r="Q433" i="1"/>
  <c r="L285" i="1"/>
  <c r="BG83" i="27" s="1"/>
  <c r="BH83" i="27" s="1"/>
  <c r="AD430" i="1"/>
  <c r="AD429" i="1"/>
  <c r="L146" i="1"/>
  <c r="X432" i="1"/>
  <c r="K432" i="1"/>
  <c r="M432" i="1"/>
  <c r="N432" i="1" s="1"/>
  <c r="A113" i="3"/>
  <c r="X145" i="1"/>
  <c r="K284" i="1"/>
  <c r="M284" i="1"/>
  <c r="N284" i="1" s="1"/>
  <c r="K145" i="1"/>
  <c r="G433" i="1"/>
  <c r="M433" i="1" s="1"/>
  <c r="J433" i="1"/>
  <c r="A435" i="1"/>
  <c r="D434" i="1"/>
  <c r="P434" i="1" s="1"/>
  <c r="F434" i="1"/>
  <c r="H434" i="1" s="1"/>
  <c r="B434" i="1"/>
  <c r="C434" i="1"/>
  <c r="E434" i="1"/>
  <c r="AA434" i="1" s="1"/>
  <c r="R285" i="1"/>
  <c r="S285" i="1" s="1"/>
  <c r="Q285" i="1"/>
  <c r="AW83" i="27" s="1"/>
  <c r="AX83" i="27" s="1"/>
  <c r="G285" i="1"/>
  <c r="X285" i="1" s="1"/>
  <c r="D286" i="1"/>
  <c r="B286" i="1"/>
  <c r="C286" i="1"/>
  <c r="A287" i="1"/>
  <c r="E286" i="1"/>
  <c r="F286" i="1"/>
  <c r="H286" i="1" s="1"/>
  <c r="F147" i="1"/>
  <c r="H147" i="1" s="1"/>
  <c r="D147" i="1"/>
  <c r="B147" i="1"/>
  <c r="A148" i="1"/>
  <c r="C147" i="1"/>
  <c r="E147" i="1"/>
  <c r="R146" i="1"/>
  <c r="S146" i="1" s="1"/>
  <c r="G146" i="1"/>
  <c r="AW91" i="16" l="1"/>
  <c r="AX91" i="16" s="1"/>
  <c r="CA91" i="16"/>
  <c r="CB91" i="16" s="1"/>
  <c r="N145" i="1"/>
  <c r="E123" i="31"/>
  <c r="F123" i="31" s="1"/>
  <c r="BH90" i="16"/>
  <c r="S82" i="28"/>
  <c r="T82" i="28" s="1"/>
  <c r="U432" i="1"/>
  <c r="T433" i="1"/>
  <c r="AC84" i="28" s="1"/>
  <c r="AD84" i="28" s="1"/>
  <c r="Y147" i="1"/>
  <c r="Z147" i="1" s="1"/>
  <c r="P147" i="1"/>
  <c r="Y286" i="1"/>
  <c r="Z286" i="1" s="1"/>
  <c r="P286" i="1"/>
  <c r="Q286" i="1" s="1"/>
  <c r="AW84" i="27" s="1"/>
  <c r="AX84" i="27" s="1"/>
  <c r="X146" i="1"/>
  <c r="Q146" i="1"/>
  <c r="AM91" i="16" s="1"/>
  <c r="L434" i="1"/>
  <c r="AW85" i="28" s="1"/>
  <c r="AX85" i="28" s="1"/>
  <c r="Q434" i="1"/>
  <c r="L286" i="1"/>
  <c r="BG84" i="27" s="1"/>
  <c r="BH84" i="27" s="1"/>
  <c r="L147" i="1"/>
  <c r="N433" i="1"/>
  <c r="X433" i="1"/>
  <c r="K433" i="1"/>
  <c r="A114" i="3"/>
  <c r="K285" i="1"/>
  <c r="M285" i="1"/>
  <c r="N285" i="1" s="1"/>
  <c r="K146" i="1"/>
  <c r="G434" i="1"/>
  <c r="M434" i="1" s="1"/>
  <c r="J434" i="1"/>
  <c r="B435" i="1"/>
  <c r="A436" i="1"/>
  <c r="D435" i="1"/>
  <c r="P435" i="1" s="1"/>
  <c r="F435" i="1"/>
  <c r="H435" i="1" s="1"/>
  <c r="C435" i="1"/>
  <c r="E435" i="1"/>
  <c r="G286" i="1"/>
  <c r="X286" i="1" s="1"/>
  <c r="R286" i="1"/>
  <c r="S286" i="1" s="1"/>
  <c r="D287" i="1"/>
  <c r="B287" i="1"/>
  <c r="C287" i="1"/>
  <c r="E287" i="1"/>
  <c r="A288" i="1"/>
  <c r="F287" i="1"/>
  <c r="H287" i="1" s="1"/>
  <c r="F148" i="1"/>
  <c r="H148" i="1" s="1"/>
  <c r="B148" i="1"/>
  <c r="C148" i="1"/>
  <c r="E148" i="1"/>
  <c r="A149" i="1"/>
  <c r="D148" i="1"/>
  <c r="R147" i="1"/>
  <c r="S147" i="1" s="1"/>
  <c r="G147" i="1"/>
  <c r="AW92" i="16" l="1"/>
  <c r="AX92" i="16" s="1"/>
  <c r="CA92" i="16"/>
  <c r="CB92" i="16" s="1"/>
  <c r="M123" i="31"/>
  <c r="N146" i="1"/>
  <c r="E124" i="31"/>
  <c r="F124" i="31" s="1"/>
  <c r="BH91" i="16"/>
  <c r="AN91" i="16"/>
  <c r="S83" i="28"/>
  <c r="T83" i="28" s="1"/>
  <c r="U433" i="1"/>
  <c r="T434" i="1"/>
  <c r="AC85" i="28" s="1"/>
  <c r="AD85" i="28" s="1"/>
  <c r="Y148" i="1"/>
  <c r="Z148" i="1" s="1"/>
  <c r="P148" i="1"/>
  <c r="Y287" i="1"/>
  <c r="Z287" i="1" s="1"/>
  <c r="P287" i="1"/>
  <c r="Q287" i="1" s="1"/>
  <c r="AW85" i="27" s="1"/>
  <c r="AX85" i="27" s="1"/>
  <c r="X147" i="1"/>
  <c r="Q147" i="1"/>
  <c r="AM92" i="16" s="1"/>
  <c r="L435" i="1"/>
  <c r="AW86" i="28" s="1"/>
  <c r="AX86" i="28" s="1"/>
  <c r="Q435" i="1"/>
  <c r="L287" i="1"/>
  <c r="BG85" i="27" s="1"/>
  <c r="BH85" i="27" s="1"/>
  <c r="AD431" i="1"/>
  <c r="AD432" i="1"/>
  <c r="L148" i="1"/>
  <c r="N434" i="1"/>
  <c r="X434" i="1"/>
  <c r="K434" i="1"/>
  <c r="A115" i="3"/>
  <c r="K286" i="1"/>
  <c r="M286" i="1"/>
  <c r="N286" i="1" s="1"/>
  <c r="K147" i="1"/>
  <c r="AA435" i="1"/>
  <c r="E436" i="1"/>
  <c r="AA436" i="1" s="1"/>
  <c r="F436" i="1"/>
  <c r="H436" i="1" s="1"/>
  <c r="D436" i="1"/>
  <c r="P436" i="1" s="1"/>
  <c r="B436" i="1"/>
  <c r="C436" i="1"/>
  <c r="A437" i="1"/>
  <c r="J435" i="1"/>
  <c r="G435" i="1"/>
  <c r="M435" i="1" s="1"/>
  <c r="B288" i="1"/>
  <c r="C288" i="1"/>
  <c r="E288" i="1"/>
  <c r="A289" i="1"/>
  <c r="D288" i="1"/>
  <c r="F288" i="1"/>
  <c r="H288" i="1" s="1"/>
  <c r="G287" i="1"/>
  <c r="X287" i="1" s="1"/>
  <c r="R287" i="1"/>
  <c r="S287" i="1" s="1"/>
  <c r="B149" i="1"/>
  <c r="A150" i="1"/>
  <c r="D149" i="1"/>
  <c r="E149" i="1"/>
  <c r="F149" i="1"/>
  <c r="H149" i="1" s="1"/>
  <c r="C149" i="1"/>
  <c r="R148" i="1"/>
  <c r="S148" i="1" s="1"/>
  <c r="G148" i="1"/>
  <c r="AW93" i="16" l="1"/>
  <c r="AX93" i="16" s="1"/>
  <c r="CA93" i="16"/>
  <c r="CB93" i="16" s="1"/>
  <c r="M124" i="31"/>
  <c r="N147" i="1"/>
  <c r="M125" i="31" s="1"/>
  <c r="E125" i="31"/>
  <c r="F125" i="31" s="1"/>
  <c r="BH92" i="16"/>
  <c r="AN92" i="16"/>
  <c r="S84" i="28"/>
  <c r="T84" i="28" s="1"/>
  <c r="U434" i="1"/>
  <c r="T435" i="1"/>
  <c r="AC86" i="28" s="1"/>
  <c r="AD86" i="28" s="1"/>
  <c r="Y149" i="1"/>
  <c r="Z149" i="1" s="1"/>
  <c r="P149" i="1"/>
  <c r="Y288" i="1"/>
  <c r="Z288" i="1" s="1"/>
  <c r="P288" i="1"/>
  <c r="Q288" i="1" s="1"/>
  <c r="AW86" i="27" s="1"/>
  <c r="AX86" i="27" s="1"/>
  <c r="X148" i="1"/>
  <c r="Q148" i="1"/>
  <c r="AM93" i="16" s="1"/>
  <c r="L436" i="1"/>
  <c r="AW87" i="28" s="1"/>
  <c r="AX87" i="28" s="1"/>
  <c r="Q436" i="1"/>
  <c r="L288" i="1"/>
  <c r="BG86" i="27" s="1"/>
  <c r="BH86" i="27" s="1"/>
  <c r="AD433" i="1"/>
  <c r="L149" i="1"/>
  <c r="X435" i="1"/>
  <c r="K435" i="1"/>
  <c r="A116" i="3"/>
  <c r="K287" i="1"/>
  <c r="M287" i="1"/>
  <c r="N287" i="1" s="1"/>
  <c r="K148" i="1"/>
  <c r="N435" i="1"/>
  <c r="G436" i="1"/>
  <c r="M436" i="1" s="1"/>
  <c r="J436" i="1"/>
  <c r="A438" i="1"/>
  <c r="F437" i="1"/>
  <c r="H437" i="1" s="1"/>
  <c r="D437" i="1"/>
  <c r="P437" i="1" s="1"/>
  <c r="B437" i="1"/>
  <c r="C437" i="1"/>
  <c r="E437" i="1"/>
  <c r="AA437" i="1" s="1"/>
  <c r="A290" i="1"/>
  <c r="D289" i="1"/>
  <c r="F289" i="1"/>
  <c r="H289" i="1" s="1"/>
  <c r="C289" i="1"/>
  <c r="B289" i="1"/>
  <c r="E289" i="1"/>
  <c r="G288" i="1"/>
  <c r="X288" i="1" s="1"/>
  <c r="R288" i="1"/>
  <c r="S288" i="1" s="1"/>
  <c r="R149" i="1"/>
  <c r="S149" i="1" s="1"/>
  <c r="G149" i="1"/>
  <c r="C150" i="1"/>
  <c r="E150" i="1"/>
  <c r="F150" i="1"/>
  <c r="H150" i="1" s="1"/>
  <c r="D150" i="1"/>
  <c r="B150" i="1"/>
  <c r="A151" i="1"/>
  <c r="Q149" i="1" l="1"/>
  <c r="AM94" i="16" s="1"/>
  <c r="AN94" i="16" s="1"/>
  <c r="CA94" i="16"/>
  <c r="CB94" i="16" s="1"/>
  <c r="AW94" i="16"/>
  <c r="AX94" i="16" s="1"/>
  <c r="N148" i="1"/>
  <c r="M126" i="31" s="1"/>
  <c r="E126" i="31"/>
  <c r="F126" i="31" s="1"/>
  <c r="BH93" i="16"/>
  <c r="AN93" i="16"/>
  <c r="S85" i="28"/>
  <c r="T85" i="28" s="1"/>
  <c r="T436" i="1"/>
  <c r="AC87" i="28" s="1"/>
  <c r="AD87" i="28" s="1"/>
  <c r="U435" i="1"/>
  <c r="Y150" i="1"/>
  <c r="Z150" i="1" s="1"/>
  <c r="P150" i="1"/>
  <c r="Y289" i="1"/>
  <c r="Z289" i="1" s="1"/>
  <c r="P289" i="1"/>
  <c r="L437" i="1"/>
  <c r="AW88" i="28" s="1"/>
  <c r="AX88" i="28" s="1"/>
  <c r="Q437" i="1"/>
  <c r="L289" i="1"/>
  <c r="BG87" i="27" s="1"/>
  <c r="BH87" i="27" s="1"/>
  <c r="Q289" i="1"/>
  <c r="AW87" i="27" s="1"/>
  <c r="AX87" i="27" s="1"/>
  <c r="AD434" i="1"/>
  <c r="L150" i="1"/>
  <c r="N436" i="1"/>
  <c r="X436" i="1"/>
  <c r="K436" i="1"/>
  <c r="A117" i="3"/>
  <c r="X149" i="1"/>
  <c r="K288" i="1"/>
  <c r="M288" i="1"/>
  <c r="N288" i="1" s="1"/>
  <c r="K149" i="1"/>
  <c r="G437" i="1"/>
  <c r="J437" i="1"/>
  <c r="B438" i="1"/>
  <c r="C438" i="1"/>
  <c r="E438" i="1"/>
  <c r="AA438" i="1" s="1"/>
  <c r="A439" i="1"/>
  <c r="D438" i="1"/>
  <c r="P438" i="1" s="1"/>
  <c r="F438" i="1"/>
  <c r="H438" i="1" s="1"/>
  <c r="G289" i="1"/>
  <c r="X289" i="1" s="1"/>
  <c r="R289" i="1"/>
  <c r="S289" i="1" s="1"/>
  <c r="C290" i="1"/>
  <c r="E290" i="1"/>
  <c r="B290" i="1"/>
  <c r="D290" i="1"/>
  <c r="A291" i="1"/>
  <c r="F290" i="1"/>
  <c r="H290" i="1" s="1"/>
  <c r="F151" i="1"/>
  <c r="H151" i="1" s="1"/>
  <c r="C151" i="1"/>
  <c r="E151" i="1"/>
  <c r="A152" i="1"/>
  <c r="D151" i="1"/>
  <c r="B151" i="1"/>
  <c r="R150" i="1"/>
  <c r="S150" i="1" s="1"/>
  <c r="G150" i="1"/>
  <c r="CA95" i="16" l="1"/>
  <c r="CB95" i="16" s="1"/>
  <c r="AW95" i="16"/>
  <c r="AX95" i="16" s="1"/>
  <c r="N149" i="1"/>
  <c r="E127" i="31"/>
  <c r="F127" i="31" s="1"/>
  <c r="BH94" i="16"/>
  <c r="S86" i="28"/>
  <c r="T86" i="28" s="1"/>
  <c r="U436" i="1"/>
  <c r="T437" i="1"/>
  <c r="U437" i="1" s="1"/>
  <c r="Y151" i="1"/>
  <c r="Z151" i="1" s="1"/>
  <c r="P151" i="1"/>
  <c r="Y290" i="1"/>
  <c r="Z290" i="1" s="1"/>
  <c r="P290" i="1"/>
  <c r="Q290" i="1" s="1"/>
  <c r="AW88" i="27" s="1"/>
  <c r="AX88" i="27" s="1"/>
  <c r="X150" i="1"/>
  <c r="Q150" i="1"/>
  <c r="AM95" i="16" s="1"/>
  <c r="L438" i="1"/>
  <c r="AW89" i="28" s="1"/>
  <c r="AX89" i="28" s="1"/>
  <c r="Q438" i="1"/>
  <c r="L290" i="1"/>
  <c r="BG88" i="27" s="1"/>
  <c r="BH88" i="27" s="1"/>
  <c r="AD435" i="1"/>
  <c r="L151" i="1"/>
  <c r="X437" i="1"/>
  <c r="K437" i="1"/>
  <c r="M437" i="1"/>
  <c r="N437" i="1" s="1"/>
  <c r="A118" i="3"/>
  <c r="K289" i="1"/>
  <c r="M289" i="1"/>
  <c r="N289" i="1" s="1"/>
  <c r="K150" i="1"/>
  <c r="G438" i="1"/>
  <c r="M438" i="1" s="1"/>
  <c r="J438" i="1"/>
  <c r="A440" i="1"/>
  <c r="D439" i="1"/>
  <c r="P439" i="1" s="1"/>
  <c r="F439" i="1"/>
  <c r="H439" i="1" s="1"/>
  <c r="C439" i="1"/>
  <c r="B439" i="1"/>
  <c r="E439" i="1"/>
  <c r="AA439" i="1" s="1"/>
  <c r="B291" i="1"/>
  <c r="E291" i="1"/>
  <c r="A292" i="1"/>
  <c r="C291" i="1"/>
  <c r="F291" i="1"/>
  <c r="H291" i="1" s="1"/>
  <c r="D291" i="1"/>
  <c r="R290" i="1"/>
  <c r="S290" i="1" s="1"/>
  <c r="G290" i="1"/>
  <c r="X290" i="1" s="1"/>
  <c r="A153" i="1"/>
  <c r="D152" i="1"/>
  <c r="F152" i="1"/>
  <c r="H152" i="1" s="1"/>
  <c r="C152" i="1"/>
  <c r="E152" i="1"/>
  <c r="B152" i="1"/>
  <c r="R151" i="1"/>
  <c r="S151" i="1" s="1"/>
  <c r="G151" i="1"/>
  <c r="Q151" i="1" s="1"/>
  <c r="AM96" i="16" s="1"/>
  <c r="CA96" i="16" l="1"/>
  <c r="CB96" i="16" s="1"/>
  <c r="AW96" i="16"/>
  <c r="AX96" i="16" s="1"/>
  <c r="M127" i="31"/>
  <c r="N150" i="1"/>
  <c r="E128" i="31"/>
  <c r="F128" i="31" s="1"/>
  <c r="BH95" i="16"/>
  <c r="AN95" i="16"/>
  <c r="AN96" i="16"/>
  <c r="S87" i="28"/>
  <c r="T87" i="28" s="1"/>
  <c r="S88" i="28"/>
  <c r="T88" i="28" s="1"/>
  <c r="AC88" i="28"/>
  <c r="AD88" i="28" s="1"/>
  <c r="T438" i="1"/>
  <c r="AC89" i="28" s="1"/>
  <c r="AD89" i="28" s="1"/>
  <c r="Y152" i="1"/>
  <c r="Z152" i="1" s="1"/>
  <c r="P152" i="1"/>
  <c r="Y291" i="1"/>
  <c r="Z291" i="1" s="1"/>
  <c r="P291" i="1"/>
  <c r="L439" i="1"/>
  <c r="AW90" i="28" s="1"/>
  <c r="AX90" i="28" s="1"/>
  <c r="Q439" i="1"/>
  <c r="L291" i="1"/>
  <c r="BG89" i="27" s="1"/>
  <c r="BH89" i="27" s="1"/>
  <c r="Q291" i="1"/>
  <c r="AW89" i="27" s="1"/>
  <c r="AX89" i="27" s="1"/>
  <c r="L152" i="1"/>
  <c r="N438" i="1"/>
  <c r="X438" i="1"/>
  <c r="K438" i="1"/>
  <c r="A119" i="3"/>
  <c r="X151" i="1"/>
  <c r="K290" i="1"/>
  <c r="M290" i="1"/>
  <c r="N290" i="1" s="1"/>
  <c r="K151" i="1"/>
  <c r="G439" i="1"/>
  <c r="J439" i="1"/>
  <c r="C440" i="1"/>
  <c r="A441" i="1"/>
  <c r="E440" i="1"/>
  <c r="AA440" i="1" s="1"/>
  <c r="F440" i="1"/>
  <c r="H440" i="1" s="1"/>
  <c r="D440" i="1"/>
  <c r="P440" i="1" s="1"/>
  <c r="B440" i="1"/>
  <c r="G291" i="1"/>
  <c r="X291" i="1" s="1"/>
  <c r="R291" i="1"/>
  <c r="S291" i="1" s="1"/>
  <c r="F292" i="1"/>
  <c r="H292" i="1" s="1"/>
  <c r="B292" i="1"/>
  <c r="D292" i="1"/>
  <c r="E292" i="1"/>
  <c r="A293" i="1"/>
  <c r="C292" i="1"/>
  <c r="R152" i="1"/>
  <c r="S152" i="1" s="1"/>
  <c r="G152" i="1"/>
  <c r="B153" i="1"/>
  <c r="A154" i="1"/>
  <c r="E153" i="1"/>
  <c r="C153" i="1"/>
  <c r="D153" i="1"/>
  <c r="F153" i="1"/>
  <c r="H153" i="1" s="1"/>
  <c r="CA97" i="16" l="1"/>
  <c r="CB97" i="16" s="1"/>
  <c r="AW97" i="16"/>
  <c r="AX97" i="16" s="1"/>
  <c r="M128" i="31"/>
  <c r="N151" i="1"/>
  <c r="E129" i="31"/>
  <c r="F129" i="31" s="1"/>
  <c r="BH96" i="16"/>
  <c r="T439" i="1"/>
  <c r="AC90" i="28" s="1"/>
  <c r="AD90" i="28" s="1"/>
  <c r="U438" i="1"/>
  <c r="Y153" i="1"/>
  <c r="Z153" i="1" s="1"/>
  <c r="P153" i="1"/>
  <c r="Y292" i="1"/>
  <c r="Z292" i="1" s="1"/>
  <c r="P292" i="1"/>
  <c r="Q292" i="1" s="1"/>
  <c r="AW90" i="27" s="1"/>
  <c r="AX90" i="27" s="1"/>
  <c r="X152" i="1"/>
  <c r="Q152" i="1"/>
  <c r="AM97" i="16" s="1"/>
  <c r="L440" i="1"/>
  <c r="AW91" i="28" s="1"/>
  <c r="AX91" i="28" s="1"/>
  <c r="Q440" i="1"/>
  <c r="L292" i="1"/>
  <c r="BG90" i="27" s="1"/>
  <c r="BH90" i="27" s="1"/>
  <c r="AD436" i="1"/>
  <c r="AD437" i="1"/>
  <c r="L153" i="1"/>
  <c r="X439" i="1"/>
  <c r="K439" i="1"/>
  <c r="M439" i="1"/>
  <c r="N439" i="1" s="1"/>
  <c r="A120" i="3"/>
  <c r="K291" i="1"/>
  <c r="M291" i="1"/>
  <c r="N291" i="1" s="1"/>
  <c r="K152" i="1"/>
  <c r="A442" i="1"/>
  <c r="F441" i="1"/>
  <c r="H441" i="1" s="1"/>
  <c r="D441" i="1"/>
  <c r="P441" i="1" s="1"/>
  <c r="B441" i="1"/>
  <c r="C441" i="1"/>
  <c r="E441" i="1"/>
  <c r="G440" i="1"/>
  <c r="J440" i="1"/>
  <c r="E293" i="1"/>
  <c r="D293" i="1"/>
  <c r="B293" i="1"/>
  <c r="A294" i="1"/>
  <c r="C293" i="1"/>
  <c r="F293" i="1"/>
  <c r="H293" i="1" s="1"/>
  <c r="R292" i="1"/>
  <c r="S292" i="1" s="1"/>
  <c r="G292" i="1"/>
  <c r="X292" i="1" s="1"/>
  <c r="E154" i="1"/>
  <c r="D154" i="1"/>
  <c r="A155" i="1"/>
  <c r="C154" i="1"/>
  <c r="F154" i="1"/>
  <c r="H154" i="1" s="1"/>
  <c r="B154" i="1"/>
  <c r="R153" i="1"/>
  <c r="S153" i="1" s="1"/>
  <c r="G153" i="1"/>
  <c r="CA98" i="16" l="1"/>
  <c r="CB98" i="16" s="1"/>
  <c r="AW98" i="16"/>
  <c r="AX98" i="16" s="1"/>
  <c r="M129" i="31"/>
  <c r="N152" i="1"/>
  <c r="M130" i="31" s="1"/>
  <c r="E130" i="31"/>
  <c r="F130" i="31" s="1"/>
  <c r="BH97" i="16"/>
  <c r="AN97" i="16"/>
  <c r="Q153" i="1"/>
  <c r="AM98" i="16" s="1"/>
  <c r="S89" i="28"/>
  <c r="T89" i="28" s="1"/>
  <c r="U439" i="1"/>
  <c r="T440" i="1"/>
  <c r="AC91" i="28" s="1"/>
  <c r="AD91" i="28" s="1"/>
  <c r="Y154" i="1"/>
  <c r="Z154" i="1" s="1"/>
  <c r="P154" i="1"/>
  <c r="Y293" i="1"/>
  <c r="Z293" i="1" s="1"/>
  <c r="P293" i="1"/>
  <c r="L441" i="1"/>
  <c r="AW92" i="28" s="1"/>
  <c r="AX92" i="28" s="1"/>
  <c r="Q441" i="1"/>
  <c r="L293" i="1"/>
  <c r="BG91" i="27" s="1"/>
  <c r="BH91" i="27" s="1"/>
  <c r="Q293" i="1"/>
  <c r="AW91" i="27" s="1"/>
  <c r="AX91" i="27" s="1"/>
  <c r="AD438" i="1"/>
  <c r="L154" i="1"/>
  <c r="X440" i="1"/>
  <c r="K440" i="1"/>
  <c r="M440" i="1"/>
  <c r="N440" i="1" s="1"/>
  <c r="A121" i="3"/>
  <c r="X153" i="1"/>
  <c r="K292" i="1"/>
  <c r="M292" i="1"/>
  <c r="N292" i="1" s="1"/>
  <c r="K153" i="1"/>
  <c r="AA441" i="1"/>
  <c r="G441" i="1"/>
  <c r="J441" i="1"/>
  <c r="B442" i="1"/>
  <c r="C442" i="1"/>
  <c r="E442" i="1"/>
  <c r="AA442" i="1" s="1"/>
  <c r="A443" i="1"/>
  <c r="D442" i="1"/>
  <c r="P442" i="1" s="1"/>
  <c r="F442" i="1"/>
  <c r="H442" i="1" s="1"/>
  <c r="R293" i="1"/>
  <c r="S293" i="1" s="1"/>
  <c r="G293" i="1"/>
  <c r="X293" i="1" s="1"/>
  <c r="F294" i="1"/>
  <c r="H294" i="1" s="1"/>
  <c r="C294" i="1"/>
  <c r="B294" i="1"/>
  <c r="D294" i="1"/>
  <c r="A295" i="1"/>
  <c r="E294" i="1"/>
  <c r="A156" i="1"/>
  <c r="D155" i="1"/>
  <c r="F155" i="1"/>
  <c r="H155" i="1" s="1"/>
  <c r="E155" i="1"/>
  <c r="C155" i="1"/>
  <c r="B155" i="1"/>
  <c r="R154" i="1"/>
  <c r="S154" i="1" s="1"/>
  <c r="G154" i="1"/>
  <c r="CA99" i="16" l="1"/>
  <c r="CB99" i="16" s="1"/>
  <c r="AW99" i="16"/>
  <c r="AX99" i="16" s="1"/>
  <c r="N153" i="1"/>
  <c r="M131" i="31" s="1"/>
  <c r="E131" i="31"/>
  <c r="F131" i="31" s="1"/>
  <c r="BH98" i="16"/>
  <c r="AN98" i="16"/>
  <c r="S90" i="28"/>
  <c r="T90" i="28" s="1"/>
  <c r="U440" i="1"/>
  <c r="T441" i="1"/>
  <c r="AC92" i="28" s="1"/>
  <c r="AD92" i="28" s="1"/>
  <c r="Y155" i="1"/>
  <c r="Z155" i="1" s="1"/>
  <c r="P155" i="1"/>
  <c r="Y294" i="1"/>
  <c r="Z294" i="1" s="1"/>
  <c r="P294" i="1"/>
  <c r="Q294" i="1" s="1"/>
  <c r="AW92" i="27" s="1"/>
  <c r="AX92" i="27" s="1"/>
  <c r="X154" i="1"/>
  <c r="Q154" i="1"/>
  <c r="AM99" i="16" s="1"/>
  <c r="L442" i="1"/>
  <c r="AW93" i="28" s="1"/>
  <c r="AX93" i="28" s="1"/>
  <c r="Q442" i="1"/>
  <c r="L294" i="1"/>
  <c r="BG92" i="27" s="1"/>
  <c r="BH92" i="27" s="1"/>
  <c r="AD439" i="1"/>
  <c r="L155" i="1"/>
  <c r="X441" i="1"/>
  <c r="K441" i="1"/>
  <c r="M441" i="1"/>
  <c r="N441" i="1" s="1"/>
  <c r="A122" i="3"/>
  <c r="K293" i="1"/>
  <c r="M293" i="1"/>
  <c r="N293" i="1" s="1"/>
  <c r="K154" i="1"/>
  <c r="J442" i="1"/>
  <c r="G442" i="1"/>
  <c r="M442" i="1" s="1"/>
  <c r="B443" i="1"/>
  <c r="E443" i="1"/>
  <c r="AA443" i="1" s="1"/>
  <c r="A444" i="1"/>
  <c r="D443" i="1"/>
  <c r="P443" i="1" s="1"/>
  <c r="F443" i="1"/>
  <c r="H443" i="1" s="1"/>
  <c r="C443" i="1"/>
  <c r="G294" i="1"/>
  <c r="X294" i="1" s="1"/>
  <c r="R294" i="1"/>
  <c r="S294" i="1" s="1"/>
  <c r="E295" i="1"/>
  <c r="B295" i="1"/>
  <c r="A296" i="1"/>
  <c r="D295" i="1"/>
  <c r="F295" i="1"/>
  <c r="H295" i="1" s="1"/>
  <c r="C295" i="1"/>
  <c r="R155" i="1"/>
  <c r="S155" i="1" s="1"/>
  <c r="G155" i="1"/>
  <c r="E156" i="1"/>
  <c r="C156" i="1"/>
  <c r="A157" i="1"/>
  <c r="D156" i="1"/>
  <c r="F156" i="1"/>
  <c r="H156" i="1" s="1"/>
  <c r="B156" i="1"/>
  <c r="CA100" i="16" l="1"/>
  <c r="CB100" i="16" s="1"/>
  <c r="AW100" i="16"/>
  <c r="AX100" i="16" s="1"/>
  <c r="N154" i="1"/>
  <c r="M132" i="31" s="1"/>
  <c r="E132" i="31"/>
  <c r="F132" i="31" s="1"/>
  <c r="BH99" i="16"/>
  <c r="AN99" i="16"/>
  <c r="S91" i="28"/>
  <c r="T91" i="28" s="1"/>
  <c r="U441" i="1"/>
  <c r="T442" i="1"/>
  <c r="AC93" i="28" s="1"/>
  <c r="AD93" i="28" s="1"/>
  <c r="Y156" i="1"/>
  <c r="Z156" i="1" s="1"/>
  <c r="P156" i="1"/>
  <c r="Y295" i="1"/>
  <c r="Z295" i="1" s="1"/>
  <c r="P295" i="1"/>
  <c r="Q295" i="1" s="1"/>
  <c r="AW93" i="27" s="1"/>
  <c r="AX93" i="27" s="1"/>
  <c r="X155" i="1"/>
  <c r="Q155" i="1"/>
  <c r="AM100" i="16" s="1"/>
  <c r="L443" i="1"/>
  <c r="AW94" i="28" s="1"/>
  <c r="AX94" i="28" s="1"/>
  <c r="Q443" i="1"/>
  <c r="L295" i="1"/>
  <c r="BG93" i="27" s="1"/>
  <c r="BH93" i="27" s="1"/>
  <c r="L156" i="1"/>
  <c r="N442" i="1"/>
  <c r="X442" i="1"/>
  <c r="K442" i="1"/>
  <c r="A123" i="3"/>
  <c r="K294" i="1"/>
  <c r="M294" i="1"/>
  <c r="N294" i="1" s="1"/>
  <c r="K155" i="1"/>
  <c r="G443" i="1"/>
  <c r="J443" i="1"/>
  <c r="A445" i="1"/>
  <c r="E444" i="1"/>
  <c r="AA444" i="1" s="1"/>
  <c r="F444" i="1"/>
  <c r="H444" i="1" s="1"/>
  <c r="D444" i="1"/>
  <c r="P444" i="1" s="1"/>
  <c r="B444" i="1"/>
  <c r="C444" i="1"/>
  <c r="C296" i="1"/>
  <c r="A297" i="1"/>
  <c r="E296" i="1"/>
  <c r="F296" i="1"/>
  <c r="H296" i="1" s="1"/>
  <c r="D296" i="1"/>
  <c r="B296" i="1"/>
  <c r="G295" i="1"/>
  <c r="X295" i="1" s="1"/>
  <c r="R295" i="1"/>
  <c r="S295" i="1" s="1"/>
  <c r="G156" i="1"/>
  <c r="R156" i="1"/>
  <c r="S156" i="1" s="1"/>
  <c r="A158" i="1"/>
  <c r="E157" i="1"/>
  <c r="F157" i="1"/>
  <c r="H157" i="1" s="1"/>
  <c r="D157" i="1"/>
  <c r="B157" i="1"/>
  <c r="C157" i="1"/>
  <c r="CA101" i="16" l="1"/>
  <c r="CB101" i="16" s="1"/>
  <c r="AW101" i="16"/>
  <c r="AX101" i="16" s="1"/>
  <c r="N155" i="1"/>
  <c r="M133" i="31" s="1"/>
  <c r="E133" i="31"/>
  <c r="F133" i="31" s="1"/>
  <c r="BH100" i="16"/>
  <c r="AN100" i="16"/>
  <c r="S92" i="28"/>
  <c r="T92" i="28" s="1"/>
  <c r="U442" i="1"/>
  <c r="T443" i="1"/>
  <c r="AC94" i="28" s="1"/>
  <c r="AD94" i="28" s="1"/>
  <c r="Y157" i="1"/>
  <c r="Z157" i="1" s="1"/>
  <c r="P157" i="1"/>
  <c r="Y296" i="1"/>
  <c r="Z296" i="1" s="1"/>
  <c r="P296" i="1"/>
  <c r="Q296" i="1" s="1"/>
  <c r="AW94" i="27" s="1"/>
  <c r="AX94" i="27" s="1"/>
  <c r="X156" i="1"/>
  <c r="Q156" i="1"/>
  <c r="AM101" i="16" s="1"/>
  <c r="L444" i="1"/>
  <c r="AW95" i="28" s="1"/>
  <c r="AX95" i="28" s="1"/>
  <c r="Q444" i="1"/>
  <c r="L296" i="1"/>
  <c r="BG94" i="27" s="1"/>
  <c r="BH94" i="27" s="1"/>
  <c r="AD441" i="1"/>
  <c r="AD440" i="1"/>
  <c r="L157" i="1"/>
  <c r="X443" i="1"/>
  <c r="K443" i="1"/>
  <c r="M443" i="1"/>
  <c r="N443" i="1" s="1"/>
  <c r="A124" i="3"/>
  <c r="K295" i="1"/>
  <c r="M295" i="1"/>
  <c r="N295" i="1" s="1"/>
  <c r="K156" i="1"/>
  <c r="A446" i="1"/>
  <c r="B445" i="1"/>
  <c r="D445" i="1"/>
  <c r="P445" i="1" s="1"/>
  <c r="E445" i="1"/>
  <c r="AA445" i="1" s="1"/>
  <c r="C445" i="1"/>
  <c r="F445" i="1"/>
  <c r="H445" i="1" s="1"/>
  <c r="G444" i="1"/>
  <c r="J444" i="1"/>
  <c r="A298" i="1"/>
  <c r="F297" i="1"/>
  <c r="H297" i="1" s="1"/>
  <c r="D297" i="1"/>
  <c r="B297" i="1"/>
  <c r="C297" i="1"/>
  <c r="E297" i="1"/>
  <c r="R296" i="1"/>
  <c r="S296" i="1" s="1"/>
  <c r="G296" i="1"/>
  <c r="X296" i="1" s="1"/>
  <c r="A159" i="1"/>
  <c r="F158" i="1"/>
  <c r="H158" i="1" s="1"/>
  <c r="E158" i="1"/>
  <c r="B158" i="1"/>
  <c r="D158" i="1"/>
  <c r="C158" i="1"/>
  <c r="G157" i="1"/>
  <c r="R157" i="1"/>
  <c r="S157" i="1" s="1"/>
  <c r="AW102" i="16" l="1"/>
  <c r="AX102" i="16" s="1"/>
  <c r="CA102" i="16"/>
  <c r="CB102" i="16" s="1"/>
  <c r="N156" i="1"/>
  <c r="M134" i="31" s="1"/>
  <c r="E134" i="31"/>
  <c r="F134" i="31" s="1"/>
  <c r="BH101" i="16"/>
  <c r="AN101" i="16"/>
  <c r="S93" i="28"/>
  <c r="T93" i="28" s="1"/>
  <c r="U443" i="1"/>
  <c r="T444" i="1"/>
  <c r="U444" i="1" s="1"/>
  <c r="Y158" i="1"/>
  <c r="Z158" i="1" s="1"/>
  <c r="P158" i="1"/>
  <c r="Y297" i="1"/>
  <c r="Z297" i="1" s="1"/>
  <c r="P297" i="1"/>
  <c r="Q297" i="1" s="1"/>
  <c r="AW95" i="27" s="1"/>
  <c r="AX95" i="27" s="1"/>
  <c r="X157" i="1"/>
  <c r="Q157" i="1"/>
  <c r="AM102" i="16" s="1"/>
  <c r="L445" i="1"/>
  <c r="AW96" i="28" s="1"/>
  <c r="AX96" i="28" s="1"/>
  <c r="Q445" i="1"/>
  <c r="L297" i="1"/>
  <c r="BG95" i="27" s="1"/>
  <c r="BH95" i="27" s="1"/>
  <c r="AD442" i="1"/>
  <c r="L158" i="1"/>
  <c r="X444" i="1"/>
  <c r="K444" i="1"/>
  <c r="M444" i="1"/>
  <c r="N444" i="1" s="1"/>
  <c r="A125" i="3"/>
  <c r="K296" i="1"/>
  <c r="M296" i="1"/>
  <c r="N296" i="1" s="1"/>
  <c r="K157" i="1"/>
  <c r="G445" i="1"/>
  <c r="J445" i="1"/>
  <c r="D446" i="1"/>
  <c r="P446" i="1" s="1"/>
  <c r="C446" i="1"/>
  <c r="E446" i="1"/>
  <c r="AA446" i="1" s="1"/>
  <c r="A447" i="1"/>
  <c r="F446" i="1"/>
  <c r="H446" i="1" s="1"/>
  <c r="B446" i="1"/>
  <c r="A299" i="1"/>
  <c r="D298" i="1"/>
  <c r="F298" i="1"/>
  <c r="H298" i="1" s="1"/>
  <c r="B298" i="1"/>
  <c r="C298" i="1"/>
  <c r="E298" i="1"/>
  <c r="R297" i="1"/>
  <c r="S297" i="1" s="1"/>
  <c r="G297" i="1"/>
  <c r="X297" i="1" s="1"/>
  <c r="R158" i="1"/>
  <c r="S158" i="1" s="1"/>
  <c r="G158" i="1"/>
  <c r="A160" i="1"/>
  <c r="B159" i="1"/>
  <c r="C159" i="1"/>
  <c r="E159" i="1"/>
  <c r="F159" i="1"/>
  <c r="H159" i="1" s="1"/>
  <c r="D159" i="1"/>
  <c r="CA103" i="16" l="1"/>
  <c r="CB103" i="16" s="1"/>
  <c r="AW103" i="16"/>
  <c r="AX103" i="16" s="1"/>
  <c r="N157" i="1"/>
  <c r="M135" i="31" s="1"/>
  <c r="E135" i="31"/>
  <c r="F135" i="31" s="1"/>
  <c r="BH102" i="16"/>
  <c r="AN102" i="16"/>
  <c r="S95" i="28"/>
  <c r="T95" i="28" s="1"/>
  <c r="S94" i="28"/>
  <c r="T94" i="28" s="1"/>
  <c r="AC95" i="28"/>
  <c r="AD95" i="28" s="1"/>
  <c r="T445" i="1"/>
  <c r="AC96" i="28" s="1"/>
  <c r="AD96" i="28" s="1"/>
  <c r="Y159" i="1"/>
  <c r="Z159" i="1" s="1"/>
  <c r="P159" i="1"/>
  <c r="Y298" i="1"/>
  <c r="Z298" i="1" s="1"/>
  <c r="P298" i="1"/>
  <c r="Q298" i="1" s="1"/>
  <c r="AW96" i="27" s="1"/>
  <c r="AX96" i="27" s="1"/>
  <c r="X158" i="1"/>
  <c r="Q158" i="1"/>
  <c r="AM103" i="16" s="1"/>
  <c r="L446" i="1"/>
  <c r="AW97" i="28" s="1"/>
  <c r="AX97" i="28" s="1"/>
  <c r="Q446" i="1"/>
  <c r="L298" i="1"/>
  <c r="BG96" i="27" s="1"/>
  <c r="BH96" i="27" s="1"/>
  <c r="AD443" i="1"/>
  <c r="L159" i="1"/>
  <c r="X445" i="1"/>
  <c r="K445" i="1"/>
  <c r="M445" i="1"/>
  <c r="N445" i="1" s="1"/>
  <c r="A126" i="3"/>
  <c r="K297" i="1"/>
  <c r="M297" i="1"/>
  <c r="N297" i="1" s="1"/>
  <c r="K158" i="1"/>
  <c r="D447" i="1"/>
  <c r="P447" i="1" s="1"/>
  <c r="B447" i="1"/>
  <c r="A448" i="1"/>
  <c r="F447" i="1"/>
  <c r="H447" i="1" s="1"/>
  <c r="E447" i="1"/>
  <c r="AA447" i="1" s="1"/>
  <c r="C447" i="1"/>
  <c r="G446" i="1"/>
  <c r="J446" i="1"/>
  <c r="R298" i="1"/>
  <c r="S298" i="1" s="1"/>
  <c r="G298" i="1"/>
  <c r="X298" i="1" s="1"/>
  <c r="B299" i="1"/>
  <c r="E299" i="1"/>
  <c r="A300" i="1"/>
  <c r="D299" i="1"/>
  <c r="F299" i="1"/>
  <c r="H299" i="1" s="1"/>
  <c r="C299" i="1"/>
  <c r="A161" i="1"/>
  <c r="D160" i="1"/>
  <c r="C160" i="1"/>
  <c r="E160" i="1"/>
  <c r="F160" i="1"/>
  <c r="H160" i="1" s="1"/>
  <c r="B160" i="1"/>
  <c r="R159" i="1"/>
  <c r="S159" i="1" s="1"/>
  <c r="G159" i="1"/>
  <c r="CA104" i="16" l="1"/>
  <c r="CB104" i="16" s="1"/>
  <c r="AW104" i="16"/>
  <c r="AX104" i="16" s="1"/>
  <c r="N158" i="1"/>
  <c r="M136" i="31" s="1"/>
  <c r="E136" i="31"/>
  <c r="F136" i="31" s="1"/>
  <c r="BH103" i="16"/>
  <c r="AN103" i="16"/>
  <c r="T446" i="1"/>
  <c r="AC97" i="28" s="1"/>
  <c r="AD97" i="28" s="1"/>
  <c r="U445" i="1"/>
  <c r="Y160" i="1"/>
  <c r="Z160" i="1" s="1"/>
  <c r="P160" i="1"/>
  <c r="Y299" i="1"/>
  <c r="Z299" i="1" s="1"/>
  <c r="P299" i="1"/>
  <c r="Q299" i="1" s="1"/>
  <c r="AW97" i="27" s="1"/>
  <c r="AX97" i="27" s="1"/>
  <c r="X159" i="1"/>
  <c r="Q159" i="1"/>
  <c r="AM104" i="16" s="1"/>
  <c r="L447" i="1"/>
  <c r="AW98" i="28" s="1"/>
  <c r="AX98" i="28" s="1"/>
  <c r="Q447" i="1"/>
  <c r="L299" i="1"/>
  <c r="BG97" i="27" s="1"/>
  <c r="BH97" i="27" s="1"/>
  <c r="AD444" i="1"/>
  <c r="L160" i="1"/>
  <c r="X446" i="1"/>
  <c r="K446" i="1"/>
  <c r="M446" i="1"/>
  <c r="N446" i="1" s="1"/>
  <c r="A127" i="3"/>
  <c r="K298" i="1"/>
  <c r="M298" i="1"/>
  <c r="N298" i="1" s="1"/>
  <c r="K159" i="1"/>
  <c r="B448" i="1"/>
  <c r="C448" i="1"/>
  <c r="A449" i="1"/>
  <c r="E448" i="1"/>
  <c r="AA448" i="1" s="1"/>
  <c r="F448" i="1"/>
  <c r="H448" i="1" s="1"/>
  <c r="D448" i="1"/>
  <c r="P448" i="1" s="1"/>
  <c r="G447" i="1"/>
  <c r="M447" i="1" s="1"/>
  <c r="J447" i="1"/>
  <c r="G299" i="1"/>
  <c r="X299" i="1" s="1"/>
  <c r="R299" i="1"/>
  <c r="S299" i="1" s="1"/>
  <c r="A301" i="1"/>
  <c r="D300" i="1"/>
  <c r="B300" i="1"/>
  <c r="E300" i="1"/>
  <c r="F300" i="1"/>
  <c r="H300" i="1" s="1"/>
  <c r="C300" i="1"/>
  <c r="G160" i="1"/>
  <c r="R160" i="1"/>
  <c r="S160" i="1" s="1"/>
  <c r="F161" i="1"/>
  <c r="H161" i="1" s="1"/>
  <c r="C161" i="1"/>
  <c r="A162" i="1"/>
  <c r="D161" i="1"/>
  <c r="B161" i="1"/>
  <c r="E161" i="1"/>
  <c r="CA105" i="16" l="1"/>
  <c r="CB105" i="16" s="1"/>
  <c r="AW105" i="16"/>
  <c r="AX105" i="16" s="1"/>
  <c r="N159" i="1"/>
  <c r="M137" i="31" s="1"/>
  <c r="E137" i="31"/>
  <c r="F137" i="31" s="1"/>
  <c r="AN104" i="16"/>
  <c r="BH104" i="16"/>
  <c r="Q160" i="1"/>
  <c r="AM105" i="16" s="1"/>
  <c r="S96" i="28"/>
  <c r="T96" i="28" s="1"/>
  <c r="U446" i="1"/>
  <c r="T447" i="1"/>
  <c r="AC98" i="28" s="1"/>
  <c r="AD98" i="28" s="1"/>
  <c r="Y161" i="1"/>
  <c r="Z161" i="1" s="1"/>
  <c r="P161" i="1"/>
  <c r="Y300" i="1"/>
  <c r="Z300" i="1" s="1"/>
  <c r="P300" i="1"/>
  <c r="L448" i="1"/>
  <c r="AW99" i="28" s="1"/>
  <c r="AX99" i="28" s="1"/>
  <c r="Q448" i="1"/>
  <c r="L300" i="1"/>
  <c r="BG98" i="27" s="1"/>
  <c r="BH98" i="27" s="1"/>
  <c r="Q300" i="1"/>
  <c r="AW98" i="27" s="1"/>
  <c r="AX98" i="27" s="1"/>
  <c r="AD445" i="1"/>
  <c r="L161" i="1"/>
  <c r="N447" i="1"/>
  <c r="X447" i="1"/>
  <c r="K447" i="1"/>
  <c r="A128" i="3"/>
  <c r="X160" i="1"/>
  <c r="K299" i="1"/>
  <c r="M299" i="1"/>
  <c r="N299" i="1" s="1"/>
  <c r="K160" i="1"/>
  <c r="G448" i="1"/>
  <c r="M448" i="1" s="1"/>
  <c r="J448" i="1"/>
  <c r="B449" i="1"/>
  <c r="D449" i="1"/>
  <c r="P449" i="1" s="1"/>
  <c r="A450" i="1"/>
  <c r="E449" i="1"/>
  <c r="AA449" i="1" s="1"/>
  <c r="F449" i="1"/>
  <c r="H449" i="1" s="1"/>
  <c r="C449" i="1"/>
  <c r="F301" i="1"/>
  <c r="H301" i="1" s="1"/>
  <c r="D301" i="1"/>
  <c r="B301" i="1"/>
  <c r="A302" i="1"/>
  <c r="C301" i="1"/>
  <c r="E301" i="1"/>
  <c r="G300" i="1"/>
  <c r="X300" i="1" s="1"/>
  <c r="R300" i="1"/>
  <c r="S300" i="1" s="1"/>
  <c r="G161" i="1"/>
  <c r="R161" i="1"/>
  <c r="S161" i="1" s="1"/>
  <c r="C162" i="1"/>
  <c r="A163" i="1"/>
  <c r="E162" i="1"/>
  <c r="F162" i="1"/>
  <c r="H162" i="1" s="1"/>
  <c r="D162" i="1"/>
  <c r="B162" i="1"/>
  <c r="CA106" i="16" l="1"/>
  <c r="CB106" i="16" s="1"/>
  <c r="AW106" i="16"/>
  <c r="AX106" i="16" s="1"/>
  <c r="N160" i="1"/>
  <c r="E138" i="31"/>
  <c r="F138" i="31" s="1"/>
  <c r="BH105" i="16"/>
  <c r="AN105" i="16"/>
  <c r="S97" i="28"/>
  <c r="T97" i="28" s="1"/>
  <c r="T448" i="1"/>
  <c r="AC99" i="28" s="1"/>
  <c r="AD99" i="28" s="1"/>
  <c r="U447" i="1"/>
  <c r="Y162" i="1"/>
  <c r="Z162" i="1" s="1"/>
  <c r="P162" i="1"/>
  <c r="Y301" i="1"/>
  <c r="Z301" i="1" s="1"/>
  <c r="P301" i="1"/>
  <c r="Q301" i="1" s="1"/>
  <c r="AW99" i="27" s="1"/>
  <c r="AX99" i="27" s="1"/>
  <c r="X161" i="1"/>
  <c r="Q161" i="1"/>
  <c r="AM106" i="16" s="1"/>
  <c r="L449" i="1"/>
  <c r="AW100" i="28" s="1"/>
  <c r="AX100" i="28" s="1"/>
  <c r="Q449" i="1"/>
  <c r="L301" i="1"/>
  <c r="BG99" i="27" s="1"/>
  <c r="BH99" i="27" s="1"/>
  <c r="AD446" i="1"/>
  <c r="L162" i="1"/>
  <c r="N448" i="1"/>
  <c r="X448" i="1"/>
  <c r="K448" i="1"/>
  <c r="A129" i="3"/>
  <c r="K300" i="1"/>
  <c r="M300" i="1"/>
  <c r="N300" i="1" s="1"/>
  <c r="K161" i="1"/>
  <c r="D450" i="1"/>
  <c r="P450" i="1" s="1"/>
  <c r="E450" i="1"/>
  <c r="AA450" i="1" s="1"/>
  <c r="B450" i="1"/>
  <c r="C450" i="1"/>
  <c r="A451" i="1"/>
  <c r="F450" i="1"/>
  <c r="H450" i="1" s="1"/>
  <c r="G449" i="1"/>
  <c r="J449" i="1"/>
  <c r="B302" i="1"/>
  <c r="C302" i="1"/>
  <c r="E302" i="1"/>
  <c r="A303" i="1"/>
  <c r="D302" i="1"/>
  <c r="F302" i="1"/>
  <c r="H302" i="1" s="1"/>
  <c r="G301" i="1"/>
  <c r="X301" i="1" s="1"/>
  <c r="R301" i="1"/>
  <c r="S301" i="1" s="1"/>
  <c r="R162" i="1"/>
  <c r="S162" i="1" s="1"/>
  <c r="G162" i="1"/>
  <c r="A164" i="1"/>
  <c r="F163" i="1"/>
  <c r="H163" i="1" s="1"/>
  <c r="D163" i="1"/>
  <c r="B163" i="1"/>
  <c r="C163" i="1"/>
  <c r="E163" i="1"/>
  <c r="AW107" i="16" l="1"/>
  <c r="AX107" i="16" s="1"/>
  <c r="CA107" i="16"/>
  <c r="CB107" i="16" s="1"/>
  <c r="M138" i="31"/>
  <c r="N161" i="1"/>
  <c r="M139" i="31" s="1"/>
  <c r="E139" i="31"/>
  <c r="F139" i="31" s="1"/>
  <c r="BH106" i="16"/>
  <c r="AN106" i="16"/>
  <c r="S98" i="28"/>
  <c r="T98" i="28" s="1"/>
  <c r="U448" i="1"/>
  <c r="T449" i="1"/>
  <c r="AC100" i="28" s="1"/>
  <c r="AD100" i="28" s="1"/>
  <c r="Y163" i="1"/>
  <c r="Z163" i="1" s="1"/>
  <c r="P163" i="1"/>
  <c r="Y302" i="1"/>
  <c r="Z302" i="1" s="1"/>
  <c r="P302" i="1"/>
  <c r="Q302" i="1" s="1"/>
  <c r="AW100" i="27" s="1"/>
  <c r="AX100" i="27" s="1"/>
  <c r="X162" i="1"/>
  <c r="Q162" i="1"/>
  <c r="AM107" i="16" s="1"/>
  <c r="L450" i="1"/>
  <c r="AW101" i="28" s="1"/>
  <c r="AX101" i="28" s="1"/>
  <c r="Q450" i="1"/>
  <c r="L302" i="1"/>
  <c r="BG100" i="27" s="1"/>
  <c r="BH100" i="27" s="1"/>
  <c r="L163" i="1"/>
  <c r="X449" i="1"/>
  <c r="K449" i="1"/>
  <c r="M449" i="1"/>
  <c r="N449" i="1" s="1"/>
  <c r="A130" i="3"/>
  <c r="K301" i="1"/>
  <c r="M301" i="1"/>
  <c r="N301" i="1" s="1"/>
  <c r="K162" i="1"/>
  <c r="B451" i="1"/>
  <c r="D451" i="1"/>
  <c r="P451" i="1" s="1"/>
  <c r="E451" i="1"/>
  <c r="AA451" i="1" s="1"/>
  <c r="A452" i="1"/>
  <c r="C451" i="1"/>
  <c r="F451" i="1"/>
  <c r="H451" i="1" s="1"/>
  <c r="G450" i="1"/>
  <c r="J450" i="1"/>
  <c r="G302" i="1"/>
  <c r="X302" i="1" s="1"/>
  <c r="R302" i="1"/>
  <c r="S302" i="1" s="1"/>
  <c r="F303" i="1"/>
  <c r="H303" i="1" s="1"/>
  <c r="C303" i="1"/>
  <c r="B303" i="1"/>
  <c r="E303" i="1"/>
  <c r="A304" i="1"/>
  <c r="D303" i="1"/>
  <c r="C164" i="1"/>
  <c r="E164" i="1"/>
  <c r="A165" i="1"/>
  <c r="D164" i="1"/>
  <c r="F164" i="1"/>
  <c r="H164" i="1" s="1"/>
  <c r="B164" i="1"/>
  <c r="R163" i="1"/>
  <c r="S163" i="1" s="1"/>
  <c r="G163" i="1"/>
  <c r="CA108" i="16" l="1"/>
  <c r="CB108" i="16" s="1"/>
  <c r="AW108" i="16"/>
  <c r="AX108" i="16" s="1"/>
  <c r="N162" i="1"/>
  <c r="M140" i="31" s="1"/>
  <c r="E140" i="31"/>
  <c r="F140" i="31" s="1"/>
  <c r="BH107" i="16"/>
  <c r="AN107" i="16"/>
  <c r="S99" i="28"/>
  <c r="T99" i="28" s="1"/>
  <c r="U449" i="1"/>
  <c r="T450" i="1"/>
  <c r="AC101" i="28" s="1"/>
  <c r="AD101" i="28" s="1"/>
  <c r="Y164" i="1"/>
  <c r="Z164" i="1" s="1"/>
  <c r="P164" i="1"/>
  <c r="Y303" i="1"/>
  <c r="Z303" i="1" s="1"/>
  <c r="P303" i="1"/>
  <c r="Q303" i="1" s="1"/>
  <c r="AW101" i="27" s="1"/>
  <c r="AX101" i="27" s="1"/>
  <c r="X163" i="1"/>
  <c r="Q163" i="1"/>
  <c r="AM108" i="16" s="1"/>
  <c r="L451" i="1"/>
  <c r="AW102" i="28" s="1"/>
  <c r="AX102" i="28" s="1"/>
  <c r="Q451" i="1"/>
  <c r="L303" i="1"/>
  <c r="BG101" i="27" s="1"/>
  <c r="BH101" i="27" s="1"/>
  <c r="AD448" i="1"/>
  <c r="AD447" i="1"/>
  <c r="L164" i="1"/>
  <c r="X450" i="1"/>
  <c r="K450" i="1"/>
  <c r="M450" i="1"/>
  <c r="N450" i="1" s="1"/>
  <c r="A131" i="3"/>
  <c r="K302" i="1"/>
  <c r="M302" i="1"/>
  <c r="N302" i="1" s="1"/>
  <c r="K163" i="1"/>
  <c r="J451" i="1"/>
  <c r="G451" i="1"/>
  <c r="C452" i="1"/>
  <c r="A453" i="1"/>
  <c r="E452" i="1"/>
  <c r="AA452" i="1" s="1"/>
  <c r="B452" i="1"/>
  <c r="F452" i="1"/>
  <c r="H452" i="1" s="1"/>
  <c r="D452" i="1"/>
  <c r="P452" i="1" s="1"/>
  <c r="D304" i="1"/>
  <c r="B304" i="1"/>
  <c r="C304" i="1"/>
  <c r="A305" i="1"/>
  <c r="E304" i="1"/>
  <c r="F304" i="1"/>
  <c r="H304" i="1" s="1"/>
  <c r="R303" i="1"/>
  <c r="S303" i="1" s="1"/>
  <c r="G303" i="1"/>
  <c r="X303" i="1" s="1"/>
  <c r="F165" i="1"/>
  <c r="H165" i="1" s="1"/>
  <c r="C165" i="1"/>
  <c r="A166" i="1"/>
  <c r="D165" i="1"/>
  <c r="B165" i="1"/>
  <c r="E165" i="1"/>
  <c r="R164" i="1"/>
  <c r="S164" i="1" s="1"/>
  <c r="G164" i="1"/>
  <c r="CA109" i="16" l="1"/>
  <c r="CB109" i="16" s="1"/>
  <c r="AW109" i="16"/>
  <c r="AX109" i="16" s="1"/>
  <c r="N163" i="1"/>
  <c r="E141" i="31"/>
  <c r="F141" i="31" s="1"/>
  <c r="BH108" i="16"/>
  <c r="AN108" i="16"/>
  <c r="S100" i="28"/>
  <c r="T100" i="28" s="1"/>
  <c r="T451" i="1"/>
  <c r="AC102" i="28" s="1"/>
  <c r="AD102" i="28" s="1"/>
  <c r="U450" i="1"/>
  <c r="Y165" i="1"/>
  <c r="Z165" i="1" s="1"/>
  <c r="P165" i="1"/>
  <c r="Y304" i="1"/>
  <c r="Z304" i="1" s="1"/>
  <c r="P304" i="1"/>
  <c r="Q304" i="1" s="1"/>
  <c r="AW102" i="27" s="1"/>
  <c r="AX102" i="27" s="1"/>
  <c r="X164" i="1"/>
  <c r="Q164" i="1"/>
  <c r="AM109" i="16" s="1"/>
  <c r="L452" i="1"/>
  <c r="AW103" i="28" s="1"/>
  <c r="AX103" i="28" s="1"/>
  <c r="Q452" i="1"/>
  <c r="L304" i="1"/>
  <c r="BG102" i="27" s="1"/>
  <c r="BH102" i="27" s="1"/>
  <c r="AD449" i="1"/>
  <c r="L165" i="1"/>
  <c r="X451" i="1"/>
  <c r="K451" i="1"/>
  <c r="M451" i="1"/>
  <c r="N451" i="1" s="1"/>
  <c r="A132" i="3"/>
  <c r="K303" i="1"/>
  <c r="M303" i="1"/>
  <c r="N303" i="1" s="1"/>
  <c r="K164" i="1"/>
  <c r="G452" i="1"/>
  <c r="J452" i="1"/>
  <c r="A454" i="1"/>
  <c r="E453" i="1"/>
  <c r="AA453" i="1" s="1"/>
  <c r="F453" i="1"/>
  <c r="H453" i="1" s="1"/>
  <c r="B453" i="1"/>
  <c r="C453" i="1"/>
  <c r="D453" i="1"/>
  <c r="P453" i="1" s="1"/>
  <c r="F305" i="1"/>
  <c r="H305" i="1" s="1"/>
  <c r="D305" i="1"/>
  <c r="B305" i="1"/>
  <c r="C305" i="1"/>
  <c r="E305" i="1"/>
  <c r="A306" i="1"/>
  <c r="G304" i="1"/>
  <c r="X304" i="1" s="1"/>
  <c r="R304" i="1"/>
  <c r="S304" i="1" s="1"/>
  <c r="G165" i="1"/>
  <c r="R165" i="1"/>
  <c r="S165" i="1" s="1"/>
  <c r="C166" i="1"/>
  <c r="A167" i="1"/>
  <c r="E166" i="1"/>
  <c r="F166" i="1"/>
  <c r="H166" i="1" s="1"/>
  <c r="D166" i="1"/>
  <c r="B166" i="1"/>
  <c r="CA110" i="16" l="1"/>
  <c r="CB110" i="16" s="1"/>
  <c r="AW110" i="16"/>
  <c r="AX110" i="16" s="1"/>
  <c r="M141" i="31"/>
  <c r="N164" i="1"/>
  <c r="M142" i="31" s="1"/>
  <c r="E142" i="31"/>
  <c r="F142" i="31" s="1"/>
  <c r="BH109" i="16"/>
  <c r="AN109" i="16"/>
  <c r="S101" i="28"/>
  <c r="T101" i="28" s="1"/>
  <c r="T452" i="1"/>
  <c r="AC103" i="28" s="1"/>
  <c r="AD103" i="28" s="1"/>
  <c r="U451" i="1"/>
  <c r="Y166" i="1"/>
  <c r="Z166" i="1" s="1"/>
  <c r="P166" i="1"/>
  <c r="Y305" i="1"/>
  <c r="Z305" i="1" s="1"/>
  <c r="P305" i="1"/>
  <c r="Q305" i="1" s="1"/>
  <c r="AW103" i="27" s="1"/>
  <c r="AX103" i="27" s="1"/>
  <c r="X165" i="1"/>
  <c r="Q165" i="1"/>
  <c r="AM110" i="16" s="1"/>
  <c r="L453" i="1"/>
  <c r="AW104" i="28" s="1"/>
  <c r="AX104" i="28" s="1"/>
  <c r="Q453" i="1"/>
  <c r="L305" i="1"/>
  <c r="BG103" i="27" s="1"/>
  <c r="BH103" i="27" s="1"/>
  <c r="AD450" i="1"/>
  <c r="L166" i="1"/>
  <c r="X452" i="1"/>
  <c r="K452" i="1"/>
  <c r="M452" i="1"/>
  <c r="N452" i="1" s="1"/>
  <c r="A133" i="3"/>
  <c r="K304" i="1"/>
  <c r="M304" i="1"/>
  <c r="N304" i="1" s="1"/>
  <c r="K165" i="1"/>
  <c r="G453" i="1"/>
  <c r="M453" i="1" s="1"/>
  <c r="J453" i="1"/>
  <c r="F454" i="1"/>
  <c r="H454" i="1" s="1"/>
  <c r="D454" i="1"/>
  <c r="P454" i="1" s="1"/>
  <c r="B454" i="1"/>
  <c r="E454" i="1"/>
  <c r="AA454" i="1" s="1"/>
  <c r="A455" i="1"/>
  <c r="C454" i="1"/>
  <c r="C306" i="1"/>
  <c r="E306" i="1"/>
  <c r="A307" i="1"/>
  <c r="D306" i="1"/>
  <c r="B306" i="1"/>
  <c r="F306" i="1"/>
  <c r="H306" i="1" s="1"/>
  <c r="G305" i="1"/>
  <c r="X305" i="1" s="1"/>
  <c r="R305" i="1"/>
  <c r="S305" i="1" s="1"/>
  <c r="R166" i="1"/>
  <c r="S166" i="1" s="1"/>
  <c r="G166" i="1"/>
  <c r="D167" i="1"/>
  <c r="B167" i="1"/>
  <c r="A168" i="1"/>
  <c r="F167" i="1"/>
  <c r="H167" i="1" s="1"/>
  <c r="C167" i="1"/>
  <c r="E167" i="1"/>
  <c r="AW111" i="16" l="1"/>
  <c r="AX111" i="16" s="1"/>
  <c r="CA111" i="16"/>
  <c r="CB111" i="16" s="1"/>
  <c r="N165" i="1"/>
  <c r="M143" i="31" s="1"/>
  <c r="E143" i="31"/>
  <c r="F143" i="31" s="1"/>
  <c r="BH110" i="16"/>
  <c r="AN110" i="16"/>
  <c r="S102" i="28"/>
  <c r="T102" i="28" s="1"/>
  <c r="U452" i="1"/>
  <c r="T453" i="1"/>
  <c r="AC104" i="28" s="1"/>
  <c r="AD104" i="28" s="1"/>
  <c r="Y167" i="1"/>
  <c r="Z167" i="1" s="1"/>
  <c r="P167" i="1"/>
  <c r="Y306" i="1"/>
  <c r="Z306" i="1" s="1"/>
  <c r="P306" i="1"/>
  <c r="Q306" i="1" s="1"/>
  <c r="AW104" i="27" s="1"/>
  <c r="AX104" i="27" s="1"/>
  <c r="X166" i="1"/>
  <c r="Q166" i="1"/>
  <c r="AM111" i="16" s="1"/>
  <c r="L454" i="1"/>
  <c r="AW105" i="28" s="1"/>
  <c r="AX105" i="28" s="1"/>
  <c r="Q454" i="1"/>
  <c r="L306" i="1"/>
  <c r="BG104" i="27" s="1"/>
  <c r="BH104" i="27" s="1"/>
  <c r="AD451" i="1"/>
  <c r="L167" i="1"/>
  <c r="N453" i="1"/>
  <c r="X453" i="1"/>
  <c r="K453" i="1"/>
  <c r="A134" i="3"/>
  <c r="K305" i="1"/>
  <c r="M305" i="1"/>
  <c r="N305" i="1" s="1"/>
  <c r="K166" i="1"/>
  <c r="J454" i="1"/>
  <c r="G454" i="1"/>
  <c r="E455" i="1"/>
  <c r="AA455" i="1" s="1"/>
  <c r="F455" i="1"/>
  <c r="H455" i="1" s="1"/>
  <c r="D455" i="1"/>
  <c r="P455" i="1" s="1"/>
  <c r="B455" i="1"/>
  <c r="A456" i="1"/>
  <c r="C455" i="1"/>
  <c r="R306" i="1"/>
  <c r="S306" i="1" s="1"/>
  <c r="G306" i="1"/>
  <c r="X306" i="1" s="1"/>
  <c r="E307" i="1"/>
  <c r="A308" i="1"/>
  <c r="D307" i="1"/>
  <c r="F307" i="1"/>
  <c r="H307" i="1" s="1"/>
  <c r="C307" i="1"/>
  <c r="B307" i="1"/>
  <c r="E168" i="1"/>
  <c r="C168" i="1"/>
  <c r="D168" i="1"/>
  <c r="F168" i="1"/>
  <c r="H168" i="1" s="1"/>
  <c r="B168" i="1"/>
  <c r="R167" i="1"/>
  <c r="S167" i="1" s="1"/>
  <c r="G167" i="1"/>
  <c r="AW112" i="16" l="1"/>
  <c r="AX112" i="16" s="1"/>
  <c r="CA112" i="16"/>
  <c r="CB112" i="16" s="1"/>
  <c r="N166" i="1"/>
  <c r="M144" i="31" s="1"/>
  <c r="E144" i="31"/>
  <c r="F144" i="31" s="1"/>
  <c r="BH111" i="16"/>
  <c r="AN111" i="16"/>
  <c r="S103" i="28"/>
  <c r="T103" i="28" s="1"/>
  <c r="U453" i="1"/>
  <c r="T454" i="1"/>
  <c r="AC105" i="28" s="1"/>
  <c r="AD105" i="28" s="1"/>
  <c r="Y168" i="1"/>
  <c r="Z168" i="1" s="1"/>
  <c r="P168" i="1"/>
  <c r="Y307" i="1"/>
  <c r="Z307" i="1" s="1"/>
  <c r="P307" i="1"/>
  <c r="Q307" i="1" s="1"/>
  <c r="AW105" i="27" s="1"/>
  <c r="AX105" i="27" s="1"/>
  <c r="X167" i="1"/>
  <c r="Q167" i="1"/>
  <c r="AM112" i="16" s="1"/>
  <c r="L455" i="1"/>
  <c r="AW106" i="28" s="1"/>
  <c r="AX106" i="28" s="1"/>
  <c r="Q455" i="1"/>
  <c r="L307" i="1"/>
  <c r="BG105" i="27" s="1"/>
  <c r="BH105" i="27" s="1"/>
  <c r="AD452" i="1"/>
  <c r="L168" i="1"/>
  <c r="X454" i="1"/>
  <c r="K454" i="1"/>
  <c r="M454" i="1"/>
  <c r="N454" i="1" s="1"/>
  <c r="A135" i="3"/>
  <c r="K306" i="1"/>
  <c r="M306" i="1"/>
  <c r="N306" i="1" s="1"/>
  <c r="K167" i="1"/>
  <c r="G455" i="1"/>
  <c r="J455" i="1"/>
  <c r="C456" i="1"/>
  <c r="E456" i="1"/>
  <c r="AA456" i="1" s="1"/>
  <c r="A457" i="1"/>
  <c r="F456" i="1"/>
  <c r="H456" i="1" s="1"/>
  <c r="D456" i="1"/>
  <c r="P456" i="1" s="1"/>
  <c r="B456" i="1"/>
  <c r="R307" i="1"/>
  <c r="S307" i="1" s="1"/>
  <c r="G307" i="1"/>
  <c r="D308" i="1"/>
  <c r="B308" i="1"/>
  <c r="C308" i="1"/>
  <c r="E308" i="1"/>
  <c r="F308" i="1"/>
  <c r="H308" i="1" s="1"/>
  <c r="A309" i="1"/>
  <c r="R168" i="1"/>
  <c r="S168" i="1" s="1"/>
  <c r="G168" i="1"/>
  <c r="CA113" i="16" l="1"/>
  <c r="CB113" i="16" s="1"/>
  <c r="CB2" i="16" s="1"/>
  <c r="AW113" i="16"/>
  <c r="AX113" i="16" s="1"/>
  <c r="AX2" i="16" s="1"/>
  <c r="N167" i="1"/>
  <c r="M145" i="31" s="1"/>
  <c r="E145" i="31"/>
  <c r="F145" i="31" s="1"/>
  <c r="BH112" i="16"/>
  <c r="AN112" i="16"/>
  <c r="S104" i="28"/>
  <c r="T104" i="28" s="1"/>
  <c r="T455" i="1"/>
  <c r="AC106" i="28" s="1"/>
  <c r="AD106" i="28" s="1"/>
  <c r="U454" i="1"/>
  <c r="Y308" i="1"/>
  <c r="Z308" i="1" s="1"/>
  <c r="P308" i="1"/>
  <c r="Q308" i="1" s="1"/>
  <c r="AW106" i="27" s="1"/>
  <c r="AX106" i="27" s="1"/>
  <c r="X168" i="1"/>
  <c r="Q168" i="1"/>
  <c r="AM113" i="16" s="1"/>
  <c r="L456" i="1"/>
  <c r="AW107" i="28" s="1"/>
  <c r="AX107" i="28" s="1"/>
  <c r="Q456" i="1"/>
  <c r="L308" i="1"/>
  <c r="BG106" i="27" s="1"/>
  <c r="BH106" i="27" s="1"/>
  <c r="AD453" i="1"/>
  <c r="X455" i="1"/>
  <c r="K455" i="1"/>
  <c r="M455" i="1"/>
  <c r="N455" i="1" s="1"/>
  <c r="A136" i="3"/>
  <c r="M307" i="1"/>
  <c r="N307" i="1" s="1"/>
  <c r="X307" i="1"/>
  <c r="K307" i="1"/>
  <c r="K168" i="1"/>
  <c r="F457" i="1"/>
  <c r="H457" i="1" s="1"/>
  <c r="B457" i="1"/>
  <c r="C457" i="1"/>
  <c r="E457" i="1"/>
  <c r="AA457" i="1" s="1"/>
  <c r="A458" i="1"/>
  <c r="D457" i="1"/>
  <c r="P457" i="1" s="1"/>
  <c r="J456" i="1"/>
  <c r="G456" i="1"/>
  <c r="C309" i="1"/>
  <c r="E309" i="1"/>
  <c r="A310" i="1"/>
  <c r="F309" i="1"/>
  <c r="H309" i="1" s="1"/>
  <c r="D309" i="1"/>
  <c r="B309" i="1"/>
  <c r="R308" i="1"/>
  <c r="S308" i="1" s="1"/>
  <c r="G308" i="1"/>
  <c r="X308" i="1" s="1"/>
  <c r="N168" i="1" l="1"/>
  <c r="M146" i="31" s="1"/>
  <c r="E146" i="31"/>
  <c r="F146" i="31" s="1"/>
  <c r="BH113" i="16"/>
  <c r="BH2" i="16"/>
  <c r="AN113" i="16"/>
  <c r="S105" i="28"/>
  <c r="T105" i="28" s="1"/>
  <c r="U455" i="1"/>
  <c r="T456" i="1"/>
  <c r="U456" i="1" s="1"/>
  <c r="Y309" i="1"/>
  <c r="Z309" i="1" s="1"/>
  <c r="P309" i="1"/>
  <c r="Q309" i="1" s="1"/>
  <c r="AW107" i="27" s="1"/>
  <c r="AX107" i="27" s="1"/>
  <c r="L457" i="1"/>
  <c r="AW108" i="28" s="1"/>
  <c r="AX108" i="28" s="1"/>
  <c r="Q457" i="1"/>
  <c r="L309" i="1"/>
  <c r="BG107" i="27" s="1"/>
  <c r="BH107" i="27" s="1"/>
  <c r="AD454" i="1"/>
  <c r="X456" i="1"/>
  <c r="K456" i="1"/>
  <c r="M456" i="1"/>
  <c r="N456" i="1" s="1"/>
  <c r="A137" i="3"/>
  <c r="K308" i="1"/>
  <c r="M308" i="1"/>
  <c r="N308" i="1" s="1"/>
  <c r="G457" i="1"/>
  <c r="J457" i="1"/>
  <c r="A459" i="1"/>
  <c r="D458" i="1"/>
  <c r="P458" i="1" s="1"/>
  <c r="F458" i="1"/>
  <c r="H458" i="1" s="1"/>
  <c r="C458" i="1"/>
  <c r="B458" i="1"/>
  <c r="E458" i="1"/>
  <c r="AA458" i="1" s="1"/>
  <c r="F310" i="1"/>
  <c r="H310" i="1" s="1"/>
  <c r="B310" i="1"/>
  <c r="C310" i="1"/>
  <c r="E310" i="1"/>
  <c r="A311" i="1"/>
  <c r="D310" i="1"/>
  <c r="G309" i="1"/>
  <c r="X309" i="1" s="1"/>
  <c r="R309" i="1"/>
  <c r="S309" i="1" s="1"/>
  <c r="AN2" i="16" l="1"/>
  <c r="S107" i="28"/>
  <c r="T107" i="28" s="1"/>
  <c r="S106" i="28"/>
  <c r="T106" i="28" s="1"/>
  <c r="AC107" i="28"/>
  <c r="AD107" i="28" s="1"/>
  <c r="T457" i="1"/>
  <c r="AC108" i="28" s="1"/>
  <c r="AD108" i="28" s="1"/>
  <c r="Y310" i="1"/>
  <c r="Z310" i="1" s="1"/>
  <c r="P310" i="1"/>
  <c r="Q310" i="1" s="1"/>
  <c r="AW108" i="27" s="1"/>
  <c r="AX108" i="27" s="1"/>
  <c r="L458" i="1"/>
  <c r="AW109" i="28" s="1"/>
  <c r="AX109" i="28" s="1"/>
  <c r="Q458" i="1"/>
  <c r="L310" i="1"/>
  <c r="BG108" i="27" s="1"/>
  <c r="BH108" i="27" s="1"/>
  <c r="AD455" i="1"/>
  <c r="X457" i="1"/>
  <c r="K457" i="1"/>
  <c r="M457" i="1"/>
  <c r="N457" i="1" s="1"/>
  <c r="A138" i="3"/>
  <c r="K309" i="1"/>
  <c r="M309" i="1"/>
  <c r="N309" i="1" s="1"/>
  <c r="C459" i="1"/>
  <c r="A460" i="1"/>
  <c r="E459" i="1"/>
  <c r="AA459" i="1" s="1"/>
  <c r="F459" i="1"/>
  <c r="H459" i="1" s="1"/>
  <c r="D459" i="1"/>
  <c r="P459" i="1" s="1"/>
  <c r="B459" i="1"/>
  <c r="G458" i="1"/>
  <c r="J458" i="1"/>
  <c r="E311" i="1"/>
  <c r="A312" i="1"/>
  <c r="D311" i="1"/>
  <c r="F311" i="1"/>
  <c r="H311" i="1" s="1"/>
  <c r="C311" i="1"/>
  <c r="B311" i="1"/>
  <c r="R310" i="1"/>
  <c r="S310" i="1" s="1"/>
  <c r="G310" i="1"/>
  <c r="X310" i="1" s="1"/>
  <c r="U457" i="1" l="1"/>
  <c r="T458" i="1"/>
  <c r="AC109" i="28" s="1"/>
  <c r="AD109" i="28" s="1"/>
  <c r="Y311" i="1"/>
  <c r="Z311" i="1" s="1"/>
  <c r="P311" i="1"/>
  <c r="Q311" i="1" s="1"/>
  <c r="AW109" i="27" s="1"/>
  <c r="AX109" i="27" s="1"/>
  <c r="L459" i="1"/>
  <c r="AW110" i="28" s="1"/>
  <c r="AX110" i="28" s="1"/>
  <c r="Q459" i="1"/>
  <c r="L311" i="1"/>
  <c r="BG109" i="27" s="1"/>
  <c r="BH109" i="27" s="1"/>
  <c r="AD456" i="1"/>
  <c r="X458" i="1"/>
  <c r="K458" i="1"/>
  <c r="M458" i="1"/>
  <c r="N458" i="1" s="1"/>
  <c r="A139" i="3"/>
  <c r="K310" i="1"/>
  <c r="M310" i="1"/>
  <c r="N310" i="1" s="1"/>
  <c r="D460" i="1"/>
  <c r="P460" i="1" s="1"/>
  <c r="B460" i="1"/>
  <c r="C460" i="1"/>
  <c r="E460" i="1"/>
  <c r="AA460" i="1" s="1"/>
  <c r="A461" i="1"/>
  <c r="F460" i="1"/>
  <c r="H460" i="1" s="1"/>
  <c r="G459" i="1"/>
  <c r="M459" i="1" s="1"/>
  <c r="J459" i="1"/>
  <c r="R311" i="1"/>
  <c r="S311" i="1" s="1"/>
  <c r="G311" i="1"/>
  <c r="X311" i="1" s="1"/>
  <c r="D312" i="1"/>
  <c r="B312" i="1"/>
  <c r="A313" i="1"/>
  <c r="C312" i="1"/>
  <c r="E312" i="1"/>
  <c r="F312" i="1"/>
  <c r="H312" i="1" s="1"/>
  <c r="S108" i="28" l="1"/>
  <c r="T108" i="28" s="1"/>
  <c r="U458" i="1"/>
  <c r="T459" i="1"/>
  <c r="AC110" i="28" s="1"/>
  <c r="AD110" i="28" s="1"/>
  <c r="Y312" i="1"/>
  <c r="Z312" i="1" s="1"/>
  <c r="P312" i="1"/>
  <c r="L460" i="1"/>
  <c r="AW111" i="28" s="1"/>
  <c r="AX111" i="28" s="1"/>
  <c r="Q460" i="1"/>
  <c r="L312" i="1"/>
  <c r="BG110" i="27" s="1"/>
  <c r="BH110" i="27" s="1"/>
  <c r="Q312" i="1"/>
  <c r="AW110" i="27" s="1"/>
  <c r="AX110" i="27" s="1"/>
  <c r="AD457" i="1"/>
  <c r="N459" i="1"/>
  <c r="X459" i="1"/>
  <c r="K459" i="1"/>
  <c r="A140" i="3"/>
  <c r="K311" i="1"/>
  <c r="M311" i="1"/>
  <c r="N311" i="1" s="1"/>
  <c r="C461" i="1"/>
  <c r="E461" i="1"/>
  <c r="AA461" i="1" s="1"/>
  <c r="A462" i="1"/>
  <c r="D461" i="1"/>
  <c r="P461" i="1" s="1"/>
  <c r="F461" i="1"/>
  <c r="H461" i="1" s="1"/>
  <c r="B461" i="1"/>
  <c r="J460" i="1"/>
  <c r="G460" i="1"/>
  <c r="M460" i="1" s="1"/>
  <c r="G312" i="1"/>
  <c r="X312" i="1" s="1"/>
  <c r="R312" i="1"/>
  <c r="S312" i="1" s="1"/>
  <c r="A314" i="1"/>
  <c r="F313" i="1"/>
  <c r="H313" i="1" s="1"/>
  <c r="D313" i="1"/>
  <c r="B313" i="1"/>
  <c r="C313" i="1"/>
  <c r="E313" i="1"/>
  <c r="S109" i="28" l="1"/>
  <c r="T109" i="28" s="1"/>
  <c r="T460" i="1"/>
  <c r="AC111" i="28" s="1"/>
  <c r="AD111" i="28" s="1"/>
  <c r="U459" i="1"/>
  <c r="Y313" i="1"/>
  <c r="Z313" i="1" s="1"/>
  <c r="P313" i="1"/>
  <c r="Q313" i="1" s="1"/>
  <c r="AW111" i="27" s="1"/>
  <c r="AX111" i="27" s="1"/>
  <c r="L461" i="1"/>
  <c r="AW112" i="28" s="1"/>
  <c r="AX112" i="28" s="1"/>
  <c r="Q461" i="1"/>
  <c r="L313" i="1"/>
  <c r="BG111" i="27" s="1"/>
  <c r="BH111" i="27" s="1"/>
  <c r="AD458" i="1"/>
  <c r="N460" i="1"/>
  <c r="X460" i="1"/>
  <c r="K460" i="1"/>
  <c r="A141" i="3"/>
  <c r="K312" i="1"/>
  <c r="M312" i="1"/>
  <c r="N312" i="1" s="1"/>
  <c r="G461" i="1"/>
  <c r="J461" i="1"/>
  <c r="F462" i="1"/>
  <c r="H462" i="1" s="1"/>
  <c r="C462" i="1"/>
  <c r="B462" i="1"/>
  <c r="E462" i="1"/>
  <c r="D462" i="1"/>
  <c r="R313" i="1"/>
  <c r="S313" i="1" s="1"/>
  <c r="G313" i="1"/>
  <c r="X313" i="1" s="1"/>
  <c r="A315" i="1"/>
  <c r="D314" i="1"/>
  <c r="F314" i="1"/>
  <c r="H314" i="1" s="1"/>
  <c r="C314" i="1"/>
  <c r="E314" i="1"/>
  <c r="B314" i="1"/>
  <c r="S110" i="28" l="1"/>
  <c r="T110" i="28" s="1"/>
  <c r="U460" i="1"/>
  <c r="T461" i="1"/>
  <c r="AC112" i="28" s="1"/>
  <c r="AD112" i="28" s="1"/>
  <c r="Y314" i="1"/>
  <c r="Z314" i="1" s="1"/>
  <c r="P314" i="1"/>
  <c r="Q314" i="1" s="1"/>
  <c r="AW112" i="27" s="1"/>
  <c r="AX112" i="27" s="1"/>
  <c r="J312" i="1"/>
  <c r="P462" i="1"/>
  <c r="Q462" i="1" s="1"/>
  <c r="J309" i="1"/>
  <c r="L462" i="1"/>
  <c r="AW113" i="28" s="1"/>
  <c r="AX113" i="28" s="1"/>
  <c r="AX2" i="28" s="1"/>
  <c r="L314" i="1"/>
  <c r="BG112" i="27" s="1"/>
  <c r="BH112" i="27" s="1"/>
  <c r="X461" i="1"/>
  <c r="K461" i="1"/>
  <c r="M461" i="1"/>
  <c r="N461" i="1" s="1"/>
  <c r="A142" i="3"/>
  <c r="K313" i="1"/>
  <c r="M313" i="1"/>
  <c r="N313" i="1" s="1"/>
  <c r="J313" i="1"/>
  <c r="J167" i="1"/>
  <c r="J163" i="1"/>
  <c r="AA462" i="1"/>
  <c r="J25" i="1"/>
  <c r="J29" i="1"/>
  <c r="J30" i="1"/>
  <c r="J26" i="1"/>
  <c r="J28" i="1"/>
  <c r="J173" i="1"/>
  <c r="J172" i="1"/>
  <c r="J174" i="1"/>
  <c r="J27" i="1"/>
  <c r="J175" i="1"/>
  <c r="J176" i="1"/>
  <c r="J31" i="1"/>
  <c r="J177" i="1"/>
  <c r="J32" i="1"/>
  <c r="J179" i="1"/>
  <c r="J178" i="1"/>
  <c r="J34" i="1"/>
  <c r="J33" i="1"/>
  <c r="J181" i="1"/>
  <c r="J180" i="1"/>
  <c r="J37" i="1"/>
  <c r="J36" i="1"/>
  <c r="J182" i="1"/>
  <c r="J39" i="1"/>
  <c r="J183" i="1"/>
  <c r="J184" i="1"/>
  <c r="J38" i="1"/>
  <c r="J185" i="1"/>
  <c r="J186" i="1"/>
  <c r="J41" i="1"/>
  <c r="J187" i="1"/>
  <c r="J40" i="1"/>
  <c r="J43" i="1"/>
  <c r="J42" i="1"/>
  <c r="J190" i="1"/>
  <c r="J188" i="1"/>
  <c r="J44" i="1"/>
  <c r="J189" i="1"/>
  <c r="J192" i="1"/>
  <c r="J45" i="1"/>
  <c r="J191" i="1"/>
  <c r="J46" i="1"/>
  <c r="J194" i="1"/>
  <c r="J193" i="1"/>
  <c r="J47" i="1"/>
  <c r="J48" i="1"/>
  <c r="J196" i="1"/>
  <c r="J49" i="1"/>
  <c r="J195" i="1"/>
  <c r="J51" i="1"/>
  <c r="J50" i="1"/>
  <c r="J197" i="1"/>
  <c r="J198" i="1"/>
  <c r="J52" i="1"/>
  <c r="J200" i="1"/>
  <c r="J53" i="1"/>
  <c r="J199" i="1"/>
  <c r="J54" i="1"/>
  <c r="J201" i="1"/>
  <c r="J55" i="1"/>
  <c r="J56" i="1"/>
  <c r="J57" i="1"/>
  <c r="J203" i="1"/>
  <c r="J202" i="1"/>
  <c r="J58" i="1"/>
  <c r="J204" i="1"/>
  <c r="J206" i="1"/>
  <c r="J205" i="1"/>
  <c r="J60" i="1"/>
  <c r="J59" i="1"/>
  <c r="J61" i="1"/>
  <c r="J207" i="1"/>
  <c r="J62" i="1"/>
  <c r="J208" i="1"/>
  <c r="J209" i="1"/>
  <c r="J63" i="1"/>
  <c r="J210" i="1"/>
  <c r="J64" i="1"/>
  <c r="J212" i="1"/>
  <c r="J211" i="1"/>
  <c r="J66" i="1"/>
  <c r="J65" i="1"/>
  <c r="J68" i="1"/>
  <c r="J214" i="1"/>
  <c r="J67" i="1"/>
  <c r="J215" i="1"/>
  <c r="J213" i="1"/>
  <c r="J69" i="1"/>
  <c r="J72" i="1"/>
  <c r="J217" i="1"/>
  <c r="J70" i="1"/>
  <c r="J216" i="1"/>
  <c r="J71" i="1"/>
  <c r="J73" i="1"/>
  <c r="J218" i="1"/>
  <c r="J220" i="1"/>
  <c r="J219" i="1"/>
  <c r="J75" i="1"/>
  <c r="J74" i="1"/>
  <c r="J221" i="1"/>
  <c r="J222" i="1"/>
  <c r="J223" i="1"/>
  <c r="J76" i="1"/>
  <c r="J77" i="1"/>
  <c r="J224" i="1"/>
  <c r="J78" i="1"/>
  <c r="J225" i="1"/>
  <c r="J79" i="1"/>
  <c r="J80" i="1"/>
  <c r="J226" i="1"/>
  <c r="J81" i="1"/>
  <c r="J227" i="1"/>
  <c r="J82" i="1"/>
  <c r="J229" i="1"/>
  <c r="J228" i="1"/>
  <c r="J83" i="1"/>
  <c r="J84" i="1"/>
  <c r="J230" i="1"/>
  <c r="J86" i="1"/>
  <c r="J232" i="1"/>
  <c r="J85" i="1"/>
  <c r="J231" i="1"/>
  <c r="J233" i="1"/>
  <c r="J88" i="1"/>
  <c r="J235" i="1"/>
  <c r="J234" i="1"/>
  <c r="J89" i="1"/>
  <c r="J90" i="1"/>
  <c r="J236" i="1"/>
  <c r="J91" i="1"/>
  <c r="J237" i="1"/>
  <c r="J92" i="1"/>
  <c r="J94" i="1"/>
  <c r="J239" i="1"/>
  <c r="J238" i="1"/>
  <c r="J240" i="1"/>
  <c r="J93" i="1"/>
  <c r="J95" i="1"/>
  <c r="J241" i="1"/>
  <c r="J96" i="1"/>
  <c r="J242" i="1"/>
  <c r="J97" i="1"/>
  <c r="J243" i="1"/>
  <c r="J99" i="1"/>
  <c r="J244" i="1"/>
  <c r="J98" i="1"/>
  <c r="J100" i="1"/>
  <c r="J246" i="1"/>
  <c r="J245" i="1"/>
  <c r="J101" i="1"/>
  <c r="J247" i="1"/>
  <c r="J102" i="1"/>
  <c r="J248" i="1"/>
  <c r="J103" i="1"/>
  <c r="J249" i="1"/>
  <c r="J250" i="1"/>
  <c r="J104" i="1"/>
  <c r="J106" i="1"/>
  <c r="J252" i="1"/>
  <c r="J251" i="1"/>
  <c r="J105" i="1"/>
  <c r="J108" i="1"/>
  <c r="J254" i="1"/>
  <c r="J253" i="1"/>
  <c r="J109" i="1"/>
  <c r="J107" i="1"/>
  <c r="J255" i="1"/>
  <c r="J257" i="1"/>
  <c r="J111" i="1"/>
  <c r="J110" i="1"/>
  <c r="J112" i="1"/>
  <c r="J256" i="1"/>
  <c r="J113" i="1"/>
  <c r="J259" i="1"/>
  <c r="J258" i="1"/>
  <c r="J114" i="1"/>
  <c r="J115" i="1"/>
  <c r="J261" i="1"/>
  <c r="J260" i="1"/>
  <c r="J262" i="1"/>
  <c r="J116" i="1"/>
  <c r="J264" i="1"/>
  <c r="J117" i="1"/>
  <c r="J263" i="1"/>
  <c r="J265" i="1"/>
  <c r="J118" i="1"/>
  <c r="J119" i="1"/>
  <c r="J120" i="1"/>
  <c r="J266" i="1"/>
  <c r="J267" i="1"/>
  <c r="J121" i="1"/>
  <c r="J123" i="1"/>
  <c r="J122" i="1"/>
  <c r="J268" i="1"/>
  <c r="J269" i="1"/>
  <c r="J271" i="1"/>
  <c r="J270" i="1"/>
  <c r="J124" i="1"/>
  <c r="J125" i="1"/>
  <c r="J127" i="1"/>
  <c r="J272" i="1"/>
  <c r="J128" i="1"/>
  <c r="J273" i="1"/>
  <c r="J126" i="1"/>
  <c r="J274" i="1"/>
  <c r="J275" i="1"/>
  <c r="J130" i="1"/>
  <c r="J129" i="1"/>
  <c r="J276" i="1"/>
  <c r="J131" i="1"/>
  <c r="J277" i="1"/>
  <c r="J278" i="1"/>
  <c r="J133" i="1"/>
  <c r="J132" i="1"/>
  <c r="J280" i="1"/>
  <c r="J134" i="1"/>
  <c r="J279" i="1"/>
  <c r="J137" i="1"/>
  <c r="J135" i="1"/>
  <c r="J136" i="1"/>
  <c r="J281" i="1"/>
  <c r="J282" i="1"/>
  <c r="J283" i="1"/>
  <c r="J138" i="1"/>
  <c r="J139" i="1"/>
  <c r="J284" i="1"/>
  <c r="J285" i="1"/>
  <c r="J140" i="1"/>
  <c r="J286" i="1"/>
  <c r="J287" i="1"/>
  <c r="J141" i="1"/>
  <c r="J142" i="1"/>
  <c r="J288" i="1"/>
  <c r="J143" i="1"/>
  <c r="J289" i="1"/>
  <c r="J291" i="1"/>
  <c r="J290" i="1"/>
  <c r="J145" i="1"/>
  <c r="J144" i="1"/>
  <c r="J146" i="1"/>
  <c r="J293" i="1"/>
  <c r="J292" i="1"/>
  <c r="J147" i="1"/>
  <c r="J148" i="1"/>
  <c r="J294" i="1"/>
  <c r="J149" i="1"/>
  <c r="J295" i="1"/>
  <c r="J297" i="1"/>
  <c r="J296" i="1"/>
  <c r="J152" i="1"/>
  <c r="J150" i="1"/>
  <c r="J151" i="1"/>
  <c r="J299" i="1"/>
  <c r="J153" i="1"/>
  <c r="J298" i="1"/>
  <c r="J154" i="1"/>
  <c r="J300" i="1"/>
  <c r="J157" i="1"/>
  <c r="J155" i="1"/>
  <c r="J301" i="1"/>
  <c r="J302" i="1"/>
  <c r="J158" i="1"/>
  <c r="J156" i="1"/>
  <c r="J303" i="1"/>
  <c r="J159" i="1"/>
  <c r="J304" i="1"/>
  <c r="J305" i="1"/>
  <c r="J160" i="1"/>
  <c r="J306" i="1"/>
  <c r="J307" i="1"/>
  <c r="J161" i="1"/>
  <c r="J310" i="1"/>
  <c r="J162" i="1"/>
  <c r="J164" i="1"/>
  <c r="J311" i="1"/>
  <c r="J308" i="1"/>
  <c r="J166" i="1"/>
  <c r="J462" i="1"/>
  <c r="G462" i="1"/>
  <c r="G314" i="1"/>
  <c r="X314" i="1" s="1"/>
  <c r="J314" i="1"/>
  <c r="R314" i="1"/>
  <c r="S314" i="1" s="1"/>
  <c r="B315" i="1"/>
  <c r="E315" i="1"/>
  <c r="D315" i="1"/>
  <c r="F315" i="1"/>
  <c r="H315" i="1" s="1"/>
  <c r="C315" i="1"/>
  <c r="U461" i="1" l="1"/>
  <c r="S111" i="28"/>
  <c r="T111" i="28" s="1"/>
  <c r="T462" i="1"/>
  <c r="AC113" i="28" s="1"/>
  <c r="AD113" i="28" s="1"/>
  <c r="Y315" i="1"/>
  <c r="Z315" i="1" s="1"/>
  <c r="P315" i="1"/>
  <c r="Q315" i="1" s="1"/>
  <c r="AW113" i="27" s="1"/>
  <c r="AX113" i="27" s="1"/>
  <c r="AX2" i="27" s="1"/>
  <c r="L315" i="1"/>
  <c r="BG113" i="27" s="1"/>
  <c r="BH113" i="27" s="1"/>
  <c r="BH2" i="27" s="1"/>
  <c r="AD459" i="1"/>
  <c r="X462" i="1"/>
  <c r="K462" i="1"/>
  <c r="M462" i="1"/>
  <c r="N462" i="1" s="1"/>
  <c r="J18" i="1"/>
  <c r="A143" i="3"/>
  <c r="K314" i="1"/>
  <c r="M314" i="1"/>
  <c r="N314" i="1" s="1"/>
  <c r="G315" i="1"/>
  <c r="J315" i="1"/>
  <c r="R315" i="1"/>
  <c r="S315" i="1" s="1"/>
  <c r="S112" i="28" l="1"/>
  <c r="T112" i="28" s="1"/>
  <c r="U462" i="1"/>
  <c r="F128" i="3"/>
  <c r="F87" i="3"/>
  <c r="F65" i="3"/>
  <c r="F46" i="3"/>
  <c r="F107" i="3"/>
  <c r="F26" i="3"/>
  <c r="AD460" i="1"/>
  <c r="AD461" i="1"/>
  <c r="A144" i="3"/>
  <c r="K315" i="1"/>
  <c r="X315" i="1"/>
  <c r="M315" i="1"/>
  <c r="N315" i="1" s="1"/>
  <c r="F39" i="3" l="1"/>
  <c r="F143" i="3"/>
  <c r="F100" i="3"/>
  <c r="F121" i="3"/>
  <c r="F58" i="3"/>
  <c r="F80" i="3"/>
  <c r="F19" i="3"/>
  <c r="S113" i="28"/>
  <c r="T113" i="28" s="1"/>
  <c r="T2" i="28" s="1"/>
  <c r="N7" i="3"/>
  <c r="L127" i="3"/>
  <c r="L71" i="3"/>
  <c r="L12" i="3"/>
  <c r="L94" i="3"/>
  <c r="L96" i="3"/>
  <c r="L85" i="3"/>
  <c r="L143" i="3"/>
  <c r="L35" i="3"/>
  <c r="L39" i="3"/>
  <c r="L53" i="3"/>
  <c r="L72" i="3"/>
  <c r="L19" i="3"/>
  <c r="L64" i="3"/>
  <c r="L79" i="3"/>
  <c r="L56" i="3"/>
  <c r="L28" i="3"/>
  <c r="L122" i="3"/>
  <c r="L106" i="3"/>
  <c r="L116" i="3"/>
  <c r="L37" i="3"/>
  <c r="L57" i="3"/>
  <c r="L70" i="3"/>
  <c r="L14" i="3"/>
  <c r="L84" i="3"/>
  <c r="L121" i="3"/>
  <c r="L139" i="3"/>
  <c r="L108" i="3"/>
  <c r="L138" i="3"/>
  <c r="L109" i="3"/>
  <c r="L110" i="3"/>
  <c r="L114" i="3"/>
  <c r="L30" i="3"/>
  <c r="L92" i="3"/>
  <c r="L115" i="3"/>
  <c r="L55" i="3"/>
  <c r="L26" i="3"/>
  <c r="L93" i="3"/>
  <c r="L59" i="3"/>
  <c r="L125" i="3"/>
  <c r="L102" i="3"/>
  <c r="L43" i="3"/>
  <c r="L131" i="3"/>
  <c r="L61" i="3"/>
  <c r="L65" i="3"/>
  <c r="L87" i="3"/>
  <c r="L142" i="3"/>
  <c r="L90" i="3"/>
  <c r="L54" i="3"/>
  <c r="L22" i="3"/>
  <c r="L81" i="3"/>
  <c r="L47" i="3"/>
  <c r="L91" i="3"/>
  <c r="L60" i="3"/>
  <c r="L123" i="3"/>
  <c r="L48" i="3"/>
  <c r="L51" i="3"/>
  <c r="L58" i="3"/>
  <c r="L111" i="3"/>
  <c r="L38" i="3"/>
  <c r="L103" i="3"/>
  <c r="L99" i="3"/>
  <c r="L107" i="3"/>
  <c r="L98" i="3"/>
  <c r="L13" i="3"/>
  <c r="L67" i="3"/>
  <c r="L34" i="3"/>
  <c r="L104" i="3"/>
  <c r="L137" i="3"/>
  <c r="L105" i="3"/>
  <c r="L46" i="3"/>
  <c r="L29" i="3"/>
  <c r="L119" i="3"/>
  <c r="L113" i="3"/>
  <c r="L144" i="3"/>
  <c r="L132" i="3"/>
  <c r="L7" i="3"/>
  <c r="L24" i="3"/>
  <c r="L83" i="3"/>
  <c r="L140" i="3"/>
  <c r="L76" i="3"/>
  <c r="L31" i="3"/>
  <c r="L95" i="3"/>
  <c r="L68" i="3"/>
  <c r="L17" i="3"/>
  <c r="L133" i="3"/>
  <c r="L18" i="3"/>
  <c r="L36" i="3"/>
  <c r="L126" i="3"/>
  <c r="L9" i="3"/>
  <c r="L44" i="3"/>
  <c r="L124" i="3"/>
  <c r="L11" i="3"/>
  <c r="L128" i="3"/>
  <c r="L40" i="3"/>
  <c r="L23" i="3"/>
  <c r="L118" i="3"/>
  <c r="L63" i="3"/>
  <c r="L100" i="3"/>
  <c r="L10" i="3"/>
  <c r="L73" i="3"/>
  <c r="L112" i="3"/>
  <c r="L75" i="3"/>
  <c r="L45" i="3"/>
  <c r="L130" i="3"/>
  <c r="L33" i="3"/>
  <c r="L78" i="3"/>
  <c r="L97" i="3"/>
  <c r="L21" i="3"/>
  <c r="L41" i="3"/>
  <c r="L16" i="3"/>
  <c r="L52" i="3"/>
  <c r="L141" i="3"/>
  <c r="L66" i="3"/>
  <c r="L86" i="3"/>
  <c r="L117" i="3"/>
  <c r="L27" i="3"/>
  <c r="L25" i="3"/>
  <c r="L69" i="3"/>
  <c r="L80" i="3"/>
  <c r="L74" i="3"/>
  <c r="L15" i="3"/>
  <c r="L8" i="3"/>
  <c r="L135" i="3"/>
  <c r="L88" i="3"/>
  <c r="L49" i="3"/>
  <c r="L136" i="3"/>
  <c r="L134" i="3"/>
  <c r="L82" i="3"/>
  <c r="L129" i="3"/>
  <c r="L42" i="3"/>
  <c r="L101" i="3"/>
  <c r="A145" i="3"/>
  <c r="L145" i="3" s="1"/>
  <c r="F113" i="3" l="1"/>
  <c r="F137" i="3"/>
  <c r="F88" i="3"/>
  <c r="F38" i="3"/>
  <c r="F131" i="3"/>
  <c r="F134" i="3"/>
  <c r="F124" i="3"/>
  <c r="F101" i="3"/>
  <c r="F106" i="3"/>
  <c r="F73" i="3"/>
  <c r="F21" i="3"/>
  <c r="F71" i="3"/>
  <c r="F69" i="3"/>
  <c r="F12" i="3"/>
  <c r="F45" i="3"/>
  <c r="F97" i="3"/>
  <c r="F32" i="3"/>
  <c r="F141" i="3"/>
  <c r="F136" i="3"/>
  <c r="F9" i="3"/>
  <c r="F48" i="3"/>
  <c r="F123" i="3"/>
  <c r="F50" i="3"/>
  <c r="F76" i="3"/>
  <c r="F62" i="3"/>
  <c r="F43" i="3"/>
  <c r="F30" i="3"/>
  <c r="F61" i="3"/>
  <c r="F49" i="3"/>
  <c r="F42" i="3"/>
  <c r="F96" i="3"/>
  <c r="F14" i="3"/>
  <c r="F142" i="3"/>
  <c r="F108" i="3"/>
  <c r="F7" i="3"/>
  <c r="F122" i="3"/>
  <c r="F72" i="3"/>
  <c r="F92" i="3"/>
  <c r="F126" i="3"/>
  <c r="F67" i="3"/>
  <c r="F130" i="3"/>
  <c r="F95" i="3"/>
  <c r="F44" i="3"/>
  <c r="F47" i="3"/>
  <c r="F110" i="3"/>
  <c r="F10" i="3"/>
  <c r="F8" i="3"/>
  <c r="F139" i="3"/>
  <c r="F102" i="3"/>
  <c r="F51" i="3"/>
  <c r="F86" i="3"/>
  <c r="F105" i="3"/>
  <c r="F83" i="3"/>
  <c r="F127" i="3"/>
  <c r="F114" i="3"/>
  <c r="F53" i="3"/>
  <c r="F66" i="3"/>
  <c r="F135" i="3"/>
  <c r="F25" i="3"/>
  <c r="F59" i="3"/>
  <c r="F82" i="3"/>
  <c r="F90" i="3"/>
  <c r="F78" i="3"/>
  <c r="F144" i="3"/>
  <c r="F60" i="3"/>
  <c r="F31" i="3"/>
  <c r="F22" i="3"/>
  <c r="F52" i="3"/>
  <c r="F70" i="3"/>
  <c r="F109" i="3"/>
  <c r="F36" i="3"/>
  <c r="F129" i="3"/>
  <c r="F125" i="3"/>
  <c r="F85" i="3"/>
  <c r="F20" i="3"/>
  <c r="F112" i="3"/>
  <c r="F33" i="3"/>
  <c r="F34" i="3"/>
  <c r="F63" i="3"/>
  <c r="F54" i="3"/>
  <c r="F117" i="3"/>
  <c r="F140" i="3"/>
  <c r="F56" i="3"/>
  <c r="F35" i="3"/>
  <c r="F98" i="3"/>
  <c r="F74" i="3"/>
  <c r="F55" i="3"/>
  <c r="F145" i="3"/>
  <c r="F79" i="3"/>
  <c r="F68" i="3"/>
  <c r="F118" i="3"/>
  <c r="F29" i="3"/>
  <c r="F24" i="3"/>
  <c r="F13" i="3"/>
  <c r="F133" i="3"/>
  <c r="F120" i="3"/>
  <c r="F103" i="3"/>
  <c r="F93" i="3"/>
  <c r="F23" i="3"/>
  <c r="F132" i="3"/>
  <c r="F64" i="3"/>
  <c r="F116" i="3"/>
  <c r="F94" i="3"/>
  <c r="F17" i="3"/>
  <c r="F75" i="3"/>
  <c r="F18" i="3"/>
  <c r="F11" i="3"/>
  <c r="F104" i="3"/>
  <c r="F115" i="3"/>
  <c r="F89" i="3"/>
  <c r="F91" i="3"/>
  <c r="F28" i="3"/>
  <c r="F81" i="3"/>
  <c r="F16" i="3"/>
  <c r="F41" i="3"/>
  <c r="F111" i="3"/>
  <c r="F84" i="3"/>
  <c r="F27" i="3"/>
  <c r="F40" i="3"/>
  <c r="AD462" i="1"/>
  <c r="A146" i="3"/>
  <c r="L146" i="3" l="1"/>
  <c r="F146" i="3"/>
  <c r="L120" i="3"/>
  <c r="A147" i="3"/>
  <c r="L147" i="3" l="1"/>
  <c r="F147" i="3"/>
  <c r="A148" i="3"/>
  <c r="L148" i="3" l="1"/>
  <c r="F148" i="3"/>
  <c r="A149" i="3"/>
  <c r="L149" i="3" l="1"/>
  <c r="F149" i="3"/>
  <c r="A150" i="3"/>
  <c r="F150" i="3" l="1"/>
  <c r="L150" i="3"/>
  <c r="A151" i="3"/>
  <c r="F151" i="3" l="1"/>
  <c r="L151" i="3"/>
  <c r="A152" i="3"/>
  <c r="L152" i="3" l="1"/>
  <c r="F152" i="3"/>
  <c r="A153" i="3"/>
  <c r="L153" i="3" l="1"/>
  <c r="F153" i="3"/>
  <c r="A154" i="3"/>
  <c r="L154" i="3" l="1"/>
  <c r="F154" i="3"/>
  <c r="A155" i="3"/>
  <c r="L155" i="3" l="1"/>
  <c r="F155" i="3"/>
  <c r="A156" i="3"/>
  <c r="L156" i="3" l="1"/>
  <c r="F156" i="3"/>
  <c r="A157" i="3"/>
  <c r="L157" i="3" l="1"/>
  <c r="F157" i="3"/>
  <c r="A158" i="3"/>
  <c r="L158" i="3" l="1"/>
  <c r="F158" i="3"/>
  <c r="A159" i="3"/>
  <c r="L159" i="3" l="1"/>
  <c r="A160" i="3"/>
  <c r="L160" i="3" l="1"/>
  <c r="F160" i="3"/>
  <c r="A161" i="3"/>
  <c r="L161" i="3" l="1"/>
  <c r="F161" i="3"/>
  <c r="A162" i="3"/>
  <c r="L162" i="3" l="1"/>
  <c r="F162" i="3"/>
  <c r="A163" i="3"/>
  <c r="L163" i="3" l="1"/>
  <c r="F163" i="3"/>
  <c r="A164" i="3"/>
  <c r="F164" i="3" s="1"/>
  <c r="L164" i="3" l="1"/>
  <c r="A165" i="3"/>
  <c r="L165" i="3" l="1"/>
  <c r="F165" i="3"/>
  <c r="A166" i="3"/>
  <c r="L166" i="3" l="1"/>
  <c r="F166" i="3"/>
  <c r="A167" i="3"/>
  <c r="L167" i="3" l="1"/>
  <c r="F167" i="3"/>
  <c r="A168" i="3"/>
  <c r="L168" i="3" l="1"/>
  <c r="F168" i="3"/>
  <c r="A169" i="3"/>
  <c r="L169" i="3" l="1"/>
  <c r="F169" i="3"/>
  <c r="A170" i="3"/>
  <c r="L170" i="3" l="1"/>
  <c r="F170" i="3"/>
  <c r="A171" i="3"/>
  <c r="F171" i="3" l="1"/>
  <c r="L171" i="3"/>
  <c r="A172" i="3"/>
  <c r="L172" i="3" l="1"/>
  <c r="F172" i="3"/>
  <c r="A173" i="3"/>
  <c r="L173" i="3" l="1"/>
  <c r="F173" i="3"/>
  <c r="A174" i="3"/>
  <c r="L174" i="3" l="1"/>
  <c r="F174" i="3"/>
  <c r="A175" i="3"/>
  <c r="L175" i="3" l="1"/>
  <c r="F175" i="3"/>
  <c r="A176" i="3"/>
  <c r="L176" i="3" l="1"/>
  <c r="F176" i="3"/>
  <c r="A177" i="3"/>
  <c r="L177" i="3" l="1"/>
  <c r="F177" i="3"/>
  <c r="A178" i="3"/>
  <c r="L178" i="3" l="1"/>
  <c r="F178" i="3"/>
  <c r="A179" i="3"/>
  <c r="I40" i="1"/>
  <c r="T40" i="1" s="1"/>
  <c r="I41" i="1"/>
  <c r="T41" i="1" s="1"/>
  <c r="I36" i="1"/>
  <c r="T36" i="1" s="1"/>
  <c r="I38" i="1"/>
  <c r="T38" i="1" s="1"/>
  <c r="I37" i="1"/>
  <c r="T37" i="1" s="1"/>
  <c r="I42" i="1"/>
  <c r="T42" i="1" s="1"/>
  <c r="I39" i="1"/>
  <c r="T39" i="1" s="1"/>
  <c r="I46" i="1"/>
  <c r="T46" i="1" s="1"/>
  <c r="I44" i="1"/>
  <c r="T44" i="1" s="1"/>
  <c r="I43" i="1"/>
  <c r="T43" i="1" s="1"/>
  <c r="I35" i="1"/>
  <c r="I45" i="1"/>
  <c r="T45" i="1" s="1"/>
  <c r="I48" i="1"/>
  <c r="T48" i="1" s="1"/>
  <c r="I47" i="1"/>
  <c r="T47" i="1" s="1"/>
  <c r="I49" i="1"/>
  <c r="T49" i="1" s="1"/>
  <c r="I51" i="1"/>
  <c r="T51" i="1" s="1"/>
  <c r="I50" i="1"/>
  <c r="T50" i="1" s="1"/>
  <c r="I55" i="1"/>
  <c r="T55" i="1" s="1"/>
  <c r="I58" i="1"/>
  <c r="T58" i="1" s="1"/>
  <c r="AC3" i="16" s="1"/>
  <c r="I52" i="1"/>
  <c r="T52" i="1" s="1"/>
  <c r="I54" i="1"/>
  <c r="T54" i="1" s="1"/>
  <c r="I56" i="1"/>
  <c r="T56" i="1" s="1"/>
  <c r="I53" i="1"/>
  <c r="T53" i="1" s="1"/>
  <c r="I57" i="1"/>
  <c r="T57" i="1" s="1"/>
  <c r="I26" i="1"/>
  <c r="T26" i="1" s="1"/>
  <c r="I61" i="1"/>
  <c r="T61" i="1" s="1"/>
  <c r="AC6" i="16" s="1"/>
  <c r="I60" i="1"/>
  <c r="T60" i="1" s="1"/>
  <c r="AC5" i="16" s="1"/>
  <c r="I62" i="1"/>
  <c r="T62" i="1" s="1"/>
  <c r="AC7" i="16" s="1"/>
  <c r="I32" i="1"/>
  <c r="T32" i="1" s="1"/>
  <c r="I59" i="1"/>
  <c r="T59" i="1" s="1"/>
  <c r="AC4" i="16" s="1"/>
  <c r="I29" i="1"/>
  <c r="T29" i="1" s="1"/>
  <c r="I28" i="1"/>
  <c r="T28" i="1" s="1"/>
  <c r="I25" i="1"/>
  <c r="I33" i="1"/>
  <c r="T33" i="1" s="1"/>
  <c r="I27" i="1"/>
  <c r="T27" i="1" s="1"/>
  <c r="I30" i="1"/>
  <c r="T30" i="1" s="1"/>
  <c r="I34" i="1"/>
  <c r="T34" i="1" s="1"/>
  <c r="I31" i="1"/>
  <c r="T31" i="1" s="1"/>
  <c r="I64" i="1"/>
  <c r="T64" i="1" s="1"/>
  <c r="AC9" i="16" s="1"/>
  <c r="I63" i="1"/>
  <c r="T63" i="1" s="1"/>
  <c r="AC8" i="16" s="1"/>
  <c r="I66" i="1"/>
  <c r="T66" i="1" s="1"/>
  <c r="AC11" i="16" s="1"/>
  <c r="I67" i="1"/>
  <c r="T67" i="1" s="1"/>
  <c r="AC12" i="16" s="1"/>
  <c r="I65" i="1"/>
  <c r="T65" i="1" s="1"/>
  <c r="AC10" i="16" s="1"/>
  <c r="I68" i="1"/>
  <c r="T68" i="1" s="1"/>
  <c r="AC13" i="16" s="1"/>
  <c r="I71" i="1"/>
  <c r="T71" i="1" s="1"/>
  <c r="AC16" i="16" s="1"/>
  <c r="I70" i="1"/>
  <c r="T70" i="1" s="1"/>
  <c r="AC15" i="16" s="1"/>
  <c r="I75" i="1"/>
  <c r="T75" i="1" s="1"/>
  <c r="AC20" i="16" s="1"/>
  <c r="I69" i="1"/>
  <c r="T69" i="1" s="1"/>
  <c r="AC14" i="16" s="1"/>
  <c r="I73" i="1"/>
  <c r="T73" i="1" s="1"/>
  <c r="AC18" i="16" s="1"/>
  <c r="I72" i="1"/>
  <c r="T72" i="1" s="1"/>
  <c r="AC17" i="16" s="1"/>
  <c r="I76" i="1"/>
  <c r="T76" i="1" s="1"/>
  <c r="AC21" i="16" s="1"/>
  <c r="I74" i="1"/>
  <c r="T74" i="1" s="1"/>
  <c r="AC19" i="16" s="1"/>
  <c r="I78" i="1"/>
  <c r="T78" i="1" s="1"/>
  <c r="AC23" i="16" s="1"/>
  <c r="I79" i="1"/>
  <c r="T79" i="1" s="1"/>
  <c r="AC24" i="16" s="1"/>
  <c r="I77" i="1"/>
  <c r="T77" i="1" s="1"/>
  <c r="AC22" i="16" s="1"/>
  <c r="I81" i="1"/>
  <c r="T81" i="1" s="1"/>
  <c r="AC26" i="16" s="1"/>
  <c r="I80" i="1"/>
  <c r="T80" i="1" s="1"/>
  <c r="AC25" i="16" s="1"/>
  <c r="I82" i="1"/>
  <c r="T82" i="1" s="1"/>
  <c r="AC27" i="16" s="1"/>
  <c r="I83" i="1"/>
  <c r="T83" i="1" s="1"/>
  <c r="AC28" i="16" s="1"/>
  <c r="I85" i="1"/>
  <c r="T85" i="1" s="1"/>
  <c r="AC30" i="16" s="1"/>
  <c r="I86" i="1"/>
  <c r="T86" i="1" s="1"/>
  <c r="AC31" i="16" s="1"/>
  <c r="I84" i="1"/>
  <c r="T84" i="1" s="1"/>
  <c r="AC29" i="16" s="1"/>
  <c r="I88" i="1"/>
  <c r="T88" i="1" s="1"/>
  <c r="AC33" i="16" s="1"/>
  <c r="I90" i="1"/>
  <c r="T90" i="1" s="1"/>
  <c r="AC35" i="16" s="1"/>
  <c r="I87" i="1"/>
  <c r="I91" i="1"/>
  <c r="T91" i="1" s="1"/>
  <c r="AC36" i="16" s="1"/>
  <c r="I89" i="1"/>
  <c r="T89" i="1" s="1"/>
  <c r="AC34" i="16" s="1"/>
  <c r="I93" i="1"/>
  <c r="T93" i="1" s="1"/>
  <c r="AC38" i="16" s="1"/>
  <c r="I92" i="1"/>
  <c r="T92" i="1" s="1"/>
  <c r="AC37" i="16" s="1"/>
  <c r="I94" i="1"/>
  <c r="T94" i="1" s="1"/>
  <c r="AC39" i="16" s="1"/>
  <c r="I96" i="1"/>
  <c r="T96" i="1" s="1"/>
  <c r="AC41" i="16" s="1"/>
  <c r="I95" i="1"/>
  <c r="T95" i="1" s="1"/>
  <c r="AC40" i="16" s="1"/>
  <c r="I99" i="1"/>
  <c r="T99" i="1" s="1"/>
  <c r="AC44" i="16" s="1"/>
  <c r="I98" i="1"/>
  <c r="T98" i="1" s="1"/>
  <c r="AC43" i="16" s="1"/>
  <c r="I100" i="1"/>
  <c r="T100" i="1" s="1"/>
  <c r="AC45" i="16" s="1"/>
  <c r="I97" i="1"/>
  <c r="T97" i="1" s="1"/>
  <c r="AC42" i="16" s="1"/>
  <c r="I101" i="1"/>
  <c r="T101" i="1" s="1"/>
  <c r="AC46" i="16" s="1"/>
  <c r="I102" i="1"/>
  <c r="T102" i="1" s="1"/>
  <c r="AC47" i="16" s="1"/>
  <c r="I103" i="1"/>
  <c r="T103" i="1" s="1"/>
  <c r="AC48" i="16" s="1"/>
  <c r="I104" i="1"/>
  <c r="T104" i="1" s="1"/>
  <c r="AC49" i="16" s="1"/>
  <c r="I105" i="1"/>
  <c r="T105" i="1" s="1"/>
  <c r="AC50" i="16" s="1"/>
  <c r="I106" i="1"/>
  <c r="T106" i="1" s="1"/>
  <c r="AC51" i="16" s="1"/>
  <c r="I107" i="1"/>
  <c r="T107" i="1" s="1"/>
  <c r="AC52" i="16" s="1"/>
  <c r="I110" i="1"/>
  <c r="T110" i="1" s="1"/>
  <c r="AC55" i="16" s="1"/>
  <c r="I109" i="1"/>
  <c r="T109" i="1" s="1"/>
  <c r="AC54" i="16" s="1"/>
  <c r="I108" i="1"/>
  <c r="T108" i="1" s="1"/>
  <c r="AC53" i="16" s="1"/>
  <c r="I111" i="1"/>
  <c r="T111" i="1" s="1"/>
  <c r="AC56" i="16" s="1"/>
  <c r="I113" i="1"/>
  <c r="T113" i="1" s="1"/>
  <c r="AC58" i="16" s="1"/>
  <c r="I112" i="1"/>
  <c r="T112" i="1" s="1"/>
  <c r="AC57" i="16" s="1"/>
  <c r="I114" i="1"/>
  <c r="T114" i="1" s="1"/>
  <c r="AC59" i="16" s="1"/>
  <c r="I115" i="1"/>
  <c r="T115" i="1" s="1"/>
  <c r="AC60" i="16" s="1"/>
  <c r="I116" i="1"/>
  <c r="T116" i="1" s="1"/>
  <c r="AC61" i="16" s="1"/>
  <c r="I117" i="1"/>
  <c r="T117" i="1" s="1"/>
  <c r="AC62" i="16" s="1"/>
  <c r="I119" i="1"/>
  <c r="T119" i="1" s="1"/>
  <c r="AC64" i="16" s="1"/>
  <c r="I118" i="1"/>
  <c r="T118" i="1" s="1"/>
  <c r="AC63" i="16" s="1"/>
  <c r="I121" i="1"/>
  <c r="T121" i="1" s="1"/>
  <c r="AC66" i="16" s="1"/>
  <c r="I120" i="1"/>
  <c r="T120" i="1" s="1"/>
  <c r="AC65" i="16" s="1"/>
  <c r="I122" i="1"/>
  <c r="T122" i="1" s="1"/>
  <c r="AC67" i="16" s="1"/>
  <c r="I123" i="1"/>
  <c r="T123" i="1" s="1"/>
  <c r="AC68" i="16" s="1"/>
  <c r="I125" i="1"/>
  <c r="T125" i="1" s="1"/>
  <c r="AC70" i="16" s="1"/>
  <c r="I126" i="1"/>
  <c r="T126" i="1" s="1"/>
  <c r="AC71" i="16" s="1"/>
  <c r="I124" i="1"/>
  <c r="T124" i="1" s="1"/>
  <c r="AC69" i="16" s="1"/>
  <c r="I129" i="1"/>
  <c r="T129" i="1" s="1"/>
  <c r="AC74" i="16" s="1"/>
  <c r="I127" i="1"/>
  <c r="T127" i="1" s="1"/>
  <c r="AC72" i="16" s="1"/>
  <c r="I128" i="1"/>
  <c r="T128" i="1" s="1"/>
  <c r="AC73" i="16" s="1"/>
  <c r="I131" i="1"/>
  <c r="T131" i="1" s="1"/>
  <c r="AC76" i="16" s="1"/>
  <c r="I130" i="1"/>
  <c r="T130" i="1" s="1"/>
  <c r="AC75" i="16" s="1"/>
  <c r="I132" i="1"/>
  <c r="T132" i="1" s="1"/>
  <c r="AC77" i="16" s="1"/>
  <c r="I136" i="1"/>
  <c r="T136" i="1" s="1"/>
  <c r="AC81" i="16" s="1"/>
  <c r="I133" i="1"/>
  <c r="T133" i="1" s="1"/>
  <c r="AC78" i="16" s="1"/>
  <c r="I134" i="1"/>
  <c r="T134" i="1" s="1"/>
  <c r="AC79" i="16" s="1"/>
  <c r="I138" i="1"/>
  <c r="T138" i="1" s="1"/>
  <c r="AC83" i="16" s="1"/>
  <c r="I135" i="1"/>
  <c r="T135" i="1" s="1"/>
  <c r="AC80" i="16" s="1"/>
  <c r="I141" i="1"/>
  <c r="T141" i="1" s="1"/>
  <c r="AC86" i="16" s="1"/>
  <c r="I137" i="1"/>
  <c r="T137" i="1" s="1"/>
  <c r="AC82" i="16" s="1"/>
  <c r="I139" i="1"/>
  <c r="T139" i="1" s="1"/>
  <c r="AC84" i="16" s="1"/>
  <c r="I144" i="1"/>
  <c r="T144" i="1" s="1"/>
  <c r="AC89" i="16" s="1"/>
  <c r="I140" i="1"/>
  <c r="T140" i="1" s="1"/>
  <c r="AC85" i="16" s="1"/>
  <c r="I147" i="1"/>
  <c r="T147" i="1" s="1"/>
  <c r="AC92" i="16" s="1"/>
  <c r="I142" i="1"/>
  <c r="T142" i="1" s="1"/>
  <c r="AC87" i="16" s="1"/>
  <c r="I143" i="1"/>
  <c r="T143" i="1" s="1"/>
  <c r="AC88" i="16" s="1"/>
  <c r="I150" i="1"/>
  <c r="T150" i="1" s="1"/>
  <c r="AC95" i="16" s="1"/>
  <c r="I145" i="1"/>
  <c r="T145" i="1" s="1"/>
  <c r="AC90" i="16" s="1"/>
  <c r="I148" i="1"/>
  <c r="T148" i="1" s="1"/>
  <c r="AC93" i="16" s="1"/>
  <c r="I146" i="1"/>
  <c r="T146" i="1" s="1"/>
  <c r="AC91" i="16" s="1"/>
  <c r="I149" i="1"/>
  <c r="T149" i="1" s="1"/>
  <c r="AC94" i="16" s="1"/>
  <c r="I151" i="1"/>
  <c r="T151" i="1" s="1"/>
  <c r="AC96" i="16" s="1"/>
  <c r="I152" i="1"/>
  <c r="T152" i="1" s="1"/>
  <c r="AC97" i="16" s="1"/>
  <c r="I153" i="1"/>
  <c r="T153" i="1" s="1"/>
  <c r="AC98" i="16" s="1"/>
  <c r="I154" i="1"/>
  <c r="T154" i="1" s="1"/>
  <c r="AC99" i="16" s="1"/>
  <c r="I159" i="1"/>
  <c r="T159" i="1" s="1"/>
  <c r="AC104" i="16" s="1"/>
  <c r="I156" i="1"/>
  <c r="T156" i="1" s="1"/>
  <c r="AC101" i="16" s="1"/>
  <c r="I155" i="1"/>
  <c r="T155" i="1" s="1"/>
  <c r="AC100" i="16" s="1"/>
  <c r="I160" i="1"/>
  <c r="T160" i="1" s="1"/>
  <c r="AC105" i="16" s="1"/>
  <c r="I157" i="1"/>
  <c r="T157" i="1" s="1"/>
  <c r="AC102" i="16" s="1"/>
  <c r="I158" i="1"/>
  <c r="T158" i="1" s="1"/>
  <c r="AC103" i="16" s="1"/>
  <c r="I162" i="1"/>
  <c r="T162" i="1" s="1"/>
  <c r="AC107" i="16" s="1"/>
  <c r="I161" i="1"/>
  <c r="T161" i="1" s="1"/>
  <c r="AC106" i="16" s="1"/>
  <c r="I163" i="1"/>
  <c r="T163" i="1" s="1"/>
  <c r="AC108" i="16" s="1"/>
  <c r="I167" i="1"/>
  <c r="T167" i="1" s="1"/>
  <c r="AC112" i="16" s="1"/>
  <c r="I164" i="1"/>
  <c r="T164" i="1" s="1"/>
  <c r="AC109" i="16" s="1"/>
  <c r="I165" i="1"/>
  <c r="I166" i="1"/>
  <c r="T166" i="1" s="1"/>
  <c r="AC111" i="16" s="1"/>
  <c r="I168" i="1"/>
  <c r="J35" i="1"/>
  <c r="J87" i="1"/>
  <c r="J165" i="1"/>
  <c r="J168" i="1"/>
  <c r="AD104" i="16" l="1"/>
  <c r="AD98" i="16"/>
  <c r="AD87" i="16"/>
  <c r="AD79" i="16"/>
  <c r="AD77" i="16"/>
  <c r="AD70" i="16"/>
  <c r="AD64" i="16"/>
  <c r="AD58" i="16"/>
  <c r="AD51" i="16"/>
  <c r="AD44" i="16"/>
  <c r="U34" i="1"/>
  <c r="AD12" i="16"/>
  <c r="U32" i="1"/>
  <c r="AD10" i="16"/>
  <c r="U26" i="1"/>
  <c r="AD4" i="16"/>
  <c r="U54" i="1"/>
  <c r="U50" i="1"/>
  <c r="AD28" i="16"/>
  <c r="U48" i="1"/>
  <c r="AD26" i="16"/>
  <c r="U44" i="1"/>
  <c r="AD22" i="16"/>
  <c r="U37" i="1"/>
  <c r="AD15" i="16"/>
  <c r="U40" i="1"/>
  <c r="AD18" i="16"/>
  <c r="AD83" i="16"/>
  <c r="AD105" i="16"/>
  <c r="AD103" i="16"/>
  <c r="AD99" i="16"/>
  <c r="AD94" i="16"/>
  <c r="AD91" i="16"/>
  <c r="AD88" i="16"/>
  <c r="AD49" i="16"/>
  <c r="AD82" i="16"/>
  <c r="AD75" i="16"/>
  <c r="AD73" i="16"/>
  <c r="AD71" i="16"/>
  <c r="AD68" i="16"/>
  <c r="AD63" i="16"/>
  <c r="AD59" i="16"/>
  <c r="AD52" i="16"/>
  <c r="AD47" i="16"/>
  <c r="AD46" i="16"/>
  <c r="AD41" i="16"/>
  <c r="U30" i="1"/>
  <c r="AD8" i="16"/>
  <c r="U28" i="1"/>
  <c r="AD6" i="16"/>
  <c r="AD40" i="16"/>
  <c r="U57" i="1"/>
  <c r="AD35" i="16"/>
  <c r="U52" i="1"/>
  <c r="AD30" i="16"/>
  <c r="U51" i="1"/>
  <c r="AD29" i="16"/>
  <c r="U45" i="1"/>
  <c r="AD23" i="16"/>
  <c r="U46" i="1"/>
  <c r="AD24" i="16"/>
  <c r="U38" i="1"/>
  <c r="AD16" i="16"/>
  <c r="AD90" i="16"/>
  <c r="AD112" i="16"/>
  <c r="AD108" i="16"/>
  <c r="AD107" i="16"/>
  <c r="AD101" i="16"/>
  <c r="AD96" i="16"/>
  <c r="AD93" i="16"/>
  <c r="AD56" i="16"/>
  <c r="AD89" i="16"/>
  <c r="AD85" i="16"/>
  <c r="AD81" i="16"/>
  <c r="AD78" i="16"/>
  <c r="AD74" i="16"/>
  <c r="AD67" i="16"/>
  <c r="AD66" i="16"/>
  <c r="AD61" i="16"/>
  <c r="AD55" i="16"/>
  <c r="AD54" i="16"/>
  <c r="AD53" i="16"/>
  <c r="AD43" i="16"/>
  <c r="AD42" i="16"/>
  <c r="U27" i="1"/>
  <c r="AD5" i="16"/>
  <c r="U29" i="1"/>
  <c r="AD7" i="16"/>
  <c r="AD38" i="16"/>
  <c r="U53" i="1"/>
  <c r="AD31" i="16"/>
  <c r="AD36" i="16"/>
  <c r="U49" i="1"/>
  <c r="AD27" i="16"/>
  <c r="U39" i="1"/>
  <c r="AD17" i="16"/>
  <c r="U36" i="1"/>
  <c r="AD14" i="16"/>
  <c r="AD106" i="16"/>
  <c r="AD95" i="16"/>
  <c r="AD111" i="16"/>
  <c r="AD109" i="16"/>
  <c r="AD102" i="16"/>
  <c r="AD100" i="16"/>
  <c r="AD97" i="16"/>
  <c r="AD92" i="16"/>
  <c r="AD86" i="16"/>
  <c r="AD84" i="16"/>
  <c r="AD80" i="16"/>
  <c r="AD76" i="16"/>
  <c r="AD72" i="16"/>
  <c r="AD69" i="16"/>
  <c r="AD62" i="16"/>
  <c r="AD60" i="16"/>
  <c r="AD57" i="16"/>
  <c r="AD50" i="16"/>
  <c r="AD48" i="16"/>
  <c r="AD45" i="16"/>
  <c r="U31" i="1"/>
  <c r="AD9" i="16"/>
  <c r="U33" i="1"/>
  <c r="AD11" i="16"/>
  <c r="AD37" i="16"/>
  <c r="AD39" i="16"/>
  <c r="U56" i="1"/>
  <c r="AD34" i="16"/>
  <c r="U55" i="1"/>
  <c r="AD33" i="16"/>
  <c r="U47" i="1"/>
  <c r="AD25" i="16"/>
  <c r="U43" i="1"/>
  <c r="AD21" i="16"/>
  <c r="U42" i="1"/>
  <c r="AD20" i="16"/>
  <c r="U41" i="1"/>
  <c r="AD19" i="16"/>
  <c r="U159" i="1"/>
  <c r="S104" i="16" s="1"/>
  <c r="U147" i="1"/>
  <c r="S92" i="16" s="1"/>
  <c r="U164" i="1"/>
  <c r="S109" i="16" s="1"/>
  <c r="U162" i="1"/>
  <c r="S107" i="16" s="1"/>
  <c r="U155" i="1"/>
  <c r="S100" i="16" s="1"/>
  <c r="U153" i="1"/>
  <c r="S98" i="16" s="1"/>
  <c r="U146" i="1"/>
  <c r="S91" i="16" s="1"/>
  <c r="U143" i="1"/>
  <c r="S88" i="16" s="1"/>
  <c r="U144" i="1"/>
  <c r="S89" i="16" s="1"/>
  <c r="U135" i="1"/>
  <c r="S80" i="16" s="1"/>
  <c r="U136" i="1"/>
  <c r="S81" i="16" s="1"/>
  <c r="U128" i="1"/>
  <c r="S73" i="16" s="1"/>
  <c r="U126" i="1"/>
  <c r="S71" i="16" s="1"/>
  <c r="U120" i="1"/>
  <c r="S65" i="16" s="1"/>
  <c r="U117" i="1"/>
  <c r="S62" i="16" s="1"/>
  <c r="U112" i="1"/>
  <c r="S57" i="16" s="1"/>
  <c r="U109" i="1"/>
  <c r="S54" i="16" s="1"/>
  <c r="U105" i="1"/>
  <c r="S50" i="16" s="1"/>
  <c r="U101" i="1"/>
  <c r="S46" i="16" s="1"/>
  <c r="U99" i="1"/>
  <c r="S44" i="16" s="1"/>
  <c r="U92" i="1"/>
  <c r="S37" i="16" s="1"/>
  <c r="U86" i="1"/>
  <c r="S31" i="16" s="1"/>
  <c r="U80" i="1"/>
  <c r="S25" i="16" s="1"/>
  <c r="U78" i="1"/>
  <c r="S23" i="16" s="1"/>
  <c r="U73" i="1"/>
  <c r="S18" i="16" s="1"/>
  <c r="U71" i="1"/>
  <c r="S16" i="16" s="1"/>
  <c r="U66" i="1"/>
  <c r="S11" i="16" s="1"/>
  <c r="U163" i="1"/>
  <c r="S108" i="16" s="1"/>
  <c r="U167" i="1"/>
  <c r="S112" i="16" s="1"/>
  <c r="U158" i="1"/>
  <c r="S103" i="16" s="1"/>
  <c r="U156" i="1"/>
  <c r="S101" i="16" s="1"/>
  <c r="U152" i="1"/>
  <c r="S97" i="16" s="1"/>
  <c r="U148" i="1"/>
  <c r="S93" i="16" s="1"/>
  <c r="U142" i="1"/>
  <c r="S87" i="16" s="1"/>
  <c r="U139" i="1"/>
  <c r="S84" i="16" s="1"/>
  <c r="U138" i="1"/>
  <c r="S83" i="16" s="1"/>
  <c r="U132" i="1"/>
  <c r="S77" i="16" s="1"/>
  <c r="U127" i="1"/>
  <c r="S72" i="16" s="1"/>
  <c r="U125" i="1"/>
  <c r="S70" i="16" s="1"/>
  <c r="U121" i="1"/>
  <c r="S66" i="16" s="1"/>
  <c r="U116" i="1"/>
  <c r="S61" i="16" s="1"/>
  <c r="U113" i="1"/>
  <c r="S58" i="16" s="1"/>
  <c r="U110" i="1"/>
  <c r="S55" i="16" s="1"/>
  <c r="U104" i="1"/>
  <c r="S49" i="16" s="1"/>
  <c r="U97" i="1"/>
  <c r="S42" i="16" s="1"/>
  <c r="U95" i="1"/>
  <c r="S40" i="16" s="1"/>
  <c r="U93" i="1"/>
  <c r="S38" i="16" s="1"/>
  <c r="U90" i="1"/>
  <c r="S35" i="16" s="1"/>
  <c r="U85" i="1"/>
  <c r="S30" i="16" s="1"/>
  <c r="U81" i="1"/>
  <c r="S26" i="16" s="1"/>
  <c r="U74" i="1"/>
  <c r="S19" i="16" s="1"/>
  <c r="U69" i="1"/>
  <c r="S14" i="16" s="1"/>
  <c r="U68" i="1"/>
  <c r="S13" i="16" s="1"/>
  <c r="U63" i="1"/>
  <c r="S8" i="16" s="1"/>
  <c r="U62" i="1"/>
  <c r="S7" i="16" s="1"/>
  <c r="U166" i="1"/>
  <c r="S111" i="16" s="1"/>
  <c r="U151" i="1"/>
  <c r="S96" i="16" s="1"/>
  <c r="U137" i="1"/>
  <c r="S82" i="16" s="1"/>
  <c r="U134" i="1"/>
  <c r="S79" i="16" s="1"/>
  <c r="U130" i="1"/>
  <c r="S75" i="16" s="1"/>
  <c r="U129" i="1"/>
  <c r="S74" i="16" s="1"/>
  <c r="U123" i="1"/>
  <c r="S68" i="16" s="1"/>
  <c r="U118" i="1"/>
  <c r="S63" i="16" s="1"/>
  <c r="U115" i="1"/>
  <c r="S60" i="16" s="1"/>
  <c r="U111" i="1"/>
  <c r="S56" i="16" s="1"/>
  <c r="U107" i="1"/>
  <c r="S52" i="16" s="1"/>
  <c r="U103" i="1"/>
  <c r="S48" i="16" s="1"/>
  <c r="U100" i="1"/>
  <c r="S45" i="16" s="1"/>
  <c r="U96" i="1"/>
  <c r="S41" i="16" s="1"/>
  <c r="U89" i="1"/>
  <c r="S34" i="16" s="1"/>
  <c r="U88" i="1"/>
  <c r="S33" i="16" s="1"/>
  <c r="U83" i="1"/>
  <c r="S28" i="16" s="1"/>
  <c r="U77" i="1"/>
  <c r="S22" i="16" s="1"/>
  <c r="U76" i="1"/>
  <c r="S21" i="16" s="1"/>
  <c r="U75" i="1"/>
  <c r="S20" i="16" s="1"/>
  <c r="U65" i="1"/>
  <c r="S10" i="16" s="1"/>
  <c r="U64" i="1"/>
  <c r="S9" i="16" s="1"/>
  <c r="U60" i="1"/>
  <c r="S5" i="16" s="1"/>
  <c r="U58" i="1"/>
  <c r="S3" i="16" s="1"/>
  <c r="U157" i="1"/>
  <c r="S102" i="16" s="1"/>
  <c r="U145" i="1"/>
  <c r="S90" i="16" s="1"/>
  <c r="U161" i="1"/>
  <c r="S106" i="16" s="1"/>
  <c r="U160" i="1"/>
  <c r="S105" i="16" s="1"/>
  <c r="U154" i="1"/>
  <c r="S99" i="16" s="1"/>
  <c r="U149" i="1"/>
  <c r="S94" i="16" s="1"/>
  <c r="U150" i="1"/>
  <c r="S95" i="16" s="1"/>
  <c r="U140" i="1"/>
  <c r="S85" i="16" s="1"/>
  <c r="U141" i="1"/>
  <c r="S86" i="16" s="1"/>
  <c r="U133" i="1"/>
  <c r="S78" i="16" s="1"/>
  <c r="U131" i="1"/>
  <c r="S76" i="16" s="1"/>
  <c r="U124" i="1"/>
  <c r="S69" i="16" s="1"/>
  <c r="U122" i="1"/>
  <c r="S67" i="16" s="1"/>
  <c r="U119" i="1"/>
  <c r="S64" i="16" s="1"/>
  <c r="U114" i="1"/>
  <c r="S59" i="16" s="1"/>
  <c r="U108" i="1"/>
  <c r="S53" i="16" s="1"/>
  <c r="U106" i="1"/>
  <c r="S51" i="16" s="1"/>
  <c r="U102" i="1"/>
  <c r="S47" i="16" s="1"/>
  <c r="U98" i="1"/>
  <c r="S43" i="16" s="1"/>
  <c r="U94" i="1"/>
  <c r="S39" i="16" s="1"/>
  <c r="U91" i="1"/>
  <c r="S36" i="16" s="1"/>
  <c r="U84" i="1"/>
  <c r="S29" i="16" s="1"/>
  <c r="U82" i="1"/>
  <c r="S27" i="16" s="1"/>
  <c r="U79" i="1"/>
  <c r="S24" i="16" s="1"/>
  <c r="U72" i="1"/>
  <c r="S17" i="16" s="1"/>
  <c r="U70" i="1"/>
  <c r="S15" i="16" s="1"/>
  <c r="U67" i="1"/>
  <c r="S12" i="16" s="1"/>
  <c r="U59" i="1"/>
  <c r="S4" i="16" s="1"/>
  <c r="U61" i="1"/>
  <c r="S6" i="16" s="1"/>
  <c r="T87" i="1"/>
  <c r="AC32" i="16" s="1"/>
  <c r="T168" i="1"/>
  <c r="AC113" i="16" s="1"/>
  <c r="T35" i="1"/>
  <c r="T165" i="1"/>
  <c r="AC110" i="16" s="1"/>
  <c r="L179" i="3"/>
  <c r="F179" i="3"/>
  <c r="T25" i="1"/>
  <c r="A180" i="3"/>
  <c r="AA30" i="1"/>
  <c r="AA28" i="1"/>
  <c r="AA45" i="1"/>
  <c r="AA46" i="1"/>
  <c r="AA38" i="1"/>
  <c r="AA27" i="1"/>
  <c r="AA29" i="1"/>
  <c r="AA35" i="1"/>
  <c r="AA39" i="1"/>
  <c r="AA36" i="1"/>
  <c r="AA31" i="1"/>
  <c r="AA33" i="1"/>
  <c r="AA47" i="1"/>
  <c r="AA43" i="1"/>
  <c r="AA42" i="1"/>
  <c r="AA41" i="1"/>
  <c r="AA34" i="1"/>
  <c r="AA25" i="1"/>
  <c r="AA32" i="1"/>
  <c r="AA26" i="1"/>
  <c r="AA48" i="1"/>
  <c r="AA44" i="1"/>
  <c r="AA37" i="1"/>
  <c r="AA40" i="1"/>
  <c r="AA164" i="1"/>
  <c r="I109" i="24" s="1"/>
  <c r="J109" i="24" s="1"/>
  <c r="AA162" i="1"/>
  <c r="I107" i="24" s="1"/>
  <c r="J107" i="24" s="1"/>
  <c r="AA155" i="1"/>
  <c r="I100" i="24" s="1"/>
  <c r="J100" i="24" s="1"/>
  <c r="AA153" i="1"/>
  <c r="I98" i="24" s="1"/>
  <c r="J98" i="24" s="1"/>
  <c r="AA146" i="1"/>
  <c r="I91" i="24" s="1"/>
  <c r="J91" i="24" s="1"/>
  <c r="AA143" i="1"/>
  <c r="I88" i="24" s="1"/>
  <c r="J88" i="24" s="1"/>
  <c r="AA144" i="1"/>
  <c r="I89" i="24" s="1"/>
  <c r="J89" i="24" s="1"/>
  <c r="AA135" i="1"/>
  <c r="I80" i="24" s="1"/>
  <c r="J80" i="24" s="1"/>
  <c r="AA136" i="1"/>
  <c r="I81" i="24" s="1"/>
  <c r="J81" i="24" s="1"/>
  <c r="AA128" i="1"/>
  <c r="I73" i="24" s="1"/>
  <c r="J73" i="24" s="1"/>
  <c r="AA126" i="1"/>
  <c r="I71" i="24" s="1"/>
  <c r="J71" i="24" s="1"/>
  <c r="AA120" i="1"/>
  <c r="I65" i="24" s="1"/>
  <c r="J65" i="24" s="1"/>
  <c r="AA117" i="1"/>
  <c r="I62" i="24" s="1"/>
  <c r="J62" i="24" s="1"/>
  <c r="AA112" i="1"/>
  <c r="I57" i="24" s="1"/>
  <c r="J57" i="24" s="1"/>
  <c r="AA109" i="1"/>
  <c r="I54" i="24" s="1"/>
  <c r="J54" i="24" s="1"/>
  <c r="AA105" i="1"/>
  <c r="I50" i="24" s="1"/>
  <c r="J50" i="24" s="1"/>
  <c r="AA101" i="1"/>
  <c r="I46" i="24" s="1"/>
  <c r="J46" i="24" s="1"/>
  <c r="AA99" i="1"/>
  <c r="I44" i="24" s="1"/>
  <c r="J44" i="24" s="1"/>
  <c r="AA92" i="1"/>
  <c r="I37" i="24" s="1"/>
  <c r="J37" i="24" s="1"/>
  <c r="AA87" i="1"/>
  <c r="I32" i="24" s="1"/>
  <c r="J32" i="24" s="1"/>
  <c r="AA86" i="1"/>
  <c r="I31" i="24" s="1"/>
  <c r="J31" i="24" s="1"/>
  <c r="AA80" i="1"/>
  <c r="I25" i="24" s="1"/>
  <c r="J25" i="24" s="1"/>
  <c r="AA78" i="1"/>
  <c r="I23" i="24" s="1"/>
  <c r="J23" i="24" s="1"/>
  <c r="AA73" i="1"/>
  <c r="I18" i="24" s="1"/>
  <c r="J18" i="24" s="1"/>
  <c r="AA71" i="1"/>
  <c r="I16" i="24" s="1"/>
  <c r="J16" i="24" s="1"/>
  <c r="AA66" i="1"/>
  <c r="I11" i="24" s="1"/>
  <c r="J11" i="24" s="1"/>
  <c r="AA54" i="1"/>
  <c r="AA50" i="1"/>
  <c r="AA168" i="1"/>
  <c r="I113" i="24" s="1"/>
  <c r="J113" i="24" s="1"/>
  <c r="AA167" i="1"/>
  <c r="I112" i="24" s="1"/>
  <c r="J112" i="24" s="1"/>
  <c r="AA158" i="1"/>
  <c r="I103" i="24" s="1"/>
  <c r="J103" i="24" s="1"/>
  <c r="AA156" i="1"/>
  <c r="I101" i="24" s="1"/>
  <c r="J101" i="24" s="1"/>
  <c r="AA152" i="1"/>
  <c r="I97" i="24" s="1"/>
  <c r="J97" i="24" s="1"/>
  <c r="AA148" i="1"/>
  <c r="I93" i="24" s="1"/>
  <c r="J93" i="24" s="1"/>
  <c r="AA142" i="1"/>
  <c r="I87" i="24" s="1"/>
  <c r="J87" i="24" s="1"/>
  <c r="AA139" i="1"/>
  <c r="I84" i="24" s="1"/>
  <c r="J84" i="24" s="1"/>
  <c r="AA138" i="1"/>
  <c r="I83" i="24" s="1"/>
  <c r="J83" i="24" s="1"/>
  <c r="AA132" i="1"/>
  <c r="I77" i="24" s="1"/>
  <c r="J77" i="24" s="1"/>
  <c r="AA127" i="1"/>
  <c r="I72" i="24" s="1"/>
  <c r="J72" i="24" s="1"/>
  <c r="AA125" i="1"/>
  <c r="I70" i="24" s="1"/>
  <c r="J70" i="24" s="1"/>
  <c r="AA121" i="1"/>
  <c r="I66" i="24" s="1"/>
  <c r="J66" i="24" s="1"/>
  <c r="AA116" i="1"/>
  <c r="I61" i="24" s="1"/>
  <c r="J61" i="24" s="1"/>
  <c r="AA113" i="1"/>
  <c r="I58" i="24" s="1"/>
  <c r="J58" i="24" s="1"/>
  <c r="AA110" i="1"/>
  <c r="I55" i="24" s="1"/>
  <c r="J55" i="24" s="1"/>
  <c r="AA104" i="1"/>
  <c r="I49" i="24" s="1"/>
  <c r="J49" i="24" s="1"/>
  <c r="AA97" i="1"/>
  <c r="I42" i="24" s="1"/>
  <c r="J42" i="24" s="1"/>
  <c r="AA95" i="1"/>
  <c r="I40" i="24" s="1"/>
  <c r="J40" i="24" s="1"/>
  <c r="AA93" i="1"/>
  <c r="I38" i="24" s="1"/>
  <c r="J38" i="24" s="1"/>
  <c r="AA90" i="1"/>
  <c r="I35" i="24" s="1"/>
  <c r="J35" i="24" s="1"/>
  <c r="AA85" i="1"/>
  <c r="I30" i="24" s="1"/>
  <c r="J30" i="24" s="1"/>
  <c r="AA81" i="1"/>
  <c r="I26" i="24" s="1"/>
  <c r="J26" i="24" s="1"/>
  <c r="AA74" i="1"/>
  <c r="I19" i="24" s="1"/>
  <c r="J19" i="24" s="1"/>
  <c r="AA69" i="1"/>
  <c r="I14" i="24" s="1"/>
  <c r="J14" i="24" s="1"/>
  <c r="AA68" i="1"/>
  <c r="I13" i="24" s="1"/>
  <c r="J13" i="24" s="1"/>
  <c r="AA63" i="1"/>
  <c r="I8" i="24" s="1"/>
  <c r="J8" i="24" s="1"/>
  <c r="AA62" i="1"/>
  <c r="I7" i="24" s="1"/>
  <c r="J7" i="24" s="1"/>
  <c r="AA57" i="1"/>
  <c r="AA52" i="1"/>
  <c r="AA51" i="1"/>
  <c r="AA166" i="1"/>
  <c r="I111" i="24" s="1"/>
  <c r="J111" i="24" s="1"/>
  <c r="AA163" i="1"/>
  <c r="I108" i="24" s="1"/>
  <c r="J108" i="24" s="1"/>
  <c r="AA157" i="1"/>
  <c r="I102" i="24" s="1"/>
  <c r="J102" i="24" s="1"/>
  <c r="AA159" i="1"/>
  <c r="I104" i="24" s="1"/>
  <c r="J104" i="24" s="1"/>
  <c r="AA151" i="1"/>
  <c r="I96" i="24" s="1"/>
  <c r="J96" i="24" s="1"/>
  <c r="AA145" i="1"/>
  <c r="I90" i="24" s="1"/>
  <c r="J90" i="24" s="1"/>
  <c r="AA147" i="1"/>
  <c r="I92" i="24" s="1"/>
  <c r="J92" i="24" s="1"/>
  <c r="AA137" i="1"/>
  <c r="I82" i="24" s="1"/>
  <c r="J82" i="24" s="1"/>
  <c r="AA134" i="1"/>
  <c r="I79" i="24" s="1"/>
  <c r="J79" i="24" s="1"/>
  <c r="AA130" i="1"/>
  <c r="I75" i="24" s="1"/>
  <c r="J75" i="24" s="1"/>
  <c r="AA129" i="1"/>
  <c r="I74" i="24" s="1"/>
  <c r="J74" i="24" s="1"/>
  <c r="AA123" i="1"/>
  <c r="I68" i="24" s="1"/>
  <c r="J68" i="24" s="1"/>
  <c r="AA118" i="1"/>
  <c r="I63" i="24" s="1"/>
  <c r="J63" i="24" s="1"/>
  <c r="AA115" i="1"/>
  <c r="I60" i="24" s="1"/>
  <c r="J60" i="24" s="1"/>
  <c r="AA111" i="1"/>
  <c r="I56" i="24" s="1"/>
  <c r="J56" i="24" s="1"/>
  <c r="AA107" i="1"/>
  <c r="I52" i="24" s="1"/>
  <c r="J52" i="24" s="1"/>
  <c r="AA103" i="1"/>
  <c r="I48" i="24" s="1"/>
  <c r="J48" i="24" s="1"/>
  <c r="AA100" i="1"/>
  <c r="I45" i="24" s="1"/>
  <c r="J45" i="24" s="1"/>
  <c r="AA96" i="1"/>
  <c r="I41" i="24" s="1"/>
  <c r="J41" i="24" s="1"/>
  <c r="AA89" i="1"/>
  <c r="I34" i="24" s="1"/>
  <c r="J34" i="24" s="1"/>
  <c r="AA88" i="1"/>
  <c r="I33" i="24" s="1"/>
  <c r="J33" i="24" s="1"/>
  <c r="AA83" i="1"/>
  <c r="I28" i="24" s="1"/>
  <c r="J28" i="24" s="1"/>
  <c r="AA77" i="1"/>
  <c r="I22" i="24" s="1"/>
  <c r="J22" i="24" s="1"/>
  <c r="AA76" i="1"/>
  <c r="I21" i="24" s="1"/>
  <c r="J21" i="24" s="1"/>
  <c r="AA75" i="1"/>
  <c r="I20" i="24" s="1"/>
  <c r="J20" i="24" s="1"/>
  <c r="AA65" i="1"/>
  <c r="I10" i="24" s="1"/>
  <c r="J10" i="24" s="1"/>
  <c r="AA64" i="1"/>
  <c r="I9" i="24" s="1"/>
  <c r="J9" i="24" s="1"/>
  <c r="AA60" i="1"/>
  <c r="I5" i="24" s="1"/>
  <c r="J5" i="24" s="1"/>
  <c r="AA53" i="1"/>
  <c r="AA58" i="1"/>
  <c r="I3" i="24" s="1"/>
  <c r="J3" i="24" s="1"/>
  <c r="AA49" i="1"/>
  <c r="I330" i="1"/>
  <c r="I331" i="1"/>
  <c r="I328" i="1"/>
  <c r="I327" i="1"/>
  <c r="I326" i="1"/>
  <c r="I323" i="1"/>
  <c r="I325" i="1"/>
  <c r="I324" i="1"/>
  <c r="I329" i="1"/>
  <c r="I322" i="1"/>
  <c r="I332" i="1"/>
  <c r="I176" i="1"/>
  <c r="T176" i="1" s="1"/>
  <c r="I177" i="1"/>
  <c r="T177" i="1" s="1"/>
  <c r="I181" i="1"/>
  <c r="T181" i="1" s="1"/>
  <c r="I179" i="1"/>
  <c r="T179" i="1" s="1"/>
  <c r="I182" i="1"/>
  <c r="T182" i="1" s="1"/>
  <c r="I178" i="1"/>
  <c r="T178" i="1" s="1"/>
  <c r="I333" i="1"/>
  <c r="I180" i="1"/>
  <c r="T180" i="1" s="1"/>
  <c r="I175" i="1"/>
  <c r="T175" i="1" s="1"/>
  <c r="I183" i="1"/>
  <c r="T183" i="1" s="1"/>
  <c r="I334" i="1"/>
  <c r="I184" i="1"/>
  <c r="T184" i="1" s="1"/>
  <c r="I335" i="1"/>
  <c r="I186" i="1"/>
  <c r="T186" i="1" s="1"/>
  <c r="I336" i="1"/>
  <c r="I185" i="1"/>
  <c r="T185" i="1" s="1"/>
  <c r="I337" i="1"/>
  <c r="I187" i="1"/>
  <c r="T187" i="1" s="1"/>
  <c r="I338" i="1"/>
  <c r="I188" i="1"/>
  <c r="T188" i="1" s="1"/>
  <c r="I339" i="1"/>
  <c r="I190" i="1"/>
  <c r="T190" i="1" s="1"/>
  <c r="I189" i="1"/>
  <c r="T189" i="1" s="1"/>
  <c r="I340" i="1"/>
  <c r="I341" i="1"/>
  <c r="I342" i="1"/>
  <c r="I191" i="1"/>
  <c r="T191" i="1" s="1"/>
  <c r="I193" i="1"/>
  <c r="T193" i="1" s="1"/>
  <c r="I192" i="1"/>
  <c r="T192" i="1" s="1"/>
  <c r="I343" i="1"/>
  <c r="I344" i="1"/>
  <c r="I345" i="1"/>
  <c r="I194" i="1"/>
  <c r="T194" i="1" s="1"/>
  <c r="I346" i="1"/>
  <c r="I195" i="1"/>
  <c r="T195" i="1" s="1"/>
  <c r="I348" i="1"/>
  <c r="I196" i="1"/>
  <c r="T196" i="1" s="1"/>
  <c r="I347" i="1"/>
  <c r="I197" i="1"/>
  <c r="T197" i="1" s="1"/>
  <c r="I349" i="1"/>
  <c r="I199" i="1"/>
  <c r="T199" i="1" s="1"/>
  <c r="I350" i="1"/>
  <c r="I198" i="1"/>
  <c r="T198" i="1" s="1"/>
  <c r="I320" i="1"/>
  <c r="AD320" i="1" s="1"/>
  <c r="I353" i="1"/>
  <c r="I319" i="1"/>
  <c r="I351" i="1"/>
  <c r="I174" i="1"/>
  <c r="T174" i="1" s="1"/>
  <c r="I201" i="1"/>
  <c r="T201" i="1" s="1"/>
  <c r="I200" i="1"/>
  <c r="T200" i="1" s="1"/>
  <c r="I203" i="1"/>
  <c r="T203" i="1" s="1"/>
  <c r="I173" i="1"/>
  <c r="T173" i="1" s="1"/>
  <c r="I321" i="1"/>
  <c r="AD321" i="1" s="1"/>
  <c r="I172" i="1"/>
  <c r="T172" i="1" s="1"/>
  <c r="I352" i="1"/>
  <c r="I354" i="1"/>
  <c r="I204" i="1"/>
  <c r="T204" i="1" s="1"/>
  <c r="I202" i="1"/>
  <c r="T202" i="1" s="1"/>
  <c r="I355" i="1"/>
  <c r="I357" i="1"/>
  <c r="I356" i="1"/>
  <c r="I207" i="1"/>
  <c r="T207" i="1" s="1"/>
  <c r="I205" i="1"/>
  <c r="T205" i="1" s="1"/>
  <c r="I358" i="1"/>
  <c r="I206" i="1"/>
  <c r="T206" i="1" s="1"/>
  <c r="I359" i="1"/>
  <c r="I208" i="1"/>
  <c r="T208" i="1" s="1"/>
  <c r="I361" i="1"/>
  <c r="I209" i="1"/>
  <c r="T209" i="1" s="1"/>
  <c r="I360" i="1"/>
  <c r="I362" i="1"/>
  <c r="I210" i="1"/>
  <c r="T210" i="1" s="1"/>
  <c r="I211" i="1"/>
  <c r="T211" i="1" s="1"/>
  <c r="I363" i="1"/>
  <c r="I212" i="1"/>
  <c r="T212" i="1" s="1"/>
  <c r="I364" i="1"/>
  <c r="I365" i="1"/>
  <c r="I366" i="1"/>
  <c r="I214" i="1"/>
  <c r="T214" i="1" s="1"/>
  <c r="I217" i="1"/>
  <c r="T217" i="1" s="1"/>
  <c r="I213" i="1"/>
  <c r="T213" i="1" s="1"/>
  <c r="I215" i="1"/>
  <c r="T215" i="1" s="1"/>
  <c r="I367" i="1"/>
  <c r="I216" i="1"/>
  <c r="T216" i="1" s="1"/>
  <c r="I368" i="1"/>
  <c r="I369" i="1"/>
  <c r="I218" i="1"/>
  <c r="T218" i="1" s="1"/>
  <c r="I219" i="1"/>
  <c r="T219" i="1" s="1"/>
  <c r="I220" i="1"/>
  <c r="T220" i="1" s="1"/>
  <c r="I370" i="1"/>
  <c r="I221" i="1"/>
  <c r="T221" i="1" s="1"/>
  <c r="I371" i="1"/>
  <c r="I374" i="1"/>
  <c r="I372" i="1"/>
  <c r="I222" i="1"/>
  <c r="T222" i="1" s="1"/>
  <c r="I373" i="1"/>
  <c r="I223" i="1"/>
  <c r="T223" i="1" s="1"/>
  <c r="I375" i="1"/>
  <c r="I224" i="1"/>
  <c r="T224" i="1" s="1"/>
  <c r="I225" i="1"/>
  <c r="T225" i="1" s="1"/>
  <c r="I376" i="1"/>
  <c r="I377" i="1"/>
  <c r="I227" i="1"/>
  <c r="T227" i="1" s="1"/>
  <c r="I226" i="1"/>
  <c r="T226" i="1" s="1"/>
  <c r="I228" i="1"/>
  <c r="T228" i="1" s="1"/>
  <c r="I229" i="1"/>
  <c r="T229" i="1" s="1"/>
  <c r="I379" i="1"/>
  <c r="I378" i="1"/>
  <c r="I380" i="1"/>
  <c r="I231" i="1"/>
  <c r="T231" i="1" s="1"/>
  <c r="I230" i="1"/>
  <c r="T230" i="1" s="1"/>
  <c r="I232" i="1"/>
  <c r="T232" i="1" s="1"/>
  <c r="I382" i="1"/>
  <c r="I383" i="1"/>
  <c r="I381" i="1"/>
  <c r="I233" i="1"/>
  <c r="T233" i="1" s="1"/>
  <c r="I384" i="1"/>
  <c r="I234" i="1"/>
  <c r="T234" i="1" s="1"/>
  <c r="I385" i="1"/>
  <c r="I386" i="1"/>
  <c r="I235" i="1"/>
  <c r="T235" i="1" s="1"/>
  <c r="I237" i="1"/>
  <c r="T237" i="1" s="1"/>
  <c r="I236" i="1"/>
  <c r="T236" i="1" s="1"/>
  <c r="I387" i="1"/>
  <c r="I388" i="1"/>
  <c r="I389" i="1"/>
  <c r="I390" i="1"/>
  <c r="I239" i="1"/>
  <c r="T239" i="1" s="1"/>
  <c r="I238" i="1"/>
  <c r="T238" i="1" s="1"/>
  <c r="I391" i="1"/>
  <c r="I240" i="1"/>
  <c r="T240" i="1" s="1"/>
  <c r="I392" i="1"/>
  <c r="I241" i="1"/>
  <c r="T241" i="1" s="1"/>
  <c r="I393" i="1"/>
  <c r="I242" i="1"/>
  <c r="T242" i="1" s="1"/>
  <c r="I395" i="1"/>
  <c r="I394" i="1"/>
  <c r="I243" i="1"/>
  <c r="T243" i="1" s="1"/>
  <c r="I244" i="1"/>
  <c r="T244" i="1" s="1"/>
  <c r="I396" i="1"/>
  <c r="I397" i="1"/>
  <c r="I246" i="1"/>
  <c r="T246" i="1" s="1"/>
  <c r="I245" i="1"/>
  <c r="T245" i="1" s="1"/>
  <c r="I398" i="1"/>
  <c r="I247" i="1"/>
  <c r="T247" i="1" s="1"/>
  <c r="I248" i="1"/>
  <c r="T248" i="1" s="1"/>
  <c r="I399" i="1"/>
  <c r="I250" i="1"/>
  <c r="T250" i="1" s="1"/>
  <c r="I400" i="1"/>
  <c r="I401" i="1"/>
  <c r="I402" i="1"/>
  <c r="I249" i="1"/>
  <c r="T249" i="1" s="1"/>
  <c r="I251" i="1"/>
  <c r="T251" i="1" s="1"/>
  <c r="I252" i="1"/>
  <c r="T252" i="1" s="1"/>
  <c r="I254" i="1"/>
  <c r="T254" i="1" s="1"/>
  <c r="I403" i="1"/>
  <c r="I404" i="1"/>
  <c r="I253" i="1"/>
  <c r="T253" i="1" s="1"/>
  <c r="I405" i="1"/>
  <c r="I406" i="1"/>
  <c r="I408" i="1"/>
  <c r="I407" i="1"/>
  <c r="I255" i="1"/>
  <c r="T255" i="1" s="1"/>
  <c r="I409" i="1"/>
  <c r="I258" i="1"/>
  <c r="T258" i="1" s="1"/>
  <c r="I256" i="1"/>
  <c r="T256" i="1" s="1"/>
  <c r="I257" i="1"/>
  <c r="T257" i="1" s="1"/>
  <c r="I410" i="1"/>
  <c r="I259" i="1"/>
  <c r="T259" i="1" s="1"/>
  <c r="I260" i="1"/>
  <c r="T260" i="1" s="1"/>
  <c r="I412" i="1"/>
  <c r="I411" i="1"/>
  <c r="I262" i="1"/>
  <c r="T262" i="1" s="1"/>
  <c r="I261" i="1"/>
  <c r="T261" i="1" s="1"/>
  <c r="I414" i="1"/>
  <c r="I415" i="1"/>
  <c r="I413" i="1"/>
  <c r="I264" i="1"/>
  <c r="T264" i="1" s="1"/>
  <c r="I263" i="1"/>
  <c r="T263" i="1" s="1"/>
  <c r="I265" i="1"/>
  <c r="T265" i="1" s="1"/>
  <c r="I416" i="1"/>
  <c r="I266" i="1"/>
  <c r="T266" i="1" s="1"/>
  <c r="I417" i="1"/>
  <c r="I267" i="1"/>
  <c r="T267" i="1" s="1"/>
  <c r="I419" i="1"/>
  <c r="I418" i="1"/>
  <c r="I268" i="1"/>
  <c r="T268" i="1" s="1"/>
  <c r="I420" i="1"/>
  <c r="I271" i="1"/>
  <c r="T271" i="1" s="1"/>
  <c r="I269" i="1"/>
  <c r="T269" i="1" s="1"/>
  <c r="I272" i="1"/>
  <c r="T272" i="1" s="1"/>
  <c r="I270" i="1"/>
  <c r="T270" i="1" s="1"/>
  <c r="I422" i="1"/>
  <c r="I421" i="1"/>
  <c r="I273" i="1"/>
  <c r="T273" i="1" s="1"/>
  <c r="I425" i="1"/>
  <c r="I275" i="1"/>
  <c r="T275" i="1" s="1"/>
  <c r="I423" i="1"/>
  <c r="I424" i="1"/>
  <c r="I426" i="1"/>
  <c r="I274" i="1"/>
  <c r="T274" i="1" s="1"/>
  <c r="I276" i="1"/>
  <c r="T276" i="1" s="1"/>
  <c r="I428" i="1"/>
  <c r="I427" i="1"/>
  <c r="I278" i="1"/>
  <c r="T278" i="1" s="1"/>
  <c r="I429" i="1"/>
  <c r="I431" i="1"/>
  <c r="I277" i="1"/>
  <c r="T277" i="1" s="1"/>
  <c r="I279" i="1"/>
  <c r="T279" i="1" s="1"/>
  <c r="I281" i="1"/>
  <c r="T281" i="1" s="1"/>
  <c r="I430" i="1"/>
  <c r="I433" i="1"/>
  <c r="I432" i="1"/>
  <c r="I283" i="1"/>
  <c r="T283" i="1" s="1"/>
  <c r="I280" i="1"/>
  <c r="T280" i="1" s="1"/>
  <c r="I282" i="1"/>
  <c r="T282" i="1" s="1"/>
  <c r="I285" i="1"/>
  <c r="T285" i="1" s="1"/>
  <c r="I436" i="1"/>
  <c r="I434" i="1"/>
  <c r="I284" i="1"/>
  <c r="T284" i="1" s="1"/>
  <c r="I435" i="1"/>
  <c r="I286" i="1"/>
  <c r="T286" i="1" s="1"/>
  <c r="I437" i="1"/>
  <c r="I438" i="1"/>
  <c r="I288" i="1"/>
  <c r="T288" i="1" s="1"/>
  <c r="I287" i="1"/>
  <c r="T287" i="1" s="1"/>
  <c r="I439" i="1"/>
  <c r="I440" i="1"/>
  <c r="I441" i="1"/>
  <c r="I442" i="1"/>
  <c r="I290" i="1"/>
  <c r="T290" i="1" s="1"/>
  <c r="I443" i="1"/>
  <c r="I289" i="1"/>
  <c r="T289" i="1" s="1"/>
  <c r="I291" i="1"/>
  <c r="T291" i="1" s="1"/>
  <c r="I292" i="1"/>
  <c r="T292" i="1" s="1"/>
  <c r="I293" i="1"/>
  <c r="T293" i="1" s="1"/>
  <c r="I444" i="1"/>
  <c r="I445" i="1"/>
  <c r="I294" i="1"/>
  <c r="T294" i="1" s="1"/>
  <c r="I446" i="1"/>
  <c r="I447" i="1"/>
  <c r="I297" i="1"/>
  <c r="T297" i="1" s="1"/>
  <c r="I296" i="1"/>
  <c r="T296" i="1" s="1"/>
  <c r="I295" i="1"/>
  <c r="T295" i="1" s="1"/>
  <c r="I448" i="1"/>
  <c r="I298" i="1"/>
  <c r="T298" i="1" s="1"/>
  <c r="I450" i="1"/>
  <c r="I299" i="1"/>
  <c r="T299" i="1" s="1"/>
  <c r="I451" i="1"/>
  <c r="I449" i="1"/>
  <c r="I302" i="1"/>
  <c r="T302" i="1" s="1"/>
  <c r="I300" i="1"/>
  <c r="T300" i="1" s="1"/>
  <c r="I452" i="1"/>
  <c r="I301" i="1"/>
  <c r="T301" i="1" s="1"/>
  <c r="I453" i="1"/>
  <c r="I454" i="1"/>
  <c r="I455" i="1"/>
  <c r="I304" i="1"/>
  <c r="T304" i="1" s="1"/>
  <c r="I456" i="1"/>
  <c r="I303" i="1"/>
  <c r="T303" i="1" s="1"/>
  <c r="I307" i="1"/>
  <c r="T307" i="1" s="1"/>
  <c r="I457" i="1"/>
  <c r="I305" i="1"/>
  <c r="T305" i="1" s="1"/>
  <c r="I306" i="1"/>
  <c r="T306" i="1" s="1"/>
  <c r="I459" i="1"/>
  <c r="I309" i="1"/>
  <c r="T309" i="1" s="1"/>
  <c r="I460" i="1"/>
  <c r="I458" i="1"/>
  <c r="I461" i="1"/>
  <c r="I308" i="1"/>
  <c r="T308" i="1" s="1"/>
  <c r="I310" i="1"/>
  <c r="T310" i="1" s="1"/>
  <c r="I311" i="1"/>
  <c r="T311" i="1" s="1"/>
  <c r="I462" i="1"/>
  <c r="I315" i="1"/>
  <c r="T315" i="1" s="1"/>
  <c r="I313" i="1"/>
  <c r="T313" i="1" s="1"/>
  <c r="I312" i="1"/>
  <c r="T312" i="1" s="1"/>
  <c r="I314" i="1"/>
  <c r="T314" i="1" s="1"/>
  <c r="AA165" i="1"/>
  <c r="I110" i="24" s="1"/>
  <c r="J110" i="24" s="1"/>
  <c r="AA161" i="1"/>
  <c r="I106" i="24" s="1"/>
  <c r="J106" i="24" s="1"/>
  <c r="AA160" i="1"/>
  <c r="I105" i="24" s="1"/>
  <c r="J105" i="24" s="1"/>
  <c r="AA154" i="1"/>
  <c r="I99" i="24" s="1"/>
  <c r="J99" i="24" s="1"/>
  <c r="AA149" i="1"/>
  <c r="I94" i="24" s="1"/>
  <c r="J94" i="24" s="1"/>
  <c r="AA150" i="1"/>
  <c r="I95" i="24" s="1"/>
  <c r="J95" i="24" s="1"/>
  <c r="AA140" i="1"/>
  <c r="I85" i="24" s="1"/>
  <c r="J85" i="24" s="1"/>
  <c r="AA141" i="1"/>
  <c r="I86" i="24" s="1"/>
  <c r="J86" i="24" s="1"/>
  <c r="AA133" i="1"/>
  <c r="I78" i="24" s="1"/>
  <c r="J78" i="24" s="1"/>
  <c r="AA131" i="1"/>
  <c r="I76" i="24" s="1"/>
  <c r="J76" i="24" s="1"/>
  <c r="AA124" i="1"/>
  <c r="I69" i="24" s="1"/>
  <c r="J69" i="24" s="1"/>
  <c r="AA122" i="1"/>
  <c r="I67" i="24" s="1"/>
  <c r="J67" i="24" s="1"/>
  <c r="AA119" i="1"/>
  <c r="I64" i="24" s="1"/>
  <c r="J64" i="24" s="1"/>
  <c r="AA114" i="1"/>
  <c r="I59" i="24" s="1"/>
  <c r="J59" i="24" s="1"/>
  <c r="AA108" i="1"/>
  <c r="I53" i="24" s="1"/>
  <c r="J53" i="24" s="1"/>
  <c r="AA106" i="1"/>
  <c r="I51" i="24" s="1"/>
  <c r="J51" i="24" s="1"/>
  <c r="AA102" i="1"/>
  <c r="I47" i="24" s="1"/>
  <c r="J47" i="24" s="1"/>
  <c r="AA98" i="1"/>
  <c r="I43" i="24" s="1"/>
  <c r="J43" i="24" s="1"/>
  <c r="AA94" i="1"/>
  <c r="I39" i="24" s="1"/>
  <c r="J39" i="24" s="1"/>
  <c r="AA91" i="1"/>
  <c r="I36" i="24" s="1"/>
  <c r="J36" i="24" s="1"/>
  <c r="AA84" i="1"/>
  <c r="I29" i="24" s="1"/>
  <c r="J29" i="24" s="1"/>
  <c r="AA82" i="1"/>
  <c r="I27" i="24" s="1"/>
  <c r="J27" i="24" s="1"/>
  <c r="AA79" i="1"/>
  <c r="I24" i="24" s="1"/>
  <c r="J24" i="24" s="1"/>
  <c r="AA72" i="1"/>
  <c r="I17" i="24" s="1"/>
  <c r="J17" i="24" s="1"/>
  <c r="AA70" i="1"/>
  <c r="I15" i="24" s="1"/>
  <c r="J15" i="24" s="1"/>
  <c r="AA67" i="1"/>
  <c r="I12" i="24" s="1"/>
  <c r="J12" i="24" s="1"/>
  <c r="AA59" i="1"/>
  <c r="I4" i="24" s="1"/>
  <c r="J4" i="24" s="1"/>
  <c r="AA61" i="1"/>
  <c r="I6" i="24" s="1"/>
  <c r="J6" i="24" s="1"/>
  <c r="AA56" i="1"/>
  <c r="AA55" i="1"/>
  <c r="U173" i="1" l="1"/>
  <c r="E39" i="3" s="1"/>
  <c r="U174" i="1"/>
  <c r="E58" i="3" s="1"/>
  <c r="U193" i="1"/>
  <c r="U188" i="1"/>
  <c r="U185" i="1"/>
  <c r="U184" i="1"/>
  <c r="U180" i="1"/>
  <c r="U179" i="1"/>
  <c r="E164" i="3" s="1"/>
  <c r="U203" i="1"/>
  <c r="U198" i="1"/>
  <c r="U197" i="1"/>
  <c r="U195" i="1"/>
  <c r="U191" i="1"/>
  <c r="U189" i="1"/>
  <c r="U181" i="1"/>
  <c r="U202" i="1"/>
  <c r="U172" i="1"/>
  <c r="E19" i="3" s="1"/>
  <c r="U200" i="1"/>
  <c r="U190" i="1"/>
  <c r="U187" i="1"/>
  <c r="U186" i="1"/>
  <c r="U183" i="1"/>
  <c r="U178" i="1"/>
  <c r="E143" i="3" s="1"/>
  <c r="U177" i="1"/>
  <c r="E121" i="3" s="1"/>
  <c r="U204" i="1"/>
  <c r="U201" i="1"/>
  <c r="U199" i="1"/>
  <c r="U196" i="1"/>
  <c r="U194" i="1"/>
  <c r="U192" i="1"/>
  <c r="U175" i="1"/>
  <c r="E80" i="3" s="1"/>
  <c r="U182" i="1"/>
  <c r="U176" i="1"/>
  <c r="E100" i="3" s="1"/>
  <c r="T4" i="16"/>
  <c r="D39" i="3"/>
  <c r="AD110" i="16"/>
  <c r="AD113" i="16"/>
  <c r="AD32" i="16"/>
  <c r="AD65" i="16"/>
  <c r="U25" i="1"/>
  <c r="T3" i="16" s="1"/>
  <c r="AD3" i="16"/>
  <c r="U35" i="1"/>
  <c r="T13" i="16" s="1"/>
  <c r="AD13" i="16"/>
  <c r="T17" i="16"/>
  <c r="T67" i="16"/>
  <c r="T102" i="16"/>
  <c r="T45" i="16"/>
  <c r="T111" i="16"/>
  <c r="T49" i="16"/>
  <c r="T97" i="16"/>
  <c r="T23" i="16"/>
  <c r="T73" i="16"/>
  <c r="T24" i="16"/>
  <c r="T39" i="16"/>
  <c r="T53" i="16"/>
  <c r="T69" i="16"/>
  <c r="T85" i="16"/>
  <c r="T105" i="16"/>
  <c r="T20" i="16"/>
  <c r="T33" i="16"/>
  <c r="T48" i="16"/>
  <c r="T63" i="16"/>
  <c r="T79" i="16"/>
  <c r="T7" i="16"/>
  <c r="T19" i="16"/>
  <c r="T38" i="16"/>
  <c r="T55" i="16"/>
  <c r="T70" i="16"/>
  <c r="T84" i="16"/>
  <c r="T101" i="16"/>
  <c r="T11" i="16"/>
  <c r="T25" i="16"/>
  <c r="T46" i="16"/>
  <c r="T62" i="16"/>
  <c r="T81" i="16"/>
  <c r="T91" i="16"/>
  <c r="T109" i="16"/>
  <c r="T6" i="16"/>
  <c r="T51" i="16"/>
  <c r="T99" i="16"/>
  <c r="T28" i="16"/>
  <c r="T75" i="16"/>
  <c r="T35" i="16"/>
  <c r="T83" i="16"/>
  <c r="T44" i="16"/>
  <c r="T107" i="16"/>
  <c r="T12" i="16"/>
  <c r="T27" i="16"/>
  <c r="T43" i="16"/>
  <c r="T59" i="16"/>
  <c r="T76" i="16"/>
  <c r="T95" i="16"/>
  <c r="T106" i="16"/>
  <c r="T5" i="16"/>
  <c r="T21" i="16"/>
  <c r="T34" i="16"/>
  <c r="T52" i="16"/>
  <c r="T68" i="16"/>
  <c r="T82" i="16"/>
  <c r="T8" i="16"/>
  <c r="T26" i="16"/>
  <c r="T40" i="16"/>
  <c r="T58" i="16"/>
  <c r="T72" i="16"/>
  <c r="T87" i="16"/>
  <c r="T103" i="16"/>
  <c r="T16" i="16"/>
  <c r="T31" i="16"/>
  <c r="T50" i="16"/>
  <c r="T80" i="16"/>
  <c r="T98" i="16"/>
  <c r="T92" i="16"/>
  <c r="T36" i="16"/>
  <c r="T86" i="16"/>
  <c r="T10" i="16"/>
  <c r="T60" i="16"/>
  <c r="T14" i="16"/>
  <c r="T66" i="16"/>
  <c r="T108" i="16"/>
  <c r="T57" i="16"/>
  <c r="T88" i="16"/>
  <c r="T15" i="16"/>
  <c r="T29" i="16"/>
  <c r="T47" i="16"/>
  <c r="T64" i="16"/>
  <c r="T78" i="16"/>
  <c r="T94" i="16"/>
  <c r="T90" i="16"/>
  <c r="T9" i="16"/>
  <c r="T22" i="16"/>
  <c r="T41" i="16"/>
  <c r="T56" i="16"/>
  <c r="T74" i="16"/>
  <c r="T96" i="16"/>
  <c r="T30" i="16"/>
  <c r="T42" i="16"/>
  <c r="T61" i="16"/>
  <c r="T77" i="16"/>
  <c r="T93" i="16"/>
  <c r="T112" i="16"/>
  <c r="T18" i="16"/>
  <c r="T37" i="16"/>
  <c r="T54" i="16"/>
  <c r="T71" i="16"/>
  <c r="T89" i="16"/>
  <c r="T100" i="16"/>
  <c r="T104" i="16"/>
  <c r="U315" i="1"/>
  <c r="AM113" i="27"/>
  <c r="AN113" i="27" s="1"/>
  <c r="U309" i="1"/>
  <c r="AM107" i="27"/>
  <c r="AN107" i="27" s="1"/>
  <c r="U298" i="1"/>
  <c r="AM96" i="27"/>
  <c r="AN96" i="27" s="1"/>
  <c r="U291" i="1"/>
  <c r="AM89" i="27"/>
  <c r="AN89" i="27" s="1"/>
  <c r="U286" i="1"/>
  <c r="AM84" i="27"/>
  <c r="AN84" i="27" s="1"/>
  <c r="U281" i="1"/>
  <c r="AM79" i="27"/>
  <c r="AN79" i="27" s="1"/>
  <c r="U269" i="1"/>
  <c r="AM67" i="27"/>
  <c r="AN67" i="27" s="1"/>
  <c r="U261" i="1"/>
  <c r="AM59" i="27"/>
  <c r="AN59" i="27" s="1"/>
  <c r="U256" i="1"/>
  <c r="AM54" i="27"/>
  <c r="AN54" i="27" s="1"/>
  <c r="U252" i="1"/>
  <c r="AM50" i="27"/>
  <c r="AN50" i="27" s="1"/>
  <c r="U246" i="1"/>
  <c r="AM44" i="27"/>
  <c r="AN44" i="27" s="1"/>
  <c r="U237" i="1"/>
  <c r="AM35" i="27"/>
  <c r="AN35" i="27" s="1"/>
  <c r="U231" i="1"/>
  <c r="AM29" i="27"/>
  <c r="AN29" i="27" s="1"/>
  <c r="U215" i="1"/>
  <c r="AM13" i="27"/>
  <c r="AN13" i="27" s="1"/>
  <c r="U207" i="1"/>
  <c r="AM5" i="27"/>
  <c r="AN5" i="27" s="1"/>
  <c r="U308" i="1"/>
  <c r="AM106" i="27"/>
  <c r="AN106" i="27" s="1"/>
  <c r="U304" i="1"/>
  <c r="AM102" i="27"/>
  <c r="AN102" i="27" s="1"/>
  <c r="U301" i="1"/>
  <c r="AM99" i="27"/>
  <c r="AN99" i="27" s="1"/>
  <c r="U297" i="1"/>
  <c r="AM95" i="27"/>
  <c r="AN95" i="27" s="1"/>
  <c r="U287" i="1"/>
  <c r="AM85" i="27"/>
  <c r="AN85" i="27" s="1"/>
  <c r="U283" i="1"/>
  <c r="AM81" i="27"/>
  <c r="AN81" i="27" s="1"/>
  <c r="U276" i="1"/>
  <c r="AM74" i="27"/>
  <c r="AN74" i="27" s="1"/>
  <c r="U266" i="1"/>
  <c r="AM64" i="27"/>
  <c r="AN64" i="27" s="1"/>
  <c r="U264" i="1"/>
  <c r="AM62" i="27"/>
  <c r="AN62" i="27" s="1"/>
  <c r="U260" i="1"/>
  <c r="AM58" i="27"/>
  <c r="AN58" i="27" s="1"/>
  <c r="U253" i="1"/>
  <c r="AM51" i="27"/>
  <c r="AN51" i="27" s="1"/>
  <c r="U248" i="1"/>
  <c r="AM46" i="27"/>
  <c r="AN46" i="27" s="1"/>
  <c r="U243" i="1"/>
  <c r="AM41" i="27"/>
  <c r="AN41" i="27" s="1"/>
  <c r="U234" i="1"/>
  <c r="AM32" i="27"/>
  <c r="AN32" i="27" s="1"/>
  <c r="U229" i="1"/>
  <c r="AM27" i="27"/>
  <c r="AN27" i="27" s="1"/>
  <c r="U314" i="1"/>
  <c r="AM112" i="27"/>
  <c r="AN112" i="27" s="1"/>
  <c r="U307" i="1"/>
  <c r="AM105" i="27"/>
  <c r="AN105" i="27" s="1"/>
  <c r="U289" i="1"/>
  <c r="AM87" i="27"/>
  <c r="AN87" i="27" s="1"/>
  <c r="U288" i="1"/>
  <c r="AM86" i="27"/>
  <c r="AN86" i="27" s="1"/>
  <c r="U285" i="1"/>
  <c r="AM83" i="27"/>
  <c r="AN83" i="27" s="1"/>
  <c r="U279" i="1"/>
  <c r="AM77" i="27"/>
  <c r="AN77" i="27" s="1"/>
  <c r="U278" i="1"/>
  <c r="AM76" i="27"/>
  <c r="AN76" i="27" s="1"/>
  <c r="U274" i="1"/>
  <c r="AM72" i="27"/>
  <c r="AN72" i="27" s="1"/>
  <c r="U275" i="1"/>
  <c r="AM73" i="27"/>
  <c r="AN73" i="27" s="1"/>
  <c r="U271" i="1"/>
  <c r="AM69" i="27"/>
  <c r="AN69" i="27" s="1"/>
  <c r="U262" i="1"/>
  <c r="AM60" i="27"/>
  <c r="AN60" i="27" s="1"/>
  <c r="U259" i="1"/>
  <c r="AM57" i="27"/>
  <c r="AN57" i="27" s="1"/>
  <c r="U258" i="1"/>
  <c r="AM56" i="27"/>
  <c r="AN56" i="27" s="1"/>
  <c r="U251" i="1"/>
  <c r="AM49" i="27"/>
  <c r="AN49" i="27" s="1"/>
  <c r="U247" i="1"/>
  <c r="AM45" i="27"/>
  <c r="AN45" i="27" s="1"/>
  <c r="U241" i="1"/>
  <c r="AM39" i="27"/>
  <c r="AN39" i="27" s="1"/>
  <c r="U238" i="1"/>
  <c r="AM36" i="27"/>
  <c r="AN36" i="27" s="1"/>
  <c r="U235" i="1"/>
  <c r="AM33" i="27"/>
  <c r="AN33" i="27" s="1"/>
  <c r="U228" i="1"/>
  <c r="AM26" i="27"/>
  <c r="AN26" i="27" s="1"/>
  <c r="U223" i="1"/>
  <c r="AM21" i="27"/>
  <c r="AN21" i="27" s="1"/>
  <c r="U220" i="1"/>
  <c r="AM18" i="27"/>
  <c r="AN18" i="27" s="1"/>
  <c r="U213" i="1"/>
  <c r="AM11" i="27"/>
  <c r="AN11" i="27" s="1"/>
  <c r="U211" i="1"/>
  <c r="AM9" i="27"/>
  <c r="AN9" i="27" s="1"/>
  <c r="U209" i="1"/>
  <c r="AM7" i="27"/>
  <c r="AN7" i="27" s="1"/>
  <c r="U206" i="1"/>
  <c r="AM4" i="27"/>
  <c r="AN4" i="27" s="1"/>
  <c r="U311" i="1"/>
  <c r="AM109" i="27"/>
  <c r="AN109" i="27" s="1"/>
  <c r="U303" i="1"/>
  <c r="AM101" i="27"/>
  <c r="AN101" i="27" s="1"/>
  <c r="U295" i="1"/>
  <c r="AM93" i="27"/>
  <c r="AN93" i="27" s="1"/>
  <c r="U284" i="1"/>
  <c r="AM82" i="27"/>
  <c r="AN82" i="27" s="1"/>
  <c r="U277" i="1"/>
  <c r="AM75" i="27"/>
  <c r="AN75" i="27" s="1"/>
  <c r="U267" i="1"/>
  <c r="AM65" i="27"/>
  <c r="AN65" i="27" s="1"/>
  <c r="U249" i="1"/>
  <c r="AM47" i="27"/>
  <c r="AN47" i="27" s="1"/>
  <c r="U233" i="1"/>
  <c r="AM31" i="27"/>
  <c r="AN31" i="27" s="1"/>
  <c r="U226" i="1"/>
  <c r="AM24" i="27"/>
  <c r="AN24" i="27" s="1"/>
  <c r="U219" i="1"/>
  <c r="AM17" i="27"/>
  <c r="AN17" i="27" s="1"/>
  <c r="U217" i="1"/>
  <c r="AM15" i="27"/>
  <c r="AN15" i="27" s="1"/>
  <c r="U312" i="1"/>
  <c r="AM110" i="27"/>
  <c r="AN110" i="27" s="1"/>
  <c r="U306" i="1"/>
  <c r="AM104" i="27"/>
  <c r="AN104" i="27" s="1"/>
  <c r="U300" i="1"/>
  <c r="AM98" i="27"/>
  <c r="AN98" i="27" s="1"/>
  <c r="U299" i="1"/>
  <c r="AM97" i="27"/>
  <c r="AN97" i="27" s="1"/>
  <c r="U293" i="1"/>
  <c r="AM91" i="27"/>
  <c r="AN91" i="27" s="1"/>
  <c r="U282" i="1"/>
  <c r="AM80" i="27"/>
  <c r="AN80" i="27" s="1"/>
  <c r="U270" i="1"/>
  <c r="AM68" i="27"/>
  <c r="AN68" i="27" s="1"/>
  <c r="U265" i="1"/>
  <c r="AM63" i="27"/>
  <c r="AN63" i="27" s="1"/>
  <c r="U250" i="1"/>
  <c r="AM48" i="27"/>
  <c r="AN48" i="27" s="1"/>
  <c r="U239" i="1"/>
  <c r="AM37" i="27"/>
  <c r="AN37" i="27" s="1"/>
  <c r="U232" i="1"/>
  <c r="AM30" i="27"/>
  <c r="AN30" i="27" s="1"/>
  <c r="U225" i="1"/>
  <c r="AM23" i="27"/>
  <c r="AN23" i="27" s="1"/>
  <c r="U216" i="1"/>
  <c r="AM14" i="27"/>
  <c r="AN14" i="27" s="1"/>
  <c r="U210" i="1"/>
  <c r="AM8" i="27"/>
  <c r="AN8" i="27" s="1"/>
  <c r="U313" i="1"/>
  <c r="AM111" i="27"/>
  <c r="AN111" i="27" s="1"/>
  <c r="U310" i="1"/>
  <c r="AM108" i="27"/>
  <c r="AN108" i="27" s="1"/>
  <c r="U305" i="1"/>
  <c r="AM103" i="27"/>
  <c r="AN103" i="27" s="1"/>
  <c r="U302" i="1"/>
  <c r="AM100" i="27"/>
  <c r="AN100" i="27" s="1"/>
  <c r="U296" i="1"/>
  <c r="AM94" i="27"/>
  <c r="AN94" i="27" s="1"/>
  <c r="U294" i="1"/>
  <c r="AM92" i="27"/>
  <c r="AN92" i="27" s="1"/>
  <c r="U292" i="1"/>
  <c r="AM90" i="27"/>
  <c r="AN90" i="27" s="1"/>
  <c r="U290" i="1"/>
  <c r="AM88" i="27"/>
  <c r="AN88" i="27" s="1"/>
  <c r="U280" i="1"/>
  <c r="AM78" i="27"/>
  <c r="AN78" i="27" s="1"/>
  <c r="U273" i="1"/>
  <c r="AM71" i="27"/>
  <c r="AN71" i="27" s="1"/>
  <c r="U272" i="1"/>
  <c r="AM70" i="27"/>
  <c r="AN70" i="27" s="1"/>
  <c r="U268" i="1"/>
  <c r="AM66" i="27"/>
  <c r="AN66" i="27" s="1"/>
  <c r="U263" i="1"/>
  <c r="AM61" i="27"/>
  <c r="AN61" i="27" s="1"/>
  <c r="U257" i="1"/>
  <c r="AM55" i="27"/>
  <c r="AN55" i="27" s="1"/>
  <c r="U255" i="1"/>
  <c r="AM53" i="27"/>
  <c r="AN53" i="27" s="1"/>
  <c r="U254" i="1"/>
  <c r="AM52" i="27"/>
  <c r="AN52" i="27" s="1"/>
  <c r="U245" i="1"/>
  <c r="AM43" i="27"/>
  <c r="AN43" i="27" s="1"/>
  <c r="U244" i="1"/>
  <c r="AM42" i="27"/>
  <c r="AN42" i="27" s="1"/>
  <c r="U242" i="1"/>
  <c r="AM40" i="27"/>
  <c r="AN40" i="27" s="1"/>
  <c r="U240" i="1"/>
  <c r="AM38" i="27"/>
  <c r="AN38" i="27" s="1"/>
  <c r="U236" i="1"/>
  <c r="AM34" i="27"/>
  <c r="AN34" i="27" s="1"/>
  <c r="U230" i="1"/>
  <c r="AM28" i="27"/>
  <c r="AN28" i="27" s="1"/>
  <c r="U227" i="1"/>
  <c r="AM25" i="27"/>
  <c r="AN25" i="27" s="1"/>
  <c r="U224" i="1"/>
  <c r="AM22" i="27"/>
  <c r="AN22" i="27" s="1"/>
  <c r="U222" i="1"/>
  <c r="AM20" i="27"/>
  <c r="AN20" i="27" s="1"/>
  <c r="U221" i="1"/>
  <c r="AM19" i="27"/>
  <c r="AN19" i="27" s="1"/>
  <c r="U218" i="1"/>
  <c r="AM16" i="27"/>
  <c r="AN16" i="27" s="1"/>
  <c r="U214" i="1"/>
  <c r="AM12" i="27"/>
  <c r="AN12" i="27" s="1"/>
  <c r="U212" i="1"/>
  <c r="AM10" i="27"/>
  <c r="AN10" i="27" s="1"/>
  <c r="U208" i="1"/>
  <c r="AM6" i="27"/>
  <c r="AN6" i="27" s="1"/>
  <c r="U205" i="1"/>
  <c r="AM3" i="27"/>
  <c r="AN3" i="27" s="1"/>
  <c r="J2" i="24"/>
  <c r="U165" i="1"/>
  <c r="S110" i="16" s="1"/>
  <c r="U168" i="1"/>
  <c r="S113" i="16" s="1"/>
  <c r="U87" i="1"/>
  <c r="L89" i="3"/>
  <c r="L77" i="3"/>
  <c r="L62" i="3"/>
  <c r="L50" i="3"/>
  <c r="L180" i="3"/>
  <c r="F180" i="3"/>
  <c r="J81" i="3"/>
  <c r="J35" i="3"/>
  <c r="J171" i="3"/>
  <c r="J126" i="3"/>
  <c r="J153" i="3"/>
  <c r="J28" i="3"/>
  <c r="J140" i="3"/>
  <c r="J100" i="3"/>
  <c r="J74" i="3"/>
  <c r="J30" i="3"/>
  <c r="J128" i="3"/>
  <c r="J26" i="3"/>
  <c r="J118" i="3"/>
  <c r="J43" i="3"/>
  <c r="J15" i="3"/>
  <c r="J170" i="3"/>
  <c r="J72" i="3"/>
  <c r="J161" i="3"/>
  <c r="J18" i="3"/>
  <c r="J96" i="3"/>
  <c r="J7" i="3"/>
  <c r="J150" i="3"/>
  <c r="J10" i="3"/>
  <c r="J84" i="3"/>
  <c r="J55" i="3"/>
  <c r="J8" i="3"/>
  <c r="J129" i="3"/>
  <c r="J156" i="3"/>
  <c r="J19" i="3"/>
  <c r="J110" i="3"/>
  <c r="J17" i="3"/>
  <c r="J134" i="3"/>
  <c r="J177" i="3"/>
  <c r="J41" i="3"/>
  <c r="J36" i="3"/>
  <c r="J155" i="3"/>
  <c r="J70" i="3"/>
  <c r="J160" i="3"/>
  <c r="J22" i="3"/>
  <c r="J65" i="3"/>
  <c r="J175" i="3"/>
  <c r="J46" i="3"/>
  <c r="J73" i="3"/>
  <c r="J143" i="3"/>
  <c r="J34" i="3"/>
  <c r="J38" i="3"/>
  <c r="J162" i="3"/>
  <c r="J165" i="3"/>
  <c r="J64" i="3"/>
  <c r="J33" i="3"/>
  <c r="J164" i="3"/>
  <c r="J152" i="3"/>
  <c r="J174" i="3"/>
  <c r="J179" i="3"/>
  <c r="J158" i="3"/>
  <c r="J93" i="3"/>
  <c r="J167" i="3"/>
  <c r="J21" i="3"/>
  <c r="J51" i="3"/>
  <c r="J157" i="3"/>
  <c r="J166" i="3"/>
  <c r="J12" i="3"/>
  <c r="J135" i="3"/>
  <c r="J52" i="3"/>
  <c r="J11" i="3"/>
  <c r="J172" i="3"/>
  <c r="J61" i="3"/>
  <c r="J178" i="3"/>
  <c r="J91" i="3"/>
  <c r="J147" i="3"/>
  <c r="J29" i="3"/>
  <c r="J104" i="3"/>
  <c r="J95" i="3"/>
  <c r="J63" i="3"/>
  <c r="J80" i="3"/>
  <c r="J82" i="3"/>
  <c r="J86" i="3"/>
  <c r="J159" i="3"/>
  <c r="J114" i="3"/>
  <c r="J119" i="3"/>
  <c r="J127" i="3"/>
  <c r="J47" i="3"/>
  <c r="J113" i="3"/>
  <c r="J116" i="3"/>
  <c r="J49" i="3"/>
  <c r="J25" i="3"/>
  <c r="J53" i="3"/>
  <c r="J125" i="3"/>
  <c r="J145" i="3"/>
  <c r="J124" i="3"/>
  <c r="J16" i="3"/>
  <c r="J60" i="3"/>
  <c r="J121" i="3"/>
  <c r="J137" i="3"/>
  <c r="J57" i="3"/>
  <c r="J146" i="3"/>
  <c r="J45" i="3"/>
  <c r="J13" i="3"/>
  <c r="J83" i="3"/>
  <c r="J180" i="3"/>
  <c r="J87" i="3"/>
  <c r="J92" i="3"/>
  <c r="J142" i="3"/>
  <c r="J154" i="3"/>
  <c r="J115" i="3"/>
  <c r="J141" i="3"/>
  <c r="J31" i="3"/>
  <c r="J94" i="3"/>
  <c r="J111" i="3"/>
  <c r="J122" i="3"/>
  <c r="J9" i="3"/>
  <c r="J66" i="3"/>
  <c r="J109" i="3"/>
  <c r="J101" i="3"/>
  <c r="J148" i="3"/>
  <c r="J98" i="3"/>
  <c r="J54" i="3"/>
  <c r="J23" i="3"/>
  <c r="J130" i="3"/>
  <c r="J144" i="3"/>
  <c r="J88" i="3"/>
  <c r="J71" i="3"/>
  <c r="J58" i="3"/>
  <c r="J173" i="3"/>
  <c r="J123" i="3"/>
  <c r="J37" i="3"/>
  <c r="J105" i="3"/>
  <c r="J112" i="3"/>
  <c r="J85" i="3"/>
  <c r="J39" i="3"/>
  <c r="J117" i="3"/>
  <c r="J99" i="3"/>
  <c r="J163" i="3"/>
  <c r="J78" i="3"/>
  <c r="J97" i="3"/>
  <c r="J40" i="3"/>
  <c r="J133" i="3"/>
  <c r="J102" i="3"/>
  <c r="J56" i="3"/>
  <c r="J68" i="3"/>
  <c r="J103" i="3"/>
  <c r="J24" i="3"/>
  <c r="J42" i="3"/>
  <c r="J176" i="3"/>
  <c r="J67" i="3"/>
  <c r="J44" i="3"/>
  <c r="J79" i="3"/>
  <c r="J69" i="3"/>
  <c r="J131" i="3"/>
  <c r="J132" i="3"/>
  <c r="AD319" i="1"/>
  <c r="A181" i="3"/>
  <c r="J16" i="1"/>
  <c r="I18" i="1"/>
  <c r="AA194" i="1"/>
  <c r="AA192" i="1"/>
  <c r="AA175" i="1"/>
  <c r="AA182" i="1"/>
  <c r="AA176" i="1"/>
  <c r="AA173" i="1"/>
  <c r="AA174" i="1"/>
  <c r="AA193" i="1"/>
  <c r="AA188" i="1"/>
  <c r="AA185" i="1"/>
  <c r="AA184" i="1"/>
  <c r="AA180" i="1"/>
  <c r="AA179" i="1"/>
  <c r="AA195" i="1"/>
  <c r="AA191" i="1"/>
  <c r="AA189" i="1"/>
  <c r="AA181" i="1"/>
  <c r="E26" i="3"/>
  <c r="AA172" i="1"/>
  <c r="AA190" i="1"/>
  <c r="AA187" i="1"/>
  <c r="AA186" i="1"/>
  <c r="AA183" i="1"/>
  <c r="AA178" i="1"/>
  <c r="AA177" i="1"/>
  <c r="AA312" i="1"/>
  <c r="AA311" i="1"/>
  <c r="AA306" i="1"/>
  <c r="AA303" i="1"/>
  <c r="AA300" i="1"/>
  <c r="AA299" i="1"/>
  <c r="AA295" i="1"/>
  <c r="AA293" i="1"/>
  <c r="AA284" i="1"/>
  <c r="AA282" i="1"/>
  <c r="AA277" i="1"/>
  <c r="AA270" i="1"/>
  <c r="AA267" i="1"/>
  <c r="AA265" i="1"/>
  <c r="AA249" i="1"/>
  <c r="AA250" i="1"/>
  <c r="AA239" i="1"/>
  <c r="AA233" i="1"/>
  <c r="AA232" i="1"/>
  <c r="AA226" i="1"/>
  <c r="AA225" i="1"/>
  <c r="AA219" i="1"/>
  <c r="AA216" i="1"/>
  <c r="AA217" i="1"/>
  <c r="AA210" i="1"/>
  <c r="AA313" i="1"/>
  <c r="AA310" i="1"/>
  <c r="AA305" i="1"/>
  <c r="AA302" i="1"/>
  <c r="AA296" i="1"/>
  <c r="AA294" i="1"/>
  <c r="AA292" i="1"/>
  <c r="AA290" i="1"/>
  <c r="AA280" i="1"/>
  <c r="AA273" i="1"/>
  <c r="AA272" i="1"/>
  <c r="AA268" i="1"/>
  <c r="AA263" i="1"/>
  <c r="AA257" i="1"/>
  <c r="AA255" i="1"/>
  <c r="AA254" i="1"/>
  <c r="AA245" i="1"/>
  <c r="AA244" i="1"/>
  <c r="AA242" i="1"/>
  <c r="AA240" i="1"/>
  <c r="AA236" i="1"/>
  <c r="AA230" i="1"/>
  <c r="AA227" i="1"/>
  <c r="AA224" i="1"/>
  <c r="AA222" i="1"/>
  <c r="AA221" i="1"/>
  <c r="AA218" i="1"/>
  <c r="AA214" i="1"/>
  <c r="AA212" i="1"/>
  <c r="AA208" i="1"/>
  <c r="AA205" i="1"/>
  <c r="AA203" i="1"/>
  <c r="AA198" i="1"/>
  <c r="AA197" i="1"/>
  <c r="AA315" i="1"/>
  <c r="AA308" i="1"/>
  <c r="AA309" i="1"/>
  <c r="AA304" i="1"/>
  <c r="AA301" i="1"/>
  <c r="AA298" i="1"/>
  <c r="AA297" i="1"/>
  <c r="AA291" i="1"/>
  <c r="AA287" i="1"/>
  <c r="AA286" i="1"/>
  <c r="AA283" i="1"/>
  <c r="AA281" i="1"/>
  <c r="AA276" i="1"/>
  <c r="AA269" i="1"/>
  <c r="AA266" i="1"/>
  <c r="AA264" i="1"/>
  <c r="AA261" i="1"/>
  <c r="AA260" i="1"/>
  <c r="AA256" i="1"/>
  <c r="AA253" i="1"/>
  <c r="AA252" i="1"/>
  <c r="AA248" i="1"/>
  <c r="AA246" i="1"/>
  <c r="AA243" i="1"/>
  <c r="AA237" i="1"/>
  <c r="AA234" i="1"/>
  <c r="AA231" i="1"/>
  <c r="AA229" i="1"/>
  <c r="AA215" i="1"/>
  <c r="AA207" i="1"/>
  <c r="AA202" i="1"/>
  <c r="AA200" i="1"/>
  <c r="AA314" i="1"/>
  <c r="AA307" i="1"/>
  <c r="AA289" i="1"/>
  <c r="AA288" i="1"/>
  <c r="AA285" i="1"/>
  <c r="AA279" i="1"/>
  <c r="AA278" i="1"/>
  <c r="AA274" i="1"/>
  <c r="AA275" i="1"/>
  <c r="AA271" i="1"/>
  <c r="AA262" i="1"/>
  <c r="AA259" i="1"/>
  <c r="AA258" i="1"/>
  <c r="AA251" i="1"/>
  <c r="AA247" i="1"/>
  <c r="AA241" i="1"/>
  <c r="AA238" i="1"/>
  <c r="AA235" i="1"/>
  <c r="AA228" i="1"/>
  <c r="AA223" i="1"/>
  <c r="AA220" i="1"/>
  <c r="AA213" i="1"/>
  <c r="AA211" i="1"/>
  <c r="AA209" i="1"/>
  <c r="AA206" i="1"/>
  <c r="AA204" i="1"/>
  <c r="AA201" i="1"/>
  <c r="AA199" i="1"/>
  <c r="AA196" i="1"/>
  <c r="T65" i="16" l="1"/>
  <c r="S32" i="16"/>
  <c r="AD2" i="16"/>
  <c r="T113" i="16"/>
  <c r="AC3" i="27"/>
  <c r="AD3" i="27" s="1"/>
  <c r="AC10" i="27"/>
  <c r="AD10" i="27" s="1"/>
  <c r="AC16" i="27"/>
  <c r="AD16" i="27" s="1"/>
  <c r="AC20" i="27"/>
  <c r="AD20" i="27" s="1"/>
  <c r="AC25" i="27"/>
  <c r="AD25" i="27" s="1"/>
  <c r="AC34" i="27"/>
  <c r="AD34" i="27" s="1"/>
  <c r="AC40" i="27"/>
  <c r="AD40" i="27" s="1"/>
  <c r="AC43" i="27"/>
  <c r="AD43" i="27" s="1"/>
  <c r="AC53" i="27"/>
  <c r="AD53" i="27" s="1"/>
  <c r="AC61" i="27"/>
  <c r="AD61" i="27" s="1"/>
  <c r="AC70" i="27"/>
  <c r="AD70" i="27" s="1"/>
  <c r="AC78" i="27"/>
  <c r="AD78" i="27" s="1"/>
  <c r="AC90" i="27"/>
  <c r="AD90" i="27" s="1"/>
  <c r="AC94" i="27"/>
  <c r="AD94" i="27" s="1"/>
  <c r="AC103" i="27"/>
  <c r="AD103" i="27" s="1"/>
  <c r="AC111" i="27"/>
  <c r="AD111" i="27" s="1"/>
  <c r="AC14" i="27"/>
  <c r="AD14" i="27" s="1"/>
  <c r="AC30" i="27"/>
  <c r="AD30" i="27" s="1"/>
  <c r="AC48" i="27"/>
  <c r="AD48" i="27" s="1"/>
  <c r="AC68" i="27"/>
  <c r="AD68" i="27" s="1"/>
  <c r="AC91" i="27"/>
  <c r="AD91" i="27" s="1"/>
  <c r="AC98" i="27"/>
  <c r="AD98" i="27" s="1"/>
  <c r="AC110" i="27"/>
  <c r="AD110" i="27" s="1"/>
  <c r="AC17" i="27"/>
  <c r="AD17" i="27" s="1"/>
  <c r="AC31" i="27"/>
  <c r="AD31" i="27" s="1"/>
  <c r="AC65" i="27"/>
  <c r="AD65" i="27" s="1"/>
  <c r="AC82" i="27"/>
  <c r="AD82" i="27" s="1"/>
  <c r="AC101" i="27"/>
  <c r="AD101" i="27" s="1"/>
  <c r="AC4" i="27"/>
  <c r="AD4" i="27" s="1"/>
  <c r="AC9" i="27"/>
  <c r="AD9" i="27" s="1"/>
  <c r="AC18" i="27"/>
  <c r="AD18" i="27" s="1"/>
  <c r="AC26" i="27"/>
  <c r="AD26" i="27" s="1"/>
  <c r="AC36" i="27"/>
  <c r="AD36" i="27" s="1"/>
  <c r="AC45" i="27"/>
  <c r="AD45" i="27" s="1"/>
  <c r="AC56" i="27"/>
  <c r="AD56" i="27" s="1"/>
  <c r="AC60" i="27"/>
  <c r="AD60" i="27" s="1"/>
  <c r="AC73" i="27"/>
  <c r="AD73" i="27" s="1"/>
  <c r="AC76" i="27"/>
  <c r="AD76" i="27" s="1"/>
  <c r="AC83" i="27"/>
  <c r="AD83" i="27" s="1"/>
  <c r="AC87" i="27"/>
  <c r="AD87" i="27" s="1"/>
  <c r="AC112" i="27"/>
  <c r="AD112" i="27" s="1"/>
  <c r="AC32" i="27"/>
  <c r="AD32" i="27" s="1"/>
  <c r="AC46" i="27"/>
  <c r="AD46" i="27" s="1"/>
  <c r="AC58" i="27"/>
  <c r="AD58" i="27" s="1"/>
  <c r="AC64" i="27"/>
  <c r="AD64" i="27" s="1"/>
  <c r="AC81" i="27"/>
  <c r="AD81" i="27" s="1"/>
  <c r="AC95" i="27"/>
  <c r="AD95" i="27" s="1"/>
  <c r="AC102" i="27"/>
  <c r="AD102" i="27" s="1"/>
  <c r="AC5" i="27"/>
  <c r="AD5" i="27" s="1"/>
  <c r="AC29" i="27"/>
  <c r="AD29" i="27" s="1"/>
  <c r="AC44" i="27"/>
  <c r="AD44" i="27" s="1"/>
  <c r="AC54" i="27"/>
  <c r="AD54" i="27" s="1"/>
  <c r="AC67" i="27"/>
  <c r="AD67" i="27" s="1"/>
  <c r="AC84" i="27"/>
  <c r="AD84" i="27" s="1"/>
  <c r="AC96" i="27"/>
  <c r="AD96" i="27" s="1"/>
  <c r="AC113" i="27"/>
  <c r="AD113" i="27" s="1"/>
  <c r="N9" i="3"/>
  <c r="T110" i="16"/>
  <c r="T32" i="16"/>
  <c r="AC6" i="27"/>
  <c r="AD6" i="27" s="1"/>
  <c r="AC12" i="27"/>
  <c r="AD12" i="27" s="1"/>
  <c r="AC19" i="27"/>
  <c r="AD19" i="27" s="1"/>
  <c r="AC22" i="27"/>
  <c r="AD22" i="27" s="1"/>
  <c r="AC28" i="27"/>
  <c r="AD28" i="27" s="1"/>
  <c r="AC38" i="27"/>
  <c r="AD38" i="27" s="1"/>
  <c r="AC42" i="27"/>
  <c r="AD42" i="27" s="1"/>
  <c r="AC52" i="27"/>
  <c r="AD52" i="27" s="1"/>
  <c r="AC55" i="27"/>
  <c r="AD55" i="27" s="1"/>
  <c r="AC66" i="27"/>
  <c r="AD66" i="27" s="1"/>
  <c r="AC71" i="27"/>
  <c r="AD71" i="27" s="1"/>
  <c r="AC88" i="27"/>
  <c r="AD88" i="27" s="1"/>
  <c r="AC92" i="27"/>
  <c r="AD92" i="27" s="1"/>
  <c r="AC100" i="27"/>
  <c r="AD100" i="27" s="1"/>
  <c r="AC108" i="27"/>
  <c r="AD108" i="27" s="1"/>
  <c r="AC8" i="27"/>
  <c r="AD8" i="27" s="1"/>
  <c r="AC23" i="27"/>
  <c r="AD23" i="27" s="1"/>
  <c r="AC37" i="27"/>
  <c r="AD37" i="27" s="1"/>
  <c r="AC63" i="27"/>
  <c r="AD63" i="27" s="1"/>
  <c r="AC80" i="27"/>
  <c r="AD80" i="27" s="1"/>
  <c r="AC97" i="27"/>
  <c r="AD97" i="27" s="1"/>
  <c r="AC104" i="27"/>
  <c r="AD104" i="27" s="1"/>
  <c r="AC15" i="27"/>
  <c r="AD15" i="27" s="1"/>
  <c r="AC24" i="27"/>
  <c r="AD24" i="27" s="1"/>
  <c r="AC47" i="27"/>
  <c r="AD47" i="27" s="1"/>
  <c r="AC75" i="27"/>
  <c r="AD75" i="27" s="1"/>
  <c r="AC93" i="27"/>
  <c r="AD93" i="27" s="1"/>
  <c r="AC109" i="27"/>
  <c r="AD109" i="27" s="1"/>
  <c r="AC7" i="27"/>
  <c r="AD7" i="27" s="1"/>
  <c r="AC11" i="27"/>
  <c r="AD11" i="27" s="1"/>
  <c r="AC21" i="27"/>
  <c r="AD21" i="27" s="1"/>
  <c r="AC33" i="27"/>
  <c r="AD33" i="27" s="1"/>
  <c r="AC39" i="27"/>
  <c r="AD39" i="27" s="1"/>
  <c r="AC49" i="27"/>
  <c r="AD49" i="27" s="1"/>
  <c r="AC57" i="27"/>
  <c r="AD57" i="27" s="1"/>
  <c r="AC69" i="27"/>
  <c r="AD69" i="27" s="1"/>
  <c r="AC72" i="27"/>
  <c r="AD72" i="27" s="1"/>
  <c r="AC77" i="27"/>
  <c r="AD77" i="27" s="1"/>
  <c r="AC86" i="27"/>
  <c r="AD86" i="27" s="1"/>
  <c r="AC105" i="27"/>
  <c r="AD105" i="27" s="1"/>
  <c r="AC27" i="27"/>
  <c r="AD27" i="27" s="1"/>
  <c r="AC41" i="27"/>
  <c r="AD41" i="27" s="1"/>
  <c r="AC51" i="27"/>
  <c r="AD51" i="27" s="1"/>
  <c r="AC62" i="27"/>
  <c r="AD62" i="27" s="1"/>
  <c r="AC74" i="27"/>
  <c r="AD74" i="27" s="1"/>
  <c r="AC85" i="27"/>
  <c r="AD85" i="27" s="1"/>
  <c r="AC99" i="27"/>
  <c r="AD99" i="27" s="1"/>
  <c r="AC106" i="27"/>
  <c r="AD106" i="27" s="1"/>
  <c r="AC13" i="27"/>
  <c r="AD13" i="27" s="1"/>
  <c r="AC35" i="27"/>
  <c r="AD35" i="27" s="1"/>
  <c r="AC50" i="27"/>
  <c r="AD50" i="27" s="1"/>
  <c r="AC59" i="27"/>
  <c r="AD59" i="27" s="1"/>
  <c r="AC79" i="27"/>
  <c r="AD79" i="27" s="1"/>
  <c r="AC89" i="27"/>
  <c r="AD89" i="27" s="1"/>
  <c r="AC107" i="27"/>
  <c r="AD107" i="27" s="1"/>
  <c r="N8" i="3"/>
  <c r="I16" i="1"/>
  <c r="AN2" i="27"/>
  <c r="L32" i="3"/>
  <c r="L20" i="3"/>
  <c r="L181" i="3"/>
  <c r="D102" i="3"/>
  <c r="D97" i="3"/>
  <c r="D58" i="3"/>
  <c r="D49" i="3"/>
  <c r="D89" i="3"/>
  <c r="D67" i="3"/>
  <c r="D40" i="3"/>
  <c r="D174" i="3"/>
  <c r="D73" i="3"/>
  <c r="D68" i="3"/>
  <c r="D29" i="3"/>
  <c r="D19" i="3"/>
  <c r="D153" i="3"/>
  <c r="D142" i="3"/>
  <c r="D14" i="3"/>
  <c r="D9" i="3"/>
  <c r="D126" i="3"/>
  <c r="D144" i="3"/>
  <c r="D78" i="3"/>
  <c r="D54" i="3"/>
  <c r="D44" i="3"/>
  <c r="D139" i="3"/>
  <c r="D123" i="3"/>
  <c r="D175" i="3"/>
  <c r="D113" i="3"/>
  <c r="D147" i="3"/>
  <c r="D64" i="3"/>
  <c r="D99" i="3"/>
  <c r="D8" i="3"/>
  <c r="D148" i="3"/>
  <c r="D143" i="3"/>
  <c r="D104" i="3"/>
  <c r="D27" i="3"/>
  <c r="D95" i="3"/>
  <c r="D134" i="3"/>
  <c r="D124" i="3"/>
  <c r="D118" i="3"/>
  <c r="D168" i="3"/>
  <c r="D163" i="3"/>
  <c r="D18" i="3"/>
  <c r="D70" i="3"/>
  <c r="D131" i="3"/>
  <c r="D125" i="3"/>
  <c r="D116" i="3"/>
  <c r="D63" i="3"/>
  <c r="D181" i="3"/>
  <c r="D176" i="3"/>
  <c r="D48" i="3"/>
  <c r="D37" i="3"/>
  <c r="D28" i="3"/>
  <c r="D145" i="3"/>
  <c r="D88" i="3"/>
  <c r="D149" i="3"/>
  <c r="D32" i="3"/>
  <c r="D82" i="3"/>
  <c r="D71" i="3"/>
  <c r="D42" i="3"/>
  <c r="D160" i="3"/>
  <c r="D155" i="3"/>
  <c r="D38" i="3"/>
  <c r="D101" i="3"/>
  <c r="D96" i="3"/>
  <c r="D86" i="3"/>
  <c r="D13" i="3"/>
  <c r="D158" i="3"/>
  <c r="D34" i="3"/>
  <c r="D152" i="3"/>
  <c r="D146" i="3"/>
  <c r="D69" i="3"/>
  <c r="D132" i="3"/>
  <c r="D166" i="3"/>
  <c r="D41" i="3"/>
  <c r="D120" i="3"/>
  <c r="D136" i="3"/>
  <c r="D53" i="3"/>
  <c r="D170" i="3"/>
  <c r="D92" i="3"/>
  <c r="D114" i="3"/>
  <c r="D109" i="3"/>
  <c r="D98" i="3"/>
  <c r="D93" i="3"/>
  <c r="D55" i="3"/>
  <c r="D50" i="3"/>
  <c r="D85" i="3"/>
  <c r="D137" i="3"/>
  <c r="D23" i="3"/>
  <c r="D12" i="3"/>
  <c r="D106" i="3"/>
  <c r="D157" i="3"/>
  <c r="D74" i="3"/>
  <c r="D62" i="3"/>
  <c r="D91" i="3"/>
  <c r="D84" i="3"/>
  <c r="D79" i="3"/>
  <c r="D52" i="3"/>
  <c r="D47" i="3"/>
  <c r="D164" i="3"/>
  <c r="D177" i="3"/>
  <c r="D172" i="3"/>
  <c r="D94" i="3"/>
  <c r="D162" i="3"/>
  <c r="D110" i="3"/>
  <c r="D10" i="3"/>
  <c r="D72" i="3"/>
  <c r="D56" i="3"/>
  <c r="D108" i="3"/>
  <c r="D127" i="3"/>
  <c r="D167" i="3"/>
  <c r="D60" i="3"/>
  <c r="D122" i="3"/>
  <c r="D117" i="3"/>
  <c r="D77" i="3"/>
  <c r="D11" i="3"/>
  <c r="D129" i="3"/>
  <c r="D178" i="3"/>
  <c r="D173" i="3"/>
  <c r="D33" i="3"/>
  <c r="D151" i="3"/>
  <c r="D22" i="3"/>
  <c r="D17" i="3"/>
  <c r="D135" i="3"/>
  <c r="D83" i="3"/>
  <c r="D141" i="3"/>
  <c r="D130" i="3"/>
  <c r="D180" i="3"/>
  <c r="D35" i="3"/>
  <c r="D30" i="3"/>
  <c r="D15" i="3"/>
  <c r="D165" i="3"/>
  <c r="D133" i="3"/>
  <c r="D121" i="3"/>
  <c r="D43" i="3"/>
  <c r="D112" i="3"/>
  <c r="D161" i="3"/>
  <c r="D21" i="3"/>
  <c r="D100" i="3"/>
  <c r="D16" i="3"/>
  <c r="D119" i="3"/>
  <c r="D103" i="3"/>
  <c r="D24" i="3"/>
  <c r="D75" i="3"/>
  <c r="D66" i="3"/>
  <c r="D59" i="3"/>
  <c r="D31" i="3"/>
  <c r="D25" i="3"/>
  <c r="D20" i="3"/>
  <c r="D138" i="3"/>
  <c r="D156" i="3"/>
  <c r="D90" i="3"/>
  <c r="D7" i="3"/>
  <c r="D45" i="3"/>
  <c r="D36" i="3"/>
  <c r="D169" i="3"/>
  <c r="D154" i="3"/>
  <c r="D80" i="3"/>
  <c r="D159" i="3"/>
  <c r="D81" i="3"/>
  <c r="D76" i="3"/>
  <c r="D61" i="3"/>
  <c r="D111" i="3"/>
  <c r="D179" i="3"/>
  <c r="D105" i="3"/>
  <c r="D140" i="3"/>
  <c r="D57" i="3"/>
  <c r="D51" i="3"/>
  <c r="D115" i="3"/>
  <c r="AD28" i="1"/>
  <c r="J108" i="3" s="1"/>
  <c r="D87" i="3"/>
  <c r="AD43" i="1"/>
  <c r="AD143" i="1"/>
  <c r="AD80" i="1"/>
  <c r="AD132" i="1"/>
  <c r="AD85" i="1"/>
  <c r="AD151" i="1"/>
  <c r="AD75" i="1"/>
  <c r="AD149" i="1"/>
  <c r="AD31" i="1"/>
  <c r="D150" i="3"/>
  <c r="AD155" i="1"/>
  <c r="AD86" i="1"/>
  <c r="AD142" i="1"/>
  <c r="AD63" i="1"/>
  <c r="AD137" i="1"/>
  <c r="AD100" i="1"/>
  <c r="AD154" i="1"/>
  <c r="AD114" i="1"/>
  <c r="AD72" i="1"/>
  <c r="AD30" i="1"/>
  <c r="J169" i="3" s="1"/>
  <c r="D128" i="3"/>
  <c r="AD47" i="1"/>
  <c r="AD146" i="1"/>
  <c r="AD101" i="1"/>
  <c r="AD127" i="1"/>
  <c r="AD81" i="1"/>
  <c r="AD115" i="1"/>
  <c r="AD161" i="1"/>
  <c r="AD33" i="1"/>
  <c r="AD153" i="1"/>
  <c r="AD105" i="1"/>
  <c r="AD139" i="1"/>
  <c r="AD52" i="1"/>
  <c r="AD118" i="1"/>
  <c r="AD64" i="1"/>
  <c r="AD119" i="1"/>
  <c r="AD79" i="1"/>
  <c r="AD46" i="1"/>
  <c r="AD41" i="1"/>
  <c r="AD135" i="1"/>
  <c r="AD73" i="1"/>
  <c r="AD116" i="1"/>
  <c r="AD68" i="1"/>
  <c r="AD134" i="1"/>
  <c r="AD53" i="1"/>
  <c r="AD140" i="1"/>
  <c r="AD34" i="1"/>
  <c r="AD144" i="1"/>
  <c r="AD168" i="1"/>
  <c r="AD138" i="1"/>
  <c r="AD57" i="1"/>
  <c r="AD130" i="1"/>
  <c r="AD83" i="1"/>
  <c r="AD150" i="1"/>
  <c r="AD106" i="1"/>
  <c r="AD67" i="1"/>
  <c r="AD45" i="1"/>
  <c r="AD42" i="1"/>
  <c r="AD136" i="1"/>
  <c r="AD78" i="1"/>
  <c r="AD113" i="1"/>
  <c r="AD69" i="1"/>
  <c r="AD89" i="1"/>
  <c r="AD141" i="1"/>
  <c r="AD25" i="1"/>
  <c r="D26" i="3"/>
  <c r="C26" i="3" s="1"/>
  <c r="B26" i="3" s="1"/>
  <c r="AD128" i="1"/>
  <c r="AD66" i="1"/>
  <c r="AD125" i="1"/>
  <c r="AD166" i="1"/>
  <c r="AD111" i="1"/>
  <c r="AD49" i="1"/>
  <c r="AD102" i="1"/>
  <c r="AD59" i="1"/>
  <c r="J107" i="3" s="1"/>
  <c r="AD27" i="1"/>
  <c r="D65" i="3"/>
  <c r="AD26" i="1"/>
  <c r="D46" i="3"/>
  <c r="AD99" i="1"/>
  <c r="AD167" i="1"/>
  <c r="AD110" i="1"/>
  <c r="AD62" i="1"/>
  <c r="J136" i="3" s="1"/>
  <c r="AD103" i="1"/>
  <c r="AD165" i="1"/>
  <c r="AD70" i="1"/>
  <c r="AD32" i="1"/>
  <c r="D171" i="3"/>
  <c r="AD117" i="1"/>
  <c r="AD158" i="1"/>
  <c r="AD121" i="1"/>
  <c r="AD163" i="1"/>
  <c r="AD123" i="1"/>
  <c r="AD65" i="1"/>
  <c r="AD131" i="1"/>
  <c r="AD91" i="1"/>
  <c r="AD55" i="1"/>
  <c r="AD29" i="1"/>
  <c r="D107" i="3"/>
  <c r="AD37" i="1"/>
  <c r="AD126" i="1"/>
  <c r="AD71" i="1"/>
  <c r="AD104" i="1"/>
  <c r="AD51" i="1"/>
  <c r="AD76" i="1"/>
  <c r="AD61" i="1"/>
  <c r="J106" i="3" s="1"/>
  <c r="AD44" i="1"/>
  <c r="AD120" i="1"/>
  <c r="AD50" i="1"/>
  <c r="AD93" i="1"/>
  <c r="AD147" i="1"/>
  <c r="AD96" i="1"/>
  <c r="AD133" i="1"/>
  <c r="AD94" i="1"/>
  <c r="AD56" i="1"/>
  <c r="AD36" i="1"/>
  <c r="AD40" i="1"/>
  <c r="AD87" i="1"/>
  <c r="AD148" i="1"/>
  <c r="AD97" i="1"/>
  <c r="AD157" i="1"/>
  <c r="AD77" i="1"/>
  <c r="AD160" i="1"/>
  <c r="AD38" i="1"/>
  <c r="AD48" i="1"/>
  <c r="AD92" i="1"/>
  <c r="AD152" i="1"/>
  <c r="AD95" i="1"/>
  <c r="AD159" i="1"/>
  <c r="AD107" i="1"/>
  <c r="AD58" i="1"/>
  <c r="J75" i="3" s="1"/>
  <c r="AD122" i="1"/>
  <c r="AD82" i="1"/>
  <c r="AD98" i="1"/>
  <c r="AD39" i="1"/>
  <c r="AD164" i="1"/>
  <c r="AD109" i="1"/>
  <c r="AD54" i="1"/>
  <c r="AD90" i="1"/>
  <c r="AD145" i="1"/>
  <c r="AD60" i="1"/>
  <c r="J76" i="3" s="1"/>
  <c r="AD35" i="1"/>
  <c r="AD162" i="1"/>
  <c r="AD112" i="1"/>
  <c r="AD156" i="1"/>
  <c r="AD74" i="1"/>
  <c r="AD129" i="1"/>
  <c r="AD88" i="1"/>
  <c r="AD124" i="1"/>
  <c r="AD84" i="1"/>
  <c r="AD108" i="1"/>
  <c r="K10" i="3"/>
  <c r="I10" i="3" s="1"/>
  <c r="H10" i="3" s="1"/>
  <c r="K165" i="3"/>
  <c r="I165" i="3" s="1"/>
  <c r="H165" i="3" s="1"/>
  <c r="K171" i="3"/>
  <c r="I171" i="3" s="1"/>
  <c r="H171" i="3" s="1"/>
  <c r="K115" i="3"/>
  <c r="I115" i="3" s="1"/>
  <c r="H115" i="3" s="1"/>
  <c r="K81" i="3"/>
  <c r="I81" i="3" s="1"/>
  <c r="H81" i="3" s="1"/>
  <c r="K113" i="3"/>
  <c r="I113" i="3" s="1"/>
  <c r="H113" i="3" s="1"/>
  <c r="K44" i="3"/>
  <c r="I44" i="3" s="1"/>
  <c r="H44" i="3" s="1"/>
  <c r="K24" i="3"/>
  <c r="I24" i="3" s="1"/>
  <c r="H24" i="3" s="1"/>
  <c r="K93" i="3"/>
  <c r="I93" i="3" s="1"/>
  <c r="H93" i="3" s="1"/>
  <c r="K28" i="3"/>
  <c r="I28" i="3" s="1"/>
  <c r="H28" i="3" s="1"/>
  <c r="K164" i="3"/>
  <c r="I164" i="3" s="1"/>
  <c r="H164" i="3" s="1"/>
  <c r="K42" i="3"/>
  <c r="I42" i="3" s="1"/>
  <c r="H42" i="3" s="1"/>
  <c r="K57" i="3"/>
  <c r="I57" i="3" s="1"/>
  <c r="H57" i="3" s="1"/>
  <c r="K98" i="3"/>
  <c r="I98" i="3" s="1"/>
  <c r="H98" i="3" s="1"/>
  <c r="K178" i="3"/>
  <c r="I178" i="3" s="1"/>
  <c r="H178" i="3" s="1"/>
  <c r="K39" i="3"/>
  <c r="I39" i="3" s="1"/>
  <c r="H39" i="3" s="1"/>
  <c r="K7" i="3"/>
  <c r="I7" i="3" s="1"/>
  <c r="H7" i="3" s="1"/>
  <c r="K51" i="3"/>
  <c r="I51" i="3" s="1"/>
  <c r="H51" i="3" s="1"/>
  <c r="K118" i="3"/>
  <c r="I118" i="3" s="1"/>
  <c r="H118" i="3" s="1"/>
  <c r="K30" i="3"/>
  <c r="I30" i="3" s="1"/>
  <c r="H30" i="3" s="1"/>
  <c r="K66" i="3"/>
  <c r="I66" i="3" s="1"/>
  <c r="H66" i="3" s="1"/>
  <c r="K49" i="3"/>
  <c r="I49" i="3" s="1"/>
  <c r="H49" i="3" s="1"/>
  <c r="K70" i="3"/>
  <c r="I70" i="3" s="1"/>
  <c r="H70" i="3" s="1"/>
  <c r="K122" i="3"/>
  <c r="I122" i="3" s="1"/>
  <c r="H122" i="3" s="1"/>
  <c r="K67" i="3"/>
  <c r="I67" i="3" s="1"/>
  <c r="H67" i="3" s="1"/>
  <c r="K73" i="3"/>
  <c r="I73" i="3" s="1"/>
  <c r="H73" i="3" s="1"/>
  <c r="K35" i="3"/>
  <c r="I35" i="3" s="1"/>
  <c r="H35" i="3" s="1"/>
  <c r="K92" i="3"/>
  <c r="I92" i="3" s="1"/>
  <c r="H92" i="3" s="1"/>
  <c r="K74" i="3"/>
  <c r="I74" i="3" s="1"/>
  <c r="H74" i="3" s="1"/>
  <c r="K52" i="3"/>
  <c r="I52" i="3" s="1"/>
  <c r="H52" i="3" s="1"/>
  <c r="K85" i="3"/>
  <c r="I85" i="3" s="1"/>
  <c r="H85" i="3" s="1"/>
  <c r="K150" i="3"/>
  <c r="I150" i="3" s="1"/>
  <c r="H150" i="3" s="1"/>
  <c r="K167" i="3"/>
  <c r="I167" i="3" s="1"/>
  <c r="H167" i="3" s="1"/>
  <c r="K170" i="3"/>
  <c r="I170" i="3" s="1"/>
  <c r="H170" i="3" s="1"/>
  <c r="K112" i="3"/>
  <c r="I112" i="3" s="1"/>
  <c r="H112" i="3" s="1"/>
  <c r="K47" i="3"/>
  <c r="I47" i="3" s="1"/>
  <c r="H47" i="3" s="1"/>
  <c r="K127" i="3"/>
  <c r="I127" i="3" s="1"/>
  <c r="H127" i="3" s="1"/>
  <c r="K130" i="3"/>
  <c r="I130" i="3" s="1"/>
  <c r="H130" i="3" s="1"/>
  <c r="K46" i="3"/>
  <c r="I46" i="3" s="1"/>
  <c r="H46" i="3" s="1"/>
  <c r="K23" i="3"/>
  <c r="K124" i="3"/>
  <c r="I124" i="3" s="1"/>
  <c r="H124" i="3" s="1"/>
  <c r="K82" i="3"/>
  <c r="I82" i="3" s="1"/>
  <c r="H82" i="3" s="1"/>
  <c r="K163" i="3"/>
  <c r="I163" i="3" s="1"/>
  <c r="H163" i="3" s="1"/>
  <c r="K72" i="3"/>
  <c r="I72" i="3" s="1"/>
  <c r="H72" i="3" s="1"/>
  <c r="K43" i="3"/>
  <c r="I43" i="3" s="1"/>
  <c r="H43" i="3" s="1"/>
  <c r="K55" i="3"/>
  <c r="I55" i="3" s="1"/>
  <c r="H55" i="3" s="1"/>
  <c r="K103" i="3"/>
  <c r="I103" i="3" s="1"/>
  <c r="H103" i="3" s="1"/>
  <c r="K156" i="3"/>
  <c r="I156" i="3" s="1"/>
  <c r="H156" i="3" s="1"/>
  <c r="K60" i="3"/>
  <c r="I60" i="3" s="1"/>
  <c r="H60" i="3" s="1"/>
  <c r="K128" i="3"/>
  <c r="I128" i="3" s="1"/>
  <c r="H128" i="3" s="1"/>
  <c r="K104" i="3"/>
  <c r="I104" i="3" s="1"/>
  <c r="H104" i="3" s="1"/>
  <c r="K36" i="3"/>
  <c r="I36" i="3" s="1"/>
  <c r="H36" i="3" s="1"/>
  <c r="K116" i="3"/>
  <c r="I116" i="3" s="1"/>
  <c r="H116" i="3" s="1"/>
  <c r="K16" i="3"/>
  <c r="I16" i="3" s="1"/>
  <c r="H16" i="3" s="1"/>
  <c r="K145" i="3"/>
  <c r="I145" i="3" s="1"/>
  <c r="H145" i="3" s="1"/>
  <c r="K97" i="3"/>
  <c r="I97" i="3" s="1"/>
  <c r="H97" i="3" s="1"/>
  <c r="K29" i="3"/>
  <c r="I29" i="3" s="1"/>
  <c r="H29" i="3" s="1"/>
  <c r="K41" i="3"/>
  <c r="I41" i="3" s="1"/>
  <c r="H41" i="3" s="1"/>
  <c r="K160" i="3"/>
  <c r="I160" i="3" s="1"/>
  <c r="H160" i="3" s="1"/>
  <c r="K152" i="3"/>
  <c r="I152" i="3" s="1"/>
  <c r="H152" i="3" s="1"/>
  <c r="K111" i="3"/>
  <c r="I111" i="3" s="1"/>
  <c r="H111" i="3" s="1"/>
  <c r="K33" i="3"/>
  <c r="I33" i="3" s="1"/>
  <c r="H33" i="3" s="1"/>
  <c r="K126" i="3"/>
  <c r="I126" i="3" s="1"/>
  <c r="H126" i="3" s="1"/>
  <c r="K8" i="3"/>
  <c r="I8" i="3" s="1"/>
  <c r="H8" i="3" s="1"/>
  <c r="K88" i="3"/>
  <c r="I88" i="3" s="1"/>
  <c r="H88" i="3" s="1"/>
  <c r="K53" i="3"/>
  <c r="I53" i="3" s="1"/>
  <c r="H53" i="3" s="1"/>
  <c r="K133" i="3"/>
  <c r="I133" i="3" s="1"/>
  <c r="H133" i="3" s="1"/>
  <c r="K54" i="3"/>
  <c r="I54" i="3" s="1"/>
  <c r="H54" i="3" s="1"/>
  <c r="K68" i="3"/>
  <c r="I68" i="3" s="1"/>
  <c r="H68" i="3" s="1"/>
  <c r="K38" i="3"/>
  <c r="I38" i="3" s="1"/>
  <c r="H38" i="3" s="1"/>
  <c r="K132" i="3"/>
  <c r="I132" i="3" s="1"/>
  <c r="H132" i="3" s="1"/>
  <c r="K13" i="3"/>
  <c r="I13" i="3" s="1"/>
  <c r="H13" i="3" s="1"/>
  <c r="K58" i="3"/>
  <c r="I58" i="3" s="1"/>
  <c r="H58" i="3" s="1"/>
  <c r="K153" i="3"/>
  <c r="I153" i="3" s="1"/>
  <c r="H153" i="3" s="1"/>
  <c r="K155" i="3"/>
  <c r="I155" i="3" s="1"/>
  <c r="H155" i="3" s="1"/>
  <c r="K87" i="3"/>
  <c r="I87" i="3" s="1"/>
  <c r="H87" i="3" s="1"/>
  <c r="K95" i="3"/>
  <c r="I95" i="3" s="1"/>
  <c r="H95" i="3" s="1"/>
  <c r="K174" i="3"/>
  <c r="I174" i="3" s="1"/>
  <c r="H174" i="3" s="1"/>
  <c r="K154" i="3"/>
  <c r="I154" i="3" s="1"/>
  <c r="H154" i="3" s="1"/>
  <c r="K78" i="3"/>
  <c r="I78" i="3" s="1"/>
  <c r="H78" i="3" s="1"/>
  <c r="K158" i="3"/>
  <c r="I158" i="3" s="1"/>
  <c r="H158" i="3" s="1"/>
  <c r="K22" i="3"/>
  <c r="I22" i="3" s="1"/>
  <c r="H22" i="3" s="1"/>
  <c r="K162" i="3"/>
  <c r="I162" i="3" s="1"/>
  <c r="H162" i="3" s="1"/>
  <c r="K56" i="3"/>
  <c r="I56" i="3" s="1"/>
  <c r="H56" i="3" s="1"/>
  <c r="K109" i="3"/>
  <c r="I109" i="3" s="1"/>
  <c r="H109" i="3" s="1"/>
  <c r="K17" i="3"/>
  <c r="I17" i="3" s="1"/>
  <c r="H17" i="3" s="1"/>
  <c r="K12" i="3"/>
  <c r="I12" i="3" s="1"/>
  <c r="H12" i="3" s="1"/>
  <c r="K100" i="3"/>
  <c r="I100" i="3" s="1"/>
  <c r="H100" i="3" s="1"/>
  <c r="K15" i="3"/>
  <c r="I15" i="3" s="1"/>
  <c r="H15" i="3" s="1"/>
  <c r="K131" i="3"/>
  <c r="I131" i="3" s="1"/>
  <c r="H131" i="3" s="1"/>
  <c r="K19" i="3"/>
  <c r="I19" i="3" s="1"/>
  <c r="H19" i="3" s="1"/>
  <c r="K166" i="3"/>
  <c r="I166" i="3" s="1"/>
  <c r="H166" i="3" s="1"/>
  <c r="K25" i="3"/>
  <c r="I25" i="3" s="1"/>
  <c r="H25" i="3" s="1"/>
  <c r="K172" i="3"/>
  <c r="I172" i="3" s="1"/>
  <c r="H172" i="3" s="1"/>
  <c r="K141" i="3"/>
  <c r="I141" i="3" s="1"/>
  <c r="H141" i="3" s="1"/>
  <c r="K137" i="3"/>
  <c r="I137" i="3" s="1"/>
  <c r="H137" i="3" s="1"/>
  <c r="K125" i="3"/>
  <c r="I125" i="3" s="1"/>
  <c r="H125" i="3" s="1"/>
  <c r="K157" i="3"/>
  <c r="I157" i="3" s="1"/>
  <c r="H157" i="3" s="1"/>
  <c r="K21" i="3"/>
  <c r="I21" i="3" s="1"/>
  <c r="H21" i="3" s="1"/>
  <c r="K84" i="3"/>
  <c r="I84" i="3" s="1"/>
  <c r="H84" i="3" s="1"/>
  <c r="K176" i="3"/>
  <c r="I176" i="3" s="1"/>
  <c r="H176" i="3" s="1"/>
  <c r="K18" i="3"/>
  <c r="I18" i="3" s="1"/>
  <c r="H18" i="3" s="1"/>
  <c r="K110" i="3"/>
  <c r="I110" i="3" s="1"/>
  <c r="H110" i="3" s="1"/>
  <c r="K63" i="3"/>
  <c r="I63" i="3" s="1"/>
  <c r="H63" i="3" s="1"/>
  <c r="K121" i="3"/>
  <c r="I121" i="3" s="1"/>
  <c r="H121" i="3" s="1"/>
  <c r="K69" i="3"/>
  <c r="I69" i="3" s="1"/>
  <c r="H69" i="3" s="1"/>
  <c r="K147" i="3"/>
  <c r="I147" i="3" s="1"/>
  <c r="H147" i="3" s="1"/>
  <c r="K180" i="3"/>
  <c r="I180" i="3" s="1"/>
  <c r="H180" i="3" s="1"/>
  <c r="K175" i="3"/>
  <c r="I175" i="3" s="1"/>
  <c r="H175" i="3" s="1"/>
  <c r="K96" i="3"/>
  <c r="I96" i="3" s="1"/>
  <c r="H96" i="3" s="1"/>
  <c r="K173" i="3"/>
  <c r="I173" i="3" s="1"/>
  <c r="H173" i="3" s="1"/>
  <c r="K9" i="3"/>
  <c r="I9" i="3" s="1"/>
  <c r="H9" i="3" s="1"/>
  <c r="K86" i="3"/>
  <c r="I86" i="3" s="1"/>
  <c r="H86" i="3" s="1"/>
  <c r="K140" i="3"/>
  <c r="I140" i="3" s="1"/>
  <c r="H140" i="3" s="1"/>
  <c r="K179" i="3"/>
  <c r="I179" i="3" s="1"/>
  <c r="H179" i="3" s="1"/>
  <c r="K71" i="3"/>
  <c r="I71" i="3" s="1"/>
  <c r="H71" i="3" s="1"/>
  <c r="K45" i="3"/>
  <c r="I45" i="3" s="1"/>
  <c r="H45" i="3" s="1"/>
  <c r="K134" i="3"/>
  <c r="I134" i="3" s="1"/>
  <c r="H134" i="3" s="1"/>
  <c r="K144" i="3"/>
  <c r="I144" i="3" s="1"/>
  <c r="H144" i="3" s="1"/>
  <c r="K135" i="3"/>
  <c r="I135" i="3" s="1"/>
  <c r="H135" i="3" s="1"/>
  <c r="K161" i="3"/>
  <c r="I161" i="3" s="1"/>
  <c r="H161" i="3" s="1"/>
  <c r="K61" i="3"/>
  <c r="I61" i="3" s="1"/>
  <c r="H61" i="3" s="1"/>
  <c r="K37" i="3"/>
  <c r="I37" i="3" s="1"/>
  <c r="H37" i="3" s="1"/>
  <c r="K119" i="3"/>
  <c r="I119" i="3" s="1"/>
  <c r="H119" i="3" s="1"/>
  <c r="K105" i="3"/>
  <c r="I105" i="3" s="1"/>
  <c r="H105" i="3" s="1"/>
  <c r="K114" i="3"/>
  <c r="I114" i="3" s="1"/>
  <c r="H114" i="3" s="1"/>
  <c r="K31" i="3"/>
  <c r="I31" i="3" s="1"/>
  <c r="H31" i="3" s="1"/>
  <c r="K143" i="3"/>
  <c r="I143" i="3" s="1"/>
  <c r="H143" i="3" s="1"/>
  <c r="K40" i="3"/>
  <c r="I40" i="3" s="1"/>
  <c r="H40" i="3" s="1"/>
  <c r="K64" i="3"/>
  <c r="I64" i="3" s="1"/>
  <c r="H64" i="3" s="1"/>
  <c r="K79" i="3"/>
  <c r="I79" i="3" s="1"/>
  <c r="H79" i="3" s="1"/>
  <c r="K177" i="3"/>
  <c r="I177" i="3" s="1"/>
  <c r="H177" i="3" s="1"/>
  <c r="K129" i="3"/>
  <c r="I129" i="3" s="1"/>
  <c r="H129" i="3" s="1"/>
  <c r="K83" i="3"/>
  <c r="I83" i="3" s="1"/>
  <c r="H83" i="3" s="1"/>
  <c r="K91" i="3"/>
  <c r="I91" i="3" s="1"/>
  <c r="H91" i="3" s="1"/>
  <c r="K34" i="3"/>
  <c r="I34" i="3" s="1"/>
  <c r="H34" i="3" s="1"/>
  <c r="K148" i="3"/>
  <c r="I148" i="3" s="1"/>
  <c r="H148" i="3" s="1"/>
  <c r="K159" i="3"/>
  <c r="I159" i="3" s="1"/>
  <c r="H159" i="3" s="1"/>
  <c r="K80" i="3"/>
  <c r="I80" i="3" s="1"/>
  <c r="H80" i="3" s="1"/>
  <c r="K26" i="3"/>
  <c r="I26" i="3" s="1"/>
  <c r="H26" i="3" s="1"/>
  <c r="K117" i="3"/>
  <c r="I117" i="3" s="1"/>
  <c r="H117" i="3" s="1"/>
  <c r="K101" i="3"/>
  <c r="I101" i="3" s="1"/>
  <c r="H101" i="3" s="1"/>
  <c r="K142" i="3"/>
  <c r="I142" i="3" s="1"/>
  <c r="H142" i="3" s="1"/>
  <c r="K11" i="3"/>
  <c r="I11" i="3" s="1"/>
  <c r="H11" i="3" s="1"/>
  <c r="K102" i="3"/>
  <c r="I102" i="3" s="1"/>
  <c r="H102" i="3" s="1"/>
  <c r="K146" i="3"/>
  <c r="I146" i="3" s="1"/>
  <c r="H146" i="3" s="1"/>
  <c r="K94" i="3"/>
  <c r="I94" i="3" s="1"/>
  <c r="H94" i="3" s="1"/>
  <c r="K123" i="3"/>
  <c r="I123" i="3" s="1"/>
  <c r="H123" i="3" s="1"/>
  <c r="K99" i="3"/>
  <c r="I99" i="3" s="1"/>
  <c r="H99" i="3" s="1"/>
  <c r="K65" i="3"/>
  <c r="I65" i="3" s="1"/>
  <c r="H65" i="3" s="1"/>
  <c r="AD172" i="1"/>
  <c r="K32" i="3" s="1"/>
  <c r="I23" i="3"/>
  <c r="H23" i="3" s="1"/>
  <c r="A182" i="3"/>
  <c r="J17" i="1"/>
  <c r="T2" i="16" l="1"/>
  <c r="AD2" i="27"/>
  <c r="K20" i="3"/>
  <c r="N11" i="3"/>
  <c r="N12" i="3"/>
  <c r="J89" i="3"/>
  <c r="J77" i="3"/>
  <c r="J151" i="3"/>
  <c r="J139" i="3"/>
  <c r="J62" i="3"/>
  <c r="J50" i="3"/>
  <c r="J32" i="3"/>
  <c r="I32" i="3" s="1"/>
  <c r="H32" i="3" s="1"/>
  <c r="J20" i="3"/>
  <c r="J14" i="3"/>
  <c r="L182" i="3"/>
  <c r="F182" i="3"/>
  <c r="J182" i="3"/>
  <c r="D182" i="3"/>
  <c r="K182" i="3"/>
  <c r="J168" i="3"/>
  <c r="J138" i="3"/>
  <c r="J48" i="3"/>
  <c r="J149" i="3"/>
  <c r="J120" i="3"/>
  <c r="J27" i="3"/>
  <c r="J90" i="3"/>
  <c r="J59" i="3"/>
  <c r="J181" i="3"/>
  <c r="I17" i="1"/>
  <c r="I19" i="1" s="1"/>
  <c r="E108" i="3"/>
  <c r="C108" i="3" s="1"/>
  <c r="B108" i="3" s="1"/>
  <c r="E45" i="3"/>
  <c r="C45" i="3" s="1"/>
  <c r="B45" i="3" s="1"/>
  <c r="E118" i="3"/>
  <c r="C118" i="3" s="1"/>
  <c r="B118" i="3" s="1"/>
  <c r="E135" i="3"/>
  <c r="C135" i="3" s="1"/>
  <c r="B135" i="3" s="1"/>
  <c r="E17" i="3"/>
  <c r="C17" i="3" s="1"/>
  <c r="B17" i="3" s="1"/>
  <c r="E29" i="3"/>
  <c r="C29" i="3" s="1"/>
  <c r="B29" i="3" s="1"/>
  <c r="E173" i="3"/>
  <c r="C173" i="3" s="1"/>
  <c r="B173" i="3" s="1"/>
  <c r="C58" i="3"/>
  <c r="B58" i="3" s="1"/>
  <c r="E93" i="3"/>
  <c r="C93" i="3" s="1"/>
  <c r="B93" i="3" s="1"/>
  <c r="E61" i="3"/>
  <c r="C61" i="3" s="1"/>
  <c r="B61" i="3" s="1"/>
  <c r="E68" i="3"/>
  <c r="C68" i="3" s="1"/>
  <c r="B68" i="3" s="1"/>
  <c r="E102" i="3"/>
  <c r="C102" i="3" s="1"/>
  <c r="B102" i="3" s="1"/>
  <c r="E116" i="3"/>
  <c r="C116" i="3" s="1"/>
  <c r="B116" i="3" s="1"/>
  <c r="E88" i="3"/>
  <c r="C88" i="3" s="1"/>
  <c r="B88" i="3" s="1"/>
  <c r="E90" i="3"/>
  <c r="C90" i="3" s="1"/>
  <c r="B90" i="3" s="1"/>
  <c r="E158" i="3"/>
  <c r="C158" i="3" s="1"/>
  <c r="B158" i="3" s="1"/>
  <c r="E174" i="3"/>
  <c r="E167" i="3"/>
  <c r="C167" i="3" s="1"/>
  <c r="B167" i="3" s="1"/>
  <c r="E137" i="3"/>
  <c r="C137" i="3" s="1"/>
  <c r="B137" i="3" s="1"/>
  <c r="E30" i="3"/>
  <c r="C30" i="3" s="1"/>
  <c r="B30" i="3" s="1"/>
  <c r="E152" i="3"/>
  <c r="C152" i="3" s="1"/>
  <c r="B152" i="3" s="1"/>
  <c r="E105" i="3"/>
  <c r="C105" i="3" s="1"/>
  <c r="B105" i="3" s="1"/>
  <c r="E54" i="3"/>
  <c r="C54" i="3" s="1"/>
  <c r="B54" i="3" s="1"/>
  <c r="E53" i="3"/>
  <c r="C53" i="3" s="1"/>
  <c r="B53" i="3" s="1"/>
  <c r="E35" i="3"/>
  <c r="C35" i="3" s="1"/>
  <c r="B35" i="3" s="1"/>
  <c r="E75" i="3"/>
  <c r="C75" i="3" s="1"/>
  <c r="B75" i="3" s="1"/>
  <c r="E25" i="3"/>
  <c r="C25" i="3" s="1"/>
  <c r="B25" i="3" s="1"/>
  <c r="E149" i="3"/>
  <c r="C149" i="3" s="1"/>
  <c r="B149" i="3" s="1"/>
  <c r="E139" i="3"/>
  <c r="C139" i="3" s="1"/>
  <c r="B139" i="3" s="1"/>
  <c r="E129" i="3"/>
  <c r="C129" i="3" s="1"/>
  <c r="B129" i="3" s="1"/>
  <c r="E21" i="3"/>
  <c r="C21" i="3" s="1"/>
  <c r="B21" i="3" s="1"/>
  <c r="E70" i="3"/>
  <c r="C70" i="3" s="1"/>
  <c r="B70" i="3" s="1"/>
  <c r="E112" i="3"/>
  <c r="C112" i="3" s="1"/>
  <c r="B112" i="3" s="1"/>
  <c r="E130" i="3"/>
  <c r="C130" i="3" s="1"/>
  <c r="B130" i="3" s="1"/>
  <c r="E51" i="3"/>
  <c r="C51" i="3" s="1"/>
  <c r="B51" i="3" s="1"/>
  <c r="E91" i="3"/>
  <c r="C91" i="3" s="1"/>
  <c r="B91" i="3" s="1"/>
  <c r="E47" i="3"/>
  <c r="C47" i="3" s="1"/>
  <c r="B47" i="3" s="1"/>
  <c r="C164" i="3"/>
  <c r="B164" i="3" s="1"/>
  <c r="E72" i="3"/>
  <c r="C72" i="3" s="1"/>
  <c r="B72" i="3" s="1"/>
  <c r="E168" i="3"/>
  <c r="C168" i="3" s="1"/>
  <c r="B168" i="3" s="1"/>
  <c r="E120" i="3"/>
  <c r="C120" i="3" s="1"/>
  <c r="B120" i="3" s="1"/>
  <c r="E12" i="3"/>
  <c r="C12" i="3" s="1"/>
  <c r="B12" i="3" s="1"/>
  <c r="E9" i="3"/>
  <c r="C9" i="3" s="1"/>
  <c r="B9" i="3" s="1"/>
  <c r="E86" i="3"/>
  <c r="C86" i="3" s="1"/>
  <c r="B86" i="3" s="1"/>
  <c r="E111" i="3"/>
  <c r="C111" i="3" s="1"/>
  <c r="B111" i="3" s="1"/>
  <c r="E56" i="3"/>
  <c r="C56" i="3" s="1"/>
  <c r="B56" i="3" s="1"/>
  <c r="E103" i="3"/>
  <c r="C103" i="3" s="1"/>
  <c r="B103" i="3" s="1"/>
  <c r="E180" i="3"/>
  <c r="C180" i="3" s="1"/>
  <c r="B180" i="3" s="1"/>
  <c r="E176" i="3"/>
  <c r="C176" i="3" s="1"/>
  <c r="B176" i="3" s="1"/>
  <c r="E42" i="3"/>
  <c r="C42" i="3" s="1"/>
  <c r="B42" i="3" s="1"/>
  <c r="E44" i="3"/>
  <c r="C44" i="3" s="1"/>
  <c r="B44" i="3" s="1"/>
  <c r="E151" i="3"/>
  <c r="C151" i="3" s="1"/>
  <c r="B151" i="3" s="1"/>
  <c r="E140" i="3"/>
  <c r="C140" i="3" s="1"/>
  <c r="B140" i="3" s="1"/>
  <c r="E33" i="3"/>
  <c r="C33" i="3" s="1"/>
  <c r="B33" i="3" s="1"/>
  <c r="C80" i="3"/>
  <c r="B80" i="3" s="1"/>
  <c r="E31" i="3"/>
  <c r="C31" i="3" s="1"/>
  <c r="B31" i="3" s="1"/>
  <c r="E181" i="3"/>
  <c r="E43" i="3"/>
  <c r="C43" i="3" s="1"/>
  <c r="B43" i="3" s="1"/>
  <c r="E99" i="3"/>
  <c r="E97" i="3"/>
  <c r="C97" i="3" s="1"/>
  <c r="B97" i="3" s="1"/>
  <c r="E142" i="3"/>
  <c r="C142" i="3" s="1"/>
  <c r="B142" i="3" s="1"/>
  <c r="E175" i="3"/>
  <c r="C175" i="3" s="1"/>
  <c r="B175" i="3" s="1"/>
  <c r="E24" i="3"/>
  <c r="C24" i="3" s="1"/>
  <c r="B24" i="3" s="1"/>
  <c r="E57" i="3"/>
  <c r="E115" i="3"/>
  <c r="C115" i="3" s="1"/>
  <c r="B115" i="3" s="1"/>
  <c r="E83" i="3"/>
  <c r="C83" i="3" s="1"/>
  <c r="B83" i="3" s="1"/>
  <c r="E73" i="3"/>
  <c r="C73" i="3" s="1"/>
  <c r="B73" i="3" s="1"/>
  <c r="E169" i="3"/>
  <c r="C169" i="3" s="1"/>
  <c r="B169" i="3" s="1"/>
  <c r="E8" i="3"/>
  <c r="E40" i="3"/>
  <c r="C40" i="3" s="1"/>
  <c r="B40" i="3" s="1"/>
  <c r="E146" i="3"/>
  <c r="C146" i="3" s="1"/>
  <c r="B146" i="3" s="1"/>
  <c r="E104" i="3"/>
  <c r="C104" i="3" s="1"/>
  <c r="B104" i="3" s="1"/>
  <c r="E15" i="3"/>
  <c r="E165" i="3"/>
  <c r="C165" i="3" s="1"/>
  <c r="B165" i="3" s="1"/>
  <c r="C39" i="3"/>
  <c r="B39" i="3" s="1"/>
  <c r="E179" i="3"/>
  <c r="C179" i="3" s="1"/>
  <c r="B179" i="3" s="1"/>
  <c r="E153" i="3"/>
  <c r="C153" i="3" s="1"/>
  <c r="B153" i="3" s="1"/>
  <c r="E123" i="3"/>
  <c r="C123" i="3" s="1"/>
  <c r="B123" i="3" s="1"/>
  <c r="E16" i="3"/>
  <c r="C16" i="3" s="1"/>
  <c r="B16" i="3" s="1"/>
  <c r="E64" i="3"/>
  <c r="C64" i="3" s="1"/>
  <c r="B64" i="3" s="1"/>
  <c r="E156" i="3"/>
  <c r="C156" i="3" s="1"/>
  <c r="B156" i="3" s="1"/>
  <c r="E133" i="3"/>
  <c r="C133" i="3" s="1"/>
  <c r="B133" i="3" s="1"/>
  <c r="E11" i="3"/>
  <c r="C11" i="3" s="1"/>
  <c r="B11" i="3" s="1"/>
  <c r="E34" i="3"/>
  <c r="C34" i="3" s="1"/>
  <c r="B34" i="3" s="1"/>
  <c r="E32" i="3"/>
  <c r="C32" i="3" s="1"/>
  <c r="B32" i="3" s="1"/>
  <c r="E49" i="3"/>
  <c r="C49" i="3" s="1"/>
  <c r="B49" i="3" s="1"/>
  <c r="E166" i="3"/>
  <c r="C166" i="3" s="1"/>
  <c r="B166" i="3" s="1"/>
  <c r="E69" i="3"/>
  <c r="C69" i="3" s="1"/>
  <c r="B69" i="3" s="1"/>
  <c r="E155" i="3"/>
  <c r="C155" i="3" s="1"/>
  <c r="B155" i="3" s="1"/>
  <c r="E37" i="3"/>
  <c r="E161" i="3"/>
  <c r="C161" i="3" s="1"/>
  <c r="B161" i="3" s="1"/>
  <c r="E22" i="3"/>
  <c r="C22" i="3" s="1"/>
  <c r="B22" i="3" s="1"/>
  <c r="E98" i="3"/>
  <c r="C98" i="3" s="1"/>
  <c r="B98" i="3" s="1"/>
  <c r="E71" i="3"/>
  <c r="C71" i="3" s="1"/>
  <c r="B71" i="3" s="1"/>
  <c r="E77" i="3"/>
  <c r="E119" i="3"/>
  <c r="E60" i="3"/>
  <c r="C60" i="3" s="1"/>
  <c r="B60" i="3" s="1"/>
  <c r="E48" i="3"/>
  <c r="C48" i="3" s="1"/>
  <c r="B48" i="3" s="1"/>
  <c r="C100" i="3"/>
  <c r="B100" i="3" s="1"/>
  <c r="E122" i="3"/>
  <c r="C122" i="3" s="1"/>
  <c r="B122" i="3" s="1"/>
  <c r="E113" i="3"/>
  <c r="C113" i="3" s="1"/>
  <c r="B113" i="3" s="1"/>
  <c r="E117" i="3"/>
  <c r="C117" i="3" s="1"/>
  <c r="B117" i="3" s="1"/>
  <c r="E52" i="3"/>
  <c r="C52" i="3" s="1"/>
  <c r="B52" i="3" s="1"/>
  <c r="E62" i="3"/>
  <c r="C62" i="3" s="1"/>
  <c r="B62" i="3" s="1"/>
  <c r="E63" i="3"/>
  <c r="C63" i="3" s="1"/>
  <c r="B63" i="3" s="1"/>
  <c r="E134" i="3"/>
  <c r="C134" i="3" s="1"/>
  <c r="B134" i="3" s="1"/>
  <c r="E163" i="3"/>
  <c r="C163" i="3" s="1"/>
  <c r="B163" i="3" s="1"/>
  <c r="E126" i="3"/>
  <c r="C126" i="3" s="1"/>
  <c r="B126" i="3" s="1"/>
  <c r="E182" i="3"/>
  <c r="E18" i="3"/>
  <c r="C18" i="3" s="1"/>
  <c r="B18" i="3" s="1"/>
  <c r="E125" i="3"/>
  <c r="C125" i="3" s="1"/>
  <c r="B125" i="3" s="1"/>
  <c r="E67" i="3"/>
  <c r="C67" i="3" s="1"/>
  <c r="B67" i="3" s="1"/>
  <c r="C143" i="3"/>
  <c r="B143" i="3" s="1"/>
  <c r="E84" i="3"/>
  <c r="C84" i="3" s="1"/>
  <c r="B84" i="3" s="1"/>
  <c r="E82" i="3"/>
  <c r="C82" i="3" s="1"/>
  <c r="B82" i="3" s="1"/>
  <c r="E23" i="3"/>
  <c r="C23" i="3" s="1"/>
  <c r="B23" i="3" s="1"/>
  <c r="E141" i="3"/>
  <c r="C141" i="3" s="1"/>
  <c r="B141" i="3" s="1"/>
  <c r="E109" i="3"/>
  <c r="C109" i="3" s="1"/>
  <c r="B109" i="3" s="1"/>
  <c r="E178" i="3"/>
  <c r="C178" i="3" s="1"/>
  <c r="B178" i="3" s="1"/>
  <c r="C19" i="3"/>
  <c r="B19" i="3" s="1"/>
  <c r="E50" i="3"/>
  <c r="C50" i="3" s="1"/>
  <c r="B50" i="3" s="1"/>
  <c r="E172" i="3"/>
  <c r="C172" i="3" s="1"/>
  <c r="B172" i="3" s="1"/>
  <c r="E106" i="3"/>
  <c r="C106" i="3" s="1"/>
  <c r="B106" i="3" s="1"/>
  <c r="E154" i="3"/>
  <c r="C154" i="3" s="1"/>
  <c r="B154" i="3" s="1"/>
  <c r="E81" i="3"/>
  <c r="C81" i="3" s="1"/>
  <c r="B81" i="3" s="1"/>
  <c r="E138" i="3"/>
  <c r="E170" i="3"/>
  <c r="C170" i="3" s="1"/>
  <c r="B170" i="3" s="1"/>
  <c r="E96" i="3"/>
  <c r="C96" i="3" s="1"/>
  <c r="B96" i="3" s="1"/>
  <c r="E92" i="3"/>
  <c r="C92" i="3" s="1"/>
  <c r="B92" i="3" s="1"/>
  <c r="E114" i="3"/>
  <c r="C114" i="3" s="1"/>
  <c r="B114" i="3" s="1"/>
  <c r="E76" i="3"/>
  <c r="C76" i="3" s="1"/>
  <c r="B76" i="3" s="1"/>
  <c r="E89" i="3"/>
  <c r="C89" i="3" s="1"/>
  <c r="B89" i="3" s="1"/>
  <c r="E28" i="3"/>
  <c r="C28" i="3" s="1"/>
  <c r="B28" i="3" s="1"/>
  <c r="E14" i="3"/>
  <c r="C14" i="3" s="1"/>
  <c r="B14" i="3" s="1"/>
  <c r="E136" i="3"/>
  <c r="C136" i="3" s="1"/>
  <c r="B136" i="3" s="1"/>
  <c r="E66" i="3"/>
  <c r="C66" i="3" s="1"/>
  <c r="B66" i="3" s="1"/>
  <c r="E132" i="3"/>
  <c r="C132" i="3" s="1"/>
  <c r="B132" i="3" s="1"/>
  <c r="E74" i="3"/>
  <c r="C74" i="3" s="1"/>
  <c r="B74" i="3" s="1"/>
  <c r="E159" i="3"/>
  <c r="E160" i="3"/>
  <c r="C160" i="3" s="1"/>
  <c r="B160" i="3" s="1"/>
  <c r="E177" i="3"/>
  <c r="C177" i="3" s="1"/>
  <c r="B177" i="3" s="1"/>
  <c r="E95" i="3"/>
  <c r="C95" i="3" s="1"/>
  <c r="B95" i="3" s="1"/>
  <c r="E145" i="3"/>
  <c r="C145" i="3" s="1"/>
  <c r="B145" i="3" s="1"/>
  <c r="E101" i="3"/>
  <c r="C101" i="3" s="1"/>
  <c r="B101" i="3" s="1"/>
  <c r="E78" i="3"/>
  <c r="C78" i="3" s="1"/>
  <c r="B78" i="3" s="1"/>
  <c r="E131" i="3"/>
  <c r="C131" i="3" s="1"/>
  <c r="B131" i="3" s="1"/>
  <c r="E36" i="3"/>
  <c r="C36" i="3" s="1"/>
  <c r="B36" i="3" s="1"/>
  <c r="E55" i="3"/>
  <c r="C55" i="3" s="1"/>
  <c r="B55" i="3" s="1"/>
  <c r="E94" i="3"/>
  <c r="C94" i="3" s="1"/>
  <c r="B94" i="3" s="1"/>
  <c r="E85" i="3"/>
  <c r="C85" i="3" s="1"/>
  <c r="B85" i="3" s="1"/>
  <c r="E20" i="3"/>
  <c r="C20" i="3" s="1"/>
  <c r="B20" i="3" s="1"/>
  <c r="E10" i="3"/>
  <c r="C10" i="3" s="1"/>
  <c r="B10" i="3" s="1"/>
  <c r="E157" i="3"/>
  <c r="C157" i="3" s="1"/>
  <c r="B157" i="3" s="1"/>
  <c r="E41" i="3"/>
  <c r="C41" i="3" s="1"/>
  <c r="B41" i="3" s="1"/>
  <c r="E38" i="3"/>
  <c r="C38" i="3" s="1"/>
  <c r="B38" i="3" s="1"/>
  <c r="E79" i="3"/>
  <c r="C79" i="3" s="1"/>
  <c r="B79" i="3" s="1"/>
  <c r="C121" i="3"/>
  <c r="B121" i="3" s="1"/>
  <c r="E144" i="3"/>
  <c r="C144" i="3" s="1"/>
  <c r="B144" i="3" s="1"/>
  <c r="E59" i="3"/>
  <c r="C59" i="3" s="1"/>
  <c r="B59" i="3" s="1"/>
  <c r="E124" i="3"/>
  <c r="C124" i="3" s="1"/>
  <c r="B124" i="3" s="1"/>
  <c r="E7" i="3"/>
  <c r="E13" i="3"/>
  <c r="C13" i="3" s="1"/>
  <c r="B13" i="3" s="1"/>
  <c r="E148" i="3"/>
  <c r="C148" i="3" s="1"/>
  <c r="B148" i="3" s="1"/>
  <c r="E27" i="3"/>
  <c r="C27" i="3" s="1"/>
  <c r="B27" i="3" s="1"/>
  <c r="E127" i="3"/>
  <c r="C127" i="3" s="1"/>
  <c r="B127" i="3" s="1"/>
  <c r="E110" i="3"/>
  <c r="C110" i="3" s="1"/>
  <c r="B110" i="3" s="1"/>
  <c r="E162" i="3"/>
  <c r="C162" i="3" s="1"/>
  <c r="B162" i="3" s="1"/>
  <c r="E147" i="3"/>
  <c r="C147" i="3" s="1"/>
  <c r="B147" i="3" s="1"/>
  <c r="C174" i="3"/>
  <c r="B174" i="3" s="1"/>
  <c r="AD185" i="1"/>
  <c r="AD187" i="1"/>
  <c r="AD233" i="1"/>
  <c r="AD186" i="1"/>
  <c r="AD295" i="1"/>
  <c r="AD249" i="1"/>
  <c r="AD216" i="1"/>
  <c r="AD294" i="1"/>
  <c r="AD257" i="1"/>
  <c r="AD230" i="1"/>
  <c r="AD208" i="1"/>
  <c r="K106" i="3" s="1"/>
  <c r="I106" i="3" s="1"/>
  <c r="H106" i="3" s="1"/>
  <c r="AD304" i="1"/>
  <c r="AD281" i="1"/>
  <c r="AD253" i="1"/>
  <c r="AD229" i="1"/>
  <c r="AD288" i="1"/>
  <c r="AD251" i="1"/>
  <c r="AD213" i="1"/>
  <c r="AD175" i="1"/>
  <c r="K108" i="3" s="1"/>
  <c r="I108" i="3" s="1"/>
  <c r="H108" i="3" s="1"/>
  <c r="E87" i="3"/>
  <c r="C87" i="3" s="1"/>
  <c r="B87" i="3" s="1"/>
  <c r="AD191" i="1"/>
  <c r="AD279" i="1"/>
  <c r="AD303" i="1"/>
  <c r="AD265" i="1"/>
  <c r="AD217" i="1"/>
  <c r="AD292" i="1"/>
  <c r="AD255" i="1"/>
  <c r="AD227" i="1"/>
  <c r="AD205" i="1"/>
  <c r="K75" i="3" s="1"/>
  <c r="I75" i="3" s="1"/>
  <c r="H75" i="3" s="1"/>
  <c r="AD301" i="1"/>
  <c r="AD276" i="1"/>
  <c r="AD252" i="1"/>
  <c r="AD215" i="1"/>
  <c r="AD285" i="1"/>
  <c r="AD258" i="1"/>
  <c r="AD211" i="1"/>
  <c r="AD192" i="1"/>
  <c r="AD180" i="1"/>
  <c r="AD183" i="1"/>
  <c r="AD220" i="1"/>
  <c r="AD312" i="1"/>
  <c r="AD284" i="1"/>
  <c r="AD239" i="1"/>
  <c r="AD210" i="1"/>
  <c r="AD290" i="1"/>
  <c r="AD254" i="1"/>
  <c r="AD224" i="1"/>
  <c r="AD203" i="1"/>
  <c r="AD298" i="1"/>
  <c r="AD269" i="1"/>
  <c r="AD248" i="1"/>
  <c r="AD207" i="1"/>
  <c r="K76" i="3" s="1"/>
  <c r="I76" i="3" s="1"/>
  <c r="H76" i="3" s="1"/>
  <c r="AD274" i="1"/>
  <c r="AD241" i="1"/>
  <c r="AD209" i="1"/>
  <c r="K136" i="3" s="1"/>
  <c r="I136" i="3" s="1"/>
  <c r="H136" i="3" s="1"/>
  <c r="AD176" i="1"/>
  <c r="E107" i="3"/>
  <c r="C107" i="3" s="1"/>
  <c r="B107" i="3" s="1"/>
  <c r="AD181" i="1"/>
  <c r="AD204" i="1"/>
  <c r="AD299" i="1"/>
  <c r="AD250" i="1"/>
  <c r="AD313" i="1"/>
  <c r="AD280" i="1"/>
  <c r="AD245" i="1"/>
  <c r="AD222" i="1"/>
  <c r="AD198" i="1"/>
  <c r="AD297" i="1"/>
  <c r="AD266" i="1"/>
  <c r="AD246" i="1"/>
  <c r="AD202" i="1"/>
  <c r="AD278" i="1"/>
  <c r="AD247" i="1"/>
  <c r="AD206" i="1"/>
  <c r="K107" i="3" s="1"/>
  <c r="I107" i="3" s="1"/>
  <c r="H107" i="3" s="1"/>
  <c r="AD173" i="1"/>
  <c r="E46" i="3"/>
  <c r="C46" i="3" s="1"/>
  <c r="B46" i="3" s="1"/>
  <c r="AD195" i="1"/>
  <c r="AD177" i="1"/>
  <c r="K169" i="3" s="1"/>
  <c r="I169" i="3" s="1"/>
  <c r="H169" i="3" s="1"/>
  <c r="E128" i="3"/>
  <c r="C128" i="3" s="1"/>
  <c r="B128" i="3" s="1"/>
  <c r="AD174" i="1"/>
  <c r="E65" i="3"/>
  <c r="C65" i="3" s="1"/>
  <c r="B65" i="3" s="1"/>
  <c r="AD306" i="1"/>
  <c r="AD277" i="1"/>
  <c r="AD232" i="1"/>
  <c r="AD310" i="1"/>
  <c r="AD273" i="1"/>
  <c r="AD244" i="1"/>
  <c r="AD221" i="1"/>
  <c r="AD197" i="1"/>
  <c r="AD291" i="1"/>
  <c r="AD264" i="1"/>
  <c r="AD243" i="1"/>
  <c r="AD200" i="1"/>
  <c r="AD271" i="1"/>
  <c r="AD235" i="1"/>
  <c r="AD199" i="1"/>
  <c r="AD188" i="1"/>
  <c r="AD190" i="1"/>
  <c r="AD182" i="1"/>
  <c r="AD293" i="1"/>
  <c r="AD226" i="1"/>
  <c r="AD305" i="1"/>
  <c r="AD272" i="1"/>
  <c r="AD242" i="1"/>
  <c r="AD218" i="1"/>
  <c r="AD315" i="1"/>
  <c r="AD287" i="1"/>
  <c r="AD261" i="1"/>
  <c r="AD237" i="1"/>
  <c r="AD314" i="1"/>
  <c r="AD275" i="1"/>
  <c r="AD238" i="1"/>
  <c r="AD201" i="1"/>
  <c r="AD193" i="1"/>
  <c r="AD189" i="1"/>
  <c r="AD282" i="1"/>
  <c r="AD184" i="1"/>
  <c r="AD300" i="1"/>
  <c r="AD267" i="1"/>
  <c r="AD225" i="1"/>
  <c r="AD302" i="1"/>
  <c r="AD268" i="1"/>
  <c r="AD240" i="1"/>
  <c r="AD214" i="1"/>
  <c r="AD308" i="1"/>
  <c r="AD286" i="1"/>
  <c r="AD260" i="1"/>
  <c r="AD234" i="1"/>
  <c r="AD307" i="1"/>
  <c r="AD259" i="1"/>
  <c r="AD223" i="1"/>
  <c r="AD194" i="1"/>
  <c r="AD179" i="1"/>
  <c r="E171" i="3"/>
  <c r="C171" i="3" s="1"/>
  <c r="B171" i="3" s="1"/>
  <c r="AD178" i="1"/>
  <c r="E150" i="3"/>
  <c r="C150" i="3" s="1"/>
  <c r="B150" i="3" s="1"/>
  <c r="AD311" i="1"/>
  <c r="AD270" i="1"/>
  <c r="AD219" i="1"/>
  <c r="AD296" i="1"/>
  <c r="AD263" i="1"/>
  <c r="AD236" i="1"/>
  <c r="AD212" i="1"/>
  <c r="AD309" i="1"/>
  <c r="AD283" i="1"/>
  <c r="AD256" i="1"/>
  <c r="AD231" i="1"/>
  <c r="AD289" i="1"/>
  <c r="AD262" i="1"/>
  <c r="AD228" i="1"/>
  <c r="AD196" i="1"/>
  <c r="A183" i="3"/>
  <c r="I20" i="3" l="1"/>
  <c r="H20" i="3" s="1"/>
  <c r="K151" i="3"/>
  <c r="I151" i="3" s="1"/>
  <c r="H151" i="3" s="1"/>
  <c r="K139" i="3"/>
  <c r="I139" i="3" s="1"/>
  <c r="H139" i="3" s="1"/>
  <c r="K89" i="3"/>
  <c r="I89" i="3" s="1"/>
  <c r="H89" i="3" s="1"/>
  <c r="K77" i="3"/>
  <c r="I77" i="3" s="1"/>
  <c r="H77" i="3" s="1"/>
  <c r="K62" i="3"/>
  <c r="I62" i="3" s="1"/>
  <c r="H62" i="3" s="1"/>
  <c r="K50" i="3"/>
  <c r="I50" i="3" s="1"/>
  <c r="H50" i="3" s="1"/>
  <c r="K14" i="3"/>
  <c r="I14" i="3" s="1"/>
  <c r="H14" i="3" s="1"/>
  <c r="L183" i="3"/>
  <c r="F183" i="3"/>
  <c r="J183" i="3"/>
  <c r="D183" i="3"/>
  <c r="K183" i="3"/>
  <c r="E183" i="3"/>
  <c r="K48" i="3"/>
  <c r="I48" i="3" s="1"/>
  <c r="H48" i="3" s="1"/>
  <c r="K138" i="3"/>
  <c r="I138" i="3" s="1"/>
  <c r="H138" i="3" s="1"/>
  <c r="K168" i="3"/>
  <c r="I168" i="3" s="1"/>
  <c r="H168" i="3" s="1"/>
  <c r="K181" i="3"/>
  <c r="I181" i="3" s="1"/>
  <c r="H181" i="3" s="1"/>
  <c r="K90" i="3"/>
  <c r="I90" i="3" s="1"/>
  <c r="H90" i="3" s="1"/>
  <c r="K149" i="3"/>
  <c r="I149" i="3" s="1"/>
  <c r="H149" i="3" s="1"/>
  <c r="K27" i="3"/>
  <c r="I27" i="3" s="1"/>
  <c r="H27" i="3" s="1"/>
  <c r="K59" i="3"/>
  <c r="I59" i="3" s="1"/>
  <c r="H59" i="3" s="1"/>
  <c r="K120" i="3"/>
  <c r="I120" i="3" s="1"/>
  <c r="H120" i="3" s="1"/>
  <c r="C182" i="3"/>
  <c r="B182" i="3" s="1"/>
  <c r="I182" i="3"/>
  <c r="H182" i="3" s="1"/>
  <c r="A184" i="3"/>
  <c r="L184" i="3" l="1"/>
  <c r="F184" i="3"/>
  <c r="J184" i="3"/>
  <c r="D184" i="3"/>
  <c r="K184" i="3"/>
  <c r="E184" i="3"/>
  <c r="I183" i="3"/>
  <c r="H183" i="3" s="1"/>
  <c r="A185" i="3"/>
  <c r="C183" i="3"/>
  <c r="B183" i="3" s="1"/>
  <c r="L185" i="3" l="1"/>
  <c r="F185" i="3"/>
  <c r="J185" i="3"/>
  <c r="D185" i="3"/>
  <c r="K185" i="3"/>
  <c r="E185" i="3"/>
  <c r="I184" i="3"/>
  <c r="H184" i="3" s="1"/>
  <c r="A186" i="3"/>
  <c r="C184" i="3"/>
  <c r="B184" i="3" s="1"/>
  <c r="L186" i="3" l="1"/>
  <c r="F186" i="3"/>
  <c r="J186" i="3"/>
  <c r="D186" i="3"/>
  <c r="K186" i="3"/>
  <c r="E186" i="3"/>
  <c r="C185" i="3"/>
  <c r="B185" i="3" s="1"/>
  <c r="I185" i="3"/>
  <c r="H185" i="3" s="1"/>
  <c r="A187" i="3"/>
  <c r="F187" i="3" l="1"/>
  <c r="E187" i="3"/>
  <c r="L187" i="3"/>
  <c r="J187" i="3"/>
  <c r="D187" i="3"/>
  <c r="K187" i="3"/>
  <c r="C186" i="3"/>
  <c r="B186" i="3" s="1"/>
  <c r="I186" i="3"/>
  <c r="H186" i="3" s="1"/>
  <c r="A188" i="3"/>
  <c r="L188" i="3" l="1"/>
  <c r="F188" i="3"/>
  <c r="J188" i="3"/>
  <c r="D188" i="3"/>
  <c r="K188" i="3"/>
  <c r="E188" i="3"/>
  <c r="C187" i="3"/>
  <c r="B187" i="3" s="1"/>
  <c r="A189" i="3"/>
  <c r="I187" i="3"/>
  <c r="H187" i="3" s="1"/>
  <c r="L189" i="3" l="1"/>
  <c r="F189" i="3"/>
  <c r="J189" i="3"/>
  <c r="D189" i="3"/>
  <c r="K189" i="3"/>
  <c r="E189" i="3"/>
  <c r="C188" i="3"/>
  <c r="B188" i="3" s="1"/>
  <c r="A190" i="3"/>
  <c r="I188" i="3"/>
  <c r="H188" i="3" s="1"/>
  <c r="L190" i="3" l="1"/>
  <c r="F190" i="3"/>
  <c r="J190" i="3"/>
  <c r="D190" i="3"/>
  <c r="K190" i="3"/>
  <c r="E190" i="3"/>
  <c r="C189" i="3"/>
  <c r="B189" i="3" s="1"/>
  <c r="I189" i="3"/>
  <c r="H189" i="3" s="1"/>
  <c r="A191" i="3"/>
  <c r="L191" i="3" l="1"/>
  <c r="F191" i="3"/>
  <c r="J191" i="3"/>
  <c r="D191" i="3"/>
  <c r="K191" i="3"/>
  <c r="E191" i="3"/>
  <c r="I190" i="3"/>
  <c r="H190" i="3" s="1"/>
  <c r="C190" i="3"/>
  <c r="B190" i="3" s="1"/>
  <c r="A192" i="3"/>
  <c r="L192" i="3" l="1"/>
  <c r="F192" i="3"/>
  <c r="J192" i="3"/>
  <c r="D192" i="3"/>
  <c r="K192" i="3"/>
  <c r="E192" i="3"/>
  <c r="C191" i="3"/>
  <c r="B191" i="3" s="1"/>
  <c r="A193" i="3"/>
  <c r="I191" i="3"/>
  <c r="H191" i="3" s="1"/>
  <c r="L193" i="3" l="1"/>
  <c r="F193" i="3"/>
  <c r="J193" i="3"/>
  <c r="D193" i="3"/>
  <c r="K193" i="3"/>
  <c r="E193" i="3"/>
  <c r="I192" i="3"/>
  <c r="H192" i="3" s="1"/>
  <c r="C192" i="3"/>
  <c r="B192" i="3" s="1"/>
  <c r="A194" i="3"/>
  <c r="F194" i="3" l="1"/>
  <c r="L194" i="3"/>
  <c r="J194" i="3"/>
  <c r="D194" i="3"/>
  <c r="K194" i="3"/>
  <c r="E194" i="3"/>
  <c r="I193" i="3"/>
  <c r="H193" i="3" s="1"/>
  <c r="A195" i="3"/>
  <c r="C193" i="3"/>
  <c r="B193" i="3" s="1"/>
  <c r="L195" i="3" l="1"/>
  <c r="F195" i="3"/>
  <c r="J195" i="3"/>
  <c r="D195" i="3"/>
  <c r="K195" i="3"/>
  <c r="E195" i="3"/>
  <c r="C194" i="3"/>
  <c r="B194" i="3" s="1"/>
  <c r="A196" i="3"/>
  <c r="I194" i="3"/>
  <c r="H194" i="3" s="1"/>
  <c r="L196" i="3" l="1"/>
  <c r="F196" i="3"/>
  <c r="J196" i="3"/>
  <c r="D196" i="3"/>
  <c r="K196" i="3"/>
  <c r="E196" i="3"/>
  <c r="C195" i="3"/>
  <c r="B195" i="3" s="1"/>
  <c r="A197" i="3"/>
  <c r="I195" i="3"/>
  <c r="H195" i="3" s="1"/>
  <c r="L197" i="3" l="1"/>
  <c r="F197" i="3"/>
  <c r="J197" i="3"/>
  <c r="D197" i="3"/>
  <c r="K197" i="3"/>
  <c r="E197" i="3"/>
  <c r="I196" i="3"/>
  <c r="H196" i="3" s="1"/>
  <c r="C196" i="3"/>
  <c r="B196" i="3" s="1"/>
  <c r="A198" i="3"/>
  <c r="L198" i="3" l="1"/>
  <c r="F198" i="3"/>
  <c r="D198" i="3"/>
  <c r="E198" i="3"/>
  <c r="J198" i="3"/>
  <c r="K198" i="3"/>
  <c r="I197" i="3"/>
  <c r="H197" i="3" s="1"/>
  <c r="C197" i="3"/>
  <c r="B197" i="3" s="1"/>
  <c r="A199" i="3"/>
  <c r="L199" i="3" l="1"/>
  <c r="F199" i="3"/>
  <c r="J199" i="3"/>
  <c r="D199" i="3"/>
  <c r="K199" i="3"/>
  <c r="E199" i="3"/>
  <c r="I198" i="3"/>
  <c r="H198" i="3" s="1"/>
  <c r="C198" i="3"/>
  <c r="B198" i="3" s="1"/>
  <c r="A200" i="3"/>
  <c r="L200" i="3" l="1"/>
  <c r="J200" i="3"/>
  <c r="D200" i="3"/>
  <c r="K200" i="3"/>
  <c r="E200" i="3"/>
  <c r="I199" i="3"/>
  <c r="H199" i="3" s="1"/>
  <c r="C199" i="3"/>
  <c r="B199" i="3" s="1"/>
  <c r="A201" i="3"/>
  <c r="L201" i="3" l="1"/>
  <c r="F201" i="3"/>
  <c r="J201" i="3"/>
  <c r="D201" i="3"/>
  <c r="K201" i="3"/>
  <c r="E201" i="3"/>
  <c r="I200" i="3"/>
  <c r="H200" i="3" s="1"/>
  <c r="A202" i="3"/>
  <c r="L202" i="3" l="1"/>
  <c r="F202" i="3"/>
  <c r="J202" i="3"/>
  <c r="D202" i="3"/>
  <c r="K202" i="3"/>
  <c r="E202" i="3"/>
  <c r="I201" i="3"/>
  <c r="H201" i="3" s="1"/>
  <c r="C201" i="3"/>
  <c r="B201" i="3" s="1"/>
  <c r="A203" i="3"/>
  <c r="L203" i="3" l="1"/>
  <c r="F203" i="3"/>
  <c r="J203" i="3"/>
  <c r="D203" i="3"/>
  <c r="K203" i="3"/>
  <c r="E203" i="3"/>
  <c r="I202" i="3"/>
  <c r="H202" i="3" s="1"/>
  <c r="C202" i="3"/>
  <c r="B202" i="3" s="1"/>
  <c r="A204" i="3"/>
  <c r="L204" i="3" l="1"/>
  <c r="F204" i="3"/>
  <c r="J204" i="3"/>
  <c r="D204" i="3"/>
  <c r="K204" i="3"/>
  <c r="E204" i="3"/>
  <c r="C203" i="3"/>
  <c r="B203" i="3" s="1"/>
  <c r="I203" i="3"/>
  <c r="H203" i="3" s="1"/>
  <c r="A205" i="3"/>
  <c r="L205" i="3" l="1"/>
  <c r="F205" i="3"/>
  <c r="J205" i="3"/>
  <c r="D205" i="3"/>
  <c r="K205" i="3"/>
  <c r="E205" i="3"/>
  <c r="C204" i="3"/>
  <c r="B204" i="3" s="1"/>
  <c r="I204" i="3"/>
  <c r="H204" i="3" s="1"/>
  <c r="A206" i="3"/>
  <c r="L206" i="3" l="1"/>
  <c r="F206" i="3"/>
  <c r="J206" i="3"/>
  <c r="D206" i="3"/>
  <c r="K206" i="3"/>
  <c r="E206" i="3"/>
  <c r="C205" i="3"/>
  <c r="B205" i="3" s="1"/>
  <c r="A207" i="3"/>
  <c r="I205" i="3"/>
  <c r="H205" i="3" s="1"/>
  <c r="L207" i="3" l="1"/>
  <c r="F207" i="3"/>
  <c r="J207" i="3"/>
  <c r="D207" i="3"/>
  <c r="K207" i="3"/>
  <c r="E207" i="3"/>
  <c r="I206" i="3"/>
  <c r="H206" i="3" s="1"/>
  <c r="C206" i="3"/>
  <c r="B206" i="3" s="1"/>
  <c r="A208" i="3"/>
  <c r="F208" i="3" l="1"/>
  <c r="E208" i="3"/>
  <c r="L208" i="3"/>
  <c r="J208" i="3"/>
  <c r="D208" i="3"/>
  <c r="K208" i="3"/>
  <c r="C207" i="3"/>
  <c r="B207" i="3" s="1"/>
  <c r="A209" i="3"/>
  <c r="I207" i="3"/>
  <c r="H207" i="3" s="1"/>
  <c r="L209" i="3" l="1"/>
  <c r="F209" i="3"/>
  <c r="J209" i="3"/>
  <c r="D209" i="3"/>
  <c r="K209" i="3"/>
  <c r="E209" i="3"/>
  <c r="I208" i="3"/>
  <c r="H208" i="3" s="1"/>
  <c r="C208" i="3"/>
  <c r="B208" i="3" s="1"/>
  <c r="A210" i="3"/>
  <c r="L210" i="3" l="1"/>
  <c r="F210" i="3"/>
  <c r="J210" i="3"/>
  <c r="D210" i="3"/>
  <c r="K210" i="3"/>
  <c r="E210" i="3"/>
  <c r="C209" i="3"/>
  <c r="B209" i="3" s="1"/>
  <c r="I209" i="3"/>
  <c r="H209" i="3" s="1"/>
  <c r="A211" i="3"/>
  <c r="F211" i="3" l="1"/>
  <c r="L211" i="3"/>
  <c r="D211" i="3"/>
  <c r="E211" i="3"/>
  <c r="J211" i="3"/>
  <c r="K211" i="3"/>
  <c r="I210" i="3"/>
  <c r="H210" i="3" s="1"/>
  <c r="C210" i="3"/>
  <c r="B210" i="3" s="1"/>
  <c r="A212" i="3"/>
  <c r="I211" i="3" l="1"/>
  <c r="H211" i="3" s="1"/>
  <c r="L212" i="3"/>
  <c r="F212" i="3"/>
  <c r="J212" i="3"/>
  <c r="D212" i="3"/>
  <c r="K212" i="3"/>
  <c r="E212" i="3"/>
  <c r="A213" i="3"/>
  <c r="C211" i="3"/>
  <c r="B211" i="3" s="1"/>
  <c r="L213" i="3" l="1"/>
  <c r="F213" i="3"/>
  <c r="J213" i="3"/>
  <c r="D213" i="3"/>
  <c r="K213" i="3"/>
  <c r="E213" i="3"/>
  <c r="I212" i="3"/>
  <c r="H212" i="3" s="1"/>
  <c r="C212" i="3"/>
  <c r="B212" i="3" s="1"/>
  <c r="A214" i="3"/>
  <c r="L214" i="3" l="1"/>
  <c r="F214" i="3"/>
  <c r="J214" i="3"/>
  <c r="D214" i="3"/>
  <c r="K214" i="3"/>
  <c r="E214" i="3"/>
  <c r="C213" i="3"/>
  <c r="B213" i="3" s="1"/>
  <c r="I213" i="3"/>
  <c r="H213" i="3" s="1"/>
  <c r="A215" i="3"/>
  <c r="F215" i="3" l="1"/>
  <c r="L215" i="3"/>
  <c r="J215" i="3"/>
  <c r="D215" i="3"/>
  <c r="K215" i="3"/>
  <c r="E215" i="3"/>
  <c r="C214" i="3"/>
  <c r="B214" i="3" s="1"/>
  <c r="A216" i="3"/>
  <c r="I214" i="3"/>
  <c r="H214" i="3" s="1"/>
  <c r="L216" i="3" l="1"/>
  <c r="F216" i="3"/>
  <c r="J216" i="3"/>
  <c r="D216" i="3"/>
  <c r="K216" i="3"/>
  <c r="E216" i="3"/>
  <c r="C215" i="3"/>
  <c r="B215" i="3" s="1"/>
  <c r="A217" i="3"/>
  <c r="I215" i="3"/>
  <c r="H215" i="3" s="1"/>
  <c r="L217" i="3" l="1"/>
  <c r="F217" i="3"/>
  <c r="J217" i="3"/>
  <c r="D217" i="3"/>
  <c r="K217" i="3"/>
  <c r="E217" i="3"/>
  <c r="C216" i="3"/>
  <c r="B216" i="3" s="1"/>
  <c r="I216" i="3"/>
  <c r="H216" i="3" s="1"/>
  <c r="A218" i="3"/>
  <c r="L218" i="3" l="1"/>
  <c r="F218" i="3"/>
  <c r="J218" i="3"/>
  <c r="D218" i="3"/>
  <c r="K218" i="3"/>
  <c r="E218" i="3"/>
  <c r="C217" i="3"/>
  <c r="B217" i="3" s="1"/>
  <c r="A219" i="3"/>
  <c r="I217" i="3"/>
  <c r="H217" i="3" s="1"/>
  <c r="L219" i="3" l="1"/>
  <c r="F219" i="3"/>
  <c r="J219" i="3"/>
  <c r="D219" i="3"/>
  <c r="K219" i="3"/>
  <c r="E219" i="3"/>
  <c r="C218" i="3"/>
  <c r="B218" i="3" s="1"/>
  <c r="I218" i="3"/>
  <c r="H218" i="3" s="1"/>
  <c r="A220" i="3"/>
  <c r="L220" i="3" l="1"/>
  <c r="F220" i="3"/>
  <c r="J220" i="3"/>
  <c r="D220" i="3"/>
  <c r="K220" i="3"/>
  <c r="E220" i="3"/>
  <c r="C219" i="3"/>
  <c r="B219" i="3" s="1"/>
  <c r="A221" i="3"/>
  <c r="I219" i="3"/>
  <c r="H219" i="3" s="1"/>
  <c r="L221" i="3" l="1"/>
  <c r="F221" i="3"/>
  <c r="J221" i="3"/>
  <c r="D221" i="3"/>
  <c r="K221" i="3"/>
  <c r="E221" i="3"/>
  <c r="I220" i="3"/>
  <c r="H220" i="3" s="1"/>
  <c r="A222" i="3"/>
  <c r="C220" i="3"/>
  <c r="B220" i="3" s="1"/>
  <c r="L222" i="3" l="1"/>
  <c r="F222" i="3"/>
  <c r="J222" i="3"/>
  <c r="D222" i="3"/>
  <c r="K222" i="3"/>
  <c r="E222" i="3"/>
  <c r="C221" i="3"/>
  <c r="B221" i="3" s="1"/>
  <c r="A223" i="3"/>
  <c r="I221" i="3"/>
  <c r="H221" i="3" s="1"/>
  <c r="L223" i="3" l="1"/>
  <c r="J223" i="3"/>
  <c r="D223" i="3"/>
  <c r="K223" i="3"/>
  <c r="E223" i="3"/>
  <c r="A224" i="3"/>
  <c r="C222" i="3"/>
  <c r="B222" i="3" s="1"/>
  <c r="I222" i="3"/>
  <c r="H222" i="3" s="1"/>
  <c r="L224" i="3" l="1"/>
  <c r="F224" i="3"/>
  <c r="J224" i="3"/>
  <c r="D224" i="3"/>
  <c r="K224" i="3"/>
  <c r="E224" i="3"/>
  <c r="A225" i="3"/>
  <c r="I223" i="3"/>
  <c r="H223" i="3" s="1"/>
  <c r="L225" i="3" l="1"/>
  <c r="F225" i="3"/>
  <c r="J225" i="3"/>
  <c r="D225" i="3"/>
  <c r="K225" i="3"/>
  <c r="E225" i="3"/>
  <c r="I224" i="3"/>
  <c r="H224" i="3" s="1"/>
  <c r="A226" i="3"/>
  <c r="C224" i="3"/>
  <c r="B224" i="3" s="1"/>
  <c r="L226" i="3" l="1"/>
  <c r="F226" i="3"/>
  <c r="J226" i="3"/>
  <c r="D226" i="3"/>
  <c r="K226" i="3"/>
  <c r="E226" i="3"/>
  <c r="C225" i="3"/>
  <c r="B225" i="3" s="1"/>
  <c r="A227" i="3"/>
  <c r="I225" i="3"/>
  <c r="H225" i="3" s="1"/>
  <c r="L227" i="3" l="1"/>
  <c r="F227" i="3"/>
  <c r="J227" i="3"/>
  <c r="D227" i="3"/>
  <c r="K227" i="3"/>
  <c r="E227" i="3"/>
  <c r="C226" i="3"/>
  <c r="B226" i="3" s="1"/>
  <c r="A228" i="3"/>
  <c r="I226" i="3"/>
  <c r="H226" i="3" s="1"/>
  <c r="F228" i="3" l="1"/>
  <c r="E228" i="3"/>
  <c r="L228" i="3"/>
  <c r="J228" i="3"/>
  <c r="D228" i="3"/>
  <c r="K228" i="3"/>
  <c r="C227" i="3"/>
  <c r="B227" i="3" s="1"/>
  <c r="A229" i="3"/>
  <c r="I227" i="3"/>
  <c r="H227" i="3" s="1"/>
  <c r="L229" i="3" l="1"/>
  <c r="F229" i="3"/>
  <c r="J229" i="3"/>
  <c r="D229" i="3"/>
  <c r="K229" i="3"/>
  <c r="E229" i="3"/>
  <c r="I228" i="3"/>
  <c r="H228" i="3" s="1"/>
  <c r="A230" i="3"/>
  <c r="C228" i="3"/>
  <c r="B228" i="3" s="1"/>
  <c r="L230" i="3" l="1"/>
  <c r="F230" i="3"/>
  <c r="D230" i="3"/>
  <c r="E230" i="3"/>
  <c r="J230" i="3"/>
  <c r="K230" i="3"/>
  <c r="C229" i="3"/>
  <c r="B229" i="3" s="1"/>
  <c r="A231" i="3"/>
  <c r="I229" i="3"/>
  <c r="H229" i="3" s="1"/>
  <c r="L231" i="3" l="1"/>
  <c r="F231" i="3"/>
  <c r="J231" i="3"/>
  <c r="D231" i="3"/>
  <c r="K231" i="3"/>
  <c r="E231" i="3"/>
  <c r="C230" i="3"/>
  <c r="B230" i="3" s="1"/>
  <c r="A232" i="3"/>
  <c r="I230" i="3"/>
  <c r="H230" i="3" s="1"/>
  <c r="L232" i="3" l="1"/>
  <c r="F232" i="3"/>
  <c r="J232" i="3"/>
  <c r="D232" i="3"/>
  <c r="K232" i="3"/>
  <c r="E232" i="3"/>
  <c r="C231" i="3"/>
  <c r="B231" i="3" s="1"/>
  <c r="A233" i="3"/>
  <c r="I231" i="3"/>
  <c r="H231" i="3" s="1"/>
  <c r="L233" i="3" l="1"/>
  <c r="F233" i="3"/>
  <c r="J233" i="3"/>
  <c r="D233" i="3"/>
  <c r="K233" i="3"/>
  <c r="E233" i="3"/>
  <c r="I232" i="3"/>
  <c r="H232" i="3" s="1"/>
  <c r="C232" i="3"/>
  <c r="B232" i="3" s="1"/>
  <c r="A234" i="3"/>
  <c r="L234" i="3" l="1"/>
  <c r="F234" i="3"/>
  <c r="J234" i="3"/>
  <c r="D234" i="3"/>
  <c r="K234" i="3"/>
  <c r="E234" i="3"/>
  <c r="C233" i="3"/>
  <c r="B233" i="3" s="1"/>
  <c r="I233" i="3"/>
  <c r="H233" i="3" s="1"/>
  <c r="A235" i="3"/>
  <c r="F235" i="3" l="1"/>
  <c r="L235" i="3"/>
  <c r="J235" i="3"/>
  <c r="D235" i="3"/>
  <c r="K235" i="3"/>
  <c r="E235" i="3"/>
  <c r="C234" i="3"/>
  <c r="B234" i="3" s="1"/>
  <c r="A236" i="3"/>
  <c r="I234" i="3"/>
  <c r="H234" i="3" s="1"/>
  <c r="L236" i="3" l="1"/>
  <c r="F236" i="3"/>
  <c r="J236" i="3"/>
  <c r="D236" i="3"/>
  <c r="K236" i="3"/>
  <c r="E236" i="3"/>
  <c r="C235" i="3"/>
  <c r="B235" i="3" s="1"/>
  <c r="A237" i="3"/>
  <c r="I235" i="3"/>
  <c r="H235" i="3" s="1"/>
  <c r="L237" i="3" l="1"/>
  <c r="F237" i="3"/>
  <c r="J237" i="3"/>
  <c r="D237" i="3"/>
  <c r="K237" i="3"/>
  <c r="E237" i="3"/>
  <c r="I236" i="3"/>
  <c r="H236" i="3" s="1"/>
  <c r="C236" i="3"/>
  <c r="B236" i="3" s="1"/>
  <c r="A238" i="3"/>
  <c r="L238" i="3" l="1"/>
  <c r="F238" i="3"/>
  <c r="J238" i="3"/>
  <c r="D238" i="3"/>
  <c r="K238" i="3"/>
  <c r="E238" i="3"/>
  <c r="C237" i="3"/>
  <c r="B237" i="3" s="1"/>
  <c r="A239" i="3"/>
  <c r="I237" i="3"/>
  <c r="H237" i="3" s="1"/>
  <c r="L239" i="3" l="1"/>
  <c r="F239" i="3"/>
  <c r="D239" i="3"/>
  <c r="J239" i="3"/>
  <c r="E239" i="3"/>
  <c r="K239" i="3"/>
  <c r="C238" i="3"/>
  <c r="B238" i="3" s="1"/>
  <c r="A240" i="3"/>
  <c r="I238" i="3"/>
  <c r="H238" i="3" s="1"/>
  <c r="L240" i="3" l="1"/>
  <c r="F240" i="3"/>
  <c r="J240" i="3"/>
  <c r="D240" i="3"/>
  <c r="K240" i="3"/>
  <c r="E240" i="3"/>
  <c r="C239" i="3"/>
  <c r="B239" i="3" s="1"/>
  <c r="I239" i="3"/>
  <c r="H239" i="3" s="1"/>
  <c r="A241" i="3"/>
  <c r="L241" i="3" l="1"/>
  <c r="F241" i="3"/>
  <c r="J241" i="3"/>
  <c r="D241" i="3"/>
  <c r="K241" i="3"/>
  <c r="E241" i="3"/>
  <c r="I240" i="3"/>
  <c r="H240" i="3" s="1"/>
  <c r="A242" i="3"/>
  <c r="C240" i="3"/>
  <c r="B240" i="3" s="1"/>
  <c r="F242" i="3" l="1"/>
  <c r="L242" i="3"/>
  <c r="D242" i="3"/>
  <c r="J242" i="3"/>
  <c r="E242" i="3"/>
  <c r="K242" i="3"/>
  <c r="C241" i="3"/>
  <c r="B241" i="3" s="1"/>
  <c r="A243" i="3"/>
  <c r="I241" i="3"/>
  <c r="H241" i="3" s="1"/>
  <c r="L243" i="3" l="1"/>
  <c r="F243" i="3"/>
  <c r="J243" i="3"/>
  <c r="D243" i="3"/>
  <c r="K243" i="3"/>
  <c r="E243" i="3"/>
  <c r="C242" i="3"/>
  <c r="B242" i="3" s="1"/>
  <c r="I242" i="3"/>
  <c r="H242" i="3" s="1"/>
  <c r="A244" i="3"/>
  <c r="L244" i="3" l="1"/>
  <c r="F244" i="3"/>
  <c r="J244" i="3"/>
  <c r="D244" i="3"/>
  <c r="K244" i="3"/>
  <c r="E244" i="3"/>
  <c r="C243" i="3"/>
  <c r="B243" i="3" s="1"/>
  <c r="A245" i="3"/>
  <c r="I243" i="3"/>
  <c r="H243" i="3" s="1"/>
  <c r="L245" i="3" l="1"/>
  <c r="J245" i="3"/>
  <c r="D245" i="3"/>
  <c r="K245" i="3"/>
  <c r="E245" i="3"/>
  <c r="I244" i="3"/>
  <c r="H244" i="3" s="1"/>
  <c r="C244" i="3"/>
  <c r="B244" i="3" s="1"/>
  <c r="A246" i="3"/>
  <c r="L246" i="3" l="1"/>
  <c r="F246" i="3"/>
  <c r="J246" i="3"/>
  <c r="D246" i="3"/>
  <c r="K246" i="3"/>
  <c r="E246" i="3"/>
  <c r="I245" i="3"/>
  <c r="H245" i="3" s="1"/>
  <c r="A247" i="3"/>
  <c r="L247" i="3" l="1"/>
  <c r="F247" i="3"/>
  <c r="J247" i="3"/>
  <c r="D247" i="3"/>
  <c r="K247" i="3"/>
  <c r="E247" i="3"/>
  <c r="C246" i="3"/>
  <c r="B246" i="3" s="1"/>
  <c r="A248" i="3"/>
  <c r="I246" i="3"/>
  <c r="H246" i="3" s="1"/>
  <c r="F248" i="3" l="1"/>
  <c r="E248" i="3"/>
  <c r="L248" i="3"/>
  <c r="J248" i="3"/>
  <c r="D248" i="3"/>
  <c r="K248" i="3"/>
  <c r="C247" i="3"/>
  <c r="B247" i="3" s="1"/>
  <c r="A249" i="3"/>
  <c r="I247" i="3"/>
  <c r="H247" i="3" s="1"/>
  <c r="L249" i="3" l="1"/>
  <c r="F249" i="3"/>
  <c r="J249" i="3"/>
  <c r="D249" i="3"/>
  <c r="K249" i="3"/>
  <c r="E249" i="3"/>
  <c r="I248" i="3"/>
  <c r="H248" i="3" s="1"/>
  <c r="C248" i="3"/>
  <c r="B248" i="3" s="1"/>
  <c r="A250" i="3"/>
  <c r="L250" i="3" l="1"/>
  <c r="F250" i="3"/>
  <c r="J250" i="3"/>
  <c r="D250" i="3"/>
  <c r="K250" i="3"/>
  <c r="E250" i="3"/>
  <c r="I249" i="3"/>
  <c r="H249" i="3" s="1"/>
  <c r="A251" i="3"/>
  <c r="C249" i="3"/>
  <c r="B249" i="3" s="1"/>
  <c r="L251" i="3" l="1"/>
  <c r="F251" i="3"/>
  <c r="J251" i="3"/>
  <c r="D251" i="3"/>
  <c r="K251" i="3"/>
  <c r="E251" i="3"/>
  <c r="C250" i="3"/>
  <c r="B250" i="3" s="1"/>
  <c r="I250" i="3"/>
  <c r="H250" i="3" s="1"/>
  <c r="A252" i="3"/>
  <c r="L252" i="3" l="1"/>
  <c r="F252" i="3"/>
  <c r="J252" i="3"/>
  <c r="D252" i="3"/>
  <c r="K252" i="3"/>
  <c r="E252" i="3"/>
  <c r="I251" i="3"/>
  <c r="H251" i="3" s="1"/>
  <c r="A253" i="3"/>
  <c r="C251" i="3"/>
  <c r="B251" i="3" s="1"/>
  <c r="L253" i="3" l="1"/>
  <c r="F253" i="3"/>
  <c r="J253" i="3"/>
  <c r="D253" i="3"/>
  <c r="K253" i="3"/>
  <c r="E253" i="3"/>
  <c r="I252" i="3"/>
  <c r="H252" i="3" s="1"/>
  <c r="C252" i="3"/>
  <c r="B252" i="3" s="1"/>
  <c r="A254" i="3"/>
  <c r="L254" i="3" l="1"/>
  <c r="F254" i="3"/>
  <c r="J254" i="3"/>
  <c r="D254" i="3"/>
  <c r="K254" i="3"/>
  <c r="E254" i="3"/>
  <c r="C253" i="3"/>
  <c r="B253" i="3" s="1"/>
  <c r="I253" i="3"/>
  <c r="H253" i="3" s="1"/>
  <c r="A255" i="3"/>
  <c r="F255" i="3" l="1"/>
  <c r="L255" i="3"/>
  <c r="J255" i="3"/>
  <c r="D255" i="3"/>
  <c r="K255" i="3"/>
  <c r="E255" i="3"/>
  <c r="I254" i="3"/>
  <c r="H254" i="3" s="1"/>
  <c r="A256" i="3"/>
  <c r="C254" i="3"/>
  <c r="B254" i="3" s="1"/>
  <c r="L256" i="3" l="1"/>
  <c r="F256" i="3"/>
  <c r="J256" i="3"/>
  <c r="D256" i="3"/>
  <c r="K256" i="3"/>
  <c r="E256" i="3"/>
  <c r="C255" i="3"/>
  <c r="B255" i="3" s="1"/>
  <c r="A257" i="3"/>
  <c r="I255" i="3"/>
  <c r="H255" i="3" s="1"/>
  <c r="L257" i="3" l="1"/>
  <c r="F257" i="3"/>
  <c r="D257" i="3"/>
  <c r="J257" i="3"/>
  <c r="E257" i="3"/>
  <c r="K257" i="3"/>
  <c r="C256" i="3"/>
  <c r="B256" i="3" s="1"/>
  <c r="A258" i="3"/>
  <c r="I256" i="3"/>
  <c r="H256" i="3" s="1"/>
  <c r="L258" i="3" l="1"/>
  <c r="F258" i="3"/>
  <c r="J258" i="3"/>
  <c r="D258" i="3"/>
  <c r="K258" i="3"/>
  <c r="E258" i="3"/>
  <c r="C257" i="3"/>
  <c r="B257" i="3" s="1"/>
  <c r="A259" i="3"/>
  <c r="I257" i="3"/>
  <c r="H257" i="3" s="1"/>
  <c r="L259" i="3" l="1"/>
  <c r="F259" i="3"/>
  <c r="J259" i="3"/>
  <c r="D259" i="3"/>
  <c r="K259" i="3"/>
  <c r="E259" i="3"/>
  <c r="C258" i="3"/>
  <c r="B258" i="3" s="1"/>
  <c r="A260" i="3"/>
  <c r="I258" i="3"/>
  <c r="H258" i="3" s="1"/>
  <c r="L260" i="3" l="1"/>
  <c r="F260" i="3"/>
  <c r="J260" i="3"/>
  <c r="D260" i="3"/>
  <c r="K260" i="3"/>
  <c r="E260" i="3"/>
  <c r="C259" i="3"/>
  <c r="B259" i="3" s="1"/>
  <c r="A261" i="3"/>
  <c r="I259" i="3"/>
  <c r="H259" i="3" s="1"/>
  <c r="L261" i="3" l="1"/>
  <c r="F261" i="3"/>
  <c r="J261" i="3"/>
  <c r="D261" i="3"/>
  <c r="K261" i="3"/>
  <c r="E261" i="3"/>
  <c r="I260" i="3"/>
  <c r="H260" i="3" s="1"/>
  <c r="C260" i="3"/>
  <c r="B260" i="3" s="1"/>
  <c r="A262" i="3"/>
  <c r="L262" i="3" l="1"/>
  <c r="F262" i="3"/>
  <c r="J262" i="3"/>
  <c r="D262" i="3"/>
  <c r="K262" i="3"/>
  <c r="E262" i="3"/>
  <c r="A263" i="3"/>
  <c r="I261" i="3"/>
  <c r="H261" i="3" s="1"/>
  <c r="C261" i="3"/>
  <c r="B261" i="3" s="1"/>
  <c r="L263" i="3" l="1"/>
  <c r="F263" i="3"/>
  <c r="J263" i="3"/>
  <c r="D263" i="3"/>
  <c r="K263" i="3"/>
  <c r="E263" i="3"/>
  <c r="C262" i="3"/>
  <c r="B262" i="3" s="1"/>
  <c r="A264" i="3"/>
  <c r="I262" i="3"/>
  <c r="H262" i="3" s="1"/>
  <c r="L264" i="3" l="1"/>
  <c r="F264" i="3"/>
  <c r="J264" i="3"/>
  <c r="D264" i="3"/>
  <c r="K264" i="3"/>
  <c r="E264" i="3"/>
  <c r="C263" i="3"/>
  <c r="B263" i="3" s="1"/>
  <c r="A265" i="3"/>
  <c r="I263" i="3"/>
  <c r="H263" i="3" s="1"/>
  <c r="L265" i="3" l="1"/>
  <c r="F265" i="3"/>
  <c r="J265" i="3"/>
  <c r="D265" i="3"/>
  <c r="K265" i="3"/>
  <c r="E265" i="3"/>
  <c r="I264" i="3"/>
  <c r="H264" i="3" s="1"/>
  <c r="A266" i="3"/>
  <c r="C264" i="3"/>
  <c r="B264" i="3" s="1"/>
  <c r="L266" i="3" l="1"/>
  <c r="J266" i="3"/>
  <c r="D266" i="3"/>
  <c r="K266" i="3"/>
  <c r="E266" i="3"/>
  <c r="I265" i="3"/>
  <c r="H265" i="3" s="1"/>
  <c r="C265" i="3"/>
  <c r="B265" i="3" s="1"/>
  <c r="A267" i="3"/>
  <c r="L267" i="3" l="1"/>
  <c r="F267" i="3"/>
  <c r="J267" i="3"/>
  <c r="D267" i="3"/>
  <c r="K267" i="3"/>
  <c r="E267" i="3"/>
  <c r="A268" i="3"/>
  <c r="I266" i="3"/>
  <c r="H266" i="3" s="1"/>
  <c r="L268" i="3" l="1"/>
  <c r="F268" i="3"/>
  <c r="J268" i="3"/>
  <c r="D268" i="3"/>
  <c r="K268" i="3"/>
  <c r="E268" i="3"/>
  <c r="C267" i="3"/>
  <c r="B267" i="3" s="1"/>
  <c r="I267" i="3"/>
  <c r="H267" i="3" s="1"/>
  <c r="A269" i="3"/>
  <c r="C7" i="3"/>
  <c r="B7" i="3" s="1"/>
  <c r="C8" i="3"/>
  <c r="B8" i="3" s="1"/>
  <c r="L269" i="3" l="1"/>
  <c r="F269" i="3"/>
  <c r="J269" i="3"/>
  <c r="D269" i="3"/>
  <c r="K269" i="3"/>
  <c r="E269" i="3"/>
  <c r="I268" i="3"/>
  <c r="H268" i="3" s="1"/>
  <c r="C268" i="3"/>
  <c r="B268" i="3" s="1"/>
  <c r="A270" i="3"/>
  <c r="F270" i="3" l="1"/>
  <c r="E270" i="3"/>
  <c r="L270" i="3"/>
  <c r="J270" i="3"/>
  <c r="D270" i="3"/>
  <c r="K270" i="3"/>
  <c r="I269" i="3"/>
  <c r="H269" i="3" s="1"/>
  <c r="C269" i="3"/>
  <c r="B269" i="3" s="1"/>
  <c r="A271" i="3"/>
  <c r="L271" i="3" l="1"/>
  <c r="F271" i="3"/>
  <c r="J271" i="3"/>
  <c r="D271" i="3"/>
  <c r="K271" i="3"/>
  <c r="E271" i="3"/>
  <c r="I270" i="3"/>
  <c r="H270" i="3" s="1"/>
  <c r="C270" i="3"/>
  <c r="B270" i="3" s="1"/>
  <c r="A272" i="3"/>
  <c r="L272" i="3" l="1"/>
  <c r="F272" i="3"/>
  <c r="D272" i="3"/>
  <c r="E272" i="3"/>
  <c r="J272" i="3"/>
  <c r="K272" i="3"/>
  <c r="C271" i="3"/>
  <c r="B271" i="3" s="1"/>
  <c r="I271" i="3"/>
  <c r="H271" i="3" s="1"/>
  <c r="A273" i="3"/>
  <c r="L273" i="3" l="1"/>
  <c r="F273" i="3"/>
  <c r="J273" i="3"/>
  <c r="D273" i="3"/>
  <c r="K273" i="3"/>
  <c r="E273" i="3"/>
  <c r="I272" i="3"/>
  <c r="H272" i="3" s="1"/>
  <c r="A274" i="3"/>
  <c r="C272" i="3"/>
  <c r="B272" i="3" s="1"/>
  <c r="F274" i="3" l="1"/>
  <c r="L274" i="3"/>
  <c r="D274" i="3"/>
  <c r="J274" i="3"/>
  <c r="E274" i="3"/>
  <c r="K274" i="3"/>
  <c r="A275" i="3"/>
  <c r="C273" i="3"/>
  <c r="B273" i="3" s="1"/>
  <c r="I273" i="3"/>
  <c r="H273" i="3" s="1"/>
  <c r="L275" i="3" l="1"/>
  <c r="F275" i="3"/>
  <c r="J275" i="3"/>
  <c r="D275" i="3"/>
  <c r="K275" i="3"/>
  <c r="E275" i="3"/>
  <c r="C274" i="3"/>
  <c r="B274" i="3" s="1"/>
  <c r="I274" i="3"/>
  <c r="H274" i="3" s="1"/>
  <c r="A276" i="3"/>
  <c r="L276" i="3" l="1"/>
  <c r="F276" i="3"/>
  <c r="J276" i="3"/>
  <c r="D276" i="3"/>
  <c r="K276" i="3"/>
  <c r="E276" i="3"/>
  <c r="I275" i="3"/>
  <c r="H275" i="3" s="1"/>
  <c r="A277" i="3"/>
  <c r="C275" i="3"/>
  <c r="B275" i="3" s="1"/>
  <c r="F277" i="3" l="1"/>
  <c r="L277" i="3"/>
  <c r="J277" i="3"/>
  <c r="D277" i="3"/>
  <c r="K277" i="3"/>
  <c r="E277" i="3"/>
  <c r="I276" i="3"/>
  <c r="H276" i="3" s="1"/>
  <c r="A278" i="3"/>
  <c r="C276" i="3"/>
  <c r="B276" i="3" s="1"/>
  <c r="L278" i="3" l="1"/>
  <c r="F278" i="3"/>
  <c r="J278" i="3"/>
  <c r="D278" i="3"/>
  <c r="K278" i="3"/>
  <c r="E278" i="3"/>
  <c r="I277" i="3"/>
  <c r="H277" i="3" s="1"/>
  <c r="C277" i="3"/>
  <c r="B277" i="3" s="1"/>
  <c r="A279" i="3"/>
  <c r="L279" i="3" l="1"/>
  <c r="F279" i="3"/>
  <c r="J279" i="3"/>
  <c r="D279" i="3"/>
  <c r="K279" i="3"/>
  <c r="E279" i="3"/>
  <c r="I278" i="3"/>
  <c r="H278" i="3" s="1"/>
  <c r="A280" i="3"/>
  <c r="C278" i="3"/>
  <c r="B278" i="3" s="1"/>
  <c r="L280" i="3" l="1"/>
  <c r="F280" i="3"/>
  <c r="J280" i="3"/>
  <c r="D280" i="3"/>
  <c r="K280" i="3"/>
  <c r="E280" i="3"/>
  <c r="C279" i="3"/>
  <c r="B279" i="3" s="1"/>
  <c r="A281" i="3"/>
  <c r="I279" i="3"/>
  <c r="H279" i="3" s="1"/>
  <c r="L281" i="3" l="1"/>
  <c r="F281" i="3"/>
  <c r="J281" i="3"/>
  <c r="D281" i="3"/>
  <c r="K281" i="3"/>
  <c r="E281" i="3"/>
  <c r="I280" i="3"/>
  <c r="H280" i="3" s="1"/>
  <c r="C280" i="3"/>
  <c r="B280" i="3" s="1"/>
  <c r="A282" i="3"/>
  <c r="L282" i="3" l="1"/>
  <c r="F282" i="3"/>
  <c r="J282" i="3"/>
  <c r="D282" i="3"/>
  <c r="K282" i="3"/>
  <c r="E282" i="3"/>
  <c r="I281" i="3"/>
  <c r="H281" i="3" s="1"/>
  <c r="C281" i="3"/>
  <c r="B281" i="3" s="1"/>
  <c r="A283" i="3"/>
  <c r="L283" i="3" l="1"/>
  <c r="F283" i="3"/>
  <c r="J283" i="3"/>
  <c r="D283" i="3"/>
  <c r="K283" i="3"/>
  <c r="E283" i="3"/>
  <c r="I282" i="3"/>
  <c r="H282" i="3" s="1"/>
  <c r="A284" i="3"/>
  <c r="C282" i="3"/>
  <c r="B282" i="3" s="1"/>
  <c r="L284" i="3" l="1"/>
  <c r="F284" i="3"/>
  <c r="J284" i="3"/>
  <c r="D284" i="3"/>
  <c r="K284" i="3"/>
  <c r="E284" i="3"/>
  <c r="I283" i="3"/>
  <c r="H283" i="3" s="1"/>
  <c r="C283" i="3"/>
  <c r="B283" i="3" s="1"/>
  <c r="A285" i="3"/>
  <c r="L285" i="3" l="1"/>
  <c r="F285" i="3"/>
  <c r="J285" i="3"/>
  <c r="D285" i="3"/>
  <c r="K285" i="3"/>
  <c r="E285" i="3"/>
  <c r="I284" i="3"/>
  <c r="H284" i="3" s="1"/>
  <c r="A286" i="3"/>
  <c r="C284" i="3"/>
  <c r="B284" i="3" s="1"/>
  <c r="L286" i="3" l="1"/>
  <c r="F286" i="3"/>
  <c r="J286" i="3"/>
  <c r="D286" i="3"/>
  <c r="K286" i="3"/>
  <c r="E286" i="3"/>
  <c r="I285" i="3"/>
  <c r="H285" i="3" s="1"/>
  <c r="C285" i="3"/>
  <c r="B285" i="3" s="1"/>
  <c r="A287" i="3"/>
  <c r="L287" i="3" l="1"/>
  <c r="F287" i="3"/>
  <c r="J287" i="3"/>
  <c r="D287" i="3"/>
  <c r="K287" i="3"/>
  <c r="E287" i="3"/>
  <c r="I286" i="3"/>
  <c r="H286" i="3" s="1"/>
  <c r="C286" i="3"/>
  <c r="B286" i="3" s="1"/>
  <c r="A288" i="3"/>
  <c r="L288" i="3" l="1"/>
  <c r="F288" i="3"/>
  <c r="D288" i="3"/>
  <c r="E288" i="3"/>
  <c r="J288" i="3"/>
  <c r="K288" i="3"/>
  <c r="I287" i="3"/>
  <c r="H287" i="3" s="1"/>
  <c r="C287" i="3"/>
  <c r="B287" i="3" s="1"/>
  <c r="A289" i="3"/>
  <c r="L289" i="3" l="1"/>
  <c r="J289" i="3"/>
  <c r="D289" i="3"/>
  <c r="K289" i="3"/>
  <c r="E289" i="3"/>
  <c r="I288" i="3"/>
  <c r="H288" i="3" s="1"/>
  <c r="A290" i="3"/>
  <c r="C288" i="3"/>
  <c r="B288" i="3" s="1"/>
  <c r="L290" i="3" l="1"/>
  <c r="F290" i="3"/>
  <c r="J290" i="3"/>
  <c r="D290" i="3"/>
  <c r="K290" i="3"/>
  <c r="E290" i="3"/>
  <c r="I289" i="3"/>
  <c r="H289" i="3" s="1"/>
  <c r="A291" i="3"/>
  <c r="L291" i="3" l="1"/>
  <c r="F291" i="3"/>
  <c r="J291" i="3"/>
  <c r="D291" i="3"/>
  <c r="K291" i="3"/>
  <c r="E291" i="3"/>
  <c r="I290" i="3"/>
  <c r="H290" i="3" s="1"/>
  <c r="C290" i="3"/>
  <c r="B290" i="3" s="1"/>
  <c r="A292" i="3"/>
  <c r="F292" i="3" l="1"/>
  <c r="E292" i="3"/>
  <c r="L292" i="3"/>
  <c r="J292" i="3"/>
  <c r="D292" i="3"/>
  <c r="K292" i="3"/>
  <c r="I291" i="3"/>
  <c r="H291" i="3" s="1"/>
  <c r="A293" i="3"/>
  <c r="C291" i="3"/>
  <c r="B291" i="3" s="1"/>
  <c r="L293" i="3" l="1"/>
  <c r="F293" i="3"/>
  <c r="J293" i="3"/>
  <c r="D293" i="3"/>
  <c r="K293" i="3"/>
  <c r="E293" i="3"/>
  <c r="I292" i="3"/>
  <c r="H292" i="3" s="1"/>
  <c r="C292" i="3"/>
  <c r="B292" i="3" s="1"/>
  <c r="A294" i="3"/>
  <c r="L294" i="3" l="1"/>
  <c r="F294" i="3"/>
  <c r="J294" i="3"/>
  <c r="D294" i="3"/>
  <c r="K294" i="3"/>
  <c r="E294" i="3"/>
  <c r="A295" i="3"/>
  <c r="I293" i="3"/>
  <c r="H293" i="3" s="1"/>
  <c r="C293" i="3"/>
  <c r="B293" i="3" s="1"/>
  <c r="L295" i="3" l="1"/>
  <c r="F295" i="3"/>
  <c r="J295" i="3"/>
  <c r="D295" i="3"/>
  <c r="K295" i="3"/>
  <c r="E295" i="3"/>
  <c r="C294" i="3"/>
  <c r="B294" i="3" s="1"/>
  <c r="A296" i="3"/>
  <c r="I294" i="3"/>
  <c r="H294" i="3" s="1"/>
  <c r="L296" i="3" l="1"/>
  <c r="F296" i="3"/>
  <c r="J296" i="3"/>
  <c r="D296" i="3"/>
  <c r="K296" i="3"/>
  <c r="E296" i="3"/>
  <c r="I295" i="3"/>
  <c r="H295" i="3" s="1"/>
  <c r="C295" i="3"/>
  <c r="B295" i="3" s="1"/>
  <c r="A297" i="3"/>
  <c r="L297" i="3" l="1"/>
  <c r="F297" i="3"/>
  <c r="J297" i="3"/>
  <c r="D297" i="3"/>
  <c r="K297" i="3"/>
  <c r="E297" i="3"/>
  <c r="C296" i="3"/>
  <c r="B296" i="3" s="1"/>
  <c r="I296" i="3"/>
  <c r="H296" i="3" s="1"/>
  <c r="A298" i="3"/>
  <c r="L298" i="3" l="1"/>
  <c r="F298" i="3"/>
  <c r="J298" i="3"/>
  <c r="D298" i="3"/>
  <c r="K298" i="3"/>
  <c r="E298" i="3"/>
  <c r="I297" i="3"/>
  <c r="H297" i="3" s="1"/>
  <c r="C297" i="3"/>
  <c r="B297" i="3" s="1"/>
  <c r="A299" i="3"/>
  <c r="F299" i="3" l="1"/>
  <c r="L299" i="3"/>
  <c r="J299" i="3"/>
  <c r="D299" i="3"/>
  <c r="K299" i="3"/>
  <c r="E299" i="3"/>
  <c r="C298" i="3"/>
  <c r="B298" i="3" s="1"/>
  <c r="A300" i="3"/>
  <c r="I298" i="3"/>
  <c r="H298" i="3" s="1"/>
  <c r="L300" i="3" l="1"/>
  <c r="F300" i="3"/>
  <c r="J300" i="3"/>
  <c r="D300" i="3"/>
  <c r="K300" i="3"/>
  <c r="E300" i="3"/>
  <c r="I299" i="3"/>
  <c r="H299" i="3" s="1"/>
  <c r="C299" i="3"/>
  <c r="B299" i="3" s="1"/>
  <c r="A301" i="3"/>
  <c r="L301" i="3" l="1"/>
  <c r="F301" i="3"/>
  <c r="D301" i="3"/>
  <c r="E301" i="3"/>
  <c r="J301" i="3"/>
  <c r="K301" i="3"/>
  <c r="I300" i="3"/>
  <c r="H300" i="3" s="1"/>
  <c r="C300" i="3"/>
  <c r="B300" i="3" s="1"/>
  <c r="A302" i="3"/>
  <c r="L302" i="3" l="1"/>
  <c r="F302" i="3"/>
  <c r="J302" i="3"/>
  <c r="D302" i="3"/>
  <c r="K302" i="3"/>
  <c r="E302" i="3"/>
  <c r="I301" i="3"/>
  <c r="H301" i="3" s="1"/>
  <c r="C301" i="3"/>
  <c r="B301" i="3" s="1"/>
  <c r="A303" i="3"/>
  <c r="L303" i="3" l="1"/>
  <c r="F303" i="3"/>
  <c r="J303" i="3"/>
  <c r="D303" i="3"/>
  <c r="K303" i="3"/>
  <c r="E303" i="3"/>
  <c r="C302" i="3"/>
  <c r="B302" i="3" s="1"/>
  <c r="I302" i="3"/>
  <c r="H302" i="3" s="1"/>
  <c r="A304" i="3"/>
  <c r="L304" i="3" l="1"/>
  <c r="F304" i="3"/>
  <c r="J304" i="3"/>
  <c r="D304" i="3"/>
  <c r="K304" i="3"/>
  <c r="E304" i="3"/>
  <c r="C303" i="3"/>
  <c r="B303" i="3" s="1"/>
  <c r="A305" i="3"/>
  <c r="I303" i="3"/>
  <c r="H303" i="3" s="1"/>
  <c r="F305" i="3" l="1"/>
  <c r="L305" i="3"/>
  <c r="D305" i="3"/>
  <c r="J305" i="3"/>
  <c r="E305" i="3"/>
  <c r="K305" i="3"/>
  <c r="I304" i="3"/>
  <c r="H304" i="3" s="1"/>
  <c r="C304" i="3"/>
  <c r="B304" i="3" s="1"/>
  <c r="A306" i="3"/>
  <c r="L306" i="3" l="1"/>
  <c r="F306" i="3"/>
  <c r="J306" i="3"/>
  <c r="D306" i="3"/>
  <c r="K306" i="3"/>
  <c r="E306" i="3"/>
  <c r="C305" i="3"/>
  <c r="B305" i="3" s="1"/>
  <c r="A307" i="3"/>
  <c r="I305" i="3"/>
  <c r="H305" i="3" s="1"/>
  <c r="L307" i="3" l="1"/>
  <c r="F307" i="3"/>
  <c r="J307" i="3"/>
  <c r="D307" i="3"/>
  <c r="K307" i="3"/>
  <c r="E307" i="3"/>
  <c r="I306" i="3"/>
  <c r="H306" i="3" s="1"/>
  <c r="A308" i="3"/>
  <c r="C306" i="3"/>
  <c r="B306" i="3" s="1"/>
  <c r="L308" i="3" l="1"/>
  <c r="F308" i="3"/>
  <c r="J308" i="3"/>
  <c r="D308" i="3"/>
  <c r="K308" i="3"/>
  <c r="E308" i="3"/>
  <c r="I307" i="3"/>
  <c r="H307" i="3" s="1"/>
  <c r="A309" i="3"/>
  <c r="C307" i="3"/>
  <c r="B307" i="3" s="1"/>
  <c r="L309" i="3" l="1"/>
  <c r="J309" i="3"/>
  <c r="D309" i="3"/>
  <c r="K309" i="3"/>
  <c r="E309" i="3"/>
  <c r="C308" i="3"/>
  <c r="B308" i="3" s="1"/>
  <c r="I308" i="3"/>
  <c r="H308" i="3" s="1"/>
  <c r="A310" i="3"/>
  <c r="F310" i="3" l="1"/>
  <c r="E310" i="3"/>
  <c r="L310" i="3"/>
  <c r="J310" i="3"/>
  <c r="D310" i="3"/>
  <c r="K310" i="3"/>
  <c r="I309" i="3"/>
  <c r="H309" i="3" s="1"/>
  <c r="A311" i="3"/>
  <c r="L311" i="3" l="1"/>
  <c r="F311" i="3"/>
  <c r="J311" i="3"/>
  <c r="D311" i="3"/>
  <c r="K311" i="3"/>
  <c r="E311" i="3"/>
  <c r="C310" i="3"/>
  <c r="B310" i="3" s="1"/>
  <c r="A312" i="3"/>
  <c r="I310" i="3"/>
  <c r="H310" i="3" s="1"/>
  <c r="L312" i="3" l="1"/>
  <c r="F312" i="3"/>
  <c r="J312" i="3"/>
  <c r="D312" i="3"/>
  <c r="K312" i="3"/>
  <c r="E312" i="3"/>
  <c r="C311" i="3"/>
  <c r="B311" i="3" s="1"/>
  <c r="A313" i="3"/>
  <c r="I311" i="3"/>
  <c r="H311" i="3" s="1"/>
  <c r="L313" i="3" l="1"/>
  <c r="F313" i="3"/>
  <c r="J313" i="3"/>
  <c r="K313" i="3"/>
  <c r="D313" i="3"/>
  <c r="E313" i="3"/>
  <c r="I312" i="3"/>
  <c r="H312" i="3" s="1"/>
  <c r="A314" i="3"/>
  <c r="C312" i="3"/>
  <c r="B312" i="3" s="1"/>
  <c r="L314" i="3" l="1"/>
  <c r="F314" i="3"/>
  <c r="J314" i="3"/>
  <c r="D314" i="3"/>
  <c r="K314" i="3"/>
  <c r="E314" i="3"/>
  <c r="I313" i="3"/>
  <c r="H313" i="3" s="1"/>
  <c r="A315" i="3"/>
  <c r="C313" i="3"/>
  <c r="B313" i="3" s="1"/>
  <c r="L315" i="3" l="1"/>
  <c r="F315" i="3"/>
  <c r="J315" i="3"/>
  <c r="D315" i="3"/>
  <c r="K315" i="3"/>
  <c r="E315" i="3"/>
  <c r="C314" i="3"/>
  <c r="B314" i="3" s="1"/>
  <c r="I314" i="3"/>
  <c r="H314" i="3" s="1"/>
  <c r="A316" i="3"/>
  <c r="L316" i="3" l="1"/>
  <c r="F316" i="3"/>
  <c r="J316" i="3"/>
  <c r="D316" i="3"/>
  <c r="K316" i="3"/>
  <c r="E316" i="3"/>
  <c r="I315" i="3"/>
  <c r="H315" i="3" s="1"/>
  <c r="A317" i="3"/>
  <c r="C315" i="3"/>
  <c r="B315" i="3" s="1"/>
  <c r="F317" i="3" l="1"/>
  <c r="L317" i="3"/>
  <c r="J317" i="3"/>
  <c r="D317" i="3"/>
  <c r="K317" i="3"/>
  <c r="E317" i="3"/>
  <c r="C316" i="3"/>
  <c r="B316" i="3" s="1"/>
  <c r="I316" i="3"/>
  <c r="H316" i="3" s="1"/>
  <c r="A318" i="3"/>
  <c r="L318" i="3" l="1"/>
  <c r="F318" i="3"/>
  <c r="J318" i="3"/>
  <c r="D318" i="3"/>
  <c r="K318" i="3"/>
  <c r="E318" i="3"/>
  <c r="C317" i="3"/>
  <c r="B317" i="3" s="1"/>
  <c r="I317" i="3"/>
  <c r="H317" i="3" s="1"/>
  <c r="A319" i="3"/>
  <c r="L319" i="3" l="1"/>
  <c r="F319" i="3"/>
  <c r="J319" i="3"/>
  <c r="D319" i="3"/>
  <c r="K319" i="3"/>
  <c r="E319" i="3"/>
  <c r="I318" i="3"/>
  <c r="H318" i="3" s="1"/>
  <c r="A320" i="3"/>
  <c r="C318" i="3"/>
  <c r="B318" i="3" s="1"/>
  <c r="L320" i="3" l="1"/>
  <c r="F320" i="3"/>
  <c r="D320" i="3"/>
  <c r="E320" i="3"/>
  <c r="J320" i="3"/>
  <c r="K320" i="3"/>
  <c r="C319" i="3"/>
  <c r="B319" i="3" s="1"/>
  <c r="A321" i="3"/>
  <c r="I319" i="3"/>
  <c r="H319" i="3" s="1"/>
  <c r="L321" i="3" l="1"/>
  <c r="F321" i="3"/>
  <c r="J321" i="3"/>
  <c r="D321" i="3"/>
  <c r="K321" i="3"/>
  <c r="E321" i="3"/>
  <c r="C320" i="3"/>
  <c r="B320" i="3" s="1"/>
  <c r="I320" i="3"/>
  <c r="H320" i="3" s="1"/>
  <c r="A322" i="3"/>
  <c r="L322" i="3" l="1"/>
  <c r="F322" i="3"/>
  <c r="J322" i="3"/>
  <c r="D322" i="3"/>
  <c r="K322" i="3"/>
  <c r="E322" i="3"/>
  <c r="I321" i="3"/>
  <c r="H321" i="3" s="1"/>
  <c r="A323" i="3"/>
  <c r="C321" i="3"/>
  <c r="B321" i="3" s="1"/>
  <c r="L323" i="3" l="1"/>
  <c r="F323" i="3"/>
  <c r="J323" i="3"/>
  <c r="D323" i="3"/>
  <c r="K323" i="3"/>
  <c r="E323" i="3"/>
  <c r="I322" i="3"/>
  <c r="H322" i="3" s="1"/>
  <c r="C322" i="3"/>
  <c r="B322" i="3" s="1"/>
  <c r="A324" i="3"/>
  <c r="L324" i="3" l="1"/>
  <c r="F324" i="3"/>
  <c r="J324" i="3"/>
  <c r="D324" i="3"/>
  <c r="K324" i="3"/>
  <c r="E324" i="3"/>
  <c r="C323" i="3"/>
  <c r="B323" i="3" s="1"/>
  <c r="I323" i="3"/>
  <c r="H323" i="3" s="1"/>
  <c r="A325" i="3"/>
  <c r="L325" i="3" l="1"/>
  <c r="F325" i="3"/>
  <c r="J325" i="3"/>
  <c r="D325" i="3"/>
  <c r="K325" i="3"/>
  <c r="E325" i="3"/>
  <c r="I324" i="3"/>
  <c r="H324" i="3" s="1"/>
  <c r="A326" i="3"/>
  <c r="C324" i="3"/>
  <c r="B324" i="3" s="1"/>
  <c r="L326" i="3" l="1"/>
  <c r="F326" i="3"/>
  <c r="J326" i="3"/>
  <c r="D326" i="3"/>
  <c r="K326" i="3"/>
  <c r="E326" i="3"/>
  <c r="I325" i="3"/>
  <c r="H325" i="3" s="1"/>
  <c r="C325" i="3"/>
  <c r="B325" i="3" s="1"/>
  <c r="A327" i="3"/>
  <c r="L327" i="3" l="1"/>
  <c r="F327" i="3"/>
  <c r="J327" i="3"/>
  <c r="D327" i="3"/>
  <c r="K327" i="3"/>
  <c r="E327" i="3"/>
  <c r="C326" i="3"/>
  <c r="B326" i="3" s="1"/>
  <c r="A328" i="3"/>
  <c r="I326" i="3"/>
  <c r="H326" i="3" s="1"/>
  <c r="L328" i="3" l="1"/>
  <c r="F328" i="3"/>
  <c r="J328" i="3"/>
  <c r="D328" i="3"/>
  <c r="K328" i="3"/>
  <c r="E328" i="3"/>
  <c r="C327" i="3"/>
  <c r="B327" i="3" s="1"/>
  <c r="A329" i="3"/>
  <c r="I327" i="3"/>
  <c r="H327" i="3" s="1"/>
  <c r="L329" i="3" l="1"/>
  <c r="F329" i="3"/>
  <c r="J329" i="3"/>
  <c r="D329" i="3"/>
  <c r="K329" i="3"/>
  <c r="E329" i="3"/>
  <c r="C328" i="3"/>
  <c r="B328" i="3" s="1"/>
  <c r="I328" i="3"/>
  <c r="H328" i="3" s="1"/>
  <c r="A330" i="3"/>
  <c r="L330" i="3" l="1"/>
  <c r="J330" i="3"/>
  <c r="D330" i="3"/>
  <c r="K330" i="3"/>
  <c r="E330" i="3"/>
  <c r="C329" i="3"/>
  <c r="B329" i="3" s="1"/>
  <c r="I329" i="3"/>
  <c r="H329" i="3" s="1"/>
  <c r="A331" i="3"/>
  <c r="L331" i="3" l="1"/>
  <c r="F331" i="3"/>
  <c r="D331" i="3"/>
  <c r="J331" i="3"/>
  <c r="E331" i="3"/>
  <c r="K331" i="3"/>
  <c r="I330" i="3"/>
  <c r="H330" i="3" s="1"/>
  <c r="A332" i="3"/>
  <c r="L332" i="3" l="1"/>
  <c r="F332" i="3"/>
  <c r="J332" i="3"/>
  <c r="D332" i="3"/>
  <c r="K332" i="3"/>
  <c r="E332" i="3"/>
  <c r="I331" i="3"/>
  <c r="H331" i="3" s="1"/>
  <c r="C331" i="3"/>
  <c r="B331" i="3" s="1"/>
  <c r="A333" i="3"/>
  <c r="F333" i="3" l="1"/>
  <c r="E333" i="3"/>
  <c r="L333" i="3"/>
  <c r="J333" i="3"/>
  <c r="D333" i="3"/>
  <c r="K333" i="3"/>
  <c r="I332" i="3"/>
  <c r="H332" i="3" s="1"/>
  <c r="A334" i="3"/>
  <c r="C332" i="3"/>
  <c r="B332" i="3" s="1"/>
  <c r="L334" i="3" l="1"/>
  <c r="F334" i="3"/>
  <c r="J334" i="3"/>
  <c r="D334" i="3"/>
  <c r="K334" i="3"/>
  <c r="E334" i="3"/>
  <c r="I333" i="3"/>
  <c r="H333" i="3" s="1"/>
  <c r="C333" i="3"/>
  <c r="B333" i="3" s="1"/>
  <c r="A335" i="3"/>
  <c r="F335" i="3" l="1"/>
  <c r="L335" i="3"/>
  <c r="D335" i="3"/>
  <c r="E335" i="3"/>
  <c r="J335" i="3"/>
  <c r="K335" i="3"/>
  <c r="I334" i="3"/>
  <c r="H334" i="3" s="1"/>
  <c r="A336" i="3"/>
  <c r="C334" i="3"/>
  <c r="B334" i="3" s="1"/>
  <c r="L336" i="3" l="1"/>
  <c r="F336" i="3"/>
  <c r="J336" i="3"/>
  <c r="D336" i="3"/>
  <c r="K336" i="3"/>
  <c r="E336" i="3"/>
  <c r="C335" i="3"/>
  <c r="B335" i="3" s="1"/>
  <c r="A337" i="3"/>
  <c r="I335" i="3"/>
  <c r="H335" i="3" s="1"/>
  <c r="L337" i="3" l="1"/>
  <c r="F337" i="3"/>
  <c r="J337" i="3"/>
  <c r="D337" i="3"/>
  <c r="K337" i="3"/>
  <c r="E337" i="3"/>
  <c r="C336" i="3"/>
  <c r="B336" i="3" s="1"/>
  <c r="A338" i="3"/>
  <c r="I336" i="3"/>
  <c r="H336" i="3" s="1"/>
  <c r="L338" i="3" l="1"/>
  <c r="F338" i="3"/>
  <c r="J338" i="3"/>
  <c r="D338" i="3"/>
  <c r="K338" i="3"/>
  <c r="E338" i="3"/>
  <c r="I337" i="3"/>
  <c r="H337" i="3" s="1"/>
  <c r="C337" i="3"/>
  <c r="B337" i="3" s="1"/>
  <c r="A339" i="3"/>
  <c r="L339" i="3" l="1"/>
  <c r="F339" i="3"/>
  <c r="J339" i="3"/>
  <c r="D339" i="3"/>
  <c r="K339" i="3"/>
  <c r="E339" i="3"/>
  <c r="I338" i="3"/>
  <c r="H338" i="3" s="1"/>
  <c r="C338" i="3"/>
  <c r="B338" i="3" s="1"/>
  <c r="A340" i="3"/>
  <c r="F340" i="3" l="1"/>
  <c r="L340" i="3"/>
  <c r="J340" i="3"/>
  <c r="D340" i="3"/>
  <c r="K340" i="3"/>
  <c r="E340" i="3"/>
  <c r="I339" i="3"/>
  <c r="H339" i="3" s="1"/>
  <c r="C339" i="3"/>
  <c r="B339" i="3" s="1"/>
  <c r="A341" i="3"/>
  <c r="L341" i="3" l="1"/>
  <c r="F341" i="3"/>
  <c r="J341" i="3"/>
  <c r="D341" i="3"/>
  <c r="K341" i="3"/>
  <c r="E341" i="3"/>
  <c r="C340" i="3"/>
  <c r="B340" i="3" s="1"/>
  <c r="A342" i="3"/>
  <c r="I340" i="3"/>
  <c r="H340" i="3" s="1"/>
  <c r="L342" i="3" l="1"/>
  <c r="F342" i="3"/>
  <c r="J342" i="3"/>
  <c r="D342" i="3"/>
  <c r="K342" i="3"/>
  <c r="E342" i="3"/>
  <c r="C341" i="3"/>
  <c r="B341" i="3" s="1"/>
  <c r="A343" i="3"/>
  <c r="I341" i="3"/>
  <c r="H341" i="3" s="1"/>
  <c r="L343" i="3" l="1"/>
  <c r="F343" i="3"/>
  <c r="J343" i="3"/>
  <c r="D343" i="3"/>
  <c r="K343" i="3"/>
  <c r="E343" i="3"/>
  <c r="I342" i="3"/>
  <c r="H342" i="3" s="1"/>
  <c r="A344" i="3"/>
  <c r="C342" i="3"/>
  <c r="B342" i="3" s="1"/>
  <c r="L344" i="3" l="1"/>
  <c r="F344" i="3"/>
  <c r="J344" i="3"/>
  <c r="D344" i="3"/>
  <c r="K344" i="3"/>
  <c r="E344" i="3"/>
  <c r="C343" i="3"/>
  <c r="B343" i="3" s="1"/>
  <c r="A345" i="3"/>
  <c r="I343" i="3"/>
  <c r="H343" i="3" s="1"/>
  <c r="L345" i="3" l="1"/>
  <c r="F345" i="3"/>
  <c r="J345" i="3"/>
  <c r="D345" i="3"/>
  <c r="K345" i="3"/>
  <c r="E345" i="3"/>
  <c r="I344" i="3"/>
  <c r="H344" i="3" s="1"/>
  <c r="C344" i="3"/>
  <c r="B344" i="3" s="1"/>
  <c r="A346" i="3"/>
  <c r="L346" i="3" l="1"/>
  <c r="F346" i="3"/>
  <c r="J346" i="3"/>
  <c r="D346" i="3"/>
  <c r="K346" i="3"/>
  <c r="E346" i="3"/>
  <c r="I345" i="3"/>
  <c r="H345" i="3" s="1"/>
  <c r="A347" i="3"/>
  <c r="C345" i="3"/>
  <c r="B345" i="3" s="1"/>
  <c r="L347" i="3" l="1"/>
  <c r="F347" i="3"/>
  <c r="J347" i="3"/>
  <c r="D347" i="3"/>
  <c r="K347" i="3"/>
  <c r="E347" i="3"/>
  <c r="C346" i="3"/>
  <c r="B346" i="3" s="1"/>
  <c r="I346" i="3"/>
  <c r="H346" i="3" s="1"/>
  <c r="A348" i="3"/>
  <c r="L348" i="3" l="1"/>
  <c r="F348" i="3"/>
  <c r="D348" i="3"/>
  <c r="J348" i="3"/>
  <c r="E348" i="3"/>
  <c r="K348" i="3"/>
  <c r="C347" i="3"/>
  <c r="B347" i="3" s="1"/>
  <c r="I347" i="3"/>
  <c r="H347" i="3" s="1"/>
  <c r="A349" i="3"/>
  <c r="L349" i="3" l="1"/>
  <c r="F349" i="3"/>
  <c r="J349" i="3"/>
  <c r="D349" i="3"/>
  <c r="K349" i="3"/>
  <c r="E349" i="3"/>
  <c r="C348" i="3"/>
  <c r="B348" i="3" s="1"/>
  <c r="I348" i="3"/>
  <c r="H348" i="3" s="1"/>
  <c r="A350" i="3"/>
  <c r="L350" i="3" l="1"/>
  <c r="F350" i="3"/>
  <c r="J350" i="3"/>
  <c r="D350" i="3"/>
  <c r="K350" i="3"/>
  <c r="E350" i="3"/>
  <c r="I349" i="3"/>
  <c r="H349" i="3" s="1"/>
  <c r="C349" i="3"/>
  <c r="B349" i="3" s="1"/>
  <c r="A351" i="3"/>
  <c r="F351" i="3" l="1"/>
  <c r="E351" i="3"/>
  <c r="L351" i="3"/>
  <c r="J351" i="3"/>
  <c r="D351" i="3"/>
  <c r="K351" i="3"/>
  <c r="I350" i="3"/>
  <c r="H350" i="3" s="1"/>
  <c r="C350" i="3"/>
  <c r="B350" i="3" s="1"/>
  <c r="A352" i="3"/>
  <c r="L352" i="3" l="1"/>
  <c r="J352" i="3"/>
  <c r="D352" i="3"/>
  <c r="K352" i="3"/>
  <c r="E352" i="3"/>
  <c r="I351" i="3"/>
  <c r="H351" i="3" s="1"/>
  <c r="A353" i="3"/>
  <c r="C351" i="3"/>
  <c r="B351" i="3" s="1"/>
  <c r="L353" i="3" l="1"/>
  <c r="F353" i="3"/>
  <c r="J353" i="3"/>
  <c r="D353" i="3"/>
  <c r="K353" i="3"/>
  <c r="E353" i="3"/>
  <c r="I352" i="3"/>
  <c r="H352" i="3" s="1"/>
  <c r="A354" i="3"/>
  <c r="L354" i="3" l="1"/>
  <c r="F354" i="3"/>
  <c r="J354" i="3"/>
  <c r="D354" i="3"/>
  <c r="K354" i="3"/>
  <c r="E354" i="3"/>
  <c r="C353" i="3"/>
  <c r="B353" i="3" s="1"/>
  <c r="A355" i="3"/>
  <c r="I353" i="3"/>
  <c r="H353" i="3" s="1"/>
  <c r="L355" i="3" l="1"/>
  <c r="F355" i="3"/>
  <c r="J355" i="3"/>
  <c r="D355" i="3"/>
  <c r="K355" i="3"/>
  <c r="E355" i="3"/>
  <c r="I354" i="3"/>
  <c r="H354" i="3" s="1"/>
  <c r="C354" i="3"/>
  <c r="B354" i="3" s="1"/>
  <c r="A356" i="3"/>
  <c r="L356" i="3" l="1"/>
  <c r="F356" i="3"/>
  <c r="J356" i="3"/>
  <c r="D356" i="3"/>
  <c r="K356" i="3"/>
  <c r="E356" i="3"/>
  <c r="C355" i="3"/>
  <c r="B355" i="3" s="1"/>
  <c r="I355" i="3"/>
  <c r="H355" i="3" s="1"/>
  <c r="A357" i="3"/>
  <c r="L357" i="3" l="1"/>
  <c r="F357" i="3"/>
  <c r="J357" i="3"/>
  <c r="K357" i="3"/>
  <c r="D357" i="3"/>
  <c r="E357" i="3"/>
  <c r="C356" i="3"/>
  <c r="B356" i="3" s="1"/>
  <c r="A358" i="3"/>
  <c r="I356" i="3"/>
  <c r="H356" i="3" s="1"/>
  <c r="F358" i="3" l="1"/>
  <c r="L358" i="3"/>
  <c r="J358" i="3"/>
  <c r="D358" i="3"/>
  <c r="K358" i="3"/>
  <c r="E358" i="3"/>
  <c r="C357" i="3"/>
  <c r="B357" i="3" s="1"/>
  <c r="I357" i="3"/>
  <c r="H357" i="3" s="1"/>
  <c r="A359" i="3"/>
  <c r="L359" i="3" l="1"/>
  <c r="F359" i="3"/>
  <c r="J359" i="3"/>
  <c r="D359" i="3"/>
  <c r="K359" i="3"/>
  <c r="E359" i="3"/>
  <c r="C358" i="3"/>
  <c r="B358" i="3" s="1"/>
  <c r="A360" i="3"/>
  <c r="I358" i="3"/>
  <c r="H358" i="3" s="1"/>
  <c r="L360" i="3" l="1"/>
  <c r="F360" i="3"/>
  <c r="J360" i="3"/>
  <c r="D360" i="3"/>
  <c r="K360" i="3"/>
  <c r="E360" i="3"/>
  <c r="I359" i="3"/>
  <c r="H359" i="3" s="1"/>
  <c r="C359" i="3"/>
  <c r="B359" i="3" s="1"/>
  <c r="A361" i="3"/>
  <c r="L361" i="3" l="1"/>
  <c r="F361" i="3"/>
  <c r="J361" i="3"/>
  <c r="D361" i="3"/>
  <c r="K361" i="3"/>
  <c r="E361" i="3"/>
  <c r="I360" i="3"/>
  <c r="H360" i="3" s="1"/>
  <c r="A362" i="3"/>
  <c r="C360" i="3"/>
  <c r="B360" i="3" s="1"/>
  <c r="L362" i="3" l="1"/>
  <c r="F362" i="3"/>
  <c r="J362" i="3"/>
  <c r="D362" i="3"/>
  <c r="K362" i="3"/>
  <c r="E362" i="3"/>
  <c r="I361" i="3"/>
  <c r="H361" i="3" s="1"/>
  <c r="C361" i="3"/>
  <c r="B361" i="3" s="1"/>
  <c r="A363" i="3"/>
  <c r="L363" i="3" l="1"/>
  <c r="F363" i="3"/>
  <c r="D363" i="3"/>
  <c r="E363" i="3"/>
  <c r="J363" i="3"/>
  <c r="K363" i="3"/>
  <c r="I362" i="3"/>
  <c r="H362" i="3" s="1"/>
  <c r="A364" i="3"/>
  <c r="C362" i="3"/>
  <c r="B362" i="3" s="1"/>
  <c r="F364" i="3" l="1"/>
  <c r="L364" i="3"/>
  <c r="D364" i="3"/>
  <c r="J364" i="3"/>
  <c r="E364" i="3"/>
  <c r="K364" i="3"/>
  <c r="I363" i="3"/>
  <c r="H363" i="3" s="1"/>
  <c r="A365" i="3"/>
  <c r="C363" i="3"/>
  <c r="B363" i="3" s="1"/>
  <c r="L365" i="3" l="1"/>
  <c r="F365" i="3"/>
  <c r="J365" i="3"/>
  <c r="D365" i="3"/>
  <c r="K365" i="3"/>
  <c r="E365" i="3"/>
  <c r="C364" i="3"/>
  <c r="B364" i="3" s="1"/>
  <c r="A366" i="3"/>
  <c r="I364" i="3"/>
  <c r="H364" i="3" s="1"/>
  <c r="L366" i="3" l="1"/>
  <c r="F366" i="3"/>
  <c r="J366" i="3"/>
  <c r="D366" i="3"/>
  <c r="K366" i="3"/>
  <c r="E366" i="3"/>
  <c r="I365" i="3"/>
  <c r="H365" i="3" s="1"/>
  <c r="C365" i="3"/>
  <c r="B365" i="3" s="1"/>
  <c r="A367" i="3"/>
  <c r="L367" i="3" l="1"/>
  <c r="F367" i="3"/>
  <c r="J367" i="3"/>
  <c r="D367" i="3"/>
  <c r="K367" i="3"/>
  <c r="E367" i="3"/>
  <c r="I366" i="3"/>
  <c r="H366" i="3" s="1"/>
  <c r="C366" i="3"/>
  <c r="B366" i="3" s="1"/>
  <c r="A368" i="3"/>
  <c r="I367" i="3" l="1"/>
  <c r="H367" i="3" s="1"/>
  <c r="L368" i="3"/>
  <c r="F368" i="3"/>
  <c r="J368" i="3"/>
  <c r="D368" i="3"/>
  <c r="K368" i="3"/>
  <c r="E368" i="3"/>
  <c r="C367" i="3"/>
  <c r="B367" i="3" s="1"/>
  <c r="A369" i="3"/>
  <c r="L369" i="3" l="1"/>
  <c r="F369" i="3"/>
  <c r="J369" i="3"/>
  <c r="D369" i="3"/>
  <c r="K369" i="3"/>
  <c r="E369" i="3"/>
  <c r="C368" i="3"/>
  <c r="B368" i="3" s="1"/>
  <c r="A370" i="3"/>
  <c r="I368" i="3"/>
  <c r="H368" i="3" s="1"/>
  <c r="L370" i="3" l="1"/>
  <c r="J370" i="3"/>
  <c r="D370" i="3"/>
  <c r="K370" i="3"/>
  <c r="E370" i="3"/>
  <c r="C369" i="3"/>
  <c r="B369" i="3" s="1"/>
  <c r="I369" i="3"/>
  <c r="H369" i="3" s="1"/>
  <c r="A371" i="3"/>
  <c r="L371" i="3" l="1"/>
  <c r="F371" i="3"/>
  <c r="J371" i="3"/>
  <c r="D371" i="3"/>
  <c r="K371" i="3"/>
  <c r="E371" i="3"/>
  <c r="I370" i="3"/>
  <c r="H370" i="3" s="1"/>
  <c r="A372" i="3"/>
  <c r="L372" i="3" l="1"/>
  <c r="F372" i="3"/>
  <c r="J372" i="3"/>
  <c r="D372" i="3"/>
  <c r="K372" i="3"/>
  <c r="E372" i="3"/>
  <c r="I371" i="3"/>
  <c r="H371" i="3" s="1"/>
  <c r="C371" i="3"/>
  <c r="B371" i="3" s="1"/>
  <c r="A373" i="3"/>
  <c r="F373" i="3" l="1"/>
  <c r="E373" i="3"/>
  <c r="L373" i="3"/>
  <c r="J373" i="3"/>
  <c r="D373" i="3"/>
  <c r="K373" i="3"/>
  <c r="C372" i="3"/>
  <c r="B372" i="3" s="1"/>
  <c r="I372" i="3"/>
  <c r="H372" i="3" s="1"/>
  <c r="A374" i="3"/>
  <c r="L374" i="3" l="1"/>
  <c r="F374" i="3"/>
  <c r="J374" i="3"/>
  <c r="D374" i="3"/>
  <c r="K374" i="3"/>
  <c r="E374" i="3"/>
  <c r="I373" i="3"/>
  <c r="H373" i="3" s="1"/>
  <c r="C373" i="3"/>
  <c r="B373" i="3" s="1"/>
  <c r="A375" i="3"/>
  <c r="L375" i="3" l="1"/>
  <c r="F375" i="3"/>
  <c r="J375" i="3"/>
  <c r="D375" i="3"/>
  <c r="K375" i="3"/>
  <c r="E375" i="3"/>
  <c r="I374" i="3"/>
  <c r="H374" i="3" s="1"/>
  <c r="C374" i="3"/>
  <c r="B374" i="3" s="1"/>
  <c r="A376" i="3"/>
  <c r="L376" i="3" l="1"/>
  <c r="F376" i="3"/>
  <c r="J376" i="3"/>
  <c r="D376" i="3"/>
  <c r="K376" i="3"/>
  <c r="E376" i="3"/>
  <c r="C375" i="3"/>
  <c r="B375" i="3" s="1"/>
  <c r="I375" i="3"/>
  <c r="H375" i="3" s="1"/>
  <c r="A377" i="3"/>
  <c r="L377" i="3" l="1"/>
  <c r="F377" i="3"/>
  <c r="J377" i="3"/>
  <c r="D377" i="3"/>
  <c r="K377" i="3"/>
  <c r="E377" i="3"/>
  <c r="I376" i="3"/>
  <c r="H376" i="3" s="1"/>
  <c r="C376" i="3"/>
  <c r="B376" i="3" s="1"/>
  <c r="A378" i="3"/>
  <c r="L378" i="3" l="1"/>
  <c r="F378" i="3"/>
  <c r="J378" i="3"/>
  <c r="D378" i="3"/>
  <c r="K378" i="3"/>
  <c r="E378" i="3"/>
  <c r="I377" i="3"/>
  <c r="H377" i="3" s="1"/>
  <c r="A379" i="3"/>
  <c r="C377" i="3"/>
  <c r="B377" i="3" s="1"/>
  <c r="L379" i="3" l="1"/>
  <c r="F379" i="3"/>
  <c r="D379" i="3"/>
  <c r="J379" i="3"/>
  <c r="E379" i="3"/>
  <c r="K379" i="3"/>
  <c r="C378" i="3"/>
  <c r="B378" i="3" s="1"/>
  <c r="I378" i="3"/>
  <c r="H378" i="3" s="1"/>
  <c r="A380" i="3"/>
  <c r="F380" i="3" l="1"/>
  <c r="L380" i="3"/>
  <c r="J380" i="3"/>
  <c r="D380" i="3"/>
  <c r="K380" i="3"/>
  <c r="E380" i="3"/>
  <c r="C379" i="3"/>
  <c r="B379" i="3" s="1"/>
  <c r="I379" i="3"/>
  <c r="H379" i="3" s="1"/>
  <c r="A381" i="3"/>
  <c r="L381" i="3" l="1"/>
  <c r="F381" i="3"/>
  <c r="J381" i="3"/>
  <c r="D381" i="3"/>
  <c r="K381" i="3"/>
  <c r="E381" i="3"/>
  <c r="I380" i="3"/>
  <c r="H380" i="3" s="1"/>
  <c r="A382" i="3"/>
  <c r="C380" i="3"/>
  <c r="B380" i="3" s="1"/>
  <c r="L382" i="3" l="1"/>
  <c r="F382" i="3"/>
  <c r="J382" i="3"/>
  <c r="D382" i="3"/>
  <c r="K382" i="3"/>
  <c r="E382" i="3"/>
  <c r="I381" i="3"/>
  <c r="H381" i="3" s="1"/>
  <c r="C381" i="3"/>
  <c r="B381" i="3" s="1"/>
  <c r="A383" i="3"/>
  <c r="L383" i="3" l="1"/>
  <c r="F383" i="3"/>
  <c r="J383" i="3"/>
  <c r="D383" i="3"/>
  <c r="K383" i="3"/>
  <c r="E383" i="3"/>
  <c r="I382" i="3"/>
  <c r="H382" i="3" s="1"/>
  <c r="A384" i="3"/>
  <c r="C382" i="3"/>
  <c r="B382" i="3" s="1"/>
  <c r="L384" i="3" l="1"/>
  <c r="F384" i="3"/>
  <c r="J384" i="3"/>
  <c r="D384" i="3"/>
  <c r="K384" i="3"/>
  <c r="E384" i="3"/>
  <c r="C383" i="3"/>
  <c r="B383" i="3" s="1"/>
  <c r="A385" i="3"/>
  <c r="I383" i="3"/>
  <c r="H383" i="3" s="1"/>
  <c r="L385" i="3" l="1"/>
  <c r="F385" i="3"/>
  <c r="J385" i="3"/>
  <c r="D385" i="3"/>
  <c r="K385" i="3"/>
  <c r="E385" i="3"/>
  <c r="C384" i="3"/>
  <c r="B384" i="3" s="1"/>
  <c r="A386" i="3"/>
  <c r="I384" i="3"/>
  <c r="H384" i="3" s="1"/>
  <c r="L386" i="3" l="1"/>
  <c r="F386" i="3"/>
  <c r="J386" i="3"/>
  <c r="D386" i="3"/>
  <c r="K386" i="3"/>
  <c r="E386" i="3"/>
  <c r="I385" i="3"/>
  <c r="H385" i="3" s="1"/>
  <c r="C385" i="3"/>
  <c r="B385" i="3" s="1"/>
  <c r="A387" i="3"/>
  <c r="L387" i="3" l="1"/>
  <c r="F387" i="3"/>
  <c r="J387" i="3"/>
  <c r="D387" i="3"/>
  <c r="K387" i="3"/>
  <c r="E387" i="3"/>
  <c r="C386" i="3"/>
  <c r="B386" i="3" s="1"/>
  <c r="I386" i="3"/>
  <c r="H386" i="3" s="1"/>
  <c r="A388" i="3"/>
  <c r="L388" i="3" l="1"/>
  <c r="F388" i="3"/>
  <c r="J388" i="3"/>
  <c r="D388" i="3"/>
  <c r="K388" i="3"/>
  <c r="E388" i="3"/>
  <c r="I387" i="3"/>
  <c r="H387" i="3" s="1"/>
  <c r="C387" i="3"/>
  <c r="B387" i="3" s="1"/>
  <c r="A389" i="3"/>
  <c r="L389" i="3" l="1"/>
  <c r="F389" i="3"/>
  <c r="J389" i="3"/>
  <c r="D389" i="3"/>
  <c r="K389" i="3"/>
  <c r="E389" i="3"/>
  <c r="I388" i="3"/>
  <c r="H388" i="3" s="1"/>
  <c r="A390" i="3"/>
  <c r="C388" i="3"/>
  <c r="B388" i="3" s="1"/>
  <c r="L390" i="3" l="1"/>
  <c r="F390" i="3"/>
  <c r="J390" i="3"/>
  <c r="D390" i="3"/>
  <c r="K390" i="3"/>
  <c r="E390" i="3"/>
  <c r="I389" i="3"/>
  <c r="H389" i="3" s="1"/>
  <c r="C389" i="3"/>
  <c r="B389" i="3" s="1"/>
  <c r="A391" i="3"/>
  <c r="L391" i="3" l="1"/>
  <c r="F391" i="3"/>
  <c r="J391" i="3"/>
  <c r="D391" i="3"/>
  <c r="K391" i="3"/>
  <c r="E391" i="3"/>
  <c r="I390" i="3"/>
  <c r="H390" i="3" s="1"/>
  <c r="C390" i="3"/>
  <c r="B390" i="3" s="1"/>
  <c r="A392" i="3"/>
  <c r="L392" i="3" l="1"/>
  <c r="D392" i="3"/>
  <c r="J392" i="3"/>
  <c r="E392" i="3"/>
  <c r="K392" i="3"/>
  <c r="A393" i="3"/>
  <c r="C391" i="3"/>
  <c r="B391" i="3" s="1"/>
  <c r="I391" i="3"/>
  <c r="H391" i="3" s="1"/>
  <c r="L393" i="3" l="1"/>
  <c r="F393" i="3"/>
  <c r="J393" i="3"/>
  <c r="D393" i="3"/>
  <c r="K393" i="3"/>
  <c r="E393" i="3"/>
  <c r="I392" i="3"/>
  <c r="H392" i="3" s="1"/>
  <c r="A394" i="3"/>
  <c r="F394" i="3" l="1"/>
  <c r="E394" i="3"/>
  <c r="L394" i="3"/>
  <c r="J394" i="3"/>
  <c r="D394" i="3"/>
  <c r="K394" i="3"/>
  <c r="C393" i="3"/>
  <c r="B393" i="3" s="1"/>
  <c r="I393" i="3"/>
  <c r="H393" i="3" s="1"/>
  <c r="A395" i="3"/>
  <c r="L395" i="3" l="1"/>
  <c r="F395" i="3"/>
  <c r="J395" i="3"/>
  <c r="D395" i="3"/>
  <c r="K395" i="3"/>
  <c r="E395" i="3"/>
  <c r="C394" i="3"/>
  <c r="B394" i="3" s="1"/>
  <c r="A396" i="3"/>
  <c r="I394" i="3"/>
  <c r="H394" i="3" s="1"/>
  <c r="F396" i="3" l="1"/>
  <c r="L396" i="3"/>
  <c r="D396" i="3"/>
  <c r="J396" i="3"/>
  <c r="E396" i="3"/>
  <c r="K396" i="3"/>
  <c r="I395" i="3"/>
  <c r="H395" i="3" s="1"/>
  <c r="C395" i="3"/>
  <c r="B395" i="3" s="1"/>
  <c r="A397" i="3"/>
  <c r="L397" i="3" l="1"/>
  <c r="F397" i="3"/>
  <c r="J397" i="3"/>
  <c r="D397" i="3"/>
  <c r="K397" i="3"/>
  <c r="E397" i="3"/>
  <c r="I396" i="3"/>
  <c r="H396" i="3" s="1"/>
  <c r="A398" i="3"/>
  <c r="C396" i="3"/>
  <c r="B396" i="3" s="1"/>
  <c r="L398" i="3" l="1"/>
  <c r="F398" i="3"/>
  <c r="J398" i="3"/>
  <c r="D398" i="3"/>
  <c r="K398" i="3"/>
  <c r="E398" i="3"/>
  <c r="I397" i="3"/>
  <c r="H397" i="3" s="1"/>
  <c r="C397" i="3"/>
  <c r="B397" i="3" s="1"/>
  <c r="A399" i="3"/>
  <c r="L399" i="3" l="1"/>
  <c r="F399" i="3"/>
  <c r="J399" i="3"/>
  <c r="D399" i="3"/>
  <c r="K399" i="3"/>
  <c r="E399" i="3"/>
  <c r="I398" i="3"/>
  <c r="H398" i="3" s="1"/>
  <c r="C398" i="3"/>
  <c r="B398" i="3" s="1"/>
  <c r="A400" i="3"/>
  <c r="L400" i="3" l="1"/>
  <c r="F400" i="3"/>
  <c r="J400" i="3"/>
  <c r="D400" i="3"/>
  <c r="K400" i="3"/>
  <c r="E400" i="3"/>
  <c r="I399" i="3"/>
  <c r="H399" i="3" s="1"/>
  <c r="C399" i="3"/>
  <c r="B399" i="3" s="1"/>
  <c r="A401" i="3"/>
  <c r="F401" i="3" l="1"/>
  <c r="L401" i="3"/>
  <c r="J401" i="3"/>
  <c r="D401" i="3"/>
  <c r="K401" i="3"/>
  <c r="E401" i="3"/>
  <c r="C400" i="3"/>
  <c r="B400" i="3" s="1"/>
  <c r="A402" i="3"/>
  <c r="I400" i="3"/>
  <c r="H400" i="3" s="1"/>
  <c r="L402" i="3" l="1"/>
  <c r="F402" i="3"/>
  <c r="J402" i="3"/>
  <c r="D402" i="3"/>
  <c r="K402" i="3"/>
  <c r="E402" i="3"/>
  <c r="C401" i="3"/>
  <c r="B401" i="3" s="1"/>
  <c r="A403" i="3"/>
  <c r="I401" i="3"/>
  <c r="H401" i="3" s="1"/>
  <c r="L403" i="3" l="1"/>
  <c r="F403" i="3"/>
  <c r="J403" i="3"/>
  <c r="D403" i="3"/>
  <c r="K403" i="3"/>
  <c r="E403" i="3"/>
  <c r="I402" i="3"/>
  <c r="H402" i="3" s="1"/>
  <c r="C402" i="3"/>
  <c r="B402" i="3" s="1"/>
  <c r="A404" i="3"/>
  <c r="L404" i="3" l="1"/>
  <c r="F404" i="3"/>
  <c r="J404" i="3"/>
  <c r="D404" i="3"/>
  <c r="K404" i="3"/>
  <c r="E404" i="3"/>
  <c r="I403" i="3"/>
  <c r="H403" i="3" s="1"/>
  <c r="C403" i="3"/>
  <c r="B403" i="3" s="1"/>
  <c r="A405" i="3"/>
  <c r="L405" i="3" l="1"/>
  <c r="F405" i="3"/>
  <c r="J405" i="3"/>
  <c r="D405" i="3"/>
  <c r="K405" i="3"/>
  <c r="E405" i="3"/>
  <c r="I404" i="3"/>
  <c r="H404" i="3" s="1"/>
  <c r="A406" i="3"/>
  <c r="C404" i="3"/>
  <c r="B404" i="3" s="1"/>
  <c r="L406" i="3" l="1"/>
  <c r="F406" i="3"/>
  <c r="J406" i="3"/>
  <c r="D406" i="3"/>
  <c r="K406" i="3"/>
  <c r="E406" i="3"/>
  <c r="I405" i="3"/>
  <c r="H405" i="3" s="1"/>
  <c r="C405" i="3"/>
  <c r="B405" i="3" s="1"/>
  <c r="A407" i="3"/>
  <c r="L407" i="3" l="1"/>
  <c r="F407" i="3"/>
  <c r="J407" i="3"/>
  <c r="D407" i="3"/>
  <c r="K407" i="3"/>
  <c r="E407" i="3"/>
  <c r="C406" i="3"/>
  <c r="B406" i="3" s="1"/>
  <c r="I406" i="3"/>
  <c r="H406" i="3" s="1"/>
  <c r="A408" i="3"/>
  <c r="L408" i="3" l="1"/>
  <c r="F408" i="3"/>
  <c r="J408" i="3"/>
  <c r="D408" i="3"/>
  <c r="K408" i="3"/>
  <c r="E408" i="3"/>
  <c r="I407" i="3"/>
  <c r="H407" i="3" s="1"/>
  <c r="A409" i="3"/>
  <c r="C407" i="3"/>
  <c r="B407" i="3" s="1"/>
  <c r="L409" i="3" l="1"/>
  <c r="F409" i="3"/>
  <c r="J409" i="3"/>
  <c r="D409" i="3"/>
  <c r="K409" i="3"/>
  <c r="E409" i="3"/>
  <c r="I408" i="3"/>
  <c r="H408" i="3" s="1"/>
  <c r="C408" i="3"/>
  <c r="B408" i="3" s="1"/>
  <c r="A410" i="3"/>
  <c r="L410" i="3" l="1"/>
  <c r="F410" i="3"/>
  <c r="J410" i="3"/>
  <c r="D410" i="3"/>
  <c r="K410" i="3"/>
  <c r="E410" i="3"/>
  <c r="I409" i="3"/>
  <c r="H409" i="3" s="1"/>
  <c r="A411" i="3"/>
  <c r="C409" i="3"/>
  <c r="B409" i="3" s="1"/>
  <c r="L411" i="3" l="1"/>
  <c r="F411" i="3"/>
  <c r="D411" i="3"/>
  <c r="J411" i="3"/>
  <c r="E411" i="3"/>
  <c r="K411" i="3"/>
  <c r="I410" i="3"/>
  <c r="H410" i="3" s="1"/>
  <c r="C410" i="3"/>
  <c r="B410" i="3" s="1"/>
  <c r="A412" i="3"/>
  <c r="L412" i="3" l="1"/>
  <c r="J412" i="3"/>
  <c r="D412" i="3"/>
  <c r="K412" i="3"/>
  <c r="E412" i="3"/>
  <c r="I411" i="3"/>
  <c r="H411" i="3" s="1"/>
  <c r="A413" i="3"/>
  <c r="C411" i="3"/>
  <c r="B411" i="3" s="1"/>
  <c r="L413" i="3" l="1"/>
  <c r="F413" i="3"/>
  <c r="J413" i="3"/>
  <c r="D413" i="3"/>
  <c r="K413" i="3"/>
  <c r="E413" i="3"/>
  <c r="I412" i="3"/>
  <c r="H412" i="3" s="1"/>
  <c r="A414" i="3"/>
  <c r="L414" i="3" l="1"/>
  <c r="F414" i="3"/>
  <c r="J414" i="3"/>
  <c r="D414" i="3"/>
  <c r="K414" i="3"/>
  <c r="E414" i="3"/>
  <c r="I413" i="3"/>
  <c r="H413" i="3" s="1"/>
  <c r="C413" i="3"/>
  <c r="B413" i="3" s="1"/>
  <c r="A415" i="3"/>
  <c r="F415" i="3" l="1"/>
  <c r="E415" i="3"/>
  <c r="L415" i="3"/>
  <c r="J415" i="3"/>
  <c r="D415" i="3"/>
  <c r="K415" i="3"/>
  <c r="I414" i="3"/>
  <c r="H414" i="3" s="1"/>
  <c r="A416" i="3"/>
  <c r="C414" i="3"/>
  <c r="B414" i="3" s="1"/>
  <c r="L416" i="3" l="1"/>
  <c r="F416" i="3"/>
  <c r="J416" i="3"/>
  <c r="D416" i="3"/>
  <c r="K416" i="3"/>
  <c r="E416" i="3"/>
  <c r="C415" i="3"/>
  <c r="B415" i="3" s="1"/>
  <c r="A417" i="3"/>
  <c r="I415" i="3"/>
  <c r="H415" i="3" s="1"/>
  <c r="L417" i="3" l="1"/>
  <c r="F417" i="3"/>
  <c r="J417" i="3"/>
  <c r="D417" i="3"/>
  <c r="K417" i="3"/>
  <c r="E417" i="3"/>
  <c r="C416" i="3"/>
  <c r="B416" i="3" s="1"/>
  <c r="A418" i="3"/>
  <c r="I416" i="3"/>
  <c r="H416" i="3" s="1"/>
  <c r="L418" i="3" l="1"/>
  <c r="F418" i="3"/>
  <c r="J418" i="3"/>
  <c r="D418" i="3"/>
  <c r="K418" i="3"/>
  <c r="E418" i="3"/>
  <c r="C417" i="3"/>
  <c r="B417" i="3" s="1"/>
  <c r="A419" i="3"/>
  <c r="I417" i="3"/>
  <c r="H417" i="3" s="1"/>
  <c r="L419" i="3" l="1"/>
  <c r="F419" i="3"/>
  <c r="J419" i="3"/>
  <c r="D419" i="3"/>
  <c r="K419" i="3"/>
  <c r="E419" i="3"/>
  <c r="C418" i="3"/>
  <c r="B418" i="3" s="1"/>
  <c r="I418" i="3"/>
  <c r="H418" i="3" s="1"/>
  <c r="A420" i="3"/>
  <c r="L420" i="3" l="1"/>
  <c r="F420" i="3"/>
  <c r="J420" i="3"/>
  <c r="D420" i="3"/>
  <c r="K420" i="3"/>
  <c r="E420" i="3"/>
  <c r="I419" i="3"/>
  <c r="H419" i="3" s="1"/>
  <c r="C419" i="3"/>
  <c r="B419" i="3" s="1"/>
  <c r="A421" i="3"/>
  <c r="L421" i="3" l="1"/>
  <c r="F421" i="3"/>
  <c r="J421" i="3"/>
  <c r="D421" i="3"/>
  <c r="K421" i="3"/>
  <c r="E421" i="3"/>
  <c r="C420" i="3"/>
  <c r="B420" i="3" s="1"/>
  <c r="I420" i="3"/>
  <c r="H420" i="3" s="1"/>
  <c r="A422" i="3"/>
  <c r="F422" i="3" l="1"/>
  <c r="L422" i="3"/>
  <c r="J422" i="3"/>
  <c r="D422" i="3"/>
  <c r="K422" i="3"/>
  <c r="E422" i="3"/>
  <c r="C421" i="3"/>
  <c r="B421" i="3" s="1"/>
  <c r="I421" i="3"/>
  <c r="H421" i="3" s="1"/>
  <c r="A423" i="3"/>
  <c r="L423" i="3" l="1"/>
  <c r="F423" i="3"/>
  <c r="J423" i="3"/>
  <c r="D423" i="3"/>
  <c r="K423" i="3"/>
  <c r="E423" i="3"/>
  <c r="C422" i="3"/>
  <c r="B422" i="3" s="1"/>
  <c r="A424" i="3"/>
  <c r="I422" i="3"/>
  <c r="H422" i="3" s="1"/>
  <c r="L424" i="3" l="1"/>
  <c r="F424" i="3"/>
  <c r="J424" i="3"/>
  <c r="D424" i="3"/>
  <c r="K424" i="3"/>
  <c r="E424" i="3"/>
  <c r="C423" i="3"/>
  <c r="B423" i="3" s="1"/>
  <c r="A425" i="3"/>
  <c r="I423" i="3"/>
  <c r="H423" i="3" s="1"/>
  <c r="L425" i="3" l="1"/>
  <c r="F425" i="3"/>
  <c r="J425" i="3"/>
  <c r="D425" i="3"/>
  <c r="K425" i="3"/>
  <c r="E425" i="3"/>
  <c r="I424" i="3"/>
  <c r="H424" i="3" s="1"/>
  <c r="A426" i="3"/>
  <c r="C424" i="3"/>
  <c r="B424" i="3" s="1"/>
  <c r="F426" i="3" l="1"/>
  <c r="L426" i="3"/>
  <c r="D426" i="3"/>
  <c r="J426" i="3"/>
  <c r="E426" i="3"/>
  <c r="K426" i="3"/>
  <c r="I425" i="3"/>
  <c r="H425" i="3" s="1"/>
  <c r="C425" i="3"/>
  <c r="B425" i="3" s="1"/>
  <c r="A427" i="3"/>
  <c r="L427" i="3" l="1"/>
  <c r="F427" i="3"/>
  <c r="J427" i="3"/>
  <c r="D427" i="3"/>
  <c r="K427" i="3"/>
  <c r="E427" i="3"/>
  <c r="C426" i="3"/>
  <c r="B426" i="3" s="1"/>
  <c r="I426" i="3"/>
  <c r="H426" i="3" s="1"/>
  <c r="A428" i="3"/>
  <c r="L428" i="3" l="1"/>
  <c r="F428" i="3"/>
  <c r="J428" i="3"/>
  <c r="D428" i="3"/>
  <c r="K428" i="3"/>
  <c r="E428" i="3"/>
  <c r="I427" i="3"/>
  <c r="H427" i="3" s="1"/>
  <c r="C427" i="3"/>
  <c r="B427" i="3" s="1"/>
  <c r="A429" i="3"/>
  <c r="L429" i="3" l="1"/>
  <c r="F429" i="3"/>
  <c r="J429" i="3"/>
  <c r="D429" i="3"/>
  <c r="K429" i="3"/>
  <c r="E429" i="3"/>
  <c r="I428" i="3"/>
  <c r="H428" i="3" s="1"/>
  <c r="C428" i="3"/>
  <c r="B428" i="3" s="1"/>
  <c r="A430" i="3"/>
  <c r="L430" i="3" l="1"/>
  <c r="F430" i="3"/>
  <c r="J430" i="3"/>
  <c r="D430" i="3"/>
  <c r="K430" i="3"/>
  <c r="E430" i="3"/>
  <c r="I429" i="3"/>
  <c r="H429" i="3" s="1"/>
  <c r="A431" i="3"/>
  <c r="C429" i="3"/>
  <c r="B429" i="3" s="1"/>
  <c r="L431" i="3" l="1"/>
  <c r="F431" i="3"/>
  <c r="J431" i="3"/>
  <c r="D431" i="3"/>
  <c r="K431" i="3"/>
  <c r="E431" i="3"/>
  <c r="I430" i="3"/>
  <c r="H430" i="3" s="1"/>
  <c r="C430" i="3"/>
  <c r="B430" i="3" s="1"/>
  <c r="A432" i="3"/>
  <c r="L432" i="3" l="1"/>
  <c r="J432" i="3"/>
  <c r="D432" i="3"/>
  <c r="K432" i="3"/>
  <c r="E432" i="3"/>
  <c r="C431" i="3"/>
  <c r="B431" i="3" s="1"/>
  <c r="A433" i="3"/>
  <c r="I431" i="3"/>
  <c r="H431" i="3" s="1"/>
  <c r="L433" i="3" l="1"/>
  <c r="F433" i="3"/>
  <c r="J433" i="3"/>
  <c r="D433" i="3"/>
  <c r="K433" i="3"/>
  <c r="E433" i="3"/>
  <c r="I432" i="3"/>
  <c r="H432" i="3" s="1"/>
  <c r="A434" i="3"/>
  <c r="L434" i="3" l="1"/>
  <c r="F434" i="3"/>
  <c r="J434" i="3"/>
  <c r="D434" i="3"/>
  <c r="K434" i="3"/>
  <c r="E434" i="3"/>
  <c r="C433" i="3"/>
  <c r="B433" i="3" s="1"/>
  <c r="A435" i="3"/>
  <c r="I433" i="3"/>
  <c r="H433" i="3" s="1"/>
  <c r="L435" i="3" l="1"/>
  <c r="F435" i="3"/>
  <c r="J435" i="3"/>
  <c r="D435" i="3"/>
  <c r="K435" i="3"/>
  <c r="E435" i="3"/>
  <c r="C434" i="3"/>
  <c r="B434" i="3" s="1"/>
  <c r="I434" i="3"/>
  <c r="H434" i="3" s="1"/>
  <c r="A436" i="3"/>
  <c r="L436" i="3" l="1"/>
  <c r="F436" i="3"/>
  <c r="J436" i="3"/>
  <c r="D436" i="3"/>
  <c r="K436" i="3"/>
  <c r="E436" i="3"/>
  <c r="I435" i="3"/>
  <c r="H435" i="3" s="1"/>
  <c r="C435" i="3"/>
  <c r="B435" i="3" s="1"/>
  <c r="A437" i="3"/>
  <c r="L437" i="3" l="1"/>
  <c r="F437" i="3"/>
  <c r="J437" i="3"/>
  <c r="D437" i="3"/>
  <c r="K437" i="3"/>
  <c r="E437" i="3"/>
  <c r="C436" i="3"/>
  <c r="B436" i="3" s="1"/>
  <c r="I436" i="3"/>
  <c r="H436" i="3" s="1"/>
  <c r="A438" i="3"/>
  <c r="F438" i="3" l="1"/>
  <c r="E438" i="3"/>
  <c r="L438" i="3"/>
  <c r="J438" i="3"/>
  <c r="D438" i="3"/>
  <c r="K438" i="3"/>
  <c r="I437" i="3"/>
  <c r="H437" i="3" s="1"/>
  <c r="C437" i="3"/>
  <c r="B437" i="3" s="1"/>
  <c r="A439" i="3"/>
  <c r="L439" i="3" l="1"/>
  <c r="F439" i="3"/>
  <c r="J439" i="3"/>
  <c r="K439" i="3"/>
  <c r="D439" i="3"/>
  <c r="E439" i="3"/>
  <c r="A440" i="3"/>
  <c r="I438" i="3"/>
  <c r="H438" i="3" s="1"/>
  <c r="C438" i="3"/>
  <c r="B438" i="3" s="1"/>
  <c r="L440" i="3" l="1"/>
  <c r="F440" i="3"/>
  <c r="D440" i="3"/>
  <c r="E440" i="3"/>
  <c r="J440" i="3"/>
  <c r="K440" i="3"/>
  <c r="C439" i="3"/>
  <c r="B439" i="3" s="1"/>
  <c r="A441" i="3"/>
  <c r="I439" i="3"/>
  <c r="H439" i="3" s="1"/>
  <c r="L441" i="3" l="1"/>
  <c r="F441" i="3"/>
  <c r="J441" i="3"/>
  <c r="D441" i="3"/>
  <c r="K441" i="3"/>
  <c r="E441" i="3"/>
  <c r="I440" i="3"/>
  <c r="H440" i="3" s="1"/>
  <c r="C440" i="3"/>
  <c r="B440" i="3" s="1"/>
  <c r="A442" i="3"/>
  <c r="L442" i="3" l="1"/>
  <c r="F442" i="3"/>
  <c r="J442" i="3"/>
  <c r="D442" i="3"/>
  <c r="K442" i="3"/>
  <c r="E442" i="3"/>
  <c r="C441" i="3"/>
  <c r="B441" i="3" s="1"/>
  <c r="I441" i="3"/>
  <c r="H441" i="3" s="1"/>
  <c r="A443" i="3"/>
  <c r="L443" i="3" l="1"/>
  <c r="F443" i="3"/>
  <c r="J443" i="3"/>
  <c r="D443" i="3"/>
  <c r="K443" i="3"/>
  <c r="E443" i="3"/>
  <c r="I442" i="3"/>
  <c r="H442" i="3" s="1"/>
  <c r="C442" i="3"/>
  <c r="B442" i="3" s="1"/>
  <c r="A444" i="3"/>
  <c r="L444" i="3" l="1"/>
  <c r="F444" i="3"/>
  <c r="J444" i="3"/>
  <c r="D444" i="3"/>
  <c r="K444" i="3"/>
  <c r="E444" i="3"/>
  <c r="C443" i="3"/>
  <c r="B443" i="3" s="1"/>
  <c r="I443" i="3"/>
  <c r="H443" i="3" s="1"/>
  <c r="A445" i="3"/>
  <c r="F445" i="3" l="1"/>
  <c r="L445" i="3"/>
  <c r="J445" i="3"/>
  <c r="D445" i="3"/>
  <c r="K445" i="3"/>
  <c r="E445" i="3"/>
  <c r="I444" i="3"/>
  <c r="H444" i="3" s="1"/>
  <c r="A446" i="3"/>
  <c r="C444" i="3"/>
  <c r="B444" i="3" s="1"/>
  <c r="L446" i="3" l="1"/>
  <c r="F446" i="3"/>
  <c r="J446" i="3"/>
  <c r="D446" i="3"/>
  <c r="K446" i="3"/>
  <c r="E446" i="3"/>
  <c r="C445" i="3"/>
  <c r="B445" i="3" s="1"/>
  <c r="A447" i="3"/>
  <c r="I445" i="3"/>
  <c r="H445" i="3" s="1"/>
  <c r="L447" i="3" l="1"/>
  <c r="F447" i="3"/>
  <c r="J447" i="3"/>
  <c r="D447" i="3"/>
  <c r="K447" i="3"/>
  <c r="E447" i="3"/>
  <c r="I446" i="3"/>
  <c r="H446" i="3" s="1"/>
  <c r="C446" i="3"/>
  <c r="B446" i="3" s="1"/>
  <c r="A448" i="3"/>
  <c r="L448" i="3" l="1"/>
  <c r="F448" i="3"/>
  <c r="J448" i="3"/>
  <c r="D448" i="3"/>
  <c r="K448" i="3"/>
  <c r="E448" i="3"/>
  <c r="C447" i="3"/>
  <c r="B447" i="3" s="1"/>
  <c r="A449" i="3"/>
  <c r="I447" i="3"/>
  <c r="H447" i="3" s="1"/>
  <c r="L449" i="3" l="1"/>
  <c r="F449" i="3"/>
  <c r="J449" i="3"/>
  <c r="D449" i="3"/>
  <c r="K449" i="3"/>
  <c r="E449" i="3"/>
  <c r="I448" i="3"/>
  <c r="H448" i="3" s="1"/>
  <c r="A450" i="3"/>
  <c r="C448" i="3"/>
  <c r="B448" i="3" s="1"/>
  <c r="L450" i="3" l="1"/>
  <c r="F450" i="3"/>
  <c r="J450" i="3"/>
  <c r="D450" i="3"/>
  <c r="K450" i="3"/>
  <c r="E450" i="3"/>
  <c r="I449" i="3"/>
  <c r="H449" i="3" s="1"/>
  <c r="C449" i="3"/>
  <c r="B449" i="3" s="1"/>
  <c r="A451" i="3"/>
  <c r="L451" i="3" l="1"/>
  <c r="F451" i="3"/>
  <c r="J451" i="3"/>
  <c r="D451" i="3"/>
  <c r="K451" i="3"/>
  <c r="E451" i="3"/>
  <c r="I450" i="3"/>
  <c r="H450" i="3" s="1"/>
  <c r="C450" i="3"/>
  <c r="B450" i="3" s="1"/>
  <c r="A452" i="3"/>
  <c r="L452" i="3" l="1"/>
  <c r="F452" i="3"/>
  <c r="J452" i="3"/>
  <c r="D452" i="3"/>
  <c r="K452" i="3"/>
  <c r="E452" i="3"/>
  <c r="C451" i="3"/>
  <c r="B451" i="3" s="1"/>
  <c r="I451" i="3"/>
  <c r="H451" i="3" s="1"/>
  <c r="A453" i="3"/>
  <c r="L453" i="3" l="1"/>
  <c r="J453" i="3"/>
  <c r="D453" i="3"/>
  <c r="K453" i="3"/>
  <c r="E453" i="3"/>
  <c r="I452" i="3"/>
  <c r="H452" i="3" s="1"/>
  <c r="C452" i="3"/>
  <c r="B452" i="3" s="1"/>
  <c r="A454" i="3"/>
  <c r="F454" i="3" l="1"/>
  <c r="L454" i="3"/>
  <c r="D454" i="3"/>
  <c r="J454" i="3"/>
  <c r="E454" i="3"/>
  <c r="K454" i="3"/>
  <c r="I453" i="3"/>
  <c r="H453" i="3" s="1"/>
  <c r="A455" i="3"/>
  <c r="L455" i="3" l="1"/>
  <c r="F455" i="3"/>
  <c r="J455" i="3"/>
  <c r="D455" i="3"/>
  <c r="K455" i="3"/>
  <c r="E455" i="3"/>
  <c r="C454" i="3"/>
  <c r="B454" i="3" s="1"/>
  <c r="I454" i="3"/>
  <c r="H454" i="3" s="1"/>
  <c r="A456" i="3"/>
  <c r="L456" i="3" l="1"/>
  <c r="F456" i="3"/>
  <c r="J456" i="3"/>
  <c r="D456" i="3"/>
  <c r="K456" i="3"/>
  <c r="E456" i="3"/>
  <c r="C455" i="3"/>
  <c r="B455" i="3" s="1"/>
  <c r="I455" i="3"/>
  <c r="H455" i="3" s="1"/>
  <c r="A457" i="3"/>
  <c r="L457" i="3" l="1"/>
  <c r="F457" i="3"/>
  <c r="J457" i="3"/>
  <c r="D457" i="3"/>
  <c r="K457" i="3"/>
  <c r="E457" i="3"/>
  <c r="I456" i="3"/>
  <c r="H456" i="3" s="1"/>
  <c r="A458" i="3"/>
  <c r="C456" i="3"/>
  <c r="B456" i="3" s="1"/>
  <c r="F458" i="3" l="1"/>
  <c r="E458" i="3"/>
  <c r="L458" i="3"/>
  <c r="J458" i="3"/>
  <c r="D458" i="3"/>
  <c r="K458" i="3"/>
  <c r="C457" i="3"/>
  <c r="B457" i="3" s="1"/>
  <c r="I457" i="3"/>
  <c r="H457" i="3" s="1"/>
  <c r="A459" i="3"/>
  <c r="L459" i="3" l="1"/>
  <c r="F459" i="3"/>
  <c r="J459" i="3"/>
  <c r="D459" i="3"/>
  <c r="K459" i="3"/>
  <c r="E459" i="3"/>
  <c r="I458" i="3"/>
  <c r="H458" i="3" s="1"/>
  <c r="C458" i="3"/>
  <c r="B458" i="3" s="1"/>
  <c r="A460" i="3"/>
  <c r="L460" i="3" l="1"/>
  <c r="F460" i="3"/>
  <c r="J460" i="3"/>
  <c r="D460" i="3"/>
  <c r="K460" i="3"/>
  <c r="E460" i="3"/>
  <c r="C459" i="3"/>
  <c r="B459" i="3" s="1"/>
  <c r="I459" i="3"/>
  <c r="H459" i="3" s="1"/>
  <c r="A461" i="3"/>
  <c r="L461" i="3" l="1"/>
  <c r="F461" i="3"/>
  <c r="J461" i="3"/>
  <c r="D461" i="3"/>
  <c r="K461" i="3"/>
  <c r="E461" i="3"/>
  <c r="C460" i="3"/>
  <c r="B460" i="3" s="1"/>
  <c r="A462" i="3"/>
  <c r="I460" i="3"/>
  <c r="H460" i="3" s="1"/>
  <c r="L462" i="3" l="1"/>
  <c r="F462" i="3"/>
  <c r="J462" i="3"/>
  <c r="D462" i="3"/>
  <c r="K462" i="3"/>
  <c r="E462" i="3"/>
  <c r="A463" i="3"/>
  <c r="C461" i="3"/>
  <c r="B461" i="3" s="1"/>
  <c r="I461" i="3"/>
  <c r="H461" i="3" s="1"/>
  <c r="L463" i="3" l="1"/>
  <c r="F463" i="3"/>
  <c r="J463" i="3"/>
  <c r="D463" i="3"/>
  <c r="K463" i="3"/>
  <c r="E463" i="3"/>
  <c r="I462" i="3"/>
  <c r="H462" i="3" s="1"/>
  <c r="C462" i="3"/>
  <c r="B462" i="3" s="1"/>
  <c r="A464" i="3"/>
  <c r="L464" i="3" l="1"/>
  <c r="F464" i="3"/>
  <c r="J464" i="3"/>
  <c r="K464" i="3"/>
  <c r="D464" i="3"/>
  <c r="E464" i="3"/>
  <c r="I463" i="3"/>
  <c r="H463" i="3" s="1"/>
  <c r="C463" i="3"/>
  <c r="B463" i="3" s="1"/>
  <c r="A465" i="3"/>
  <c r="F465" i="3" l="1"/>
  <c r="L465" i="3"/>
  <c r="J465" i="3"/>
  <c r="D465" i="3"/>
  <c r="K465" i="3"/>
  <c r="E465" i="3"/>
  <c r="I464" i="3"/>
  <c r="H464" i="3" s="1"/>
  <c r="A466" i="3"/>
  <c r="C464" i="3"/>
  <c r="B464" i="3" s="1"/>
  <c r="L466" i="3" l="1"/>
  <c r="F466" i="3"/>
  <c r="J466" i="3"/>
  <c r="D466" i="3"/>
  <c r="K466" i="3"/>
  <c r="E466" i="3"/>
  <c r="C465" i="3"/>
  <c r="B465" i="3" s="1"/>
  <c r="I465" i="3"/>
  <c r="H465" i="3" s="1"/>
  <c r="A467" i="3"/>
  <c r="L467" i="3" l="1"/>
  <c r="F467" i="3"/>
  <c r="J467" i="3"/>
  <c r="D467" i="3"/>
  <c r="K467" i="3"/>
  <c r="E467" i="3"/>
  <c r="C466" i="3"/>
  <c r="B466" i="3" s="1"/>
  <c r="A468" i="3"/>
  <c r="I466" i="3"/>
  <c r="H466" i="3" s="1"/>
  <c r="L468" i="3" l="1"/>
  <c r="F468" i="3"/>
  <c r="J468" i="3"/>
  <c r="D468" i="3"/>
  <c r="K468" i="3"/>
  <c r="E468" i="3"/>
  <c r="I467" i="3"/>
  <c r="H467" i="3" s="1"/>
  <c r="C467" i="3"/>
  <c r="B467" i="3" s="1"/>
  <c r="A469" i="3"/>
  <c r="L469" i="3" l="1"/>
  <c r="F469" i="3"/>
  <c r="J469" i="3"/>
  <c r="D469" i="3"/>
  <c r="K469" i="3"/>
  <c r="E469" i="3"/>
  <c r="A470" i="3"/>
  <c r="C468" i="3"/>
  <c r="B468" i="3" s="1"/>
  <c r="I468" i="3"/>
  <c r="H468" i="3" s="1"/>
  <c r="L470" i="3" l="1"/>
  <c r="F470" i="3"/>
  <c r="J470" i="3"/>
  <c r="D470" i="3"/>
  <c r="K470" i="3"/>
  <c r="E470" i="3"/>
  <c r="C469" i="3"/>
  <c r="B469" i="3" s="1"/>
  <c r="I469" i="3"/>
  <c r="H469" i="3" s="1"/>
  <c r="A471" i="3"/>
  <c r="L471" i="3" l="1"/>
  <c r="F471" i="3"/>
  <c r="D471" i="3"/>
  <c r="E471" i="3"/>
  <c r="J471" i="3"/>
  <c r="K471" i="3"/>
  <c r="C470" i="3"/>
  <c r="B470" i="3" s="1"/>
  <c r="I470" i="3"/>
  <c r="H470" i="3" s="1"/>
  <c r="A472" i="3"/>
  <c r="L472" i="3" l="1"/>
  <c r="F472" i="3"/>
  <c r="J472" i="3"/>
  <c r="D472" i="3"/>
  <c r="K472" i="3"/>
  <c r="E472" i="3"/>
  <c r="I471" i="3"/>
  <c r="H471" i="3" s="1"/>
  <c r="C471" i="3"/>
  <c r="B471" i="3" s="1"/>
  <c r="A473" i="3"/>
  <c r="L473" i="3" l="1"/>
  <c r="F473" i="3"/>
  <c r="J473" i="3"/>
  <c r="D473" i="3"/>
  <c r="K473" i="3"/>
  <c r="E473" i="3"/>
  <c r="C472" i="3"/>
  <c r="B472" i="3" s="1"/>
  <c r="I472" i="3"/>
  <c r="H472" i="3" s="1"/>
  <c r="A474" i="3"/>
  <c r="L474" i="3" l="1"/>
  <c r="F474" i="3"/>
  <c r="J474" i="3"/>
  <c r="D474" i="3"/>
  <c r="K474" i="3"/>
  <c r="E474" i="3"/>
  <c r="I473" i="3"/>
  <c r="H473" i="3" s="1"/>
  <c r="C473" i="3"/>
  <c r="B473" i="3" s="1"/>
  <c r="A475" i="3"/>
  <c r="L475" i="3" l="1"/>
  <c r="F475" i="3"/>
  <c r="J475" i="3"/>
  <c r="D475" i="3"/>
  <c r="K475" i="3"/>
  <c r="E475" i="3"/>
  <c r="A476" i="3"/>
  <c r="I474" i="3"/>
  <c r="H474" i="3" s="1"/>
  <c r="C474" i="3"/>
  <c r="B474" i="3" s="1"/>
  <c r="L476" i="3" l="1"/>
  <c r="J476" i="3"/>
  <c r="D476" i="3"/>
  <c r="K476" i="3"/>
  <c r="E476" i="3"/>
  <c r="A477" i="3"/>
  <c r="C475" i="3"/>
  <c r="B475" i="3" s="1"/>
  <c r="I475" i="3"/>
  <c r="H475" i="3" s="1"/>
  <c r="L477" i="3" l="1"/>
  <c r="F477" i="3"/>
  <c r="J477" i="3"/>
  <c r="D477" i="3"/>
  <c r="K477" i="3"/>
  <c r="E477" i="3"/>
  <c r="A478" i="3"/>
  <c r="I476" i="3"/>
  <c r="H476" i="3" s="1"/>
  <c r="L478" i="3" l="1"/>
  <c r="F478" i="3"/>
  <c r="J478" i="3"/>
  <c r="D478" i="3"/>
  <c r="K478" i="3"/>
  <c r="E478" i="3"/>
  <c r="I477" i="3"/>
  <c r="H477" i="3" s="1"/>
  <c r="C477" i="3"/>
  <c r="B477" i="3" s="1"/>
  <c r="A479" i="3"/>
  <c r="F479" i="3" l="1"/>
  <c r="E479" i="3"/>
  <c r="L479" i="3"/>
  <c r="J479" i="3"/>
  <c r="D479" i="3"/>
  <c r="K479" i="3"/>
  <c r="I478" i="3"/>
  <c r="H478" i="3" s="1"/>
  <c r="C478" i="3"/>
  <c r="B478" i="3" s="1"/>
  <c r="A480" i="3"/>
  <c r="L480" i="3" l="1"/>
  <c r="F480" i="3"/>
  <c r="J480" i="3"/>
  <c r="D480" i="3"/>
  <c r="K480" i="3"/>
  <c r="E480" i="3"/>
  <c r="I479" i="3"/>
  <c r="H479" i="3" s="1"/>
  <c r="A481" i="3"/>
  <c r="C479" i="3"/>
  <c r="B479" i="3" s="1"/>
  <c r="L481" i="3" l="1"/>
  <c r="F481" i="3"/>
  <c r="J481" i="3"/>
  <c r="D481" i="3"/>
  <c r="K481" i="3"/>
  <c r="E481" i="3"/>
  <c r="C480" i="3"/>
  <c r="B480" i="3" s="1"/>
  <c r="I480" i="3"/>
  <c r="H480" i="3" s="1"/>
  <c r="A482" i="3"/>
  <c r="L482" i="3" l="1"/>
  <c r="F482" i="3"/>
  <c r="J482" i="3"/>
  <c r="D482" i="3"/>
  <c r="K482" i="3"/>
  <c r="E482" i="3"/>
  <c r="I481" i="3"/>
  <c r="H481" i="3" s="1"/>
  <c r="C481" i="3"/>
  <c r="B481" i="3" s="1"/>
  <c r="A483" i="3"/>
  <c r="L483" i="3" l="1"/>
  <c r="F483" i="3"/>
  <c r="J483" i="3"/>
  <c r="D483" i="3"/>
  <c r="K483" i="3"/>
  <c r="E483" i="3"/>
  <c r="I482" i="3"/>
  <c r="H482" i="3" s="1"/>
  <c r="C482" i="3"/>
  <c r="B482" i="3" s="1"/>
  <c r="A484" i="3"/>
  <c r="L484" i="3" l="1"/>
  <c r="F484" i="3"/>
  <c r="J484" i="3"/>
  <c r="D484" i="3"/>
  <c r="K484" i="3"/>
  <c r="E484" i="3"/>
  <c r="C483" i="3"/>
  <c r="B483" i="3" s="1"/>
  <c r="I483" i="3"/>
  <c r="H483" i="3" s="1"/>
  <c r="A485" i="3"/>
  <c r="L485" i="3" l="1"/>
  <c r="F485" i="3"/>
  <c r="D485" i="3"/>
  <c r="J485" i="3"/>
  <c r="E485" i="3"/>
  <c r="K485" i="3"/>
  <c r="I484" i="3"/>
  <c r="H484" i="3" s="1"/>
  <c r="C484" i="3"/>
  <c r="B484" i="3" s="1"/>
  <c r="A486" i="3"/>
  <c r="F486" i="3" l="1"/>
  <c r="L486" i="3"/>
  <c r="J486" i="3"/>
  <c r="D486" i="3"/>
  <c r="K486" i="3"/>
  <c r="E486" i="3"/>
  <c r="I485" i="3"/>
  <c r="H485" i="3" s="1"/>
  <c r="A487" i="3"/>
  <c r="C485" i="3"/>
  <c r="B485" i="3" s="1"/>
  <c r="F487" i="3" l="1"/>
  <c r="L487" i="3"/>
  <c r="D487" i="3"/>
  <c r="J487" i="3"/>
  <c r="E487" i="3"/>
  <c r="K487" i="3"/>
  <c r="C486" i="3"/>
  <c r="B486" i="3" s="1"/>
  <c r="I486" i="3"/>
  <c r="H486" i="3" s="1"/>
  <c r="A488" i="3"/>
  <c r="L488" i="3" l="1"/>
  <c r="F488" i="3"/>
  <c r="J488" i="3"/>
  <c r="D488" i="3"/>
  <c r="K488" i="3"/>
  <c r="E488" i="3"/>
  <c r="I487" i="3"/>
  <c r="H487" i="3" s="1"/>
  <c r="C487" i="3"/>
  <c r="B487" i="3" s="1"/>
  <c r="A489" i="3"/>
  <c r="I488" i="3" l="1"/>
  <c r="H488" i="3" s="1"/>
  <c r="L489" i="3"/>
  <c r="F489" i="3"/>
  <c r="J489" i="3"/>
  <c r="D489" i="3"/>
  <c r="K489" i="3"/>
  <c r="E489" i="3"/>
  <c r="C488" i="3"/>
  <c r="B488" i="3" s="1"/>
  <c r="A490" i="3"/>
  <c r="L490" i="3" l="1"/>
  <c r="F490" i="3"/>
  <c r="J490" i="3"/>
  <c r="D490" i="3"/>
  <c r="K490" i="3"/>
  <c r="E490" i="3"/>
  <c r="I489" i="3"/>
  <c r="H489" i="3" s="1"/>
  <c r="C489" i="3"/>
  <c r="B489" i="3" s="1"/>
  <c r="A491" i="3"/>
  <c r="L491" i="3" l="1"/>
  <c r="F491" i="3"/>
  <c r="J491" i="3"/>
  <c r="D491" i="3"/>
  <c r="K491" i="3"/>
  <c r="E491" i="3"/>
  <c r="C490" i="3"/>
  <c r="B490" i="3" s="1"/>
  <c r="I490" i="3"/>
  <c r="H490" i="3" s="1"/>
  <c r="A492" i="3"/>
  <c r="L492" i="3" l="1"/>
  <c r="F492" i="3"/>
  <c r="J492" i="3"/>
  <c r="D492" i="3"/>
  <c r="K492" i="3"/>
  <c r="E492" i="3"/>
  <c r="I491" i="3"/>
  <c r="H491" i="3" s="1"/>
  <c r="C491" i="3"/>
  <c r="B491" i="3" s="1"/>
  <c r="A493" i="3"/>
  <c r="L493" i="3" l="1"/>
  <c r="F493" i="3"/>
  <c r="J493" i="3"/>
  <c r="D493" i="3"/>
  <c r="K493" i="3"/>
  <c r="E493" i="3"/>
  <c r="C492" i="3"/>
  <c r="B492" i="3" s="1"/>
  <c r="I492" i="3"/>
  <c r="H492" i="3" s="1"/>
  <c r="A494" i="3"/>
  <c r="L494" i="3" l="1"/>
  <c r="F494" i="3"/>
  <c r="J494" i="3"/>
  <c r="D494" i="3"/>
  <c r="K494" i="3"/>
  <c r="E494" i="3"/>
  <c r="C493" i="3"/>
  <c r="B493" i="3" s="1"/>
  <c r="I493" i="3"/>
  <c r="H493" i="3" s="1"/>
  <c r="A495" i="3"/>
  <c r="L495" i="3" l="1"/>
  <c r="F495" i="3"/>
  <c r="J495" i="3"/>
  <c r="D495" i="3"/>
  <c r="K495" i="3"/>
  <c r="E495" i="3"/>
  <c r="C494" i="3"/>
  <c r="B494" i="3" s="1"/>
  <c r="I494" i="3"/>
  <c r="H494" i="3" s="1"/>
  <c r="A496" i="3"/>
  <c r="L496" i="3" l="1"/>
  <c r="F496" i="3"/>
  <c r="J496" i="3"/>
  <c r="D496" i="3"/>
  <c r="K496" i="3"/>
  <c r="E496" i="3"/>
  <c r="I495" i="3"/>
  <c r="H495" i="3" s="1"/>
  <c r="C495" i="3"/>
  <c r="B495" i="3" s="1"/>
  <c r="A497" i="3"/>
  <c r="L497" i="3" l="1"/>
  <c r="J497" i="3"/>
  <c r="D497" i="3"/>
  <c r="K497" i="3"/>
  <c r="E497" i="3"/>
  <c r="I496" i="3"/>
  <c r="H496" i="3" s="1"/>
  <c r="C496" i="3"/>
  <c r="B496" i="3" s="1"/>
  <c r="A498" i="3"/>
  <c r="L498" i="3" l="1"/>
  <c r="F498" i="3"/>
  <c r="J498" i="3"/>
  <c r="D498" i="3"/>
  <c r="K498" i="3"/>
  <c r="E498" i="3"/>
  <c r="I497" i="3"/>
  <c r="H497" i="3" s="1"/>
  <c r="A499" i="3"/>
  <c r="F499" i="3" l="1"/>
  <c r="E499" i="3"/>
  <c r="L499" i="3"/>
  <c r="J499" i="3"/>
  <c r="D499" i="3"/>
  <c r="K499" i="3"/>
  <c r="I498" i="3"/>
  <c r="H498" i="3" s="1"/>
  <c r="C498" i="3"/>
  <c r="B498" i="3" s="1"/>
  <c r="A500" i="3"/>
  <c r="L500" i="3" l="1"/>
  <c r="F500" i="3"/>
  <c r="J500" i="3"/>
  <c r="D500" i="3"/>
  <c r="K500" i="3"/>
  <c r="E500" i="3"/>
  <c r="A501" i="3"/>
  <c r="I499" i="3"/>
  <c r="H499" i="3" s="1"/>
  <c r="C499" i="3"/>
  <c r="B499" i="3" s="1"/>
  <c r="L501" i="3" l="1"/>
  <c r="F501" i="3"/>
  <c r="J501" i="3"/>
  <c r="D501" i="3"/>
  <c r="K501" i="3"/>
  <c r="E501" i="3"/>
  <c r="C500" i="3"/>
  <c r="B500" i="3" s="1"/>
  <c r="A502" i="3"/>
  <c r="I500" i="3"/>
  <c r="H500" i="3" s="1"/>
  <c r="L502" i="3" l="1"/>
  <c r="F502" i="3"/>
  <c r="D502" i="3"/>
  <c r="J502" i="3"/>
  <c r="E502" i="3"/>
  <c r="K502" i="3"/>
  <c r="C501" i="3"/>
  <c r="B501" i="3" s="1"/>
  <c r="A503" i="3"/>
  <c r="I501" i="3"/>
  <c r="H501" i="3" s="1"/>
  <c r="L503" i="3" l="1"/>
  <c r="F503" i="3"/>
  <c r="J503" i="3"/>
  <c r="D503" i="3"/>
  <c r="K503" i="3"/>
  <c r="E503" i="3"/>
  <c r="C502" i="3"/>
  <c r="B502" i="3" s="1"/>
  <c r="I502" i="3"/>
  <c r="H502" i="3" s="1"/>
  <c r="A504" i="3"/>
  <c r="L504" i="3" l="1"/>
  <c r="F504" i="3"/>
  <c r="J504" i="3"/>
  <c r="D504" i="3"/>
  <c r="K504" i="3"/>
  <c r="E504" i="3"/>
  <c r="I503" i="3"/>
  <c r="H503" i="3" s="1"/>
  <c r="C503" i="3"/>
  <c r="B503" i="3" s="1"/>
  <c r="A505" i="3"/>
  <c r="L505" i="3" l="1"/>
  <c r="F505" i="3"/>
  <c r="J505" i="3"/>
  <c r="D505" i="3"/>
  <c r="K505" i="3"/>
  <c r="E505" i="3"/>
  <c r="I504" i="3"/>
  <c r="H504" i="3" s="1"/>
  <c r="A506" i="3"/>
  <c r="C504" i="3"/>
  <c r="B504" i="3" s="1"/>
  <c r="F506" i="3" l="1"/>
  <c r="L506" i="3"/>
  <c r="J506" i="3"/>
  <c r="D506" i="3"/>
  <c r="K506" i="3"/>
  <c r="E506" i="3"/>
  <c r="I505" i="3"/>
  <c r="H505" i="3" s="1"/>
  <c r="C505" i="3"/>
  <c r="B505" i="3" s="1"/>
  <c r="A507" i="3"/>
  <c r="L507" i="3" l="1"/>
  <c r="F507" i="3"/>
  <c r="J507" i="3"/>
  <c r="D507" i="3"/>
  <c r="K507" i="3"/>
  <c r="E507" i="3"/>
  <c r="C506" i="3"/>
  <c r="B506" i="3" s="1"/>
  <c r="A508" i="3"/>
  <c r="I506" i="3"/>
  <c r="H506" i="3" s="1"/>
  <c r="L508" i="3" l="1"/>
  <c r="F508" i="3"/>
  <c r="J508" i="3"/>
  <c r="D508" i="3"/>
  <c r="K508" i="3"/>
  <c r="E508" i="3"/>
  <c r="C507" i="3"/>
  <c r="B507" i="3" s="1"/>
  <c r="A509" i="3"/>
  <c r="I507" i="3"/>
  <c r="H507" i="3" s="1"/>
  <c r="L509" i="3" l="1"/>
  <c r="F509" i="3"/>
  <c r="J509" i="3"/>
  <c r="D509" i="3"/>
  <c r="K509" i="3"/>
  <c r="E509" i="3"/>
  <c r="C508" i="3"/>
  <c r="B508" i="3" s="1"/>
  <c r="I508" i="3"/>
  <c r="H508" i="3" s="1"/>
  <c r="A510" i="3"/>
  <c r="L510" i="3" l="1"/>
  <c r="F510" i="3"/>
  <c r="J510" i="3"/>
  <c r="D510" i="3"/>
  <c r="K510" i="3"/>
  <c r="E510" i="3"/>
  <c r="I509" i="3"/>
  <c r="H509" i="3" s="1"/>
  <c r="A511" i="3"/>
  <c r="C509" i="3"/>
  <c r="B509" i="3" s="1"/>
  <c r="L511" i="3" l="1"/>
  <c r="F511" i="3"/>
  <c r="J511" i="3"/>
  <c r="D511" i="3"/>
  <c r="K511" i="3"/>
  <c r="E511" i="3"/>
  <c r="I510" i="3"/>
  <c r="H510" i="3" s="1"/>
  <c r="C510" i="3"/>
  <c r="B510" i="3" s="1"/>
  <c r="A512" i="3"/>
  <c r="L512" i="3" l="1"/>
  <c r="F512" i="3"/>
  <c r="J512" i="3"/>
  <c r="D512" i="3"/>
  <c r="K512" i="3"/>
  <c r="E512" i="3"/>
  <c r="C511" i="3"/>
  <c r="B511" i="3" s="1"/>
  <c r="I511" i="3"/>
  <c r="H511" i="3" s="1"/>
  <c r="A513" i="3"/>
  <c r="L513" i="3" l="1"/>
  <c r="F513" i="3"/>
  <c r="J513" i="3"/>
  <c r="D513" i="3"/>
  <c r="K513" i="3"/>
  <c r="E513" i="3"/>
  <c r="I512" i="3"/>
  <c r="H512" i="3" s="1"/>
  <c r="A514" i="3"/>
  <c r="C512" i="3"/>
  <c r="B512" i="3" s="1"/>
  <c r="L514" i="3" l="1"/>
  <c r="F514" i="3"/>
  <c r="D514" i="3"/>
  <c r="J514" i="3"/>
  <c r="E514" i="3"/>
  <c r="K514" i="3"/>
  <c r="C513" i="3"/>
  <c r="B513" i="3" s="1"/>
  <c r="I513" i="3"/>
  <c r="H513" i="3" s="1"/>
  <c r="A515" i="3"/>
  <c r="L515" i="3" l="1"/>
  <c r="F515" i="3"/>
  <c r="J515" i="3"/>
  <c r="D515" i="3"/>
  <c r="K515" i="3"/>
  <c r="E515" i="3"/>
  <c r="C514" i="3"/>
  <c r="B514" i="3" s="1"/>
  <c r="A516" i="3"/>
  <c r="I514" i="3"/>
  <c r="H514" i="3" s="1"/>
  <c r="L516" i="3" l="1"/>
  <c r="F516" i="3"/>
  <c r="D516" i="3"/>
  <c r="E516" i="3"/>
  <c r="J516" i="3"/>
  <c r="K516" i="3"/>
  <c r="C515" i="3"/>
  <c r="B515" i="3" s="1"/>
  <c r="A517" i="3"/>
  <c r="I515" i="3"/>
  <c r="H515" i="3" s="1"/>
  <c r="L517" i="3" l="1"/>
  <c r="F517" i="3"/>
  <c r="J517" i="3"/>
  <c r="D517" i="3"/>
  <c r="K517" i="3"/>
  <c r="E517" i="3"/>
  <c r="C516" i="3"/>
  <c r="B516" i="3" s="1"/>
  <c r="A518" i="3"/>
  <c r="I516" i="3"/>
  <c r="H516" i="3" s="1"/>
  <c r="L518" i="3" l="1"/>
  <c r="J518" i="3"/>
  <c r="D518" i="3"/>
  <c r="K518" i="3"/>
  <c r="E518" i="3"/>
  <c r="I517" i="3"/>
  <c r="H517" i="3" s="1"/>
  <c r="C517" i="3"/>
  <c r="B517" i="3" s="1"/>
  <c r="A519" i="3"/>
  <c r="F519" i="3" l="1"/>
  <c r="E519" i="3"/>
  <c r="L519" i="3"/>
  <c r="J519" i="3"/>
  <c r="D519" i="3"/>
  <c r="K519" i="3"/>
  <c r="I518" i="3"/>
  <c r="H518" i="3" s="1"/>
  <c r="A520" i="3"/>
  <c r="L520" i="3" l="1"/>
  <c r="F520" i="3"/>
  <c r="J520" i="3"/>
  <c r="K520" i="3"/>
  <c r="D520" i="3"/>
  <c r="E520" i="3"/>
  <c r="I519" i="3"/>
  <c r="H519" i="3" s="1"/>
  <c r="C519" i="3"/>
  <c r="B519" i="3" s="1"/>
  <c r="A521" i="3"/>
  <c r="L521" i="3" l="1"/>
  <c r="F521" i="3"/>
  <c r="J521" i="3"/>
  <c r="D521" i="3"/>
  <c r="K521" i="3"/>
  <c r="E521" i="3"/>
  <c r="I520" i="3"/>
  <c r="H520" i="3" s="1"/>
  <c r="A522" i="3"/>
  <c r="C520" i="3"/>
  <c r="B520" i="3" s="1"/>
  <c r="L522" i="3" l="1"/>
  <c r="F522" i="3"/>
  <c r="J522" i="3"/>
  <c r="D522" i="3"/>
  <c r="K522" i="3"/>
  <c r="E522" i="3"/>
  <c r="C521" i="3"/>
  <c r="B521" i="3" s="1"/>
  <c r="A523" i="3"/>
  <c r="I521" i="3"/>
  <c r="H521" i="3" s="1"/>
  <c r="L523" i="3" l="1"/>
  <c r="F523" i="3"/>
  <c r="J523" i="3"/>
  <c r="D523" i="3"/>
  <c r="K523" i="3"/>
  <c r="E523" i="3"/>
  <c r="I522" i="3"/>
  <c r="H522" i="3" s="1"/>
  <c r="C522" i="3"/>
  <c r="B522" i="3" s="1"/>
  <c r="A524" i="3"/>
  <c r="L524" i="3" l="1"/>
  <c r="F524" i="3"/>
  <c r="J524" i="3"/>
  <c r="D524" i="3"/>
  <c r="K524" i="3"/>
  <c r="E524" i="3"/>
  <c r="I523" i="3"/>
  <c r="H523" i="3" s="1"/>
  <c r="C523" i="3"/>
  <c r="B523" i="3" s="1"/>
  <c r="A525" i="3"/>
  <c r="L525" i="3" l="1"/>
  <c r="F525" i="3"/>
  <c r="J525" i="3"/>
  <c r="D525" i="3"/>
  <c r="K525" i="3"/>
  <c r="E525" i="3"/>
  <c r="I524" i="3"/>
  <c r="H524" i="3" s="1"/>
  <c r="C524" i="3"/>
  <c r="B524" i="3" s="1"/>
  <c r="A526" i="3"/>
  <c r="F526" i="3" l="1"/>
  <c r="L526" i="3"/>
  <c r="J526" i="3"/>
  <c r="D526" i="3"/>
  <c r="K526" i="3"/>
  <c r="E526" i="3"/>
  <c r="C525" i="3"/>
  <c r="B525" i="3" s="1"/>
  <c r="I525" i="3"/>
  <c r="H525" i="3" s="1"/>
  <c r="A527" i="3"/>
  <c r="L527" i="3" l="1"/>
  <c r="F527" i="3"/>
  <c r="J527" i="3"/>
  <c r="D527" i="3"/>
  <c r="K527" i="3"/>
  <c r="E527" i="3"/>
  <c r="C526" i="3"/>
  <c r="B526" i="3" s="1"/>
  <c r="I526" i="3"/>
  <c r="H526" i="3" s="1"/>
  <c r="A528" i="3"/>
  <c r="L528" i="3" l="1"/>
  <c r="F528" i="3"/>
  <c r="J528" i="3"/>
  <c r="D528" i="3"/>
  <c r="K528" i="3"/>
  <c r="E528" i="3"/>
  <c r="C527" i="3"/>
  <c r="B527" i="3" s="1"/>
  <c r="I527" i="3"/>
  <c r="H527" i="3" s="1"/>
  <c r="A529" i="3"/>
  <c r="L529" i="3" l="1"/>
  <c r="F529" i="3"/>
  <c r="J529" i="3"/>
  <c r="D529" i="3"/>
  <c r="K529" i="3"/>
  <c r="E529" i="3"/>
  <c r="I528" i="3"/>
  <c r="H528" i="3" s="1"/>
  <c r="C528" i="3"/>
  <c r="B528" i="3" s="1"/>
  <c r="A530" i="3"/>
  <c r="L530" i="3" l="1"/>
  <c r="F530" i="3"/>
  <c r="J530" i="3"/>
  <c r="D530" i="3"/>
  <c r="K530" i="3"/>
  <c r="E530" i="3"/>
  <c r="I529" i="3"/>
  <c r="H529" i="3" s="1"/>
  <c r="C529" i="3"/>
  <c r="B529" i="3" s="1"/>
  <c r="A531" i="3"/>
  <c r="L531" i="3" l="1"/>
  <c r="F531" i="3"/>
  <c r="J531" i="3"/>
  <c r="D531" i="3"/>
  <c r="K531" i="3"/>
  <c r="E531" i="3"/>
  <c r="C530" i="3"/>
  <c r="B530" i="3" s="1"/>
  <c r="A532" i="3"/>
  <c r="I530" i="3"/>
  <c r="H530" i="3" s="1"/>
  <c r="L532" i="3" l="1"/>
  <c r="F532" i="3"/>
  <c r="J532" i="3"/>
  <c r="D532" i="3"/>
  <c r="K532" i="3"/>
  <c r="E532" i="3"/>
  <c r="A533" i="3"/>
  <c r="I531" i="3"/>
  <c r="H531" i="3" s="1"/>
  <c r="C531" i="3"/>
  <c r="B531" i="3" s="1"/>
  <c r="L533" i="3" l="1"/>
  <c r="F533" i="3"/>
  <c r="D533" i="3"/>
  <c r="J533" i="3"/>
  <c r="E533" i="3"/>
  <c r="K533" i="3"/>
  <c r="C532" i="3"/>
  <c r="B532" i="3" s="1"/>
  <c r="A534" i="3"/>
  <c r="I532" i="3"/>
  <c r="H532" i="3" s="1"/>
  <c r="L534" i="3" l="1"/>
  <c r="F534" i="3"/>
  <c r="J534" i="3"/>
  <c r="D534" i="3"/>
  <c r="K534" i="3"/>
  <c r="E534" i="3"/>
  <c r="C533" i="3"/>
  <c r="B533" i="3" s="1"/>
  <c r="I533" i="3"/>
  <c r="H533" i="3" s="1"/>
  <c r="A535" i="3"/>
  <c r="L535" i="3" l="1"/>
  <c r="F535" i="3"/>
  <c r="J535" i="3"/>
  <c r="D535" i="3"/>
  <c r="K535" i="3"/>
  <c r="E535" i="3"/>
  <c r="C534" i="3"/>
  <c r="B534" i="3" s="1"/>
  <c r="I534" i="3"/>
  <c r="H534" i="3" s="1"/>
  <c r="A536" i="3"/>
  <c r="L536" i="3" l="1"/>
  <c r="F536" i="3"/>
  <c r="J536" i="3"/>
  <c r="D536" i="3"/>
  <c r="K536" i="3"/>
  <c r="E536" i="3"/>
  <c r="C535" i="3"/>
  <c r="B535" i="3" s="1"/>
  <c r="I535" i="3"/>
  <c r="H535" i="3" s="1"/>
  <c r="A537" i="3"/>
  <c r="L537" i="3" l="1"/>
  <c r="F537" i="3"/>
  <c r="J537" i="3"/>
  <c r="D537" i="3"/>
  <c r="K537" i="3"/>
  <c r="E537" i="3"/>
  <c r="C536" i="3"/>
  <c r="B536" i="3" s="1"/>
  <c r="I536" i="3"/>
  <c r="H536" i="3" s="1"/>
  <c r="A538" i="3"/>
  <c r="L538" i="3" l="1"/>
  <c r="F538" i="3"/>
  <c r="J538" i="3"/>
  <c r="D538" i="3"/>
  <c r="K538" i="3"/>
  <c r="E538" i="3"/>
  <c r="I537" i="3"/>
  <c r="H537" i="3" s="1"/>
  <c r="C537" i="3"/>
  <c r="B537" i="3" s="1"/>
  <c r="A539" i="3"/>
  <c r="L539" i="3" l="1"/>
  <c r="J539" i="3"/>
  <c r="D539" i="3"/>
  <c r="K539" i="3"/>
  <c r="E539" i="3"/>
  <c r="I538" i="3"/>
  <c r="H538" i="3" s="1"/>
  <c r="C538" i="3"/>
  <c r="B538" i="3" s="1"/>
  <c r="A540" i="3"/>
  <c r="L540" i="3" l="1"/>
  <c r="F540" i="3"/>
  <c r="J540" i="3"/>
  <c r="D540" i="3"/>
  <c r="K540" i="3"/>
  <c r="E540" i="3"/>
  <c r="I539" i="3"/>
  <c r="H539" i="3" s="1"/>
  <c r="A541" i="3"/>
  <c r="F541" i="3" l="1"/>
  <c r="E541" i="3"/>
  <c r="L541" i="3"/>
  <c r="J541" i="3"/>
  <c r="D541" i="3"/>
  <c r="K541" i="3"/>
  <c r="C540" i="3"/>
  <c r="B540" i="3" s="1"/>
  <c r="I540" i="3"/>
  <c r="H540" i="3" s="1"/>
  <c r="A542" i="3"/>
  <c r="L542" i="3" l="1"/>
  <c r="F542" i="3"/>
  <c r="J542" i="3"/>
  <c r="D542" i="3"/>
  <c r="K542" i="3"/>
  <c r="E542" i="3"/>
  <c r="I541" i="3"/>
  <c r="H541" i="3" s="1"/>
  <c r="C541" i="3"/>
  <c r="B541" i="3" s="1"/>
  <c r="A543" i="3"/>
  <c r="L543" i="3" l="1"/>
  <c r="F543" i="3"/>
  <c r="J543" i="3"/>
  <c r="D543" i="3"/>
  <c r="K543" i="3"/>
  <c r="E543" i="3"/>
  <c r="I542" i="3"/>
  <c r="H542" i="3" s="1"/>
  <c r="A544" i="3"/>
  <c r="C542" i="3"/>
  <c r="B542" i="3" s="1"/>
  <c r="L544" i="3" l="1"/>
  <c r="F544" i="3"/>
  <c r="J544" i="3"/>
  <c r="D544" i="3"/>
  <c r="K544" i="3"/>
  <c r="E544" i="3"/>
  <c r="I543" i="3"/>
  <c r="H543" i="3" s="1"/>
  <c r="C543" i="3"/>
  <c r="B543" i="3" s="1"/>
  <c r="A545" i="3"/>
  <c r="L545" i="3" l="1"/>
  <c r="F545" i="3"/>
  <c r="J545" i="3"/>
  <c r="D545" i="3"/>
  <c r="K545" i="3"/>
  <c r="E545" i="3"/>
  <c r="I544" i="3"/>
  <c r="H544" i="3" s="1"/>
  <c r="C544" i="3"/>
  <c r="B544" i="3" s="1"/>
  <c r="A546" i="3"/>
  <c r="L546" i="3" l="1"/>
  <c r="F546" i="3"/>
  <c r="D546" i="3"/>
  <c r="E546" i="3"/>
  <c r="J546" i="3"/>
  <c r="K546" i="3"/>
  <c r="I545" i="3"/>
  <c r="H545" i="3" s="1"/>
  <c r="C545" i="3"/>
  <c r="B545" i="3" s="1"/>
  <c r="A547" i="3"/>
  <c r="L547" i="3" l="1"/>
  <c r="F547" i="3"/>
  <c r="J547" i="3"/>
  <c r="D547" i="3"/>
  <c r="K547" i="3"/>
  <c r="E547" i="3"/>
  <c r="I546" i="3"/>
  <c r="H546" i="3" s="1"/>
  <c r="C546" i="3"/>
  <c r="B546" i="3" s="1"/>
  <c r="A548" i="3"/>
  <c r="F548" i="3" l="1"/>
  <c r="L548" i="3"/>
  <c r="J548" i="3"/>
  <c r="D548" i="3"/>
  <c r="K548" i="3"/>
  <c r="E548" i="3"/>
  <c r="I547" i="3"/>
  <c r="H547" i="3" s="1"/>
  <c r="C547" i="3"/>
  <c r="B547" i="3" s="1"/>
  <c r="A549" i="3"/>
  <c r="L549" i="3" l="1"/>
  <c r="F549" i="3"/>
  <c r="J549" i="3"/>
  <c r="D549" i="3"/>
  <c r="K549" i="3"/>
  <c r="E549" i="3"/>
  <c r="C548" i="3"/>
  <c r="B548" i="3" s="1"/>
  <c r="I548" i="3"/>
  <c r="H548" i="3" s="1"/>
  <c r="A550" i="3"/>
  <c r="L550" i="3" l="1"/>
  <c r="F550" i="3"/>
  <c r="J550" i="3"/>
  <c r="D550" i="3"/>
  <c r="K550" i="3"/>
  <c r="E550" i="3"/>
  <c r="C549" i="3"/>
  <c r="B549" i="3" s="1"/>
  <c r="I549" i="3"/>
  <c r="H549" i="3" s="1"/>
  <c r="A551" i="3"/>
  <c r="L551" i="3" l="1"/>
  <c r="F551" i="3"/>
  <c r="J551" i="3"/>
  <c r="D551" i="3"/>
  <c r="K551" i="3"/>
  <c r="E551" i="3"/>
  <c r="C550" i="3"/>
  <c r="B550" i="3" s="1"/>
  <c r="I550" i="3"/>
  <c r="H550" i="3" s="1"/>
  <c r="A552" i="3"/>
  <c r="L552" i="3" l="1"/>
  <c r="F552" i="3"/>
  <c r="J552" i="3"/>
  <c r="D552" i="3"/>
  <c r="K552" i="3"/>
  <c r="E552" i="3"/>
  <c r="I551" i="3"/>
  <c r="H551" i="3" s="1"/>
  <c r="A553" i="3"/>
  <c r="C551" i="3"/>
  <c r="B551" i="3" s="1"/>
  <c r="L553" i="3" l="1"/>
  <c r="F553" i="3"/>
  <c r="J553" i="3"/>
  <c r="D553" i="3"/>
  <c r="K553" i="3"/>
  <c r="E553" i="3"/>
  <c r="C552" i="3"/>
  <c r="B552" i="3" s="1"/>
  <c r="I552" i="3"/>
  <c r="H552" i="3" s="1"/>
  <c r="A554" i="3"/>
  <c r="L554" i="3" l="1"/>
  <c r="F554" i="3"/>
  <c r="J554" i="3"/>
  <c r="D554" i="3"/>
  <c r="K554" i="3"/>
  <c r="E554" i="3"/>
  <c r="C553" i="3"/>
  <c r="B553" i="3" s="1"/>
  <c r="I553" i="3"/>
  <c r="H553" i="3" s="1"/>
  <c r="A555" i="3"/>
  <c r="L555" i="3" l="1"/>
  <c r="F555" i="3"/>
  <c r="J555" i="3"/>
  <c r="D555" i="3"/>
  <c r="K555" i="3"/>
  <c r="E555" i="3"/>
  <c r="I554" i="3"/>
  <c r="H554" i="3" s="1"/>
  <c r="C554" i="3"/>
  <c r="B554" i="3" s="1"/>
  <c r="A556" i="3"/>
  <c r="L556" i="3" l="1"/>
  <c r="F556" i="3"/>
  <c r="J556" i="3"/>
  <c r="D556" i="3"/>
  <c r="K556" i="3"/>
  <c r="E556" i="3"/>
  <c r="C555" i="3"/>
  <c r="B555" i="3" s="1"/>
  <c r="I555" i="3"/>
  <c r="H555" i="3" s="1"/>
  <c r="A557" i="3"/>
  <c r="L557" i="3" l="1"/>
  <c r="F557" i="3"/>
  <c r="J557" i="3"/>
  <c r="D557" i="3"/>
  <c r="K557" i="3"/>
  <c r="E557" i="3"/>
  <c r="C556" i="3"/>
  <c r="B556" i="3" s="1"/>
  <c r="I556" i="3"/>
  <c r="H556" i="3" s="1"/>
  <c r="A558" i="3"/>
  <c r="L558" i="3" l="1"/>
  <c r="F558" i="3"/>
  <c r="J558" i="3"/>
  <c r="D558" i="3"/>
  <c r="K558" i="3"/>
  <c r="E558" i="3"/>
  <c r="C557" i="3"/>
  <c r="B557" i="3" s="1"/>
  <c r="A559" i="3"/>
  <c r="I557" i="3"/>
  <c r="H557" i="3" s="1"/>
  <c r="F559" i="3" l="1"/>
  <c r="E559" i="3"/>
  <c r="L559" i="3"/>
  <c r="J559" i="3"/>
  <c r="D559" i="3"/>
  <c r="K559" i="3"/>
  <c r="I558" i="3"/>
  <c r="H558" i="3" s="1"/>
  <c r="C558" i="3"/>
  <c r="B558" i="3" s="1"/>
  <c r="A560" i="3"/>
  <c r="L560" i="3" l="1"/>
  <c r="F560" i="3"/>
  <c r="J560" i="3"/>
  <c r="D560" i="3"/>
  <c r="K560" i="3"/>
  <c r="E560" i="3"/>
  <c r="I559" i="3"/>
  <c r="H559" i="3" s="1"/>
  <c r="A561" i="3"/>
  <c r="L561" i="3" l="1"/>
  <c r="F561" i="3"/>
  <c r="J561" i="3"/>
  <c r="D561" i="3"/>
  <c r="K561" i="3"/>
  <c r="E561" i="3"/>
  <c r="C560" i="3"/>
  <c r="B560" i="3" s="1"/>
  <c r="I560" i="3"/>
  <c r="H560" i="3" s="1"/>
  <c r="A562" i="3"/>
  <c r="L562" i="3" l="1"/>
  <c r="F562" i="3"/>
  <c r="J562" i="3"/>
  <c r="D562" i="3"/>
  <c r="K562" i="3"/>
  <c r="E562" i="3"/>
  <c r="I561" i="3"/>
  <c r="H561" i="3" s="1"/>
  <c r="C561" i="3"/>
  <c r="B561" i="3" s="1"/>
  <c r="A563" i="3"/>
  <c r="L563" i="3" l="1"/>
  <c r="F563" i="3"/>
  <c r="J563" i="3"/>
  <c r="D563" i="3"/>
  <c r="K563" i="3"/>
  <c r="E563" i="3"/>
  <c r="C562" i="3"/>
  <c r="B562" i="3" s="1"/>
  <c r="I562" i="3"/>
  <c r="H562" i="3" s="1"/>
  <c r="A564" i="3"/>
  <c r="L564" i="3" l="1"/>
  <c r="F564" i="3"/>
  <c r="J564" i="3"/>
  <c r="D564" i="3"/>
  <c r="K564" i="3"/>
  <c r="E564" i="3"/>
  <c r="I563" i="3"/>
  <c r="H563" i="3" s="1"/>
  <c r="C563" i="3"/>
  <c r="B563" i="3" s="1"/>
  <c r="A565" i="3"/>
  <c r="L565" i="3" l="1"/>
  <c r="F565" i="3"/>
  <c r="D565" i="3"/>
  <c r="E565" i="3"/>
  <c r="J565" i="3"/>
  <c r="K565" i="3"/>
  <c r="I564" i="3"/>
  <c r="H564" i="3" s="1"/>
  <c r="C564" i="3"/>
  <c r="B564" i="3" s="1"/>
  <c r="A566" i="3"/>
  <c r="F566" i="3" l="1"/>
  <c r="L566" i="3"/>
  <c r="J566" i="3"/>
  <c r="D566" i="3"/>
  <c r="K566" i="3"/>
  <c r="E566" i="3"/>
  <c r="C565" i="3"/>
  <c r="B565" i="3" s="1"/>
  <c r="A567" i="3"/>
  <c r="I565" i="3"/>
  <c r="H565" i="3" s="1"/>
  <c r="L567" i="3" l="1"/>
  <c r="F567" i="3"/>
  <c r="J567" i="3"/>
  <c r="D567" i="3"/>
  <c r="K567" i="3"/>
  <c r="E567" i="3"/>
  <c r="C566" i="3"/>
  <c r="B566" i="3" s="1"/>
  <c r="A568" i="3"/>
  <c r="I566" i="3"/>
  <c r="H566" i="3" s="1"/>
  <c r="L568" i="3" l="1"/>
  <c r="F568" i="3"/>
  <c r="J568" i="3"/>
  <c r="D568" i="3"/>
  <c r="K568" i="3"/>
  <c r="E568" i="3"/>
  <c r="A569" i="3"/>
  <c r="C567" i="3"/>
  <c r="B567" i="3" s="1"/>
  <c r="I567" i="3"/>
  <c r="H567" i="3" s="1"/>
  <c r="L569" i="3" l="1"/>
  <c r="F569" i="3"/>
  <c r="J569" i="3"/>
  <c r="D569" i="3"/>
  <c r="K569" i="3"/>
  <c r="E569" i="3"/>
  <c r="C568" i="3"/>
  <c r="B568" i="3" s="1"/>
  <c r="I568" i="3"/>
  <c r="H568" i="3" s="1"/>
  <c r="A570" i="3"/>
  <c r="L570" i="3" l="1"/>
  <c r="F570" i="3"/>
  <c r="J570" i="3"/>
  <c r="D570" i="3"/>
  <c r="K570" i="3"/>
  <c r="E570" i="3"/>
  <c r="I569" i="3"/>
  <c r="H569" i="3" s="1"/>
  <c r="C569" i="3"/>
  <c r="B569" i="3" s="1"/>
  <c r="A571" i="3"/>
  <c r="L571" i="3" l="1"/>
  <c r="F571" i="3"/>
  <c r="J571" i="3"/>
  <c r="D571" i="3"/>
  <c r="K571" i="3"/>
  <c r="E571" i="3"/>
  <c r="I570" i="3"/>
  <c r="H570" i="3" s="1"/>
  <c r="C570" i="3"/>
  <c r="B570" i="3" s="1"/>
  <c r="A572" i="3"/>
  <c r="L572" i="3" l="1"/>
  <c r="F572" i="3"/>
  <c r="J572" i="3"/>
  <c r="D572" i="3"/>
  <c r="K572" i="3"/>
  <c r="E572" i="3"/>
  <c r="C571" i="3"/>
  <c r="B571" i="3" s="1"/>
  <c r="I571" i="3"/>
  <c r="H571" i="3" s="1"/>
  <c r="A573" i="3"/>
  <c r="L573" i="3" l="1"/>
  <c r="F573" i="3"/>
  <c r="J573" i="3"/>
  <c r="D573" i="3"/>
  <c r="K573" i="3"/>
  <c r="E573" i="3"/>
  <c r="I572" i="3"/>
  <c r="H572" i="3" s="1"/>
  <c r="C572" i="3"/>
  <c r="B572" i="3" s="1"/>
  <c r="A574" i="3"/>
  <c r="L574" i="3" l="1"/>
  <c r="F574" i="3"/>
  <c r="J574" i="3"/>
  <c r="D574" i="3"/>
  <c r="K574" i="3"/>
  <c r="E574" i="3"/>
  <c r="C573" i="3"/>
  <c r="B573" i="3" s="1"/>
  <c r="I573" i="3"/>
  <c r="H573" i="3" s="1"/>
  <c r="A575" i="3"/>
  <c r="L575" i="3" l="1"/>
  <c r="F575" i="3"/>
  <c r="J575" i="3"/>
  <c r="D575" i="3"/>
  <c r="K575" i="3"/>
  <c r="E575" i="3"/>
  <c r="I574" i="3"/>
  <c r="H574" i="3" s="1"/>
  <c r="C574" i="3"/>
  <c r="B574" i="3" s="1"/>
  <c r="A576" i="3"/>
  <c r="L576" i="3" l="1"/>
  <c r="F576" i="3"/>
  <c r="D576" i="3"/>
  <c r="E576" i="3"/>
  <c r="J576" i="3"/>
  <c r="K576" i="3"/>
  <c r="I575" i="3"/>
  <c r="H575" i="3" s="1"/>
  <c r="A577" i="3"/>
  <c r="C575" i="3"/>
  <c r="B575" i="3" s="1"/>
  <c r="L577" i="3" l="1"/>
  <c r="F577" i="3"/>
  <c r="J577" i="3"/>
  <c r="D577" i="3"/>
  <c r="K577" i="3"/>
  <c r="E577" i="3"/>
  <c r="C576" i="3"/>
  <c r="B576" i="3" s="1"/>
  <c r="I576" i="3"/>
  <c r="H576" i="3" s="1"/>
  <c r="A578" i="3"/>
  <c r="L578" i="3" l="1"/>
  <c r="F578" i="3"/>
  <c r="D578" i="3"/>
  <c r="E578" i="3"/>
  <c r="J578" i="3"/>
  <c r="K578" i="3"/>
  <c r="C577" i="3"/>
  <c r="B577" i="3" s="1"/>
  <c r="I577" i="3"/>
  <c r="H577" i="3" s="1"/>
  <c r="A579" i="3"/>
  <c r="L579" i="3" l="1"/>
  <c r="F579" i="3"/>
  <c r="J579" i="3"/>
  <c r="D579" i="3"/>
  <c r="K579" i="3"/>
  <c r="E579" i="3"/>
  <c r="I578" i="3"/>
  <c r="H578" i="3" s="1"/>
  <c r="C578" i="3"/>
  <c r="B578" i="3" s="1"/>
  <c r="A580" i="3"/>
  <c r="F580" i="3" l="1"/>
  <c r="E580" i="3"/>
  <c r="L580" i="3"/>
  <c r="J580" i="3"/>
  <c r="D580" i="3"/>
  <c r="K580" i="3"/>
  <c r="I579" i="3"/>
  <c r="H579" i="3" s="1"/>
  <c r="C579" i="3"/>
  <c r="B579" i="3" s="1"/>
  <c r="A581" i="3"/>
  <c r="L581" i="3" l="1"/>
  <c r="J581" i="3"/>
  <c r="D581" i="3"/>
  <c r="K581" i="3"/>
  <c r="E581" i="3"/>
  <c r="C580" i="3"/>
  <c r="B580" i="3" s="1"/>
  <c r="I580" i="3"/>
  <c r="H580" i="3" s="1"/>
  <c r="A582" i="3"/>
  <c r="L582" i="3" l="1"/>
  <c r="F582" i="3"/>
  <c r="J582" i="3"/>
  <c r="D582" i="3"/>
  <c r="K582" i="3"/>
  <c r="E582" i="3"/>
  <c r="A583" i="3"/>
  <c r="I581" i="3"/>
  <c r="H581" i="3" s="1"/>
  <c r="L583" i="3" l="1"/>
  <c r="F583" i="3"/>
  <c r="J583" i="3"/>
  <c r="D583" i="3"/>
  <c r="K583" i="3"/>
  <c r="E583" i="3"/>
  <c r="C582" i="3"/>
  <c r="B582" i="3" s="1"/>
  <c r="A584" i="3"/>
  <c r="I582" i="3"/>
  <c r="H582" i="3" s="1"/>
  <c r="L584" i="3" l="1"/>
  <c r="F584" i="3"/>
  <c r="J584" i="3"/>
  <c r="D584" i="3"/>
  <c r="K584" i="3"/>
  <c r="E584" i="3"/>
  <c r="I583" i="3"/>
  <c r="H583" i="3" s="1"/>
  <c r="C583" i="3"/>
  <c r="B583" i="3" s="1"/>
  <c r="A585" i="3"/>
  <c r="L585" i="3" l="1"/>
  <c r="F585" i="3"/>
  <c r="J585" i="3"/>
  <c r="D585" i="3"/>
  <c r="K585" i="3"/>
  <c r="E585" i="3"/>
  <c r="C584" i="3"/>
  <c r="B584" i="3" s="1"/>
  <c r="A586" i="3"/>
  <c r="I584" i="3"/>
  <c r="H584" i="3" s="1"/>
  <c r="L586" i="3" l="1"/>
  <c r="F586" i="3"/>
  <c r="J586" i="3"/>
  <c r="D586" i="3"/>
  <c r="K586" i="3"/>
  <c r="E586" i="3"/>
  <c r="C585" i="3"/>
  <c r="B585" i="3" s="1"/>
  <c r="I585" i="3"/>
  <c r="H585" i="3" s="1"/>
  <c r="A587" i="3"/>
  <c r="F587" i="3" l="1"/>
  <c r="L587" i="3"/>
  <c r="J587" i="3"/>
  <c r="D587" i="3"/>
  <c r="K587" i="3"/>
  <c r="E587" i="3"/>
  <c r="I586" i="3"/>
  <c r="H586" i="3" s="1"/>
  <c r="C586" i="3"/>
  <c r="B586" i="3" s="1"/>
  <c r="A588" i="3"/>
  <c r="L588" i="3" l="1"/>
  <c r="F588" i="3"/>
  <c r="J588" i="3"/>
  <c r="D588" i="3"/>
  <c r="K588" i="3"/>
  <c r="E588" i="3"/>
  <c r="I587" i="3"/>
  <c r="H587" i="3" s="1"/>
  <c r="A589" i="3"/>
  <c r="C587" i="3"/>
  <c r="B587" i="3" s="1"/>
  <c r="L589" i="3" l="1"/>
  <c r="F589" i="3"/>
  <c r="J589" i="3"/>
  <c r="D589" i="3"/>
  <c r="K589" i="3"/>
  <c r="E589" i="3"/>
  <c r="A590" i="3"/>
  <c r="I588" i="3"/>
  <c r="H588" i="3" s="1"/>
  <c r="C588" i="3"/>
  <c r="B588" i="3" s="1"/>
  <c r="L590" i="3" l="1"/>
  <c r="F590" i="3"/>
  <c r="J590" i="3"/>
  <c r="D590" i="3"/>
  <c r="K590" i="3"/>
  <c r="E590" i="3"/>
  <c r="I589" i="3"/>
  <c r="H589" i="3" s="1"/>
  <c r="C589" i="3"/>
  <c r="B589" i="3" s="1"/>
  <c r="A591" i="3"/>
  <c r="L591" i="3" l="1"/>
  <c r="F591" i="3"/>
  <c r="J591" i="3"/>
  <c r="D591" i="3"/>
  <c r="K591" i="3"/>
  <c r="E591" i="3"/>
  <c r="I590" i="3"/>
  <c r="H590" i="3" s="1"/>
  <c r="C590" i="3"/>
  <c r="B590" i="3" s="1"/>
  <c r="A592" i="3"/>
  <c r="L592" i="3" l="1"/>
  <c r="F592" i="3"/>
  <c r="J592" i="3"/>
  <c r="D592" i="3"/>
  <c r="K592" i="3"/>
  <c r="E592" i="3"/>
  <c r="C591" i="3"/>
  <c r="B591" i="3" s="1"/>
  <c r="I591" i="3"/>
  <c r="H591" i="3" s="1"/>
  <c r="A593" i="3"/>
  <c r="L593" i="3" l="1"/>
  <c r="F593" i="3"/>
  <c r="D593" i="3"/>
  <c r="J593" i="3"/>
  <c r="E593" i="3"/>
  <c r="K593" i="3"/>
  <c r="C592" i="3"/>
  <c r="B592" i="3" s="1"/>
  <c r="I592" i="3"/>
  <c r="H592" i="3" s="1"/>
  <c r="A594" i="3"/>
  <c r="L594" i="3" l="1"/>
  <c r="F594" i="3"/>
  <c r="J594" i="3"/>
  <c r="D594" i="3"/>
  <c r="K594" i="3"/>
  <c r="E594" i="3"/>
  <c r="I593" i="3"/>
  <c r="H593" i="3" s="1"/>
  <c r="A595" i="3"/>
  <c r="C593" i="3"/>
  <c r="B593" i="3" s="1"/>
  <c r="L595" i="3" l="1"/>
  <c r="F595" i="3"/>
  <c r="J595" i="3"/>
  <c r="D595" i="3"/>
  <c r="K595" i="3"/>
  <c r="E595" i="3"/>
  <c r="I594" i="3"/>
  <c r="H594" i="3" s="1"/>
  <c r="C594" i="3"/>
  <c r="B594" i="3" s="1"/>
  <c r="A596" i="3"/>
  <c r="L596" i="3" l="1"/>
  <c r="F596" i="3"/>
  <c r="J596" i="3"/>
  <c r="D596" i="3"/>
  <c r="K596" i="3"/>
  <c r="E596" i="3"/>
  <c r="C595" i="3"/>
  <c r="B595" i="3" s="1"/>
  <c r="I595" i="3"/>
  <c r="H595" i="3" s="1"/>
  <c r="A597" i="3"/>
  <c r="L597" i="3" l="1"/>
  <c r="F597" i="3"/>
  <c r="J597" i="3"/>
  <c r="D597" i="3"/>
  <c r="K597" i="3"/>
  <c r="E597" i="3"/>
  <c r="C596" i="3"/>
  <c r="B596" i="3" s="1"/>
  <c r="A598" i="3"/>
  <c r="I596" i="3"/>
  <c r="H596" i="3" s="1"/>
  <c r="L598" i="3" l="1"/>
  <c r="F598" i="3"/>
  <c r="J598" i="3"/>
  <c r="D598" i="3"/>
  <c r="K598" i="3"/>
  <c r="E598" i="3"/>
  <c r="C597" i="3"/>
  <c r="B597" i="3" s="1"/>
  <c r="A599" i="3"/>
  <c r="I597" i="3"/>
  <c r="H597" i="3" s="1"/>
  <c r="L599" i="3" l="1"/>
  <c r="F599" i="3"/>
  <c r="J599" i="3"/>
  <c r="D599" i="3"/>
  <c r="K599" i="3"/>
  <c r="E599" i="3"/>
  <c r="I598" i="3"/>
  <c r="H598" i="3" s="1"/>
  <c r="A600" i="3"/>
  <c r="C598" i="3"/>
  <c r="B598" i="3" s="1"/>
  <c r="L600" i="3" l="1"/>
  <c r="F600" i="3"/>
  <c r="J600" i="3"/>
  <c r="D600" i="3"/>
  <c r="K600" i="3"/>
  <c r="E600" i="3"/>
  <c r="I599" i="3"/>
  <c r="H599" i="3" s="1"/>
  <c r="A601" i="3"/>
  <c r="C599" i="3"/>
  <c r="B599" i="3" s="1"/>
  <c r="F601" i="3" l="1"/>
  <c r="E601" i="3"/>
  <c r="L601" i="3"/>
  <c r="J601" i="3"/>
  <c r="D601" i="3"/>
  <c r="K601" i="3"/>
  <c r="C600" i="3"/>
  <c r="B600" i="3" s="1"/>
  <c r="I600" i="3"/>
  <c r="H600" i="3" s="1"/>
  <c r="A602" i="3"/>
  <c r="L602" i="3" l="1"/>
  <c r="F602" i="3"/>
  <c r="J602" i="3"/>
  <c r="D602" i="3"/>
  <c r="K602" i="3"/>
  <c r="E602" i="3"/>
  <c r="I601" i="3"/>
  <c r="H601" i="3" s="1"/>
  <c r="A603" i="3"/>
  <c r="L603" i="3" l="1"/>
  <c r="F603" i="3"/>
  <c r="J603" i="3"/>
  <c r="D603" i="3"/>
  <c r="K603" i="3"/>
  <c r="E603" i="3"/>
  <c r="C602" i="3"/>
  <c r="B602" i="3" s="1"/>
  <c r="I602" i="3"/>
  <c r="H602" i="3" s="1"/>
  <c r="A604" i="3"/>
  <c r="L604" i="3" l="1"/>
  <c r="F604" i="3"/>
  <c r="D604" i="3"/>
  <c r="E604" i="3"/>
  <c r="J604" i="3"/>
  <c r="K604" i="3"/>
  <c r="I603" i="3"/>
  <c r="H603" i="3" s="1"/>
  <c r="C603" i="3"/>
  <c r="B603" i="3" s="1"/>
  <c r="A605" i="3"/>
  <c r="L605" i="3" l="1"/>
  <c r="F605" i="3"/>
  <c r="J605" i="3"/>
  <c r="D605" i="3"/>
  <c r="K605" i="3"/>
  <c r="E605" i="3"/>
  <c r="C604" i="3"/>
  <c r="B604" i="3" s="1"/>
  <c r="I604" i="3"/>
  <c r="H604" i="3" s="1"/>
  <c r="A606" i="3"/>
  <c r="L606" i="3" l="1"/>
  <c r="F606" i="3"/>
  <c r="J606" i="3"/>
  <c r="D606" i="3"/>
  <c r="K606" i="3"/>
  <c r="E606" i="3"/>
  <c r="C605" i="3"/>
  <c r="B605" i="3" s="1"/>
  <c r="I605" i="3"/>
  <c r="H605" i="3" s="1"/>
  <c r="A607" i="3"/>
  <c r="L607" i="3" l="1"/>
  <c r="F607" i="3"/>
  <c r="D607" i="3"/>
  <c r="J607" i="3"/>
  <c r="E607" i="3"/>
  <c r="K607" i="3"/>
  <c r="C606" i="3"/>
  <c r="B606" i="3" s="1"/>
  <c r="I606" i="3"/>
  <c r="H606" i="3" s="1"/>
  <c r="A608" i="3"/>
  <c r="F608" i="3" l="1"/>
  <c r="L608" i="3"/>
  <c r="J608" i="3"/>
  <c r="D608" i="3"/>
  <c r="K608" i="3"/>
  <c r="E608" i="3"/>
  <c r="I607" i="3"/>
  <c r="H607" i="3" s="1"/>
  <c r="C607" i="3"/>
  <c r="B607" i="3" s="1"/>
  <c r="A609" i="3"/>
  <c r="L609" i="3" l="1"/>
  <c r="F609" i="3"/>
  <c r="J609" i="3"/>
  <c r="D609" i="3"/>
  <c r="K609" i="3"/>
  <c r="E609" i="3"/>
  <c r="I608" i="3"/>
  <c r="H608" i="3" s="1"/>
  <c r="A610" i="3"/>
  <c r="C608" i="3"/>
  <c r="B608" i="3" s="1"/>
  <c r="L610" i="3" l="1"/>
  <c r="F610" i="3"/>
  <c r="J610" i="3"/>
  <c r="D610" i="3"/>
  <c r="K610" i="3"/>
  <c r="E610" i="3"/>
  <c r="I609" i="3"/>
  <c r="H609" i="3" s="1"/>
  <c r="C609" i="3"/>
  <c r="B609" i="3" s="1"/>
  <c r="A611" i="3"/>
  <c r="L611" i="3" l="1"/>
  <c r="F611" i="3"/>
  <c r="J611" i="3"/>
  <c r="D611" i="3"/>
  <c r="K611" i="3"/>
  <c r="E611" i="3"/>
  <c r="I610" i="3"/>
  <c r="H610" i="3" s="1"/>
  <c r="A612" i="3"/>
  <c r="C610" i="3"/>
  <c r="B610" i="3" s="1"/>
  <c r="L612" i="3" l="1"/>
  <c r="F612" i="3"/>
  <c r="J612" i="3"/>
  <c r="D612" i="3"/>
  <c r="K612" i="3"/>
  <c r="E612" i="3"/>
  <c r="I611" i="3"/>
  <c r="H611" i="3" s="1"/>
  <c r="C611" i="3"/>
  <c r="B611" i="3" s="1"/>
  <c r="A613" i="3"/>
  <c r="L613" i="3" l="1"/>
  <c r="F613" i="3"/>
  <c r="J613" i="3"/>
  <c r="D613" i="3"/>
  <c r="K613" i="3"/>
  <c r="E613" i="3"/>
  <c r="A614" i="3"/>
  <c r="C612" i="3"/>
  <c r="B612" i="3" s="1"/>
  <c r="I612" i="3"/>
  <c r="H612" i="3" s="1"/>
  <c r="L614" i="3" l="1"/>
  <c r="F614" i="3"/>
  <c r="J614" i="3"/>
  <c r="D614" i="3"/>
  <c r="K614" i="3"/>
  <c r="E614" i="3"/>
  <c r="A615" i="3"/>
  <c r="C613" i="3"/>
  <c r="B613" i="3" s="1"/>
  <c r="I613" i="3"/>
  <c r="H613" i="3" s="1"/>
  <c r="L615" i="3" l="1"/>
  <c r="F615" i="3"/>
  <c r="J615" i="3"/>
  <c r="D615" i="3"/>
  <c r="K615" i="3"/>
  <c r="E615" i="3"/>
  <c r="C614" i="3"/>
  <c r="B614" i="3" s="1"/>
  <c r="A616" i="3"/>
  <c r="I614" i="3"/>
  <c r="H614" i="3" s="1"/>
  <c r="L616" i="3" l="1"/>
  <c r="F616" i="3"/>
  <c r="J616" i="3"/>
  <c r="D616" i="3"/>
  <c r="K616" i="3"/>
  <c r="E616" i="3"/>
  <c r="I615" i="3"/>
  <c r="H615" i="3" s="1"/>
  <c r="C615" i="3"/>
  <c r="B615" i="3" s="1"/>
  <c r="A617" i="3"/>
  <c r="L617" i="3" l="1"/>
  <c r="F617" i="3"/>
  <c r="J617" i="3"/>
  <c r="K617" i="3"/>
  <c r="D617" i="3"/>
  <c r="E617" i="3"/>
  <c r="I616" i="3"/>
  <c r="H616" i="3" s="1"/>
  <c r="A618" i="3"/>
  <c r="C616" i="3"/>
  <c r="B616" i="3" s="1"/>
  <c r="L618" i="3" l="1"/>
  <c r="F618" i="3"/>
  <c r="J618" i="3"/>
  <c r="D618" i="3"/>
  <c r="K618" i="3"/>
  <c r="E618" i="3"/>
  <c r="I617" i="3"/>
  <c r="H617" i="3" s="1"/>
  <c r="A619" i="3"/>
  <c r="C617" i="3"/>
  <c r="B617" i="3" s="1"/>
  <c r="L619" i="3" l="1"/>
  <c r="J619" i="3"/>
  <c r="D619" i="3"/>
  <c r="K619" i="3"/>
  <c r="E619" i="3"/>
  <c r="I618" i="3"/>
  <c r="H618" i="3" s="1"/>
  <c r="C618" i="3"/>
  <c r="B618" i="3" s="1"/>
  <c r="A620" i="3"/>
  <c r="L620" i="3" l="1"/>
  <c r="F620" i="3"/>
  <c r="J620" i="3"/>
  <c r="D620" i="3"/>
  <c r="K620" i="3"/>
  <c r="E620" i="3"/>
  <c r="I619" i="3"/>
  <c r="H619" i="3" s="1"/>
  <c r="A621" i="3"/>
  <c r="L621" i="3" l="1"/>
  <c r="F621" i="3"/>
  <c r="J621" i="3"/>
  <c r="D621" i="3"/>
  <c r="K621" i="3"/>
  <c r="E621" i="3"/>
  <c r="I620" i="3"/>
  <c r="H620" i="3" s="1"/>
  <c r="C620" i="3"/>
  <c r="B620" i="3" s="1"/>
  <c r="A622" i="3"/>
  <c r="F622" i="3" l="1"/>
  <c r="E622" i="3"/>
  <c r="L622" i="3"/>
  <c r="J622" i="3"/>
  <c r="D622" i="3"/>
  <c r="K622" i="3"/>
  <c r="I621" i="3"/>
  <c r="H621" i="3" s="1"/>
  <c r="A623" i="3"/>
  <c r="C621" i="3"/>
  <c r="B621" i="3" s="1"/>
  <c r="L623" i="3" l="1"/>
  <c r="F623" i="3"/>
  <c r="D623" i="3"/>
  <c r="J623" i="3"/>
  <c r="E623" i="3"/>
  <c r="K623" i="3"/>
  <c r="I622" i="3"/>
  <c r="H622" i="3" s="1"/>
  <c r="A624" i="3"/>
  <c r="C622" i="3"/>
  <c r="B622" i="3" s="1"/>
  <c r="L624" i="3" l="1"/>
  <c r="F624" i="3"/>
  <c r="J624" i="3"/>
  <c r="D624" i="3"/>
  <c r="K624" i="3"/>
  <c r="E624" i="3"/>
  <c r="I623" i="3"/>
  <c r="H623" i="3" s="1"/>
  <c r="A625" i="3"/>
  <c r="C623" i="3"/>
  <c r="B623" i="3" s="1"/>
  <c r="L625" i="3" l="1"/>
  <c r="F625" i="3"/>
  <c r="J625" i="3"/>
  <c r="D625" i="3"/>
  <c r="K625" i="3"/>
  <c r="E625" i="3"/>
  <c r="C624" i="3"/>
  <c r="B624" i="3" s="1"/>
  <c r="I624" i="3"/>
  <c r="H624" i="3" s="1"/>
  <c r="A626" i="3"/>
  <c r="L626" i="3" l="1"/>
  <c r="F626" i="3"/>
  <c r="J626" i="3"/>
  <c r="D626" i="3"/>
  <c r="K626" i="3"/>
  <c r="E626" i="3"/>
  <c r="C625" i="3"/>
  <c r="B625" i="3" s="1"/>
  <c r="I625" i="3"/>
  <c r="H625" i="3" s="1"/>
  <c r="A627" i="3"/>
  <c r="L627" i="3" l="1"/>
  <c r="F627" i="3"/>
  <c r="J627" i="3"/>
  <c r="D627" i="3"/>
  <c r="K627" i="3"/>
  <c r="E627" i="3"/>
  <c r="I626" i="3"/>
  <c r="H626" i="3" s="1"/>
  <c r="C626" i="3"/>
  <c r="B626" i="3" s="1"/>
  <c r="A628" i="3"/>
  <c r="L628" i="3" l="1"/>
  <c r="F628" i="3"/>
  <c r="J628" i="3"/>
  <c r="D628" i="3"/>
  <c r="K628" i="3"/>
  <c r="E628" i="3"/>
  <c r="C627" i="3"/>
  <c r="B627" i="3" s="1"/>
  <c r="I627" i="3"/>
  <c r="H627" i="3" s="1"/>
  <c r="A629" i="3"/>
  <c r="F629" i="3" l="1"/>
  <c r="L629" i="3"/>
  <c r="J629" i="3"/>
  <c r="D629" i="3"/>
  <c r="K629" i="3"/>
  <c r="E629" i="3"/>
  <c r="I628" i="3"/>
  <c r="H628" i="3" s="1"/>
  <c r="C628" i="3"/>
  <c r="B628" i="3" s="1"/>
  <c r="A630" i="3"/>
  <c r="L630" i="3" l="1"/>
  <c r="F630" i="3"/>
  <c r="J630" i="3"/>
  <c r="D630" i="3"/>
  <c r="K630" i="3"/>
  <c r="E630" i="3"/>
  <c r="C629" i="3"/>
  <c r="B629" i="3" s="1"/>
  <c r="I629" i="3"/>
  <c r="H629" i="3" s="1"/>
  <c r="A631" i="3"/>
  <c r="L631" i="3" l="1"/>
  <c r="F631" i="3"/>
  <c r="J631" i="3"/>
  <c r="D631" i="3"/>
  <c r="K631" i="3"/>
  <c r="E631" i="3"/>
  <c r="C630" i="3"/>
  <c r="B630" i="3" s="1"/>
  <c r="I630" i="3"/>
  <c r="H630" i="3" s="1"/>
  <c r="A632" i="3"/>
  <c r="L632" i="3" l="1"/>
  <c r="F632" i="3"/>
  <c r="J632" i="3"/>
  <c r="D632" i="3"/>
  <c r="K632" i="3"/>
  <c r="E632" i="3"/>
  <c r="I631" i="3"/>
  <c r="H631" i="3" s="1"/>
  <c r="C631" i="3"/>
  <c r="B631" i="3" s="1"/>
  <c r="A633" i="3"/>
  <c r="L633" i="3" l="1"/>
  <c r="F633" i="3"/>
  <c r="J633" i="3"/>
  <c r="D633" i="3"/>
  <c r="K633" i="3"/>
  <c r="E633" i="3"/>
  <c r="I632" i="3"/>
  <c r="H632" i="3" s="1"/>
  <c r="A634" i="3"/>
  <c r="C632" i="3"/>
  <c r="B632" i="3" s="1"/>
  <c r="L634" i="3" l="1"/>
  <c r="F634" i="3"/>
  <c r="J634" i="3"/>
  <c r="D634" i="3"/>
  <c r="K634" i="3"/>
  <c r="E634" i="3"/>
  <c r="I633" i="3"/>
  <c r="H633" i="3" s="1"/>
  <c r="C633" i="3"/>
  <c r="B633" i="3" s="1"/>
  <c r="A635" i="3"/>
  <c r="L635" i="3" l="1"/>
  <c r="F635" i="3"/>
  <c r="J635" i="3"/>
  <c r="D635" i="3"/>
  <c r="K635" i="3"/>
  <c r="E635" i="3"/>
  <c r="I634" i="3"/>
  <c r="H634" i="3" s="1"/>
  <c r="C634" i="3"/>
  <c r="B634" i="3" s="1"/>
  <c r="A636" i="3"/>
  <c r="L636" i="3" l="1"/>
  <c r="F636" i="3"/>
  <c r="D636" i="3"/>
  <c r="J636" i="3"/>
  <c r="E636" i="3"/>
  <c r="K636" i="3"/>
  <c r="C635" i="3"/>
  <c r="B635" i="3" s="1"/>
  <c r="A637" i="3"/>
  <c r="I635" i="3"/>
  <c r="H635" i="3" s="1"/>
  <c r="L637" i="3" l="1"/>
  <c r="F637" i="3"/>
  <c r="J637" i="3"/>
  <c r="D637" i="3"/>
  <c r="K637" i="3"/>
  <c r="E637" i="3"/>
  <c r="C636" i="3"/>
  <c r="B636" i="3" s="1"/>
  <c r="I636" i="3"/>
  <c r="H636" i="3" s="1"/>
  <c r="A638" i="3"/>
  <c r="L638" i="3" l="1"/>
  <c r="F638" i="3"/>
  <c r="J638" i="3"/>
  <c r="D638" i="3"/>
  <c r="K638" i="3"/>
  <c r="E638" i="3"/>
  <c r="I637" i="3"/>
  <c r="H637" i="3" s="1"/>
  <c r="C637" i="3"/>
  <c r="B637" i="3" s="1"/>
  <c r="A639" i="3"/>
  <c r="L639" i="3" l="1"/>
  <c r="F639" i="3"/>
  <c r="J639" i="3"/>
  <c r="D639" i="3"/>
  <c r="K639" i="3"/>
  <c r="E639" i="3"/>
  <c r="I638" i="3"/>
  <c r="H638" i="3" s="1"/>
  <c r="C638" i="3"/>
  <c r="B638" i="3" s="1"/>
  <c r="A640" i="3"/>
  <c r="L640" i="3" l="1"/>
  <c r="F640" i="3"/>
  <c r="J640" i="3"/>
  <c r="D640" i="3"/>
  <c r="K640" i="3"/>
  <c r="E640" i="3"/>
  <c r="A641" i="3"/>
  <c r="I639" i="3"/>
  <c r="H639" i="3" s="1"/>
  <c r="C639" i="3"/>
  <c r="B639" i="3" s="1"/>
  <c r="L641" i="3" l="1"/>
  <c r="F641" i="3"/>
  <c r="D641" i="3"/>
  <c r="E641" i="3"/>
  <c r="J641" i="3"/>
  <c r="K641" i="3"/>
  <c r="I640" i="3"/>
  <c r="H640" i="3" s="1"/>
  <c r="C640" i="3"/>
  <c r="B640" i="3" s="1"/>
  <c r="A642" i="3"/>
  <c r="L642" i="3" l="1"/>
  <c r="J642" i="3"/>
  <c r="D642" i="3"/>
  <c r="K642" i="3"/>
  <c r="E642" i="3"/>
  <c r="I641" i="3"/>
  <c r="H641" i="3" s="1"/>
  <c r="A643" i="3"/>
  <c r="C641" i="3"/>
  <c r="B641" i="3" s="1"/>
  <c r="F643" i="3" l="1"/>
  <c r="E643" i="3"/>
  <c r="L643" i="3"/>
  <c r="J643" i="3"/>
  <c r="D643" i="3"/>
  <c r="K643" i="3"/>
  <c r="I642" i="3"/>
  <c r="H642" i="3" s="1"/>
  <c r="A644" i="3"/>
  <c r="L644" i="3" l="1"/>
  <c r="F644" i="3"/>
  <c r="J644" i="3"/>
  <c r="D644" i="3"/>
  <c r="K644" i="3"/>
  <c r="E644" i="3"/>
  <c r="C643" i="3"/>
  <c r="B643" i="3" s="1"/>
  <c r="I643" i="3"/>
  <c r="H643" i="3" s="1"/>
  <c r="A645" i="3"/>
  <c r="L645" i="3" l="1"/>
  <c r="F645" i="3"/>
  <c r="J645" i="3"/>
  <c r="D645" i="3"/>
  <c r="K645" i="3"/>
  <c r="E645" i="3"/>
  <c r="C644" i="3"/>
  <c r="B644" i="3" s="1"/>
  <c r="A646" i="3"/>
  <c r="I644" i="3"/>
  <c r="H644" i="3" s="1"/>
  <c r="L646" i="3" l="1"/>
  <c r="F646" i="3"/>
  <c r="J646" i="3"/>
  <c r="D646" i="3"/>
  <c r="K646" i="3"/>
  <c r="E646" i="3"/>
  <c r="I645" i="3"/>
  <c r="H645" i="3" s="1"/>
  <c r="A647" i="3"/>
  <c r="C645" i="3"/>
  <c r="B645" i="3" s="1"/>
  <c r="L647" i="3" l="1"/>
  <c r="F647" i="3"/>
  <c r="J647" i="3"/>
  <c r="D647" i="3"/>
  <c r="K647" i="3"/>
  <c r="E647" i="3"/>
  <c r="A648" i="3"/>
  <c r="C646" i="3"/>
  <c r="B646" i="3" s="1"/>
  <c r="I646" i="3"/>
  <c r="H646" i="3" s="1"/>
  <c r="L648" i="3" l="1"/>
  <c r="F648" i="3"/>
  <c r="J648" i="3"/>
  <c r="D648" i="3"/>
  <c r="K648" i="3"/>
  <c r="E648" i="3"/>
  <c r="C647" i="3"/>
  <c r="B647" i="3" s="1"/>
  <c r="A649" i="3"/>
  <c r="I647" i="3"/>
  <c r="H647" i="3" s="1"/>
  <c r="L649" i="3" l="1"/>
  <c r="F649" i="3"/>
  <c r="J649" i="3"/>
  <c r="D649" i="3"/>
  <c r="K649" i="3"/>
  <c r="E649" i="3"/>
  <c r="C648" i="3"/>
  <c r="B648" i="3" s="1"/>
  <c r="A650" i="3"/>
  <c r="I648" i="3"/>
  <c r="H648" i="3" s="1"/>
  <c r="F650" i="3" l="1"/>
  <c r="L650" i="3"/>
  <c r="J650" i="3"/>
  <c r="D650" i="3"/>
  <c r="K650" i="3"/>
  <c r="E650" i="3"/>
  <c r="I649" i="3"/>
  <c r="H649" i="3" s="1"/>
  <c r="C649" i="3"/>
  <c r="B649" i="3" s="1"/>
  <c r="A651" i="3"/>
  <c r="L651" i="3" l="1"/>
  <c r="F651" i="3"/>
  <c r="J651" i="3"/>
  <c r="D651" i="3"/>
  <c r="K651" i="3"/>
  <c r="E651" i="3"/>
  <c r="I650" i="3"/>
  <c r="H650" i="3" s="1"/>
  <c r="C650" i="3"/>
  <c r="B650" i="3" s="1"/>
  <c r="A652" i="3"/>
  <c r="L652" i="3" l="1"/>
  <c r="F652" i="3"/>
  <c r="J652" i="3"/>
  <c r="D652" i="3"/>
  <c r="K652" i="3"/>
  <c r="E652" i="3"/>
  <c r="I651" i="3"/>
  <c r="H651" i="3" s="1"/>
  <c r="C651" i="3"/>
  <c r="B651" i="3" s="1"/>
  <c r="A653" i="3"/>
  <c r="L653" i="3" l="1"/>
  <c r="F653" i="3"/>
  <c r="J653" i="3"/>
  <c r="D653" i="3"/>
  <c r="K653" i="3"/>
  <c r="E653" i="3"/>
  <c r="C652" i="3"/>
  <c r="B652" i="3" s="1"/>
  <c r="I652" i="3"/>
  <c r="H652" i="3" s="1"/>
  <c r="A654" i="3"/>
  <c r="L654" i="3" l="1"/>
  <c r="F654" i="3"/>
  <c r="J654" i="3"/>
  <c r="D654" i="3"/>
  <c r="K654" i="3"/>
  <c r="E654" i="3"/>
  <c r="I653" i="3"/>
  <c r="H653" i="3" s="1"/>
  <c r="C653" i="3"/>
  <c r="B653" i="3" s="1"/>
  <c r="A655" i="3"/>
  <c r="L655" i="3" l="1"/>
  <c r="F655" i="3"/>
  <c r="J655" i="3"/>
  <c r="D655" i="3"/>
  <c r="K655" i="3"/>
  <c r="E655" i="3"/>
  <c r="C654" i="3"/>
  <c r="B654" i="3" s="1"/>
  <c r="I654" i="3"/>
  <c r="H654" i="3" s="1"/>
  <c r="A656" i="3"/>
  <c r="L656" i="3" l="1"/>
  <c r="F656" i="3"/>
  <c r="D656" i="3"/>
  <c r="J656" i="3"/>
  <c r="E656" i="3"/>
  <c r="K656" i="3"/>
  <c r="I655" i="3"/>
  <c r="H655" i="3" s="1"/>
  <c r="A657" i="3"/>
  <c r="C655" i="3"/>
  <c r="B655" i="3" s="1"/>
  <c r="L657" i="3" l="1"/>
  <c r="F657" i="3"/>
  <c r="J657" i="3"/>
  <c r="D657" i="3"/>
  <c r="K657" i="3"/>
  <c r="E657" i="3"/>
  <c r="I656" i="3"/>
  <c r="H656" i="3" s="1"/>
  <c r="C656" i="3"/>
  <c r="B656" i="3" s="1"/>
  <c r="A658" i="3"/>
  <c r="L658" i="3" l="1"/>
  <c r="F658" i="3"/>
  <c r="J658" i="3"/>
  <c r="D658" i="3"/>
  <c r="K658" i="3"/>
  <c r="E658" i="3"/>
  <c r="C657" i="3"/>
  <c r="B657" i="3" s="1"/>
  <c r="A659" i="3"/>
  <c r="I657" i="3"/>
  <c r="H657" i="3" s="1"/>
  <c r="L659" i="3" l="1"/>
  <c r="F659" i="3"/>
  <c r="J659" i="3"/>
  <c r="D659" i="3"/>
  <c r="K659" i="3"/>
  <c r="E659" i="3"/>
  <c r="I658" i="3"/>
  <c r="H658" i="3" s="1"/>
  <c r="A660" i="3"/>
  <c r="C658" i="3"/>
  <c r="B658" i="3" s="1"/>
  <c r="L660" i="3" l="1"/>
  <c r="F660" i="3"/>
  <c r="J660" i="3"/>
  <c r="D660" i="3"/>
  <c r="K660" i="3"/>
  <c r="E660" i="3"/>
  <c r="I659" i="3"/>
  <c r="H659" i="3" s="1"/>
  <c r="C659" i="3"/>
  <c r="B659" i="3" s="1"/>
  <c r="A661" i="3"/>
  <c r="L661" i="3" l="1"/>
  <c r="F661" i="3"/>
  <c r="J661" i="3"/>
  <c r="D661" i="3"/>
  <c r="K661" i="3"/>
  <c r="E661" i="3"/>
  <c r="I660" i="3"/>
  <c r="H660" i="3" s="1"/>
  <c r="A662" i="3"/>
  <c r="C660" i="3"/>
  <c r="B660" i="3" s="1"/>
  <c r="L662" i="3" l="1"/>
  <c r="J662" i="3"/>
  <c r="D662" i="3"/>
  <c r="K662" i="3"/>
  <c r="E662" i="3"/>
  <c r="C661" i="3"/>
  <c r="B661" i="3" s="1"/>
  <c r="A663" i="3"/>
  <c r="I661" i="3"/>
  <c r="H661" i="3" s="1"/>
  <c r="L663" i="3" l="1"/>
  <c r="F663" i="3"/>
  <c r="J663" i="3"/>
  <c r="D663" i="3"/>
  <c r="K663" i="3"/>
  <c r="E663" i="3"/>
  <c r="A664" i="3"/>
  <c r="I662" i="3"/>
  <c r="H662" i="3" s="1"/>
  <c r="L664" i="3" l="1"/>
  <c r="F664" i="3"/>
  <c r="J664" i="3"/>
  <c r="D664" i="3"/>
  <c r="K664" i="3"/>
  <c r="E664" i="3"/>
  <c r="C663" i="3"/>
  <c r="B663" i="3" s="1"/>
  <c r="A665" i="3"/>
  <c r="I663" i="3"/>
  <c r="H663" i="3" s="1"/>
  <c r="F665" i="3" l="1"/>
  <c r="E665" i="3"/>
  <c r="L665" i="3"/>
  <c r="J665" i="3"/>
  <c r="D665" i="3"/>
  <c r="K665" i="3"/>
  <c r="C664" i="3"/>
  <c r="B664" i="3" s="1"/>
  <c r="I664" i="3"/>
  <c r="H664" i="3" s="1"/>
  <c r="A666" i="3"/>
  <c r="L666" i="3" l="1"/>
  <c r="F666" i="3"/>
  <c r="D666" i="3"/>
  <c r="J666" i="3"/>
  <c r="E666" i="3"/>
  <c r="K666" i="3"/>
  <c r="C665" i="3"/>
  <c r="B665" i="3" s="1"/>
  <c r="I665" i="3"/>
  <c r="H665" i="3" s="1"/>
  <c r="A667" i="3"/>
  <c r="L667" i="3" l="1"/>
  <c r="F667" i="3"/>
  <c r="J667" i="3"/>
  <c r="D667" i="3"/>
  <c r="K667" i="3"/>
  <c r="E667" i="3"/>
  <c r="I666" i="3"/>
  <c r="H666" i="3" s="1"/>
  <c r="A668" i="3"/>
  <c r="C666" i="3"/>
  <c r="B666" i="3" s="1"/>
  <c r="L668" i="3" l="1"/>
  <c r="F668" i="3"/>
  <c r="J668" i="3"/>
  <c r="D668" i="3"/>
  <c r="K668" i="3"/>
  <c r="E668" i="3"/>
  <c r="C667" i="3"/>
  <c r="B667" i="3" s="1"/>
  <c r="A669" i="3"/>
  <c r="I667" i="3"/>
  <c r="H667" i="3" s="1"/>
  <c r="L669" i="3" l="1"/>
  <c r="F669" i="3"/>
  <c r="D669" i="3"/>
  <c r="E669" i="3"/>
  <c r="J669" i="3"/>
  <c r="K669" i="3"/>
  <c r="C668" i="3"/>
  <c r="B668" i="3" s="1"/>
  <c r="A670" i="3"/>
  <c r="I668" i="3"/>
  <c r="H668" i="3" s="1"/>
  <c r="L670" i="3" l="1"/>
  <c r="F670" i="3"/>
  <c r="J670" i="3"/>
  <c r="D670" i="3"/>
  <c r="K670" i="3"/>
  <c r="E670" i="3"/>
  <c r="C669" i="3"/>
  <c r="B669" i="3" s="1"/>
  <c r="I669" i="3"/>
  <c r="H669" i="3" s="1"/>
  <c r="A671" i="3"/>
  <c r="L671" i="3" l="1"/>
  <c r="F671" i="3"/>
  <c r="J671" i="3"/>
  <c r="D671" i="3"/>
  <c r="K671" i="3"/>
  <c r="E671" i="3"/>
  <c r="C670" i="3"/>
  <c r="B670" i="3" s="1"/>
  <c r="I670" i="3"/>
  <c r="H670" i="3" s="1"/>
  <c r="A672" i="3"/>
  <c r="F672" i="3" l="1"/>
  <c r="L672" i="3"/>
  <c r="J672" i="3"/>
  <c r="D672" i="3"/>
  <c r="K672" i="3"/>
  <c r="E672" i="3"/>
  <c r="C671" i="3"/>
  <c r="B671" i="3" s="1"/>
  <c r="I671" i="3"/>
  <c r="H671" i="3" s="1"/>
  <c r="A673" i="3"/>
  <c r="L673" i="3" l="1"/>
  <c r="F673" i="3"/>
  <c r="J673" i="3"/>
  <c r="D673" i="3"/>
  <c r="K673" i="3"/>
  <c r="E673" i="3"/>
  <c r="I672" i="3"/>
  <c r="H672" i="3" s="1"/>
  <c r="A674" i="3"/>
  <c r="C672" i="3"/>
  <c r="B672" i="3" s="1"/>
  <c r="L674" i="3" l="1"/>
  <c r="F674" i="3"/>
  <c r="J674" i="3"/>
  <c r="K674" i="3"/>
  <c r="D674" i="3"/>
  <c r="E674" i="3"/>
  <c r="I673" i="3"/>
  <c r="H673" i="3" s="1"/>
  <c r="C673" i="3"/>
  <c r="B673" i="3" s="1"/>
  <c r="A675" i="3"/>
  <c r="L675" i="3" l="1"/>
  <c r="F675" i="3"/>
  <c r="J675" i="3"/>
  <c r="D675" i="3"/>
  <c r="K675" i="3"/>
  <c r="E675" i="3"/>
  <c r="I674" i="3"/>
  <c r="H674" i="3" s="1"/>
  <c r="A676" i="3"/>
  <c r="C674" i="3"/>
  <c r="B674" i="3" s="1"/>
  <c r="L676" i="3" l="1"/>
  <c r="F676" i="3"/>
  <c r="J676" i="3"/>
  <c r="D676" i="3"/>
  <c r="K676" i="3"/>
  <c r="E676" i="3"/>
  <c r="I675" i="3"/>
  <c r="H675" i="3" s="1"/>
  <c r="A677" i="3"/>
  <c r="C675" i="3"/>
  <c r="B675" i="3" s="1"/>
  <c r="L677" i="3" l="1"/>
  <c r="F677" i="3"/>
  <c r="J677" i="3"/>
  <c r="D677" i="3"/>
  <c r="K677" i="3"/>
  <c r="E677" i="3"/>
  <c r="C676" i="3"/>
  <c r="B676" i="3" s="1"/>
  <c r="A678" i="3"/>
  <c r="I676" i="3"/>
  <c r="H676" i="3" s="1"/>
  <c r="L678" i="3" l="1"/>
  <c r="F678" i="3"/>
  <c r="J678" i="3"/>
  <c r="D678" i="3"/>
  <c r="K678" i="3"/>
  <c r="E678" i="3"/>
  <c r="C677" i="3"/>
  <c r="B677" i="3" s="1"/>
  <c r="I677" i="3"/>
  <c r="H677" i="3" s="1"/>
  <c r="A679" i="3"/>
  <c r="L679" i="3" l="1"/>
  <c r="F679" i="3"/>
  <c r="J679" i="3"/>
  <c r="D679" i="3"/>
  <c r="K679" i="3"/>
  <c r="E679" i="3"/>
  <c r="C678" i="3"/>
  <c r="B678" i="3" s="1"/>
  <c r="A680" i="3"/>
  <c r="I678" i="3"/>
  <c r="H678" i="3" s="1"/>
  <c r="L680" i="3" l="1"/>
  <c r="F680" i="3"/>
  <c r="J680" i="3"/>
  <c r="D680" i="3"/>
  <c r="K680" i="3"/>
  <c r="E680" i="3"/>
  <c r="C679" i="3"/>
  <c r="B679" i="3" s="1"/>
  <c r="I679" i="3"/>
  <c r="H679" i="3" s="1"/>
  <c r="A681" i="3"/>
  <c r="L681" i="3" l="1"/>
  <c r="F681" i="3"/>
  <c r="J681" i="3"/>
  <c r="K681" i="3"/>
  <c r="D681" i="3"/>
  <c r="E681" i="3"/>
  <c r="I680" i="3"/>
  <c r="H680" i="3" s="1"/>
  <c r="A682" i="3"/>
  <c r="C680" i="3"/>
  <c r="B680" i="3" s="1"/>
  <c r="L682" i="3" l="1"/>
  <c r="F682" i="3"/>
  <c r="J682" i="3"/>
  <c r="D682" i="3"/>
  <c r="K682" i="3"/>
  <c r="E682" i="3"/>
  <c r="I681" i="3"/>
  <c r="H681" i="3" s="1"/>
  <c r="C681" i="3"/>
  <c r="B681" i="3" s="1"/>
  <c r="A683" i="3"/>
  <c r="L683" i="3" l="1"/>
  <c r="J683" i="3"/>
  <c r="D683" i="3"/>
  <c r="K683" i="3"/>
  <c r="E683" i="3"/>
  <c r="C682" i="3"/>
  <c r="B682" i="3" s="1"/>
  <c r="I682" i="3"/>
  <c r="H682" i="3" s="1"/>
  <c r="A684" i="3"/>
  <c r="L684" i="3" l="1"/>
  <c r="F684" i="3"/>
  <c r="D684" i="3"/>
  <c r="J684" i="3"/>
  <c r="E684" i="3"/>
  <c r="K684" i="3"/>
  <c r="A685" i="3"/>
  <c r="I683" i="3"/>
  <c r="H683" i="3" s="1"/>
  <c r="L685" i="3" l="1"/>
  <c r="F685" i="3"/>
  <c r="J685" i="3"/>
  <c r="D685" i="3"/>
  <c r="K685" i="3"/>
  <c r="E685" i="3"/>
  <c r="C684" i="3"/>
  <c r="B684" i="3" s="1"/>
  <c r="A686" i="3"/>
  <c r="I684" i="3"/>
  <c r="H684" i="3" s="1"/>
  <c r="L686" i="3" l="1"/>
  <c r="F686" i="3"/>
  <c r="J686" i="3"/>
  <c r="D686" i="3"/>
  <c r="K686" i="3"/>
  <c r="E686" i="3"/>
  <c r="I685" i="3"/>
  <c r="H685" i="3" s="1"/>
  <c r="C685" i="3"/>
  <c r="B685" i="3" s="1"/>
  <c r="A687" i="3"/>
  <c r="L687" i="3" l="1"/>
  <c r="F687" i="3"/>
  <c r="J687" i="3"/>
  <c r="D687" i="3"/>
  <c r="K687" i="3"/>
  <c r="E687" i="3"/>
  <c r="I686" i="3"/>
  <c r="H686" i="3" s="1"/>
  <c r="A688" i="3"/>
  <c r="C686" i="3"/>
  <c r="B686" i="3" s="1"/>
  <c r="F688" i="3" l="1"/>
  <c r="E688" i="3"/>
  <c r="L688" i="3"/>
  <c r="J688" i="3"/>
  <c r="D688" i="3"/>
  <c r="K688" i="3"/>
  <c r="I687" i="3"/>
  <c r="H687" i="3" s="1"/>
  <c r="C687" i="3"/>
  <c r="B687" i="3" s="1"/>
  <c r="A689" i="3"/>
  <c r="L689" i="3" l="1"/>
  <c r="F689" i="3"/>
  <c r="J689" i="3"/>
  <c r="D689" i="3"/>
  <c r="K689" i="3"/>
  <c r="E689" i="3"/>
  <c r="I688" i="3"/>
  <c r="H688" i="3" s="1"/>
  <c r="C688" i="3"/>
  <c r="B688" i="3" s="1"/>
  <c r="A690" i="3"/>
  <c r="L690" i="3" l="1"/>
  <c r="F690" i="3"/>
  <c r="J690" i="3"/>
  <c r="D690" i="3"/>
  <c r="K690" i="3"/>
  <c r="E690" i="3"/>
  <c r="I689" i="3"/>
  <c r="H689" i="3" s="1"/>
  <c r="C689" i="3"/>
  <c r="B689" i="3" s="1"/>
  <c r="A691" i="3"/>
  <c r="L691" i="3" l="1"/>
  <c r="F691" i="3"/>
  <c r="J691" i="3"/>
  <c r="D691" i="3"/>
  <c r="K691" i="3"/>
  <c r="E691" i="3"/>
  <c r="I690" i="3"/>
  <c r="H690" i="3" s="1"/>
  <c r="A692" i="3"/>
  <c r="C690" i="3"/>
  <c r="B690" i="3" s="1"/>
  <c r="L692" i="3" l="1"/>
  <c r="F692" i="3"/>
  <c r="J692" i="3"/>
  <c r="D692" i="3"/>
  <c r="K692" i="3"/>
  <c r="E692" i="3"/>
  <c r="I691" i="3"/>
  <c r="H691" i="3" s="1"/>
  <c r="C691" i="3"/>
  <c r="B691" i="3" s="1"/>
  <c r="A693" i="3"/>
  <c r="L693" i="3" l="1"/>
  <c r="F693" i="3"/>
  <c r="J693" i="3"/>
  <c r="D693" i="3"/>
  <c r="K693" i="3"/>
  <c r="E693" i="3"/>
  <c r="C692" i="3"/>
  <c r="B692" i="3" s="1"/>
  <c r="I692" i="3"/>
  <c r="H692" i="3" s="1"/>
  <c r="A694" i="3"/>
  <c r="L694" i="3" l="1"/>
  <c r="F694" i="3"/>
  <c r="J694" i="3"/>
  <c r="K694" i="3"/>
  <c r="D694" i="3"/>
  <c r="E694" i="3"/>
  <c r="C693" i="3"/>
  <c r="B693" i="3" s="1"/>
  <c r="A695" i="3"/>
  <c r="I693" i="3"/>
  <c r="H693" i="3" s="1"/>
  <c r="F695" i="3" l="1"/>
  <c r="L695" i="3"/>
  <c r="J695" i="3"/>
  <c r="D695" i="3"/>
  <c r="K695" i="3"/>
  <c r="E695" i="3"/>
  <c r="C694" i="3"/>
  <c r="B694" i="3" s="1"/>
  <c r="I694" i="3"/>
  <c r="H694" i="3" s="1"/>
  <c r="A696" i="3"/>
  <c r="L696" i="3" l="1"/>
  <c r="F696" i="3"/>
  <c r="D696" i="3"/>
  <c r="J696" i="3"/>
  <c r="E696" i="3"/>
  <c r="K696" i="3"/>
  <c r="C695" i="3"/>
  <c r="B695" i="3" s="1"/>
  <c r="I695" i="3"/>
  <c r="H695" i="3" s="1"/>
  <c r="A697" i="3"/>
  <c r="L697" i="3" l="1"/>
  <c r="F697" i="3"/>
  <c r="J697" i="3"/>
  <c r="D697" i="3"/>
  <c r="K697" i="3"/>
  <c r="E697" i="3"/>
  <c r="I696" i="3"/>
  <c r="H696" i="3" s="1"/>
  <c r="C696" i="3"/>
  <c r="B696" i="3" s="1"/>
  <c r="A698" i="3"/>
  <c r="L698" i="3" l="1"/>
  <c r="F698" i="3"/>
  <c r="J698" i="3"/>
  <c r="D698" i="3"/>
  <c r="K698" i="3"/>
  <c r="E698" i="3"/>
  <c r="I697" i="3"/>
  <c r="H697" i="3" s="1"/>
  <c r="C697" i="3"/>
  <c r="B697" i="3" s="1"/>
  <c r="A699" i="3"/>
  <c r="L699" i="3" l="1"/>
  <c r="F699" i="3"/>
  <c r="J699" i="3"/>
  <c r="D699" i="3"/>
  <c r="K699" i="3"/>
  <c r="E699" i="3"/>
  <c r="A700" i="3"/>
  <c r="I698" i="3"/>
  <c r="H698" i="3" s="1"/>
  <c r="C698" i="3"/>
  <c r="B698" i="3" s="1"/>
  <c r="L700" i="3" l="1"/>
  <c r="F700" i="3"/>
  <c r="D700" i="3"/>
  <c r="E700" i="3"/>
  <c r="J700" i="3"/>
  <c r="K700" i="3"/>
  <c r="C699" i="3"/>
  <c r="B699" i="3" s="1"/>
  <c r="A701" i="3"/>
  <c r="I699" i="3"/>
  <c r="H699" i="3" s="1"/>
  <c r="L701" i="3" l="1"/>
  <c r="F701" i="3"/>
  <c r="J701" i="3"/>
  <c r="D701" i="3"/>
  <c r="K701" i="3"/>
  <c r="E701" i="3"/>
  <c r="C700" i="3"/>
  <c r="B700" i="3" s="1"/>
  <c r="A702" i="3"/>
  <c r="I700" i="3"/>
  <c r="H700" i="3" s="1"/>
  <c r="L702" i="3" l="1"/>
  <c r="F702" i="3"/>
  <c r="J702" i="3"/>
  <c r="D702" i="3"/>
  <c r="K702" i="3"/>
  <c r="E702" i="3"/>
  <c r="I701" i="3"/>
  <c r="H701" i="3" s="1"/>
  <c r="C701" i="3"/>
  <c r="B701" i="3" s="1"/>
  <c r="A703" i="3"/>
  <c r="L703" i="3" l="1"/>
  <c r="F703" i="3"/>
  <c r="J703" i="3"/>
  <c r="D703" i="3"/>
  <c r="K703" i="3"/>
  <c r="E703" i="3"/>
  <c r="I702" i="3"/>
  <c r="H702" i="3" s="1"/>
  <c r="C702" i="3"/>
  <c r="B702" i="3" s="1"/>
  <c r="A704" i="3"/>
  <c r="L704" i="3" l="1"/>
  <c r="J704" i="3"/>
  <c r="D704" i="3"/>
  <c r="K704" i="3"/>
  <c r="E704" i="3"/>
  <c r="C703" i="3"/>
  <c r="B703" i="3" s="1"/>
  <c r="I703" i="3"/>
  <c r="H703" i="3" s="1"/>
  <c r="A705" i="3"/>
  <c r="L705" i="3" l="1"/>
  <c r="F705" i="3"/>
  <c r="J705" i="3"/>
  <c r="D705" i="3"/>
  <c r="K705" i="3"/>
  <c r="E705" i="3"/>
  <c r="I704" i="3"/>
  <c r="H704" i="3" s="1"/>
  <c r="A706" i="3"/>
  <c r="L706" i="3" l="1"/>
  <c r="F706" i="3"/>
  <c r="J706" i="3"/>
  <c r="D706" i="3"/>
  <c r="K706" i="3"/>
  <c r="E706" i="3"/>
  <c r="I705" i="3"/>
  <c r="H705" i="3" s="1"/>
  <c r="C705" i="3"/>
  <c r="B705" i="3" s="1"/>
  <c r="A707" i="3"/>
  <c r="F707" i="3" l="1"/>
  <c r="E707" i="3"/>
  <c r="L707" i="3"/>
  <c r="J707" i="3"/>
  <c r="D707" i="3"/>
  <c r="K707" i="3"/>
  <c r="I706" i="3"/>
  <c r="H706" i="3" s="1"/>
  <c r="A708" i="3"/>
  <c r="C706" i="3"/>
  <c r="B706" i="3" s="1"/>
  <c r="L708" i="3" l="1"/>
  <c r="F708" i="3"/>
  <c r="J708" i="3"/>
  <c r="D708" i="3"/>
  <c r="K708" i="3"/>
  <c r="E708" i="3"/>
  <c r="C707" i="3"/>
  <c r="B707" i="3" s="1"/>
  <c r="I707" i="3"/>
  <c r="H707" i="3" s="1"/>
  <c r="A709" i="3"/>
  <c r="L709" i="3" l="1"/>
  <c r="F709" i="3"/>
  <c r="J709" i="3"/>
  <c r="D709" i="3"/>
  <c r="K709" i="3"/>
  <c r="E709" i="3"/>
  <c r="C708" i="3"/>
  <c r="B708" i="3" s="1"/>
  <c r="A710" i="3"/>
  <c r="I708" i="3"/>
  <c r="H708" i="3" s="1"/>
  <c r="L710" i="3" l="1"/>
  <c r="F710" i="3"/>
  <c r="J710" i="3"/>
  <c r="D710" i="3"/>
  <c r="K710" i="3"/>
  <c r="E710" i="3"/>
  <c r="I709" i="3"/>
  <c r="H709" i="3" s="1"/>
  <c r="C709" i="3"/>
  <c r="B709" i="3" s="1"/>
  <c r="A711" i="3"/>
  <c r="L711" i="3" l="1"/>
  <c r="F711" i="3"/>
  <c r="J711" i="3"/>
  <c r="D711" i="3"/>
  <c r="K711" i="3"/>
  <c r="E711" i="3"/>
  <c r="C710" i="3"/>
  <c r="B710" i="3" s="1"/>
  <c r="I710" i="3"/>
  <c r="H710" i="3" s="1"/>
  <c r="A712" i="3"/>
  <c r="L712" i="3" l="1"/>
  <c r="F712" i="3"/>
  <c r="J712" i="3"/>
  <c r="D712" i="3"/>
  <c r="K712" i="3"/>
  <c r="E712" i="3"/>
  <c r="I711" i="3"/>
  <c r="H711" i="3" s="1"/>
  <c r="C711" i="3"/>
  <c r="B711" i="3" s="1"/>
  <c r="A713" i="3"/>
  <c r="L713" i="3" l="1"/>
  <c r="F713" i="3"/>
  <c r="J713" i="3"/>
  <c r="D713" i="3"/>
  <c r="K713" i="3"/>
  <c r="E713" i="3"/>
  <c r="C712" i="3"/>
  <c r="B712" i="3" s="1"/>
  <c r="A714" i="3"/>
  <c r="I712" i="3"/>
  <c r="H712" i="3" s="1"/>
  <c r="F714" i="3" l="1"/>
  <c r="L714" i="3"/>
  <c r="D714" i="3"/>
  <c r="E714" i="3"/>
  <c r="J714" i="3"/>
  <c r="K714" i="3"/>
  <c r="I713" i="3"/>
  <c r="H713" i="3" s="1"/>
  <c r="A715" i="3"/>
  <c r="C713" i="3"/>
  <c r="B713" i="3" s="1"/>
  <c r="L715" i="3" l="1"/>
  <c r="F715" i="3"/>
  <c r="J715" i="3"/>
  <c r="D715" i="3"/>
  <c r="K715" i="3"/>
  <c r="E715" i="3"/>
  <c r="C714" i="3"/>
  <c r="B714" i="3" s="1"/>
  <c r="I714" i="3"/>
  <c r="H714" i="3" s="1"/>
  <c r="A716" i="3"/>
  <c r="L716" i="3" l="1"/>
  <c r="F716" i="3"/>
  <c r="J716" i="3"/>
  <c r="D716" i="3"/>
  <c r="K716" i="3"/>
  <c r="E716" i="3"/>
  <c r="I715" i="3"/>
  <c r="H715" i="3" s="1"/>
  <c r="C715" i="3"/>
  <c r="B715" i="3" s="1"/>
  <c r="A717" i="3"/>
  <c r="L717" i="3" l="1"/>
  <c r="F717" i="3"/>
  <c r="J717" i="3"/>
  <c r="D717" i="3"/>
  <c r="K717" i="3"/>
  <c r="E717" i="3"/>
  <c r="C716" i="3"/>
  <c r="B716" i="3" s="1"/>
  <c r="I716" i="3"/>
  <c r="H716" i="3" s="1"/>
  <c r="A718" i="3"/>
  <c r="L718" i="3" l="1"/>
  <c r="F718" i="3"/>
  <c r="J718" i="3"/>
  <c r="D718" i="3"/>
  <c r="K718" i="3"/>
  <c r="E718" i="3"/>
  <c r="C717" i="3"/>
  <c r="B717" i="3" s="1"/>
  <c r="I717" i="3"/>
  <c r="H717" i="3" s="1"/>
  <c r="A719" i="3"/>
  <c r="L719" i="3" l="1"/>
  <c r="F719" i="3"/>
  <c r="J719" i="3"/>
  <c r="D719" i="3"/>
  <c r="K719" i="3"/>
  <c r="E719" i="3"/>
  <c r="I718" i="3"/>
  <c r="H718" i="3" s="1"/>
  <c r="C718" i="3"/>
  <c r="B718" i="3" s="1"/>
  <c r="A720" i="3"/>
  <c r="L720" i="3" l="1"/>
  <c r="F720" i="3"/>
  <c r="J720" i="3"/>
  <c r="D720" i="3"/>
  <c r="K720" i="3"/>
  <c r="E720" i="3"/>
  <c r="I719" i="3"/>
  <c r="H719" i="3" s="1"/>
  <c r="C719" i="3"/>
  <c r="B719" i="3" s="1"/>
  <c r="A721" i="3"/>
  <c r="L721" i="3" l="1"/>
  <c r="F721" i="3"/>
  <c r="J721" i="3"/>
  <c r="D721" i="3"/>
  <c r="K721" i="3"/>
  <c r="E721" i="3"/>
  <c r="C720" i="3"/>
  <c r="B720" i="3" s="1"/>
  <c r="I720" i="3"/>
  <c r="H720" i="3" s="1"/>
  <c r="A722" i="3"/>
  <c r="L722" i="3" l="1"/>
  <c r="F722" i="3"/>
  <c r="J722" i="3"/>
  <c r="K722" i="3"/>
  <c r="D722" i="3"/>
  <c r="E722" i="3"/>
  <c r="C721" i="3"/>
  <c r="B721" i="3" s="1"/>
  <c r="A723" i="3"/>
  <c r="I721" i="3"/>
  <c r="H721" i="3" s="1"/>
  <c r="L723" i="3" l="1"/>
  <c r="F723" i="3"/>
  <c r="J723" i="3"/>
  <c r="D723" i="3"/>
  <c r="K723" i="3"/>
  <c r="E723" i="3"/>
  <c r="I722" i="3"/>
  <c r="H722" i="3" s="1"/>
  <c r="A724" i="3"/>
  <c r="C722" i="3"/>
  <c r="B722" i="3" s="1"/>
  <c r="L724" i="3" l="1"/>
  <c r="F724" i="3"/>
  <c r="J724" i="3"/>
  <c r="D724" i="3"/>
  <c r="K724" i="3"/>
  <c r="E724" i="3"/>
  <c r="I723" i="3"/>
  <c r="H723" i="3" s="1"/>
  <c r="A725" i="3"/>
  <c r="C723" i="3"/>
  <c r="B723" i="3" s="1"/>
  <c r="L725" i="3" l="1"/>
  <c r="F725" i="3"/>
  <c r="J725" i="3"/>
  <c r="D725" i="3"/>
  <c r="K725" i="3"/>
  <c r="E725" i="3"/>
  <c r="C724" i="3"/>
  <c r="B724" i="3" s="1"/>
  <c r="A726" i="3"/>
  <c r="I724" i="3"/>
  <c r="H724" i="3" s="1"/>
  <c r="L726" i="3" l="1"/>
  <c r="J726" i="3"/>
  <c r="D726" i="3"/>
  <c r="K726" i="3"/>
  <c r="E726" i="3"/>
  <c r="C725" i="3"/>
  <c r="B725" i="3" s="1"/>
  <c r="I725" i="3"/>
  <c r="H725" i="3" s="1"/>
  <c r="A727" i="3"/>
  <c r="L727" i="3" l="1"/>
  <c r="F727" i="3"/>
  <c r="D727" i="3"/>
  <c r="J727" i="3"/>
  <c r="E727" i="3"/>
  <c r="K727" i="3"/>
  <c r="A728" i="3"/>
  <c r="I726" i="3"/>
  <c r="H726" i="3" s="1"/>
  <c r="L728" i="3" l="1"/>
  <c r="F728" i="3"/>
  <c r="J728" i="3"/>
  <c r="D728" i="3"/>
  <c r="K728" i="3"/>
  <c r="E728" i="3"/>
  <c r="I727" i="3"/>
  <c r="H727" i="3" s="1"/>
  <c r="C727" i="3"/>
  <c r="B727" i="3" s="1"/>
  <c r="A729" i="3"/>
  <c r="F729" i="3" l="1"/>
  <c r="E729" i="3"/>
  <c r="L729" i="3"/>
  <c r="D729" i="3"/>
  <c r="J729" i="3"/>
  <c r="K729" i="3"/>
  <c r="I728" i="3"/>
  <c r="H728" i="3" s="1"/>
  <c r="A730" i="3"/>
  <c r="C728" i="3"/>
  <c r="B728" i="3" s="1"/>
  <c r="L730" i="3" l="1"/>
  <c r="F730" i="3"/>
  <c r="J730" i="3"/>
  <c r="D730" i="3"/>
  <c r="K730" i="3"/>
  <c r="E730" i="3"/>
  <c r="I729" i="3"/>
  <c r="H729" i="3" s="1"/>
  <c r="C729" i="3"/>
  <c r="B729" i="3" s="1"/>
  <c r="A731" i="3"/>
  <c r="L731" i="3" l="1"/>
  <c r="F731" i="3"/>
  <c r="J731" i="3"/>
  <c r="D731" i="3"/>
  <c r="K731" i="3"/>
  <c r="E731" i="3"/>
  <c r="C730" i="3"/>
  <c r="B730" i="3" s="1"/>
  <c r="I730" i="3"/>
  <c r="H730" i="3" s="1"/>
  <c r="A732" i="3"/>
  <c r="L732" i="3" l="1"/>
  <c r="F732" i="3"/>
  <c r="J732" i="3"/>
  <c r="D732" i="3"/>
  <c r="K732" i="3"/>
  <c r="E732" i="3"/>
  <c r="C731" i="3"/>
  <c r="B731" i="3" s="1"/>
  <c r="A733" i="3"/>
  <c r="I731" i="3"/>
  <c r="H731" i="3" s="1"/>
  <c r="L733" i="3" l="1"/>
  <c r="F733" i="3"/>
  <c r="J733" i="3"/>
  <c r="D733" i="3"/>
  <c r="K733" i="3"/>
  <c r="E733" i="3"/>
  <c r="C732" i="3"/>
  <c r="B732" i="3" s="1"/>
  <c r="I732" i="3"/>
  <c r="H732" i="3" s="1"/>
  <c r="A734" i="3"/>
  <c r="L734" i="3" l="1"/>
  <c r="F734" i="3"/>
  <c r="J734" i="3"/>
  <c r="D734" i="3"/>
  <c r="K734" i="3"/>
  <c r="E734" i="3"/>
  <c r="C733" i="3"/>
  <c r="B733" i="3" s="1"/>
  <c r="A735" i="3"/>
  <c r="I733" i="3"/>
  <c r="H733" i="3" s="1"/>
  <c r="L735" i="3" l="1"/>
  <c r="F735" i="3"/>
  <c r="J735" i="3"/>
  <c r="D735" i="3"/>
  <c r="K735" i="3"/>
  <c r="E735" i="3"/>
  <c r="C734" i="3"/>
  <c r="B734" i="3" s="1"/>
  <c r="I734" i="3"/>
  <c r="H734" i="3" s="1"/>
  <c r="A736" i="3"/>
  <c r="F736" i="3" l="1"/>
  <c r="L736" i="3"/>
  <c r="J736" i="3"/>
  <c r="D736" i="3"/>
  <c r="K736" i="3"/>
  <c r="E736" i="3"/>
  <c r="I735" i="3"/>
  <c r="H735" i="3" s="1"/>
  <c r="C735" i="3"/>
  <c r="B735" i="3" s="1"/>
  <c r="A737" i="3"/>
  <c r="L737" i="3" l="1"/>
  <c r="F737" i="3"/>
  <c r="J737" i="3"/>
  <c r="D737" i="3"/>
  <c r="K737" i="3"/>
  <c r="E737" i="3"/>
  <c r="C736" i="3"/>
  <c r="B736" i="3" s="1"/>
  <c r="I736" i="3"/>
  <c r="H736" i="3" s="1"/>
  <c r="A738" i="3"/>
  <c r="L738" i="3" l="1"/>
  <c r="F738" i="3"/>
  <c r="J738" i="3"/>
  <c r="D738" i="3"/>
  <c r="K738" i="3"/>
  <c r="E738" i="3"/>
  <c r="I737" i="3"/>
  <c r="H737" i="3" s="1"/>
  <c r="C737" i="3"/>
  <c r="B737" i="3" s="1"/>
  <c r="A739" i="3"/>
  <c r="L739" i="3" l="1"/>
  <c r="F739" i="3"/>
  <c r="J739" i="3"/>
  <c r="D739" i="3"/>
  <c r="K739" i="3"/>
  <c r="E739" i="3"/>
  <c r="I738" i="3"/>
  <c r="H738" i="3" s="1"/>
  <c r="A740" i="3"/>
  <c r="C738" i="3"/>
  <c r="B738" i="3" s="1"/>
  <c r="L740" i="3" l="1"/>
  <c r="F740" i="3"/>
  <c r="J740" i="3"/>
  <c r="D740" i="3"/>
  <c r="K740" i="3"/>
  <c r="E740" i="3"/>
  <c r="I739" i="3"/>
  <c r="H739" i="3" s="1"/>
  <c r="C739" i="3"/>
  <c r="B739" i="3" s="1"/>
  <c r="A741" i="3"/>
  <c r="L741" i="3" l="1"/>
  <c r="F741" i="3"/>
  <c r="J741" i="3"/>
  <c r="D741" i="3"/>
  <c r="K741" i="3"/>
  <c r="E741" i="3"/>
  <c r="I740" i="3"/>
  <c r="H740" i="3" s="1"/>
  <c r="C740" i="3"/>
  <c r="B740" i="3" s="1"/>
  <c r="A742" i="3"/>
  <c r="L742" i="3" l="1"/>
  <c r="F742" i="3"/>
  <c r="J742" i="3"/>
  <c r="D742" i="3"/>
  <c r="K742" i="3"/>
  <c r="E742" i="3"/>
  <c r="I741" i="3"/>
  <c r="H741" i="3" s="1"/>
  <c r="A743" i="3"/>
  <c r="C741" i="3"/>
  <c r="B741" i="3" s="1"/>
  <c r="L743" i="3" l="1"/>
  <c r="F743" i="3"/>
  <c r="J743" i="3"/>
  <c r="D743" i="3"/>
  <c r="K743" i="3"/>
  <c r="E743" i="3"/>
  <c r="C742" i="3"/>
  <c r="B742" i="3" s="1"/>
  <c r="A744" i="3"/>
  <c r="I742" i="3"/>
  <c r="H742" i="3" s="1"/>
  <c r="L744" i="3" l="1"/>
  <c r="F744" i="3"/>
  <c r="J744" i="3"/>
  <c r="D744" i="3"/>
  <c r="K744" i="3"/>
  <c r="E744" i="3"/>
  <c r="C743" i="3"/>
  <c r="B743" i="3" s="1"/>
  <c r="I743" i="3"/>
  <c r="H743" i="3" s="1"/>
  <c r="A745" i="3"/>
  <c r="L745" i="3" l="1"/>
  <c r="F745" i="3"/>
  <c r="J745" i="3"/>
  <c r="D745" i="3"/>
  <c r="K745" i="3"/>
  <c r="E745" i="3"/>
  <c r="C744" i="3"/>
  <c r="B744" i="3" s="1"/>
  <c r="I744" i="3"/>
  <c r="H744" i="3" s="1"/>
  <c r="A746" i="3"/>
  <c r="L746" i="3" l="1"/>
  <c r="F746" i="3"/>
  <c r="J746" i="3"/>
  <c r="D746" i="3"/>
  <c r="K746" i="3"/>
  <c r="E746" i="3"/>
  <c r="C745" i="3"/>
  <c r="B745" i="3" s="1"/>
  <c r="I745" i="3"/>
  <c r="H745" i="3" s="1"/>
  <c r="A747" i="3"/>
  <c r="L747" i="3" l="1"/>
  <c r="F747" i="3"/>
  <c r="D747" i="3"/>
  <c r="J747" i="3"/>
  <c r="E747" i="3"/>
  <c r="K747" i="3"/>
  <c r="I746" i="3"/>
  <c r="H746" i="3" s="1"/>
  <c r="A748" i="3"/>
  <c r="C746" i="3"/>
  <c r="B746" i="3" s="1"/>
  <c r="L748" i="3" l="1"/>
  <c r="J748" i="3"/>
  <c r="D748" i="3"/>
  <c r="K748" i="3"/>
  <c r="E748" i="3"/>
  <c r="C747" i="3"/>
  <c r="B747" i="3" s="1"/>
  <c r="A749" i="3"/>
  <c r="I747" i="3"/>
  <c r="H747" i="3" s="1"/>
  <c r="F749" i="3" l="1"/>
  <c r="E749" i="3"/>
  <c r="L749" i="3"/>
  <c r="J749" i="3"/>
  <c r="D749" i="3"/>
  <c r="K749" i="3"/>
  <c r="A750" i="3"/>
  <c r="I748" i="3"/>
  <c r="H748" i="3" s="1"/>
  <c r="L750" i="3" l="1"/>
  <c r="F750" i="3"/>
  <c r="J750" i="3"/>
  <c r="D750" i="3"/>
  <c r="K750" i="3"/>
  <c r="E750" i="3"/>
  <c r="C749" i="3"/>
  <c r="B749" i="3" s="1"/>
  <c r="I749" i="3"/>
  <c r="H749" i="3" s="1"/>
  <c r="A751" i="3"/>
  <c r="L751" i="3" l="1"/>
  <c r="F751" i="3"/>
  <c r="J751" i="3"/>
  <c r="D751" i="3"/>
  <c r="K751" i="3"/>
  <c r="E751" i="3"/>
  <c r="I750" i="3"/>
  <c r="H750" i="3" s="1"/>
  <c r="C750" i="3"/>
  <c r="B750" i="3" s="1"/>
  <c r="A752" i="3"/>
  <c r="L752" i="3" l="1"/>
  <c r="F752" i="3"/>
  <c r="J752" i="3"/>
  <c r="D752" i="3"/>
  <c r="K752" i="3"/>
  <c r="E752" i="3"/>
  <c r="I751" i="3"/>
  <c r="H751" i="3" s="1"/>
  <c r="C751" i="3"/>
  <c r="B751" i="3" s="1"/>
  <c r="A753" i="3"/>
  <c r="L753" i="3" l="1"/>
  <c r="F753" i="3"/>
  <c r="J753" i="3"/>
  <c r="D753" i="3"/>
  <c r="K753" i="3"/>
  <c r="E753" i="3"/>
  <c r="I752" i="3"/>
  <c r="H752" i="3" s="1"/>
  <c r="C752" i="3"/>
  <c r="B752" i="3" s="1"/>
  <c r="A754" i="3"/>
  <c r="L754" i="3" l="1"/>
  <c r="F754" i="3"/>
  <c r="J754" i="3"/>
  <c r="D754" i="3"/>
  <c r="K754" i="3"/>
  <c r="E754" i="3"/>
  <c r="I753" i="3"/>
  <c r="H753" i="3" s="1"/>
  <c r="C753" i="3"/>
  <c r="B753" i="3" s="1"/>
  <c r="A755" i="3"/>
  <c r="L755" i="3" l="1"/>
  <c r="F755" i="3"/>
  <c r="J755" i="3"/>
  <c r="D755" i="3"/>
  <c r="K755" i="3"/>
  <c r="E755" i="3"/>
  <c r="I754" i="3"/>
  <c r="H754" i="3" s="1"/>
  <c r="A756" i="3"/>
  <c r="C754" i="3"/>
  <c r="B754" i="3" s="1"/>
  <c r="F756" i="3" l="1"/>
  <c r="L756" i="3"/>
  <c r="J756" i="3"/>
  <c r="K756" i="3"/>
  <c r="D756" i="3"/>
  <c r="E756" i="3"/>
  <c r="I755" i="3"/>
  <c r="H755" i="3" s="1"/>
  <c r="C755" i="3"/>
  <c r="B755" i="3" s="1"/>
  <c r="A757" i="3"/>
  <c r="L757" i="3" l="1"/>
  <c r="F757" i="3"/>
  <c r="D757" i="3"/>
  <c r="E757" i="3"/>
  <c r="J757" i="3"/>
  <c r="K757" i="3"/>
  <c r="C756" i="3"/>
  <c r="B756" i="3" s="1"/>
  <c r="I756" i="3"/>
  <c r="H756" i="3" s="1"/>
  <c r="A758" i="3"/>
  <c r="L758" i="3" l="1"/>
  <c r="F758" i="3"/>
  <c r="J758" i="3"/>
  <c r="D758" i="3"/>
  <c r="K758" i="3"/>
  <c r="E758" i="3"/>
  <c r="C757" i="3"/>
  <c r="B757" i="3" s="1"/>
  <c r="A759" i="3"/>
  <c r="I757" i="3"/>
  <c r="H757" i="3" s="1"/>
  <c r="L759" i="3" l="1"/>
  <c r="F759" i="3"/>
  <c r="J759" i="3"/>
  <c r="D759" i="3"/>
  <c r="K759" i="3"/>
  <c r="E759" i="3"/>
  <c r="C758" i="3"/>
  <c r="B758" i="3" s="1"/>
  <c r="I758" i="3"/>
  <c r="H758" i="3" s="1"/>
  <c r="A760" i="3"/>
  <c r="L760" i="3" l="1"/>
  <c r="F760" i="3"/>
  <c r="J760" i="3"/>
  <c r="D760" i="3"/>
  <c r="K760" i="3"/>
  <c r="E760" i="3"/>
  <c r="I759" i="3"/>
  <c r="H759" i="3" s="1"/>
  <c r="C759" i="3"/>
  <c r="B759" i="3" s="1"/>
  <c r="A761" i="3"/>
  <c r="L761" i="3" l="1"/>
  <c r="F761" i="3"/>
  <c r="D761" i="3"/>
  <c r="J761" i="3"/>
  <c r="E761" i="3"/>
  <c r="K761" i="3"/>
  <c r="I760" i="3"/>
  <c r="H760" i="3" s="1"/>
  <c r="A762" i="3"/>
  <c r="C760" i="3"/>
  <c r="B760" i="3" s="1"/>
  <c r="L762" i="3" l="1"/>
  <c r="F762" i="3"/>
  <c r="J762" i="3"/>
  <c r="D762" i="3"/>
  <c r="K762" i="3"/>
  <c r="E762" i="3"/>
  <c r="I761" i="3"/>
  <c r="H761" i="3" s="1"/>
  <c r="C761" i="3"/>
  <c r="B761" i="3" s="1"/>
  <c r="A763" i="3"/>
  <c r="L763" i="3" l="1"/>
  <c r="F763" i="3"/>
  <c r="J763" i="3"/>
  <c r="D763" i="3"/>
  <c r="K763" i="3"/>
  <c r="E763" i="3"/>
  <c r="C762" i="3"/>
  <c r="B762" i="3" s="1"/>
  <c r="I762" i="3"/>
  <c r="H762" i="3" s="1"/>
  <c r="A764" i="3"/>
  <c r="L764" i="3" l="1"/>
  <c r="F764" i="3"/>
  <c r="J764" i="3"/>
  <c r="D764" i="3"/>
  <c r="K764" i="3"/>
  <c r="E764" i="3"/>
  <c r="C763" i="3"/>
  <c r="B763" i="3" s="1"/>
  <c r="A765" i="3"/>
  <c r="I763" i="3"/>
  <c r="H763" i="3" s="1"/>
  <c r="L765" i="3" l="1"/>
  <c r="F765" i="3"/>
  <c r="J765" i="3"/>
  <c r="D765" i="3"/>
  <c r="K765" i="3"/>
  <c r="E765" i="3"/>
  <c r="C764" i="3"/>
  <c r="B764" i="3" s="1"/>
  <c r="I764" i="3"/>
  <c r="H764" i="3" s="1"/>
  <c r="A766" i="3"/>
  <c r="L766" i="3" l="1"/>
  <c r="F766" i="3"/>
  <c r="J766" i="3"/>
  <c r="D766" i="3"/>
  <c r="K766" i="3"/>
  <c r="E766" i="3"/>
  <c r="I765" i="3"/>
  <c r="H765" i="3" s="1"/>
  <c r="C765" i="3"/>
  <c r="B765" i="3" s="1"/>
  <c r="A767" i="3"/>
  <c r="L767" i="3" l="1"/>
  <c r="F767" i="3"/>
  <c r="J767" i="3"/>
  <c r="D767" i="3"/>
  <c r="K767" i="3"/>
  <c r="E767" i="3"/>
  <c r="I766" i="3"/>
  <c r="H766" i="3" s="1"/>
  <c r="A768" i="3"/>
  <c r="C766" i="3"/>
  <c r="B766" i="3" s="1"/>
  <c r="L768" i="3" l="1"/>
  <c r="F768" i="3"/>
  <c r="J768" i="3"/>
  <c r="D768" i="3"/>
  <c r="K768" i="3"/>
  <c r="E768" i="3"/>
  <c r="I767" i="3"/>
  <c r="H767" i="3" s="1"/>
  <c r="A769" i="3"/>
  <c r="C767" i="3"/>
  <c r="B767" i="3" s="1"/>
  <c r="F769" i="3" l="1"/>
  <c r="E769" i="3"/>
  <c r="L769" i="3"/>
  <c r="J769" i="3"/>
  <c r="D769" i="3"/>
  <c r="K769" i="3"/>
  <c r="I768" i="3"/>
  <c r="H768" i="3" s="1"/>
  <c r="A770" i="3"/>
  <c r="C768" i="3"/>
  <c r="B768" i="3" s="1"/>
  <c r="L770" i="3" l="1"/>
  <c r="F770" i="3"/>
  <c r="J770" i="3"/>
  <c r="D770" i="3"/>
  <c r="K770" i="3"/>
  <c r="E770" i="3"/>
  <c r="I769" i="3"/>
  <c r="H769" i="3" s="1"/>
  <c r="A771" i="3"/>
  <c r="L771" i="3" l="1"/>
  <c r="F771" i="3"/>
  <c r="J771" i="3"/>
  <c r="D771" i="3"/>
  <c r="K771" i="3"/>
  <c r="E771" i="3"/>
  <c r="C770" i="3"/>
  <c r="B770" i="3" s="1"/>
  <c r="A772" i="3"/>
  <c r="I770" i="3"/>
  <c r="H770" i="3" s="1"/>
  <c r="L772" i="3" l="1"/>
  <c r="F772" i="3"/>
  <c r="J772" i="3"/>
  <c r="D772" i="3"/>
  <c r="K772" i="3"/>
  <c r="E772" i="3"/>
  <c r="I771" i="3"/>
  <c r="H771" i="3" s="1"/>
  <c r="C771" i="3"/>
  <c r="B771" i="3" s="1"/>
  <c r="A773" i="3"/>
  <c r="L773" i="3" l="1"/>
  <c r="F773" i="3"/>
  <c r="J773" i="3"/>
  <c r="D773" i="3"/>
  <c r="K773" i="3"/>
  <c r="E773" i="3"/>
  <c r="C772" i="3"/>
  <c r="B772" i="3" s="1"/>
  <c r="I772" i="3"/>
  <c r="H772" i="3" s="1"/>
  <c r="A774" i="3"/>
  <c r="L774" i="3" l="1"/>
  <c r="F774" i="3"/>
  <c r="J774" i="3"/>
  <c r="D774" i="3"/>
  <c r="K774" i="3"/>
  <c r="E774" i="3"/>
  <c r="I773" i="3"/>
  <c r="H773" i="3" s="1"/>
  <c r="C773" i="3"/>
  <c r="B773" i="3" s="1"/>
  <c r="A775" i="3"/>
  <c r="L775" i="3" l="1"/>
  <c r="F775" i="3"/>
  <c r="J775" i="3"/>
  <c r="D775" i="3"/>
  <c r="K775" i="3"/>
  <c r="E775" i="3"/>
  <c r="I774" i="3"/>
  <c r="H774" i="3" s="1"/>
  <c r="A776" i="3"/>
  <c r="C774" i="3"/>
  <c r="B774" i="3" s="1"/>
  <c r="F776" i="3" l="1"/>
  <c r="L776" i="3"/>
  <c r="J776" i="3"/>
  <c r="D776" i="3"/>
  <c r="K776" i="3"/>
  <c r="E776" i="3"/>
  <c r="I775" i="3"/>
  <c r="H775" i="3" s="1"/>
  <c r="A777" i="3"/>
  <c r="C775" i="3"/>
  <c r="B775" i="3" s="1"/>
  <c r="L777" i="3" l="1"/>
  <c r="F777" i="3"/>
  <c r="D777" i="3"/>
  <c r="J777" i="3"/>
  <c r="E777" i="3"/>
  <c r="K777" i="3"/>
  <c r="C776" i="3"/>
  <c r="B776" i="3" s="1"/>
  <c r="I776" i="3"/>
  <c r="H776" i="3" s="1"/>
  <c r="A778" i="3"/>
  <c r="L778" i="3" l="1"/>
  <c r="F778" i="3"/>
  <c r="J778" i="3"/>
  <c r="D778" i="3"/>
  <c r="K778" i="3"/>
  <c r="E778" i="3"/>
  <c r="I777" i="3"/>
  <c r="H777" i="3" s="1"/>
  <c r="A779" i="3"/>
  <c r="C777" i="3"/>
  <c r="B777" i="3" s="1"/>
  <c r="L779" i="3" l="1"/>
  <c r="F779" i="3"/>
  <c r="J779" i="3"/>
  <c r="D779" i="3"/>
  <c r="K779" i="3"/>
  <c r="E779" i="3"/>
  <c r="C778" i="3"/>
  <c r="B778" i="3" s="1"/>
  <c r="I778" i="3"/>
  <c r="H778" i="3" s="1"/>
  <c r="A780" i="3"/>
  <c r="L780" i="3" l="1"/>
  <c r="F780" i="3"/>
  <c r="J780" i="3"/>
  <c r="D780" i="3"/>
  <c r="K780" i="3"/>
  <c r="E780" i="3"/>
  <c r="I779" i="3"/>
  <c r="H779" i="3" s="1"/>
  <c r="C779" i="3"/>
  <c r="B779" i="3" s="1"/>
  <c r="A781" i="3"/>
  <c r="L781" i="3" l="1"/>
  <c r="F781" i="3"/>
  <c r="J781" i="3"/>
  <c r="D781" i="3"/>
  <c r="K781" i="3"/>
  <c r="E781" i="3"/>
  <c r="I780" i="3"/>
  <c r="H780" i="3" s="1"/>
  <c r="C780" i="3"/>
  <c r="B780" i="3" s="1"/>
  <c r="A782" i="3"/>
  <c r="L782" i="3" l="1"/>
  <c r="F782" i="3"/>
  <c r="J782" i="3"/>
  <c r="D782" i="3"/>
  <c r="K782" i="3"/>
  <c r="E782" i="3"/>
  <c r="I781" i="3"/>
  <c r="H781" i="3" s="1"/>
  <c r="C781" i="3"/>
  <c r="B781" i="3" s="1"/>
  <c r="A783" i="3"/>
  <c r="L783" i="3" l="1"/>
  <c r="F783" i="3"/>
  <c r="J783" i="3"/>
  <c r="D783" i="3"/>
  <c r="K783" i="3"/>
  <c r="E783" i="3"/>
  <c r="I782" i="3"/>
  <c r="H782" i="3" s="1"/>
  <c r="A784" i="3"/>
  <c r="C782" i="3"/>
  <c r="B782" i="3" s="1"/>
  <c r="L784" i="3" l="1"/>
  <c r="F784" i="3"/>
  <c r="J784" i="3"/>
  <c r="D784" i="3"/>
  <c r="K784" i="3"/>
  <c r="E784" i="3"/>
  <c r="I783" i="3"/>
  <c r="H783" i="3" s="1"/>
  <c r="C783" i="3"/>
  <c r="B783" i="3" s="1"/>
  <c r="A785" i="3"/>
  <c r="L785" i="3" l="1"/>
  <c r="F785" i="3"/>
  <c r="J785" i="3"/>
  <c r="D785" i="3"/>
  <c r="K785" i="3"/>
  <c r="E785" i="3"/>
  <c r="I784" i="3"/>
  <c r="H784" i="3" s="1"/>
  <c r="C784" i="3"/>
  <c r="B784" i="3" s="1"/>
  <c r="A786" i="3"/>
  <c r="L786" i="3" l="1"/>
  <c r="F786" i="3"/>
  <c r="J786" i="3"/>
  <c r="D786" i="3"/>
  <c r="K786" i="3"/>
  <c r="E786" i="3"/>
  <c r="C785" i="3"/>
  <c r="B785" i="3" s="1"/>
  <c r="I785" i="3"/>
  <c r="H785" i="3" s="1"/>
  <c r="A787" i="3"/>
  <c r="L787" i="3" l="1"/>
  <c r="F787" i="3"/>
  <c r="J787" i="3"/>
  <c r="D787" i="3"/>
  <c r="K787" i="3"/>
  <c r="E787" i="3"/>
  <c r="I786" i="3"/>
  <c r="H786" i="3" s="1"/>
  <c r="C786" i="3"/>
  <c r="B786" i="3" s="1"/>
  <c r="A788" i="3"/>
  <c r="L788" i="3" l="1"/>
  <c r="F788" i="3"/>
  <c r="J788" i="3"/>
  <c r="D788" i="3"/>
  <c r="K788" i="3"/>
  <c r="E788" i="3"/>
  <c r="I787" i="3"/>
  <c r="H787" i="3" s="1"/>
  <c r="A789" i="3"/>
  <c r="C787" i="3"/>
  <c r="B787" i="3" s="1"/>
  <c r="L789" i="3" l="1"/>
  <c r="J789" i="3"/>
  <c r="D789" i="3"/>
  <c r="K789" i="3"/>
  <c r="E789" i="3"/>
  <c r="C788" i="3"/>
  <c r="B788" i="3" s="1"/>
  <c r="I788" i="3"/>
  <c r="H788" i="3" s="1"/>
  <c r="A790" i="3"/>
  <c r="L790" i="3" l="1"/>
  <c r="F790" i="3"/>
  <c r="J790" i="3"/>
  <c r="D790" i="3"/>
  <c r="K790" i="3"/>
  <c r="E790" i="3"/>
  <c r="A791" i="3"/>
  <c r="I789" i="3"/>
  <c r="H789" i="3" s="1"/>
  <c r="F791" i="3" l="1"/>
  <c r="E791" i="3"/>
  <c r="L791" i="3"/>
  <c r="D791" i="3"/>
  <c r="J791" i="3"/>
  <c r="K791" i="3"/>
  <c r="C790" i="3"/>
  <c r="B790" i="3" s="1"/>
  <c r="I790" i="3"/>
  <c r="H790" i="3" s="1"/>
  <c r="A792" i="3"/>
  <c r="L792" i="3" l="1"/>
  <c r="F792" i="3"/>
  <c r="J792" i="3"/>
  <c r="D792" i="3"/>
  <c r="K792" i="3"/>
  <c r="E792" i="3"/>
  <c r="C791" i="3"/>
  <c r="B791" i="3" s="1"/>
  <c r="A793" i="3"/>
  <c r="I791" i="3"/>
  <c r="H791" i="3" s="1"/>
  <c r="L793" i="3" l="1"/>
  <c r="F793" i="3"/>
  <c r="J793" i="3"/>
  <c r="D793" i="3"/>
  <c r="K793" i="3"/>
  <c r="E793" i="3"/>
  <c r="I792" i="3"/>
  <c r="H792" i="3" s="1"/>
  <c r="A794" i="3"/>
  <c r="C792" i="3"/>
  <c r="B792" i="3" s="1"/>
  <c r="L794" i="3" l="1"/>
  <c r="F794" i="3"/>
  <c r="J794" i="3"/>
  <c r="D794" i="3"/>
  <c r="K794" i="3"/>
  <c r="E794" i="3"/>
  <c r="I793" i="3"/>
  <c r="H793" i="3" s="1"/>
  <c r="C793" i="3"/>
  <c r="B793" i="3" s="1"/>
  <c r="A795" i="3"/>
  <c r="L795" i="3" l="1"/>
  <c r="F795" i="3"/>
  <c r="J795" i="3"/>
  <c r="D795" i="3"/>
  <c r="K795" i="3"/>
  <c r="E795" i="3"/>
  <c r="C794" i="3"/>
  <c r="B794" i="3" s="1"/>
  <c r="I794" i="3"/>
  <c r="H794" i="3" s="1"/>
  <c r="A796" i="3"/>
  <c r="L796" i="3" l="1"/>
  <c r="F796" i="3"/>
  <c r="J796" i="3"/>
  <c r="D796" i="3"/>
  <c r="K796" i="3"/>
  <c r="E796" i="3"/>
  <c r="C795" i="3"/>
  <c r="B795" i="3" s="1"/>
  <c r="A797" i="3"/>
  <c r="I795" i="3"/>
  <c r="H795" i="3" s="1"/>
  <c r="L797" i="3" l="1"/>
  <c r="F797" i="3"/>
  <c r="J797" i="3"/>
  <c r="D797" i="3"/>
  <c r="K797" i="3"/>
  <c r="E797" i="3"/>
  <c r="C796" i="3"/>
  <c r="B796" i="3" s="1"/>
  <c r="A798" i="3"/>
  <c r="I796" i="3"/>
  <c r="H796" i="3" s="1"/>
  <c r="F798" i="3" l="1"/>
  <c r="L798" i="3"/>
  <c r="J798" i="3"/>
  <c r="D798" i="3"/>
  <c r="K798" i="3"/>
  <c r="E798" i="3"/>
  <c r="I797" i="3"/>
  <c r="H797" i="3" s="1"/>
  <c r="C797" i="3"/>
  <c r="B797" i="3" s="1"/>
  <c r="A799" i="3"/>
  <c r="L799" i="3" l="1"/>
  <c r="F799" i="3"/>
  <c r="J799" i="3"/>
  <c r="D799" i="3"/>
  <c r="K799" i="3"/>
  <c r="E799" i="3"/>
  <c r="C798" i="3"/>
  <c r="B798" i="3" s="1"/>
  <c r="I798" i="3"/>
  <c r="H798" i="3" s="1"/>
  <c r="A800" i="3"/>
  <c r="L800" i="3" l="1"/>
  <c r="F800" i="3"/>
  <c r="J800" i="3"/>
  <c r="D800" i="3"/>
  <c r="K800" i="3"/>
  <c r="E800" i="3"/>
  <c r="C799" i="3"/>
  <c r="B799" i="3" s="1"/>
  <c r="I799" i="3"/>
  <c r="H799" i="3" s="1"/>
  <c r="A801" i="3"/>
  <c r="L801" i="3" l="1"/>
  <c r="F801" i="3"/>
  <c r="J801" i="3"/>
  <c r="D801" i="3"/>
  <c r="K801" i="3"/>
  <c r="E801" i="3"/>
  <c r="I800" i="3"/>
  <c r="H800" i="3" s="1"/>
  <c r="C800" i="3"/>
  <c r="B800" i="3" s="1"/>
  <c r="A802" i="3"/>
  <c r="L802" i="3" l="1"/>
  <c r="F802" i="3"/>
  <c r="J802" i="3"/>
  <c r="D802" i="3"/>
  <c r="K802" i="3"/>
  <c r="E802" i="3"/>
  <c r="I801" i="3"/>
  <c r="H801" i="3" s="1"/>
  <c r="C801" i="3"/>
  <c r="B801" i="3" s="1"/>
  <c r="A803" i="3"/>
  <c r="L803" i="3" l="1"/>
  <c r="F803" i="3"/>
  <c r="J803" i="3"/>
  <c r="D803" i="3"/>
  <c r="K803" i="3"/>
  <c r="E803" i="3"/>
  <c r="C802" i="3"/>
  <c r="B802" i="3" s="1"/>
  <c r="I802" i="3"/>
  <c r="H802" i="3" s="1"/>
  <c r="A804" i="3"/>
  <c r="L804" i="3" l="1"/>
  <c r="F804" i="3"/>
  <c r="J804" i="3"/>
  <c r="D804" i="3"/>
  <c r="K804" i="3"/>
  <c r="E804" i="3"/>
  <c r="C803" i="3"/>
  <c r="B803" i="3" s="1"/>
  <c r="I803" i="3"/>
  <c r="H803" i="3" s="1"/>
  <c r="A805" i="3"/>
  <c r="L805" i="3" l="1"/>
  <c r="F805" i="3"/>
  <c r="J805" i="3"/>
  <c r="D805" i="3"/>
  <c r="K805" i="3"/>
  <c r="E805" i="3"/>
  <c r="C804" i="3"/>
  <c r="B804" i="3" s="1"/>
  <c r="A806" i="3"/>
  <c r="I804" i="3"/>
  <c r="H804" i="3" s="1"/>
  <c r="L806" i="3" l="1"/>
  <c r="F806" i="3"/>
  <c r="D806" i="3"/>
  <c r="E806" i="3"/>
  <c r="J806" i="3"/>
  <c r="K806" i="3"/>
  <c r="C805" i="3"/>
  <c r="B805" i="3" s="1"/>
  <c r="A807" i="3"/>
  <c r="I805" i="3"/>
  <c r="H805" i="3" s="1"/>
  <c r="L807" i="3" l="1"/>
  <c r="F807" i="3"/>
  <c r="J807" i="3"/>
  <c r="D807" i="3"/>
  <c r="K807" i="3"/>
  <c r="E807" i="3"/>
  <c r="C806" i="3"/>
  <c r="B806" i="3" s="1"/>
  <c r="I806" i="3"/>
  <c r="H806" i="3" s="1"/>
  <c r="A808" i="3"/>
  <c r="L808" i="3" l="1"/>
  <c r="F808" i="3"/>
  <c r="J808" i="3"/>
  <c r="D808" i="3"/>
  <c r="K808" i="3"/>
  <c r="E808" i="3"/>
  <c r="I807" i="3"/>
  <c r="H807" i="3" s="1"/>
  <c r="C807" i="3"/>
  <c r="B807" i="3" s="1"/>
  <c r="A809" i="3"/>
  <c r="L809" i="3" l="1"/>
  <c r="J809" i="3"/>
  <c r="D809" i="3"/>
  <c r="K809" i="3"/>
  <c r="E809" i="3"/>
  <c r="C808" i="3"/>
  <c r="B808" i="3" s="1"/>
  <c r="A810" i="3"/>
  <c r="I808" i="3"/>
  <c r="H808" i="3" s="1"/>
  <c r="L810" i="3" l="1"/>
  <c r="F810" i="3"/>
  <c r="J810" i="3"/>
  <c r="D810" i="3"/>
  <c r="K810" i="3"/>
  <c r="E810" i="3"/>
  <c r="A811" i="3"/>
  <c r="I809" i="3"/>
  <c r="H809" i="3" s="1"/>
  <c r="F811" i="3" l="1"/>
  <c r="E811" i="3"/>
  <c r="L811" i="3"/>
  <c r="J811" i="3"/>
  <c r="D811" i="3"/>
  <c r="K811" i="3"/>
  <c r="I810" i="3"/>
  <c r="H810" i="3" s="1"/>
  <c r="C810" i="3"/>
  <c r="B810" i="3" s="1"/>
  <c r="A812" i="3"/>
  <c r="L812" i="3" l="1"/>
  <c r="F812" i="3"/>
  <c r="J812" i="3"/>
  <c r="D812" i="3"/>
  <c r="K812" i="3"/>
  <c r="E812" i="3"/>
  <c r="I811" i="3"/>
  <c r="H811" i="3" s="1"/>
  <c r="C811" i="3"/>
  <c r="B811" i="3" s="1"/>
  <c r="A813" i="3"/>
  <c r="L813" i="3" l="1"/>
  <c r="F813" i="3"/>
  <c r="J813" i="3"/>
  <c r="D813" i="3"/>
  <c r="K813" i="3"/>
  <c r="E813" i="3"/>
  <c r="C812" i="3"/>
  <c r="B812" i="3" s="1"/>
  <c r="I812" i="3"/>
  <c r="H812" i="3" s="1"/>
  <c r="A814" i="3"/>
  <c r="L814" i="3" l="1"/>
  <c r="F814" i="3"/>
  <c r="J814" i="3"/>
  <c r="D814" i="3"/>
  <c r="K814" i="3"/>
  <c r="E814" i="3"/>
  <c r="C813" i="3"/>
  <c r="B813" i="3" s="1"/>
  <c r="I813" i="3"/>
  <c r="H813" i="3" s="1"/>
  <c r="A815" i="3"/>
  <c r="L815" i="3" l="1"/>
  <c r="F815" i="3"/>
  <c r="J815" i="3"/>
  <c r="D815" i="3"/>
  <c r="K815" i="3"/>
  <c r="E815" i="3"/>
  <c r="C814" i="3"/>
  <c r="B814" i="3" s="1"/>
  <c r="I814" i="3"/>
  <c r="H814" i="3" s="1"/>
  <c r="A816" i="3"/>
  <c r="L816" i="3" l="1"/>
  <c r="F816" i="3"/>
  <c r="J816" i="3"/>
  <c r="D816" i="3"/>
  <c r="K816" i="3"/>
  <c r="E816" i="3"/>
  <c r="A817" i="3"/>
  <c r="I815" i="3"/>
  <c r="H815" i="3" s="1"/>
  <c r="C815" i="3"/>
  <c r="B815" i="3" s="1"/>
  <c r="L817" i="3" l="1"/>
  <c r="F817" i="3"/>
  <c r="J817" i="3"/>
  <c r="D817" i="3"/>
  <c r="K817" i="3"/>
  <c r="E817" i="3"/>
  <c r="I816" i="3"/>
  <c r="H816" i="3" s="1"/>
  <c r="A818" i="3"/>
  <c r="C816" i="3"/>
  <c r="B816" i="3" s="1"/>
  <c r="F818" i="3" l="1"/>
  <c r="L818" i="3"/>
  <c r="D818" i="3"/>
  <c r="J818" i="3"/>
  <c r="E818" i="3"/>
  <c r="K818" i="3"/>
  <c r="I817" i="3"/>
  <c r="H817" i="3" s="1"/>
  <c r="C817" i="3"/>
  <c r="B817" i="3" s="1"/>
  <c r="A819" i="3"/>
  <c r="L819" i="3" l="1"/>
  <c r="F819" i="3"/>
  <c r="D819" i="3"/>
  <c r="E819" i="3"/>
  <c r="J819" i="3"/>
  <c r="K819" i="3"/>
  <c r="I818" i="3"/>
  <c r="H818" i="3" s="1"/>
  <c r="A820" i="3"/>
  <c r="C818" i="3"/>
  <c r="B818" i="3" s="1"/>
  <c r="L820" i="3" l="1"/>
  <c r="F820" i="3"/>
  <c r="J820" i="3"/>
  <c r="D820" i="3"/>
  <c r="K820" i="3"/>
  <c r="E820" i="3"/>
  <c r="C819" i="3"/>
  <c r="B819" i="3" s="1"/>
  <c r="I819" i="3"/>
  <c r="H819" i="3" s="1"/>
  <c r="A821" i="3"/>
  <c r="L821" i="3" l="1"/>
  <c r="F821" i="3"/>
  <c r="J821" i="3"/>
  <c r="D821" i="3"/>
  <c r="K821" i="3"/>
  <c r="E821" i="3"/>
  <c r="I820" i="3"/>
  <c r="H820" i="3" s="1"/>
  <c r="C820" i="3"/>
  <c r="B820" i="3" s="1"/>
  <c r="A822" i="3"/>
  <c r="L822" i="3" l="1"/>
  <c r="F822" i="3"/>
  <c r="J822" i="3"/>
  <c r="D822" i="3"/>
  <c r="K822" i="3"/>
  <c r="E822" i="3"/>
  <c r="I821" i="3"/>
  <c r="H821" i="3" s="1"/>
  <c r="C821" i="3"/>
  <c r="B821" i="3" s="1"/>
  <c r="A823" i="3"/>
  <c r="L823" i="3" l="1"/>
  <c r="F823" i="3"/>
  <c r="J823" i="3"/>
  <c r="D823" i="3"/>
  <c r="K823" i="3"/>
  <c r="E823" i="3"/>
  <c r="I822" i="3"/>
  <c r="H822" i="3" s="1"/>
  <c r="A824" i="3"/>
  <c r="C822" i="3"/>
  <c r="B822" i="3" s="1"/>
  <c r="L824" i="3" l="1"/>
  <c r="F824" i="3"/>
  <c r="J824" i="3"/>
  <c r="D824" i="3"/>
  <c r="K824" i="3"/>
  <c r="E824" i="3"/>
  <c r="I823" i="3"/>
  <c r="H823" i="3" s="1"/>
  <c r="C823" i="3"/>
  <c r="B823" i="3" s="1"/>
  <c r="A825" i="3"/>
  <c r="L825" i="3" l="1"/>
  <c r="F825" i="3"/>
  <c r="J825" i="3"/>
  <c r="D825" i="3"/>
  <c r="K825" i="3"/>
  <c r="E825" i="3"/>
  <c r="C824" i="3"/>
  <c r="B824" i="3" s="1"/>
  <c r="I824" i="3"/>
  <c r="H824" i="3" s="1"/>
  <c r="A826" i="3"/>
  <c r="L826" i="3" l="1"/>
  <c r="F826" i="3"/>
  <c r="J826" i="3"/>
  <c r="D826" i="3"/>
  <c r="K826" i="3"/>
  <c r="E826" i="3"/>
  <c r="C825" i="3"/>
  <c r="B825" i="3" s="1"/>
  <c r="I825" i="3"/>
  <c r="H825" i="3" s="1"/>
  <c r="A827" i="3"/>
  <c r="L827" i="3" l="1"/>
  <c r="F827" i="3"/>
  <c r="J827" i="3"/>
  <c r="D827" i="3"/>
  <c r="K827" i="3"/>
  <c r="E827" i="3"/>
  <c r="C826" i="3"/>
  <c r="B826" i="3" s="1"/>
  <c r="I826" i="3"/>
  <c r="H826" i="3" s="1"/>
  <c r="A828" i="3"/>
  <c r="L828" i="3" l="1"/>
  <c r="F828" i="3"/>
  <c r="J828" i="3"/>
  <c r="D828" i="3"/>
  <c r="K828" i="3"/>
  <c r="E828" i="3"/>
  <c r="I827" i="3"/>
  <c r="H827" i="3" s="1"/>
  <c r="C827" i="3"/>
  <c r="B827" i="3" s="1"/>
  <c r="A829" i="3"/>
  <c r="L829" i="3" l="1"/>
  <c r="F829" i="3"/>
  <c r="J829" i="3"/>
  <c r="D829" i="3"/>
  <c r="K829" i="3"/>
  <c r="E829" i="3"/>
  <c r="C828" i="3"/>
  <c r="B828" i="3" s="1"/>
  <c r="I828" i="3"/>
  <c r="H828" i="3" s="1"/>
  <c r="A830" i="3"/>
  <c r="F830" i="3" l="1"/>
  <c r="E830" i="3"/>
  <c r="L830" i="3"/>
  <c r="J830" i="3"/>
  <c r="D830" i="3"/>
  <c r="K830" i="3"/>
  <c r="A831" i="3"/>
  <c r="I829" i="3"/>
  <c r="H829" i="3" s="1"/>
  <c r="C829" i="3"/>
  <c r="B829" i="3" s="1"/>
  <c r="L831" i="3" l="1"/>
  <c r="F831" i="3"/>
  <c r="J831" i="3"/>
  <c r="D831" i="3"/>
  <c r="K831" i="3"/>
  <c r="E831" i="3"/>
  <c r="I830" i="3"/>
  <c r="H830" i="3" s="1"/>
  <c r="C830" i="3"/>
  <c r="B830" i="3" s="1"/>
  <c r="A832" i="3"/>
  <c r="L832" i="3" l="1"/>
  <c r="J832" i="3"/>
  <c r="D832" i="3"/>
  <c r="K832" i="3"/>
  <c r="E832" i="3"/>
  <c r="C831" i="3"/>
  <c r="B831" i="3" s="1"/>
  <c r="I831" i="3"/>
  <c r="H831" i="3" s="1"/>
  <c r="A833" i="3"/>
  <c r="L833" i="3" l="1"/>
  <c r="F833" i="3"/>
  <c r="J833" i="3"/>
  <c r="D833" i="3"/>
  <c r="K833" i="3"/>
  <c r="E833" i="3"/>
  <c r="I832" i="3"/>
  <c r="H832" i="3" s="1"/>
  <c r="A834" i="3"/>
  <c r="L834" i="3" l="1"/>
  <c r="F834" i="3"/>
  <c r="J834" i="3"/>
  <c r="D834" i="3"/>
  <c r="K834" i="3"/>
  <c r="E834" i="3"/>
  <c r="C833" i="3"/>
  <c r="B833" i="3" s="1"/>
  <c r="I833" i="3"/>
  <c r="H833" i="3" s="1"/>
  <c r="A835" i="3"/>
  <c r="L835" i="3" l="1"/>
  <c r="F835" i="3"/>
  <c r="J835" i="3"/>
  <c r="D835" i="3"/>
  <c r="K835" i="3"/>
  <c r="E835" i="3"/>
  <c r="I834" i="3"/>
  <c r="H834" i="3" s="1"/>
  <c r="C834" i="3"/>
  <c r="B834" i="3" s="1"/>
  <c r="A836" i="3"/>
  <c r="L836" i="3" l="1"/>
  <c r="F836" i="3"/>
  <c r="J836" i="3"/>
  <c r="D836" i="3"/>
  <c r="K836" i="3"/>
  <c r="E836" i="3"/>
  <c r="C835" i="3"/>
  <c r="B835" i="3" s="1"/>
  <c r="I835" i="3"/>
  <c r="H835" i="3" s="1"/>
  <c r="A837" i="3"/>
  <c r="F837" i="3" l="1"/>
  <c r="L837" i="3"/>
  <c r="J837" i="3"/>
  <c r="D837" i="3"/>
  <c r="K837" i="3"/>
  <c r="E837" i="3"/>
  <c r="C836" i="3"/>
  <c r="B836" i="3" s="1"/>
  <c r="I836" i="3"/>
  <c r="H836" i="3" s="1"/>
  <c r="A838" i="3"/>
  <c r="L838" i="3" l="1"/>
  <c r="F838" i="3"/>
  <c r="J838" i="3"/>
  <c r="D838" i="3"/>
  <c r="K838" i="3"/>
  <c r="E838" i="3"/>
  <c r="C837" i="3"/>
  <c r="B837" i="3" s="1"/>
  <c r="I837" i="3"/>
  <c r="H837" i="3" s="1"/>
  <c r="A839" i="3"/>
  <c r="L839" i="3" l="1"/>
  <c r="F839" i="3"/>
  <c r="D839" i="3"/>
  <c r="J839" i="3"/>
  <c r="E839" i="3"/>
  <c r="K839" i="3"/>
  <c r="I838" i="3"/>
  <c r="H838" i="3" s="1"/>
  <c r="C838" i="3"/>
  <c r="B838" i="3" s="1"/>
  <c r="A840" i="3"/>
  <c r="L840" i="3" l="1"/>
  <c r="F840" i="3"/>
  <c r="J840" i="3"/>
  <c r="D840" i="3"/>
  <c r="K840" i="3"/>
  <c r="E840" i="3"/>
  <c r="C839" i="3"/>
  <c r="B839" i="3" s="1"/>
  <c r="I839" i="3"/>
  <c r="H839" i="3" s="1"/>
  <c r="A841" i="3"/>
  <c r="L841" i="3" l="1"/>
  <c r="F841" i="3"/>
  <c r="J841" i="3"/>
  <c r="D841" i="3"/>
  <c r="K841" i="3"/>
  <c r="E841" i="3"/>
  <c r="C840" i="3"/>
  <c r="B840" i="3" s="1"/>
  <c r="A842" i="3"/>
  <c r="I840" i="3"/>
  <c r="H840" i="3" s="1"/>
  <c r="L842" i="3" l="1"/>
  <c r="F842" i="3"/>
  <c r="J842" i="3"/>
  <c r="D842" i="3"/>
  <c r="K842" i="3"/>
  <c r="E842" i="3"/>
  <c r="C841" i="3"/>
  <c r="B841" i="3" s="1"/>
  <c r="A843" i="3"/>
  <c r="I841" i="3"/>
  <c r="H841" i="3" s="1"/>
  <c r="L843" i="3" l="1"/>
  <c r="F843" i="3"/>
  <c r="J843" i="3"/>
  <c r="D843" i="3"/>
  <c r="K843" i="3"/>
  <c r="E843" i="3"/>
  <c r="I842" i="3"/>
  <c r="H842" i="3" s="1"/>
  <c r="C842" i="3"/>
  <c r="B842" i="3" s="1"/>
  <c r="A844" i="3"/>
  <c r="L844" i="3" l="1"/>
  <c r="F844" i="3"/>
  <c r="J844" i="3"/>
  <c r="D844" i="3"/>
  <c r="K844" i="3"/>
  <c r="E844" i="3"/>
  <c r="I843" i="3"/>
  <c r="H843" i="3" s="1"/>
  <c r="C843" i="3"/>
  <c r="B843" i="3" s="1"/>
  <c r="A845" i="3"/>
  <c r="L845" i="3" l="1"/>
  <c r="F845" i="3"/>
  <c r="J845" i="3"/>
  <c r="D845" i="3"/>
  <c r="K845" i="3"/>
  <c r="E845" i="3"/>
  <c r="C844" i="3"/>
  <c r="B844" i="3" s="1"/>
  <c r="I844" i="3"/>
  <c r="H844" i="3" s="1"/>
  <c r="A846" i="3"/>
  <c r="L846" i="3" l="1"/>
  <c r="F846" i="3"/>
  <c r="J846" i="3"/>
  <c r="D846" i="3"/>
  <c r="K846" i="3"/>
  <c r="E846" i="3"/>
  <c r="I845" i="3"/>
  <c r="H845" i="3" s="1"/>
  <c r="C845" i="3"/>
  <c r="B845" i="3" s="1"/>
  <c r="A847" i="3"/>
  <c r="L847" i="3" l="1"/>
  <c r="F847" i="3"/>
  <c r="J847" i="3"/>
  <c r="D847" i="3"/>
  <c r="K847" i="3"/>
  <c r="E847" i="3"/>
  <c r="C846" i="3"/>
  <c r="B846" i="3" s="1"/>
  <c r="I846" i="3"/>
  <c r="H846" i="3" s="1"/>
  <c r="A848" i="3"/>
  <c r="L848" i="3" l="1"/>
  <c r="F848" i="3"/>
  <c r="J848" i="3"/>
  <c r="D848" i="3"/>
  <c r="K848" i="3"/>
  <c r="E848" i="3"/>
  <c r="C847" i="3"/>
  <c r="B847" i="3" s="1"/>
  <c r="I847" i="3"/>
  <c r="H847" i="3" s="1"/>
  <c r="A849" i="3"/>
  <c r="L849" i="3" l="1"/>
  <c r="F849" i="3"/>
  <c r="J849" i="3"/>
  <c r="D849" i="3"/>
  <c r="K849" i="3"/>
  <c r="E849" i="3"/>
  <c r="C848" i="3"/>
  <c r="B848" i="3" s="1"/>
  <c r="I848" i="3"/>
  <c r="H848" i="3" s="1"/>
  <c r="A850" i="3"/>
  <c r="L850" i="3" l="1"/>
  <c r="F850" i="3"/>
  <c r="D850" i="3"/>
  <c r="E850" i="3"/>
  <c r="J850" i="3"/>
  <c r="K850" i="3"/>
  <c r="I849" i="3"/>
  <c r="H849" i="3" s="1"/>
  <c r="A851" i="3"/>
  <c r="C849" i="3"/>
  <c r="B849" i="3" s="1"/>
  <c r="F851" i="3" l="1"/>
  <c r="E851" i="3"/>
  <c r="L851" i="3"/>
  <c r="D851" i="3"/>
  <c r="J851" i="3"/>
  <c r="K851" i="3"/>
  <c r="I850" i="3"/>
  <c r="H850" i="3" s="1"/>
  <c r="C850" i="3"/>
  <c r="B850" i="3" s="1"/>
  <c r="A852" i="3"/>
  <c r="L852" i="3" l="1"/>
  <c r="F852" i="3"/>
  <c r="J852" i="3"/>
  <c r="D852" i="3"/>
  <c r="K852" i="3"/>
  <c r="E852" i="3"/>
  <c r="I851" i="3"/>
  <c r="H851" i="3" s="1"/>
  <c r="C851" i="3"/>
  <c r="B851" i="3" s="1"/>
  <c r="A853" i="3"/>
  <c r="L853" i="3" l="1"/>
  <c r="J853" i="3"/>
  <c r="D853" i="3"/>
  <c r="K853" i="3"/>
  <c r="E853" i="3"/>
  <c r="I852" i="3"/>
  <c r="H852" i="3" s="1"/>
  <c r="C852" i="3"/>
  <c r="B852" i="3" s="1"/>
  <c r="A854" i="3"/>
  <c r="L854" i="3" l="1"/>
  <c r="F854" i="3"/>
  <c r="J854" i="3"/>
  <c r="D854" i="3"/>
  <c r="K854" i="3"/>
  <c r="E854" i="3"/>
  <c r="I853" i="3"/>
  <c r="H853" i="3" s="1"/>
  <c r="A855" i="3"/>
  <c r="L855" i="3" l="1"/>
  <c r="F855" i="3"/>
  <c r="J855" i="3"/>
  <c r="D855" i="3"/>
  <c r="K855" i="3"/>
  <c r="E855" i="3"/>
  <c r="C854" i="3"/>
  <c r="B854" i="3" s="1"/>
  <c r="I854" i="3"/>
  <c r="H854" i="3" s="1"/>
  <c r="A856" i="3"/>
  <c r="L856" i="3" l="1"/>
  <c r="F856" i="3"/>
  <c r="J856" i="3"/>
  <c r="D856" i="3"/>
  <c r="K856" i="3"/>
  <c r="E856" i="3"/>
  <c r="I855" i="3"/>
  <c r="H855" i="3" s="1"/>
  <c r="C855" i="3"/>
  <c r="B855" i="3" s="1"/>
  <c r="A857" i="3"/>
  <c r="L857" i="3" l="1"/>
  <c r="F857" i="3"/>
  <c r="J857" i="3"/>
  <c r="D857" i="3"/>
  <c r="K857" i="3"/>
  <c r="E857" i="3"/>
  <c r="I856" i="3"/>
  <c r="H856" i="3" s="1"/>
  <c r="C856" i="3"/>
  <c r="B856" i="3" s="1"/>
  <c r="A858" i="3"/>
  <c r="F858" i="3" l="1"/>
  <c r="L858" i="3"/>
  <c r="J858" i="3"/>
  <c r="D858" i="3"/>
  <c r="K858" i="3"/>
  <c r="E858" i="3"/>
  <c r="I857" i="3"/>
  <c r="H857" i="3" s="1"/>
  <c r="C857" i="3"/>
  <c r="B857" i="3" s="1"/>
  <c r="A859" i="3"/>
  <c r="L859" i="3" l="1"/>
  <c r="F859" i="3"/>
  <c r="J859" i="3"/>
  <c r="D859" i="3"/>
  <c r="K859" i="3"/>
  <c r="E859" i="3"/>
  <c r="C858" i="3"/>
  <c r="B858" i="3" s="1"/>
  <c r="I858" i="3"/>
  <c r="H858" i="3" s="1"/>
  <c r="A860" i="3"/>
  <c r="L860" i="3" l="1"/>
  <c r="F860" i="3"/>
  <c r="J860" i="3"/>
  <c r="D860" i="3"/>
  <c r="K860" i="3"/>
  <c r="E860" i="3"/>
  <c r="C859" i="3"/>
  <c r="B859" i="3" s="1"/>
  <c r="A861" i="3"/>
  <c r="I859" i="3"/>
  <c r="H859" i="3" s="1"/>
  <c r="L861" i="3" l="1"/>
  <c r="F861" i="3"/>
  <c r="J861" i="3"/>
  <c r="D861" i="3"/>
  <c r="K861" i="3"/>
  <c r="E861" i="3"/>
  <c r="C860" i="3"/>
  <c r="B860" i="3" s="1"/>
  <c r="I860" i="3"/>
  <c r="H860" i="3" s="1"/>
  <c r="A862" i="3"/>
  <c r="L862" i="3" l="1"/>
  <c r="F862" i="3"/>
  <c r="J862" i="3"/>
  <c r="D862" i="3"/>
  <c r="K862" i="3"/>
  <c r="E862" i="3"/>
  <c r="I861" i="3"/>
  <c r="H861" i="3" s="1"/>
  <c r="A863" i="3"/>
  <c r="C861" i="3"/>
  <c r="B861" i="3" s="1"/>
  <c r="L863" i="3" l="1"/>
  <c r="F863" i="3"/>
  <c r="J863" i="3"/>
  <c r="D863" i="3"/>
  <c r="K863" i="3"/>
  <c r="E863" i="3"/>
  <c r="I862" i="3"/>
  <c r="H862" i="3" s="1"/>
  <c r="C862" i="3"/>
  <c r="B862" i="3" s="1"/>
  <c r="A864" i="3"/>
  <c r="L864" i="3" l="1"/>
  <c r="F864" i="3"/>
  <c r="J864" i="3"/>
  <c r="D864" i="3"/>
  <c r="K864" i="3"/>
  <c r="E864" i="3"/>
  <c r="C863" i="3"/>
  <c r="B863" i="3" s="1"/>
  <c r="A865" i="3"/>
  <c r="I863" i="3"/>
  <c r="H863" i="3" s="1"/>
  <c r="L865" i="3" l="1"/>
  <c r="F865" i="3"/>
  <c r="J865" i="3"/>
  <c r="D865" i="3"/>
  <c r="K865" i="3"/>
  <c r="E865" i="3"/>
  <c r="C864" i="3"/>
  <c r="B864" i="3" s="1"/>
  <c r="A866" i="3"/>
  <c r="I864" i="3"/>
  <c r="H864" i="3" s="1"/>
  <c r="L866" i="3" l="1"/>
  <c r="F866" i="3"/>
  <c r="J866" i="3"/>
  <c r="D866" i="3"/>
  <c r="K866" i="3"/>
  <c r="E866" i="3"/>
  <c r="I865" i="3"/>
  <c r="H865" i="3" s="1"/>
  <c r="C865" i="3"/>
  <c r="B865" i="3" s="1"/>
  <c r="A867" i="3"/>
  <c r="L867" i="3" l="1"/>
  <c r="F867" i="3"/>
  <c r="D867" i="3"/>
  <c r="J867" i="3"/>
  <c r="E867" i="3"/>
  <c r="K867" i="3"/>
  <c r="C866" i="3"/>
  <c r="B866" i="3" s="1"/>
  <c r="I866" i="3"/>
  <c r="H866" i="3" s="1"/>
  <c r="A868" i="3"/>
  <c r="L868" i="3" l="1"/>
  <c r="F868" i="3"/>
  <c r="J868" i="3"/>
  <c r="D868" i="3"/>
  <c r="K868" i="3"/>
  <c r="E868" i="3"/>
  <c r="C867" i="3"/>
  <c r="B867" i="3" s="1"/>
  <c r="A869" i="3"/>
  <c r="I867" i="3"/>
  <c r="H867" i="3" s="1"/>
  <c r="L869" i="3" l="1"/>
  <c r="F869" i="3"/>
  <c r="J869" i="3"/>
  <c r="D869" i="3"/>
  <c r="K869" i="3"/>
  <c r="E869" i="3"/>
  <c r="A870" i="3"/>
  <c r="I868" i="3"/>
  <c r="H868" i="3" s="1"/>
  <c r="C868" i="3"/>
  <c r="B868" i="3" s="1"/>
  <c r="L870" i="3" l="1"/>
  <c r="F870" i="3"/>
  <c r="J870" i="3"/>
  <c r="D870" i="3"/>
  <c r="K870" i="3"/>
  <c r="E870" i="3"/>
  <c r="I869" i="3"/>
  <c r="H869" i="3" s="1"/>
  <c r="C869" i="3"/>
  <c r="B869" i="3" s="1"/>
  <c r="A871" i="3"/>
  <c r="L871" i="3" l="1"/>
  <c r="F871" i="3"/>
  <c r="J871" i="3"/>
  <c r="D871" i="3"/>
  <c r="K871" i="3"/>
  <c r="E871" i="3"/>
  <c r="C870" i="3"/>
  <c r="B870" i="3" s="1"/>
  <c r="I870" i="3"/>
  <c r="H870" i="3" s="1"/>
  <c r="A872" i="3"/>
  <c r="L872" i="3" l="1"/>
  <c r="J872" i="3"/>
  <c r="D872" i="3"/>
  <c r="K872" i="3"/>
  <c r="E872" i="3"/>
  <c r="C871" i="3"/>
  <c r="B871" i="3" s="1"/>
  <c r="A873" i="3"/>
  <c r="I871" i="3"/>
  <c r="H871" i="3" s="1"/>
  <c r="F873" i="3" l="1"/>
  <c r="E873" i="3"/>
  <c r="L873" i="3"/>
  <c r="J873" i="3"/>
  <c r="D873" i="3"/>
  <c r="K873" i="3"/>
  <c r="A874" i="3"/>
  <c r="I872" i="3"/>
  <c r="H872" i="3" s="1"/>
  <c r="L874" i="3" l="1"/>
  <c r="F874" i="3"/>
  <c r="J874" i="3"/>
  <c r="D874" i="3"/>
  <c r="K874" i="3"/>
  <c r="E874" i="3"/>
  <c r="C873" i="3"/>
  <c r="B873" i="3" s="1"/>
  <c r="I873" i="3"/>
  <c r="H873" i="3" s="1"/>
  <c r="A875" i="3"/>
  <c r="L875" i="3" l="1"/>
  <c r="F875" i="3"/>
  <c r="J875" i="3"/>
  <c r="D875" i="3"/>
  <c r="K875" i="3"/>
  <c r="E875" i="3"/>
  <c r="I874" i="3"/>
  <c r="H874" i="3" s="1"/>
  <c r="C874" i="3"/>
  <c r="B874" i="3" s="1"/>
  <c r="A876" i="3"/>
  <c r="L876" i="3" l="1"/>
  <c r="F876" i="3"/>
  <c r="J876" i="3"/>
  <c r="D876" i="3"/>
  <c r="K876" i="3"/>
  <c r="E876" i="3"/>
  <c r="I875" i="3"/>
  <c r="H875" i="3" s="1"/>
  <c r="C875" i="3"/>
  <c r="B875" i="3" s="1"/>
  <c r="A877" i="3"/>
  <c r="L877" i="3" l="1"/>
  <c r="F877" i="3"/>
  <c r="J877" i="3"/>
  <c r="D877" i="3"/>
  <c r="K877" i="3"/>
  <c r="E877" i="3"/>
  <c r="C876" i="3"/>
  <c r="B876" i="3" s="1"/>
  <c r="I876" i="3"/>
  <c r="H876" i="3" s="1"/>
  <c r="A878" i="3"/>
  <c r="L878" i="3" l="1"/>
  <c r="F878" i="3"/>
  <c r="J878" i="3"/>
  <c r="D878" i="3"/>
  <c r="K878" i="3"/>
  <c r="E878" i="3"/>
  <c r="C877" i="3"/>
  <c r="B877" i="3" s="1"/>
  <c r="A879" i="3"/>
  <c r="I877" i="3"/>
  <c r="H877" i="3" s="1"/>
  <c r="L879" i="3" l="1"/>
  <c r="F879" i="3"/>
  <c r="J879" i="3"/>
  <c r="D879" i="3"/>
  <c r="K879" i="3"/>
  <c r="E879" i="3"/>
  <c r="I878" i="3"/>
  <c r="H878" i="3" s="1"/>
  <c r="A880" i="3"/>
  <c r="C878" i="3"/>
  <c r="B878" i="3" s="1"/>
  <c r="F880" i="3" l="1"/>
  <c r="L880" i="3"/>
  <c r="J880" i="3"/>
  <c r="D880" i="3"/>
  <c r="K880" i="3"/>
  <c r="E880" i="3"/>
  <c r="C879" i="3"/>
  <c r="B879" i="3" s="1"/>
  <c r="A881" i="3"/>
  <c r="I879" i="3"/>
  <c r="H879" i="3" s="1"/>
  <c r="L881" i="3" l="1"/>
  <c r="F881" i="3"/>
  <c r="D881" i="3"/>
  <c r="J881" i="3"/>
  <c r="E881" i="3"/>
  <c r="K881" i="3"/>
  <c r="I880" i="3"/>
  <c r="H880" i="3" s="1"/>
  <c r="C880" i="3"/>
  <c r="B880" i="3" s="1"/>
  <c r="A882" i="3"/>
  <c r="L882" i="3" l="1"/>
  <c r="F882" i="3"/>
  <c r="J882" i="3"/>
  <c r="D882" i="3"/>
  <c r="K882" i="3"/>
  <c r="E882" i="3"/>
  <c r="I881" i="3"/>
  <c r="H881" i="3" s="1"/>
  <c r="A883" i="3"/>
  <c r="C881" i="3"/>
  <c r="B881" i="3" s="1"/>
  <c r="L883" i="3" l="1"/>
  <c r="F883" i="3"/>
  <c r="J883" i="3"/>
  <c r="D883" i="3"/>
  <c r="K883" i="3"/>
  <c r="E883" i="3"/>
  <c r="I882" i="3"/>
  <c r="H882" i="3" s="1"/>
  <c r="C882" i="3"/>
  <c r="B882" i="3" s="1"/>
  <c r="A884" i="3"/>
  <c r="L884" i="3" l="1"/>
  <c r="F884" i="3"/>
  <c r="J884" i="3"/>
  <c r="D884" i="3"/>
  <c r="K884" i="3"/>
  <c r="E884" i="3"/>
  <c r="C883" i="3"/>
  <c r="B883" i="3" s="1"/>
  <c r="I883" i="3"/>
  <c r="H883" i="3" s="1"/>
  <c r="A885" i="3"/>
  <c r="L885" i="3" l="1"/>
  <c r="F885" i="3"/>
  <c r="J885" i="3"/>
  <c r="D885" i="3"/>
  <c r="K885" i="3"/>
  <c r="E885" i="3"/>
  <c r="C884" i="3"/>
  <c r="B884" i="3" s="1"/>
  <c r="I884" i="3"/>
  <c r="H884" i="3" s="1"/>
  <c r="A886" i="3"/>
  <c r="L886" i="3" l="1"/>
  <c r="F886" i="3"/>
  <c r="J886" i="3"/>
  <c r="D886" i="3"/>
  <c r="K886" i="3"/>
  <c r="E886" i="3"/>
  <c r="I885" i="3"/>
  <c r="H885" i="3" s="1"/>
  <c r="C885" i="3"/>
  <c r="B885" i="3" s="1"/>
  <c r="A887" i="3"/>
  <c r="L887" i="3" l="1"/>
  <c r="F887" i="3"/>
  <c r="J887" i="3"/>
  <c r="D887" i="3"/>
  <c r="K887" i="3"/>
  <c r="E887" i="3"/>
  <c r="C886" i="3"/>
  <c r="B886" i="3" s="1"/>
  <c r="I886" i="3"/>
  <c r="H886" i="3" s="1"/>
  <c r="A888" i="3"/>
  <c r="L888" i="3" l="1"/>
  <c r="F888" i="3"/>
  <c r="J888" i="3"/>
  <c r="D888" i="3"/>
  <c r="K888" i="3"/>
  <c r="E888" i="3"/>
  <c r="I887" i="3"/>
  <c r="H887" i="3" s="1"/>
  <c r="C887" i="3"/>
  <c r="B887" i="3" s="1"/>
  <c r="A889" i="3"/>
  <c r="L889" i="3" l="1"/>
  <c r="F889" i="3"/>
  <c r="J889" i="3"/>
  <c r="D889" i="3"/>
  <c r="K889" i="3"/>
  <c r="E889" i="3"/>
  <c r="I888" i="3"/>
  <c r="H888" i="3" s="1"/>
  <c r="C888" i="3"/>
  <c r="B888" i="3" s="1"/>
  <c r="A890" i="3"/>
  <c r="L890" i="3" l="1"/>
  <c r="F890" i="3"/>
  <c r="J890" i="3"/>
  <c r="D890" i="3"/>
  <c r="K890" i="3"/>
  <c r="E890" i="3"/>
  <c r="I889" i="3"/>
  <c r="H889" i="3" s="1"/>
  <c r="A891" i="3"/>
  <c r="C889" i="3"/>
  <c r="B889" i="3" s="1"/>
  <c r="L891" i="3" l="1"/>
  <c r="F891" i="3"/>
  <c r="J891" i="3"/>
  <c r="D891" i="3"/>
  <c r="K891" i="3"/>
  <c r="E891" i="3"/>
  <c r="C890" i="3"/>
  <c r="B890" i="3" s="1"/>
  <c r="A892" i="3"/>
  <c r="I890" i="3"/>
  <c r="H890" i="3" s="1"/>
  <c r="F892" i="3" l="1"/>
  <c r="E892" i="3"/>
  <c r="L892" i="3"/>
  <c r="J892" i="3"/>
  <c r="D892" i="3"/>
  <c r="K892" i="3"/>
  <c r="C891" i="3"/>
  <c r="B891" i="3" s="1"/>
  <c r="I891" i="3"/>
  <c r="H891" i="3" s="1"/>
  <c r="A893" i="3"/>
  <c r="L893" i="3" l="1"/>
  <c r="F893" i="3"/>
  <c r="J893" i="3"/>
  <c r="D893" i="3"/>
  <c r="K893" i="3"/>
  <c r="E893" i="3"/>
  <c r="C892" i="3"/>
  <c r="B892" i="3" s="1"/>
  <c r="I892" i="3"/>
  <c r="H892" i="3" s="1"/>
  <c r="A894" i="3"/>
  <c r="L894" i="3" l="1"/>
  <c r="J894" i="3"/>
  <c r="D894" i="3"/>
  <c r="K894" i="3"/>
  <c r="E894" i="3"/>
  <c r="C893" i="3"/>
  <c r="B893" i="3" s="1"/>
  <c r="I893" i="3"/>
  <c r="H893" i="3" s="1"/>
  <c r="A895" i="3"/>
  <c r="L895" i="3" l="1"/>
  <c r="F895" i="3"/>
  <c r="J895" i="3"/>
  <c r="D895" i="3"/>
  <c r="K895" i="3"/>
  <c r="E895" i="3"/>
  <c r="A896" i="3"/>
  <c r="I894" i="3"/>
  <c r="H894" i="3" s="1"/>
  <c r="L896" i="3" l="1"/>
  <c r="F896" i="3"/>
  <c r="J896" i="3"/>
  <c r="D896" i="3"/>
  <c r="K896" i="3"/>
  <c r="E896" i="3"/>
  <c r="A897" i="3"/>
  <c r="C895" i="3"/>
  <c r="B895" i="3" s="1"/>
  <c r="I895" i="3"/>
  <c r="H895" i="3" s="1"/>
  <c r="L897" i="3" l="1"/>
  <c r="F897" i="3"/>
  <c r="J897" i="3"/>
  <c r="D897" i="3"/>
  <c r="K897" i="3"/>
  <c r="E897" i="3"/>
  <c r="C896" i="3"/>
  <c r="B896" i="3" s="1"/>
  <c r="A898" i="3"/>
  <c r="I896" i="3"/>
  <c r="H896" i="3" s="1"/>
  <c r="L898" i="3" l="1"/>
  <c r="F898" i="3"/>
  <c r="J898" i="3"/>
  <c r="D898" i="3"/>
  <c r="K898" i="3"/>
  <c r="E898" i="3"/>
  <c r="C897" i="3"/>
  <c r="B897" i="3" s="1"/>
  <c r="I897" i="3"/>
  <c r="H897" i="3" s="1"/>
  <c r="A899" i="3"/>
  <c r="F899" i="3" l="1"/>
  <c r="L899" i="3"/>
  <c r="J899" i="3"/>
  <c r="D899" i="3"/>
  <c r="K899" i="3"/>
  <c r="E899" i="3"/>
  <c r="I898" i="3"/>
  <c r="H898" i="3" s="1"/>
  <c r="C898" i="3"/>
  <c r="B898" i="3" s="1"/>
  <c r="A900" i="3"/>
  <c r="L900" i="3" l="1"/>
  <c r="F900" i="3"/>
  <c r="J900" i="3"/>
  <c r="D900" i="3"/>
  <c r="K900" i="3"/>
  <c r="E900" i="3"/>
  <c r="I899" i="3"/>
  <c r="H899" i="3" s="1"/>
  <c r="C899" i="3"/>
  <c r="B899" i="3" s="1"/>
  <c r="A901" i="3"/>
  <c r="L901" i="3" l="1"/>
  <c r="F901" i="3"/>
  <c r="D901" i="3"/>
  <c r="J901" i="3"/>
  <c r="E901" i="3"/>
  <c r="K901" i="3"/>
  <c r="I900" i="3"/>
  <c r="H900" i="3" s="1"/>
  <c r="C900" i="3"/>
  <c r="B900" i="3" s="1"/>
  <c r="A902" i="3"/>
  <c r="L902" i="3" l="1"/>
  <c r="F902" i="3"/>
  <c r="J902" i="3"/>
  <c r="D902" i="3"/>
  <c r="K902" i="3"/>
  <c r="E902" i="3"/>
  <c r="I901" i="3"/>
  <c r="H901" i="3" s="1"/>
  <c r="C901" i="3"/>
  <c r="B901" i="3" s="1"/>
  <c r="A903" i="3"/>
  <c r="L903" i="3" l="1"/>
  <c r="F903" i="3"/>
  <c r="J903" i="3"/>
  <c r="D903" i="3"/>
  <c r="K903" i="3"/>
  <c r="E903" i="3"/>
  <c r="C902" i="3"/>
  <c r="B902" i="3" s="1"/>
  <c r="I902" i="3"/>
  <c r="H902" i="3" s="1"/>
  <c r="A904" i="3"/>
  <c r="L904" i="3" l="1"/>
  <c r="F904" i="3"/>
  <c r="J904" i="3"/>
  <c r="D904" i="3"/>
  <c r="K904" i="3"/>
  <c r="E904" i="3"/>
  <c r="I903" i="3"/>
  <c r="H903" i="3" s="1"/>
  <c r="A905" i="3"/>
  <c r="C903" i="3"/>
  <c r="B903" i="3" s="1"/>
  <c r="L905" i="3" l="1"/>
  <c r="F905" i="3"/>
  <c r="J905" i="3"/>
  <c r="D905" i="3"/>
  <c r="K905" i="3"/>
  <c r="E905" i="3"/>
  <c r="C904" i="3"/>
  <c r="B904" i="3" s="1"/>
  <c r="A906" i="3"/>
  <c r="I904" i="3"/>
  <c r="H904" i="3" s="1"/>
  <c r="L906" i="3" l="1"/>
  <c r="F906" i="3"/>
  <c r="J906" i="3"/>
  <c r="D906" i="3"/>
  <c r="K906" i="3"/>
  <c r="E906" i="3"/>
  <c r="C905" i="3"/>
  <c r="B905" i="3" s="1"/>
  <c r="A907" i="3"/>
  <c r="I905" i="3"/>
  <c r="H905" i="3" s="1"/>
  <c r="L907" i="3" l="1"/>
  <c r="F907" i="3"/>
  <c r="J907" i="3"/>
  <c r="D907" i="3"/>
  <c r="K907" i="3"/>
  <c r="E907" i="3"/>
  <c r="I906" i="3"/>
  <c r="H906" i="3" s="1"/>
  <c r="A908" i="3"/>
  <c r="C906" i="3"/>
  <c r="B906" i="3" s="1"/>
  <c r="L908" i="3" l="1"/>
  <c r="F908" i="3"/>
  <c r="J908" i="3"/>
  <c r="D908" i="3"/>
  <c r="K908" i="3"/>
  <c r="E908" i="3"/>
  <c r="I907" i="3"/>
  <c r="H907" i="3" s="1"/>
  <c r="A909" i="3"/>
  <c r="C907" i="3"/>
  <c r="B907" i="3" s="1"/>
  <c r="L909" i="3" l="1"/>
  <c r="F909" i="3"/>
  <c r="J909" i="3"/>
  <c r="D909" i="3"/>
  <c r="K909" i="3"/>
  <c r="E909" i="3"/>
  <c r="I908" i="3"/>
  <c r="H908" i="3" s="1"/>
  <c r="C908" i="3"/>
  <c r="B908" i="3" s="1"/>
  <c r="A910" i="3"/>
  <c r="L910" i="3" l="1"/>
  <c r="F910" i="3"/>
  <c r="J910" i="3"/>
  <c r="D910" i="3"/>
  <c r="K910" i="3"/>
  <c r="E910" i="3"/>
  <c r="I909" i="3"/>
  <c r="H909" i="3" s="1"/>
  <c r="C909" i="3"/>
  <c r="B909" i="3" s="1"/>
  <c r="A911" i="3"/>
  <c r="L911" i="3" l="1"/>
  <c r="F911" i="3"/>
  <c r="D911" i="3"/>
  <c r="J911" i="3"/>
  <c r="E911" i="3"/>
  <c r="K911" i="3"/>
  <c r="C910" i="3"/>
  <c r="B910" i="3" s="1"/>
  <c r="I910" i="3"/>
  <c r="H910" i="3" s="1"/>
  <c r="A912" i="3"/>
  <c r="L912" i="3" l="1"/>
  <c r="F912" i="3"/>
  <c r="J912" i="3"/>
  <c r="D912" i="3"/>
  <c r="K912" i="3"/>
  <c r="E912" i="3"/>
  <c r="C911" i="3"/>
  <c r="B911" i="3" s="1"/>
  <c r="A913" i="3"/>
  <c r="I911" i="3"/>
  <c r="H911" i="3" s="1"/>
  <c r="L913" i="3" l="1"/>
  <c r="J913" i="3"/>
  <c r="D913" i="3"/>
  <c r="K913" i="3"/>
  <c r="E913" i="3"/>
  <c r="C912" i="3"/>
  <c r="B912" i="3" s="1"/>
  <c r="A914" i="3"/>
  <c r="I912" i="3"/>
  <c r="H912" i="3" s="1"/>
  <c r="L914" i="3" l="1"/>
  <c r="F914" i="3"/>
  <c r="J914" i="3"/>
  <c r="D914" i="3"/>
  <c r="K914" i="3"/>
  <c r="E914" i="3"/>
  <c r="A915" i="3"/>
  <c r="I913" i="3"/>
  <c r="H913" i="3" s="1"/>
  <c r="F915" i="3" l="1"/>
  <c r="E915" i="3"/>
  <c r="L915" i="3"/>
  <c r="J915" i="3"/>
  <c r="D915" i="3"/>
  <c r="K915" i="3"/>
  <c r="C914" i="3"/>
  <c r="B914" i="3" s="1"/>
  <c r="I914" i="3"/>
  <c r="H914" i="3" s="1"/>
  <c r="A916" i="3"/>
  <c r="L916" i="3" l="1"/>
  <c r="F916" i="3"/>
  <c r="J916" i="3"/>
  <c r="D916" i="3"/>
  <c r="K916" i="3"/>
  <c r="E916" i="3"/>
  <c r="C915" i="3"/>
  <c r="B915" i="3" s="1"/>
  <c r="A917" i="3"/>
  <c r="I915" i="3"/>
  <c r="H915" i="3" s="1"/>
  <c r="L917" i="3" l="1"/>
  <c r="F917" i="3"/>
  <c r="J917" i="3"/>
  <c r="D917" i="3"/>
  <c r="K917" i="3"/>
  <c r="E917" i="3"/>
  <c r="I916" i="3"/>
  <c r="H916" i="3" s="1"/>
  <c r="C916" i="3"/>
  <c r="B916" i="3" s="1"/>
  <c r="A918" i="3"/>
  <c r="L918" i="3" l="1"/>
  <c r="F918" i="3"/>
  <c r="J918" i="3"/>
  <c r="D918" i="3"/>
  <c r="K918" i="3"/>
  <c r="E918" i="3"/>
  <c r="C917" i="3"/>
  <c r="B917" i="3" s="1"/>
  <c r="I917" i="3"/>
  <c r="H917" i="3" s="1"/>
  <c r="A919" i="3"/>
  <c r="L919" i="3" l="1"/>
  <c r="F919" i="3"/>
  <c r="J919" i="3"/>
  <c r="D919" i="3"/>
  <c r="K919" i="3"/>
  <c r="E919" i="3"/>
  <c r="C918" i="3"/>
  <c r="B918" i="3" s="1"/>
  <c r="A920" i="3"/>
  <c r="I918" i="3"/>
  <c r="H918" i="3" s="1"/>
  <c r="L920" i="3" l="1"/>
  <c r="F920" i="3"/>
  <c r="J920" i="3"/>
  <c r="D920" i="3"/>
  <c r="K920" i="3"/>
  <c r="E920" i="3"/>
  <c r="C919" i="3"/>
  <c r="B919" i="3" s="1"/>
  <c r="I919" i="3"/>
  <c r="H919" i="3" s="1"/>
  <c r="A921" i="3"/>
  <c r="L921" i="3" l="1"/>
  <c r="F921" i="3"/>
  <c r="J921" i="3"/>
  <c r="D921" i="3"/>
  <c r="K921" i="3"/>
  <c r="E921" i="3"/>
  <c r="C920" i="3"/>
  <c r="B920" i="3" s="1"/>
  <c r="I920" i="3"/>
  <c r="H920" i="3" s="1"/>
  <c r="A922" i="3"/>
  <c r="F922" i="3" l="1"/>
  <c r="L922" i="3"/>
  <c r="J922" i="3"/>
  <c r="D922" i="3"/>
  <c r="K922" i="3"/>
  <c r="E922" i="3"/>
  <c r="I921" i="3"/>
  <c r="H921" i="3" s="1"/>
  <c r="A923" i="3"/>
  <c r="C921" i="3"/>
  <c r="B921" i="3" s="1"/>
  <c r="L923" i="3" l="1"/>
  <c r="F923" i="3"/>
  <c r="J923" i="3"/>
  <c r="D923" i="3"/>
  <c r="K923" i="3"/>
  <c r="E923" i="3"/>
  <c r="A924" i="3"/>
  <c r="I922" i="3"/>
  <c r="H922" i="3" s="1"/>
  <c r="C922" i="3"/>
  <c r="B922" i="3" s="1"/>
  <c r="L924" i="3" l="1"/>
  <c r="F924" i="3"/>
  <c r="J924" i="3"/>
  <c r="D924" i="3"/>
  <c r="K924" i="3"/>
  <c r="E924" i="3"/>
  <c r="I923" i="3"/>
  <c r="H923" i="3" s="1"/>
  <c r="C923" i="3"/>
  <c r="B923" i="3" s="1"/>
  <c r="A925" i="3"/>
  <c r="L925" i="3" l="1"/>
  <c r="F925" i="3"/>
  <c r="J925" i="3"/>
  <c r="D925" i="3"/>
  <c r="K925" i="3"/>
  <c r="E925" i="3"/>
  <c r="C924" i="3"/>
  <c r="B924" i="3" s="1"/>
  <c r="A926" i="3"/>
  <c r="I924" i="3"/>
  <c r="H924" i="3" s="1"/>
  <c r="L926" i="3" l="1"/>
  <c r="F926" i="3"/>
  <c r="J926" i="3"/>
  <c r="D926" i="3"/>
  <c r="K926" i="3"/>
  <c r="E926" i="3"/>
  <c r="C925" i="3"/>
  <c r="B925" i="3" s="1"/>
  <c r="I925" i="3"/>
  <c r="H925" i="3" s="1"/>
  <c r="A927" i="3"/>
  <c r="L927" i="3" l="1"/>
  <c r="F927" i="3"/>
  <c r="J927" i="3"/>
  <c r="D927" i="3"/>
  <c r="K927" i="3"/>
  <c r="E927" i="3"/>
  <c r="C926" i="3"/>
  <c r="B926" i="3" s="1"/>
  <c r="A928" i="3"/>
  <c r="I926" i="3"/>
  <c r="H926" i="3" s="1"/>
  <c r="L928" i="3" l="1"/>
  <c r="F928" i="3"/>
  <c r="J928" i="3"/>
  <c r="D928" i="3"/>
  <c r="K928" i="3"/>
  <c r="E928" i="3"/>
  <c r="C927" i="3"/>
  <c r="B927" i="3" s="1"/>
  <c r="A929" i="3"/>
  <c r="I927" i="3"/>
  <c r="H927" i="3" s="1"/>
  <c r="L929" i="3" l="1"/>
  <c r="F929" i="3"/>
  <c r="D929" i="3"/>
  <c r="E929" i="3"/>
  <c r="J929" i="3"/>
  <c r="K929" i="3"/>
  <c r="I928" i="3"/>
  <c r="H928" i="3" s="1"/>
  <c r="C928" i="3"/>
  <c r="B928" i="3" s="1"/>
  <c r="A930" i="3"/>
  <c r="L930" i="3" l="1"/>
  <c r="F930" i="3"/>
  <c r="J930" i="3"/>
  <c r="D930" i="3"/>
  <c r="K930" i="3"/>
  <c r="E930" i="3"/>
  <c r="C929" i="3"/>
  <c r="B929" i="3" s="1"/>
  <c r="I929" i="3"/>
  <c r="H929" i="3" s="1"/>
  <c r="A931" i="3"/>
  <c r="L931" i="3" l="1"/>
  <c r="F931" i="3"/>
  <c r="J931" i="3"/>
  <c r="D931" i="3"/>
  <c r="K931" i="3"/>
  <c r="E931" i="3"/>
  <c r="I930" i="3"/>
  <c r="H930" i="3" s="1"/>
  <c r="C930" i="3"/>
  <c r="B930" i="3" s="1"/>
  <c r="A932" i="3"/>
  <c r="L932" i="3" l="1"/>
  <c r="F932" i="3"/>
  <c r="J932" i="3"/>
  <c r="D932" i="3"/>
  <c r="K932" i="3"/>
  <c r="E932" i="3"/>
  <c r="C931" i="3"/>
  <c r="B931" i="3" s="1"/>
  <c r="A933" i="3"/>
  <c r="I931" i="3"/>
  <c r="H931" i="3" s="1"/>
  <c r="L933" i="3" l="1"/>
  <c r="F933" i="3"/>
  <c r="J933" i="3"/>
  <c r="D933" i="3"/>
  <c r="K933" i="3"/>
  <c r="E933" i="3"/>
  <c r="I932" i="3"/>
  <c r="H932" i="3" s="1"/>
  <c r="C932" i="3"/>
  <c r="B932" i="3" s="1"/>
  <c r="A934" i="3"/>
  <c r="L934" i="3" l="1"/>
  <c r="F934" i="3"/>
  <c r="J934" i="3"/>
  <c r="D934" i="3"/>
  <c r="K934" i="3"/>
  <c r="E934" i="3"/>
  <c r="I933" i="3"/>
  <c r="H933" i="3" s="1"/>
  <c r="C933" i="3"/>
  <c r="B933" i="3" s="1"/>
  <c r="A935" i="3"/>
  <c r="L935" i="3" l="1"/>
  <c r="J935" i="3"/>
  <c r="D935" i="3"/>
  <c r="K935" i="3"/>
  <c r="E935" i="3"/>
  <c r="I934" i="3"/>
  <c r="H934" i="3" s="1"/>
  <c r="C934" i="3"/>
  <c r="B934" i="3" s="1"/>
  <c r="A936" i="3"/>
  <c r="L936" i="3" l="1"/>
  <c r="F936" i="3"/>
  <c r="J936" i="3"/>
  <c r="D936" i="3"/>
  <c r="K936" i="3"/>
  <c r="E936" i="3"/>
  <c r="I935" i="3"/>
  <c r="H935" i="3" s="1"/>
  <c r="A937" i="3"/>
  <c r="F937" i="3" l="1"/>
  <c r="E937" i="3"/>
  <c r="L937" i="3"/>
  <c r="J937" i="3"/>
  <c r="D937" i="3"/>
  <c r="K937" i="3"/>
  <c r="C936" i="3"/>
  <c r="B936" i="3" s="1"/>
  <c r="I936" i="3"/>
  <c r="H936" i="3" s="1"/>
  <c r="A938" i="3"/>
  <c r="L938" i="3" l="1"/>
  <c r="F938" i="3"/>
  <c r="J938" i="3"/>
  <c r="D938" i="3"/>
  <c r="K938" i="3"/>
  <c r="E938" i="3"/>
  <c r="C937" i="3"/>
  <c r="B937" i="3" s="1"/>
  <c r="A939" i="3"/>
  <c r="I937" i="3"/>
  <c r="H937" i="3" s="1"/>
  <c r="L939" i="3" l="1"/>
  <c r="F939" i="3"/>
  <c r="J939" i="3"/>
  <c r="D939" i="3"/>
  <c r="K939" i="3"/>
  <c r="E939" i="3"/>
  <c r="C938" i="3"/>
  <c r="B938" i="3" s="1"/>
  <c r="I938" i="3"/>
  <c r="H938" i="3" s="1"/>
  <c r="A940" i="3"/>
  <c r="L940" i="3" l="1"/>
  <c r="F940" i="3"/>
  <c r="J940" i="3"/>
  <c r="D940" i="3"/>
  <c r="K940" i="3"/>
  <c r="E940" i="3"/>
  <c r="C939" i="3"/>
  <c r="B939" i="3" s="1"/>
  <c r="I939" i="3"/>
  <c r="H939" i="3" s="1"/>
  <c r="A941" i="3"/>
  <c r="L941" i="3" l="1"/>
  <c r="F941" i="3"/>
  <c r="D941" i="3"/>
  <c r="J941" i="3"/>
  <c r="E941" i="3"/>
  <c r="K941" i="3"/>
  <c r="I940" i="3"/>
  <c r="H940" i="3" s="1"/>
  <c r="A942" i="3"/>
  <c r="C940" i="3"/>
  <c r="B940" i="3" s="1"/>
  <c r="L942" i="3" l="1"/>
  <c r="F942" i="3"/>
  <c r="D942" i="3"/>
  <c r="E942" i="3"/>
  <c r="J942" i="3"/>
  <c r="K942" i="3"/>
  <c r="C941" i="3"/>
  <c r="B941" i="3" s="1"/>
  <c r="A943" i="3"/>
  <c r="I941" i="3"/>
  <c r="H941" i="3" s="1"/>
  <c r="L943" i="3" l="1"/>
  <c r="F943" i="3"/>
  <c r="J943" i="3"/>
  <c r="D943" i="3"/>
  <c r="K943" i="3"/>
  <c r="E943" i="3"/>
  <c r="I942" i="3"/>
  <c r="H942" i="3" s="1"/>
  <c r="C942" i="3"/>
  <c r="B942" i="3" s="1"/>
  <c r="A944" i="3"/>
  <c r="F944" i="3" l="1"/>
  <c r="L944" i="3"/>
  <c r="J944" i="3"/>
  <c r="D944" i="3"/>
  <c r="K944" i="3"/>
  <c r="E944" i="3"/>
  <c r="I943" i="3"/>
  <c r="H943" i="3" s="1"/>
  <c r="C943" i="3"/>
  <c r="B943" i="3" s="1"/>
  <c r="A945" i="3"/>
  <c r="L945" i="3" l="1"/>
  <c r="F945" i="3"/>
  <c r="J945" i="3"/>
  <c r="K945" i="3"/>
  <c r="D945" i="3"/>
  <c r="E945" i="3"/>
  <c r="C944" i="3"/>
  <c r="B944" i="3" s="1"/>
  <c r="A946" i="3"/>
  <c r="I944" i="3"/>
  <c r="H944" i="3" s="1"/>
  <c r="L946" i="3" l="1"/>
  <c r="F946" i="3"/>
  <c r="J946" i="3"/>
  <c r="D946" i="3"/>
  <c r="K946" i="3"/>
  <c r="E946" i="3"/>
  <c r="I945" i="3"/>
  <c r="H945" i="3" s="1"/>
  <c r="C945" i="3"/>
  <c r="B945" i="3" s="1"/>
  <c r="A947" i="3"/>
  <c r="L947" i="3" l="1"/>
  <c r="F947" i="3"/>
  <c r="J947" i="3"/>
  <c r="D947" i="3"/>
  <c r="K947" i="3"/>
  <c r="E947" i="3"/>
  <c r="I946" i="3"/>
  <c r="H946" i="3" s="1"/>
  <c r="A948" i="3"/>
  <c r="C946" i="3"/>
  <c r="B946" i="3" s="1"/>
  <c r="L948" i="3" l="1"/>
  <c r="F948" i="3"/>
  <c r="J948" i="3"/>
  <c r="D948" i="3"/>
  <c r="K948" i="3"/>
  <c r="E948" i="3"/>
  <c r="C947" i="3"/>
  <c r="B947" i="3" s="1"/>
  <c r="A949" i="3"/>
  <c r="I947" i="3"/>
  <c r="H947" i="3" s="1"/>
  <c r="L949" i="3" l="1"/>
  <c r="F949" i="3"/>
  <c r="J949" i="3"/>
  <c r="D949" i="3"/>
  <c r="K949" i="3"/>
  <c r="E949" i="3"/>
  <c r="I948" i="3"/>
  <c r="H948" i="3" s="1"/>
  <c r="C948" i="3"/>
  <c r="B948" i="3" s="1"/>
  <c r="A950" i="3"/>
  <c r="L950" i="3" l="1"/>
  <c r="F950" i="3"/>
  <c r="J950" i="3"/>
  <c r="D950" i="3"/>
  <c r="K950" i="3"/>
  <c r="E950" i="3"/>
  <c r="C949" i="3"/>
  <c r="B949" i="3" s="1"/>
  <c r="I949" i="3"/>
  <c r="H949" i="3" s="1"/>
  <c r="A951" i="3"/>
  <c r="L951" i="3" l="1"/>
  <c r="F951" i="3"/>
  <c r="J951" i="3"/>
  <c r="D951" i="3"/>
  <c r="K951" i="3"/>
  <c r="E951" i="3"/>
  <c r="I950" i="3"/>
  <c r="H950" i="3" s="1"/>
  <c r="C950" i="3"/>
  <c r="B950" i="3" s="1"/>
  <c r="A952" i="3"/>
  <c r="L952" i="3" l="1"/>
  <c r="F952" i="3"/>
  <c r="J952" i="3"/>
  <c r="D952" i="3"/>
  <c r="K952" i="3"/>
  <c r="E952" i="3"/>
  <c r="C951" i="3"/>
  <c r="B951" i="3" s="1"/>
  <c r="I951" i="3"/>
  <c r="H951" i="3" s="1"/>
  <c r="A953" i="3"/>
  <c r="L953" i="3" l="1"/>
  <c r="F953" i="3"/>
  <c r="J953" i="3"/>
  <c r="D953" i="3"/>
  <c r="K953" i="3"/>
  <c r="E953" i="3"/>
  <c r="I952" i="3"/>
  <c r="H952" i="3" s="1"/>
  <c r="A954" i="3"/>
  <c r="C952" i="3"/>
  <c r="B952" i="3" s="1"/>
  <c r="L954" i="3" l="1"/>
  <c r="F954" i="3"/>
  <c r="J954" i="3"/>
  <c r="D954" i="3"/>
  <c r="K954" i="3"/>
  <c r="E954" i="3"/>
  <c r="C953" i="3"/>
  <c r="B953" i="3" s="1"/>
  <c r="A955" i="3"/>
  <c r="I953" i="3"/>
  <c r="H953" i="3" s="1"/>
  <c r="L955" i="3" l="1"/>
  <c r="F955" i="3"/>
  <c r="J955" i="3"/>
  <c r="D955" i="3"/>
  <c r="K955" i="3"/>
  <c r="E955" i="3"/>
  <c r="C954" i="3"/>
  <c r="B954" i="3" s="1"/>
  <c r="A956" i="3"/>
  <c r="I954" i="3"/>
  <c r="H954" i="3" s="1"/>
  <c r="L956" i="3" l="1"/>
  <c r="J956" i="3"/>
  <c r="D956" i="3"/>
  <c r="K956" i="3"/>
  <c r="E956" i="3"/>
  <c r="I955" i="3"/>
  <c r="H955" i="3" s="1"/>
  <c r="A957" i="3"/>
  <c r="C955" i="3"/>
  <c r="B955" i="3" s="1"/>
  <c r="L957" i="3" l="1"/>
  <c r="F957" i="3"/>
  <c r="D957" i="3"/>
  <c r="J957" i="3"/>
  <c r="E957" i="3"/>
  <c r="K957" i="3"/>
  <c r="I956" i="3"/>
  <c r="H956" i="3" s="1"/>
  <c r="A958" i="3"/>
  <c r="F958" i="3" l="1"/>
  <c r="E958" i="3"/>
  <c r="L958" i="3"/>
  <c r="J958" i="3"/>
  <c r="D958" i="3"/>
  <c r="K958" i="3"/>
  <c r="I957" i="3"/>
  <c r="H957" i="3" s="1"/>
  <c r="C957" i="3"/>
  <c r="B957" i="3" s="1"/>
  <c r="A959" i="3"/>
  <c r="L959" i="3" l="1"/>
  <c r="F959" i="3"/>
  <c r="J959" i="3"/>
  <c r="D959" i="3"/>
  <c r="K959" i="3"/>
  <c r="E959" i="3"/>
  <c r="C958" i="3"/>
  <c r="B958" i="3" s="1"/>
  <c r="A960" i="3"/>
  <c r="I958" i="3"/>
  <c r="H958" i="3" s="1"/>
  <c r="L960" i="3" l="1"/>
  <c r="F960" i="3"/>
  <c r="J960" i="3"/>
  <c r="D960" i="3"/>
  <c r="K960" i="3"/>
  <c r="E960" i="3"/>
  <c r="A961" i="3"/>
  <c r="C959" i="3"/>
  <c r="B959" i="3" s="1"/>
  <c r="I959" i="3"/>
  <c r="H959" i="3" s="1"/>
  <c r="L961" i="3" l="1"/>
  <c r="F961" i="3"/>
  <c r="J961" i="3"/>
  <c r="D961" i="3"/>
  <c r="K961" i="3"/>
  <c r="E961" i="3"/>
  <c r="C960" i="3"/>
  <c r="B960" i="3" s="1"/>
  <c r="A962" i="3"/>
  <c r="I960" i="3"/>
  <c r="H960" i="3" s="1"/>
  <c r="L962" i="3" l="1"/>
  <c r="F962" i="3"/>
  <c r="J962" i="3"/>
  <c r="D962" i="3"/>
  <c r="K962" i="3"/>
  <c r="E962" i="3"/>
  <c r="C961" i="3"/>
  <c r="B961" i="3" s="1"/>
  <c r="I961" i="3"/>
  <c r="H961" i="3" s="1"/>
  <c r="A963" i="3"/>
  <c r="L963" i="3" l="1"/>
  <c r="F963" i="3"/>
  <c r="J963" i="3"/>
  <c r="D963" i="3"/>
  <c r="K963" i="3"/>
  <c r="E963" i="3"/>
  <c r="I962" i="3"/>
  <c r="H962" i="3" s="1"/>
  <c r="A964" i="3"/>
  <c r="C962" i="3"/>
  <c r="B962" i="3" s="1"/>
  <c r="L964" i="3" l="1"/>
  <c r="F964" i="3"/>
  <c r="J964" i="3"/>
  <c r="D964" i="3"/>
  <c r="K964" i="3"/>
  <c r="E964" i="3"/>
  <c r="A965" i="3"/>
  <c r="C963" i="3"/>
  <c r="B963" i="3" s="1"/>
  <c r="I963" i="3"/>
  <c r="H963" i="3" s="1"/>
  <c r="F965" i="3" l="1"/>
  <c r="L965" i="3"/>
  <c r="J965" i="3"/>
  <c r="D965" i="3"/>
  <c r="K965" i="3"/>
  <c r="E965" i="3"/>
  <c r="C964" i="3"/>
  <c r="B964" i="3" s="1"/>
  <c r="I964" i="3"/>
  <c r="H964" i="3" s="1"/>
  <c r="A966" i="3"/>
  <c r="L966" i="3" l="1"/>
  <c r="F966" i="3"/>
  <c r="J966" i="3"/>
  <c r="D966" i="3"/>
  <c r="K966" i="3"/>
  <c r="E966" i="3"/>
  <c r="I965" i="3"/>
  <c r="H965" i="3" s="1"/>
  <c r="A967" i="3"/>
  <c r="C965" i="3"/>
  <c r="B965" i="3" s="1"/>
  <c r="L967" i="3" l="1"/>
  <c r="F967" i="3"/>
  <c r="J967" i="3"/>
  <c r="D967" i="3"/>
  <c r="K967" i="3"/>
  <c r="E967" i="3"/>
  <c r="I966" i="3"/>
  <c r="H966" i="3" s="1"/>
  <c r="A968" i="3"/>
  <c r="C966" i="3"/>
  <c r="B966" i="3" s="1"/>
  <c r="L968" i="3" l="1"/>
  <c r="F968" i="3"/>
  <c r="J968" i="3"/>
  <c r="D968" i="3"/>
  <c r="K968" i="3"/>
  <c r="E968" i="3"/>
  <c r="C967" i="3"/>
  <c r="B967" i="3" s="1"/>
  <c r="A969" i="3"/>
  <c r="I967" i="3"/>
  <c r="H967" i="3" s="1"/>
  <c r="L969" i="3" l="1"/>
  <c r="F969" i="3"/>
  <c r="J969" i="3"/>
  <c r="D969" i="3"/>
  <c r="K969" i="3"/>
  <c r="E969" i="3"/>
  <c r="I968" i="3"/>
  <c r="H968" i="3" s="1"/>
  <c r="A970" i="3"/>
  <c r="C968" i="3"/>
  <c r="B968" i="3" s="1"/>
  <c r="L970" i="3" l="1"/>
  <c r="F970" i="3"/>
  <c r="J970" i="3"/>
  <c r="D970" i="3"/>
  <c r="K970" i="3"/>
  <c r="E970" i="3"/>
  <c r="C969" i="3"/>
  <c r="B969" i="3" s="1"/>
  <c r="A971" i="3"/>
  <c r="I969" i="3"/>
  <c r="H969" i="3" s="1"/>
  <c r="L971" i="3" l="1"/>
  <c r="F971" i="3"/>
  <c r="J971" i="3"/>
  <c r="D971" i="3"/>
  <c r="K971" i="3"/>
  <c r="E971" i="3"/>
  <c r="C970" i="3"/>
  <c r="B970" i="3" s="1"/>
  <c r="A972" i="3"/>
  <c r="I970" i="3"/>
  <c r="H970" i="3" s="1"/>
  <c r="L972" i="3" l="1"/>
  <c r="F972" i="3"/>
  <c r="D972" i="3"/>
  <c r="J972" i="3"/>
  <c r="E972" i="3"/>
  <c r="K972" i="3"/>
  <c r="C971" i="3"/>
  <c r="B971" i="3" s="1"/>
  <c r="I971" i="3"/>
  <c r="H971" i="3" s="1"/>
  <c r="A973" i="3"/>
  <c r="L973" i="3" l="1"/>
  <c r="F973" i="3"/>
  <c r="D973" i="3"/>
  <c r="J973" i="3"/>
  <c r="E973" i="3"/>
  <c r="K973" i="3"/>
  <c r="I972" i="3"/>
  <c r="H972" i="3" s="1"/>
  <c r="C972" i="3"/>
  <c r="B972" i="3" s="1"/>
  <c r="A974" i="3"/>
  <c r="L974" i="3" l="1"/>
  <c r="F974" i="3"/>
  <c r="J974" i="3"/>
  <c r="D974" i="3"/>
  <c r="K974" i="3"/>
  <c r="E974" i="3"/>
  <c r="I973" i="3"/>
  <c r="H973" i="3" s="1"/>
  <c r="C973" i="3"/>
  <c r="B973" i="3" s="1"/>
  <c r="A975" i="3"/>
  <c r="I974" i="3" l="1"/>
  <c r="H974" i="3" s="1"/>
  <c r="L975" i="3"/>
  <c r="F975" i="3"/>
  <c r="J975" i="3"/>
  <c r="D975" i="3"/>
  <c r="K975" i="3"/>
  <c r="E975" i="3"/>
  <c r="C974" i="3"/>
  <c r="B974" i="3" s="1"/>
  <c r="A976" i="3"/>
  <c r="L976" i="3" l="1"/>
  <c r="F976" i="3"/>
  <c r="J976" i="3"/>
  <c r="D976" i="3"/>
  <c r="K976" i="3"/>
  <c r="E976" i="3"/>
  <c r="C975" i="3"/>
  <c r="B975" i="3" s="1"/>
  <c r="I975" i="3"/>
  <c r="H975" i="3" s="1"/>
  <c r="A977" i="3"/>
  <c r="L977" i="3" l="1"/>
  <c r="J977" i="3"/>
  <c r="D977" i="3"/>
  <c r="K977" i="3"/>
  <c r="E977" i="3"/>
  <c r="C976" i="3"/>
  <c r="B976" i="3" s="1"/>
  <c r="A978" i="3"/>
  <c r="I976" i="3"/>
  <c r="H976" i="3" s="1"/>
  <c r="L978" i="3" l="1"/>
  <c r="F978" i="3"/>
  <c r="J978" i="3"/>
  <c r="D978" i="3"/>
  <c r="K978" i="3"/>
  <c r="E978" i="3"/>
  <c r="A979" i="3"/>
  <c r="I977" i="3"/>
  <c r="H977" i="3" s="1"/>
  <c r="L979" i="3" l="1"/>
  <c r="F979" i="3"/>
  <c r="J979" i="3"/>
  <c r="D979" i="3"/>
  <c r="K979" i="3"/>
  <c r="E979" i="3"/>
  <c r="I978" i="3"/>
  <c r="H978" i="3" s="1"/>
  <c r="C978" i="3"/>
  <c r="B978" i="3" s="1"/>
  <c r="A980" i="3"/>
  <c r="L980" i="3" l="1"/>
  <c r="F980" i="3"/>
  <c r="J980" i="3"/>
  <c r="D980" i="3"/>
  <c r="K980" i="3"/>
  <c r="E980" i="3"/>
  <c r="I979" i="3"/>
  <c r="H979" i="3" s="1"/>
  <c r="C979" i="3"/>
  <c r="B979" i="3" s="1"/>
  <c r="A981" i="3"/>
  <c r="F981" i="3" l="1"/>
  <c r="E981" i="3"/>
  <c r="L981" i="3"/>
  <c r="J981" i="3"/>
  <c r="D981" i="3"/>
  <c r="K981" i="3"/>
  <c r="C980" i="3"/>
  <c r="B980" i="3" s="1"/>
  <c r="A982" i="3"/>
  <c r="I980" i="3"/>
  <c r="H980" i="3" s="1"/>
  <c r="L982" i="3" l="1"/>
  <c r="F982" i="3"/>
  <c r="J982" i="3"/>
  <c r="D982" i="3"/>
  <c r="K982" i="3"/>
  <c r="E982" i="3"/>
  <c r="C981" i="3"/>
  <c r="B981" i="3" s="1"/>
  <c r="A983" i="3"/>
  <c r="I981" i="3"/>
  <c r="H981" i="3" s="1"/>
  <c r="L983" i="3" l="1"/>
  <c r="F983" i="3"/>
  <c r="J983" i="3"/>
  <c r="D983" i="3"/>
  <c r="K983" i="3"/>
  <c r="E983" i="3"/>
  <c r="I982" i="3"/>
  <c r="H982" i="3" s="1"/>
  <c r="A984" i="3"/>
  <c r="C982" i="3"/>
  <c r="B982" i="3" s="1"/>
  <c r="L984" i="3" l="1"/>
  <c r="F984" i="3"/>
  <c r="J984" i="3"/>
  <c r="D984" i="3"/>
  <c r="K984" i="3"/>
  <c r="E984" i="3"/>
  <c r="I983" i="3"/>
  <c r="H983" i="3" s="1"/>
  <c r="A985" i="3"/>
  <c r="C983" i="3"/>
  <c r="B983" i="3" s="1"/>
  <c r="L985" i="3" l="1"/>
  <c r="F985" i="3"/>
  <c r="J985" i="3"/>
  <c r="D985" i="3"/>
  <c r="K985" i="3"/>
  <c r="E985" i="3"/>
  <c r="I984" i="3"/>
  <c r="H984" i="3" s="1"/>
  <c r="C984" i="3"/>
  <c r="B984" i="3" s="1"/>
  <c r="A986" i="3"/>
  <c r="L986" i="3" l="1"/>
  <c r="F986" i="3"/>
  <c r="J986" i="3"/>
  <c r="D986" i="3"/>
  <c r="K986" i="3"/>
  <c r="E986" i="3"/>
  <c r="I985" i="3"/>
  <c r="H985" i="3" s="1"/>
  <c r="C985" i="3"/>
  <c r="B985" i="3" s="1"/>
  <c r="A987" i="3"/>
  <c r="L987" i="3" l="1"/>
  <c r="F987" i="3"/>
  <c r="J987" i="3"/>
  <c r="D987" i="3"/>
  <c r="K987" i="3"/>
  <c r="E987" i="3"/>
  <c r="I986" i="3"/>
  <c r="H986" i="3" s="1"/>
  <c r="C986" i="3"/>
  <c r="B986" i="3" s="1"/>
  <c r="A988" i="3"/>
  <c r="F988" i="3" l="1"/>
  <c r="L988" i="3"/>
  <c r="J988" i="3"/>
  <c r="D988" i="3"/>
  <c r="K988" i="3"/>
  <c r="E988" i="3"/>
  <c r="I987" i="3"/>
  <c r="H987" i="3" s="1"/>
  <c r="A989" i="3"/>
  <c r="C987" i="3"/>
  <c r="B987" i="3" s="1"/>
  <c r="L989" i="3" l="1"/>
  <c r="F989" i="3"/>
  <c r="D989" i="3"/>
  <c r="E989" i="3"/>
  <c r="J989" i="3"/>
  <c r="K989" i="3"/>
  <c r="C988" i="3"/>
  <c r="B988" i="3" s="1"/>
  <c r="A990" i="3"/>
  <c r="I988" i="3"/>
  <c r="H988" i="3" s="1"/>
  <c r="L990" i="3" l="1"/>
  <c r="F990" i="3"/>
  <c r="J990" i="3"/>
  <c r="D990" i="3"/>
  <c r="K990" i="3"/>
  <c r="E990" i="3"/>
  <c r="I989" i="3"/>
  <c r="H989" i="3" s="1"/>
  <c r="C989" i="3"/>
  <c r="B989" i="3" s="1"/>
  <c r="A991" i="3"/>
  <c r="L991" i="3" l="1"/>
  <c r="F991" i="3"/>
  <c r="J991" i="3"/>
  <c r="D991" i="3"/>
  <c r="K991" i="3"/>
  <c r="E991" i="3"/>
  <c r="C990" i="3"/>
  <c r="B990" i="3" s="1"/>
  <c r="I990" i="3"/>
  <c r="H990" i="3" s="1"/>
  <c r="A992" i="3"/>
  <c r="L992" i="3" l="1"/>
  <c r="F992" i="3"/>
  <c r="J992" i="3"/>
  <c r="D992" i="3"/>
  <c r="K992" i="3"/>
  <c r="E992" i="3"/>
  <c r="I991" i="3"/>
  <c r="H991" i="3" s="1"/>
  <c r="A993" i="3"/>
  <c r="C991" i="3"/>
  <c r="B991" i="3" s="1"/>
  <c r="L993" i="3" l="1"/>
  <c r="F993" i="3"/>
  <c r="J993" i="3"/>
  <c r="D993" i="3"/>
  <c r="K993" i="3"/>
  <c r="E993" i="3"/>
  <c r="I992" i="3"/>
  <c r="H992" i="3" s="1"/>
  <c r="C992" i="3"/>
  <c r="B992" i="3" s="1"/>
  <c r="A994" i="3"/>
  <c r="L994" i="3" l="1"/>
  <c r="F994" i="3"/>
  <c r="J994" i="3"/>
  <c r="D994" i="3"/>
  <c r="K994" i="3"/>
  <c r="E994" i="3"/>
  <c r="I993" i="3"/>
  <c r="H993" i="3" s="1"/>
  <c r="A995" i="3"/>
  <c r="C993" i="3"/>
  <c r="B993" i="3" s="1"/>
  <c r="L995" i="3" l="1"/>
  <c r="F995" i="3"/>
  <c r="J995" i="3"/>
  <c r="D995" i="3"/>
  <c r="K995" i="3"/>
  <c r="E995" i="3"/>
  <c r="A996" i="3"/>
  <c r="C994" i="3"/>
  <c r="B994" i="3" s="1"/>
  <c r="I994" i="3"/>
  <c r="H994" i="3" s="1"/>
  <c r="L996" i="3" l="1"/>
  <c r="F996" i="3"/>
  <c r="J996" i="3"/>
  <c r="D996" i="3"/>
  <c r="K996" i="3"/>
  <c r="E996" i="3"/>
  <c r="C995" i="3"/>
  <c r="B995" i="3" s="1"/>
  <c r="I995" i="3"/>
  <c r="H995" i="3" s="1"/>
  <c r="A997" i="3"/>
  <c r="L997" i="3" l="1"/>
  <c r="F997" i="3"/>
  <c r="J997" i="3"/>
  <c r="D997" i="3"/>
  <c r="K997" i="3"/>
  <c r="E997" i="3"/>
  <c r="C996" i="3"/>
  <c r="B996" i="3" s="1"/>
  <c r="A998" i="3"/>
  <c r="I996" i="3"/>
  <c r="H996" i="3" s="1"/>
  <c r="L998" i="3" l="1"/>
  <c r="F998" i="3"/>
  <c r="J998" i="3"/>
  <c r="D998" i="3"/>
  <c r="K998" i="3"/>
  <c r="E998" i="3"/>
  <c r="C997" i="3"/>
  <c r="B997" i="3" s="1"/>
  <c r="A999" i="3"/>
  <c r="I997" i="3"/>
  <c r="H997" i="3" s="1"/>
  <c r="L999" i="3" l="1"/>
  <c r="F999" i="3"/>
  <c r="J999" i="3"/>
  <c r="D999" i="3"/>
  <c r="K999" i="3"/>
  <c r="E999" i="3"/>
  <c r="C998" i="3"/>
  <c r="B998" i="3" s="1"/>
  <c r="A1000" i="3"/>
  <c r="I998" i="3"/>
  <c r="H998" i="3" s="1"/>
  <c r="L1000" i="3" l="1"/>
  <c r="D1000" i="3"/>
  <c r="E1000" i="3"/>
  <c r="J1000" i="3"/>
  <c r="K1000" i="3"/>
  <c r="I999" i="3"/>
  <c r="H999" i="3" s="1"/>
  <c r="C999" i="3"/>
  <c r="B999" i="3" s="1"/>
  <c r="A1001" i="3"/>
  <c r="F1001" i="3" l="1"/>
  <c r="E1001" i="3"/>
  <c r="L1001" i="3"/>
  <c r="J1001" i="3"/>
  <c r="D1001" i="3"/>
  <c r="K1001" i="3"/>
  <c r="I1000" i="3"/>
  <c r="H1000" i="3" s="1"/>
  <c r="A1002" i="3"/>
  <c r="L1002" i="3" l="1"/>
  <c r="F1002" i="3"/>
  <c r="J1002" i="3"/>
  <c r="D1002" i="3"/>
  <c r="K1002" i="3"/>
  <c r="E1002" i="3"/>
  <c r="I1001" i="3"/>
  <c r="H1001" i="3" s="1"/>
  <c r="A1003" i="3"/>
  <c r="C1001" i="3"/>
  <c r="B1001" i="3" s="1"/>
  <c r="L1003" i="3" l="1"/>
  <c r="F1003" i="3"/>
  <c r="J1003" i="3"/>
  <c r="D1003" i="3"/>
  <c r="K1003" i="3"/>
  <c r="E1003" i="3"/>
  <c r="C1002" i="3"/>
  <c r="B1002" i="3" s="1"/>
  <c r="I1002" i="3"/>
  <c r="H1002" i="3" s="1"/>
  <c r="A1004" i="3"/>
  <c r="L1004" i="3" l="1"/>
  <c r="F1004" i="3"/>
  <c r="J1004" i="3"/>
  <c r="D1004" i="3"/>
  <c r="K1004" i="3"/>
  <c r="E1004" i="3"/>
  <c r="A1005" i="3"/>
  <c r="C1003" i="3"/>
  <c r="B1003" i="3" s="1"/>
  <c r="I1003" i="3"/>
  <c r="H1003" i="3" s="1"/>
  <c r="L1005" i="3" l="1"/>
  <c r="F1005" i="3"/>
  <c r="J1005" i="3"/>
  <c r="D1005" i="3"/>
  <c r="K1005" i="3"/>
  <c r="E1005" i="3"/>
  <c r="C1004" i="3"/>
  <c r="B1004" i="3" s="1"/>
  <c r="A1006" i="3"/>
  <c r="I1004" i="3"/>
  <c r="H1004" i="3" s="1"/>
  <c r="L1006" i="3" l="1"/>
  <c r="F1006" i="3"/>
  <c r="D1006" i="3"/>
  <c r="J1006" i="3"/>
  <c r="E1006" i="3"/>
  <c r="K1006" i="3"/>
  <c r="I1005" i="3"/>
  <c r="H1005" i="3" s="1"/>
  <c r="C1005" i="3"/>
  <c r="B1005" i="3" s="1"/>
  <c r="A1007" i="3"/>
  <c r="L1007" i="3" l="1"/>
  <c r="F1007" i="3"/>
  <c r="J1007" i="3"/>
  <c r="D1007" i="3"/>
  <c r="K1007" i="3"/>
  <c r="E1007" i="3"/>
  <c r="C1006" i="3"/>
  <c r="B1006" i="3" s="1"/>
  <c r="I1006" i="3"/>
  <c r="H1006" i="3" s="1"/>
  <c r="A1008" i="3"/>
  <c r="F1008" i="3" l="1"/>
  <c r="L1008" i="3"/>
  <c r="J1008" i="3"/>
  <c r="D1008" i="3"/>
  <c r="K1008" i="3"/>
  <c r="E1008" i="3"/>
  <c r="I1007" i="3"/>
  <c r="H1007" i="3" s="1"/>
  <c r="C1007" i="3"/>
  <c r="B1007" i="3" s="1"/>
  <c r="A1009" i="3"/>
  <c r="L1009" i="3" l="1"/>
  <c r="F1009" i="3"/>
  <c r="J1009" i="3"/>
  <c r="D1009" i="3"/>
  <c r="K1009" i="3"/>
  <c r="E1009" i="3"/>
  <c r="I1008" i="3"/>
  <c r="H1008" i="3" s="1"/>
  <c r="C1008" i="3"/>
  <c r="B1008" i="3" s="1"/>
  <c r="A1010" i="3"/>
  <c r="L1010" i="3" l="1"/>
  <c r="F1010" i="3"/>
  <c r="J1010" i="3"/>
  <c r="D1010" i="3"/>
  <c r="K1010" i="3"/>
  <c r="E1010" i="3"/>
  <c r="C1009" i="3"/>
  <c r="B1009" i="3" s="1"/>
  <c r="I1009" i="3"/>
  <c r="H1009" i="3" s="1"/>
  <c r="A1011" i="3"/>
  <c r="L1011" i="3" l="1"/>
  <c r="F1011" i="3"/>
  <c r="J1011" i="3"/>
  <c r="K1011" i="3"/>
  <c r="D1011" i="3"/>
  <c r="E1011" i="3"/>
  <c r="I1010" i="3"/>
  <c r="H1010" i="3" s="1"/>
  <c r="C1010" i="3"/>
  <c r="B1010" i="3" s="1"/>
  <c r="A1012" i="3"/>
  <c r="L1012" i="3" l="1"/>
  <c r="F1012" i="3"/>
  <c r="J1012" i="3"/>
  <c r="D1012" i="3"/>
  <c r="K1012" i="3"/>
  <c r="E1012" i="3"/>
  <c r="C1011" i="3"/>
  <c r="B1011" i="3" s="1"/>
  <c r="A1013" i="3"/>
  <c r="I1011" i="3"/>
  <c r="H1011" i="3" s="1"/>
  <c r="L1013" i="3" l="1"/>
  <c r="F1013" i="3"/>
  <c r="J1013" i="3"/>
  <c r="D1013" i="3"/>
  <c r="K1013" i="3"/>
  <c r="E1013" i="3"/>
  <c r="C1012" i="3"/>
  <c r="B1012" i="3" s="1"/>
  <c r="A1014" i="3"/>
  <c r="I1012" i="3"/>
  <c r="H1012" i="3" s="1"/>
  <c r="L1014" i="3" l="1"/>
  <c r="F1014" i="3"/>
  <c r="J1014" i="3"/>
  <c r="D1014" i="3"/>
  <c r="K1014" i="3"/>
  <c r="E1014" i="3"/>
  <c r="C1013" i="3"/>
  <c r="B1013" i="3" s="1"/>
  <c r="I1013" i="3"/>
  <c r="H1013" i="3" s="1"/>
  <c r="A1015" i="3"/>
  <c r="L1015" i="3" l="1"/>
  <c r="F1015" i="3"/>
  <c r="J1015" i="3"/>
  <c r="D1015" i="3"/>
  <c r="K1015" i="3"/>
  <c r="E1015" i="3"/>
  <c r="A1016" i="3"/>
  <c r="C1014" i="3"/>
  <c r="B1014" i="3" s="1"/>
  <c r="I1014" i="3"/>
  <c r="H1014" i="3" s="1"/>
  <c r="L1016" i="3" l="1"/>
  <c r="F1016" i="3"/>
  <c r="J1016" i="3"/>
  <c r="D1016" i="3"/>
  <c r="K1016" i="3"/>
  <c r="E1016" i="3"/>
  <c r="C1015" i="3"/>
  <c r="B1015" i="3" s="1"/>
  <c r="I1015" i="3"/>
  <c r="H1015" i="3" s="1"/>
  <c r="A1017" i="3"/>
  <c r="L1017" i="3" l="1"/>
  <c r="F1017" i="3"/>
  <c r="J1017" i="3"/>
  <c r="D1017" i="3"/>
  <c r="K1017" i="3"/>
  <c r="E1017" i="3"/>
  <c r="C1016" i="3"/>
  <c r="B1016" i="3" s="1"/>
  <c r="I1016" i="3"/>
  <c r="H1016" i="3" s="1"/>
  <c r="A1018" i="3"/>
  <c r="L1018" i="3" l="1"/>
  <c r="F1018" i="3"/>
  <c r="J1018" i="3"/>
  <c r="D1018" i="3"/>
  <c r="K1018" i="3"/>
  <c r="E1018" i="3"/>
  <c r="C1017" i="3"/>
  <c r="B1017" i="3" s="1"/>
  <c r="I1017" i="3"/>
  <c r="H1017" i="3" s="1"/>
  <c r="A1019" i="3"/>
  <c r="L1019" i="3" l="1"/>
  <c r="F1019" i="3"/>
  <c r="J1019" i="3"/>
  <c r="D1019" i="3"/>
  <c r="K1019" i="3"/>
  <c r="E1019" i="3"/>
  <c r="I1018" i="3"/>
  <c r="H1018" i="3" s="1"/>
  <c r="A1020" i="3"/>
  <c r="C1018" i="3"/>
  <c r="B1018" i="3" s="1"/>
  <c r="L1020" i="3" l="1"/>
  <c r="F1020" i="3"/>
  <c r="D1020" i="3"/>
  <c r="E1020" i="3"/>
  <c r="J1020" i="3"/>
  <c r="K1020" i="3"/>
  <c r="C1019" i="3"/>
  <c r="B1019" i="3" s="1"/>
  <c r="A1021" i="3"/>
  <c r="I1019" i="3"/>
  <c r="H1019" i="3" s="1"/>
  <c r="L1021" i="3" l="1"/>
  <c r="J1021" i="3"/>
  <c r="D1021" i="3"/>
  <c r="K1021" i="3"/>
  <c r="E1021" i="3"/>
  <c r="C1020" i="3"/>
  <c r="B1020" i="3" s="1"/>
  <c r="A1022" i="3"/>
  <c r="I1020" i="3"/>
  <c r="H1020" i="3" s="1"/>
  <c r="F1022" i="3" l="1"/>
  <c r="E1022" i="3"/>
  <c r="L1022" i="3"/>
  <c r="J1022" i="3"/>
  <c r="D1022" i="3"/>
  <c r="K1022" i="3"/>
  <c r="I1021" i="3"/>
  <c r="H1021" i="3" s="1"/>
  <c r="A1023" i="3"/>
  <c r="L1023" i="3" l="1"/>
  <c r="F1023" i="3"/>
  <c r="J1023" i="3"/>
  <c r="D1023" i="3"/>
  <c r="K1023" i="3"/>
  <c r="E1023" i="3"/>
  <c r="I1022" i="3"/>
  <c r="H1022" i="3" s="1"/>
  <c r="C1022" i="3"/>
  <c r="B1022" i="3" s="1"/>
  <c r="A1024" i="3"/>
  <c r="L1024" i="3" l="1"/>
  <c r="F1024" i="3"/>
  <c r="J1024" i="3"/>
  <c r="D1024" i="3"/>
  <c r="K1024" i="3"/>
  <c r="E1024" i="3"/>
  <c r="I1023" i="3"/>
  <c r="H1023" i="3" s="1"/>
  <c r="C1023" i="3"/>
  <c r="B1023" i="3" s="1"/>
  <c r="A1025" i="3"/>
  <c r="L1025" i="3" l="1"/>
  <c r="F1025" i="3"/>
  <c r="J1025" i="3"/>
  <c r="D1025" i="3"/>
  <c r="K1025" i="3"/>
  <c r="E1025" i="3"/>
  <c r="I1024" i="3"/>
  <c r="H1024" i="3" s="1"/>
  <c r="A1026" i="3"/>
  <c r="C1024" i="3"/>
  <c r="B1024" i="3" s="1"/>
  <c r="L1026" i="3" l="1"/>
  <c r="F1026" i="3"/>
  <c r="J1026" i="3"/>
  <c r="D1026" i="3"/>
  <c r="K1026" i="3"/>
  <c r="E1026" i="3"/>
  <c r="C1025" i="3"/>
  <c r="B1025" i="3" s="1"/>
  <c r="I1025" i="3"/>
  <c r="H1025" i="3" s="1"/>
  <c r="A1027" i="3"/>
  <c r="L1027" i="3" l="1"/>
  <c r="F1027" i="3"/>
  <c r="J1027" i="3"/>
  <c r="D1027" i="3"/>
  <c r="K1027" i="3"/>
  <c r="E1027" i="3"/>
  <c r="I1026" i="3"/>
  <c r="H1026" i="3" s="1"/>
  <c r="C1026" i="3"/>
  <c r="B1026" i="3" s="1"/>
  <c r="A1028" i="3"/>
  <c r="L1028" i="3" l="1"/>
  <c r="F1028" i="3"/>
  <c r="J1028" i="3"/>
  <c r="D1028" i="3"/>
  <c r="K1028" i="3"/>
  <c r="E1028" i="3"/>
  <c r="I1027" i="3"/>
  <c r="H1027" i="3" s="1"/>
  <c r="A1029" i="3"/>
  <c r="C1027" i="3"/>
  <c r="B1027" i="3" s="1"/>
  <c r="F1029" i="3" l="1"/>
  <c r="L1029" i="3"/>
  <c r="J1029" i="3"/>
  <c r="D1029" i="3"/>
  <c r="K1029" i="3"/>
  <c r="E1029" i="3"/>
  <c r="C1028" i="3"/>
  <c r="B1028" i="3" s="1"/>
  <c r="A1030" i="3"/>
  <c r="I1028" i="3"/>
  <c r="H1028" i="3" s="1"/>
  <c r="L1030" i="3" l="1"/>
  <c r="F1030" i="3"/>
  <c r="J1030" i="3"/>
  <c r="D1030" i="3"/>
  <c r="K1030" i="3"/>
  <c r="E1030" i="3"/>
  <c r="C1029" i="3"/>
  <c r="B1029" i="3" s="1"/>
  <c r="A1031" i="3"/>
  <c r="I1029" i="3"/>
  <c r="H1029" i="3" s="1"/>
  <c r="L1031" i="3" l="1"/>
  <c r="F1031" i="3"/>
  <c r="D1031" i="3"/>
  <c r="J1031" i="3"/>
  <c r="E1031" i="3"/>
  <c r="K1031" i="3"/>
  <c r="C1030" i="3"/>
  <c r="B1030" i="3" s="1"/>
  <c r="A1032" i="3"/>
  <c r="I1030" i="3"/>
  <c r="H1030" i="3" s="1"/>
  <c r="L1032" i="3" l="1"/>
  <c r="F1032" i="3"/>
  <c r="J1032" i="3"/>
  <c r="D1032" i="3"/>
  <c r="K1032" i="3"/>
  <c r="E1032" i="3"/>
  <c r="I1031" i="3"/>
  <c r="H1031" i="3" s="1"/>
  <c r="C1031" i="3"/>
  <c r="B1031" i="3" s="1"/>
  <c r="A1033" i="3"/>
  <c r="L1033" i="3" l="1"/>
  <c r="F1033" i="3"/>
  <c r="D1033" i="3"/>
  <c r="J1033" i="3"/>
  <c r="E1033" i="3"/>
  <c r="K1033" i="3"/>
  <c r="I1032" i="3"/>
  <c r="H1032" i="3" s="1"/>
  <c r="A1034" i="3"/>
  <c r="C1032" i="3"/>
  <c r="B1032" i="3" s="1"/>
  <c r="L1034" i="3" l="1"/>
  <c r="F1034" i="3"/>
  <c r="J1034" i="3"/>
  <c r="D1034" i="3"/>
  <c r="K1034" i="3"/>
  <c r="E1034" i="3"/>
  <c r="I1033" i="3"/>
  <c r="H1033" i="3" s="1"/>
  <c r="C1033" i="3"/>
  <c r="B1033" i="3" s="1"/>
  <c r="A1035" i="3"/>
  <c r="L1035" i="3" l="1"/>
  <c r="F1035" i="3"/>
  <c r="J1035" i="3"/>
  <c r="D1035" i="3"/>
  <c r="K1035" i="3"/>
  <c r="E1035" i="3"/>
  <c r="I1034" i="3"/>
  <c r="H1034" i="3" s="1"/>
  <c r="A1036" i="3"/>
  <c r="C1034" i="3"/>
  <c r="B1034" i="3" s="1"/>
  <c r="L1036" i="3" l="1"/>
  <c r="F1036" i="3"/>
  <c r="J1036" i="3"/>
  <c r="D1036" i="3"/>
  <c r="K1036" i="3"/>
  <c r="E1036" i="3"/>
  <c r="I1035" i="3"/>
  <c r="H1035" i="3" s="1"/>
  <c r="A1037" i="3"/>
  <c r="C1035" i="3"/>
  <c r="B1035" i="3" s="1"/>
  <c r="L1037" i="3" l="1"/>
  <c r="F1037" i="3"/>
  <c r="J1037" i="3"/>
  <c r="D1037" i="3"/>
  <c r="K1037" i="3"/>
  <c r="E1037" i="3"/>
  <c r="I1036" i="3"/>
  <c r="H1036" i="3" s="1"/>
  <c r="C1036" i="3"/>
  <c r="B1036" i="3" s="1"/>
  <c r="A1038" i="3"/>
  <c r="L1038" i="3" l="1"/>
  <c r="F1038" i="3"/>
  <c r="J1038" i="3"/>
  <c r="D1038" i="3"/>
  <c r="K1038" i="3"/>
  <c r="E1038" i="3"/>
  <c r="I1037" i="3"/>
  <c r="H1037" i="3" s="1"/>
  <c r="A1039" i="3"/>
  <c r="C1037" i="3"/>
  <c r="B1037" i="3" s="1"/>
  <c r="L1039" i="3" l="1"/>
  <c r="F1039" i="3"/>
  <c r="J1039" i="3"/>
  <c r="D1039" i="3"/>
  <c r="K1039" i="3"/>
  <c r="E1039" i="3"/>
  <c r="C1038" i="3"/>
  <c r="B1038" i="3" s="1"/>
  <c r="A1040" i="3"/>
  <c r="I1038" i="3"/>
  <c r="H1038" i="3" s="1"/>
  <c r="L1040" i="3" l="1"/>
  <c r="F1040" i="3"/>
  <c r="J1040" i="3"/>
  <c r="D1040" i="3"/>
  <c r="K1040" i="3"/>
  <c r="E1040" i="3"/>
  <c r="C1039" i="3"/>
  <c r="B1039" i="3" s="1"/>
  <c r="A1041" i="3"/>
  <c r="I1039" i="3"/>
  <c r="H1039" i="3" s="1"/>
  <c r="L1041" i="3" l="1"/>
  <c r="J1041" i="3"/>
  <c r="D1041" i="3"/>
  <c r="K1041" i="3"/>
  <c r="E1041" i="3"/>
  <c r="I1040" i="3"/>
  <c r="H1040" i="3" s="1"/>
  <c r="C1040" i="3"/>
  <c r="B1040" i="3" s="1"/>
  <c r="A1042" i="3"/>
  <c r="L1042" i="3" l="1"/>
  <c r="F1042" i="3"/>
  <c r="J1042" i="3"/>
  <c r="D1042" i="3"/>
  <c r="K1042" i="3"/>
  <c r="E1042" i="3"/>
  <c r="I1041" i="3"/>
  <c r="H1041" i="3" s="1"/>
  <c r="A1043" i="3"/>
  <c r="L1043" i="3" l="1"/>
  <c r="F1043" i="3"/>
  <c r="J1043" i="3"/>
  <c r="D1043" i="3"/>
  <c r="K1043" i="3"/>
  <c r="E1043" i="3"/>
  <c r="I1042" i="3"/>
  <c r="H1042" i="3" s="1"/>
  <c r="A1044" i="3"/>
  <c r="C1042" i="3"/>
  <c r="B1042" i="3" s="1"/>
  <c r="F1044" i="3" l="1"/>
  <c r="E1044" i="3"/>
  <c r="L1044" i="3"/>
  <c r="J1044" i="3"/>
  <c r="D1044" i="3"/>
  <c r="K1044" i="3"/>
  <c r="I1043" i="3"/>
  <c r="H1043" i="3" s="1"/>
  <c r="A1045" i="3"/>
  <c r="C1043" i="3"/>
  <c r="B1043" i="3" s="1"/>
  <c r="L1045" i="3" l="1"/>
  <c r="F1045" i="3"/>
  <c r="J1045" i="3"/>
  <c r="D1045" i="3"/>
  <c r="K1045" i="3"/>
  <c r="E1045" i="3"/>
  <c r="C1044" i="3"/>
  <c r="B1044" i="3" s="1"/>
  <c r="A1046" i="3"/>
  <c r="I1044" i="3"/>
  <c r="H1044" i="3" s="1"/>
  <c r="L1046" i="3" l="1"/>
  <c r="F1046" i="3"/>
  <c r="J1046" i="3"/>
  <c r="D1046" i="3"/>
  <c r="K1046" i="3"/>
  <c r="E1046" i="3"/>
  <c r="C1045" i="3"/>
  <c r="B1045" i="3" s="1"/>
  <c r="A1047" i="3"/>
  <c r="I1045" i="3"/>
  <c r="H1045" i="3" s="1"/>
  <c r="L1047" i="3" l="1"/>
  <c r="F1047" i="3"/>
  <c r="J1047" i="3"/>
  <c r="D1047" i="3"/>
  <c r="K1047" i="3"/>
  <c r="E1047" i="3"/>
  <c r="C1046" i="3"/>
  <c r="B1046" i="3" s="1"/>
  <c r="A1048" i="3"/>
  <c r="I1046" i="3"/>
  <c r="H1046" i="3" s="1"/>
  <c r="L1048" i="3" l="1"/>
  <c r="F1048" i="3"/>
  <c r="J1048" i="3"/>
  <c r="D1048" i="3"/>
  <c r="K1048" i="3"/>
  <c r="E1048" i="3"/>
  <c r="I1047" i="3"/>
  <c r="H1047" i="3" s="1"/>
  <c r="C1047" i="3"/>
  <c r="B1047" i="3" s="1"/>
  <c r="A1049" i="3"/>
  <c r="L1049" i="3" l="1"/>
  <c r="F1049" i="3"/>
  <c r="J1049" i="3"/>
  <c r="D1049" i="3"/>
  <c r="K1049" i="3"/>
  <c r="E1049" i="3"/>
  <c r="I1048" i="3"/>
  <c r="H1048" i="3" s="1"/>
  <c r="C1048" i="3"/>
  <c r="B1048" i="3" s="1"/>
  <c r="A1050" i="3"/>
  <c r="L1050" i="3" l="1"/>
  <c r="F1050" i="3"/>
  <c r="D1050" i="3"/>
  <c r="E1050" i="3"/>
  <c r="J1050" i="3"/>
  <c r="K1050" i="3"/>
  <c r="A1051" i="3"/>
  <c r="I1049" i="3"/>
  <c r="H1049" i="3" s="1"/>
  <c r="C1049" i="3"/>
  <c r="B1049" i="3" s="1"/>
  <c r="F1051" i="3" l="1"/>
  <c r="L1051" i="3"/>
  <c r="J1051" i="3"/>
  <c r="D1051" i="3"/>
  <c r="K1051" i="3"/>
  <c r="E1051" i="3"/>
  <c r="I1050" i="3"/>
  <c r="H1050" i="3" s="1"/>
  <c r="C1050" i="3"/>
  <c r="B1050" i="3" s="1"/>
  <c r="A1052" i="3"/>
  <c r="L1052" i="3" l="1"/>
  <c r="F1052" i="3"/>
  <c r="J1052" i="3"/>
  <c r="D1052" i="3"/>
  <c r="K1052" i="3"/>
  <c r="E1052" i="3"/>
  <c r="I1051" i="3"/>
  <c r="H1051" i="3" s="1"/>
  <c r="C1051" i="3"/>
  <c r="B1051" i="3" s="1"/>
  <c r="A1053" i="3"/>
  <c r="L1053" i="3" l="1"/>
  <c r="F1053" i="3"/>
  <c r="J1053" i="3"/>
  <c r="D1053" i="3"/>
  <c r="K1053" i="3"/>
  <c r="E1053" i="3"/>
  <c r="I1052" i="3"/>
  <c r="H1052" i="3" s="1"/>
  <c r="C1052" i="3"/>
  <c r="B1052" i="3" s="1"/>
  <c r="A1054" i="3"/>
  <c r="L1054" i="3" l="1"/>
  <c r="F1054" i="3"/>
  <c r="J1054" i="3"/>
  <c r="D1054" i="3"/>
  <c r="K1054" i="3"/>
  <c r="E1054" i="3"/>
  <c r="C1053" i="3"/>
  <c r="B1053" i="3" s="1"/>
  <c r="I1053" i="3"/>
  <c r="H1053" i="3" s="1"/>
  <c r="A1055" i="3"/>
  <c r="L1055" i="3" l="1"/>
  <c r="F1055" i="3"/>
  <c r="J1055" i="3"/>
  <c r="D1055" i="3"/>
  <c r="K1055" i="3"/>
  <c r="E1055" i="3"/>
  <c r="C1054" i="3"/>
  <c r="B1054" i="3" s="1"/>
  <c r="I1054" i="3"/>
  <c r="H1054" i="3" s="1"/>
  <c r="A1056" i="3"/>
  <c r="L1056" i="3" l="1"/>
  <c r="F1056" i="3"/>
  <c r="J1056" i="3"/>
  <c r="D1056" i="3"/>
  <c r="K1056" i="3"/>
  <c r="E1056" i="3"/>
  <c r="C1055" i="3"/>
  <c r="B1055" i="3" s="1"/>
  <c r="A1057" i="3"/>
  <c r="I1055" i="3"/>
  <c r="H1055" i="3" s="1"/>
  <c r="L1057" i="3" l="1"/>
  <c r="F1057" i="3"/>
  <c r="J1057" i="3"/>
  <c r="D1057" i="3"/>
  <c r="K1057" i="3"/>
  <c r="E1057" i="3"/>
  <c r="I1056" i="3"/>
  <c r="H1056" i="3" s="1"/>
  <c r="A1058" i="3"/>
  <c r="C1056" i="3"/>
  <c r="B1056" i="3" s="1"/>
  <c r="L1058" i="3" l="1"/>
  <c r="F1058" i="3"/>
  <c r="J1058" i="3"/>
  <c r="D1058" i="3"/>
  <c r="K1058" i="3"/>
  <c r="E1058" i="3"/>
  <c r="I1057" i="3"/>
  <c r="H1057" i="3" s="1"/>
  <c r="A1059" i="3"/>
  <c r="C1057" i="3"/>
  <c r="B1057" i="3" s="1"/>
  <c r="L1059" i="3" l="1"/>
  <c r="F1059" i="3"/>
  <c r="J1059" i="3"/>
  <c r="D1059" i="3"/>
  <c r="K1059" i="3"/>
  <c r="E1059" i="3"/>
  <c r="I1058" i="3"/>
  <c r="H1058" i="3" s="1"/>
  <c r="C1058" i="3"/>
  <c r="B1058" i="3" s="1"/>
  <c r="A1060" i="3"/>
  <c r="L1060" i="3" l="1"/>
  <c r="F1060" i="3"/>
  <c r="J1060" i="3"/>
  <c r="D1060" i="3"/>
  <c r="K1060" i="3"/>
  <c r="E1060" i="3"/>
  <c r="C1059" i="3"/>
  <c r="B1059" i="3" s="1"/>
  <c r="I1059" i="3"/>
  <c r="H1059" i="3" s="1"/>
  <c r="A1061" i="3"/>
  <c r="L1061" i="3" l="1"/>
  <c r="J1061" i="3"/>
  <c r="D1061" i="3"/>
  <c r="K1061" i="3"/>
  <c r="E1061" i="3"/>
  <c r="I1060" i="3"/>
  <c r="H1060" i="3" s="1"/>
  <c r="A1062" i="3"/>
  <c r="C1060" i="3"/>
  <c r="B1060" i="3" s="1"/>
  <c r="F1062" i="3" l="1"/>
  <c r="E1062" i="3"/>
  <c r="L1062" i="3"/>
  <c r="J1062" i="3"/>
  <c r="D1062" i="3"/>
  <c r="K1062" i="3"/>
  <c r="I1061" i="3"/>
  <c r="H1061" i="3" s="1"/>
  <c r="A1063" i="3"/>
  <c r="L1063" i="3" l="1"/>
  <c r="F1063" i="3"/>
  <c r="D1063" i="3"/>
  <c r="E1063" i="3"/>
  <c r="J1063" i="3"/>
  <c r="K1063" i="3"/>
  <c r="C1062" i="3"/>
  <c r="B1062" i="3" s="1"/>
  <c r="A1064" i="3"/>
  <c r="I1062" i="3"/>
  <c r="H1062" i="3" s="1"/>
  <c r="L1064" i="3" l="1"/>
  <c r="F1064" i="3"/>
  <c r="J1064" i="3"/>
  <c r="D1064" i="3"/>
  <c r="K1064" i="3"/>
  <c r="E1064" i="3"/>
  <c r="I1063" i="3"/>
  <c r="H1063" i="3" s="1"/>
  <c r="C1063" i="3"/>
  <c r="B1063" i="3" s="1"/>
  <c r="A1065" i="3"/>
  <c r="L1065" i="3" l="1"/>
  <c r="F1065" i="3"/>
  <c r="D1065" i="3"/>
  <c r="E1065" i="3"/>
  <c r="J1065" i="3"/>
  <c r="K1065" i="3"/>
  <c r="I1064" i="3"/>
  <c r="H1064" i="3" s="1"/>
  <c r="C1064" i="3"/>
  <c r="B1064" i="3" s="1"/>
  <c r="A1066" i="3"/>
  <c r="L1066" i="3" l="1"/>
  <c r="F1066" i="3"/>
  <c r="J1066" i="3"/>
  <c r="D1066" i="3"/>
  <c r="K1066" i="3"/>
  <c r="E1066" i="3"/>
  <c r="I1065" i="3"/>
  <c r="H1065" i="3" s="1"/>
  <c r="C1065" i="3"/>
  <c r="B1065" i="3" s="1"/>
  <c r="A1067" i="3"/>
  <c r="L1067" i="3" l="1"/>
  <c r="F1067" i="3"/>
  <c r="J1067" i="3"/>
  <c r="D1067" i="3"/>
  <c r="K1067" i="3"/>
  <c r="E1067" i="3"/>
  <c r="C1066" i="3"/>
  <c r="B1066" i="3" s="1"/>
  <c r="I1066" i="3"/>
  <c r="H1066" i="3" s="1"/>
  <c r="A1068" i="3"/>
  <c r="L1068" i="3" l="1"/>
  <c r="F1068" i="3"/>
  <c r="J1068" i="3"/>
  <c r="D1068" i="3"/>
  <c r="K1068" i="3"/>
  <c r="E1068" i="3"/>
  <c r="C1067" i="3"/>
  <c r="B1067" i="3" s="1"/>
  <c r="I1067" i="3"/>
  <c r="H1067" i="3" s="1"/>
  <c r="A1069" i="3"/>
  <c r="F1069" i="3" l="1"/>
  <c r="L1069" i="3"/>
  <c r="J1069" i="3"/>
  <c r="D1069" i="3"/>
  <c r="K1069" i="3"/>
  <c r="E1069" i="3"/>
  <c r="I1068" i="3"/>
  <c r="H1068" i="3" s="1"/>
  <c r="C1068" i="3"/>
  <c r="B1068" i="3" s="1"/>
  <c r="A1070" i="3"/>
  <c r="L1070" i="3" l="1"/>
  <c r="F1070" i="3"/>
  <c r="J1070" i="3"/>
  <c r="D1070" i="3"/>
  <c r="K1070" i="3"/>
  <c r="E1070" i="3"/>
  <c r="I1069" i="3"/>
  <c r="H1069" i="3" s="1"/>
  <c r="C1069" i="3"/>
  <c r="B1069" i="3" s="1"/>
  <c r="A1071" i="3"/>
  <c r="L1071" i="3" l="1"/>
  <c r="F1071" i="3"/>
  <c r="J1071" i="3"/>
  <c r="D1071" i="3"/>
  <c r="K1071" i="3"/>
  <c r="E1071" i="3"/>
  <c r="I1070" i="3"/>
  <c r="H1070" i="3" s="1"/>
  <c r="A1072" i="3"/>
  <c r="C1070" i="3"/>
  <c r="B1070" i="3" s="1"/>
  <c r="L1072" i="3" l="1"/>
  <c r="F1072" i="3"/>
  <c r="J1072" i="3"/>
  <c r="D1072" i="3"/>
  <c r="K1072" i="3"/>
  <c r="E1072" i="3"/>
  <c r="C1071" i="3"/>
  <c r="B1071" i="3" s="1"/>
  <c r="A1073" i="3"/>
  <c r="I1071" i="3"/>
  <c r="H1071" i="3" s="1"/>
  <c r="L1073" i="3" l="1"/>
  <c r="F1073" i="3"/>
  <c r="J1073" i="3"/>
  <c r="D1073" i="3"/>
  <c r="K1073" i="3"/>
  <c r="E1073" i="3"/>
  <c r="I1072" i="3"/>
  <c r="H1072" i="3" s="1"/>
  <c r="A1074" i="3"/>
  <c r="C1072" i="3"/>
  <c r="B1072" i="3" s="1"/>
  <c r="L1074" i="3" l="1"/>
  <c r="F1074" i="3"/>
  <c r="J1074" i="3"/>
  <c r="D1074" i="3"/>
  <c r="K1074" i="3"/>
  <c r="E1074" i="3"/>
  <c r="I1073" i="3"/>
  <c r="H1073" i="3" s="1"/>
  <c r="C1073" i="3"/>
  <c r="B1073" i="3" s="1"/>
  <c r="A1075" i="3"/>
  <c r="L1075" i="3" l="1"/>
  <c r="F1075" i="3"/>
  <c r="J1075" i="3"/>
  <c r="D1075" i="3"/>
  <c r="K1075" i="3"/>
  <c r="E1075" i="3"/>
  <c r="I1074" i="3"/>
  <c r="H1074" i="3" s="1"/>
  <c r="A1076" i="3"/>
  <c r="C1074" i="3"/>
  <c r="B1074" i="3" s="1"/>
  <c r="L1076" i="3" l="1"/>
  <c r="F1076" i="3"/>
  <c r="J1076" i="3"/>
  <c r="D1076" i="3"/>
  <c r="K1076" i="3"/>
  <c r="E1076" i="3"/>
  <c r="I1075" i="3"/>
  <c r="H1075" i="3" s="1"/>
  <c r="A1077" i="3"/>
  <c r="C1075" i="3"/>
  <c r="B1075" i="3" s="1"/>
  <c r="L1077" i="3" l="1"/>
  <c r="F1077" i="3"/>
  <c r="J1077" i="3"/>
  <c r="D1077" i="3"/>
  <c r="K1077" i="3"/>
  <c r="E1077" i="3"/>
  <c r="C1076" i="3"/>
  <c r="B1076" i="3" s="1"/>
  <c r="A1078" i="3"/>
  <c r="I1076" i="3"/>
  <c r="H1076" i="3" s="1"/>
  <c r="L1078" i="3" l="1"/>
  <c r="F1078" i="3"/>
  <c r="J1078" i="3"/>
  <c r="D1078" i="3"/>
  <c r="K1078" i="3"/>
  <c r="E1078" i="3"/>
  <c r="C1077" i="3"/>
  <c r="B1077" i="3" s="1"/>
  <c r="A1079" i="3"/>
  <c r="I1077" i="3"/>
  <c r="H1077" i="3" s="1"/>
  <c r="L1079" i="3" l="1"/>
  <c r="F1079" i="3"/>
  <c r="D1079" i="3"/>
  <c r="E1079" i="3"/>
  <c r="J1079" i="3"/>
  <c r="K1079" i="3"/>
  <c r="C1078" i="3"/>
  <c r="B1078" i="3" s="1"/>
  <c r="A1080" i="3"/>
  <c r="I1078" i="3"/>
  <c r="H1078" i="3" s="1"/>
  <c r="L1080" i="3" l="1"/>
  <c r="F1080" i="3"/>
  <c r="J1080" i="3"/>
  <c r="D1080" i="3"/>
  <c r="K1080" i="3"/>
  <c r="E1080" i="3"/>
  <c r="I1079" i="3"/>
  <c r="H1079" i="3" s="1"/>
  <c r="C1079" i="3"/>
  <c r="B1079" i="3" s="1"/>
  <c r="A1081" i="3"/>
  <c r="L1081" i="3" l="1"/>
  <c r="F1081" i="3"/>
  <c r="J1081" i="3"/>
  <c r="D1081" i="3"/>
  <c r="K1081" i="3"/>
  <c r="E1081" i="3"/>
  <c r="C1080" i="3"/>
  <c r="B1080" i="3" s="1"/>
  <c r="I1080" i="3"/>
  <c r="H1080" i="3" s="1"/>
  <c r="A1082" i="3"/>
  <c r="L1082" i="3" l="1"/>
  <c r="F1082" i="3"/>
  <c r="J1082" i="3"/>
  <c r="D1082" i="3"/>
  <c r="K1082" i="3"/>
  <c r="E1082" i="3"/>
  <c r="I1081" i="3"/>
  <c r="H1081" i="3" s="1"/>
  <c r="C1081" i="3"/>
  <c r="B1081" i="3" s="1"/>
  <c r="A1083" i="3"/>
  <c r="L1083" i="3" l="1"/>
  <c r="J1083" i="3"/>
  <c r="D1083" i="3"/>
  <c r="K1083" i="3"/>
  <c r="E1083" i="3"/>
  <c r="I1082" i="3"/>
  <c r="H1082" i="3" s="1"/>
  <c r="A1084" i="3"/>
  <c r="C1082" i="3"/>
  <c r="B1082" i="3" s="1"/>
  <c r="F1084" i="3" l="1"/>
  <c r="E1084" i="3"/>
  <c r="L1084" i="3"/>
  <c r="J1084" i="3"/>
  <c r="D1084" i="3"/>
  <c r="K1084" i="3"/>
  <c r="I1083" i="3"/>
  <c r="H1083" i="3" s="1"/>
  <c r="A1085" i="3"/>
  <c r="L1085" i="3" l="1"/>
  <c r="F1085" i="3"/>
  <c r="J1085" i="3"/>
  <c r="D1085" i="3"/>
  <c r="K1085" i="3"/>
  <c r="E1085" i="3"/>
  <c r="C1084" i="3"/>
  <c r="B1084" i="3" s="1"/>
  <c r="I1084" i="3"/>
  <c r="H1084" i="3" s="1"/>
  <c r="A1086" i="3"/>
  <c r="L1086" i="3" l="1"/>
  <c r="F1086" i="3"/>
  <c r="J1086" i="3"/>
  <c r="D1086" i="3"/>
  <c r="K1086" i="3"/>
  <c r="E1086" i="3"/>
  <c r="C1085" i="3"/>
  <c r="B1085" i="3" s="1"/>
  <c r="I1085" i="3"/>
  <c r="H1085" i="3" s="1"/>
  <c r="A1087" i="3"/>
  <c r="L1087" i="3" l="1"/>
  <c r="F1087" i="3"/>
  <c r="J1087" i="3"/>
  <c r="D1087" i="3"/>
  <c r="K1087" i="3"/>
  <c r="E1087" i="3"/>
  <c r="C1086" i="3"/>
  <c r="B1086" i="3" s="1"/>
  <c r="A1088" i="3"/>
  <c r="I1086" i="3"/>
  <c r="H1086" i="3" s="1"/>
  <c r="L1088" i="3" l="1"/>
  <c r="F1088" i="3"/>
  <c r="J1088" i="3"/>
  <c r="D1088" i="3"/>
  <c r="K1088" i="3"/>
  <c r="E1088" i="3"/>
  <c r="C1087" i="3"/>
  <c r="B1087" i="3" s="1"/>
  <c r="A1089" i="3"/>
  <c r="I1087" i="3"/>
  <c r="H1087" i="3" s="1"/>
  <c r="L1089" i="3" l="1"/>
  <c r="F1089" i="3"/>
  <c r="J1089" i="3"/>
  <c r="D1089" i="3"/>
  <c r="K1089" i="3"/>
  <c r="E1089" i="3"/>
  <c r="C1088" i="3"/>
  <c r="B1088" i="3" s="1"/>
  <c r="I1088" i="3"/>
  <c r="H1088" i="3" s="1"/>
  <c r="A1090" i="3"/>
  <c r="L1090" i="3" l="1"/>
  <c r="F1090" i="3"/>
  <c r="J1090" i="3"/>
  <c r="D1090" i="3"/>
  <c r="K1090" i="3"/>
  <c r="E1090" i="3"/>
  <c r="I1089" i="3"/>
  <c r="H1089" i="3" s="1"/>
  <c r="C1089" i="3"/>
  <c r="B1089" i="3" s="1"/>
  <c r="A1091" i="3"/>
  <c r="F1091" i="3" l="1"/>
  <c r="L1091" i="3"/>
  <c r="D1091" i="3"/>
  <c r="J1091" i="3"/>
  <c r="E1091" i="3"/>
  <c r="K1091" i="3"/>
  <c r="I1090" i="3"/>
  <c r="H1090" i="3" s="1"/>
  <c r="C1090" i="3"/>
  <c r="B1090" i="3" s="1"/>
  <c r="A1092" i="3"/>
  <c r="L1092" i="3" l="1"/>
  <c r="F1092" i="3"/>
  <c r="J1092" i="3"/>
  <c r="D1092" i="3"/>
  <c r="K1092" i="3"/>
  <c r="E1092" i="3"/>
  <c r="C1091" i="3"/>
  <c r="B1091" i="3" s="1"/>
  <c r="A1093" i="3"/>
  <c r="I1091" i="3"/>
  <c r="H1091" i="3" s="1"/>
  <c r="L1093" i="3" l="1"/>
  <c r="F1093" i="3"/>
  <c r="J1093" i="3"/>
  <c r="D1093" i="3"/>
  <c r="K1093" i="3"/>
  <c r="E1093" i="3"/>
  <c r="C1092" i="3"/>
  <c r="B1092" i="3" s="1"/>
  <c r="A1094" i="3"/>
  <c r="I1092" i="3"/>
  <c r="H1092" i="3" s="1"/>
  <c r="L1094" i="3" l="1"/>
  <c r="F1094" i="3"/>
  <c r="J1094" i="3"/>
  <c r="D1094" i="3"/>
  <c r="K1094" i="3"/>
  <c r="E1094" i="3"/>
  <c r="C1093" i="3"/>
  <c r="B1093" i="3" s="1"/>
  <c r="A1095" i="3"/>
  <c r="I1093" i="3"/>
  <c r="H1093" i="3" s="1"/>
  <c r="L1095" i="3" l="1"/>
  <c r="F1095" i="3"/>
  <c r="J1095" i="3"/>
  <c r="D1095" i="3"/>
  <c r="K1095" i="3"/>
  <c r="E1095" i="3"/>
  <c r="I1094" i="3"/>
  <c r="H1094" i="3" s="1"/>
  <c r="A1096" i="3"/>
  <c r="C1094" i="3"/>
  <c r="B1094" i="3" s="1"/>
  <c r="L1096" i="3" l="1"/>
  <c r="F1096" i="3"/>
  <c r="D1096" i="3"/>
  <c r="J1096" i="3"/>
  <c r="E1096" i="3"/>
  <c r="K1096" i="3"/>
  <c r="I1095" i="3"/>
  <c r="H1095" i="3" s="1"/>
  <c r="C1095" i="3"/>
  <c r="B1095" i="3" s="1"/>
  <c r="A1097" i="3"/>
  <c r="L1097" i="3" l="1"/>
  <c r="F1097" i="3"/>
  <c r="J1097" i="3"/>
  <c r="D1097" i="3"/>
  <c r="K1097" i="3"/>
  <c r="E1097" i="3"/>
  <c r="I1096" i="3"/>
  <c r="H1096" i="3" s="1"/>
  <c r="C1096" i="3"/>
  <c r="B1096" i="3" s="1"/>
  <c r="A1098" i="3"/>
  <c r="L1098" i="3" l="1"/>
  <c r="F1098" i="3"/>
  <c r="J1098" i="3"/>
  <c r="D1098" i="3"/>
  <c r="K1098" i="3"/>
  <c r="E1098" i="3"/>
  <c r="C1097" i="3"/>
  <c r="B1097" i="3" s="1"/>
  <c r="I1097" i="3"/>
  <c r="H1097" i="3" s="1"/>
  <c r="A1099" i="3"/>
  <c r="L1099" i="3" l="1"/>
  <c r="F1099" i="3"/>
  <c r="J1099" i="3"/>
  <c r="D1099" i="3"/>
  <c r="K1099" i="3"/>
  <c r="E1099" i="3"/>
  <c r="I1098" i="3"/>
  <c r="H1098" i="3" s="1"/>
  <c r="C1098" i="3"/>
  <c r="B1098" i="3" s="1"/>
  <c r="A1100" i="3"/>
  <c r="L1100" i="3" l="1"/>
  <c r="F1100" i="3"/>
  <c r="J1100" i="3"/>
  <c r="D1100" i="3"/>
  <c r="K1100" i="3"/>
  <c r="E1100" i="3"/>
  <c r="I1099" i="3"/>
  <c r="H1099" i="3" s="1"/>
  <c r="C1099" i="3"/>
  <c r="B1099" i="3" s="1"/>
  <c r="A1101" i="3"/>
  <c r="L1101" i="3" l="1"/>
  <c r="F1101" i="3"/>
  <c r="J1101" i="3"/>
  <c r="D1101" i="3"/>
  <c r="K1101" i="3"/>
  <c r="E1101" i="3"/>
  <c r="I1100" i="3"/>
  <c r="H1100" i="3" s="1"/>
  <c r="A1102" i="3"/>
  <c r="C1100" i="3"/>
  <c r="B1100" i="3" s="1"/>
  <c r="L1102" i="3" l="1"/>
  <c r="F1102" i="3"/>
  <c r="J1102" i="3"/>
  <c r="D1102" i="3"/>
  <c r="K1102" i="3"/>
  <c r="E1102" i="3"/>
  <c r="I1101" i="3"/>
  <c r="H1101" i="3" s="1"/>
  <c r="C1101" i="3"/>
  <c r="B1101" i="3" s="1"/>
  <c r="A1103" i="3"/>
  <c r="I1102" i="3" l="1"/>
  <c r="H1102" i="3" s="1"/>
  <c r="L1103" i="3"/>
  <c r="F1103" i="3"/>
  <c r="J1103" i="3"/>
  <c r="D1103" i="3"/>
  <c r="K1103" i="3"/>
  <c r="E1103" i="3"/>
  <c r="C1102" i="3"/>
  <c r="B1102" i="3" s="1"/>
  <c r="A1104" i="3"/>
  <c r="F1104" i="3" l="1"/>
  <c r="E1104" i="3"/>
  <c r="L1104" i="3"/>
  <c r="J1104" i="3"/>
  <c r="D1104" i="3"/>
  <c r="K1104" i="3"/>
  <c r="C1103" i="3"/>
  <c r="B1103" i="3" s="1"/>
  <c r="A1105" i="3"/>
  <c r="I1103" i="3"/>
  <c r="H1103" i="3" s="1"/>
  <c r="L1105" i="3" l="1"/>
  <c r="J1105" i="3"/>
  <c r="D1105" i="3"/>
  <c r="K1105" i="3"/>
  <c r="E1105" i="3"/>
  <c r="I1104" i="3"/>
  <c r="H1104" i="3" s="1"/>
  <c r="A1106" i="3"/>
  <c r="C1104" i="3"/>
  <c r="B1104" i="3" s="1"/>
  <c r="L1106" i="3" l="1"/>
  <c r="F1106" i="3"/>
  <c r="J1106" i="3"/>
  <c r="D1106" i="3"/>
  <c r="K1106" i="3"/>
  <c r="E1106" i="3"/>
  <c r="I1105" i="3"/>
  <c r="H1105" i="3" s="1"/>
  <c r="A1107" i="3"/>
  <c r="L1107" i="3" l="1"/>
  <c r="F1107" i="3"/>
  <c r="J1107" i="3"/>
  <c r="D1107" i="3"/>
  <c r="K1107" i="3"/>
  <c r="E1107" i="3"/>
  <c r="I1106" i="3"/>
  <c r="H1106" i="3" s="1"/>
  <c r="C1106" i="3"/>
  <c r="B1106" i="3" s="1"/>
  <c r="A1108" i="3"/>
  <c r="L1108" i="3" l="1"/>
  <c r="F1108" i="3"/>
  <c r="J1108" i="3"/>
  <c r="D1108" i="3"/>
  <c r="K1108" i="3"/>
  <c r="E1108" i="3"/>
  <c r="I1107" i="3"/>
  <c r="H1107" i="3" s="1"/>
  <c r="A1109" i="3"/>
  <c r="C1107" i="3"/>
  <c r="B1107" i="3" s="1"/>
  <c r="L1109" i="3" l="1"/>
  <c r="F1109" i="3"/>
  <c r="J1109" i="3"/>
  <c r="D1109" i="3"/>
  <c r="K1109" i="3"/>
  <c r="E1109" i="3"/>
  <c r="C1108" i="3"/>
  <c r="B1108" i="3" s="1"/>
  <c r="A1110" i="3"/>
  <c r="I1108" i="3"/>
  <c r="H1108" i="3" s="1"/>
  <c r="L1110" i="3" l="1"/>
  <c r="F1110" i="3"/>
  <c r="J1110" i="3"/>
  <c r="D1110" i="3"/>
  <c r="K1110" i="3"/>
  <c r="E1110" i="3"/>
  <c r="C1109" i="3"/>
  <c r="B1109" i="3" s="1"/>
  <c r="A1111" i="3"/>
  <c r="I1109" i="3"/>
  <c r="H1109" i="3" s="1"/>
  <c r="F1111" i="3" l="1"/>
  <c r="L1111" i="3"/>
  <c r="D1111" i="3"/>
  <c r="E1111" i="3"/>
  <c r="J1111" i="3"/>
  <c r="K1111" i="3"/>
  <c r="C1110" i="3"/>
  <c r="B1110" i="3" s="1"/>
  <c r="A1112" i="3"/>
  <c r="I1110" i="3"/>
  <c r="H1110" i="3" s="1"/>
  <c r="L1112" i="3" l="1"/>
  <c r="F1112" i="3"/>
  <c r="J1112" i="3"/>
  <c r="D1112" i="3"/>
  <c r="K1112" i="3"/>
  <c r="E1112" i="3"/>
  <c r="I1111" i="3"/>
  <c r="H1111" i="3" s="1"/>
  <c r="C1111" i="3"/>
  <c r="B1111" i="3" s="1"/>
  <c r="A1113" i="3"/>
  <c r="L1113" i="3" l="1"/>
  <c r="F1113" i="3"/>
  <c r="J1113" i="3"/>
  <c r="D1113" i="3"/>
  <c r="K1113" i="3"/>
  <c r="E1113" i="3"/>
  <c r="I1112" i="3"/>
  <c r="H1112" i="3" s="1"/>
  <c r="C1112" i="3"/>
  <c r="B1112" i="3" s="1"/>
  <c r="A1114" i="3"/>
  <c r="L1114" i="3" l="1"/>
  <c r="F1114" i="3"/>
  <c r="J1114" i="3"/>
  <c r="D1114" i="3"/>
  <c r="K1114" i="3"/>
  <c r="E1114" i="3"/>
  <c r="C1113" i="3"/>
  <c r="B1113" i="3" s="1"/>
  <c r="I1113" i="3"/>
  <c r="H1113" i="3" s="1"/>
  <c r="A1115" i="3"/>
  <c r="L1115" i="3" l="1"/>
  <c r="F1115" i="3"/>
  <c r="J1115" i="3"/>
  <c r="D1115" i="3"/>
  <c r="K1115" i="3"/>
  <c r="E1115" i="3"/>
  <c r="C1114" i="3"/>
  <c r="B1114" i="3" s="1"/>
  <c r="I1114" i="3"/>
  <c r="H1114" i="3" s="1"/>
  <c r="A1116" i="3"/>
  <c r="L1116" i="3" l="1"/>
  <c r="F1116" i="3"/>
  <c r="J1116" i="3"/>
  <c r="D1116" i="3"/>
  <c r="K1116" i="3"/>
  <c r="E1116" i="3"/>
  <c r="I1115" i="3"/>
  <c r="H1115" i="3" s="1"/>
  <c r="A1117" i="3"/>
  <c r="C1115" i="3"/>
  <c r="B1115" i="3" s="1"/>
  <c r="L1117" i="3" l="1"/>
  <c r="F1117" i="3"/>
  <c r="J1117" i="3"/>
  <c r="D1117" i="3"/>
  <c r="K1117" i="3"/>
  <c r="E1117" i="3"/>
  <c r="I1116" i="3"/>
  <c r="H1116" i="3" s="1"/>
  <c r="C1116" i="3"/>
  <c r="B1116" i="3" s="1"/>
  <c r="A1118" i="3"/>
  <c r="L1118" i="3" l="1"/>
  <c r="F1118" i="3"/>
  <c r="J1118" i="3"/>
  <c r="D1118" i="3"/>
  <c r="K1118" i="3"/>
  <c r="E1118" i="3"/>
  <c r="I1117" i="3"/>
  <c r="H1117" i="3" s="1"/>
  <c r="C1117" i="3"/>
  <c r="B1117" i="3" s="1"/>
  <c r="A1119" i="3"/>
  <c r="L1119" i="3" l="1"/>
  <c r="F1119" i="3"/>
  <c r="J1119" i="3"/>
  <c r="D1119" i="3"/>
  <c r="K1119" i="3"/>
  <c r="E1119" i="3"/>
  <c r="I1118" i="3"/>
  <c r="H1118" i="3" s="1"/>
  <c r="C1118" i="3"/>
  <c r="B1118" i="3" s="1"/>
  <c r="A1120" i="3"/>
  <c r="L1120" i="3" l="1"/>
  <c r="F1120" i="3"/>
  <c r="J1120" i="3"/>
  <c r="D1120" i="3"/>
  <c r="K1120" i="3"/>
  <c r="E1120" i="3"/>
  <c r="C1119" i="3"/>
  <c r="B1119" i="3" s="1"/>
  <c r="I1119" i="3"/>
  <c r="H1119" i="3" s="1"/>
  <c r="A1121" i="3"/>
  <c r="L1121" i="3" l="1"/>
  <c r="F1121" i="3"/>
  <c r="J1121" i="3"/>
  <c r="D1121" i="3"/>
  <c r="K1121" i="3"/>
  <c r="E1121" i="3"/>
  <c r="I1120" i="3"/>
  <c r="H1120" i="3" s="1"/>
  <c r="C1120" i="3"/>
  <c r="B1120" i="3" s="1"/>
  <c r="A1122" i="3"/>
  <c r="L1122" i="3" l="1"/>
  <c r="F1122" i="3"/>
  <c r="D1122" i="3"/>
  <c r="E1122" i="3"/>
  <c r="J1122" i="3"/>
  <c r="K1122" i="3"/>
  <c r="I1121" i="3"/>
  <c r="H1121" i="3" s="1"/>
  <c r="C1121" i="3"/>
  <c r="B1121" i="3" s="1"/>
  <c r="A1123" i="3"/>
  <c r="L1123" i="3" l="1"/>
  <c r="J1123" i="3"/>
  <c r="D1123" i="3"/>
  <c r="K1123" i="3"/>
  <c r="E1123" i="3"/>
  <c r="C1122" i="3"/>
  <c r="B1122" i="3" s="1"/>
  <c r="I1122" i="3"/>
  <c r="H1122" i="3" s="1"/>
  <c r="A1124" i="3"/>
  <c r="F1124" i="3" l="1"/>
  <c r="E1124" i="3"/>
  <c r="L1124" i="3"/>
  <c r="J1124" i="3"/>
  <c r="D1124" i="3"/>
  <c r="K1124" i="3"/>
  <c r="A1125" i="3"/>
  <c r="I1123" i="3"/>
  <c r="H1123" i="3" s="1"/>
  <c r="L1125" i="3" l="1"/>
  <c r="F1125" i="3"/>
  <c r="J1125" i="3"/>
  <c r="D1125" i="3"/>
  <c r="K1125" i="3"/>
  <c r="E1125" i="3"/>
  <c r="C1124" i="3"/>
  <c r="B1124" i="3" s="1"/>
  <c r="A1126" i="3"/>
  <c r="I1124" i="3"/>
  <c r="H1124" i="3" s="1"/>
  <c r="L1126" i="3" l="1"/>
  <c r="F1126" i="3"/>
  <c r="D1126" i="3"/>
  <c r="J1126" i="3"/>
  <c r="E1126" i="3"/>
  <c r="K1126" i="3"/>
  <c r="C1125" i="3"/>
  <c r="B1125" i="3" s="1"/>
  <c r="A1127" i="3"/>
  <c r="I1125" i="3"/>
  <c r="H1125" i="3" s="1"/>
  <c r="L1127" i="3" l="1"/>
  <c r="F1127" i="3"/>
  <c r="J1127" i="3"/>
  <c r="D1127" i="3"/>
  <c r="K1127" i="3"/>
  <c r="E1127" i="3"/>
  <c r="I1126" i="3"/>
  <c r="H1126" i="3" s="1"/>
  <c r="C1126" i="3"/>
  <c r="B1126" i="3" s="1"/>
  <c r="A1128" i="3"/>
  <c r="L1128" i="3" l="1"/>
  <c r="F1128" i="3"/>
  <c r="J1128" i="3"/>
  <c r="D1128" i="3"/>
  <c r="K1128" i="3"/>
  <c r="E1128" i="3"/>
  <c r="C1127" i="3"/>
  <c r="B1127" i="3" s="1"/>
  <c r="I1127" i="3"/>
  <c r="H1127" i="3" s="1"/>
  <c r="A1129" i="3"/>
  <c r="L1129" i="3" l="1"/>
  <c r="F1129" i="3"/>
  <c r="J1129" i="3"/>
  <c r="D1129" i="3"/>
  <c r="K1129" i="3"/>
  <c r="E1129" i="3"/>
  <c r="C1128" i="3"/>
  <c r="B1128" i="3" s="1"/>
  <c r="I1128" i="3"/>
  <c r="H1128" i="3" s="1"/>
  <c r="A1130" i="3"/>
  <c r="L1130" i="3" l="1"/>
  <c r="F1130" i="3"/>
  <c r="J1130" i="3"/>
  <c r="D1130" i="3"/>
  <c r="K1130" i="3"/>
  <c r="E1130" i="3"/>
  <c r="C1129" i="3"/>
  <c r="B1129" i="3" s="1"/>
  <c r="A1131" i="3"/>
  <c r="I1129" i="3"/>
  <c r="H1129" i="3" s="1"/>
  <c r="F1131" i="3" l="1"/>
  <c r="L1131" i="3"/>
  <c r="J1131" i="3"/>
  <c r="D1131" i="3"/>
  <c r="K1131" i="3"/>
  <c r="E1131" i="3"/>
  <c r="I1130" i="3"/>
  <c r="H1130" i="3" s="1"/>
  <c r="C1130" i="3"/>
  <c r="B1130" i="3" s="1"/>
  <c r="A1132" i="3"/>
  <c r="L1132" i="3" l="1"/>
  <c r="F1132" i="3"/>
  <c r="J1132" i="3"/>
  <c r="D1132" i="3"/>
  <c r="K1132" i="3"/>
  <c r="E1132" i="3"/>
  <c r="I1131" i="3"/>
  <c r="H1131" i="3" s="1"/>
  <c r="C1131" i="3"/>
  <c r="B1131" i="3" s="1"/>
  <c r="A1133" i="3"/>
  <c r="L1133" i="3" l="1"/>
  <c r="F1133" i="3"/>
  <c r="J1133" i="3"/>
  <c r="D1133" i="3"/>
  <c r="K1133" i="3"/>
  <c r="E1133" i="3"/>
  <c r="C1132" i="3"/>
  <c r="B1132" i="3" s="1"/>
  <c r="I1132" i="3"/>
  <c r="H1132" i="3" s="1"/>
  <c r="A1134" i="3"/>
  <c r="L1134" i="3" l="1"/>
  <c r="F1134" i="3"/>
  <c r="J1134" i="3"/>
  <c r="D1134" i="3"/>
  <c r="K1134" i="3"/>
  <c r="E1134" i="3"/>
  <c r="I1133" i="3"/>
  <c r="H1133" i="3" s="1"/>
  <c r="C1133" i="3"/>
  <c r="B1133" i="3" s="1"/>
  <c r="A1135" i="3"/>
  <c r="L1135" i="3" l="1"/>
  <c r="F1135" i="3"/>
  <c r="J1135" i="3"/>
  <c r="D1135" i="3"/>
  <c r="K1135" i="3"/>
  <c r="E1135" i="3"/>
  <c r="C1134" i="3"/>
  <c r="B1134" i="3" s="1"/>
  <c r="A1136" i="3"/>
  <c r="I1134" i="3"/>
  <c r="H1134" i="3" s="1"/>
  <c r="L1136" i="3" l="1"/>
  <c r="F1136" i="3"/>
  <c r="J1136" i="3"/>
  <c r="D1136" i="3"/>
  <c r="K1136" i="3"/>
  <c r="E1136" i="3"/>
  <c r="I1135" i="3"/>
  <c r="H1135" i="3" s="1"/>
  <c r="C1135" i="3"/>
  <c r="B1135" i="3" s="1"/>
  <c r="A1137" i="3"/>
  <c r="L1137" i="3" l="1"/>
  <c r="F1137" i="3"/>
  <c r="J1137" i="3"/>
  <c r="D1137" i="3"/>
  <c r="K1137" i="3"/>
  <c r="E1137" i="3"/>
  <c r="I1136" i="3"/>
  <c r="H1136" i="3" s="1"/>
  <c r="C1136" i="3"/>
  <c r="B1136" i="3" s="1"/>
  <c r="A1138" i="3"/>
  <c r="L1138" i="3" l="1"/>
  <c r="F1138" i="3"/>
  <c r="J1138" i="3"/>
  <c r="D1138" i="3"/>
  <c r="K1138" i="3"/>
  <c r="E1138" i="3"/>
  <c r="C1137" i="3"/>
  <c r="B1137" i="3" s="1"/>
  <c r="I1137" i="3"/>
  <c r="H1137" i="3" s="1"/>
  <c r="A1139" i="3"/>
  <c r="L1139" i="3" l="1"/>
  <c r="F1139" i="3"/>
  <c r="J1139" i="3"/>
  <c r="D1139" i="3"/>
  <c r="K1139" i="3"/>
  <c r="E1139" i="3"/>
  <c r="C1138" i="3"/>
  <c r="B1138" i="3" s="1"/>
  <c r="A1140" i="3"/>
  <c r="I1138" i="3"/>
  <c r="H1138" i="3" s="1"/>
  <c r="L1140" i="3" l="1"/>
  <c r="F1140" i="3"/>
  <c r="J1140" i="3"/>
  <c r="D1140" i="3"/>
  <c r="K1140" i="3"/>
  <c r="E1140" i="3"/>
  <c r="I1139" i="3"/>
  <c r="H1139" i="3" s="1"/>
  <c r="C1139" i="3"/>
  <c r="B1139" i="3" s="1"/>
  <c r="A1141" i="3"/>
  <c r="L1141" i="3" l="1"/>
  <c r="F1141" i="3"/>
  <c r="J1141" i="3"/>
  <c r="D1141" i="3"/>
  <c r="K1141" i="3"/>
  <c r="E1141" i="3"/>
  <c r="C1140" i="3"/>
  <c r="B1140" i="3" s="1"/>
  <c r="I1140" i="3"/>
  <c r="H1140" i="3" s="1"/>
  <c r="A1142" i="3"/>
  <c r="L1142" i="3" l="1"/>
  <c r="F1142" i="3"/>
  <c r="D1142" i="3"/>
  <c r="J1142" i="3"/>
  <c r="E1142" i="3"/>
  <c r="K1142" i="3"/>
  <c r="I1141" i="3"/>
  <c r="H1141" i="3" s="1"/>
  <c r="C1141" i="3"/>
  <c r="B1141" i="3" s="1"/>
  <c r="A1143" i="3"/>
  <c r="L1143" i="3" l="1"/>
  <c r="F1143" i="3"/>
  <c r="J1143" i="3"/>
  <c r="D1143" i="3"/>
  <c r="K1143" i="3"/>
  <c r="E1143" i="3"/>
  <c r="I1142" i="3"/>
  <c r="H1142" i="3" s="1"/>
  <c r="A1144" i="3"/>
  <c r="C1142" i="3"/>
  <c r="B1142" i="3" s="1"/>
  <c r="L1144" i="3" l="1"/>
  <c r="F1144" i="3"/>
  <c r="J1144" i="3"/>
  <c r="D1144" i="3"/>
  <c r="K1144" i="3"/>
  <c r="E1144" i="3"/>
  <c r="C1143" i="3"/>
  <c r="B1143" i="3" s="1"/>
  <c r="A1145" i="3"/>
  <c r="I1143" i="3"/>
  <c r="H1143" i="3" s="1"/>
  <c r="F1145" i="3" l="1"/>
  <c r="E1145" i="3"/>
  <c r="L1145" i="3"/>
  <c r="J1145" i="3"/>
  <c r="D1145" i="3"/>
  <c r="K1145" i="3"/>
  <c r="C1144" i="3"/>
  <c r="B1144" i="3" s="1"/>
  <c r="A1146" i="3"/>
  <c r="I1144" i="3"/>
  <c r="H1144" i="3" s="1"/>
  <c r="L1146" i="3" l="1"/>
  <c r="J1146" i="3"/>
  <c r="D1146" i="3"/>
  <c r="K1146" i="3"/>
  <c r="E1146" i="3"/>
  <c r="C1145" i="3"/>
  <c r="B1145" i="3" s="1"/>
  <c r="I1145" i="3"/>
  <c r="H1145" i="3" s="1"/>
  <c r="A1147" i="3"/>
  <c r="L1147" i="3" l="1"/>
  <c r="F1147" i="3"/>
  <c r="J1147" i="3"/>
  <c r="D1147" i="3"/>
  <c r="K1147" i="3"/>
  <c r="E1147" i="3"/>
  <c r="A1148" i="3"/>
  <c r="I1146" i="3"/>
  <c r="H1146" i="3" s="1"/>
  <c r="L1148" i="3" l="1"/>
  <c r="F1148" i="3"/>
  <c r="J1148" i="3"/>
  <c r="D1148" i="3"/>
  <c r="K1148" i="3"/>
  <c r="E1148" i="3"/>
  <c r="C1147" i="3"/>
  <c r="B1147" i="3" s="1"/>
  <c r="A1149" i="3"/>
  <c r="I1147" i="3"/>
  <c r="H1147" i="3" s="1"/>
  <c r="L1149" i="3" l="1"/>
  <c r="F1149" i="3"/>
  <c r="J1149" i="3"/>
  <c r="D1149" i="3"/>
  <c r="K1149" i="3"/>
  <c r="E1149" i="3"/>
  <c r="I1148" i="3"/>
  <c r="H1148" i="3" s="1"/>
  <c r="A1150" i="3"/>
  <c r="C1148" i="3"/>
  <c r="B1148" i="3" s="1"/>
  <c r="L1150" i="3" l="1"/>
  <c r="F1150" i="3"/>
  <c r="J1150" i="3"/>
  <c r="D1150" i="3"/>
  <c r="K1150" i="3"/>
  <c r="E1150" i="3"/>
  <c r="C1149" i="3"/>
  <c r="B1149" i="3" s="1"/>
  <c r="A1151" i="3"/>
  <c r="I1149" i="3"/>
  <c r="H1149" i="3" s="1"/>
  <c r="L1151" i="3" l="1"/>
  <c r="F1151" i="3"/>
  <c r="J1151" i="3"/>
  <c r="D1151" i="3"/>
  <c r="K1151" i="3"/>
  <c r="E1151" i="3"/>
  <c r="I1150" i="3"/>
  <c r="H1150" i="3" s="1"/>
  <c r="A1152" i="3"/>
  <c r="C1150" i="3"/>
  <c r="B1150" i="3" s="1"/>
  <c r="F1152" i="3" l="1"/>
  <c r="L1152" i="3"/>
  <c r="J1152" i="3"/>
  <c r="D1152" i="3"/>
  <c r="K1152" i="3"/>
  <c r="E1152" i="3"/>
  <c r="I1151" i="3"/>
  <c r="H1151" i="3" s="1"/>
  <c r="C1151" i="3"/>
  <c r="B1151" i="3" s="1"/>
  <c r="A1153" i="3"/>
  <c r="L1153" i="3" l="1"/>
  <c r="F1153" i="3"/>
  <c r="J1153" i="3"/>
  <c r="D1153" i="3"/>
  <c r="K1153" i="3"/>
  <c r="E1153" i="3"/>
  <c r="C1152" i="3"/>
  <c r="B1152" i="3" s="1"/>
  <c r="A1154" i="3"/>
  <c r="I1152" i="3"/>
  <c r="H1152" i="3" s="1"/>
  <c r="L1154" i="3" l="1"/>
  <c r="F1154" i="3"/>
  <c r="D1154" i="3"/>
  <c r="J1154" i="3"/>
  <c r="E1154" i="3"/>
  <c r="K1154" i="3"/>
  <c r="I1153" i="3"/>
  <c r="H1153" i="3" s="1"/>
  <c r="C1153" i="3"/>
  <c r="B1153" i="3" s="1"/>
  <c r="A1155" i="3"/>
  <c r="L1155" i="3" l="1"/>
  <c r="F1155" i="3"/>
  <c r="J1155" i="3"/>
  <c r="D1155" i="3"/>
  <c r="K1155" i="3"/>
  <c r="E1155" i="3"/>
  <c r="I1154" i="3"/>
  <c r="H1154" i="3" s="1"/>
  <c r="C1154" i="3"/>
  <c r="B1154" i="3" s="1"/>
  <c r="A1156" i="3"/>
  <c r="L1156" i="3" l="1"/>
  <c r="F1156" i="3"/>
  <c r="D1156" i="3"/>
  <c r="J1156" i="3"/>
  <c r="E1156" i="3"/>
  <c r="K1156" i="3"/>
  <c r="I1155" i="3"/>
  <c r="H1155" i="3" s="1"/>
  <c r="C1155" i="3"/>
  <c r="B1155" i="3" s="1"/>
  <c r="A1157" i="3"/>
  <c r="L1157" i="3" l="1"/>
  <c r="F1157" i="3"/>
  <c r="J1157" i="3"/>
  <c r="D1157" i="3"/>
  <c r="K1157" i="3"/>
  <c r="E1157" i="3"/>
  <c r="C1156" i="3"/>
  <c r="B1156" i="3" s="1"/>
  <c r="I1156" i="3"/>
  <c r="H1156" i="3" s="1"/>
  <c r="A1158" i="3"/>
  <c r="L1158" i="3" l="1"/>
  <c r="F1158" i="3"/>
  <c r="J1158" i="3"/>
  <c r="D1158" i="3"/>
  <c r="K1158" i="3"/>
  <c r="E1158" i="3"/>
  <c r="I1157" i="3"/>
  <c r="H1157" i="3" s="1"/>
  <c r="C1157" i="3"/>
  <c r="B1157" i="3" s="1"/>
  <c r="A1159" i="3"/>
  <c r="L1159" i="3" l="1"/>
  <c r="F1159" i="3"/>
  <c r="J1159" i="3"/>
  <c r="D1159" i="3"/>
  <c r="K1159" i="3"/>
  <c r="E1159" i="3"/>
  <c r="I1158" i="3"/>
  <c r="H1158" i="3" s="1"/>
  <c r="C1158" i="3"/>
  <c r="B1158" i="3" s="1"/>
  <c r="A1160" i="3"/>
  <c r="L1160" i="3" l="1"/>
  <c r="F1160" i="3"/>
  <c r="J1160" i="3"/>
  <c r="D1160" i="3"/>
  <c r="K1160" i="3"/>
  <c r="E1160" i="3"/>
  <c r="I1159" i="3"/>
  <c r="H1159" i="3" s="1"/>
  <c r="C1159" i="3"/>
  <c r="B1159" i="3" s="1"/>
  <c r="A1161" i="3"/>
  <c r="L1161" i="3" l="1"/>
  <c r="F1161" i="3"/>
  <c r="J1161" i="3"/>
  <c r="D1161" i="3"/>
  <c r="K1161" i="3"/>
  <c r="E1161" i="3"/>
  <c r="I1160" i="3"/>
  <c r="H1160" i="3" s="1"/>
  <c r="A1162" i="3"/>
  <c r="C1160" i="3"/>
  <c r="B1160" i="3" s="1"/>
  <c r="L1162" i="3" l="1"/>
  <c r="F1162" i="3"/>
  <c r="J1162" i="3"/>
  <c r="D1162" i="3"/>
  <c r="K1162" i="3"/>
  <c r="E1162" i="3"/>
  <c r="C1161" i="3"/>
  <c r="B1161" i="3" s="1"/>
  <c r="I1161" i="3"/>
  <c r="H1161" i="3" s="1"/>
  <c r="A1163" i="3"/>
  <c r="L1163" i="3" l="1"/>
  <c r="F1163" i="3"/>
  <c r="J1163" i="3"/>
  <c r="D1163" i="3"/>
  <c r="K1163" i="3"/>
  <c r="E1163" i="3"/>
  <c r="I1162" i="3"/>
  <c r="H1162" i="3" s="1"/>
  <c r="A1164" i="3"/>
  <c r="C1162" i="3"/>
  <c r="B1162" i="3" s="1"/>
  <c r="L1164" i="3" l="1"/>
  <c r="J1164" i="3"/>
  <c r="D1164" i="3"/>
  <c r="K1164" i="3"/>
  <c r="E1164" i="3"/>
  <c r="C1163" i="3"/>
  <c r="B1163" i="3" s="1"/>
  <c r="A1165" i="3"/>
  <c r="I1163" i="3"/>
  <c r="H1163" i="3" s="1"/>
  <c r="L1165" i="3" l="1"/>
  <c r="F1165" i="3"/>
  <c r="J1165" i="3"/>
  <c r="D1165" i="3"/>
  <c r="K1165" i="3"/>
  <c r="E1165" i="3"/>
  <c r="I1164" i="3"/>
  <c r="H1164" i="3" s="1"/>
  <c r="A1166" i="3"/>
  <c r="L1166" i="3" l="1"/>
  <c r="F1166" i="3"/>
  <c r="J1166" i="3"/>
  <c r="D1166" i="3"/>
  <c r="K1166" i="3"/>
  <c r="E1166" i="3"/>
  <c r="C1165" i="3"/>
  <c r="B1165" i="3" s="1"/>
  <c r="A1167" i="3"/>
  <c r="I1165" i="3"/>
  <c r="H1165" i="3" s="1"/>
  <c r="L1167" i="3" l="1"/>
  <c r="F1167" i="3"/>
  <c r="J1167" i="3"/>
  <c r="D1167" i="3"/>
  <c r="K1167" i="3"/>
  <c r="E1167" i="3"/>
  <c r="C1166" i="3"/>
  <c r="B1166" i="3" s="1"/>
  <c r="I1166" i="3"/>
  <c r="H1166" i="3" s="1"/>
  <c r="A1168" i="3"/>
  <c r="F1168" i="3" l="1"/>
  <c r="E1168" i="3"/>
  <c r="L1168" i="3"/>
  <c r="J1168" i="3"/>
  <c r="D1168" i="3"/>
  <c r="K1168" i="3"/>
  <c r="I1167" i="3"/>
  <c r="H1167" i="3" s="1"/>
  <c r="C1167" i="3"/>
  <c r="B1167" i="3" s="1"/>
  <c r="A1169" i="3"/>
  <c r="L1169" i="3" l="1"/>
  <c r="F1169" i="3"/>
  <c r="J1169" i="3"/>
  <c r="D1169" i="3"/>
  <c r="K1169" i="3"/>
  <c r="E1169" i="3"/>
  <c r="C1168" i="3"/>
  <c r="B1168" i="3" s="1"/>
  <c r="I1168" i="3"/>
  <c r="H1168" i="3" s="1"/>
  <c r="A1170" i="3"/>
  <c r="L1170" i="3" l="1"/>
  <c r="F1170" i="3"/>
  <c r="J1170" i="3"/>
  <c r="D1170" i="3"/>
  <c r="K1170" i="3"/>
  <c r="E1170" i="3"/>
  <c r="C1169" i="3"/>
  <c r="B1169" i="3" s="1"/>
  <c r="I1169" i="3"/>
  <c r="H1169" i="3" s="1"/>
  <c r="A1171" i="3"/>
  <c r="L1171" i="3" l="1"/>
  <c r="F1171" i="3"/>
  <c r="D1171" i="3"/>
  <c r="E1171" i="3"/>
  <c r="J1171" i="3"/>
  <c r="K1171" i="3"/>
  <c r="C1170" i="3"/>
  <c r="B1170" i="3" s="1"/>
  <c r="I1170" i="3"/>
  <c r="H1170" i="3" s="1"/>
  <c r="A1172" i="3"/>
  <c r="L1172" i="3" l="1"/>
  <c r="F1172" i="3"/>
  <c r="J1172" i="3"/>
  <c r="D1172" i="3"/>
  <c r="K1172" i="3"/>
  <c r="E1172" i="3"/>
  <c r="I1171" i="3"/>
  <c r="H1171" i="3" s="1"/>
  <c r="A1173" i="3"/>
  <c r="C1171" i="3"/>
  <c r="B1171" i="3" s="1"/>
  <c r="L1173" i="3" l="1"/>
  <c r="F1173" i="3"/>
  <c r="J1173" i="3"/>
  <c r="D1173" i="3"/>
  <c r="K1173" i="3"/>
  <c r="E1173" i="3"/>
  <c r="I1172" i="3"/>
  <c r="H1172" i="3" s="1"/>
  <c r="A1174" i="3"/>
  <c r="C1172" i="3"/>
  <c r="B1172" i="3" s="1"/>
  <c r="L1174" i="3" l="1"/>
  <c r="F1174" i="3"/>
  <c r="J1174" i="3"/>
  <c r="D1174" i="3"/>
  <c r="K1174" i="3"/>
  <c r="E1174" i="3"/>
  <c r="C1173" i="3"/>
  <c r="B1173" i="3" s="1"/>
  <c r="I1173" i="3"/>
  <c r="H1173" i="3" s="1"/>
  <c r="A1175" i="3"/>
  <c r="F1175" i="3" l="1"/>
  <c r="L1175" i="3"/>
  <c r="J1175" i="3"/>
  <c r="D1175" i="3"/>
  <c r="K1175" i="3"/>
  <c r="E1175" i="3"/>
  <c r="C1174" i="3"/>
  <c r="B1174" i="3" s="1"/>
  <c r="A1176" i="3"/>
  <c r="I1174" i="3"/>
  <c r="H1174" i="3" s="1"/>
  <c r="L1176" i="3" l="1"/>
  <c r="F1176" i="3"/>
  <c r="J1176" i="3"/>
  <c r="D1176" i="3"/>
  <c r="K1176" i="3"/>
  <c r="E1176" i="3"/>
  <c r="C1175" i="3"/>
  <c r="B1175" i="3" s="1"/>
  <c r="A1177" i="3"/>
  <c r="I1175" i="3"/>
  <c r="H1175" i="3" s="1"/>
  <c r="L1177" i="3" l="1"/>
  <c r="F1177" i="3"/>
  <c r="J1177" i="3"/>
  <c r="D1177" i="3"/>
  <c r="K1177" i="3"/>
  <c r="E1177" i="3"/>
  <c r="I1176" i="3"/>
  <c r="H1176" i="3" s="1"/>
  <c r="A1178" i="3"/>
  <c r="C1176" i="3"/>
  <c r="B1176" i="3" s="1"/>
  <c r="L1178" i="3" l="1"/>
  <c r="F1178" i="3"/>
  <c r="J1178" i="3"/>
  <c r="D1178" i="3"/>
  <c r="K1178" i="3"/>
  <c r="E1178" i="3"/>
  <c r="I1177" i="3"/>
  <c r="H1177" i="3" s="1"/>
  <c r="A1179" i="3"/>
  <c r="C1177" i="3"/>
  <c r="B1177" i="3" s="1"/>
  <c r="L1179" i="3" l="1"/>
  <c r="F1179" i="3"/>
  <c r="J1179" i="3"/>
  <c r="D1179" i="3"/>
  <c r="K1179" i="3"/>
  <c r="E1179" i="3"/>
  <c r="C1178" i="3"/>
  <c r="B1178" i="3" s="1"/>
  <c r="A1180" i="3"/>
  <c r="I1178" i="3"/>
  <c r="H1178" i="3" s="1"/>
  <c r="L1180" i="3" l="1"/>
  <c r="F1180" i="3"/>
  <c r="J1180" i="3"/>
  <c r="D1180" i="3"/>
  <c r="K1180" i="3"/>
  <c r="E1180" i="3"/>
  <c r="C1179" i="3"/>
  <c r="B1179" i="3" s="1"/>
  <c r="A1181" i="3"/>
  <c r="I1179" i="3"/>
  <c r="H1179" i="3" s="1"/>
  <c r="L1181" i="3" l="1"/>
  <c r="F1181" i="3"/>
  <c r="J1181" i="3"/>
  <c r="D1181" i="3"/>
  <c r="K1181" i="3"/>
  <c r="E1181" i="3"/>
  <c r="A1182" i="3"/>
  <c r="C1180" i="3"/>
  <c r="B1180" i="3" s="1"/>
  <c r="I1180" i="3"/>
  <c r="H1180" i="3" s="1"/>
  <c r="L1182" i="3" l="1"/>
  <c r="F1182" i="3"/>
  <c r="J1182" i="3"/>
  <c r="D1182" i="3"/>
  <c r="K1182" i="3"/>
  <c r="E1182" i="3"/>
  <c r="C1181" i="3"/>
  <c r="B1181" i="3" s="1"/>
  <c r="A1183" i="3"/>
  <c r="I1181" i="3"/>
  <c r="H1181" i="3" s="1"/>
  <c r="L1183" i="3" l="1"/>
  <c r="F1183" i="3"/>
  <c r="D1183" i="3"/>
  <c r="E1183" i="3"/>
  <c r="J1183" i="3"/>
  <c r="K1183" i="3"/>
  <c r="I1182" i="3"/>
  <c r="H1182" i="3" s="1"/>
  <c r="C1182" i="3"/>
  <c r="B1182" i="3" s="1"/>
  <c r="A1184" i="3"/>
  <c r="L1184" i="3" l="1"/>
  <c r="F1184" i="3"/>
  <c r="J1184" i="3"/>
  <c r="D1184" i="3"/>
  <c r="K1184" i="3"/>
  <c r="E1184" i="3"/>
  <c r="I1183" i="3"/>
  <c r="H1183" i="3" s="1"/>
  <c r="A1185" i="3"/>
  <c r="C1183" i="3"/>
  <c r="B1183" i="3" s="1"/>
  <c r="L1185" i="3" l="1"/>
  <c r="F1185" i="3"/>
  <c r="J1185" i="3"/>
  <c r="D1185" i="3"/>
  <c r="K1185" i="3"/>
  <c r="E1185" i="3"/>
  <c r="C1184" i="3"/>
  <c r="B1184" i="3" s="1"/>
  <c r="A1186" i="3"/>
  <c r="I1184" i="3"/>
  <c r="H1184" i="3" s="1"/>
  <c r="L1186" i="3" l="1"/>
  <c r="J1186" i="3"/>
  <c r="D1186" i="3"/>
  <c r="K1186" i="3"/>
  <c r="E1186" i="3"/>
  <c r="C1185" i="3"/>
  <c r="B1185" i="3" s="1"/>
  <c r="I1185" i="3"/>
  <c r="H1185" i="3" s="1"/>
  <c r="A1187" i="3"/>
  <c r="L1187" i="3" l="1"/>
  <c r="F1187" i="3"/>
  <c r="J1187" i="3"/>
  <c r="D1187" i="3"/>
  <c r="K1187" i="3"/>
  <c r="E1187" i="3"/>
  <c r="I1186" i="3"/>
  <c r="H1186" i="3" s="1"/>
  <c r="A1188" i="3"/>
  <c r="L1188" i="3" l="1"/>
  <c r="F1188" i="3"/>
  <c r="D1188" i="3"/>
  <c r="J1188" i="3"/>
  <c r="E1188" i="3"/>
  <c r="K1188" i="3"/>
  <c r="C1187" i="3"/>
  <c r="B1187" i="3" s="1"/>
  <c r="I1187" i="3"/>
  <c r="H1187" i="3" s="1"/>
  <c r="A1189" i="3"/>
  <c r="F1189" i="3" l="1"/>
  <c r="E1189" i="3"/>
  <c r="L1189" i="3"/>
  <c r="J1189" i="3"/>
  <c r="D1189" i="3"/>
  <c r="K1189" i="3"/>
  <c r="C1188" i="3"/>
  <c r="B1188" i="3" s="1"/>
  <c r="I1188" i="3"/>
  <c r="H1188" i="3" s="1"/>
  <c r="A1190" i="3"/>
  <c r="L1190" i="3" l="1"/>
  <c r="F1190" i="3"/>
  <c r="J1190" i="3"/>
  <c r="D1190" i="3"/>
  <c r="K1190" i="3"/>
  <c r="E1190" i="3"/>
  <c r="C1189" i="3"/>
  <c r="B1189" i="3" s="1"/>
  <c r="I1189" i="3"/>
  <c r="H1189" i="3" s="1"/>
  <c r="A1191" i="3"/>
  <c r="L1191" i="3" l="1"/>
  <c r="F1191" i="3"/>
  <c r="J1191" i="3"/>
  <c r="D1191" i="3"/>
  <c r="K1191" i="3"/>
  <c r="E1191" i="3"/>
  <c r="C1190" i="3"/>
  <c r="B1190" i="3" s="1"/>
  <c r="A1192" i="3"/>
  <c r="I1190" i="3"/>
  <c r="H1190" i="3" s="1"/>
  <c r="L1192" i="3" l="1"/>
  <c r="F1192" i="3"/>
  <c r="J1192" i="3"/>
  <c r="D1192" i="3"/>
  <c r="K1192" i="3"/>
  <c r="E1192" i="3"/>
  <c r="C1191" i="3"/>
  <c r="B1191" i="3" s="1"/>
  <c r="A1193" i="3"/>
  <c r="I1191" i="3"/>
  <c r="H1191" i="3" s="1"/>
  <c r="L1193" i="3" l="1"/>
  <c r="F1193" i="3"/>
  <c r="J1193" i="3"/>
  <c r="D1193" i="3"/>
  <c r="K1193" i="3"/>
  <c r="E1193" i="3"/>
  <c r="I1192" i="3"/>
  <c r="H1192" i="3" s="1"/>
  <c r="C1192" i="3"/>
  <c r="B1192" i="3" s="1"/>
  <c r="A1194" i="3"/>
  <c r="L1194" i="3" l="1"/>
  <c r="F1194" i="3"/>
  <c r="J1194" i="3"/>
  <c r="D1194" i="3"/>
  <c r="K1194" i="3"/>
  <c r="E1194" i="3"/>
  <c r="C1193" i="3"/>
  <c r="B1193" i="3" s="1"/>
  <c r="I1193" i="3"/>
  <c r="H1193" i="3" s="1"/>
  <c r="A1195" i="3"/>
  <c r="L1195" i="3" l="1"/>
  <c r="F1195" i="3"/>
  <c r="J1195" i="3"/>
  <c r="D1195" i="3"/>
  <c r="K1195" i="3"/>
  <c r="E1195" i="3"/>
  <c r="C1194" i="3"/>
  <c r="B1194" i="3" s="1"/>
  <c r="I1194" i="3"/>
  <c r="H1194" i="3" s="1"/>
  <c r="A1196" i="3"/>
  <c r="F1196" i="3" l="1"/>
  <c r="L1196" i="3"/>
  <c r="J1196" i="3"/>
  <c r="D1196" i="3"/>
  <c r="K1196" i="3"/>
  <c r="E1196" i="3"/>
  <c r="I1195" i="3"/>
  <c r="H1195" i="3" s="1"/>
  <c r="A1197" i="3"/>
  <c r="C1195" i="3"/>
  <c r="B1195" i="3" s="1"/>
  <c r="L1197" i="3" l="1"/>
  <c r="F1197" i="3"/>
  <c r="J1197" i="3"/>
  <c r="D1197" i="3"/>
  <c r="K1197" i="3"/>
  <c r="E1197" i="3"/>
  <c r="C1196" i="3"/>
  <c r="B1196" i="3" s="1"/>
  <c r="A1198" i="3"/>
  <c r="I1196" i="3"/>
  <c r="H1196" i="3" s="1"/>
  <c r="L1198" i="3" l="1"/>
  <c r="F1198" i="3"/>
  <c r="J1198" i="3"/>
  <c r="D1198" i="3"/>
  <c r="K1198" i="3"/>
  <c r="E1198" i="3"/>
  <c r="C1197" i="3"/>
  <c r="B1197" i="3" s="1"/>
  <c r="I1197" i="3"/>
  <c r="H1197" i="3" s="1"/>
  <c r="A1199" i="3"/>
  <c r="L1199" i="3" l="1"/>
  <c r="F1199" i="3"/>
  <c r="J1199" i="3"/>
  <c r="D1199" i="3"/>
  <c r="K1199" i="3"/>
  <c r="E1199" i="3"/>
  <c r="I1198" i="3"/>
  <c r="H1198" i="3" s="1"/>
  <c r="A1200" i="3"/>
  <c r="C1198" i="3"/>
  <c r="B1198" i="3" s="1"/>
  <c r="L1200" i="3" l="1"/>
  <c r="F1200" i="3"/>
  <c r="J1200" i="3"/>
  <c r="D1200" i="3"/>
  <c r="K1200" i="3"/>
  <c r="E1200" i="3"/>
  <c r="I1199" i="3"/>
  <c r="H1199" i="3" s="1"/>
  <c r="C1199" i="3"/>
  <c r="B1199" i="3" s="1"/>
  <c r="A1201" i="3"/>
  <c r="L1201" i="3" l="1"/>
  <c r="F1201" i="3"/>
  <c r="J1201" i="3"/>
  <c r="D1201" i="3"/>
  <c r="K1201" i="3"/>
  <c r="E1201" i="3"/>
  <c r="I1200" i="3"/>
  <c r="H1200" i="3" s="1"/>
  <c r="A1202" i="3"/>
  <c r="C1200" i="3"/>
  <c r="B1200" i="3" s="1"/>
  <c r="L1202" i="3" l="1"/>
  <c r="F1202" i="3"/>
  <c r="J1202" i="3"/>
  <c r="D1202" i="3"/>
  <c r="K1202" i="3"/>
  <c r="E1202" i="3"/>
  <c r="C1201" i="3"/>
  <c r="B1201" i="3" s="1"/>
  <c r="A1203" i="3"/>
  <c r="I1201" i="3"/>
  <c r="H1201" i="3" s="1"/>
  <c r="L1203" i="3" l="1"/>
  <c r="F1203" i="3"/>
  <c r="D1203" i="3"/>
  <c r="J1203" i="3"/>
  <c r="E1203" i="3"/>
  <c r="K1203" i="3"/>
  <c r="C1202" i="3"/>
  <c r="B1202" i="3" s="1"/>
  <c r="A1204" i="3"/>
  <c r="I1202" i="3"/>
  <c r="H1202" i="3" s="1"/>
  <c r="L1204" i="3" l="1"/>
  <c r="F1204" i="3"/>
  <c r="J1204" i="3"/>
  <c r="D1204" i="3"/>
  <c r="K1204" i="3"/>
  <c r="E1204" i="3"/>
  <c r="I1203" i="3"/>
  <c r="H1203" i="3" s="1"/>
  <c r="C1203" i="3"/>
  <c r="B1203" i="3" s="1"/>
  <c r="A1205" i="3"/>
  <c r="L1205" i="3" l="1"/>
  <c r="F1205" i="3"/>
  <c r="J1205" i="3"/>
  <c r="D1205" i="3"/>
  <c r="K1205" i="3"/>
  <c r="E1205" i="3"/>
  <c r="C1204" i="3"/>
  <c r="B1204" i="3" s="1"/>
  <c r="I1204" i="3"/>
  <c r="H1204" i="3" s="1"/>
  <c r="A1206" i="3"/>
  <c r="L1206" i="3" l="1"/>
  <c r="F1206" i="3"/>
  <c r="J1206" i="3"/>
  <c r="D1206" i="3"/>
  <c r="K1206" i="3"/>
  <c r="E1206" i="3"/>
  <c r="I1205" i="3"/>
  <c r="H1205" i="3" s="1"/>
  <c r="A1207" i="3"/>
  <c r="C1205" i="3"/>
  <c r="B1205" i="3" s="1"/>
  <c r="L1207" i="3" l="1"/>
  <c r="J1207" i="3"/>
  <c r="D1207" i="3"/>
  <c r="K1207" i="3"/>
  <c r="E1207" i="3"/>
  <c r="C1206" i="3"/>
  <c r="B1206" i="3" s="1"/>
  <c r="A1208" i="3"/>
  <c r="I1206" i="3"/>
  <c r="H1206" i="3" s="1"/>
  <c r="L1208" i="3" l="1"/>
  <c r="F1208" i="3"/>
  <c r="J1208" i="3"/>
  <c r="D1208" i="3"/>
  <c r="K1208" i="3"/>
  <c r="E1208" i="3"/>
  <c r="A1209" i="3"/>
  <c r="I1207" i="3"/>
  <c r="H1207" i="3" s="1"/>
  <c r="L1209" i="3" l="1"/>
  <c r="F1209" i="3"/>
  <c r="J1209" i="3"/>
  <c r="D1209" i="3"/>
  <c r="K1209" i="3"/>
  <c r="E1209" i="3"/>
  <c r="C1208" i="3"/>
  <c r="B1208" i="3" s="1"/>
  <c r="I1208" i="3"/>
  <c r="H1208" i="3" s="1"/>
  <c r="A1210" i="3"/>
  <c r="F1210" i="3" l="1"/>
  <c r="E1210" i="3"/>
  <c r="L1210" i="3"/>
  <c r="J1210" i="3"/>
  <c r="D1210" i="3"/>
  <c r="K1210" i="3"/>
  <c r="C1209" i="3"/>
  <c r="B1209" i="3" s="1"/>
  <c r="I1209" i="3"/>
  <c r="H1209" i="3" s="1"/>
  <c r="A1211" i="3"/>
  <c r="L1211" i="3" l="1"/>
  <c r="F1211" i="3"/>
  <c r="J1211" i="3"/>
  <c r="D1211" i="3"/>
  <c r="K1211" i="3"/>
  <c r="E1211" i="3"/>
  <c r="I1210" i="3"/>
  <c r="H1210" i="3" s="1"/>
  <c r="A1212" i="3"/>
  <c r="C1210" i="3"/>
  <c r="B1210" i="3" s="1"/>
  <c r="L1212" i="3" l="1"/>
  <c r="F1212" i="3"/>
  <c r="J1212" i="3"/>
  <c r="D1212" i="3"/>
  <c r="K1212" i="3"/>
  <c r="E1212" i="3"/>
  <c r="C1211" i="3"/>
  <c r="B1211" i="3" s="1"/>
  <c r="A1213" i="3"/>
  <c r="I1211" i="3"/>
  <c r="H1211" i="3" s="1"/>
  <c r="L1213" i="3" l="1"/>
  <c r="F1213" i="3"/>
  <c r="J1213" i="3"/>
  <c r="D1213" i="3"/>
  <c r="K1213" i="3"/>
  <c r="E1213" i="3"/>
  <c r="C1212" i="3"/>
  <c r="B1212" i="3" s="1"/>
  <c r="A1214" i="3"/>
  <c r="I1212" i="3"/>
  <c r="H1212" i="3" s="1"/>
  <c r="L1214" i="3" l="1"/>
  <c r="F1214" i="3"/>
  <c r="D1214" i="3"/>
  <c r="J1214" i="3"/>
  <c r="E1214" i="3"/>
  <c r="K1214" i="3"/>
  <c r="I1213" i="3"/>
  <c r="H1213" i="3" s="1"/>
  <c r="C1213" i="3"/>
  <c r="B1213" i="3" s="1"/>
  <c r="A1215" i="3"/>
  <c r="L1215" i="3" l="1"/>
  <c r="F1215" i="3"/>
  <c r="D1215" i="3"/>
  <c r="J1215" i="3"/>
  <c r="E1215" i="3"/>
  <c r="K1215" i="3"/>
  <c r="I1214" i="3"/>
  <c r="H1214" i="3" s="1"/>
  <c r="C1214" i="3"/>
  <c r="B1214" i="3" s="1"/>
  <c r="A1216" i="3"/>
  <c r="L1216" i="3" l="1"/>
  <c r="F1216" i="3"/>
  <c r="J1216" i="3"/>
  <c r="D1216" i="3"/>
  <c r="K1216" i="3"/>
  <c r="E1216" i="3"/>
  <c r="C1215" i="3"/>
  <c r="B1215" i="3" s="1"/>
  <c r="I1215" i="3"/>
  <c r="H1215" i="3" s="1"/>
  <c r="A1217" i="3"/>
  <c r="F1217" i="3" l="1"/>
  <c r="L1217" i="3"/>
  <c r="J1217" i="3"/>
  <c r="D1217" i="3"/>
  <c r="K1217" i="3"/>
  <c r="E1217" i="3"/>
  <c r="C1216" i="3"/>
  <c r="B1216" i="3" s="1"/>
  <c r="A1218" i="3"/>
  <c r="I1216" i="3"/>
  <c r="H1216" i="3" s="1"/>
  <c r="L1218" i="3" l="1"/>
  <c r="F1218" i="3"/>
  <c r="J1218" i="3"/>
  <c r="D1218" i="3"/>
  <c r="K1218" i="3"/>
  <c r="E1218" i="3"/>
  <c r="I1217" i="3"/>
  <c r="H1217" i="3" s="1"/>
  <c r="C1217" i="3"/>
  <c r="B1217" i="3" s="1"/>
  <c r="A1219" i="3"/>
  <c r="L1219" i="3" l="1"/>
  <c r="F1219" i="3"/>
  <c r="J1219" i="3"/>
  <c r="D1219" i="3"/>
  <c r="K1219" i="3"/>
  <c r="E1219" i="3"/>
  <c r="I1218" i="3"/>
  <c r="H1218" i="3" s="1"/>
  <c r="C1218" i="3"/>
  <c r="B1218" i="3" s="1"/>
  <c r="A1220" i="3"/>
  <c r="L1220" i="3" l="1"/>
  <c r="F1220" i="3"/>
  <c r="J1220" i="3"/>
  <c r="D1220" i="3"/>
  <c r="K1220" i="3"/>
  <c r="E1220" i="3"/>
  <c r="I1219" i="3"/>
  <c r="H1219" i="3" s="1"/>
  <c r="C1219" i="3"/>
  <c r="B1219" i="3" s="1"/>
  <c r="A1221" i="3"/>
  <c r="L1221" i="3" l="1"/>
  <c r="F1221" i="3"/>
  <c r="J1221" i="3"/>
  <c r="D1221" i="3"/>
  <c r="K1221" i="3"/>
  <c r="E1221" i="3"/>
  <c r="C1220" i="3"/>
  <c r="B1220" i="3" s="1"/>
  <c r="I1220" i="3"/>
  <c r="H1220" i="3" s="1"/>
  <c r="A1222" i="3"/>
  <c r="L1222" i="3" l="1"/>
  <c r="F1222" i="3"/>
  <c r="J1222" i="3"/>
  <c r="D1222" i="3"/>
  <c r="K1222" i="3"/>
  <c r="E1222" i="3"/>
  <c r="C1221" i="3"/>
  <c r="B1221" i="3" s="1"/>
  <c r="I1221" i="3"/>
  <c r="H1221" i="3" s="1"/>
  <c r="A1223" i="3"/>
  <c r="L1223" i="3" l="1"/>
  <c r="F1223" i="3"/>
  <c r="J1223" i="3"/>
  <c r="D1223" i="3"/>
  <c r="K1223" i="3"/>
  <c r="E1223" i="3"/>
  <c r="C1222" i="3"/>
  <c r="B1222" i="3" s="1"/>
  <c r="A1224" i="3"/>
  <c r="I1222" i="3"/>
  <c r="H1222" i="3" s="1"/>
  <c r="L1224" i="3" l="1"/>
  <c r="F1224" i="3"/>
  <c r="J1224" i="3"/>
  <c r="D1224" i="3"/>
  <c r="K1224" i="3"/>
  <c r="E1224" i="3"/>
  <c r="C1223" i="3"/>
  <c r="B1223" i="3" s="1"/>
  <c r="I1223" i="3"/>
  <c r="H1223" i="3" s="1"/>
  <c r="A1225" i="3"/>
  <c r="L1225" i="3" l="1"/>
  <c r="F1225" i="3"/>
  <c r="J1225" i="3"/>
  <c r="D1225" i="3"/>
  <c r="K1225" i="3"/>
  <c r="E1225" i="3"/>
  <c r="I1224" i="3"/>
  <c r="H1224" i="3" s="1"/>
  <c r="C1224" i="3"/>
  <c r="B1224" i="3" s="1"/>
  <c r="A1226" i="3"/>
  <c r="L1226" i="3" l="1"/>
  <c r="F1226" i="3"/>
  <c r="J1226" i="3"/>
  <c r="D1226" i="3"/>
  <c r="K1226" i="3"/>
  <c r="E1226" i="3"/>
  <c r="I1225" i="3"/>
  <c r="H1225" i="3" s="1"/>
  <c r="A1227" i="3"/>
  <c r="C1225" i="3"/>
  <c r="B1225" i="3" s="1"/>
  <c r="L1227" i="3" l="1"/>
  <c r="F1227" i="3"/>
  <c r="J1227" i="3"/>
  <c r="D1227" i="3"/>
  <c r="K1227" i="3"/>
  <c r="E1227" i="3"/>
  <c r="C1226" i="3"/>
  <c r="B1226" i="3" s="1"/>
  <c r="A1228" i="3"/>
  <c r="I1226" i="3"/>
  <c r="H1226" i="3" s="1"/>
  <c r="L1228" i="3" l="1"/>
  <c r="J1228" i="3"/>
  <c r="D1228" i="3"/>
  <c r="K1228" i="3"/>
  <c r="E1228" i="3"/>
  <c r="C1227" i="3"/>
  <c r="B1227" i="3" s="1"/>
  <c r="A1229" i="3"/>
  <c r="I1227" i="3"/>
  <c r="H1227" i="3" s="1"/>
  <c r="L1229" i="3" l="1"/>
  <c r="F1229" i="3"/>
  <c r="J1229" i="3"/>
  <c r="D1229" i="3"/>
  <c r="K1229" i="3"/>
  <c r="E1229" i="3"/>
  <c r="A1230" i="3"/>
  <c r="I1228" i="3"/>
  <c r="H1228" i="3" s="1"/>
  <c r="L1230" i="3" l="1"/>
  <c r="F1230" i="3"/>
  <c r="J1230" i="3"/>
  <c r="D1230" i="3"/>
  <c r="K1230" i="3"/>
  <c r="E1230" i="3"/>
  <c r="C1229" i="3"/>
  <c r="B1229" i="3" s="1"/>
  <c r="A1231" i="3"/>
  <c r="I1229" i="3"/>
  <c r="H1229" i="3" s="1"/>
  <c r="F1231" i="3" l="1"/>
  <c r="E1231" i="3"/>
  <c r="L1231" i="3"/>
  <c r="J1231" i="3"/>
  <c r="D1231" i="3"/>
  <c r="K1231" i="3"/>
  <c r="I1230" i="3"/>
  <c r="H1230" i="3" s="1"/>
  <c r="C1230" i="3"/>
  <c r="B1230" i="3" s="1"/>
  <c r="A1232" i="3"/>
  <c r="L1232" i="3" l="1"/>
  <c r="F1232" i="3"/>
  <c r="D1232" i="3"/>
  <c r="E1232" i="3"/>
  <c r="J1232" i="3"/>
  <c r="K1232" i="3"/>
  <c r="I1231" i="3"/>
  <c r="H1231" i="3" s="1"/>
  <c r="C1231" i="3"/>
  <c r="B1231" i="3" s="1"/>
  <c r="A1233" i="3"/>
  <c r="L1233" i="3" l="1"/>
  <c r="F1233" i="3"/>
  <c r="J1233" i="3"/>
  <c r="K1233" i="3"/>
  <c r="D1233" i="3"/>
  <c r="E1233" i="3"/>
  <c r="I1232" i="3"/>
  <c r="H1232" i="3" s="1"/>
  <c r="C1232" i="3"/>
  <c r="B1232" i="3" s="1"/>
  <c r="A1234" i="3"/>
  <c r="L1234" i="3" l="1"/>
  <c r="F1234" i="3"/>
  <c r="J1234" i="3"/>
  <c r="D1234" i="3"/>
  <c r="K1234" i="3"/>
  <c r="E1234" i="3"/>
  <c r="I1233" i="3"/>
  <c r="H1233" i="3" s="1"/>
  <c r="C1233" i="3"/>
  <c r="B1233" i="3" s="1"/>
  <c r="A1235" i="3"/>
  <c r="L1235" i="3" l="1"/>
  <c r="F1235" i="3"/>
  <c r="J1235" i="3"/>
  <c r="D1235" i="3"/>
  <c r="K1235" i="3"/>
  <c r="E1235" i="3"/>
  <c r="I1234" i="3"/>
  <c r="H1234" i="3" s="1"/>
  <c r="A1236" i="3"/>
  <c r="C1234" i="3"/>
  <c r="B1234" i="3" s="1"/>
  <c r="L1236" i="3" l="1"/>
  <c r="F1236" i="3"/>
  <c r="J1236" i="3"/>
  <c r="D1236" i="3"/>
  <c r="K1236" i="3"/>
  <c r="E1236" i="3"/>
  <c r="C1235" i="3"/>
  <c r="B1235" i="3" s="1"/>
  <c r="I1235" i="3"/>
  <c r="H1235" i="3" s="1"/>
  <c r="A1237" i="3"/>
  <c r="L1237" i="3" l="1"/>
  <c r="F1237" i="3"/>
  <c r="J1237" i="3"/>
  <c r="D1237" i="3"/>
  <c r="K1237" i="3"/>
  <c r="E1237" i="3"/>
  <c r="I1236" i="3"/>
  <c r="H1236" i="3" s="1"/>
  <c r="A1238" i="3"/>
  <c r="C1236" i="3"/>
  <c r="B1236" i="3" s="1"/>
  <c r="F1238" i="3" l="1"/>
  <c r="L1238" i="3"/>
  <c r="J1238" i="3"/>
  <c r="D1238" i="3"/>
  <c r="K1238" i="3"/>
  <c r="E1238" i="3"/>
  <c r="C1237" i="3"/>
  <c r="B1237" i="3" s="1"/>
  <c r="A1239" i="3"/>
  <c r="I1237" i="3"/>
  <c r="H1237" i="3" s="1"/>
  <c r="L1239" i="3" l="1"/>
  <c r="F1239" i="3"/>
  <c r="J1239" i="3"/>
  <c r="D1239" i="3"/>
  <c r="K1239" i="3"/>
  <c r="E1239" i="3"/>
  <c r="C1238" i="3"/>
  <c r="B1238" i="3" s="1"/>
  <c r="A1240" i="3"/>
  <c r="I1238" i="3"/>
  <c r="H1238" i="3" s="1"/>
  <c r="L1240" i="3" l="1"/>
  <c r="F1240" i="3"/>
  <c r="J1240" i="3"/>
  <c r="D1240" i="3"/>
  <c r="K1240" i="3"/>
  <c r="E1240" i="3"/>
  <c r="C1239" i="3"/>
  <c r="B1239" i="3" s="1"/>
  <c r="A1241" i="3"/>
  <c r="I1239" i="3"/>
  <c r="H1239" i="3" s="1"/>
  <c r="L1241" i="3" l="1"/>
  <c r="F1241" i="3"/>
  <c r="J1241" i="3"/>
  <c r="D1241" i="3"/>
  <c r="K1241" i="3"/>
  <c r="E1241" i="3"/>
  <c r="I1240" i="3"/>
  <c r="H1240" i="3" s="1"/>
  <c r="C1240" i="3"/>
  <c r="B1240" i="3" s="1"/>
  <c r="A1242" i="3"/>
  <c r="L1242" i="3" l="1"/>
  <c r="F1242" i="3"/>
  <c r="J1242" i="3"/>
  <c r="D1242" i="3"/>
  <c r="K1242" i="3"/>
  <c r="E1242" i="3"/>
  <c r="C1241" i="3"/>
  <c r="B1241" i="3" s="1"/>
  <c r="I1241" i="3"/>
  <c r="H1241" i="3" s="1"/>
  <c r="A1243" i="3"/>
  <c r="L1243" i="3" l="1"/>
  <c r="F1243" i="3"/>
  <c r="J1243" i="3"/>
  <c r="D1243" i="3"/>
  <c r="K1243" i="3"/>
  <c r="E1243" i="3"/>
  <c r="C1242" i="3"/>
  <c r="B1242" i="3" s="1"/>
  <c r="I1242" i="3"/>
  <c r="H1242" i="3" s="1"/>
  <c r="A1244" i="3"/>
  <c r="L1244" i="3" l="1"/>
  <c r="F1244" i="3"/>
  <c r="J1244" i="3"/>
  <c r="D1244" i="3"/>
  <c r="K1244" i="3"/>
  <c r="E1244" i="3"/>
  <c r="I1243" i="3"/>
  <c r="H1243" i="3" s="1"/>
  <c r="C1243" i="3"/>
  <c r="B1243" i="3" s="1"/>
  <c r="A1245" i="3"/>
  <c r="L1245" i="3" l="1"/>
  <c r="F1245" i="3"/>
  <c r="D1245" i="3"/>
  <c r="J1245" i="3"/>
  <c r="E1245" i="3"/>
  <c r="K1245" i="3"/>
  <c r="C1244" i="3"/>
  <c r="B1244" i="3" s="1"/>
  <c r="A1246" i="3"/>
  <c r="I1244" i="3"/>
  <c r="H1244" i="3" s="1"/>
  <c r="L1246" i="3" l="1"/>
  <c r="F1246" i="3"/>
  <c r="D1246" i="3"/>
  <c r="J1246" i="3"/>
  <c r="E1246" i="3"/>
  <c r="K1246" i="3"/>
  <c r="C1245" i="3"/>
  <c r="B1245" i="3" s="1"/>
  <c r="I1245" i="3"/>
  <c r="H1245" i="3" s="1"/>
  <c r="A1247" i="3"/>
  <c r="L1247" i="3" l="1"/>
  <c r="F1247" i="3"/>
  <c r="J1247" i="3"/>
  <c r="D1247" i="3"/>
  <c r="K1247" i="3"/>
  <c r="E1247" i="3"/>
  <c r="A1248" i="3"/>
  <c r="C1246" i="3"/>
  <c r="B1246" i="3" s="1"/>
  <c r="I1246" i="3"/>
  <c r="H1246" i="3" s="1"/>
  <c r="L1248" i="3" l="1"/>
  <c r="F1248" i="3"/>
  <c r="J1248" i="3"/>
  <c r="D1248" i="3"/>
  <c r="K1248" i="3"/>
  <c r="E1248" i="3"/>
  <c r="I1247" i="3"/>
  <c r="H1247" i="3" s="1"/>
  <c r="C1247" i="3"/>
  <c r="B1247" i="3" s="1"/>
  <c r="A1249" i="3"/>
  <c r="L1249" i="3" l="1"/>
  <c r="F1249" i="3"/>
  <c r="J1249" i="3"/>
  <c r="D1249" i="3"/>
  <c r="K1249" i="3"/>
  <c r="E1249" i="3"/>
  <c r="I1248" i="3"/>
  <c r="H1248" i="3" s="1"/>
  <c r="A1250" i="3"/>
  <c r="C1248" i="3"/>
  <c r="B1248" i="3" s="1"/>
  <c r="L1250" i="3" l="1"/>
  <c r="F1250" i="3"/>
  <c r="J1250" i="3"/>
  <c r="D1250" i="3"/>
  <c r="K1250" i="3"/>
  <c r="E1250" i="3"/>
  <c r="I1249" i="3"/>
  <c r="H1249" i="3" s="1"/>
  <c r="C1249" i="3"/>
  <c r="B1249" i="3" s="1"/>
  <c r="A1251" i="3"/>
  <c r="F1251" i="3" l="1"/>
  <c r="E1251" i="3"/>
  <c r="L1251" i="3"/>
  <c r="J1251" i="3"/>
  <c r="D1251" i="3"/>
  <c r="K1251" i="3"/>
  <c r="A1252" i="3"/>
  <c r="I1250" i="3"/>
  <c r="H1250" i="3" s="1"/>
  <c r="C1250" i="3"/>
  <c r="B1250" i="3" s="1"/>
  <c r="L1252" i="3" l="1"/>
  <c r="F1252" i="3"/>
  <c r="J1252" i="3"/>
  <c r="D1252" i="3"/>
  <c r="K1252" i="3"/>
  <c r="E1252" i="3"/>
  <c r="I1251" i="3"/>
  <c r="H1251" i="3" s="1"/>
  <c r="A1253" i="3"/>
  <c r="L1253" i="3" l="1"/>
  <c r="F1253" i="3"/>
  <c r="J1253" i="3"/>
  <c r="D1253" i="3"/>
  <c r="K1253" i="3"/>
  <c r="E1253" i="3"/>
  <c r="C1252" i="3"/>
  <c r="B1252" i="3" s="1"/>
  <c r="I1252" i="3"/>
  <c r="H1252" i="3" s="1"/>
  <c r="A1254" i="3"/>
  <c r="L1254" i="3" l="1"/>
  <c r="F1254" i="3"/>
  <c r="J1254" i="3"/>
  <c r="K1254" i="3"/>
  <c r="D1254" i="3"/>
  <c r="E1254" i="3"/>
  <c r="I1253" i="3"/>
  <c r="H1253" i="3" s="1"/>
  <c r="A1255" i="3"/>
  <c r="C1253" i="3"/>
  <c r="B1253" i="3" s="1"/>
  <c r="L1255" i="3" l="1"/>
  <c r="F1255" i="3"/>
  <c r="J1255" i="3"/>
  <c r="D1255" i="3"/>
  <c r="K1255" i="3"/>
  <c r="E1255" i="3"/>
  <c r="C1254" i="3"/>
  <c r="B1254" i="3" s="1"/>
  <c r="A1256" i="3"/>
  <c r="I1254" i="3"/>
  <c r="H1254" i="3" s="1"/>
  <c r="L1256" i="3" l="1"/>
  <c r="F1256" i="3"/>
  <c r="J1256" i="3"/>
  <c r="D1256" i="3"/>
  <c r="K1256" i="3"/>
  <c r="E1256" i="3"/>
  <c r="I1255" i="3"/>
  <c r="H1255" i="3" s="1"/>
  <c r="C1255" i="3"/>
  <c r="B1255" i="3" s="1"/>
  <c r="A1257" i="3"/>
  <c r="L1257" i="3" l="1"/>
  <c r="F1257" i="3"/>
  <c r="J1257" i="3"/>
  <c r="D1257" i="3"/>
  <c r="K1257" i="3"/>
  <c r="E1257" i="3"/>
  <c r="I1256" i="3"/>
  <c r="H1256" i="3" s="1"/>
  <c r="A1258" i="3"/>
  <c r="C1256" i="3"/>
  <c r="B1256" i="3" s="1"/>
  <c r="F1258" i="3" l="1"/>
  <c r="L1258" i="3"/>
  <c r="J1258" i="3"/>
  <c r="D1258" i="3"/>
  <c r="K1258" i="3"/>
  <c r="E1258" i="3"/>
  <c r="C1257" i="3"/>
  <c r="B1257" i="3" s="1"/>
  <c r="I1257" i="3"/>
  <c r="H1257" i="3" s="1"/>
  <c r="A1259" i="3"/>
  <c r="L1259" i="3" l="1"/>
  <c r="F1259" i="3"/>
  <c r="J1259" i="3"/>
  <c r="D1259" i="3"/>
  <c r="K1259" i="3"/>
  <c r="E1259" i="3"/>
  <c r="I1258" i="3"/>
  <c r="H1258" i="3" s="1"/>
  <c r="A1260" i="3"/>
  <c r="C1258" i="3"/>
  <c r="B1258" i="3" s="1"/>
  <c r="L1260" i="3" l="1"/>
  <c r="F1260" i="3"/>
  <c r="J1260" i="3"/>
  <c r="D1260" i="3"/>
  <c r="K1260" i="3"/>
  <c r="E1260" i="3"/>
  <c r="C1259" i="3"/>
  <c r="B1259" i="3" s="1"/>
  <c r="A1261" i="3"/>
  <c r="I1259" i="3"/>
  <c r="H1259" i="3" s="1"/>
  <c r="L1261" i="3" l="1"/>
  <c r="F1261" i="3"/>
  <c r="J1261" i="3"/>
  <c r="D1261" i="3"/>
  <c r="K1261" i="3"/>
  <c r="E1261" i="3"/>
  <c r="I1260" i="3"/>
  <c r="H1260" i="3" s="1"/>
  <c r="C1260" i="3"/>
  <c r="B1260" i="3" s="1"/>
  <c r="A1262" i="3"/>
  <c r="L1262" i="3" l="1"/>
  <c r="F1262" i="3"/>
  <c r="J1262" i="3"/>
  <c r="D1262" i="3"/>
  <c r="K1262" i="3"/>
  <c r="E1262" i="3"/>
  <c r="C1261" i="3"/>
  <c r="B1261" i="3" s="1"/>
  <c r="I1261" i="3"/>
  <c r="H1261" i="3" s="1"/>
  <c r="A1263" i="3"/>
  <c r="L1263" i="3" l="1"/>
  <c r="F1263" i="3"/>
  <c r="J1263" i="3"/>
  <c r="D1263" i="3"/>
  <c r="K1263" i="3"/>
  <c r="E1263" i="3"/>
  <c r="I1262" i="3"/>
  <c r="H1262" i="3" s="1"/>
  <c r="A1264" i="3"/>
  <c r="C1262" i="3"/>
  <c r="B1262" i="3" s="1"/>
  <c r="L1264" i="3" l="1"/>
  <c r="F1264" i="3"/>
  <c r="J1264" i="3"/>
  <c r="D1264" i="3"/>
  <c r="K1264" i="3"/>
  <c r="E1264" i="3"/>
  <c r="C1263" i="3"/>
  <c r="B1263" i="3" s="1"/>
  <c r="I1263" i="3"/>
  <c r="H1263" i="3" s="1"/>
  <c r="A1265" i="3"/>
  <c r="L1265" i="3" l="1"/>
  <c r="F1265" i="3"/>
  <c r="D1265" i="3"/>
  <c r="J1265" i="3"/>
  <c r="E1265" i="3"/>
  <c r="K1265" i="3"/>
  <c r="C1264" i="3"/>
  <c r="B1264" i="3" s="1"/>
  <c r="A1266" i="3"/>
  <c r="I1264" i="3"/>
  <c r="H1264" i="3" s="1"/>
  <c r="L1266" i="3" l="1"/>
  <c r="F1266" i="3"/>
  <c r="J1266" i="3"/>
  <c r="D1266" i="3"/>
  <c r="K1266" i="3"/>
  <c r="E1266" i="3"/>
  <c r="I1265" i="3"/>
  <c r="H1265" i="3" s="1"/>
  <c r="C1265" i="3"/>
  <c r="B1265" i="3" s="1"/>
  <c r="A1267" i="3"/>
  <c r="L1267" i="3" l="1"/>
  <c r="F1267" i="3"/>
  <c r="J1267" i="3"/>
  <c r="D1267" i="3"/>
  <c r="K1267" i="3"/>
  <c r="E1267" i="3"/>
  <c r="C1266" i="3"/>
  <c r="B1266" i="3" s="1"/>
  <c r="I1266" i="3"/>
  <c r="H1266" i="3" s="1"/>
  <c r="A1268" i="3"/>
  <c r="L1268" i="3" l="1"/>
  <c r="F1268" i="3"/>
  <c r="J1268" i="3"/>
  <c r="D1268" i="3"/>
  <c r="K1268" i="3"/>
  <c r="E1268" i="3"/>
  <c r="C1267" i="3"/>
  <c r="B1267" i="3" s="1"/>
  <c r="I1267" i="3"/>
  <c r="H1267" i="3" s="1"/>
  <c r="A1269" i="3"/>
  <c r="L1269" i="3" l="1"/>
  <c r="F1269" i="3"/>
  <c r="J1269" i="3"/>
  <c r="D1269" i="3"/>
  <c r="K1269" i="3"/>
  <c r="E1269" i="3"/>
  <c r="A1270" i="3"/>
  <c r="I1268" i="3"/>
  <c r="H1268" i="3" s="1"/>
  <c r="C1268" i="3"/>
  <c r="B1268" i="3" s="1"/>
  <c r="L1270" i="3" l="1"/>
  <c r="F1270" i="3"/>
  <c r="J1270" i="3"/>
  <c r="D1270" i="3"/>
  <c r="K1270" i="3"/>
  <c r="E1270" i="3"/>
  <c r="I1269" i="3"/>
  <c r="H1269" i="3" s="1"/>
  <c r="C1269" i="3"/>
  <c r="B1269" i="3" s="1"/>
  <c r="A1271" i="3"/>
  <c r="L1271" i="3" l="1"/>
  <c r="J1271" i="3"/>
  <c r="D1271" i="3"/>
  <c r="K1271" i="3"/>
  <c r="E1271" i="3"/>
  <c r="I1270" i="3"/>
  <c r="H1270" i="3" s="1"/>
  <c r="C1270" i="3"/>
  <c r="B1270" i="3" s="1"/>
  <c r="A1272" i="3"/>
  <c r="L1272" i="3" l="1"/>
  <c r="F1272" i="3"/>
  <c r="J1272" i="3"/>
  <c r="D1272" i="3"/>
  <c r="K1272" i="3"/>
  <c r="E1272" i="3"/>
  <c r="I1271" i="3"/>
  <c r="H1271" i="3" s="1"/>
  <c r="A1273" i="3"/>
  <c r="F1273" i="3" l="1"/>
  <c r="E1273" i="3"/>
  <c r="L1273" i="3"/>
  <c r="J1273" i="3"/>
  <c r="D1273" i="3"/>
  <c r="K1273" i="3"/>
  <c r="I1272" i="3"/>
  <c r="H1272" i="3" s="1"/>
  <c r="A1274" i="3"/>
  <c r="C1272" i="3"/>
  <c r="B1272" i="3" s="1"/>
  <c r="L1274" i="3" l="1"/>
  <c r="F1274" i="3"/>
  <c r="J1274" i="3"/>
  <c r="D1274" i="3"/>
  <c r="K1274" i="3"/>
  <c r="E1274" i="3"/>
  <c r="I1273" i="3"/>
  <c r="H1273" i="3" s="1"/>
  <c r="A1275" i="3"/>
  <c r="C1273" i="3"/>
  <c r="B1273" i="3" s="1"/>
  <c r="L1275" i="3" l="1"/>
  <c r="F1275" i="3"/>
  <c r="J1275" i="3"/>
  <c r="D1275" i="3"/>
  <c r="K1275" i="3"/>
  <c r="E1275" i="3"/>
  <c r="C1274" i="3"/>
  <c r="B1274" i="3" s="1"/>
  <c r="A1276" i="3"/>
  <c r="I1274" i="3"/>
  <c r="H1274" i="3" s="1"/>
  <c r="L1276" i="3" l="1"/>
  <c r="F1276" i="3"/>
  <c r="D1276" i="3"/>
  <c r="J1276" i="3"/>
  <c r="E1276" i="3"/>
  <c r="K1276" i="3"/>
  <c r="C1275" i="3"/>
  <c r="B1275" i="3" s="1"/>
  <c r="I1275" i="3"/>
  <c r="H1275" i="3" s="1"/>
  <c r="A1277" i="3"/>
  <c r="L1277" i="3" l="1"/>
  <c r="F1277" i="3"/>
  <c r="J1277" i="3"/>
  <c r="D1277" i="3"/>
  <c r="K1277" i="3"/>
  <c r="E1277" i="3"/>
  <c r="I1276" i="3"/>
  <c r="H1276" i="3" s="1"/>
  <c r="C1276" i="3"/>
  <c r="B1276" i="3" s="1"/>
  <c r="A1278" i="3"/>
  <c r="L1278" i="3" l="1"/>
  <c r="F1278" i="3"/>
  <c r="D1278" i="3"/>
  <c r="J1278" i="3"/>
  <c r="E1278" i="3"/>
  <c r="K1278" i="3"/>
  <c r="C1277" i="3"/>
  <c r="B1277" i="3" s="1"/>
  <c r="I1277" i="3"/>
  <c r="H1277" i="3" s="1"/>
  <c r="A1279" i="3"/>
  <c r="L1279" i="3" l="1"/>
  <c r="F1279" i="3"/>
  <c r="J1279" i="3"/>
  <c r="D1279" i="3"/>
  <c r="K1279" i="3"/>
  <c r="E1279" i="3"/>
  <c r="I1278" i="3"/>
  <c r="H1278" i="3" s="1"/>
  <c r="C1278" i="3"/>
  <c r="B1278" i="3" s="1"/>
  <c r="A1280" i="3"/>
  <c r="F1280" i="3" l="1"/>
  <c r="L1280" i="3"/>
  <c r="J1280" i="3"/>
  <c r="D1280" i="3"/>
  <c r="K1280" i="3"/>
  <c r="E1280" i="3"/>
  <c r="C1279" i="3"/>
  <c r="B1279" i="3" s="1"/>
  <c r="I1279" i="3"/>
  <c r="H1279" i="3" s="1"/>
  <c r="A1281" i="3"/>
  <c r="L1281" i="3" l="1"/>
  <c r="F1281" i="3"/>
  <c r="J1281" i="3"/>
  <c r="D1281" i="3"/>
  <c r="K1281" i="3"/>
  <c r="E1281" i="3"/>
  <c r="C1280" i="3"/>
  <c r="B1280" i="3" s="1"/>
  <c r="A1282" i="3"/>
  <c r="I1280" i="3"/>
  <c r="H1280" i="3" s="1"/>
  <c r="L1282" i="3" l="1"/>
  <c r="F1282" i="3"/>
  <c r="J1282" i="3"/>
  <c r="D1282" i="3"/>
  <c r="K1282" i="3"/>
  <c r="E1282" i="3"/>
  <c r="C1281" i="3"/>
  <c r="B1281" i="3" s="1"/>
  <c r="A1283" i="3"/>
  <c r="I1281" i="3"/>
  <c r="H1281" i="3" s="1"/>
  <c r="L1283" i="3" l="1"/>
  <c r="F1283" i="3"/>
  <c r="J1283" i="3"/>
  <c r="D1283" i="3"/>
  <c r="K1283" i="3"/>
  <c r="E1283" i="3"/>
  <c r="I1282" i="3"/>
  <c r="H1282" i="3" s="1"/>
  <c r="C1282" i="3"/>
  <c r="B1282" i="3" s="1"/>
  <c r="A1284" i="3"/>
  <c r="L1284" i="3" l="1"/>
  <c r="F1284" i="3"/>
  <c r="J1284" i="3"/>
  <c r="D1284" i="3"/>
  <c r="K1284" i="3"/>
  <c r="E1284" i="3"/>
  <c r="I1283" i="3"/>
  <c r="H1283" i="3" s="1"/>
  <c r="C1283" i="3"/>
  <c r="B1283" i="3" s="1"/>
  <c r="A1285" i="3"/>
  <c r="L1285" i="3" l="1"/>
  <c r="F1285" i="3"/>
  <c r="J1285" i="3"/>
  <c r="D1285" i="3"/>
  <c r="K1285" i="3"/>
  <c r="E1285" i="3"/>
  <c r="I1284" i="3"/>
  <c r="H1284" i="3" s="1"/>
  <c r="C1284" i="3"/>
  <c r="B1284" i="3" s="1"/>
  <c r="A1286" i="3"/>
  <c r="L1286" i="3" l="1"/>
  <c r="F1286" i="3"/>
  <c r="J1286" i="3"/>
  <c r="D1286" i="3"/>
  <c r="K1286" i="3"/>
  <c r="E1286" i="3"/>
  <c r="I1285" i="3"/>
  <c r="H1285" i="3" s="1"/>
  <c r="A1287" i="3"/>
  <c r="C1285" i="3"/>
  <c r="B1285" i="3" s="1"/>
  <c r="L1287" i="3" l="1"/>
  <c r="F1287" i="3"/>
  <c r="J1287" i="3"/>
  <c r="D1287" i="3"/>
  <c r="K1287" i="3"/>
  <c r="E1287" i="3"/>
  <c r="I1286" i="3"/>
  <c r="H1286" i="3" s="1"/>
  <c r="C1286" i="3"/>
  <c r="B1286" i="3" s="1"/>
  <c r="A1288" i="3"/>
  <c r="L1288" i="3" l="1"/>
  <c r="F1288" i="3"/>
  <c r="J1288" i="3"/>
  <c r="D1288" i="3"/>
  <c r="K1288" i="3"/>
  <c r="E1288" i="3"/>
  <c r="I1287" i="3"/>
  <c r="H1287" i="3" s="1"/>
  <c r="C1287" i="3"/>
  <c r="B1287" i="3" s="1"/>
  <c r="A1289" i="3"/>
  <c r="L1289" i="3" l="1"/>
  <c r="F1289" i="3"/>
  <c r="J1289" i="3"/>
  <c r="D1289" i="3"/>
  <c r="K1289" i="3"/>
  <c r="E1289" i="3"/>
  <c r="I1288" i="3"/>
  <c r="H1288" i="3" s="1"/>
  <c r="C1288" i="3"/>
  <c r="B1288" i="3" s="1"/>
  <c r="A1290" i="3"/>
  <c r="L1290" i="3" l="1"/>
  <c r="F1290" i="3"/>
  <c r="J1290" i="3"/>
  <c r="D1290" i="3"/>
  <c r="K1290" i="3"/>
  <c r="E1290" i="3"/>
  <c r="I1289" i="3"/>
  <c r="H1289" i="3" s="1"/>
  <c r="C1289" i="3"/>
  <c r="B1289" i="3" s="1"/>
  <c r="A1291" i="3"/>
  <c r="L1291" i="3" l="1"/>
  <c r="F1291" i="3"/>
  <c r="J1291" i="3"/>
  <c r="D1291" i="3"/>
  <c r="K1291" i="3"/>
  <c r="E1291" i="3"/>
  <c r="C1290" i="3"/>
  <c r="B1290" i="3" s="1"/>
  <c r="I1290" i="3"/>
  <c r="H1290" i="3" s="1"/>
  <c r="A1292" i="3"/>
  <c r="L1292" i="3" l="1"/>
  <c r="J1292" i="3"/>
  <c r="D1292" i="3"/>
  <c r="K1292" i="3"/>
  <c r="E1292" i="3"/>
  <c r="C1291" i="3"/>
  <c r="B1291" i="3" s="1"/>
  <c r="A1293" i="3"/>
  <c r="I1291" i="3"/>
  <c r="H1291" i="3" s="1"/>
  <c r="F1293" i="3" l="1"/>
  <c r="E1293" i="3"/>
  <c r="L1293" i="3"/>
  <c r="J1293" i="3"/>
  <c r="D1293" i="3"/>
  <c r="K1293" i="3"/>
  <c r="I1292" i="3"/>
  <c r="H1292" i="3" s="1"/>
  <c r="A1294" i="3"/>
  <c r="L1294" i="3" l="1"/>
  <c r="F1294" i="3"/>
  <c r="D1294" i="3"/>
  <c r="J1294" i="3"/>
  <c r="E1294" i="3"/>
  <c r="K1294" i="3"/>
  <c r="I1293" i="3"/>
  <c r="H1293" i="3" s="1"/>
  <c r="C1293" i="3"/>
  <c r="B1293" i="3" s="1"/>
  <c r="A1295" i="3"/>
  <c r="L1295" i="3" l="1"/>
  <c r="F1295" i="3"/>
  <c r="J1295" i="3"/>
  <c r="D1295" i="3"/>
  <c r="K1295" i="3"/>
  <c r="E1295" i="3"/>
  <c r="I1294" i="3"/>
  <c r="H1294" i="3" s="1"/>
  <c r="A1296" i="3"/>
  <c r="C1294" i="3"/>
  <c r="B1294" i="3" s="1"/>
  <c r="L1296" i="3" l="1"/>
  <c r="F1296" i="3"/>
  <c r="J1296" i="3"/>
  <c r="D1296" i="3"/>
  <c r="K1296" i="3"/>
  <c r="E1296" i="3"/>
  <c r="C1295" i="3"/>
  <c r="B1295" i="3" s="1"/>
  <c r="I1295" i="3"/>
  <c r="H1295" i="3" s="1"/>
  <c r="A1297" i="3"/>
  <c r="L1297" i="3" l="1"/>
  <c r="F1297" i="3"/>
  <c r="J1297" i="3"/>
  <c r="D1297" i="3"/>
  <c r="K1297" i="3"/>
  <c r="E1297" i="3"/>
  <c r="I1296" i="3"/>
  <c r="H1296" i="3" s="1"/>
  <c r="A1298" i="3"/>
  <c r="C1296" i="3"/>
  <c r="B1296" i="3" s="1"/>
  <c r="L1298" i="3" l="1"/>
  <c r="F1298" i="3"/>
  <c r="J1298" i="3"/>
  <c r="D1298" i="3"/>
  <c r="K1298" i="3"/>
  <c r="E1298" i="3"/>
  <c r="C1297" i="3"/>
  <c r="B1297" i="3" s="1"/>
  <c r="A1299" i="3"/>
  <c r="I1297" i="3"/>
  <c r="H1297" i="3" s="1"/>
  <c r="L1299" i="3" l="1"/>
  <c r="F1299" i="3"/>
  <c r="J1299" i="3"/>
  <c r="D1299" i="3"/>
  <c r="K1299" i="3"/>
  <c r="E1299" i="3"/>
  <c r="I1298" i="3"/>
  <c r="H1298" i="3" s="1"/>
  <c r="C1298" i="3"/>
  <c r="B1298" i="3" s="1"/>
  <c r="A1300" i="3"/>
  <c r="F1300" i="3" l="1"/>
  <c r="L1300" i="3"/>
  <c r="J1300" i="3"/>
  <c r="D1300" i="3"/>
  <c r="K1300" i="3"/>
  <c r="E1300" i="3"/>
  <c r="I1299" i="3"/>
  <c r="H1299" i="3" s="1"/>
  <c r="C1299" i="3"/>
  <c r="B1299" i="3" s="1"/>
  <c r="A1301" i="3"/>
  <c r="L1301" i="3" l="1"/>
  <c r="F1301" i="3"/>
  <c r="J1301" i="3"/>
  <c r="D1301" i="3"/>
  <c r="K1301" i="3"/>
  <c r="E1301" i="3"/>
  <c r="I1300" i="3"/>
  <c r="H1300" i="3" s="1"/>
  <c r="A1302" i="3"/>
  <c r="C1300" i="3"/>
  <c r="B1300" i="3" s="1"/>
  <c r="L1302" i="3" l="1"/>
  <c r="F1302" i="3"/>
  <c r="J1302" i="3"/>
  <c r="D1302" i="3"/>
  <c r="K1302" i="3"/>
  <c r="E1302" i="3"/>
  <c r="C1301" i="3"/>
  <c r="B1301" i="3" s="1"/>
  <c r="I1301" i="3"/>
  <c r="H1301" i="3" s="1"/>
  <c r="A1303" i="3"/>
  <c r="L1303" i="3" l="1"/>
  <c r="F1303" i="3"/>
  <c r="J1303" i="3"/>
  <c r="D1303" i="3"/>
  <c r="K1303" i="3"/>
  <c r="E1303" i="3"/>
  <c r="I1302" i="3"/>
  <c r="H1302" i="3" s="1"/>
  <c r="A1304" i="3"/>
  <c r="C1302" i="3"/>
  <c r="B1302" i="3" s="1"/>
  <c r="L1304" i="3" l="1"/>
  <c r="F1304" i="3"/>
  <c r="J1304" i="3"/>
  <c r="D1304" i="3"/>
  <c r="K1304" i="3"/>
  <c r="E1304" i="3"/>
  <c r="I1303" i="3"/>
  <c r="H1303" i="3" s="1"/>
  <c r="C1303" i="3"/>
  <c r="B1303" i="3" s="1"/>
  <c r="A1305" i="3"/>
  <c r="L1305" i="3" l="1"/>
  <c r="F1305" i="3"/>
  <c r="J1305" i="3"/>
  <c r="D1305" i="3"/>
  <c r="K1305" i="3"/>
  <c r="E1305" i="3"/>
  <c r="C1304" i="3"/>
  <c r="B1304" i="3" s="1"/>
  <c r="I1304" i="3"/>
  <c r="H1304" i="3" s="1"/>
  <c r="A1306" i="3"/>
  <c r="L1306" i="3" l="1"/>
  <c r="F1306" i="3"/>
  <c r="D1306" i="3"/>
  <c r="J1306" i="3"/>
  <c r="E1306" i="3"/>
  <c r="K1306" i="3"/>
  <c r="C1305" i="3"/>
  <c r="B1305" i="3" s="1"/>
  <c r="A1307" i="3"/>
  <c r="I1305" i="3"/>
  <c r="H1305" i="3" s="1"/>
  <c r="L1307" i="3" l="1"/>
  <c r="F1307" i="3"/>
  <c r="J1307" i="3"/>
  <c r="D1307" i="3"/>
  <c r="K1307" i="3"/>
  <c r="E1307" i="3"/>
  <c r="C1306" i="3"/>
  <c r="B1306" i="3" s="1"/>
  <c r="A1308" i="3"/>
  <c r="I1306" i="3"/>
  <c r="H1306" i="3" s="1"/>
  <c r="L1308" i="3" l="1"/>
  <c r="F1308" i="3"/>
  <c r="D1308" i="3"/>
  <c r="J1308" i="3"/>
  <c r="E1308" i="3"/>
  <c r="K1308" i="3"/>
  <c r="A1309" i="3"/>
  <c r="C1307" i="3"/>
  <c r="B1307" i="3" s="1"/>
  <c r="I1307" i="3"/>
  <c r="H1307" i="3" s="1"/>
  <c r="L1309" i="3" l="1"/>
  <c r="F1309" i="3"/>
  <c r="J1309" i="3"/>
  <c r="D1309" i="3"/>
  <c r="K1309" i="3"/>
  <c r="E1309" i="3"/>
  <c r="I1308" i="3"/>
  <c r="H1308" i="3" s="1"/>
  <c r="C1308" i="3"/>
  <c r="B1308" i="3" s="1"/>
  <c r="A1310" i="3"/>
  <c r="L1310" i="3" l="1"/>
  <c r="F1310" i="3"/>
  <c r="J1310" i="3"/>
  <c r="D1310" i="3"/>
  <c r="K1310" i="3"/>
  <c r="E1310" i="3"/>
  <c r="C1309" i="3"/>
  <c r="B1309" i="3" s="1"/>
  <c r="I1309" i="3"/>
  <c r="H1309" i="3" s="1"/>
  <c r="A1311" i="3"/>
  <c r="F1311" i="3" l="1"/>
  <c r="E1311" i="3"/>
  <c r="L1311" i="3"/>
  <c r="J1311" i="3"/>
  <c r="D1311" i="3"/>
  <c r="K1311" i="3"/>
  <c r="I1310" i="3"/>
  <c r="H1310" i="3" s="1"/>
  <c r="C1310" i="3"/>
  <c r="B1310" i="3" s="1"/>
  <c r="A1312" i="3"/>
  <c r="L1312" i="3" l="1"/>
  <c r="J1312" i="3"/>
  <c r="D1312" i="3"/>
  <c r="K1312" i="3"/>
  <c r="E1312" i="3"/>
  <c r="I1311" i="3"/>
  <c r="H1311" i="3" s="1"/>
  <c r="C1311" i="3"/>
  <c r="B1311" i="3" s="1"/>
  <c r="A1313" i="3"/>
  <c r="L1313" i="3" l="1"/>
  <c r="F1313" i="3"/>
  <c r="J1313" i="3"/>
  <c r="D1313" i="3"/>
  <c r="K1313" i="3"/>
  <c r="E1313" i="3"/>
  <c r="I1312" i="3"/>
  <c r="H1312" i="3" s="1"/>
  <c r="A1314" i="3"/>
  <c r="L1314" i="3" l="1"/>
  <c r="F1314" i="3"/>
  <c r="J1314" i="3"/>
  <c r="D1314" i="3"/>
  <c r="K1314" i="3"/>
  <c r="E1314" i="3"/>
  <c r="I1313" i="3"/>
  <c r="H1313" i="3" s="1"/>
  <c r="A1315" i="3"/>
  <c r="C1313" i="3"/>
  <c r="B1313" i="3" s="1"/>
  <c r="L1315" i="3" l="1"/>
  <c r="F1315" i="3"/>
  <c r="J1315" i="3"/>
  <c r="D1315" i="3"/>
  <c r="K1315" i="3"/>
  <c r="E1315" i="3"/>
  <c r="I1314" i="3"/>
  <c r="H1314" i="3" s="1"/>
  <c r="C1314" i="3"/>
  <c r="B1314" i="3" s="1"/>
  <c r="A1316" i="3"/>
  <c r="L1316" i="3" l="1"/>
  <c r="F1316" i="3"/>
  <c r="J1316" i="3"/>
  <c r="K1316" i="3"/>
  <c r="D1316" i="3"/>
  <c r="E1316" i="3"/>
  <c r="I1315" i="3"/>
  <c r="H1315" i="3" s="1"/>
  <c r="C1315" i="3"/>
  <c r="B1315" i="3" s="1"/>
  <c r="A1317" i="3"/>
  <c r="L1317" i="3" l="1"/>
  <c r="F1317" i="3"/>
  <c r="J1317" i="3"/>
  <c r="D1317" i="3"/>
  <c r="K1317" i="3"/>
  <c r="E1317" i="3"/>
  <c r="I1316" i="3"/>
  <c r="H1316" i="3" s="1"/>
  <c r="C1316" i="3"/>
  <c r="B1316" i="3" s="1"/>
  <c r="A1318" i="3"/>
  <c r="F1318" i="3" l="1"/>
  <c r="L1318" i="3"/>
  <c r="J1318" i="3"/>
  <c r="D1318" i="3"/>
  <c r="K1318" i="3"/>
  <c r="E1318" i="3"/>
  <c r="C1317" i="3"/>
  <c r="B1317" i="3" s="1"/>
  <c r="I1317" i="3"/>
  <c r="H1317" i="3" s="1"/>
  <c r="A1319" i="3"/>
  <c r="L1319" i="3" l="1"/>
  <c r="F1319" i="3"/>
  <c r="J1319" i="3"/>
  <c r="D1319" i="3"/>
  <c r="K1319" i="3"/>
  <c r="E1319" i="3"/>
  <c r="C1318" i="3"/>
  <c r="B1318" i="3" s="1"/>
  <c r="I1318" i="3"/>
  <c r="H1318" i="3" s="1"/>
  <c r="A1320" i="3"/>
  <c r="L1320" i="3" l="1"/>
  <c r="F1320" i="3"/>
  <c r="J1320" i="3"/>
  <c r="D1320" i="3"/>
  <c r="K1320" i="3"/>
  <c r="E1320" i="3"/>
  <c r="I1319" i="3"/>
  <c r="H1319" i="3" s="1"/>
  <c r="C1319" i="3"/>
  <c r="B1319" i="3" s="1"/>
  <c r="A1321" i="3"/>
  <c r="L1321" i="3" l="1"/>
  <c r="F1321" i="3"/>
  <c r="J1321" i="3"/>
  <c r="D1321" i="3"/>
  <c r="K1321" i="3"/>
  <c r="E1321" i="3"/>
  <c r="I1320" i="3"/>
  <c r="H1320" i="3" s="1"/>
  <c r="C1320" i="3"/>
  <c r="B1320" i="3" s="1"/>
  <c r="A1322" i="3"/>
  <c r="L1322" i="3" l="1"/>
  <c r="F1322" i="3"/>
  <c r="J1322" i="3"/>
  <c r="D1322" i="3"/>
  <c r="K1322" i="3"/>
  <c r="E1322" i="3"/>
  <c r="C1321" i="3"/>
  <c r="B1321" i="3" s="1"/>
  <c r="I1321" i="3"/>
  <c r="H1321" i="3" s="1"/>
  <c r="A1323" i="3"/>
  <c r="L1323" i="3" l="1"/>
  <c r="F1323" i="3"/>
  <c r="D1323" i="3"/>
  <c r="E1323" i="3"/>
  <c r="J1323" i="3"/>
  <c r="K1323" i="3"/>
  <c r="C1322" i="3"/>
  <c r="B1322" i="3" s="1"/>
  <c r="A1324" i="3"/>
  <c r="I1322" i="3"/>
  <c r="H1322" i="3" s="1"/>
  <c r="L1324" i="3" l="1"/>
  <c r="F1324" i="3"/>
  <c r="J1324" i="3"/>
  <c r="D1324" i="3"/>
  <c r="K1324" i="3"/>
  <c r="E1324" i="3"/>
  <c r="C1323" i="3"/>
  <c r="B1323" i="3" s="1"/>
  <c r="I1323" i="3"/>
  <c r="H1323" i="3" s="1"/>
  <c r="A1325" i="3"/>
  <c r="L1325" i="3" l="1"/>
  <c r="F1325" i="3"/>
  <c r="J1325" i="3"/>
  <c r="D1325" i="3"/>
  <c r="K1325" i="3"/>
  <c r="E1325" i="3"/>
  <c r="I1324" i="3"/>
  <c r="H1324" i="3" s="1"/>
  <c r="C1324" i="3"/>
  <c r="B1324" i="3" s="1"/>
  <c r="A1326" i="3"/>
  <c r="L1326" i="3" l="1"/>
  <c r="F1326" i="3"/>
  <c r="J1326" i="3"/>
  <c r="D1326" i="3"/>
  <c r="K1326" i="3"/>
  <c r="E1326" i="3"/>
  <c r="C1325" i="3"/>
  <c r="B1325" i="3" s="1"/>
  <c r="I1325" i="3"/>
  <c r="H1325" i="3" s="1"/>
  <c r="A1327" i="3"/>
  <c r="L1327" i="3" l="1"/>
  <c r="F1327" i="3"/>
  <c r="J1327" i="3"/>
  <c r="D1327" i="3"/>
  <c r="K1327" i="3"/>
  <c r="E1327" i="3"/>
  <c r="I1326" i="3"/>
  <c r="H1326" i="3" s="1"/>
  <c r="A1328" i="3"/>
  <c r="C1326" i="3"/>
  <c r="B1326" i="3" s="1"/>
  <c r="L1328" i="3" l="1"/>
  <c r="F1328" i="3"/>
  <c r="J1328" i="3"/>
  <c r="D1328" i="3"/>
  <c r="K1328" i="3"/>
  <c r="E1328" i="3"/>
  <c r="I1327" i="3"/>
  <c r="H1327" i="3" s="1"/>
  <c r="C1327" i="3"/>
  <c r="B1327" i="3" s="1"/>
  <c r="A1329" i="3"/>
  <c r="L1329" i="3" l="1"/>
  <c r="F1329" i="3"/>
  <c r="J1329" i="3"/>
  <c r="D1329" i="3"/>
  <c r="K1329" i="3"/>
  <c r="E1329" i="3"/>
  <c r="C1328" i="3"/>
  <c r="B1328" i="3" s="1"/>
  <c r="I1328" i="3"/>
  <c r="H1328" i="3" s="1"/>
  <c r="A1330" i="3"/>
  <c r="L1330" i="3" l="1"/>
  <c r="F1330" i="3"/>
  <c r="J1330" i="3"/>
  <c r="D1330" i="3"/>
  <c r="K1330" i="3"/>
  <c r="E1330" i="3"/>
  <c r="I1329" i="3"/>
  <c r="H1329" i="3" s="1"/>
  <c r="A1331" i="3"/>
  <c r="C1329" i="3"/>
  <c r="B1329" i="3" s="1"/>
  <c r="L1331" i="3" l="1"/>
  <c r="F1331" i="3"/>
  <c r="J1331" i="3"/>
  <c r="D1331" i="3"/>
  <c r="K1331" i="3"/>
  <c r="E1331" i="3"/>
  <c r="I1330" i="3"/>
  <c r="H1330" i="3" s="1"/>
  <c r="A1332" i="3"/>
  <c r="C1330" i="3"/>
  <c r="B1330" i="3" s="1"/>
  <c r="L1332" i="3" l="1"/>
  <c r="J1332" i="3"/>
  <c r="D1332" i="3"/>
  <c r="K1332" i="3"/>
  <c r="E1332" i="3"/>
  <c r="C1331" i="3"/>
  <c r="B1331" i="3" s="1"/>
  <c r="I1331" i="3"/>
  <c r="H1331" i="3" s="1"/>
  <c r="A1333" i="3"/>
  <c r="L1333" i="3" l="1"/>
  <c r="F1333" i="3"/>
  <c r="J1333" i="3"/>
  <c r="D1333" i="3"/>
  <c r="K1333" i="3"/>
  <c r="E1333" i="3"/>
  <c r="I1332" i="3"/>
  <c r="H1332" i="3" s="1"/>
  <c r="A1334" i="3"/>
  <c r="F1334" i="3" l="1"/>
  <c r="E1334" i="3"/>
  <c r="L1334" i="3"/>
  <c r="J1334" i="3"/>
  <c r="D1334" i="3"/>
  <c r="K1334" i="3"/>
  <c r="I1333" i="3"/>
  <c r="H1333" i="3" s="1"/>
  <c r="C1333" i="3"/>
  <c r="B1333" i="3" s="1"/>
  <c r="A1335" i="3"/>
  <c r="L1335" i="3" l="1"/>
  <c r="F1335" i="3"/>
  <c r="J1335" i="3"/>
  <c r="D1335" i="3"/>
  <c r="K1335" i="3"/>
  <c r="E1335" i="3"/>
  <c r="C1334" i="3"/>
  <c r="B1334" i="3" s="1"/>
  <c r="I1334" i="3"/>
  <c r="H1334" i="3" s="1"/>
  <c r="A1336" i="3"/>
  <c r="L1336" i="3" l="1"/>
  <c r="F1336" i="3"/>
  <c r="D1336" i="3"/>
  <c r="J1336" i="3"/>
  <c r="E1336" i="3"/>
  <c r="K1336" i="3"/>
  <c r="I1335" i="3"/>
  <c r="H1335" i="3" s="1"/>
  <c r="C1335" i="3"/>
  <c r="B1335" i="3" s="1"/>
  <c r="A1337" i="3"/>
  <c r="L1337" i="3" l="1"/>
  <c r="F1337" i="3"/>
  <c r="D1337" i="3"/>
  <c r="E1337" i="3"/>
  <c r="J1337" i="3"/>
  <c r="K1337" i="3"/>
  <c r="C1336" i="3"/>
  <c r="B1336" i="3" s="1"/>
  <c r="A1338" i="3"/>
  <c r="I1336" i="3"/>
  <c r="H1336" i="3" s="1"/>
  <c r="L1338" i="3" l="1"/>
  <c r="F1338" i="3"/>
  <c r="J1338" i="3"/>
  <c r="D1338" i="3"/>
  <c r="K1338" i="3"/>
  <c r="E1338" i="3"/>
  <c r="C1337" i="3"/>
  <c r="B1337" i="3" s="1"/>
  <c r="A1339" i="3"/>
  <c r="I1337" i="3"/>
  <c r="H1337" i="3" s="1"/>
  <c r="L1339" i="3" l="1"/>
  <c r="F1339" i="3"/>
  <c r="J1339" i="3"/>
  <c r="D1339" i="3"/>
  <c r="K1339" i="3"/>
  <c r="E1339" i="3"/>
  <c r="C1338" i="3"/>
  <c r="B1338" i="3" s="1"/>
  <c r="A1340" i="3"/>
  <c r="I1338" i="3"/>
  <c r="H1338" i="3" s="1"/>
  <c r="L1340" i="3" l="1"/>
  <c r="F1340" i="3"/>
  <c r="J1340" i="3"/>
  <c r="D1340" i="3"/>
  <c r="K1340" i="3"/>
  <c r="E1340" i="3"/>
  <c r="C1339" i="3"/>
  <c r="B1339" i="3" s="1"/>
  <c r="A1341" i="3"/>
  <c r="I1339" i="3"/>
  <c r="H1339" i="3" s="1"/>
  <c r="F1341" i="3" l="1"/>
  <c r="L1341" i="3"/>
  <c r="J1341" i="3"/>
  <c r="D1341" i="3"/>
  <c r="K1341" i="3"/>
  <c r="E1341" i="3"/>
  <c r="I1340" i="3"/>
  <c r="H1340" i="3" s="1"/>
  <c r="C1340" i="3"/>
  <c r="B1340" i="3" s="1"/>
  <c r="A1342" i="3"/>
  <c r="L1342" i="3" l="1"/>
  <c r="F1342" i="3"/>
  <c r="J1342" i="3"/>
  <c r="D1342" i="3"/>
  <c r="K1342" i="3"/>
  <c r="E1342" i="3"/>
  <c r="C1341" i="3"/>
  <c r="B1341" i="3" s="1"/>
  <c r="A1343" i="3"/>
  <c r="I1341" i="3"/>
  <c r="H1341" i="3" s="1"/>
  <c r="L1343" i="3" l="1"/>
  <c r="F1343" i="3"/>
  <c r="J1343" i="3"/>
  <c r="D1343" i="3"/>
  <c r="K1343" i="3"/>
  <c r="E1343" i="3"/>
  <c r="A1344" i="3"/>
  <c r="I1342" i="3"/>
  <c r="H1342" i="3" s="1"/>
  <c r="C1342" i="3"/>
  <c r="B1342" i="3" s="1"/>
  <c r="L1344" i="3" l="1"/>
  <c r="F1344" i="3"/>
  <c r="J1344" i="3"/>
  <c r="D1344" i="3"/>
  <c r="K1344" i="3"/>
  <c r="E1344" i="3"/>
  <c r="C1343" i="3"/>
  <c r="B1343" i="3" s="1"/>
  <c r="I1343" i="3"/>
  <c r="H1343" i="3" s="1"/>
  <c r="A1345" i="3"/>
  <c r="L1345" i="3" l="1"/>
  <c r="F1345" i="3"/>
  <c r="J1345" i="3"/>
  <c r="D1345" i="3"/>
  <c r="K1345" i="3"/>
  <c r="E1345" i="3"/>
  <c r="I1344" i="3"/>
  <c r="H1344" i="3" s="1"/>
  <c r="C1344" i="3"/>
  <c r="B1344" i="3" s="1"/>
  <c r="A1346" i="3"/>
  <c r="L1346" i="3" l="1"/>
  <c r="F1346" i="3"/>
  <c r="J1346" i="3"/>
  <c r="D1346" i="3"/>
  <c r="K1346" i="3"/>
  <c r="E1346" i="3"/>
  <c r="C1345" i="3"/>
  <c r="B1345" i="3" s="1"/>
  <c r="A1347" i="3"/>
  <c r="I1345" i="3"/>
  <c r="H1345" i="3" s="1"/>
  <c r="L1347" i="3" l="1"/>
  <c r="F1347" i="3"/>
  <c r="J1347" i="3"/>
  <c r="D1347" i="3"/>
  <c r="K1347" i="3"/>
  <c r="E1347" i="3"/>
  <c r="I1346" i="3"/>
  <c r="H1346" i="3" s="1"/>
  <c r="A1348" i="3"/>
  <c r="C1346" i="3"/>
  <c r="B1346" i="3" s="1"/>
  <c r="L1348" i="3" l="1"/>
  <c r="F1348" i="3"/>
  <c r="J1348" i="3"/>
  <c r="D1348" i="3"/>
  <c r="K1348" i="3"/>
  <c r="E1348" i="3"/>
  <c r="I1347" i="3"/>
  <c r="H1347" i="3" s="1"/>
  <c r="C1347" i="3"/>
  <c r="B1347" i="3" s="1"/>
  <c r="A1349" i="3"/>
  <c r="L1349" i="3" l="1"/>
  <c r="F1349" i="3"/>
  <c r="J1349" i="3"/>
  <c r="D1349" i="3"/>
  <c r="K1349" i="3"/>
  <c r="E1349" i="3"/>
  <c r="C1348" i="3"/>
  <c r="B1348" i="3" s="1"/>
  <c r="I1348" i="3"/>
  <c r="H1348" i="3" s="1"/>
  <c r="A1350" i="3"/>
  <c r="L1350" i="3" l="1"/>
  <c r="F1350" i="3"/>
  <c r="J1350" i="3"/>
  <c r="D1350" i="3"/>
  <c r="K1350" i="3"/>
  <c r="E1350" i="3"/>
  <c r="I1349" i="3"/>
  <c r="H1349" i="3" s="1"/>
  <c r="A1351" i="3"/>
  <c r="C1349" i="3"/>
  <c r="B1349" i="3" s="1"/>
  <c r="L1351" i="3" l="1"/>
  <c r="F1351" i="3"/>
  <c r="J1351" i="3"/>
  <c r="D1351" i="3"/>
  <c r="K1351" i="3"/>
  <c r="E1351" i="3"/>
  <c r="I1350" i="3"/>
  <c r="H1350" i="3" s="1"/>
  <c r="C1350" i="3"/>
  <c r="B1350" i="3" s="1"/>
  <c r="A1352" i="3"/>
  <c r="L1352" i="3" l="1"/>
  <c r="F1352" i="3"/>
  <c r="J1352" i="3"/>
  <c r="D1352" i="3"/>
  <c r="K1352" i="3"/>
  <c r="E1352" i="3"/>
  <c r="I1351" i="3"/>
  <c r="H1351" i="3" s="1"/>
  <c r="C1351" i="3"/>
  <c r="B1351" i="3" s="1"/>
  <c r="A1353" i="3"/>
  <c r="L1353" i="3" l="1"/>
  <c r="F1353" i="3"/>
  <c r="D1353" i="3"/>
  <c r="J1353" i="3"/>
  <c r="E1353" i="3"/>
  <c r="K1353" i="3"/>
  <c r="C1352" i="3"/>
  <c r="B1352" i="3" s="1"/>
  <c r="A1354" i="3"/>
  <c r="I1352" i="3"/>
  <c r="H1352" i="3" s="1"/>
  <c r="F1354" i="3" l="1"/>
  <c r="E1354" i="3"/>
  <c r="L1354" i="3"/>
  <c r="J1354" i="3"/>
  <c r="D1354" i="3"/>
  <c r="K1354" i="3"/>
  <c r="C1353" i="3"/>
  <c r="B1353" i="3" s="1"/>
  <c r="I1353" i="3"/>
  <c r="H1353" i="3" s="1"/>
  <c r="A1355" i="3"/>
  <c r="L1355" i="3" l="1"/>
  <c r="F1355" i="3"/>
  <c r="J1355" i="3"/>
  <c r="D1355" i="3"/>
  <c r="K1355" i="3"/>
  <c r="E1355" i="3"/>
  <c r="A1356" i="3"/>
  <c r="I1354" i="3"/>
  <c r="H1354" i="3" s="1"/>
  <c r="L1356" i="3" l="1"/>
  <c r="F1356" i="3"/>
  <c r="J1356" i="3"/>
  <c r="D1356" i="3"/>
  <c r="K1356" i="3"/>
  <c r="E1356" i="3"/>
  <c r="C1355" i="3"/>
  <c r="B1355" i="3" s="1"/>
  <c r="A1357" i="3"/>
  <c r="I1355" i="3"/>
  <c r="H1355" i="3" s="1"/>
  <c r="L1357" i="3" l="1"/>
  <c r="F1357" i="3"/>
  <c r="J1357" i="3"/>
  <c r="D1357" i="3"/>
  <c r="K1357" i="3"/>
  <c r="E1357" i="3"/>
  <c r="I1356" i="3"/>
  <c r="H1356" i="3" s="1"/>
  <c r="A1358" i="3"/>
  <c r="C1356" i="3"/>
  <c r="B1356" i="3" s="1"/>
  <c r="L1358" i="3" l="1"/>
  <c r="F1358" i="3"/>
  <c r="J1358" i="3"/>
  <c r="D1358" i="3"/>
  <c r="K1358" i="3"/>
  <c r="E1358" i="3"/>
  <c r="I1357" i="3"/>
  <c r="H1357" i="3" s="1"/>
  <c r="C1357" i="3"/>
  <c r="B1357" i="3" s="1"/>
  <c r="A1359" i="3"/>
  <c r="L1359" i="3" l="1"/>
  <c r="F1359" i="3"/>
  <c r="J1359" i="3"/>
  <c r="D1359" i="3"/>
  <c r="K1359" i="3"/>
  <c r="E1359" i="3"/>
  <c r="I1358" i="3"/>
  <c r="H1358" i="3" s="1"/>
  <c r="A1360" i="3"/>
  <c r="C1358" i="3"/>
  <c r="B1358" i="3" s="1"/>
  <c r="L1360" i="3" l="1"/>
  <c r="F1360" i="3"/>
  <c r="J1360" i="3"/>
  <c r="D1360" i="3"/>
  <c r="K1360" i="3"/>
  <c r="E1360" i="3"/>
  <c r="C1359" i="3"/>
  <c r="B1359" i="3" s="1"/>
  <c r="I1359" i="3"/>
  <c r="H1359" i="3" s="1"/>
  <c r="A1361" i="3"/>
  <c r="F1361" i="3" l="1"/>
  <c r="L1361" i="3"/>
  <c r="J1361" i="3"/>
  <c r="D1361" i="3"/>
  <c r="K1361" i="3"/>
  <c r="E1361" i="3"/>
  <c r="C1360" i="3"/>
  <c r="B1360" i="3" s="1"/>
  <c r="I1360" i="3"/>
  <c r="H1360" i="3" s="1"/>
  <c r="A1362" i="3"/>
  <c r="L1362" i="3" l="1"/>
  <c r="F1362" i="3"/>
  <c r="J1362" i="3"/>
  <c r="D1362" i="3"/>
  <c r="K1362" i="3"/>
  <c r="E1362" i="3"/>
  <c r="C1361" i="3"/>
  <c r="B1361" i="3" s="1"/>
  <c r="A1363" i="3"/>
  <c r="I1361" i="3"/>
  <c r="H1361" i="3" s="1"/>
  <c r="L1363" i="3" l="1"/>
  <c r="F1363" i="3"/>
  <c r="J1363" i="3"/>
  <c r="D1363" i="3"/>
  <c r="K1363" i="3"/>
  <c r="E1363" i="3"/>
  <c r="I1362" i="3"/>
  <c r="H1362" i="3" s="1"/>
  <c r="C1362" i="3"/>
  <c r="B1362" i="3" s="1"/>
  <c r="A1364" i="3"/>
  <c r="L1364" i="3" l="1"/>
  <c r="F1364" i="3"/>
  <c r="J1364" i="3"/>
  <c r="D1364" i="3"/>
  <c r="K1364" i="3"/>
  <c r="E1364" i="3"/>
  <c r="I1363" i="3"/>
  <c r="H1363" i="3" s="1"/>
  <c r="C1363" i="3"/>
  <c r="B1363" i="3" s="1"/>
  <c r="A1365" i="3"/>
  <c r="I1364" i="3" l="1"/>
  <c r="H1364" i="3" s="1"/>
  <c r="L1365" i="3"/>
  <c r="F1365" i="3"/>
  <c r="J1365" i="3"/>
  <c r="D1365" i="3"/>
  <c r="K1365" i="3"/>
  <c r="E1365" i="3"/>
  <c r="C1364" i="3"/>
  <c r="B1364" i="3" s="1"/>
  <c r="A1366" i="3"/>
  <c r="L1366" i="3" l="1"/>
  <c r="F1366" i="3"/>
  <c r="D1366" i="3"/>
  <c r="E1366" i="3"/>
  <c r="J1366" i="3"/>
  <c r="K1366" i="3"/>
  <c r="C1365" i="3"/>
  <c r="B1365" i="3" s="1"/>
  <c r="I1365" i="3"/>
  <c r="H1365" i="3" s="1"/>
  <c r="A1367" i="3"/>
  <c r="L1367" i="3" l="1"/>
  <c r="F1367" i="3"/>
  <c r="J1367" i="3"/>
  <c r="D1367" i="3"/>
  <c r="K1367" i="3"/>
  <c r="E1367" i="3"/>
  <c r="C1366" i="3"/>
  <c r="B1366" i="3" s="1"/>
  <c r="A1368" i="3"/>
  <c r="I1366" i="3"/>
  <c r="H1366" i="3" s="1"/>
  <c r="L1368" i="3" l="1"/>
  <c r="F1368" i="3"/>
  <c r="J1368" i="3"/>
  <c r="D1368" i="3"/>
  <c r="K1368" i="3"/>
  <c r="E1368" i="3"/>
  <c r="C1367" i="3"/>
  <c r="B1367" i="3" s="1"/>
  <c r="I1367" i="3"/>
  <c r="H1367" i="3" s="1"/>
  <c r="A1369" i="3"/>
  <c r="L1369" i="3" l="1"/>
  <c r="F1369" i="3"/>
  <c r="D1369" i="3"/>
  <c r="E1369" i="3"/>
  <c r="J1369" i="3"/>
  <c r="K1369" i="3"/>
  <c r="C1368" i="3"/>
  <c r="B1368" i="3" s="1"/>
  <c r="I1368" i="3"/>
  <c r="H1368" i="3" s="1"/>
  <c r="A1370" i="3"/>
  <c r="L1370" i="3" l="1"/>
  <c r="F1370" i="3"/>
  <c r="J1370" i="3"/>
  <c r="D1370" i="3"/>
  <c r="K1370" i="3"/>
  <c r="E1370" i="3"/>
  <c r="C1369" i="3"/>
  <c r="B1369" i="3" s="1"/>
  <c r="A1371" i="3"/>
  <c r="I1369" i="3"/>
  <c r="H1369" i="3" s="1"/>
  <c r="L1371" i="3" l="1"/>
  <c r="F1371" i="3"/>
  <c r="J1371" i="3"/>
  <c r="D1371" i="3"/>
  <c r="K1371" i="3"/>
  <c r="E1371" i="3"/>
  <c r="C1370" i="3"/>
  <c r="B1370" i="3" s="1"/>
  <c r="A1372" i="3"/>
  <c r="I1370" i="3"/>
  <c r="H1370" i="3" s="1"/>
  <c r="L1372" i="3" l="1"/>
  <c r="F1372" i="3"/>
  <c r="J1372" i="3"/>
  <c r="D1372" i="3"/>
  <c r="K1372" i="3"/>
  <c r="E1372" i="3"/>
  <c r="C1371" i="3"/>
  <c r="B1371" i="3" s="1"/>
  <c r="I1371" i="3"/>
  <c r="H1371" i="3" s="1"/>
  <c r="A1373" i="3"/>
  <c r="L1373" i="3" l="1"/>
  <c r="J1373" i="3"/>
  <c r="D1373" i="3"/>
  <c r="K1373" i="3"/>
  <c r="E1373" i="3"/>
  <c r="I1372" i="3"/>
  <c r="H1372" i="3" s="1"/>
  <c r="C1372" i="3"/>
  <c r="B1372" i="3" s="1"/>
  <c r="A1374" i="3"/>
  <c r="L1374" i="3" l="1"/>
  <c r="F1374" i="3"/>
  <c r="J1374" i="3"/>
  <c r="D1374" i="3"/>
  <c r="K1374" i="3"/>
  <c r="E1374" i="3"/>
  <c r="I1373" i="3"/>
  <c r="H1373" i="3" s="1"/>
  <c r="A1375" i="3"/>
  <c r="F1375" i="3" l="1"/>
  <c r="E1375" i="3"/>
  <c r="L1375" i="3"/>
  <c r="J1375" i="3"/>
  <c r="D1375" i="3"/>
  <c r="K1375" i="3"/>
  <c r="I1374" i="3"/>
  <c r="H1374" i="3" s="1"/>
  <c r="C1374" i="3"/>
  <c r="B1374" i="3" s="1"/>
  <c r="A1376" i="3"/>
  <c r="L1376" i="3" l="1"/>
  <c r="F1376" i="3"/>
  <c r="J1376" i="3"/>
  <c r="D1376" i="3"/>
  <c r="K1376" i="3"/>
  <c r="E1376" i="3"/>
  <c r="I1375" i="3"/>
  <c r="H1375" i="3" s="1"/>
  <c r="C1375" i="3"/>
  <c r="B1375" i="3" s="1"/>
  <c r="A1377" i="3"/>
  <c r="L1377" i="3" l="1"/>
  <c r="F1377" i="3"/>
  <c r="J1377" i="3"/>
  <c r="D1377" i="3"/>
  <c r="K1377" i="3"/>
  <c r="E1377" i="3"/>
  <c r="C1376" i="3"/>
  <c r="B1376" i="3" s="1"/>
  <c r="I1376" i="3"/>
  <c r="H1376" i="3" s="1"/>
  <c r="A1378" i="3"/>
  <c r="L1378" i="3" l="1"/>
  <c r="F1378" i="3"/>
  <c r="J1378" i="3"/>
  <c r="D1378" i="3"/>
  <c r="K1378" i="3"/>
  <c r="E1378" i="3"/>
  <c r="I1377" i="3"/>
  <c r="H1377" i="3" s="1"/>
  <c r="C1377" i="3"/>
  <c r="B1377" i="3" s="1"/>
  <c r="A1379" i="3"/>
  <c r="L1379" i="3" l="1"/>
  <c r="F1379" i="3"/>
  <c r="J1379" i="3"/>
  <c r="D1379" i="3"/>
  <c r="K1379" i="3"/>
  <c r="E1379" i="3"/>
  <c r="C1378" i="3"/>
  <c r="B1378" i="3" s="1"/>
  <c r="I1378" i="3"/>
  <c r="H1378" i="3" s="1"/>
  <c r="A1380" i="3"/>
  <c r="L1380" i="3" l="1"/>
  <c r="F1380" i="3"/>
  <c r="J1380" i="3"/>
  <c r="D1380" i="3"/>
  <c r="K1380" i="3"/>
  <c r="E1380" i="3"/>
  <c r="C1379" i="3"/>
  <c r="B1379" i="3" s="1"/>
  <c r="I1379" i="3"/>
  <c r="H1379" i="3" s="1"/>
  <c r="A1381" i="3"/>
  <c r="L1381" i="3" l="1"/>
  <c r="F1381" i="3"/>
  <c r="J1381" i="3"/>
  <c r="D1381" i="3"/>
  <c r="K1381" i="3"/>
  <c r="E1381" i="3"/>
  <c r="C1380" i="3"/>
  <c r="B1380" i="3" s="1"/>
  <c r="I1380" i="3"/>
  <c r="H1380" i="3" s="1"/>
  <c r="A1382" i="3"/>
  <c r="F1382" i="3" l="1"/>
  <c r="L1382" i="3"/>
  <c r="J1382" i="3"/>
  <c r="D1382" i="3"/>
  <c r="K1382" i="3"/>
  <c r="E1382" i="3"/>
  <c r="I1381" i="3"/>
  <c r="H1381" i="3" s="1"/>
  <c r="C1381" i="3"/>
  <c r="B1381" i="3" s="1"/>
  <c r="A1383" i="3"/>
  <c r="L1383" i="3" l="1"/>
  <c r="F1383" i="3"/>
  <c r="J1383" i="3"/>
  <c r="D1383" i="3"/>
  <c r="K1383" i="3"/>
  <c r="E1383" i="3"/>
  <c r="C1382" i="3"/>
  <c r="B1382" i="3" s="1"/>
  <c r="I1382" i="3"/>
  <c r="H1382" i="3" s="1"/>
  <c r="A1384" i="3"/>
  <c r="L1384" i="3" l="1"/>
  <c r="F1384" i="3"/>
  <c r="D1384" i="3"/>
  <c r="J1384" i="3"/>
  <c r="E1384" i="3"/>
  <c r="K1384" i="3"/>
  <c r="C1383" i="3"/>
  <c r="B1383" i="3" s="1"/>
  <c r="I1383" i="3"/>
  <c r="H1383" i="3" s="1"/>
  <c r="A1385" i="3"/>
  <c r="L1385" i="3" l="1"/>
  <c r="F1385" i="3"/>
  <c r="J1385" i="3"/>
  <c r="D1385" i="3"/>
  <c r="K1385" i="3"/>
  <c r="E1385" i="3"/>
  <c r="A1386" i="3"/>
  <c r="I1384" i="3"/>
  <c r="H1384" i="3" s="1"/>
  <c r="C1384" i="3"/>
  <c r="B1384" i="3" s="1"/>
  <c r="L1386" i="3" l="1"/>
  <c r="F1386" i="3"/>
  <c r="J1386" i="3"/>
  <c r="D1386" i="3"/>
  <c r="K1386" i="3"/>
  <c r="E1386" i="3"/>
  <c r="C1385" i="3"/>
  <c r="B1385" i="3" s="1"/>
  <c r="A1387" i="3"/>
  <c r="I1385" i="3"/>
  <c r="H1385" i="3" s="1"/>
  <c r="L1387" i="3" l="1"/>
  <c r="F1387" i="3"/>
  <c r="J1387" i="3"/>
  <c r="D1387" i="3"/>
  <c r="K1387" i="3"/>
  <c r="E1387" i="3"/>
  <c r="A1388" i="3"/>
  <c r="I1386" i="3"/>
  <c r="H1386" i="3" s="1"/>
  <c r="C1386" i="3"/>
  <c r="B1386" i="3" s="1"/>
  <c r="L1388" i="3" l="1"/>
  <c r="F1388" i="3"/>
  <c r="J1388" i="3"/>
  <c r="D1388" i="3"/>
  <c r="K1388" i="3"/>
  <c r="E1388" i="3"/>
  <c r="C1387" i="3"/>
  <c r="B1387" i="3" s="1"/>
  <c r="A1389" i="3"/>
  <c r="I1387" i="3"/>
  <c r="H1387" i="3" s="1"/>
  <c r="L1389" i="3" l="1"/>
  <c r="F1389" i="3"/>
  <c r="J1389" i="3"/>
  <c r="D1389" i="3"/>
  <c r="K1389" i="3"/>
  <c r="E1389" i="3"/>
  <c r="C1388" i="3"/>
  <c r="B1388" i="3" s="1"/>
  <c r="A1390" i="3"/>
  <c r="I1388" i="3"/>
  <c r="H1388" i="3" s="1"/>
  <c r="L1390" i="3" l="1"/>
  <c r="F1390" i="3"/>
  <c r="J1390" i="3"/>
  <c r="D1390" i="3"/>
  <c r="K1390" i="3"/>
  <c r="E1390" i="3"/>
  <c r="C1389" i="3"/>
  <c r="B1389" i="3" s="1"/>
  <c r="I1389" i="3"/>
  <c r="H1389" i="3" s="1"/>
  <c r="A1391" i="3"/>
  <c r="L1391" i="3" l="1"/>
  <c r="F1391" i="3"/>
  <c r="J1391" i="3"/>
  <c r="D1391" i="3"/>
  <c r="K1391" i="3"/>
  <c r="E1391" i="3"/>
  <c r="I1390" i="3"/>
  <c r="H1390" i="3" s="1"/>
  <c r="C1390" i="3"/>
  <c r="B1390" i="3" s="1"/>
  <c r="A1392" i="3"/>
  <c r="L1392" i="3" l="1"/>
  <c r="F1392" i="3"/>
  <c r="J1392" i="3"/>
  <c r="D1392" i="3"/>
  <c r="K1392" i="3"/>
  <c r="E1392" i="3"/>
  <c r="I1391" i="3"/>
  <c r="H1391" i="3" s="1"/>
  <c r="C1391" i="3"/>
  <c r="B1391" i="3" s="1"/>
  <c r="A1393" i="3"/>
  <c r="L1393" i="3" l="1"/>
  <c r="J1393" i="3"/>
  <c r="D1393" i="3"/>
  <c r="K1393" i="3"/>
  <c r="E1393" i="3"/>
  <c r="C1392" i="3"/>
  <c r="B1392" i="3" s="1"/>
  <c r="A1394" i="3"/>
  <c r="I1392" i="3"/>
  <c r="H1392" i="3" s="1"/>
  <c r="L1394" i="3" l="1"/>
  <c r="F1394" i="3"/>
  <c r="J1394" i="3"/>
  <c r="D1394" i="3"/>
  <c r="K1394" i="3"/>
  <c r="E1394" i="3"/>
  <c r="I1393" i="3"/>
  <c r="H1393" i="3" s="1"/>
  <c r="A1395" i="3"/>
  <c r="L1395" i="3" l="1"/>
  <c r="F1395" i="3"/>
  <c r="J1395" i="3"/>
  <c r="D1395" i="3"/>
  <c r="K1395" i="3"/>
  <c r="E1395" i="3"/>
  <c r="C1394" i="3"/>
  <c r="B1394" i="3" s="1"/>
  <c r="I1394" i="3"/>
  <c r="H1394" i="3" s="1"/>
  <c r="A1396" i="3"/>
  <c r="F1396" i="3" l="1"/>
  <c r="E1396" i="3"/>
  <c r="L1396" i="3"/>
  <c r="J1396" i="3"/>
  <c r="D1396" i="3"/>
  <c r="K1396" i="3"/>
  <c r="C1395" i="3"/>
  <c r="B1395" i="3" s="1"/>
  <c r="I1395" i="3"/>
  <c r="H1395" i="3" s="1"/>
  <c r="A1397" i="3"/>
  <c r="L1397" i="3" l="1"/>
  <c r="F1397" i="3"/>
  <c r="J1397" i="3"/>
  <c r="D1397" i="3"/>
  <c r="K1397" i="3"/>
  <c r="E1397" i="3"/>
  <c r="C1396" i="3"/>
  <c r="B1396" i="3" s="1"/>
  <c r="I1396" i="3"/>
  <c r="H1396" i="3" s="1"/>
  <c r="A1398" i="3"/>
  <c r="L1398" i="3" l="1"/>
  <c r="F1398" i="3"/>
  <c r="D1398" i="3"/>
  <c r="E1398" i="3"/>
  <c r="J1398" i="3"/>
  <c r="K1398" i="3"/>
  <c r="A1399" i="3"/>
  <c r="I1397" i="3"/>
  <c r="H1397" i="3" s="1"/>
  <c r="C1397" i="3"/>
  <c r="B1397" i="3" s="1"/>
  <c r="L1399" i="3" l="1"/>
  <c r="F1399" i="3"/>
  <c r="D1399" i="3"/>
  <c r="E1399" i="3"/>
  <c r="J1399" i="3"/>
  <c r="K1399" i="3"/>
  <c r="C1398" i="3"/>
  <c r="B1398" i="3" s="1"/>
  <c r="I1398" i="3"/>
  <c r="H1398" i="3" s="1"/>
  <c r="A1400" i="3"/>
  <c r="L1400" i="3" l="1"/>
  <c r="F1400" i="3"/>
  <c r="J1400" i="3"/>
  <c r="D1400" i="3"/>
  <c r="K1400" i="3"/>
  <c r="E1400" i="3"/>
  <c r="C1399" i="3"/>
  <c r="B1399" i="3" s="1"/>
  <c r="I1399" i="3"/>
  <c r="H1399" i="3" s="1"/>
  <c r="A1401" i="3"/>
  <c r="L1401" i="3" l="1"/>
  <c r="F1401" i="3"/>
  <c r="J1401" i="3"/>
  <c r="D1401" i="3"/>
  <c r="K1401" i="3"/>
  <c r="E1401" i="3"/>
  <c r="C1400" i="3"/>
  <c r="B1400" i="3" s="1"/>
  <c r="A1402" i="3"/>
  <c r="I1400" i="3"/>
  <c r="H1400" i="3" s="1"/>
  <c r="L1402" i="3" l="1"/>
  <c r="F1402" i="3"/>
  <c r="J1402" i="3"/>
  <c r="D1402" i="3"/>
  <c r="K1402" i="3"/>
  <c r="E1402" i="3"/>
  <c r="C1401" i="3"/>
  <c r="B1401" i="3" s="1"/>
  <c r="I1401" i="3"/>
  <c r="H1401" i="3" s="1"/>
  <c r="A1403" i="3"/>
  <c r="F1403" i="3" l="1"/>
  <c r="L1403" i="3"/>
  <c r="J1403" i="3"/>
  <c r="D1403" i="3"/>
  <c r="K1403" i="3"/>
  <c r="E1403" i="3"/>
  <c r="C1402" i="3"/>
  <c r="B1402" i="3" s="1"/>
  <c r="A1404" i="3"/>
  <c r="I1402" i="3"/>
  <c r="H1402" i="3" s="1"/>
  <c r="L1404" i="3" l="1"/>
  <c r="F1404" i="3"/>
  <c r="J1404" i="3"/>
  <c r="D1404" i="3"/>
  <c r="K1404" i="3"/>
  <c r="E1404" i="3"/>
  <c r="I1403" i="3"/>
  <c r="H1403" i="3" s="1"/>
  <c r="C1403" i="3"/>
  <c r="B1403" i="3" s="1"/>
  <c r="A1405" i="3"/>
  <c r="L1405" i="3" l="1"/>
  <c r="F1405" i="3"/>
  <c r="J1405" i="3"/>
  <c r="D1405" i="3"/>
  <c r="K1405" i="3"/>
  <c r="E1405" i="3"/>
  <c r="C1404" i="3"/>
  <c r="B1404" i="3" s="1"/>
  <c r="I1404" i="3"/>
  <c r="H1404" i="3" s="1"/>
  <c r="A1406" i="3"/>
  <c r="L1406" i="3" l="1"/>
  <c r="F1406" i="3"/>
  <c r="J1406" i="3"/>
  <c r="D1406" i="3"/>
  <c r="K1406" i="3"/>
  <c r="E1406" i="3"/>
  <c r="I1405" i="3"/>
  <c r="H1405" i="3" s="1"/>
  <c r="A1407" i="3"/>
  <c r="C1405" i="3"/>
  <c r="B1405" i="3" s="1"/>
  <c r="L1407" i="3" l="1"/>
  <c r="F1407" i="3"/>
  <c r="J1407" i="3"/>
  <c r="D1407" i="3"/>
  <c r="K1407" i="3"/>
  <c r="E1407" i="3"/>
  <c r="I1406" i="3"/>
  <c r="H1406" i="3" s="1"/>
  <c r="A1408" i="3"/>
  <c r="C1406" i="3"/>
  <c r="B1406" i="3" s="1"/>
  <c r="L1408" i="3" l="1"/>
  <c r="F1408" i="3"/>
  <c r="J1408" i="3"/>
  <c r="D1408" i="3"/>
  <c r="K1408" i="3"/>
  <c r="E1408" i="3"/>
  <c r="C1407" i="3"/>
  <c r="B1407" i="3" s="1"/>
  <c r="A1409" i="3"/>
  <c r="I1407" i="3"/>
  <c r="H1407" i="3" s="1"/>
  <c r="L1409" i="3" l="1"/>
  <c r="F1409" i="3"/>
  <c r="J1409" i="3"/>
  <c r="D1409" i="3"/>
  <c r="K1409" i="3"/>
  <c r="E1409" i="3"/>
  <c r="C1408" i="3"/>
  <c r="B1408" i="3" s="1"/>
  <c r="A1410" i="3"/>
  <c r="I1408" i="3"/>
  <c r="H1408" i="3" s="1"/>
  <c r="L1410" i="3" l="1"/>
  <c r="F1410" i="3"/>
  <c r="J1410" i="3"/>
  <c r="D1410" i="3"/>
  <c r="K1410" i="3"/>
  <c r="E1410" i="3"/>
  <c r="C1409" i="3"/>
  <c r="B1409" i="3" s="1"/>
  <c r="I1409" i="3"/>
  <c r="H1409" i="3" s="1"/>
  <c r="A1411" i="3"/>
  <c r="L1411" i="3" l="1"/>
  <c r="F1411" i="3"/>
  <c r="J1411" i="3"/>
  <c r="D1411" i="3"/>
  <c r="K1411" i="3"/>
  <c r="E1411" i="3"/>
  <c r="I1410" i="3"/>
  <c r="H1410" i="3" s="1"/>
  <c r="C1410" i="3"/>
  <c r="B1410" i="3" s="1"/>
  <c r="A1412" i="3"/>
  <c r="L1412" i="3" l="1"/>
  <c r="F1412" i="3"/>
  <c r="J1412" i="3"/>
  <c r="D1412" i="3"/>
  <c r="K1412" i="3"/>
  <c r="E1412" i="3"/>
  <c r="I1411" i="3"/>
  <c r="H1411" i="3" s="1"/>
  <c r="C1411" i="3"/>
  <c r="B1411" i="3" s="1"/>
  <c r="A1413" i="3"/>
  <c r="L1413" i="3" l="1"/>
  <c r="F1413" i="3"/>
  <c r="J1413" i="3"/>
  <c r="D1413" i="3"/>
  <c r="K1413" i="3"/>
  <c r="E1413" i="3"/>
  <c r="C1412" i="3"/>
  <c r="B1412" i="3" s="1"/>
  <c r="I1412" i="3"/>
  <c r="H1412" i="3" s="1"/>
  <c r="A1414" i="3"/>
  <c r="L1414" i="3" l="1"/>
  <c r="F1414" i="3"/>
  <c r="D1414" i="3"/>
  <c r="J1414" i="3"/>
  <c r="E1414" i="3"/>
  <c r="K1414" i="3"/>
  <c r="I1413" i="3"/>
  <c r="H1413" i="3" s="1"/>
  <c r="A1415" i="3"/>
  <c r="C1413" i="3"/>
  <c r="B1413" i="3" s="1"/>
  <c r="L1415" i="3" l="1"/>
  <c r="J1415" i="3"/>
  <c r="D1415" i="3"/>
  <c r="K1415" i="3"/>
  <c r="E1415" i="3"/>
  <c r="I1414" i="3"/>
  <c r="H1414" i="3" s="1"/>
  <c r="C1414" i="3"/>
  <c r="B1414" i="3" s="1"/>
  <c r="A1416" i="3"/>
  <c r="L1416" i="3" l="1"/>
  <c r="F1416" i="3"/>
  <c r="J1416" i="3"/>
  <c r="D1416" i="3"/>
  <c r="K1416" i="3"/>
  <c r="E1416" i="3"/>
  <c r="I1415" i="3"/>
  <c r="H1415" i="3" s="1"/>
  <c r="A1417" i="3"/>
  <c r="L1417" i="3" l="1"/>
  <c r="F1417" i="3"/>
  <c r="J1417" i="3"/>
  <c r="D1417" i="3"/>
  <c r="K1417" i="3"/>
  <c r="E1417" i="3"/>
  <c r="C1416" i="3"/>
  <c r="B1416" i="3" s="1"/>
  <c r="A1418" i="3"/>
  <c r="I1416" i="3"/>
  <c r="H1416" i="3" s="1"/>
  <c r="F1418" i="3" l="1"/>
  <c r="E1418" i="3"/>
  <c r="L1418" i="3"/>
  <c r="J1418" i="3"/>
  <c r="D1418" i="3"/>
  <c r="K1418" i="3"/>
  <c r="C1417" i="3"/>
  <c r="B1417" i="3" s="1"/>
  <c r="I1417" i="3"/>
  <c r="H1417" i="3" s="1"/>
  <c r="A1419" i="3"/>
  <c r="L1419" i="3" l="1"/>
  <c r="F1419" i="3"/>
  <c r="J1419" i="3"/>
  <c r="D1419" i="3"/>
  <c r="K1419" i="3"/>
  <c r="E1419" i="3"/>
  <c r="I1418" i="3"/>
  <c r="H1418" i="3" s="1"/>
  <c r="C1418" i="3"/>
  <c r="B1418" i="3" s="1"/>
  <c r="A1420" i="3"/>
  <c r="L1420" i="3" l="1"/>
  <c r="F1420" i="3"/>
  <c r="J1420" i="3"/>
  <c r="D1420" i="3"/>
  <c r="K1420" i="3"/>
  <c r="E1420" i="3"/>
  <c r="I1419" i="3"/>
  <c r="H1419" i="3" s="1"/>
  <c r="A1421" i="3"/>
  <c r="C1419" i="3"/>
  <c r="B1419" i="3" s="1"/>
  <c r="L1421" i="3" l="1"/>
  <c r="F1421" i="3"/>
  <c r="J1421" i="3"/>
  <c r="D1421" i="3"/>
  <c r="K1421" i="3"/>
  <c r="E1421" i="3"/>
  <c r="C1420" i="3"/>
  <c r="B1420" i="3" s="1"/>
  <c r="I1420" i="3"/>
  <c r="H1420" i="3" s="1"/>
  <c r="A1422" i="3"/>
  <c r="L1422" i="3" l="1"/>
  <c r="F1422" i="3"/>
  <c r="J1422" i="3"/>
  <c r="D1422" i="3"/>
  <c r="K1422" i="3"/>
  <c r="E1422" i="3"/>
  <c r="I1421" i="3"/>
  <c r="H1421" i="3" s="1"/>
  <c r="A1423" i="3"/>
  <c r="C1421" i="3"/>
  <c r="B1421" i="3" s="1"/>
  <c r="L1423" i="3" l="1"/>
  <c r="F1423" i="3"/>
  <c r="J1423" i="3"/>
  <c r="D1423" i="3"/>
  <c r="K1423" i="3"/>
  <c r="E1423" i="3"/>
  <c r="I1422" i="3"/>
  <c r="H1422" i="3" s="1"/>
  <c r="C1422" i="3"/>
  <c r="B1422" i="3" s="1"/>
  <c r="A1424" i="3"/>
  <c r="L1424" i="3" l="1"/>
  <c r="F1424" i="3"/>
  <c r="J1424" i="3"/>
  <c r="D1424" i="3"/>
  <c r="K1424" i="3"/>
  <c r="E1424" i="3"/>
  <c r="I1423" i="3"/>
  <c r="H1423" i="3" s="1"/>
  <c r="C1423" i="3"/>
  <c r="B1423" i="3" s="1"/>
  <c r="A1425" i="3"/>
  <c r="F1425" i="3" l="1"/>
  <c r="L1425" i="3"/>
  <c r="J1425" i="3"/>
  <c r="D1425" i="3"/>
  <c r="K1425" i="3"/>
  <c r="E1425" i="3"/>
  <c r="A1426" i="3"/>
  <c r="I1424" i="3"/>
  <c r="H1424" i="3" s="1"/>
  <c r="C1424" i="3"/>
  <c r="B1424" i="3" s="1"/>
  <c r="L1426" i="3" l="1"/>
  <c r="F1426" i="3"/>
  <c r="J1426" i="3"/>
  <c r="D1426" i="3"/>
  <c r="K1426" i="3"/>
  <c r="E1426" i="3"/>
  <c r="C1425" i="3"/>
  <c r="B1425" i="3" s="1"/>
  <c r="A1427" i="3"/>
  <c r="I1425" i="3"/>
  <c r="H1425" i="3" s="1"/>
  <c r="L1427" i="3" l="1"/>
  <c r="F1427" i="3"/>
  <c r="D1427" i="3"/>
  <c r="J1427" i="3"/>
  <c r="E1427" i="3"/>
  <c r="K1427" i="3"/>
  <c r="I1426" i="3"/>
  <c r="H1426" i="3" s="1"/>
  <c r="A1428" i="3"/>
  <c r="C1426" i="3"/>
  <c r="B1426" i="3" s="1"/>
  <c r="L1428" i="3" l="1"/>
  <c r="F1428" i="3"/>
  <c r="J1428" i="3"/>
  <c r="D1428" i="3"/>
  <c r="K1428" i="3"/>
  <c r="E1428" i="3"/>
  <c r="C1427" i="3"/>
  <c r="B1427" i="3" s="1"/>
  <c r="I1427" i="3"/>
  <c r="H1427" i="3" s="1"/>
  <c r="A1429" i="3"/>
  <c r="L1429" i="3" l="1"/>
  <c r="F1429" i="3"/>
  <c r="D1429" i="3"/>
  <c r="J1429" i="3"/>
  <c r="E1429" i="3"/>
  <c r="K1429" i="3"/>
  <c r="I1428" i="3"/>
  <c r="H1428" i="3" s="1"/>
  <c r="A1430" i="3"/>
  <c r="C1428" i="3"/>
  <c r="B1428" i="3" s="1"/>
  <c r="L1430" i="3" l="1"/>
  <c r="F1430" i="3"/>
  <c r="J1430" i="3"/>
  <c r="D1430" i="3"/>
  <c r="K1430" i="3"/>
  <c r="E1430" i="3"/>
  <c r="I1429" i="3"/>
  <c r="H1429" i="3" s="1"/>
  <c r="C1429" i="3"/>
  <c r="B1429" i="3" s="1"/>
  <c r="A1431" i="3"/>
  <c r="L1431" i="3" l="1"/>
  <c r="F1431" i="3"/>
  <c r="J1431" i="3"/>
  <c r="D1431" i="3"/>
  <c r="K1431" i="3"/>
  <c r="E1431" i="3"/>
  <c r="I1430" i="3"/>
  <c r="H1430" i="3" s="1"/>
  <c r="A1432" i="3"/>
  <c r="C1430" i="3"/>
  <c r="B1430" i="3" s="1"/>
  <c r="L1432" i="3" l="1"/>
  <c r="F1432" i="3"/>
  <c r="J1432" i="3"/>
  <c r="D1432" i="3"/>
  <c r="K1432" i="3"/>
  <c r="E1432" i="3"/>
  <c r="I1431" i="3"/>
  <c r="H1431" i="3" s="1"/>
  <c r="C1431" i="3"/>
  <c r="B1431" i="3" s="1"/>
  <c r="A1433" i="3"/>
  <c r="L1433" i="3" l="1"/>
  <c r="F1433" i="3"/>
  <c r="J1433" i="3"/>
  <c r="D1433" i="3"/>
  <c r="K1433" i="3"/>
  <c r="E1433" i="3"/>
  <c r="I1432" i="3"/>
  <c r="H1432" i="3" s="1"/>
  <c r="C1432" i="3"/>
  <c r="B1432" i="3" s="1"/>
  <c r="A1434" i="3"/>
  <c r="L1434" i="3" l="1"/>
  <c r="F1434" i="3"/>
  <c r="J1434" i="3"/>
  <c r="D1434" i="3"/>
  <c r="K1434" i="3"/>
  <c r="E1434" i="3"/>
  <c r="C1433" i="3"/>
  <c r="B1433" i="3" s="1"/>
  <c r="A1435" i="3"/>
  <c r="I1433" i="3"/>
  <c r="H1433" i="3" s="1"/>
  <c r="L1435" i="3" l="1"/>
  <c r="F1435" i="3"/>
  <c r="J1435" i="3"/>
  <c r="D1435" i="3"/>
  <c r="K1435" i="3"/>
  <c r="E1435" i="3"/>
  <c r="C1434" i="3"/>
  <c r="B1434" i="3" s="1"/>
  <c r="A1436" i="3"/>
  <c r="I1434" i="3"/>
  <c r="H1434" i="3" s="1"/>
  <c r="L1436" i="3" l="1"/>
  <c r="J1436" i="3"/>
  <c r="D1436" i="3"/>
  <c r="K1436" i="3"/>
  <c r="E1436" i="3"/>
  <c r="C1435" i="3"/>
  <c r="B1435" i="3" s="1"/>
  <c r="A1437" i="3"/>
  <c r="I1435" i="3"/>
  <c r="H1435" i="3" s="1"/>
  <c r="L1437" i="3" l="1"/>
  <c r="F1437" i="3"/>
  <c r="J1437" i="3"/>
  <c r="D1437" i="3"/>
  <c r="K1437" i="3"/>
  <c r="E1437" i="3"/>
  <c r="I1436" i="3"/>
  <c r="H1436" i="3" s="1"/>
  <c r="A1438" i="3"/>
  <c r="L1438" i="3" l="1"/>
  <c r="F1438" i="3"/>
  <c r="J1438" i="3"/>
  <c r="D1438" i="3"/>
  <c r="K1438" i="3"/>
  <c r="E1438" i="3"/>
  <c r="I1437" i="3"/>
  <c r="H1437" i="3" s="1"/>
  <c r="C1437" i="3"/>
  <c r="B1437" i="3" s="1"/>
  <c r="A1439" i="3"/>
  <c r="L1439" i="3" l="1"/>
  <c r="F1439" i="3"/>
  <c r="J1439" i="3"/>
  <c r="D1439" i="3"/>
  <c r="K1439" i="3"/>
  <c r="E1439" i="3"/>
  <c r="I1438" i="3"/>
  <c r="H1438" i="3" s="1"/>
  <c r="C1438" i="3"/>
  <c r="B1438" i="3" s="1"/>
  <c r="A1440" i="3"/>
  <c r="F1440" i="3" l="1"/>
  <c r="E1440" i="3"/>
  <c r="L1440" i="3"/>
  <c r="J1440" i="3"/>
  <c r="D1440" i="3"/>
  <c r="K1440" i="3"/>
  <c r="C1439" i="3"/>
  <c r="B1439" i="3" s="1"/>
  <c r="I1439" i="3"/>
  <c r="H1439" i="3" s="1"/>
  <c r="A1441" i="3"/>
  <c r="L1441" i="3" l="1"/>
  <c r="F1441" i="3"/>
  <c r="J1441" i="3"/>
  <c r="D1441" i="3"/>
  <c r="K1441" i="3"/>
  <c r="E1441" i="3"/>
  <c r="C1440" i="3"/>
  <c r="B1440" i="3" s="1"/>
  <c r="I1440" i="3"/>
  <c r="H1440" i="3" s="1"/>
  <c r="A1442" i="3"/>
  <c r="L1442" i="3" l="1"/>
  <c r="F1442" i="3"/>
  <c r="J1442" i="3"/>
  <c r="D1442" i="3"/>
  <c r="K1442" i="3"/>
  <c r="E1442" i="3"/>
  <c r="I1441" i="3"/>
  <c r="H1441" i="3" s="1"/>
  <c r="C1441" i="3"/>
  <c r="B1441" i="3" s="1"/>
  <c r="A1443" i="3"/>
  <c r="L1443" i="3" l="1"/>
  <c r="F1443" i="3"/>
  <c r="J1443" i="3"/>
  <c r="D1443" i="3"/>
  <c r="K1443" i="3"/>
  <c r="E1443" i="3"/>
  <c r="I1442" i="3"/>
  <c r="H1442" i="3" s="1"/>
  <c r="C1442" i="3"/>
  <c r="B1442" i="3" s="1"/>
  <c r="A1444" i="3"/>
  <c r="L1444" i="3" l="1"/>
  <c r="F1444" i="3"/>
  <c r="D1444" i="3"/>
  <c r="J1444" i="3"/>
  <c r="E1444" i="3"/>
  <c r="K1444" i="3"/>
  <c r="C1443" i="3"/>
  <c r="B1443" i="3" s="1"/>
  <c r="I1443" i="3"/>
  <c r="H1443" i="3" s="1"/>
  <c r="A1445" i="3"/>
  <c r="L1445" i="3" l="1"/>
  <c r="F1445" i="3"/>
  <c r="J1445" i="3"/>
  <c r="D1445" i="3"/>
  <c r="K1445" i="3"/>
  <c r="E1445" i="3"/>
  <c r="I1444" i="3"/>
  <c r="H1444" i="3" s="1"/>
  <c r="C1444" i="3"/>
  <c r="B1444" i="3" s="1"/>
  <c r="A1446" i="3"/>
  <c r="L1446" i="3" l="1"/>
  <c r="F1446" i="3"/>
  <c r="J1446" i="3"/>
  <c r="D1446" i="3"/>
  <c r="K1446" i="3"/>
  <c r="E1446" i="3"/>
  <c r="I1445" i="3"/>
  <c r="H1445" i="3" s="1"/>
  <c r="A1447" i="3"/>
  <c r="C1445" i="3"/>
  <c r="B1445" i="3" s="1"/>
  <c r="F1447" i="3" l="1"/>
  <c r="L1447" i="3"/>
  <c r="J1447" i="3"/>
  <c r="D1447" i="3"/>
  <c r="K1447" i="3"/>
  <c r="E1447" i="3"/>
  <c r="I1446" i="3"/>
  <c r="H1446" i="3" s="1"/>
  <c r="A1448" i="3"/>
  <c r="C1446" i="3"/>
  <c r="B1446" i="3" s="1"/>
  <c r="L1448" i="3" l="1"/>
  <c r="F1448" i="3"/>
  <c r="J1448" i="3"/>
  <c r="D1448" i="3"/>
  <c r="K1448" i="3"/>
  <c r="E1448" i="3"/>
  <c r="C1447" i="3"/>
  <c r="B1447" i="3" s="1"/>
  <c r="I1447" i="3"/>
  <c r="H1447" i="3" s="1"/>
  <c r="A1449" i="3"/>
  <c r="L1449" i="3" l="1"/>
  <c r="F1449" i="3"/>
  <c r="J1449" i="3"/>
  <c r="D1449" i="3"/>
  <c r="K1449" i="3"/>
  <c r="E1449" i="3"/>
  <c r="C1448" i="3"/>
  <c r="B1448" i="3" s="1"/>
  <c r="I1448" i="3"/>
  <c r="H1448" i="3" s="1"/>
  <c r="A1450" i="3"/>
  <c r="L1450" i="3" l="1"/>
  <c r="F1450" i="3"/>
  <c r="J1450" i="3"/>
  <c r="D1450" i="3"/>
  <c r="K1450" i="3"/>
  <c r="E1450" i="3"/>
  <c r="C1449" i="3"/>
  <c r="B1449" i="3" s="1"/>
  <c r="I1449" i="3"/>
  <c r="H1449" i="3" s="1"/>
  <c r="A1451" i="3"/>
  <c r="L1451" i="3" l="1"/>
  <c r="F1451" i="3"/>
  <c r="J1451" i="3"/>
  <c r="D1451" i="3"/>
  <c r="K1451" i="3"/>
  <c r="E1451" i="3"/>
  <c r="C1450" i="3"/>
  <c r="B1450" i="3" s="1"/>
  <c r="A1452" i="3"/>
  <c r="I1450" i="3"/>
  <c r="H1450" i="3" s="1"/>
  <c r="L1452" i="3" l="1"/>
  <c r="F1452" i="3"/>
  <c r="J1452" i="3"/>
  <c r="D1452" i="3"/>
  <c r="K1452" i="3"/>
  <c r="E1452" i="3"/>
  <c r="C1451" i="3"/>
  <c r="B1451" i="3" s="1"/>
  <c r="A1453" i="3"/>
  <c r="I1451" i="3"/>
  <c r="H1451" i="3" s="1"/>
  <c r="L1453" i="3" l="1"/>
  <c r="F1453" i="3"/>
  <c r="J1453" i="3"/>
  <c r="D1453" i="3"/>
  <c r="K1453" i="3"/>
  <c r="E1453" i="3"/>
  <c r="I1452" i="3"/>
  <c r="H1452" i="3" s="1"/>
  <c r="A1454" i="3"/>
  <c r="C1452" i="3"/>
  <c r="B1452" i="3" s="1"/>
  <c r="L1454" i="3" l="1"/>
  <c r="F1454" i="3"/>
  <c r="J1454" i="3"/>
  <c r="D1454" i="3"/>
  <c r="K1454" i="3"/>
  <c r="E1454" i="3"/>
  <c r="C1453" i="3"/>
  <c r="B1453" i="3" s="1"/>
  <c r="I1453" i="3"/>
  <c r="H1453" i="3" s="1"/>
  <c r="A1455" i="3"/>
  <c r="L1455" i="3" l="1"/>
  <c r="F1455" i="3"/>
  <c r="J1455" i="3"/>
  <c r="D1455" i="3"/>
  <c r="K1455" i="3"/>
  <c r="E1455" i="3"/>
  <c r="C1454" i="3"/>
  <c r="B1454" i="3" s="1"/>
  <c r="A1456" i="3"/>
  <c r="I1454" i="3"/>
  <c r="H1454" i="3" s="1"/>
  <c r="L1456" i="3" l="1"/>
  <c r="J1456" i="3"/>
  <c r="D1456" i="3"/>
  <c r="K1456" i="3"/>
  <c r="E1456" i="3"/>
  <c r="C1455" i="3"/>
  <c r="B1455" i="3" s="1"/>
  <c r="I1455" i="3"/>
  <c r="H1455" i="3" s="1"/>
  <c r="A1457" i="3"/>
  <c r="L1457" i="3" l="1"/>
  <c r="F1457" i="3"/>
  <c r="D1457" i="3"/>
  <c r="J1457" i="3"/>
  <c r="E1457" i="3"/>
  <c r="K1457" i="3"/>
  <c r="I1456" i="3"/>
  <c r="H1456" i="3" s="1"/>
  <c r="A1458" i="3"/>
  <c r="L1458" i="3" l="1"/>
  <c r="F1458" i="3"/>
  <c r="J1458" i="3"/>
  <c r="D1458" i="3"/>
  <c r="K1458" i="3"/>
  <c r="E1458" i="3"/>
  <c r="C1457" i="3"/>
  <c r="B1457" i="3" s="1"/>
  <c r="I1457" i="3"/>
  <c r="H1457" i="3" s="1"/>
  <c r="A1459" i="3"/>
  <c r="L1459" i="3" l="1"/>
  <c r="F1459" i="3"/>
  <c r="J1459" i="3"/>
  <c r="D1459" i="3"/>
  <c r="K1459" i="3"/>
  <c r="E1459" i="3"/>
  <c r="C1458" i="3"/>
  <c r="B1458" i="3" s="1"/>
  <c r="A1460" i="3"/>
  <c r="I1458" i="3"/>
  <c r="H1458" i="3" s="1"/>
  <c r="L1460" i="3" l="1"/>
  <c r="F1460" i="3"/>
  <c r="D1460" i="3"/>
  <c r="J1460" i="3"/>
  <c r="E1460" i="3"/>
  <c r="K1460" i="3"/>
  <c r="C1459" i="3"/>
  <c r="B1459" i="3" s="1"/>
  <c r="A1461" i="3"/>
  <c r="I1459" i="3"/>
  <c r="H1459" i="3" s="1"/>
  <c r="F1461" i="3" l="1"/>
  <c r="E1461" i="3"/>
  <c r="L1461" i="3"/>
  <c r="J1461" i="3"/>
  <c r="D1461" i="3"/>
  <c r="K1461" i="3"/>
  <c r="C1460" i="3"/>
  <c r="B1460" i="3" s="1"/>
  <c r="A1462" i="3"/>
  <c r="I1460" i="3"/>
  <c r="H1460" i="3" s="1"/>
  <c r="L1462" i="3" l="1"/>
  <c r="F1462" i="3"/>
  <c r="J1462" i="3"/>
  <c r="D1462" i="3"/>
  <c r="K1462" i="3"/>
  <c r="E1462" i="3"/>
  <c r="C1461" i="3"/>
  <c r="B1461" i="3" s="1"/>
  <c r="A1463" i="3"/>
  <c r="I1461" i="3"/>
  <c r="H1461" i="3" s="1"/>
  <c r="L1463" i="3" l="1"/>
  <c r="F1463" i="3"/>
  <c r="J1463" i="3"/>
  <c r="D1463" i="3"/>
  <c r="K1463" i="3"/>
  <c r="E1463" i="3"/>
  <c r="A1464" i="3"/>
  <c r="I1462" i="3"/>
  <c r="H1462" i="3" s="1"/>
  <c r="C1462" i="3"/>
  <c r="B1462" i="3" s="1"/>
  <c r="L1464" i="3" l="1"/>
  <c r="F1464" i="3"/>
  <c r="J1464" i="3"/>
  <c r="D1464" i="3"/>
  <c r="K1464" i="3"/>
  <c r="E1464" i="3"/>
  <c r="C1463" i="3"/>
  <c r="B1463" i="3" s="1"/>
  <c r="A1465" i="3"/>
  <c r="I1463" i="3"/>
  <c r="H1463" i="3" s="1"/>
  <c r="L1465" i="3" l="1"/>
  <c r="F1465" i="3"/>
  <c r="J1465" i="3"/>
  <c r="D1465" i="3"/>
  <c r="K1465" i="3"/>
  <c r="E1465" i="3"/>
  <c r="C1464" i="3"/>
  <c r="B1464" i="3" s="1"/>
  <c r="A1466" i="3"/>
  <c r="I1464" i="3"/>
  <c r="H1464" i="3" s="1"/>
  <c r="L1466" i="3" l="1"/>
  <c r="F1466" i="3"/>
  <c r="J1466" i="3"/>
  <c r="D1466" i="3"/>
  <c r="K1466" i="3"/>
  <c r="E1466" i="3"/>
  <c r="C1465" i="3"/>
  <c r="B1465" i="3" s="1"/>
  <c r="A1467" i="3"/>
  <c r="I1465" i="3"/>
  <c r="H1465" i="3" s="1"/>
  <c r="L1467" i="3" l="1"/>
  <c r="F1467" i="3"/>
  <c r="J1467" i="3"/>
  <c r="D1467" i="3"/>
  <c r="K1467" i="3"/>
  <c r="E1467" i="3"/>
  <c r="C1466" i="3"/>
  <c r="B1466" i="3" s="1"/>
  <c r="I1466" i="3"/>
  <c r="H1466" i="3" s="1"/>
  <c r="A1468" i="3"/>
  <c r="F1468" i="3" l="1"/>
  <c r="L1468" i="3"/>
  <c r="J1468" i="3"/>
  <c r="D1468" i="3"/>
  <c r="K1468" i="3"/>
  <c r="E1468" i="3"/>
  <c r="I1467" i="3"/>
  <c r="H1467" i="3" s="1"/>
  <c r="C1467" i="3"/>
  <c r="B1467" i="3" s="1"/>
  <c r="A1469" i="3"/>
  <c r="L1469" i="3" l="1"/>
  <c r="F1469" i="3"/>
  <c r="J1469" i="3"/>
  <c r="D1469" i="3"/>
  <c r="K1469" i="3"/>
  <c r="E1469" i="3"/>
  <c r="C1468" i="3"/>
  <c r="B1468" i="3" s="1"/>
  <c r="A1470" i="3"/>
  <c r="I1468" i="3"/>
  <c r="H1468" i="3" s="1"/>
  <c r="L1470" i="3" l="1"/>
  <c r="F1470" i="3"/>
  <c r="J1470" i="3"/>
  <c r="D1470" i="3"/>
  <c r="K1470" i="3"/>
  <c r="E1470" i="3"/>
  <c r="A1471" i="3"/>
  <c r="I1469" i="3"/>
  <c r="H1469" i="3" s="1"/>
  <c r="C1469" i="3"/>
  <c r="B1469" i="3" s="1"/>
  <c r="L1471" i="3" l="1"/>
  <c r="F1471" i="3"/>
  <c r="J1471" i="3"/>
  <c r="D1471" i="3"/>
  <c r="K1471" i="3"/>
  <c r="E1471" i="3"/>
  <c r="C1470" i="3"/>
  <c r="B1470" i="3" s="1"/>
  <c r="A1472" i="3"/>
  <c r="I1470" i="3"/>
  <c r="H1470" i="3" s="1"/>
  <c r="L1472" i="3" l="1"/>
  <c r="F1472" i="3"/>
  <c r="J1472" i="3"/>
  <c r="D1472" i="3"/>
  <c r="K1472" i="3"/>
  <c r="E1472" i="3"/>
  <c r="C1471" i="3"/>
  <c r="B1471" i="3" s="1"/>
  <c r="A1473" i="3"/>
  <c r="I1471" i="3"/>
  <c r="H1471" i="3" s="1"/>
  <c r="L1473" i="3" l="1"/>
  <c r="F1473" i="3"/>
  <c r="J1473" i="3"/>
  <c r="D1473" i="3"/>
  <c r="K1473" i="3"/>
  <c r="E1473" i="3"/>
  <c r="C1472" i="3"/>
  <c r="B1472" i="3" s="1"/>
  <c r="I1472" i="3"/>
  <c r="H1472" i="3" s="1"/>
  <c r="A1474" i="3"/>
  <c r="L1474" i="3" l="1"/>
  <c r="F1474" i="3"/>
  <c r="J1474" i="3"/>
  <c r="D1474" i="3"/>
  <c r="K1474" i="3"/>
  <c r="E1474" i="3"/>
  <c r="C1473" i="3"/>
  <c r="B1473" i="3" s="1"/>
  <c r="I1473" i="3"/>
  <c r="H1473" i="3" s="1"/>
  <c r="A1475" i="3"/>
  <c r="L1475" i="3" l="1"/>
  <c r="F1475" i="3"/>
  <c r="D1475" i="3"/>
  <c r="J1475" i="3"/>
  <c r="E1475" i="3"/>
  <c r="K1475" i="3"/>
  <c r="C1474" i="3"/>
  <c r="B1474" i="3" s="1"/>
  <c r="A1476" i="3"/>
  <c r="I1474" i="3"/>
  <c r="H1474" i="3" s="1"/>
  <c r="L1476" i="3" l="1"/>
  <c r="F1476" i="3"/>
  <c r="J1476" i="3"/>
  <c r="D1476" i="3"/>
  <c r="K1476" i="3"/>
  <c r="E1476" i="3"/>
  <c r="C1475" i="3"/>
  <c r="B1475" i="3" s="1"/>
  <c r="A1477" i="3"/>
  <c r="I1475" i="3"/>
  <c r="H1475" i="3" s="1"/>
  <c r="L1477" i="3" l="1"/>
  <c r="F1477" i="3"/>
  <c r="J1477" i="3"/>
  <c r="D1477" i="3"/>
  <c r="K1477" i="3"/>
  <c r="E1477" i="3"/>
  <c r="I1476" i="3"/>
  <c r="H1476" i="3" s="1"/>
  <c r="A1478" i="3"/>
  <c r="C1476" i="3"/>
  <c r="B1476" i="3" s="1"/>
  <c r="L1478" i="3" l="1"/>
  <c r="F1478" i="3"/>
  <c r="J1478" i="3"/>
  <c r="D1478" i="3"/>
  <c r="K1478" i="3"/>
  <c r="E1478" i="3"/>
  <c r="C1477" i="3"/>
  <c r="B1477" i="3" s="1"/>
  <c r="I1477" i="3"/>
  <c r="H1477" i="3" s="1"/>
  <c r="A1479" i="3"/>
  <c r="L1479" i="3" l="1"/>
  <c r="J1479" i="3"/>
  <c r="D1479" i="3"/>
  <c r="K1479" i="3"/>
  <c r="E1479" i="3"/>
  <c r="A1480" i="3"/>
  <c r="I1478" i="3"/>
  <c r="H1478" i="3" s="1"/>
  <c r="C1478" i="3"/>
  <c r="B1478" i="3" s="1"/>
  <c r="L1480" i="3" l="1"/>
  <c r="F1480" i="3"/>
  <c r="J1480" i="3"/>
  <c r="D1480" i="3"/>
  <c r="K1480" i="3"/>
  <c r="E1480" i="3"/>
  <c r="A1481" i="3"/>
  <c r="I1479" i="3"/>
  <c r="H1479" i="3" s="1"/>
  <c r="F1481" i="3" l="1"/>
  <c r="E1481" i="3"/>
  <c r="L1481" i="3"/>
  <c r="J1481" i="3"/>
  <c r="D1481" i="3"/>
  <c r="K1481" i="3"/>
  <c r="C1480" i="3"/>
  <c r="B1480" i="3" s="1"/>
  <c r="A1482" i="3"/>
  <c r="I1480" i="3"/>
  <c r="H1480" i="3" s="1"/>
  <c r="L1482" i="3" l="1"/>
  <c r="F1482" i="3"/>
  <c r="J1482" i="3"/>
  <c r="D1482" i="3"/>
  <c r="K1482" i="3"/>
  <c r="E1482" i="3"/>
  <c r="C1481" i="3"/>
  <c r="B1481" i="3" s="1"/>
  <c r="A1483" i="3"/>
  <c r="I1481" i="3"/>
  <c r="H1481" i="3" s="1"/>
  <c r="L1483" i="3" l="1"/>
  <c r="F1483" i="3"/>
  <c r="J1483" i="3"/>
  <c r="D1483" i="3"/>
  <c r="K1483" i="3"/>
  <c r="E1483" i="3"/>
  <c r="C1482" i="3"/>
  <c r="B1482" i="3" s="1"/>
  <c r="A1484" i="3"/>
  <c r="I1482" i="3"/>
  <c r="H1482" i="3" s="1"/>
  <c r="L1484" i="3" l="1"/>
  <c r="F1484" i="3"/>
  <c r="J1484" i="3"/>
  <c r="D1484" i="3"/>
  <c r="K1484" i="3"/>
  <c r="E1484" i="3"/>
  <c r="C1483" i="3"/>
  <c r="B1483" i="3" s="1"/>
  <c r="A1485" i="3"/>
  <c r="I1483" i="3"/>
  <c r="H1483" i="3" s="1"/>
  <c r="L1485" i="3" l="1"/>
  <c r="F1485" i="3"/>
  <c r="J1485" i="3"/>
  <c r="D1485" i="3"/>
  <c r="K1485" i="3"/>
  <c r="E1485" i="3"/>
  <c r="C1484" i="3"/>
  <c r="B1484" i="3" s="1"/>
  <c r="A1486" i="3"/>
  <c r="I1484" i="3"/>
  <c r="H1484" i="3" s="1"/>
  <c r="L1486" i="3" l="1"/>
  <c r="F1486" i="3"/>
  <c r="J1486" i="3"/>
  <c r="D1486" i="3"/>
  <c r="K1486" i="3"/>
  <c r="E1486" i="3"/>
  <c r="C1485" i="3"/>
  <c r="B1485" i="3" s="1"/>
  <c r="I1485" i="3"/>
  <c r="H1485" i="3" s="1"/>
  <c r="A1487" i="3"/>
  <c r="L1487" i="3" l="1"/>
  <c r="F1487" i="3"/>
  <c r="J1487" i="3"/>
  <c r="D1487" i="3"/>
  <c r="K1487" i="3"/>
  <c r="E1487" i="3"/>
  <c r="C1486" i="3"/>
  <c r="B1486" i="3" s="1"/>
  <c r="I1486" i="3"/>
  <c r="H1486" i="3" s="1"/>
  <c r="A1488" i="3"/>
  <c r="F1488" i="3" l="1"/>
  <c r="L1488" i="3"/>
  <c r="J1488" i="3"/>
  <c r="D1488" i="3"/>
  <c r="K1488" i="3"/>
  <c r="E1488" i="3"/>
  <c r="I1487" i="3"/>
  <c r="H1487" i="3" s="1"/>
  <c r="C1487" i="3"/>
  <c r="B1487" i="3" s="1"/>
  <c r="A1489" i="3"/>
  <c r="L1489" i="3" l="1"/>
  <c r="F1489" i="3"/>
  <c r="J1489" i="3"/>
  <c r="D1489" i="3"/>
  <c r="K1489" i="3"/>
  <c r="E1489" i="3"/>
  <c r="I1488" i="3"/>
  <c r="H1488" i="3" s="1"/>
  <c r="A1490" i="3"/>
  <c r="C1488" i="3"/>
  <c r="B1488" i="3" s="1"/>
  <c r="L1490" i="3" l="1"/>
  <c r="F1490" i="3"/>
  <c r="D1490" i="3"/>
  <c r="J1490" i="3"/>
  <c r="E1490" i="3"/>
  <c r="K1490" i="3"/>
  <c r="C1489" i="3"/>
  <c r="B1489" i="3" s="1"/>
  <c r="I1489" i="3"/>
  <c r="H1489" i="3" s="1"/>
  <c r="A1491" i="3"/>
  <c r="L1491" i="3" l="1"/>
  <c r="F1491" i="3"/>
  <c r="D1491" i="3"/>
  <c r="J1491" i="3"/>
  <c r="E1491" i="3"/>
  <c r="K1491" i="3"/>
  <c r="I1490" i="3"/>
  <c r="H1490" i="3" s="1"/>
  <c r="C1490" i="3"/>
  <c r="B1490" i="3" s="1"/>
  <c r="A1492" i="3"/>
  <c r="L1492" i="3" l="1"/>
  <c r="F1492" i="3"/>
  <c r="J1492" i="3"/>
  <c r="D1492" i="3"/>
  <c r="K1492" i="3"/>
  <c r="E1492" i="3"/>
  <c r="I1491" i="3"/>
  <c r="H1491" i="3" s="1"/>
  <c r="A1493" i="3"/>
  <c r="C1491" i="3"/>
  <c r="B1491" i="3" s="1"/>
  <c r="L1493" i="3" l="1"/>
  <c r="F1493" i="3"/>
  <c r="J1493" i="3"/>
  <c r="D1493" i="3"/>
  <c r="K1493" i="3"/>
  <c r="E1493" i="3"/>
  <c r="A1494" i="3"/>
  <c r="I1492" i="3"/>
  <c r="H1492" i="3" s="1"/>
  <c r="C1492" i="3"/>
  <c r="B1492" i="3" s="1"/>
  <c r="L1494" i="3" l="1"/>
  <c r="F1494" i="3"/>
  <c r="J1494" i="3"/>
  <c r="D1494" i="3"/>
  <c r="K1494" i="3"/>
  <c r="E1494" i="3"/>
  <c r="C1493" i="3"/>
  <c r="B1493" i="3" s="1"/>
  <c r="A1495" i="3"/>
  <c r="I1493" i="3"/>
  <c r="H1493" i="3" s="1"/>
  <c r="L1495" i="3" l="1"/>
  <c r="F1495" i="3"/>
  <c r="J1495" i="3"/>
  <c r="D1495" i="3"/>
  <c r="K1495" i="3"/>
  <c r="E1495" i="3"/>
  <c r="C1494" i="3"/>
  <c r="B1494" i="3" s="1"/>
  <c r="A1496" i="3"/>
  <c r="I1494" i="3"/>
  <c r="H1494" i="3" s="1"/>
  <c r="L1496" i="3" l="1"/>
  <c r="F1496" i="3"/>
  <c r="J1496" i="3"/>
  <c r="D1496" i="3"/>
  <c r="K1496" i="3"/>
  <c r="E1496" i="3"/>
  <c r="I1495" i="3"/>
  <c r="H1495" i="3" s="1"/>
  <c r="A1497" i="3"/>
  <c r="C1495" i="3"/>
  <c r="B1495" i="3" s="1"/>
  <c r="L1497" i="3" l="1"/>
  <c r="F1497" i="3"/>
  <c r="J1497" i="3"/>
  <c r="D1497" i="3"/>
  <c r="K1497" i="3"/>
  <c r="E1497" i="3"/>
  <c r="I1496" i="3"/>
  <c r="H1496" i="3" s="1"/>
  <c r="C1496" i="3"/>
  <c r="B1496" i="3" s="1"/>
  <c r="A1498" i="3"/>
  <c r="L1498" i="3" l="1"/>
  <c r="F1498" i="3"/>
  <c r="J1498" i="3"/>
  <c r="D1498" i="3"/>
  <c r="K1498" i="3"/>
  <c r="E1498" i="3"/>
  <c r="C1497" i="3"/>
  <c r="B1497" i="3" s="1"/>
  <c r="I1497" i="3"/>
  <c r="H1497" i="3" s="1"/>
  <c r="A1499" i="3"/>
  <c r="L1499" i="3" l="1"/>
  <c r="F1499" i="3"/>
  <c r="J1499" i="3"/>
  <c r="D1499" i="3"/>
  <c r="K1499" i="3"/>
  <c r="E1499" i="3"/>
  <c r="I1498" i="3"/>
  <c r="H1498" i="3" s="1"/>
  <c r="C1498" i="3"/>
  <c r="B1498" i="3" s="1"/>
  <c r="A1500" i="3"/>
  <c r="L1500" i="3" l="1"/>
  <c r="F1500" i="3"/>
  <c r="J1500" i="3"/>
  <c r="D1500" i="3"/>
  <c r="K1500" i="3"/>
  <c r="E1500" i="3"/>
  <c r="C1499" i="3"/>
  <c r="B1499" i="3" s="1"/>
  <c r="I1499" i="3"/>
  <c r="H1499" i="3" s="1"/>
  <c r="A1501" i="3"/>
  <c r="F1501" i="3" l="1"/>
  <c r="E1501" i="3"/>
  <c r="L1501" i="3"/>
  <c r="J1501" i="3"/>
  <c r="D1501" i="3"/>
  <c r="K1501" i="3"/>
  <c r="I1500" i="3"/>
  <c r="H1500" i="3" s="1"/>
  <c r="C1500" i="3"/>
  <c r="B1500" i="3" s="1"/>
  <c r="A1502" i="3"/>
  <c r="L1502" i="3" l="1"/>
  <c r="F1502" i="3"/>
  <c r="J1502" i="3"/>
  <c r="D1502" i="3"/>
  <c r="K1502" i="3"/>
  <c r="E1502" i="3"/>
  <c r="I1501" i="3"/>
  <c r="H1501" i="3" s="1"/>
  <c r="A1503" i="3"/>
  <c r="L1503" i="3" l="1"/>
  <c r="F1503" i="3"/>
  <c r="J1503" i="3"/>
  <c r="D1503" i="3"/>
  <c r="K1503" i="3"/>
  <c r="E1503" i="3"/>
  <c r="C1502" i="3"/>
  <c r="B1502" i="3" s="1"/>
  <c r="I1502" i="3"/>
  <c r="H1502" i="3" s="1"/>
  <c r="A1504" i="3"/>
  <c r="L1504" i="3" l="1"/>
  <c r="F1504" i="3"/>
  <c r="J1504" i="3"/>
  <c r="D1504" i="3"/>
  <c r="K1504" i="3"/>
  <c r="E1504" i="3"/>
  <c r="C1503" i="3"/>
  <c r="B1503" i="3" s="1"/>
  <c r="A1505" i="3"/>
  <c r="I1503" i="3"/>
  <c r="H1503" i="3" s="1"/>
  <c r="L1505" i="3" l="1"/>
  <c r="F1505" i="3"/>
  <c r="J1505" i="3"/>
  <c r="D1505" i="3"/>
  <c r="K1505" i="3"/>
  <c r="E1505" i="3"/>
  <c r="C1504" i="3"/>
  <c r="B1504" i="3" s="1"/>
  <c r="A1506" i="3"/>
  <c r="I1504" i="3"/>
  <c r="H1504" i="3" s="1"/>
  <c r="L1506" i="3" l="1"/>
  <c r="F1506" i="3"/>
  <c r="J1506" i="3"/>
  <c r="D1506" i="3"/>
  <c r="K1506" i="3"/>
  <c r="E1506" i="3"/>
  <c r="I1505" i="3"/>
  <c r="H1505" i="3" s="1"/>
  <c r="C1505" i="3"/>
  <c r="B1505" i="3" s="1"/>
  <c r="A1507" i="3"/>
  <c r="L1507" i="3" l="1"/>
  <c r="F1507" i="3"/>
  <c r="D1507" i="3"/>
  <c r="J1507" i="3"/>
  <c r="E1507" i="3"/>
  <c r="K1507" i="3"/>
  <c r="I1506" i="3"/>
  <c r="H1506" i="3" s="1"/>
  <c r="C1506" i="3"/>
  <c r="B1506" i="3" s="1"/>
  <c r="A1508" i="3"/>
  <c r="F1508" i="3" l="1"/>
  <c r="L1508" i="3"/>
  <c r="J1508" i="3"/>
  <c r="D1508" i="3"/>
  <c r="K1508" i="3"/>
  <c r="E1508" i="3"/>
  <c r="I1507" i="3"/>
  <c r="H1507" i="3" s="1"/>
  <c r="C1507" i="3"/>
  <c r="B1507" i="3" s="1"/>
  <c r="A1509" i="3"/>
  <c r="L1509" i="3" l="1"/>
  <c r="F1509" i="3"/>
  <c r="J1509" i="3"/>
  <c r="D1509" i="3"/>
  <c r="K1509" i="3"/>
  <c r="E1509" i="3"/>
  <c r="I1508" i="3"/>
  <c r="H1508" i="3" s="1"/>
  <c r="A1510" i="3"/>
  <c r="C1508" i="3"/>
  <c r="B1508" i="3" s="1"/>
  <c r="L1510" i="3" l="1"/>
  <c r="F1510" i="3"/>
  <c r="J1510" i="3"/>
  <c r="D1510" i="3"/>
  <c r="K1510" i="3"/>
  <c r="E1510" i="3"/>
  <c r="A1511" i="3"/>
  <c r="C1509" i="3"/>
  <c r="B1509" i="3" s="1"/>
  <c r="I1509" i="3"/>
  <c r="H1509" i="3" s="1"/>
  <c r="L1511" i="3" l="1"/>
  <c r="F1511" i="3"/>
  <c r="J1511" i="3"/>
  <c r="D1511" i="3"/>
  <c r="K1511" i="3"/>
  <c r="E1511" i="3"/>
  <c r="C1510" i="3"/>
  <c r="B1510" i="3" s="1"/>
  <c r="A1512" i="3"/>
  <c r="I1510" i="3"/>
  <c r="H1510" i="3" s="1"/>
  <c r="L1512" i="3" l="1"/>
  <c r="F1512" i="3"/>
  <c r="J1512" i="3"/>
  <c r="D1512" i="3"/>
  <c r="K1512" i="3"/>
  <c r="E1512" i="3"/>
  <c r="I1511" i="3"/>
  <c r="H1511" i="3" s="1"/>
  <c r="A1513" i="3"/>
  <c r="C1511" i="3"/>
  <c r="B1511" i="3" s="1"/>
  <c r="L1513" i="3" l="1"/>
  <c r="F1513" i="3"/>
  <c r="J1513" i="3"/>
  <c r="D1513" i="3"/>
  <c r="K1513" i="3"/>
  <c r="E1513" i="3"/>
  <c r="I1512" i="3"/>
  <c r="H1512" i="3" s="1"/>
  <c r="A1514" i="3"/>
  <c r="C1512" i="3"/>
  <c r="B1512" i="3" s="1"/>
  <c r="L1514" i="3" l="1"/>
  <c r="F1514" i="3"/>
  <c r="J1514" i="3"/>
  <c r="D1514" i="3"/>
  <c r="K1514" i="3"/>
  <c r="E1514" i="3"/>
  <c r="C1513" i="3"/>
  <c r="B1513" i="3" s="1"/>
  <c r="A1515" i="3"/>
  <c r="I1513" i="3"/>
  <c r="H1513" i="3" s="1"/>
  <c r="L1515" i="3" l="1"/>
  <c r="F1515" i="3"/>
  <c r="J1515" i="3"/>
  <c r="D1515" i="3"/>
  <c r="K1515" i="3"/>
  <c r="E1515" i="3"/>
  <c r="C1514" i="3"/>
  <c r="B1514" i="3" s="1"/>
  <c r="A1516" i="3"/>
  <c r="I1514" i="3"/>
  <c r="H1514" i="3" s="1"/>
  <c r="L1516" i="3" l="1"/>
  <c r="F1516" i="3"/>
  <c r="J1516" i="3"/>
  <c r="D1516" i="3"/>
  <c r="K1516" i="3"/>
  <c r="E1516" i="3"/>
  <c r="C1515" i="3"/>
  <c r="B1515" i="3" s="1"/>
  <c r="I1515" i="3"/>
  <c r="H1515" i="3" s="1"/>
  <c r="A1517" i="3"/>
  <c r="I1516" i="3" l="1"/>
  <c r="H1516" i="3" s="1"/>
  <c r="L1517" i="3"/>
  <c r="F1517" i="3"/>
  <c r="J1517" i="3"/>
  <c r="D1517" i="3"/>
  <c r="K1517" i="3"/>
  <c r="E1517" i="3"/>
  <c r="C1516" i="3"/>
  <c r="B1516" i="3" s="1"/>
  <c r="A1518" i="3"/>
  <c r="L1518" i="3" l="1"/>
  <c r="F1518" i="3"/>
  <c r="J1518" i="3"/>
  <c r="D1518" i="3"/>
  <c r="K1518" i="3"/>
  <c r="E1518" i="3"/>
  <c r="I1517" i="3"/>
  <c r="H1517" i="3" s="1"/>
  <c r="C1517" i="3"/>
  <c r="B1517" i="3" s="1"/>
  <c r="A1519" i="3"/>
  <c r="L1519" i="3" l="1"/>
  <c r="F1519" i="3"/>
  <c r="J1519" i="3"/>
  <c r="D1519" i="3"/>
  <c r="K1519" i="3"/>
  <c r="E1519" i="3"/>
  <c r="C1518" i="3"/>
  <c r="B1518" i="3" s="1"/>
  <c r="A1520" i="3"/>
  <c r="I1518" i="3"/>
  <c r="H1518" i="3" s="1"/>
  <c r="L1520" i="3" l="1"/>
  <c r="F1520" i="3"/>
  <c r="D1520" i="3"/>
  <c r="J1520" i="3"/>
  <c r="E1520" i="3"/>
  <c r="K1520" i="3"/>
  <c r="C1519" i="3"/>
  <c r="B1519" i="3" s="1"/>
  <c r="A1521" i="3"/>
  <c r="I1519" i="3"/>
  <c r="H1519" i="3" s="1"/>
  <c r="L1521" i="3" l="1"/>
  <c r="F1521" i="3"/>
  <c r="J1521" i="3"/>
  <c r="D1521" i="3"/>
  <c r="K1521" i="3"/>
  <c r="E1521" i="3"/>
  <c r="C1520" i="3"/>
  <c r="B1520" i="3" s="1"/>
  <c r="I1520" i="3"/>
  <c r="H1520" i="3" s="1"/>
  <c r="A1522" i="3"/>
  <c r="L1522" i="3" l="1"/>
  <c r="J1522" i="3"/>
  <c r="D1522" i="3"/>
  <c r="K1522" i="3"/>
  <c r="E1522" i="3"/>
  <c r="I1521" i="3"/>
  <c r="H1521" i="3" s="1"/>
  <c r="A1523" i="3"/>
  <c r="C1521" i="3"/>
  <c r="B1521" i="3" s="1"/>
  <c r="L1523" i="3" l="1"/>
  <c r="F1523" i="3"/>
  <c r="D1523" i="3"/>
  <c r="J1523" i="3"/>
  <c r="E1523" i="3"/>
  <c r="K1523" i="3"/>
  <c r="I1522" i="3"/>
  <c r="H1522" i="3" s="1"/>
  <c r="A1524" i="3"/>
  <c r="F1524" i="3" l="1"/>
  <c r="E1524" i="3"/>
  <c r="L1524" i="3"/>
  <c r="J1524" i="3"/>
  <c r="D1524" i="3"/>
  <c r="K1524" i="3"/>
  <c r="I1523" i="3"/>
  <c r="H1523" i="3" s="1"/>
  <c r="C1523" i="3"/>
  <c r="B1523" i="3" s="1"/>
  <c r="A1525" i="3"/>
  <c r="L1525" i="3" l="1"/>
  <c r="F1525" i="3"/>
  <c r="J1525" i="3"/>
  <c r="D1525" i="3"/>
  <c r="K1525" i="3"/>
  <c r="E1525" i="3"/>
  <c r="C1524" i="3"/>
  <c r="B1524" i="3" s="1"/>
  <c r="I1524" i="3"/>
  <c r="H1524" i="3" s="1"/>
  <c r="A1526" i="3"/>
  <c r="L1526" i="3" l="1"/>
  <c r="F1526" i="3"/>
  <c r="J1526" i="3"/>
  <c r="D1526" i="3"/>
  <c r="K1526" i="3"/>
  <c r="E1526" i="3"/>
  <c r="C1525" i="3"/>
  <c r="B1525" i="3" s="1"/>
  <c r="I1525" i="3"/>
  <c r="H1525" i="3" s="1"/>
  <c r="A1527" i="3"/>
  <c r="L1527" i="3" l="1"/>
  <c r="F1527" i="3"/>
  <c r="J1527" i="3"/>
  <c r="D1527" i="3"/>
  <c r="K1527" i="3"/>
  <c r="E1527" i="3"/>
  <c r="I1526" i="3"/>
  <c r="H1526" i="3" s="1"/>
  <c r="C1526" i="3"/>
  <c r="B1526" i="3" s="1"/>
  <c r="A1528" i="3"/>
  <c r="L1528" i="3" l="1"/>
  <c r="F1528" i="3"/>
  <c r="J1528" i="3"/>
  <c r="D1528" i="3"/>
  <c r="K1528" i="3"/>
  <c r="E1528" i="3"/>
  <c r="C1527" i="3"/>
  <c r="B1527" i="3" s="1"/>
  <c r="I1527" i="3"/>
  <c r="H1527" i="3" s="1"/>
  <c r="A1529" i="3"/>
  <c r="L1529" i="3" l="1"/>
  <c r="F1529" i="3"/>
  <c r="J1529" i="3"/>
  <c r="D1529" i="3"/>
  <c r="K1529" i="3"/>
  <c r="E1529" i="3"/>
  <c r="I1528" i="3"/>
  <c r="H1528" i="3" s="1"/>
  <c r="A1530" i="3"/>
  <c r="C1528" i="3"/>
  <c r="B1528" i="3" s="1"/>
  <c r="L1530" i="3" l="1"/>
  <c r="F1530" i="3"/>
  <c r="J1530" i="3"/>
  <c r="D1530" i="3"/>
  <c r="K1530" i="3"/>
  <c r="E1530" i="3"/>
  <c r="C1529" i="3"/>
  <c r="B1529" i="3" s="1"/>
  <c r="A1531" i="3"/>
  <c r="I1529" i="3"/>
  <c r="H1529" i="3" s="1"/>
  <c r="F1531" i="3" l="1"/>
  <c r="L1531" i="3"/>
  <c r="J1531" i="3"/>
  <c r="D1531" i="3"/>
  <c r="K1531" i="3"/>
  <c r="E1531" i="3"/>
  <c r="C1530" i="3"/>
  <c r="B1530" i="3" s="1"/>
  <c r="A1532" i="3"/>
  <c r="I1530" i="3"/>
  <c r="H1530" i="3" s="1"/>
  <c r="L1532" i="3" l="1"/>
  <c r="F1532" i="3"/>
  <c r="J1532" i="3"/>
  <c r="D1532" i="3"/>
  <c r="K1532" i="3"/>
  <c r="E1532" i="3"/>
  <c r="C1531" i="3"/>
  <c r="B1531" i="3" s="1"/>
  <c r="A1533" i="3"/>
  <c r="I1531" i="3"/>
  <c r="H1531" i="3" s="1"/>
  <c r="L1533" i="3" l="1"/>
  <c r="F1533" i="3"/>
  <c r="J1533" i="3"/>
  <c r="D1533" i="3"/>
  <c r="K1533" i="3"/>
  <c r="E1533" i="3"/>
  <c r="C1532" i="3"/>
  <c r="B1532" i="3" s="1"/>
  <c r="A1534" i="3"/>
  <c r="I1532" i="3"/>
  <c r="H1532" i="3" s="1"/>
  <c r="L1534" i="3" l="1"/>
  <c r="F1534" i="3"/>
  <c r="J1534" i="3"/>
  <c r="D1534" i="3"/>
  <c r="K1534" i="3"/>
  <c r="E1534" i="3"/>
  <c r="C1533" i="3"/>
  <c r="B1533" i="3" s="1"/>
  <c r="I1533" i="3"/>
  <c r="H1533" i="3" s="1"/>
  <c r="A1535" i="3"/>
  <c r="L1535" i="3" l="1"/>
  <c r="F1535" i="3"/>
  <c r="J1535" i="3"/>
  <c r="D1535" i="3"/>
  <c r="K1535" i="3"/>
  <c r="E1535" i="3"/>
  <c r="I1534" i="3"/>
  <c r="H1534" i="3" s="1"/>
  <c r="C1534" i="3"/>
  <c r="B1534" i="3" s="1"/>
  <c r="A1536" i="3"/>
  <c r="L1536" i="3" l="1"/>
  <c r="F1536" i="3"/>
  <c r="J1536" i="3"/>
  <c r="D1536" i="3"/>
  <c r="K1536" i="3"/>
  <c r="E1536" i="3"/>
  <c r="C1535" i="3"/>
  <c r="B1535" i="3" s="1"/>
  <c r="A1537" i="3"/>
  <c r="I1535" i="3"/>
  <c r="H1535" i="3" s="1"/>
  <c r="L1537" i="3" l="1"/>
  <c r="F1537" i="3"/>
  <c r="J1537" i="3"/>
  <c r="D1537" i="3"/>
  <c r="K1537" i="3"/>
  <c r="E1537" i="3"/>
  <c r="A1538" i="3"/>
  <c r="I1536" i="3"/>
  <c r="H1536" i="3" s="1"/>
  <c r="C1536" i="3"/>
  <c r="B1536" i="3" s="1"/>
  <c r="L1538" i="3" l="1"/>
  <c r="F1538" i="3"/>
  <c r="D1538" i="3"/>
  <c r="J1538" i="3"/>
  <c r="E1538" i="3"/>
  <c r="K1538" i="3"/>
  <c r="I1537" i="3"/>
  <c r="H1537" i="3" s="1"/>
  <c r="C1537" i="3"/>
  <c r="B1537" i="3" s="1"/>
  <c r="A1539" i="3"/>
  <c r="L1539" i="3" l="1"/>
  <c r="F1539" i="3"/>
  <c r="J1539" i="3"/>
  <c r="D1539" i="3"/>
  <c r="K1539" i="3"/>
  <c r="E1539" i="3"/>
  <c r="C1538" i="3"/>
  <c r="B1538" i="3" s="1"/>
  <c r="I1538" i="3"/>
  <c r="H1538" i="3" s="1"/>
  <c r="A1540" i="3"/>
  <c r="L1540" i="3" l="1"/>
  <c r="F1540" i="3"/>
  <c r="J1540" i="3"/>
  <c r="D1540" i="3"/>
  <c r="K1540" i="3"/>
  <c r="E1540" i="3"/>
  <c r="C1539" i="3"/>
  <c r="B1539" i="3" s="1"/>
  <c r="A1541" i="3"/>
  <c r="I1539" i="3"/>
  <c r="H1539" i="3" s="1"/>
  <c r="L1541" i="3" l="1"/>
  <c r="F1541" i="3"/>
  <c r="J1541" i="3"/>
  <c r="D1541" i="3"/>
  <c r="K1541" i="3"/>
  <c r="E1541" i="3"/>
  <c r="C1540" i="3"/>
  <c r="B1540" i="3" s="1"/>
  <c r="I1540" i="3"/>
  <c r="H1540" i="3" s="1"/>
  <c r="A1542" i="3"/>
  <c r="L1542" i="3" l="1"/>
  <c r="F1542" i="3"/>
  <c r="J1542" i="3"/>
  <c r="D1542" i="3"/>
  <c r="K1542" i="3"/>
  <c r="E1542" i="3"/>
  <c r="C1541" i="3"/>
  <c r="B1541" i="3" s="1"/>
  <c r="I1541" i="3"/>
  <c r="H1541" i="3" s="1"/>
  <c r="A1543" i="3"/>
  <c r="L1543" i="3" l="1"/>
  <c r="F1543" i="3"/>
  <c r="J1543" i="3"/>
  <c r="D1543" i="3"/>
  <c r="K1543" i="3"/>
  <c r="E1543" i="3"/>
  <c r="I1542" i="3"/>
  <c r="H1542" i="3" s="1"/>
  <c r="C1542" i="3"/>
  <c r="B1542" i="3" s="1"/>
  <c r="A1544" i="3"/>
  <c r="L1544" i="3" l="1"/>
  <c r="F1544" i="3"/>
  <c r="J1544" i="3"/>
  <c r="D1544" i="3"/>
  <c r="K1544" i="3"/>
  <c r="E1544" i="3"/>
  <c r="I1543" i="3"/>
  <c r="H1543" i="3" s="1"/>
  <c r="C1543" i="3"/>
  <c r="B1543" i="3" s="1"/>
  <c r="A1545" i="3"/>
  <c r="F1545" i="3" l="1"/>
  <c r="E1545" i="3"/>
  <c r="L1545" i="3"/>
  <c r="J1545" i="3"/>
  <c r="D1545" i="3"/>
  <c r="K1545" i="3"/>
  <c r="I1544" i="3"/>
  <c r="H1544" i="3" s="1"/>
  <c r="C1544" i="3"/>
  <c r="B1544" i="3" s="1"/>
  <c r="A1546" i="3"/>
  <c r="L1546" i="3" l="1"/>
  <c r="F1546" i="3"/>
  <c r="J1546" i="3"/>
  <c r="D1546" i="3"/>
  <c r="K1546" i="3"/>
  <c r="E1546" i="3"/>
  <c r="I1545" i="3"/>
  <c r="H1545" i="3" s="1"/>
  <c r="A1547" i="3"/>
  <c r="L1547" i="3" l="1"/>
  <c r="F1547" i="3"/>
  <c r="J1547" i="3"/>
  <c r="D1547" i="3"/>
  <c r="K1547" i="3"/>
  <c r="E1547" i="3"/>
  <c r="C1546" i="3"/>
  <c r="B1546" i="3" s="1"/>
  <c r="I1546" i="3"/>
  <c r="H1546" i="3" s="1"/>
  <c r="A1548" i="3"/>
  <c r="L1548" i="3" l="1"/>
  <c r="F1548" i="3"/>
  <c r="J1548" i="3"/>
  <c r="D1548" i="3"/>
  <c r="K1548" i="3"/>
  <c r="E1548" i="3"/>
  <c r="C1547" i="3"/>
  <c r="B1547" i="3" s="1"/>
  <c r="A1549" i="3"/>
  <c r="I1547" i="3"/>
  <c r="H1547" i="3" s="1"/>
  <c r="L1549" i="3" l="1"/>
  <c r="F1549" i="3"/>
  <c r="D1549" i="3"/>
  <c r="E1549" i="3"/>
  <c r="J1549" i="3"/>
  <c r="K1549" i="3"/>
  <c r="A1550" i="3"/>
  <c r="C1548" i="3"/>
  <c r="B1548" i="3" s="1"/>
  <c r="I1548" i="3"/>
  <c r="H1548" i="3" s="1"/>
  <c r="L1550" i="3" l="1"/>
  <c r="F1550" i="3"/>
  <c r="J1550" i="3"/>
  <c r="D1550" i="3"/>
  <c r="K1550" i="3"/>
  <c r="E1550" i="3"/>
  <c r="C1549" i="3"/>
  <c r="B1549" i="3" s="1"/>
  <c r="A1551" i="3"/>
  <c r="I1549" i="3"/>
  <c r="H1549" i="3" s="1"/>
  <c r="L1551" i="3" l="1"/>
  <c r="F1551" i="3"/>
  <c r="D1551" i="3"/>
  <c r="J1551" i="3"/>
  <c r="E1551" i="3"/>
  <c r="K1551" i="3"/>
  <c r="A1552" i="3"/>
  <c r="I1550" i="3"/>
  <c r="H1550" i="3" s="1"/>
  <c r="C1550" i="3"/>
  <c r="B1550" i="3" s="1"/>
  <c r="F1552" i="3" l="1"/>
  <c r="L1552" i="3"/>
  <c r="J1552" i="3"/>
  <c r="D1552" i="3"/>
  <c r="K1552" i="3"/>
  <c r="E1552" i="3"/>
  <c r="C1551" i="3"/>
  <c r="B1551" i="3" s="1"/>
  <c r="A1553" i="3"/>
  <c r="I1551" i="3"/>
  <c r="H1551" i="3" s="1"/>
  <c r="L1553" i="3" l="1"/>
  <c r="F1553" i="3"/>
  <c r="J1553" i="3"/>
  <c r="D1553" i="3"/>
  <c r="K1553" i="3"/>
  <c r="E1553" i="3"/>
  <c r="I1552" i="3"/>
  <c r="H1552" i="3" s="1"/>
  <c r="A1554" i="3"/>
  <c r="C1552" i="3"/>
  <c r="B1552" i="3" s="1"/>
  <c r="L1554" i="3" l="1"/>
  <c r="F1554" i="3"/>
  <c r="J1554" i="3"/>
  <c r="D1554" i="3"/>
  <c r="K1554" i="3"/>
  <c r="E1554" i="3"/>
  <c r="I1553" i="3"/>
  <c r="H1553" i="3" s="1"/>
  <c r="C1553" i="3"/>
  <c r="B1553" i="3" s="1"/>
  <c r="A1555" i="3"/>
  <c r="L1555" i="3" l="1"/>
  <c r="F1555" i="3"/>
  <c r="J1555" i="3"/>
  <c r="D1555" i="3"/>
  <c r="K1555" i="3"/>
  <c r="E1555" i="3"/>
  <c r="C1554" i="3"/>
  <c r="B1554" i="3" s="1"/>
  <c r="I1554" i="3"/>
  <c r="H1554" i="3" s="1"/>
  <c r="A1556" i="3"/>
  <c r="L1556" i="3" l="1"/>
  <c r="F1556" i="3"/>
  <c r="J1556" i="3"/>
  <c r="D1556" i="3"/>
  <c r="K1556" i="3"/>
  <c r="E1556" i="3"/>
  <c r="C1555" i="3"/>
  <c r="B1555" i="3" s="1"/>
  <c r="A1557" i="3"/>
  <c r="I1555" i="3"/>
  <c r="H1555" i="3" s="1"/>
  <c r="L1557" i="3" l="1"/>
  <c r="F1557" i="3"/>
  <c r="J1557" i="3"/>
  <c r="D1557" i="3"/>
  <c r="K1557" i="3"/>
  <c r="E1557" i="3"/>
  <c r="C1556" i="3"/>
  <c r="B1556" i="3" s="1"/>
  <c r="I1556" i="3"/>
  <c r="H1556" i="3" s="1"/>
  <c r="A1558" i="3"/>
  <c r="L1558" i="3" l="1"/>
  <c r="F1558" i="3"/>
  <c r="J1558" i="3"/>
  <c r="D1558" i="3"/>
  <c r="K1558" i="3"/>
  <c r="E1558" i="3"/>
  <c r="C1557" i="3"/>
  <c r="B1557" i="3" s="1"/>
  <c r="A1559" i="3"/>
  <c r="I1557" i="3"/>
  <c r="H1557" i="3" s="1"/>
  <c r="L1559" i="3" l="1"/>
  <c r="F1559" i="3"/>
  <c r="J1559" i="3"/>
  <c r="D1559" i="3"/>
  <c r="K1559" i="3"/>
  <c r="E1559" i="3"/>
  <c r="I1558" i="3"/>
  <c r="H1558" i="3" s="1"/>
  <c r="C1558" i="3"/>
  <c r="B1558" i="3" s="1"/>
  <c r="A1560" i="3"/>
  <c r="L1560" i="3" l="1"/>
  <c r="F1560" i="3"/>
  <c r="J1560" i="3"/>
  <c r="D1560" i="3"/>
  <c r="K1560" i="3"/>
  <c r="E1560" i="3"/>
  <c r="C1559" i="3"/>
  <c r="B1559" i="3" s="1"/>
  <c r="I1559" i="3"/>
  <c r="H1559" i="3" s="1"/>
  <c r="A1561" i="3"/>
  <c r="L1561" i="3" l="1"/>
  <c r="F1561" i="3"/>
  <c r="J1561" i="3"/>
  <c r="D1561" i="3"/>
  <c r="K1561" i="3"/>
  <c r="E1561" i="3"/>
  <c r="I1560" i="3"/>
  <c r="H1560" i="3" s="1"/>
  <c r="C1560" i="3"/>
  <c r="B1560" i="3" s="1"/>
  <c r="A1562" i="3"/>
  <c r="L1562" i="3" l="1"/>
  <c r="F1562" i="3"/>
  <c r="J1562" i="3"/>
  <c r="D1562" i="3"/>
  <c r="K1562" i="3"/>
  <c r="E1562" i="3"/>
  <c r="C1561" i="3"/>
  <c r="B1561" i="3" s="1"/>
  <c r="I1561" i="3"/>
  <c r="H1561" i="3" s="1"/>
  <c r="A1563" i="3"/>
  <c r="L1563" i="3" l="1"/>
  <c r="F1563" i="3"/>
  <c r="J1563" i="3"/>
  <c r="D1563" i="3"/>
  <c r="K1563" i="3"/>
  <c r="E1563" i="3"/>
  <c r="I1562" i="3"/>
  <c r="H1562" i="3" s="1"/>
  <c r="C1562" i="3"/>
  <c r="B1562" i="3" s="1"/>
  <c r="A1564" i="3"/>
  <c r="F1564" i="3" l="1"/>
  <c r="E1564" i="3"/>
  <c r="L1564" i="3"/>
  <c r="J1564" i="3"/>
  <c r="D1564" i="3"/>
  <c r="K1564" i="3"/>
  <c r="C1563" i="3"/>
  <c r="B1563" i="3" s="1"/>
  <c r="I1563" i="3"/>
  <c r="H1563" i="3" s="1"/>
  <c r="A1565" i="3"/>
  <c r="L1565" i="3" l="1"/>
  <c r="J1565" i="3"/>
  <c r="D1565" i="3"/>
  <c r="K1565" i="3"/>
  <c r="E1565" i="3"/>
  <c r="C1564" i="3"/>
  <c r="B1564" i="3" s="1"/>
  <c r="A1566" i="3"/>
  <c r="I1564" i="3"/>
  <c r="H1564" i="3" s="1"/>
  <c r="L1566" i="3" l="1"/>
  <c r="F1566" i="3"/>
  <c r="J1566" i="3"/>
  <c r="D1566" i="3"/>
  <c r="K1566" i="3"/>
  <c r="E1566" i="3"/>
  <c r="A1567" i="3"/>
  <c r="I1565" i="3"/>
  <c r="H1565" i="3" s="1"/>
  <c r="L1567" i="3" l="1"/>
  <c r="F1567" i="3"/>
  <c r="J1567" i="3"/>
  <c r="D1567" i="3"/>
  <c r="K1567" i="3"/>
  <c r="E1567" i="3"/>
  <c r="I1566" i="3"/>
  <c r="H1566" i="3" s="1"/>
  <c r="C1566" i="3"/>
  <c r="B1566" i="3" s="1"/>
  <c r="A1568" i="3"/>
  <c r="L1568" i="3" l="1"/>
  <c r="F1568" i="3"/>
  <c r="D1568" i="3"/>
  <c r="E1568" i="3"/>
  <c r="J1568" i="3"/>
  <c r="K1568" i="3"/>
  <c r="C1567" i="3"/>
  <c r="B1567" i="3" s="1"/>
  <c r="I1567" i="3"/>
  <c r="H1567" i="3" s="1"/>
  <c r="A1569" i="3"/>
  <c r="L1569" i="3" l="1"/>
  <c r="F1569" i="3"/>
  <c r="J1569" i="3"/>
  <c r="D1569" i="3"/>
  <c r="K1569" i="3"/>
  <c r="E1569" i="3"/>
  <c r="C1568" i="3"/>
  <c r="B1568" i="3" s="1"/>
  <c r="A1570" i="3"/>
  <c r="I1568" i="3"/>
  <c r="H1568" i="3" s="1"/>
  <c r="L1570" i="3" l="1"/>
  <c r="F1570" i="3"/>
  <c r="J1570" i="3"/>
  <c r="D1570" i="3"/>
  <c r="K1570" i="3"/>
  <c r="E1570" i="3"/>
  <c r="C1569" i="3"/>
  <c r="B1569" i="3" s="1"/>
  <c r="I1569" i="3"/>
  <c r="H1569" i="3" s="1"/>
  <c r="A1571" i="3"/>
  <c r="F1571" i="3" l="1"/>
  <c r="L1571" i="3"/>
  <c r="J1571" i="3"/>
  <c r="D1571" i="3"/>
  <c r="K1571" i="3"/>
  <c r="E1571" i="3"/>
  <c r="C1570" i="3"/>
  <c r="B1570" i="3" s="1"/>
  <c r="I1570" i="3"/>
  <c r="H1570" i="3" s="1"/>
  <c r="A1572" i="3"/>
  <c r="L1572" i="3" l="1"/>
  <c r="F1572" i="3"/>
  <c r="J1572" i="3"/>
  <c r="D1572" i="3"/>
  <c r="K1572" i="3"/>
  <c r="E1572" i="3"/>
  <c r="C1571" i="3"/>
  <c r="B1571" i="3" s="1"/>
  <c r="I1571" i="3"/>
  <c r="H1571" i="3" s="1"/>
  <c r="A1573" i="3"/>
  <c r="L1573" i="3" l="1"/>
  <c r="F1573" i="3"/>
  <c r="J1573" i="3"/>
  <c r="D1573" i="3"/>
  <c r="K1573" i="3"/>
  <c r="E1573" i="3"/>
  <c r="C1572" i="3"/>
  <c r="B1572" i="3" s="1"/>
  <c r="I1572" i="3"/>
  <c r="H1572" i="3" s="1"/>
  <c r="A1574" i="3"/>
  <c r="L1574" i="3" l="1"/>
  <c r="F1574" i="3"/>
  <c r="J1574" i="3"/>
  <c r="D1574" i="3"/>
  <c r="K1574" i="3"/>
  <c r="E1574" i="3"/>
  <c r="C1573" i="3"/>
  <c r="B1573" i="3" s="1"/>
  <c r="A1575" i="3"/>
  <c r="I1573" i="3"/>
  <c r="H1573" i="3" s="1"/>
  <c r="L1575" i="3" l="1"/>
  <c r="F1575" i="3"/>
  <c r="J1575" i="3"/>
  <c r="D1575" i="3"/>
  <c r="K1575" i="3"/>
  <c r="E1575" i="3"/>
  <c r="C1574" i="3"/>
  <c r="B1574" i="3" s="1"/>
  <c r="A1576" i="3"/>
  <c r="I1574" i="3"/>
  <c r="H1574" i="3" s="1"/>
  <c r="L1576" i="3" l="1"/>
  <c r="F1576" i="3"/>
  <c r="J1576" i="3"/>
  <c r="D1576" i="3"/>
  <c r="K1576" i="3"/>
  <c r="E1576" i="3"/>
  <c r="I1575" i="3"/>
  <c r="H1575" i="3" s="1"/>
  <c r="A1577" i="3"/>
  <c r="C1575" i="3"/>
  <c r="B1575" i="3" s="1"/>
  <c r="L1577" i="3" l="1"/>
  <c r="F1577" i="3"/>
  <c r="J1577" i="3"/>
  <c r="D1577" i="3"/>
  <c r="K1577" i="3"/>
  <c r="E1577" i="3"/>
  <c r="A1578" i="3"/>
  <c r="I1576" i="3"/>
  <c r="H1576" i="3" s="1"/>
  <c r="C1576" i="3"/>
  <c r="B1576" i="3" s="1"/>
  <c r="L1578" i="3" l="1"/>
  <c r="F1578" i="3"/>
  <c r="J1578" i="3"/>
  <c r="D1578" i="3"/>
  <c r="K1578" i="3"/>
  <c r="E1578" i="3"/>
  <c r="C1577" i="3"/>
  <c r="B1577" i="3" s="1"/>
  <c r="A1579" i="3"/>
  <c r="I1577" i="3"/>
  <c r="H1577" i="3" s="1"/>
  <c r="L1579" i="3" l="1"/>
  <c r="F1579" i="3"/>
  <c r="J1579" i="3"/>
  <c r="D1579" i="3"/>
  <c r="K1579" i="3"/>
  <c r="E1579" i="3"/>
  <c r="C1578" i="3"/>
  <c r="B1578" i="3" s="1"/>
  <c r="A1580" i="3"/>
  <c r="I1578" i="3"/>
  <c r="H1578" i="3" s="1"/>
  <c r="L1580" i="3" l="1"/>
  <c r="F1580" i="3"/>
  <c r="J1580" i="3"/>
  <c r="D1580" i="3"/>
  <c r="K1580" i="3"/>
  <c r="E1580" i="3"/>
  <c r="C1579" i="3"/>
  <c r="B1579" i="3" s="1"/>
  <c r="I1579" i="3"/>
  <c r="H1579" i="3" s="1"/>
  <c r="A1581" i="3"/>
  <c r="L1581" i="3" l="1"/>
  <c r="F1581" i="3"/>
  <c r="D1581" i="3"/>
  <c r="E1581" i="3"/>
  <c r="J1581" i="3"/>
  <c r="K1581" i="3"/>
  <c r="C1580" i="3"/>
  <c r="B1580" i="3" s="1"/>
  <c r="I1580" i="3"/>
  <c r="H1580" i="3" s="1"/>
  <c r="A1582" i="3"/>
  <c r="L1582" i="3" l="1"/>
  <c r="F1582" i="3"/>
  <c r="D1582" i="3"/>
  <c r="E1582" i="3"/>
  <c r="J1582" i="3"/>
  <c r="K1582" i="3"/>
  <c r="I1581" i="3"/>
  <c r="H1581" i="3" s="1"/>
  <c r="C1581" i="3"/>
  <c r="B1581" i="3" s="1"/>
  <c r="A1583" i="3"/>
  <c r="L1583" i="3" l="1"/>
  <c r="F1583" i="3"/>
  <c r="J1583" i="3"/>
  <c r="K1583" i="3"/>
  <c r="D1583" i="3"/>
  <c r="E1583" i="3"/>
  <c r="I1582" i="3"/>
  <c r="H1582" i="3" s="1"/>
  <c r="C1582" i="3"/>
  <c r="B1582" i="3" s="1"/>
  <c r="A1584" i="3"/>
  <c r="L1584" i="3" l="1"/>
  <c r="F1584" i="3"/>
  <c r="J1584" i="3"/>
  <c r="D1584" i="3"/>
  <c r="K1584" i="3"/>
  <c r="E1584" i="3"/>
  <c r="C1583" i="3"/>
  <c r="B1583" i="3" s="1"/>
  <c r="I1583" i="3"/>
  <c r="H1583" i="3" s="1"/>
  <c r="A1585" i="3"/>
  <c r="L1585" i="3" l="1"/>
  <c r="F1585" i="3"/>
  <c r="J1585" i="3"/>
  <c r="D1585" i="3"/>
  <c r="K1585" i="3"/>
  <c r="E1585" i="3"/>
  <c r="C1584" i="3"/>
  <c r="B1584" i="3" s="1"/>
  <c r="I1584" i="3"/>
  <c r="H1584" i="3" s="1"/>
  <c r="A1586" i="3"/>
  <c r="F1586" i="3" l="1"/>
  <c r="E1586" i="3"/>
  <c r="L1586" i="3"/>
  <c r="J1586" i="3"/>
  <c r="D1586" i="3"/>
  <c r="K1586" i="3"/>
  <c r="C1585" i="3"/>
  <c r="B1585" i="3" s="1"/>
  <c r="I1585" i="3"/>
  <c r="H1585" i="3" s="1"/>
  <c r="A1587" i="3"/>
  <c r="L1587" i="3" l="1"/>
  <c r="F1587" i="3"/>
  <c r="J1587" i="3"/>
  <c r="D1587" i="3"/>
  <c r="K1587" i="3"/>
  <c r="E1587" i="3"/>
  <c r="I1586" i="3"/>
  <c r="H1586" i="3" s="1"/>
  <c r="A1588" i="3"/>
  <c r="L1588" i="3" l="1"/>
  <c r="F1588" i="3"/>
  <c r="J1588" i="3"/>
  <c r="D1588" i="3"/>
  <c r="K1588" i="3"/>
  <c r="E1588" i="3"/>
  <c r="I1587" i="3"/>
  <c r="H1587" i="3" s="1"/>
  <c r="C1587" i="3"/>
  <c r="B1587" i="3" s="1"/>
  <c r="A1589" i="3"/>
  <c r="L1589" i="3" l="1"/>
  <c r="F1589" i="3"/>
  <c r="J1589" i="3"/>
  <c r="D1589" i="3"/>
  <c r="K1589" i="3"/>
  <c r="E1589" i="3"/>
  <c r="C1588" i="3"/>
  <c r="B1588" i="3" s="1"/>
  <c r="A1590" i="3"/>
  <c r="I1588" i="3"/>
  <c r="H1588" i="3" s="1"/>
  <c r="L1590" i="3" l="1"/>
  <c r="F1590" i="3"/>
  <c r="J1590" i="3"/>
  <c r="D1590" i="3"/>
  <c r="K1590" i="3"/>
  <c r="E1590" i="3"/>
  <c r="C1589" i="3"/>
  <c r="B1589" i="3" s="1"/>
  <c r="A1591" i="3"/>
  <c r="I1589" i="3"/>
  <c r="H1589" i="3" s="1"/>
  <c r="L1591" i="3" l="1"/>
  <c r="F1591" i="3"/>
  <c r="J1591" i="3"/>
  <c r="D1591" i="3"/>
  <c r="K1591" i="3"/>
  <c r="E1591" i="3"/>
  <c r="C1590" i="3"/>
  <c r="B1590" i="3" s="1"/>
  <c r="A1592" i="3"/>
  <c r="I1590" i="3"/>
  <c r="H1590" i="3" s="1"/>
  <c r="L1592" i="3" l="1"/>
  <c r="F1592" i="3"/>
  <c r="J1592" i="3"/>
  <c r="D1592" i="3"/>
  <c r="K1592" i="3"/>
  <c r="E1592" i="3"/>
  <c r="I1591" i="3"/>
  <c r="H1591" i="3" s="1"/>
  <c r="A1593" i="3"/>
  <c r="C1591" i="3"/>
  <c r="B1591" i="3" s="1"/>
  <c r="F1593" i="3" l="1"/>
  <c r="L1593" i="3"/>
  <c r="J1593" i="3"/>
  <c r="D1593" i="3"/>
  <c r="K1593" i="3"/>
  <c r="E1593" i="3"/>
  <c r="I1592" i="3"/>
  <c r="H1592" i="3" s="1"/>
  <c r="C1592" i="3"/>
  <c r="B1592" i="3" s="1"/>
  <c r="A1594" i="3"/>
  <c r="L1594" i="3" l="1"/>
  <c r="F1594" i="3"/>
  <c r="J1594" i="3"/>
  <c r="D1594" i="3"/>
  <c r="K1594" i="3"/>
  <c r="E1594" i="3"/>
  <c r="C1593" i="3"/>
  <c r="B1593" i="3" s="1"/>
  <c r="A1595" i="3"/>
  <c r="I1593" i="3"/>
  <c r="H1593" i="3" s="1"/>
  <c r="L1595" i="3" l="1"/>
  <c r="F1595" i="3"/>
  <c r="J1595" i="3"/>
  <c r="D1595" i="3"/>
  <c r="K1595" i="3"/>
  <c r="E1595" i="3"/>
  <c r="C1594" i="3"/>
  <c r="B1594" i="3" s="1"/>
  <c r="A1596" i="3"/>
  <c r="I1594" i="3"/>
  <c r="H1594" i="3" s="1"/>
  <c r="L1596" i="3" l="1"/>
  <c r="F1596" i="3"/>
  <c r="J1596" i="3"/>
  <c r="D1596" i="3"/>
  <c r="K1596" i="3"/>
  <c r="E1596" i="3"/>
  <c r="I1595" i="3"/>
  <c r="H1595" i="3" s="1"/>
  <c r="C1595" i="3"/>
  <c r="B1595" i="3" s="1"/>
  <c r="A1597" i="3"/>
  <c r="L1597" i="3" l="1"/>
  <c r="F1597" i="3"/>
  <c r="D1597" i="3"/>
  <c r="J1597" i="3"/>
  <c r="E1597" i="3"/>
  <c r="K1597" i="3"/>
  <c r="C1596" i="3"/>
  <c r="B1596" i="3" s="1"/>
  <c r="A1598" i="3"/>
  <c r="I1596" i="3"/>
  <c r="H1596" i="3" s="1"/>
  <c r="L1598" i="3" l="1"/>
  <c r="F1598" i="3"/>
  <c r="J1598" i="3"/>
  <c r="D1598" i="3"/>
  <c r="K1598" i="3"/>
  <c r="E1598" i="3"/>
  <c r="A1599" i="3"/>
  <c r="I1597" i="3"/>
  <c r="H1597" i="3" s="1"/>
  <c r="C1597" i="3"/>
  <c r="B1597" i="3" s="1"/>
  <c r="L1599" i="3" l="1"/>
  <c r="F1599" i="3"/>
  <c r="J1599" i="3"/>
  <c r="D1599" i="3"/>
  <c r="K1599" i="3"/>
  <c r="E1599" i="3"/>
  <c r="C1598" i="3"/>
  <c r="B1598" i="3" s="1"/>
  <c r="A1600" i="3"/>
  <c r="I1598" i="3"/>
  <c r="H1598" i="3" s="1"/>
  <c r="L1600" i="3" l="1"/>
  <c r="F1600" i="3"/>
  <c r="J1600" i="3"/>
  <c r="D1600" i="3"/>
  <c r="K1600" i="3"/>
  <c r="E1600" i="3"/>
  <c r="C1599" i="3"/>
  <c r="B1599" i="3" s="1"/>
  <c r="I1599" i="3"/>
  <c r="H1599" i="3" s="1"/>
  <c r="A1601" i="3"/>
  <c r="L1601" i="3" l="1"/>
  <c r="F1601" i="3"/>
  <c r="J1601" i="3"/>
  <c r="D1601" i="3"/>
  <c r="K1601" i="3"/>
  <c r="E1601" i="3"/>
  <c r="C1600" i="3"/>
  <c r="B1600" i="3" s="1"/>
  <c r="I1600" i="3"/>
  <c r="H1600" i="3" s="1"/>
  <c r="A1602" i="3"/>
  <c r="L1602" i="3" l="1"/>
  <c r="F1602" i="3"/>
  <c r="J1602" i="3"/>
  <c r="D1602" i="3"/>
  <c r="K1602" i="3"/>
  <c r="E1602" i="3"/>
  <c r="C1601" i="3"/>
  <c r="B1601" i="3" s="1"/>
  <c r="I1601" i="3"/>
  <c r="H1601" i="3" s="1"/>
  <c r="A1603" i="3"/>
  <c r="L1603" i="3" l="1"/>
  <c r="F1603" i="3"/>
  <c r="J1603" i="3"/>
  <c r="D1603" i="3"/>
  <c r="K1603" i="3"/>
  <c r="E1603" i="3"/>
  <c r="I1602" i="3"/>
  <c r="H1602" i="3" s="1"/>
  <c r="C1602" i="3"/>
  <c r="B1602" i="3" s="1"/>
  <c r="A1604" i="3"/>
  <c r="L1604" i="3" l="1"/>
  <c r="F1604" i="3"/>
  <c r="J1604" i="3"/>
  <c r="D1604" i="3"/>
  <c r="K1604" i="3"/>
  <c r="E1604" i="3"/>
  <c r="C1603" i="3"/>
  <c r="B1603" i="3" s="1"/>
  <c r="A1605" i="3"/>
  <c r="I1603" i="3"/>
  <c r="H1603" i="3" s="1"/>
  <c r="F1605" i="3" l="1"/>
  <c r="E1605" i="3"/>
  <c r="L1605" i="3"/>
  <c r="J1605" i="3"/>
  <c r="D1605" i="3"/>
  <c r="K1605" i="3"/>
  <c r="C1604" i="3"/>
  <c r="B1604" i="3" s="1"/>
  <c r="A1606" i="3"/>
  <c r="I1604" i="3"/>
  <c r="H1604" i="3" s="1"/>
  <c r="L1606" i="3" l="1"/>
  <c r="F1606" i="3"/>
  <c r="J1606" i="3"/>
  <c r="D1606" i="3"/>
  <c r="K1606" i="3"/>
  <c r="E1606" i="3"/>
  <c r="C1605" i="3"/>
  <c r="B1605" i="3" s="1"/>
  <c r="A1607" i="3"/>
  <c r="I1605" i="3"/>
  <c r="H1605" i="3" s="1"/>
  <c r="L1607" i="3" l="1"/>
  <c r="F1607" i="3"/>
  <c r="J1607" i="3"/>
  <c r="D1607" i="3"/>
  <c r="K1607" i="3"/>
  <c r="E1607" i="3"/>
  <c r="C1606" i="3"/>
  <c r="B1606" i="3" s="1"/>
  <c r="A1608" i="3"/>
  <c r="I1606" i="3"/>
  <c r="H1606" i="3" s="1"/>
  <c r="L1608" i="3" l="1"/>
  <c r="J1608" i="3"/>
  <c r="D1608" i="3"/>
  <c r="K1608" i="3"/>
  <c r="E1608" i="3"/>
  <c r="C1607" i="3"/>
  <c r="B1607" i="3" s="1"/>
  <c r="I1607" i="3"/>
  <c r="H1607" i="3" s="1"/>
  <c r="A1609" i="3"/>
  <c r="L1609" i="3" l="1"/>
  <c r="F1609" i="3"/>
  <c r="J1609" i="3"/>
  <c r="D1609" i="3"/>
  <c r="K1609" i="3"/>
  <c r="E1609" i="3"/>
  <c r="I1608" i="3"/>
  <c r="H1608" i="3" s="1"/>
  <c r="A1610" i="3"/>
  <c r="L1610" i="3" l="1"/>
  <c r="F1610" i="3"/>
  <c r="D1610" i="3"/>
  <c r="J1610" i="3"/>
  <c r="E1610" i="3"/>
  <c r="K1610" i="3"/>
  <c r="C1609" i="3"/>
  <c r="B1609" i="3" s="1"/>
  <c r="A1611" i="3"/>
  <c r="I1609" i="3"/>
  <c r="H1609" i="3" s="1"/>
  <c r="L1611" i="3" l="1"/>
  <c r="F1611" i="3"/>
  <c r="J1611" i="3"/>
  <c r="D1611" i="3"/>
  <c r="K1611" i="3"/>
  <c r="E1611" i="3"/>
  <c r="C1610" i="3"/>
  <c r="B1610" i="3" s="1"/>
  <c r="A1612" i="3"/>
  <c r="I1610" i="3"/>
  <c r="H1610" i="3" s="1"/>
  <c r="F1612" i="3" l="1"/>
  <c r="L1612" i="3"/>
  <c r="J1612" i="3"/>
  <c r="D1612" i="3"/>
  <c r="K1612" i="3"/>
  <c r="E1612" i="3"/>
  <c r="C1611" i="3"/>
  <c r="B1611" i="3" s="1"/>
  <c r="I1611" i="3"/>
  <c r="H1611" i="3" s="1"/>
  <c r="A1613" i="3"/>
  <c r="L1613" i="3" l="1"/>
  <c r="F1613" i="3"/>
  <c r="J1613" i="3"/>
  <c r="D1613" i="3"/>
  <c r="K1613" i="3"/>
  <c r="E1613" i="3"/>
  <c r="A1614" i="3"/>
  <c r="C1612" i="3"/>
  <c r="B1612" i="3" s="1"/>
  <c r="I1612" i="3"/>
  <c r="H1612" i="3" s="1"/>
  <c r="L1614" i="3" l="1"/>
  <c r="F1614" i="3"/>
  <c r="D1614" i="3"/>
  <c r="J1614" i="3"/>
  <c r="E1614" i="3"/>
  <c r="K1614" i="3"/>
  <c r="I1613" i="3"/>
  <c r="H1613" i="3" s="1"/>
  <c r="C1613" i="3"/>
  <c r="B1613" i="3" s="1"/>
  <c r="A1615" i="3"/>
  <c r="L1615" i="3" l="1"/>
  <c r="F1615" i="3"/>
  <c r="J1615" i="3"/>
  <c r="D1615" i="3"/>
  <c r="K1615" i="3"/>
  <c r="E1615" i="3"/>
  <c r="C1614" i="3"/>
  <c r="B1614" i="3" s="1"/>
  <c r="I1614" i="3"/>
  <c r="H1614" i="3" s="1"/>
  <c r="A1616" i="3"/>
  <c r="L1616" i="3" l="1"/>
  <c r="F1616" i="3"/>
  <c r="J1616" i="3"/>
  <c r="D1616" i="3"/>
  <c r="K1616" i="3"/>
  <c r="E1616" i="3"/>
  <c r="C1615" i="3"/>
  <c r="B1615" i="3" s="1"/>
  <c r="I1615" i="3"/>
  <c r="H1615" i="3" s="1"/>
  <c r="A1617" i="3"/>
  <c r="L1617" i="3" l="1"/>
  <c r="F1617" i="3"/>
  <c r="J1617" i="3"/>
  <c r="D1617" i="3"/>
  <c r="K1617" i="3"/>
  <c r="E1617" i="3"/>
  <c r="C1616" i="3"/>
  <c r="B1616" i="3" s="1"/>
  <c r="I1616" i="3"/>
  <c r="H1616" i="3" s="1"/>
  <c r="A1618" i="3"/>
  <c r="L1618" i="3" l="1"/>
  <c r="F1618" i="3"/>
  <c r="J1618" i="3"/>
  <c r="D1618" i="3"/>
  <c r="K1618" i="3"/>
  <c r="E1618" i="3"/>
  <c r="I1617" i="3"/>
  <c r="H1617" i="3" s="1"/>
  <c r="C1617" i="3"/>
  <c r="B1617" i="3" s="1"/>
  <c r="A1619" i="3"/>
  <c r="L1619" i="3" l="1"/>
  <c r="F1619" i="3"/>
  <c r="J1619" i="3"/>
  <c r="D1619" i="3"/>
  <c r="K1619" i="3"/>
  <c r="E1619" i="3"/>
  <c r="C1618" i="3"/>
  <c r="B1618" i="3" s="1"/>
  <c r="I1618" i="3"/>
  <c r="H1618" i="3" s="1"/>
  <c r="A1620" i="3"/>
  <c r="L1620" i="3" l="1"/>
  <c r="F1620" i="3"/>
  <c r="J1620" i="3"/>
  <c r="D1620" i="3"/>
  <c r="K1620" i="3"/>
  <c r="E1620" i="3"/>
  <c r="C1619" i="3"/>
  <c r="B1619" i="3" s="1"/>
  <c r="A1621" i="3"/>
  <c r="I1619" i="3"/>
  <c r="H1619" i="3" s="1"/>
  <c r="L1621" i="3" l="1"/>
  <c r="F1621" i="3"/>
  <c r="J1621" i="3"/>
  <c r="D1621" i="3"/>
  <c r="K1621" i="3"/>
  <c r="E1621" i="3"/>
  <c r="C1620" i="3"/>
  <c r="B1620" i="3" s="1"/>
  <c r="I1620" i="3"/>
  <c r="H1620" i="3" s="1"/>
  <c r="A1622" i="3"/>
  <c r="L1622" i="3" l="1"/>
  <c r="F1622" i="3"/>
  <c r="J1622" i="3"/>
  <c r="D1622" i="3"/>
  <c r="K1622" i="3"/>
  <c r="E1622" i="3"/>
  <c r="C1621" i="3"/>
  <c r="B1621" i="3" s="1"/>
  <c r="A1623" i="3"/>
  <c r="I1621" i="3"/>
  <c r="H1621" i="3" s="1"/>
  <c r="L1623" i="3" l="1"/>
  <c r="F1623" i="3"/>
  <c r="J1623" i="3"/>
  <c r="D1623" i="3"/>
  <c r="K1623" i="3"/>
  <c r="E1623" i="3"/>
  <c r="C1622" i="3"/>
  <c r="B1622" i="3" s="1"/>
  <c r="A1624" i="3"/>
  <c r="I1622" i="3"/>
  <c r="H1622" i="3" s="1"/>
  <c r="L1624" i="3" l="1"/>
  <c r="F1624" i="3"/>
  <c r="J1624" i="3"/>
  <c r="D1624" i="3"/>
  <c r="K1624" i="3"/>
  <c r="E1624" i="3"/>
  <c r="C1623" i="3"/>
  <c r="B1623" i="3" s="1"/>
  <c r="A1625" i="3"/>
  <c r="I1623" i="3"/>
  <c r="H1623" i="3" s="1"/>
  <c r="L1625" i="3" l="1"/>
  <c r="F1625" i="3"/>
  <c r="J1625" i="3"/>
  <c r="D1625" i="3"/>
  <c r="K1625" i="3"/>
  <c r="E1625" i="3"/>
  <c r="C1624" i="3"/>
  <c r="B1624" i="3" s="1"/>
  <c r="A1626" i="3"/>
  <c r="I1624" i="3"/>
  <c r="H1624" i="3" s="1"/>
  <c r="L1626" i="3" l="1"/>
  <c r="F1626" i="3"/>
  <c r="J1626" i="3"/>
  <c r="D1626" i="3"/>
  <c r="K1626" i="3"/>
  <c r="E1626" i="3"/>
  <c r="C1625" i="3"/>
  <c r="B1625" i="3" s="1"/>
  <c r="I1625" i="3"/>
  <c r="H1625" i="3" s="1"/>
  <c r="A1627" i="3"/>
  <c r="F1627" i="3" l="1"/>
  <c r="E1627" i="3"/>
  <c r="L1627" i="3"/>
  <c r="J1627" i="3"/>
  <c r="D1627" i="3"/>
  <c r="K1627" i="3"/>
  <c r="A1628" i="3"/>
  <c r="I1626" i="3"/>
  <c r="H1626" i="3" s="1"/>
  <c r="C1626" i="3"/>
  <c r="B1626" i="3" s="1"/>
  <c r="L1628" i="3" l="1"/>
  <c r="J1628" i="3"/>
  <c r="D1628" i="3"/>
  <c r="K1628" i="3"/>
  <c r="E1628" i="3"/>
  <c r="I1627" i="3"/>
  <c r="H1627" i="3" s="1"/>
  <c r="C1627" i="3"/>
  <c r="B1627" i="3" s="1"/>
  <c r="A1629" i="3"/>
  <c r="L1629" i="3" l="1"/>
  <c r="F1629" i="3"/>
  <c r="D1629" i="3"/>
  <c r="J1629" i="3"/>
  <c r="E1629" i="3"/>
  <c r="K1629" i="3"/>
  <c r="I1628" i="3"/>
  <c r="H1628" i="3" s="1"/>
  <c r="A1630" i="3"/>
  <c r="L1630" i="3" l="1"/>
  <c r="F1630" i="3"/>
  <c r="J1630" i="3"/>
  <c r="D1630" i="3"/>
  <c r="K1630" i="3"/>
  <c r="E1630" i="3"/>
  <c r="C1629" i="3"/>
  <c r="B1629" i="3" s="1"/>
  <c r="I1629" i="3"/>
  <c r="H1629" i="3" s="1"/>
  <c r="A1631" i="3"/>
  <c r="L1631" i="3" l="1"/>
  <c r="F1631" i="3"/>
  <c r="J1631" i="3"/>
  <c r="D1631" i="3"/>
  <c r="K1631" i="3"/>
  <c r="E1631" i="3"/>
  <c r="I1630" i="3"/>
  <c r="H1630" i="3" s="1"/>
  <c r="C1630" i="3"/>
  <c r="B1630" i="3" s="1"/>
  <c r="A1632" i="3"/>
  <c r="L1632" i="3" l="1"/>
  <c r="F1632" i="3"/>
  <c r="J1632" i="3"/>
  <c r="D1632" i="3"/>
  <c r="K1632" i="3"/>
  <c r="E1632" i="3"/>
  <c r="C1631" i="3"/>
  <c r="B1631" i="3" s="1"/>
  <c r="A1633" i="3"/>
  <c r="I1631" i="3"/>
  <c r="H1631" i="3" s="1"/>
  <c r="L1633" i="3" l="1"/>
  <c r="F1633" i="3"/>
  <c r="J1633" i="3"/>
  <c r="D1633" i="3"/>
  <c r="K1633" i="3"/>
  <c r="E1633" i="3"/>
  <c r="C1632" i="3"/>
  <c r="B1632" i="3" s="1"/>
  <c r="A1634" i="3"/>
  <c r="I1632" i="3"/>
  <c r="H1632" i="3" s="1"/>
  <c r="F1634" i="3" l="1"/>
  <c r="L1634" i="3"/>
  <c r="J1634" i="3"/>
  <c r="D1634" i="3"/>
  <c r="K1634" i="3"/>
  <c r="E1634" i="3"/>
  <c r="A1635" i="3"/>
  <c r="I1633" i="3"/>
  <c r="H1633" i="3" s="1"/>
  <c r="C1633" i="3"/>
  <c r="B1633" i="3" s="1"/>
  <c r="L1635" i="3" l="1"/>
  <c r="F1635" i="3"/>
  <c r="J1635" i="3"/>
  <c r="D1635" i="3"/>
  <c r="K1635" i="3"/>
  <c r="E1635" i="3"/>
  <c r="C1634" i="3"/>
  <c r="B1634" i="3" s="1"/>
  <c r="A1636" i="3"/>
  <c r="I1634" i="3"/>
  <c r="H1634" i="3" s="1"/>
  <c r="L1636" i="3" l="1"/>
  <c r="F1636" i="3"/>
  <c r="J1636" i="3"/>
  <c r="D1636" i="3"/>
  <c r="K1636" i="3"/>
  <c r="E1636" i="3"/>
  <c r="I1635" i="3"/>
  <c r="H1635" i="3" s="1"/>
  <c r="C1635" i="3"/>
  <c r="B1635" i="3" s="1"/>
  <c r="A1637" i="3"/>
  <c r="L1637" i="3" l="1"/>
  <c r="F1637" i="3"/>
  <c r="J1637" i="3"/>
  <c r="D1637" i="3"/>
  <c r="K1637" i="3"/>
  <c r="E1637" i="3"/>
  <c r="C1636" i="3"/>
  <c r="B1636" i="3" s="1"/>
  <c r="I1636" i="3"/>
  <c r="H1636" i="3" s="1"/>
  <c r="A1638" i="3"/>
  <c r="L1638" i="3" l="1"/>
  <c r="F1638" i="3"/>
  <c r="J1638" i="3"/>
  <c r="D1638" i="3"/>
  <c r="K1638" i="3"/>
  <c r="E1638" i="3"/>
  <c r="I1637" i="3"/>
  <c r="H1637" i="3" s="1"/>
  <c r="A1639" i="3"/>
  <c r="C1637" i="3"/>
  <c r="B1637" i="3" s="1"/>
  <c r="L1639" i="3" l="1"/>
  <c r="F1639" i="3"/>
  <c r="J1639" i="3"/>
  <c r="D1639" i="3"/>
  <c r="K1639" i="3"/>
  <c r="E1639" i="3"/>
  <c r="C1638" i="3"/>
  <c r="B1638" i="3" s="1"/>
  <c r="A1640" i="3"/>
  <c r="I1638" i="3"/>
  <c r="H1638" i="3" s="1"/>
  <c r="L1640" i="3" l="1"/>
  <c r="F1640" i="3"/>
  <c r="J1640" i="3"/>
  <c r="D1640" i="3"/>
  <c r="K1640" i="3"/>
  <c r="E1640" i="3"/>
  <c r="C1639" i="3"/>
  <c r="B1639" i="3" s="1"/>
  <c r="I1639" i="3"/>
  <c r="H1639" i="3" s="1"/>
  <c r="A1641" i="3"/>
  <c r="L1641" i="3" l="1"/>
  <c r="F1641" i="3"/>
  <c r="J1641" i="3"/>
  <c r="D1641" i="3"/>
  <c r="K1641" i="3"/>
  <c r="E1641" i="3"/>
  <c r="A1642" i="3"/>
  <c r="I1640" i="3"/>
  <c r="H1640" i="3" s="1"/>
  <c r="C1640" i="3"/>
  <c r="B1640" i="3" s="1"/>
  <c r="L1642" i="3" l="1"/>
  <c r="F1642" i="3"/>
  <c r="D1642" i="3"/>
  <c r="J1642" i="3"/>
  <c r="E1642" i="3"/>
  <c r="K1642" i="3"/>
  <c r="C1641" i="3"/>
  <c r="B1641" i="3" s="1"/>
  <c r="A1643" i="3"/>
  <c r="I1641" i="3"/>
  <c r="H1641" i="3" s="1"/>
  <c r="L1643" i="3" l="1"/>
  <c r="F1643" i="3"/>
  <c r="J1643" i="3"/>
  <c r="D1643" i="3"/>
  <c r="K1643" i="3"/>
  <c r="E1643" i="3"/>
  <c r="C1642" i="3"/>
  <c r="B1642" i="3" s="1"/>
  <c r="A1644" i="3"/>
  <c r="I1642" i="3"/>
  <c r="H1642" i="3" s="1"/>
  <c r="L1644" i="3" l="1"/>
  <c r="F1644" i="3"/>
  <c r="D1644" i="3"/>
  <c r="E1644" i="3"/>
  <c r="J1644" i="3"/>
  <c r="K1644" i="3"/>
  <c r="I1643" i="3"/>
  <c r="H1643" i="3" s="1"/>
  <c r="C1643" i="3"/>
  <c r="B1643" i="3" s="1"/>
  <c r="A1645" i="3"/>
  <c r="L1645" i="3" l="1"/>
  <c r="F1645" i="3"/>
  <c r="J1645" i="3"/>
  <c r="D1645" i="3"/>
  <c r="K1645" i="3"/>
  <c r="E1645" i="3"/>
  <c r="C1644" i="3"/>
  <c r="B1644" i="3" s="1"/>
  <c r="I1644" i="3"/>
  <c r="H1644" i="3" s="1"/>
  <c r="A1646" i="3"/>
  <c r="L1646" i="3" l="1"/>
  <c r="F1646" i="3"/>
  <c r="J1646" i="3"/>
  <c r="D1646" i="3"/>
  <c r="K1646" i="3"/>
  <c r="E1646" i="3"/>
  <c r="C1645" i="3"/>
  <c r="B1645" i="3" s="1"/>
  <c r="I1645" i="3"/>
  <c r="H1645" i="3" s="1"/>
  <c r="A1647" i="3"/>
  <c r="L1647" i="3" l="1"/>
  <c r="J1647" i="3"/>
  <c r="D1647" i="3"/>
  <c r="K1647" i="3"/>
  <c r="E1647" i="3"/>
  <c r="I1646" i="3"/>
  <c r="H1646" i="3" s="1"/>
  <c r="C1646" i="3"/>
  <c r="B1646" i="3" s="1"/>
  <c r="A1648" i="3"/>
  <c r="F1648" i="3" l="1"/>
  <c r="E1648" i="3"/>
  <c r="L1648" i="3"/>
  <c r="J1648" i="3"/>
  <c r="D1648" i="3"/>
  <c r="K1648" i="3"/>
  <c r="I1647" i="3"/>
  <c r="H1647" i="3" s="1"/>
  <c r="A1649" i="3"/>
  <c r="L1649" i="3" l="1"/>
  <c r="F1649" i="3"/>
  <c r="J1649" i="3"/>
  <c r="D1649" i="3"/>
  <c r="K1649" i="3"/>
  <c r="E1649" i="3"/>
  <c r="C1648" i="3"/>
  <c r="B1648" i="3" s="1"/>
  <c r="A1650" i="3"/>
  <c r="I1648" i="3"/>
  <c r="H1648" i="3" s="1"/>
  <c r="L1650" i="3" l="1"/>
  <c r="F1650" i="3"/>
  <c r="J1650" i="3"/>
  <c r="D1650" i="3"/>
  <c r="K1650" i="3"/>
  <c r="E1650" i="3"/>
  <c r="I1649" i="3"/>
  <c r="H1649" i="3" s="1"/>
  <c r="A1651" i="3"/>
  <c r="C1649" i="3"/>
  <c r="B1649" i="3" s="1"/>
  <c r="L1651" i="3" l="1"/>
  <c r="F1651" i="3"/>
  <c r="J1651" i="3"/>
  <c r="D1651" i="3"/>
  <c r="K1651" i="3"/>
  <c r="E1651" i="3"/>
  <c r="C1650" i="3"/>
  <c r="B1650" i="3" s="1"/>
  <c r="A1652" i="3"/>
  <c r="I1650" i="3"/>
  <c r="H1650" i="3" s="1"/>
  <c r="L1652" i="3" l="1"/>
  <c r="F1652" i="3"/>
  <c r="J1652" i="3"/>
  <c r="D1652" i="3"/>
  <c r="K1652" i="3"/>
  <c r="E1652" i="3"/>
  <c r="C1651" i="3"/>
  <c r="B1651" i="3" s="1"/>
  <c r="I1651" i="3"/>
  <c r="H1651" i="3" s="1"/>
  <c r="A1653" i="3"/>
  <c r="L1653" i="3" l="1"/>
  <c r="F1653" i="3"/>
  <c r="J1653" i="3"/>
  <c r="D1653" i="3"/>
  <c r="K1653" i="3"/>
  <c r="E1653" i="3"/>
  <c r="I1652" i="3"/>
  <c r="H1652" i="3" s="1"/>
  <c r="C1652" i="3"/>
  <c r="B1652" i="3" s="1"/>
  <c r="A1654" i="3"/>
  <c r="L1654" i="3" l="1"/>
  <c r="F1654" i="3"/>
  <c r="J1654" i="3"/>
  <c r="D1654" i="3"/>
  <c r="K1654" i="3"/>
  <c r="E1654" i="3"/>
  <c r="C1653" i="3"/>
  <c r="B1653" i="3" s="1"/>
  <c r="I1653" i="3"/>
  <c r="H1653" i="3" s="1"/>
  <c r="A1655" i="3"/>
  <c r="F1655" i="3" l="1"/>
  <c r="L1655" i="3"/>
  <c r="J1655" i="3"/>
  <c r="D1655" i="3"/>
  <c r="K1655" i="3"/>
  <c r="E1655" i="3"/>
  <c r="C1654" i="3"/>
  <c r="B1654" i="3" s="1"/>
  <c r="A1656" i="3"/>
  <c r="I1654" i="3"/>
  <c r="H1654" i="3" s="1"/>
  <c r="L1656" i="3" l="1"/>
  <c r="F1656" i="3"/>
  <c r="J1656" i="3"/>
  <c r="D1656" i="3"/>
  <c r="K1656" i="3"/>
  <c r="E1656" i="3"/>
  <c r="C1655" i="3"/>
  <c r="B1655" i="3" s="1"/>
  <c r="A1657" i="3"/>
  <c r="I1655" i="3"/>
  <c r="H1655" i="3" s="1"/>
  <c r="L1657" i="3" l="1"/>
  <c r="F1657" i="3"/>
  <c r="J1657" i="3"/>
  <c r="D1657" i="3"/>
  <c r="K1657" i="3"/>
  <c r="E1657" i="3"/>
  <c r="C1656" i="3"/>
  <c r="B1656" i="3" s="1"/>
  <c r="A1658" i="3"/>
  <c r="I1656" i="3"/>
  <c r="H1656" i="3" s="1"/>
  <c r="L1658" i="3" l="1"/>
  <c r="F1658" i="3"/>
  <c r="J1658" i="3"/>
  <c r="D1658" i="3"/>
  <c r="K1658" i="3"/>
  <c r="E1658" i="3"/>
  <c r="C1657" i="3"/>
  <c r="B1657" i="3" s="1"/>
  <c r="A1659" i="3"/>
  <c r="I1657" i="3"/>
  <c r="H1657" i="3" s="1"/>
  <c r="L1659" i="3" l="1"/>
  <c r="F1659" i="3"/>
  <c r="D1659" i="3"/>
  <c r="E1659" i="3"/>
  <c r="J1659" i="3"/>
  <c r="K1659" i="3"/>
  <c r="C1658" i="3"/>
  <c r="B1658" i="3" s="1"/>
  <c r="A1660" i="3"/>
  <c r="I1658" i="3"/>
  <c r="H1658" i="3" s="1"/>
  <c r="L1660" i="3" l="1"/>
  <c r="F1660" i="3"/>
  <c r="J1660" i="3"/>
  <c r="D1660" i="3"/>
  <c r="K1660" i="3"/>
  <c r="E1660" i="3"/>
  <c r="C1659" i="3"/>
  <c r="B1659" i="3" s="1"/>
  <c r="I1659" i="3"/>
  <c r="H1659" i="3" s="1"/>
  <c r="A1661" i="3"/>
  <c r="L1661" i="3" l="1"/>
  <c r="F1661" i="3"/>
  <c r="J1661" i="3"/>
  <c r="D1661" i="3"/>
  <c r="K1661" i="3"/>
  <c r="E1661" i="3"/>
  <c r="C1660" i="3"/>
  <c r="B1660" i="3" s="1"/>
  <c r="A1662" i="3"/>
  <c r="I1660" i="3"/>
  <c r="H1660" i="3" s="1"/>
  <c r="L1662" i="3" l="1"/>
  <c r="F1662" i="3"/>
  <c r="J1662" i="3"/>
  <c r="D1662" i="3"/>
  <c r="K1662" i="3"/>
  <c r="E1662" i="3"/>
  <c r="C1661" i="3"/>
  <c r="B1661" i="3" s="1"/>
  <c r="A1663" i="3"/>
  <c r="I1661" i="3"/>
  <c r="H1661" i="3" s="1"/>
  <c r="L1663" i="3" l="1"/>
  <c r="F1663" i="3"/>
  <c r="J1663" i="3"/>
  <c r="D1663" i="3"/>
  <c r="K1663" i="3"/>
  <c r="E1663" i="3"/>
  <c r="C1662" i="3"/>
  <c r="B1662" i="3" s="1"/>
  <c r="I1662" i="3"/>
  <c r="H1662" i="3" s="1"/>
  <c r="A1664" i="3"/>
  <c r="L1664" i="3" l="1"/>
  <c r="F1664" i="3"/>
  <c r="J1664" i="3"/>
  <c r="D1664" i="3"/>
  <c r="K1664" i="3"/>
  <c r="E1664" i="3"/>
  <c r="I1663" i="3"/>
  <c r="H1663" i="3" s="1"/>
  <c r="A1665" i="3"/>
  <c r="C1663" i="3"/>
  <c r="B1663" i="3" s="1"/>
  <c r="L1665" i="3" l="1"/>
  <c r="F1665" i="3"/>
  <c r="J1665" i="3"/>
  <c r="D1665" i="3"/>
  <c r="K1665" i="3"/>
  <c r="E1665" i="3"/>
  <c r="C1664" i="3"/>
  <c r="B1664" i="3" s="1"/>
  <c r="A1666" i="3"/>
  <c r="I1664" i="3"/>
  <c r="H1664" i="3" s="1"/>
  <c r="L1666" i="3" l="1"/>
  <c r="F1666" i="3"/>
  <c r="J1666" i="3"/>
  <c r="D1666" i="3"/>
  <c r="K1666" i="3"/>
  <c r="E1666" i="3"/>
  <c r="C1665" i="3"/>
  <c r="B1665" i="3" s="1"/>
  <c r="I1665" i="3"/>
  <c r="H1665" i="3" s="1"/>
  <c r="A1667" i="3"/>
  <c r="L1667" i="3" l="1"/>
  <c r="J1667" i="3"/>
  <c r="D1667" i="3"/>
  <c r="K1667" i="3"/>
  <c r="E1667" i="3"/>
  <c r="C1666" i="3"/>
  <c r="B1666" i="3" s="1"/>
  <c r="A1668" i="3"/>
  <c r="I1666" i="3"/>
  <c r="H1666" i="3" s="1"/>
  <c r="L1668" i="3" l="1"/>
  <c r="F1668" i="3"/>
  <c r="J1668" i="3"/>
  <c r="D1668" i="3"/>
  <c r="K1668" i="3"/>
  <c r="E1668" i="3"/>
  <c r="I1667" i="3"/>
  <c r="H1667" i="3" s="1"/>
  <c r="A1669" i="3"/>
  <c r="F1669" i="3" l="1"/>
  <c r="E1669" i="3"/>
  <c r="L1669" i="3"/>
  <c r="J1669" i="3"/>
  <c r="D1669" i="3"/>
  <c r="K1669" i="3"/>
  <c r="I1668" i="3"/>
  <c r="H1668" i="3" s="1"/>
  <c r="A1670" i="3"/>
  <c r="C1668" i="3"/>
  <c r="B1668" i="3" s="1"/>
  <c r="L1670" i="3" l="1"/>
  <c r="F1670" i="3"/>
  <c r="J1670" i="3"/>
  <c r="K1670" i="3"/>
  <c r="D1670" i="3"/>
  <c r="E1670" i="3"/>
  <c r="I1669" i="3"/>
  <c r="H1669" i="3" s="1"/>
  <c r="A1671" i="3"/>
  <c r="C1669" i="3"/>
  <c r="B1669" i="3" s="1"/>
  <c r="L1671" i="3" l="1"/>
  <c r="F1671" i="3"/>
  <c r="J1671" i="3"/>
  <c r="D1671" i="3"/>
  <c r="K1671" i="3"/>
  <c r="E1671" i="3"/>
  <c r="C1670" i="3"/>
  <c r="B1670" i="3" s="1"/>
  <c r="I1670" i="3"/>
  <c r="H1670" i="3" s="1"/>
  <c r="A1672" i="3"/>
  <c r="L1672" i="3" l="1"/>
  <c r="F1672" i="3"/>
  <c r="D1672" i="3"/>
  <c r="J1672" i="3"/>
  <c r="E1672" i="3"/>
  <c r="K1672" i="3"/>
  <c r="C1671" i="3"/>
  <c r="B1671" i="3" s="1"/>
  <c r="I1671" i="3"/>
  <c r="H1671" i="3" s="1"/>
  <c r="A1673" i="3"/>
  <c r="L1673" i="3" l="1"/>
  <c r="F1673" i="3"/>
  <c r="J1673" i="3"/>
  <c r="D1673" i="3"/>
  <c r="K1673" i="3"/>
  <c r="E1673" i="3"/>
  <c r="C1672" i="3"/>
  <c r="B1672" i="3" s="1"/>
  <c r="A1674" i="3"/>
  <c r="I1672" i="3"/>
  <c r="H1672" i="3" s="1"/>
  <c r="L1674" i="3" l="1"/>
  <c r="F1674" i="3"/>
  <c r="J1674" i="3"/>
  <c r="D1674" i="3"/>
  <c r="K1674" i="3"/>
  <c r="E1674" i="3"/>
  <c r="C1673" i="3"/>
  <c r="B1673" i="3" s="1"/>
  <c r="A1675" i="3"/>
  <c r="I1673" i="3"/>
  <c r="H1673" i="3" s="1"/>
  <c r="L1675" i="3" l="1"/>
  <c r="F1675" i="3"/>
  <c r="J1675" i="3"/>
  <c r="D1675" i="3"/>
  <c r="K1675" i="3"/>
  <c r="E1675" i="3"/>
  <c r="C1674" i="3"/>
  <c r="B1674" i="3" s="1"/>
  <c r="A1676" i="3"/>
  <c r="I1674" i="3"/>
  <c r="H1674" i="3" s="1"/>
  <c r="F1676" i="3" l="1"/>
  <c r="L1676" i="3"/>
  <c r="J1676" i="3"/>
  <c r="D1676" i="3"/>
  <c r="K1676" i="3"/>
  <c r="E1676" i="3"/>
  <c r="C1675" i="3"/>
  <c r="B1675" i="3" s="1"/>
  <c r="I1675" i="3"/>
  <c r="H1675" i="3" s="1"/>
  <c r="A1677" i="3"/>
  <c r="L1677" i="3" l="1"/>
  <c r="F1677" i="3"/>
  <c r="J1677" i="3"/>
  <c r="D1677" i="3"/>
  <c r="K1677" i="3"/>
  <c r="E1677" i="3"/>
  <c r="C1676" i="3"/>
  <c r="B1676" i="3" s="1"/>
  <c r="I1676" i="3"/>
  <c r="H1676" i="3" s="1"/>
  <c r="A1678" i="3"/>
  <c r="L1678" i="3" l="1"/>
  <c r="F1678" i="3"/>
  <c r="J1678" i="3"/>
  <c r="D1678" i="3"/>
  <c r="K1678" i="3"/>
  <c r="E1678" i="3"/>
  <c r="I1677" i="3"/>
  <c r="H1677" i="3" s="1"/>
  <c r="C1677" i="3"/>
  <c r="B1677" i="3" s="1"/>
  <c r="A1679" i="3"/>
  <c r="L1679" i="3" l="1"/>
  <c r="F1679" i="3"/>
  <c r="J1679" i="3"/>
  <c r="D1679" i="3"/>
  <c r="K1679" i="3"/>
  <c r="E1679" i="3"/>
  <c r="C1678" i="3"/>
  <c r="B1678" i="3" s="1"/>
  <c r="I1678" i="3"/>
  <c r="H1678" i="3" s="1"/>
  <c r="A1680" i="3"/>
  <c r="L1680" i="3" l="1"/>
  <c r="F1680" i="3"/>
  <c r="J1680" i="3"/>
  <c r="D1680" i="3"/>
  <c r="K1680" i="3"/>
  <c r="E1680" i="3"/>
  <c r="C1679" i="3"/>
  <c r="B1679" i="3" s="1"/>
  <c r="I1679" i="3"/>
  <c r="H1679" i="3" s="1"/>
  <c r="A1681" i="3"/>
  <c r="L1681" i="3" l="1"/>
  <c r="F1681" i="3"/>
  <c r="J1681" i="3"/>
  <c r="D1681" i="3"/>
  <c r="K1681" i="3"/>
  <c r="E1681" i="3"/>
  <c r="C1680" i="3"/>
  <c r="B1680" i="3" s="1"/>
  <c r="I1680" i="3"/>
  <c r="H1680" i="3" s="1"/>
  <c r="A1682" i="3"/>
  <c r="L1682" i="3" l="1"/>
  <c r="F1682" i="3"/>
  <c r="J1682" i="3"/>
  <c r="D1682" i="3"/>
  <c r="K1682" i="3"/>
  <c r="E1682" i="3"/>
  <c r="I1681" i="3"/>
  <c r="H1681" i="3" s="1"/>
  <c r="A1683" i="3"/>
  <c r="C1681" i="3"/>
  <c r="B1681" i="3" s="1"/>
  <c r="L1683" i="3" l="1"/>
  <c r="F1683" i="3"/>
  <c r="J1683" i="3"/>
  <c r="D1683" i="3"/>
  <c r="K1683" i="3"/>
  <c r="E1683" i="3"/>
  <c r="C1682" i="3"/>
  <c r="B1682" i="3" s="1"/>
  <c r="A1684" i="3"/>
  <c r="I1682" i="3"/>
  <c r="H1682" i="3" s="1"/>
  <c r="L1684" i="3" l="1"/>
  <c r="F1684" i="3"/>
  <c r="J1684" i="3"/>
  <c r="D1684" i="3"/>
  <c r="K1684" i="3"/>
  <c r="E1684" i="3"/>
  <c r="I1683" i="3"/>
  <c r="H1683" i="3" s="1"/>
  <c r="C1683" i="3"/>
  <c r="B1683" i="3" s="1"/>
  <c r="A1685" i="3"/>
  <c r="L1685" i="3" l="1"/>
  <c r="F1685" i="3"/>
  <c r="J1685" i="3"/>
  <c r="D1685" i="3"/>
  <c r="K1685" i="3"/>
  <c r="E1685" i="3"/>
  <c r="A1686" i="3"/>
  <c r="I1684" i="3"/>
  <c r="H1684" i="3" s="1"/>
  <c r="C1684" i="3"/>
  <c r="B1684" i="3" s="1"/>
  <c r="L1686" i="3" l="1"/>
  <c r="F1686" i="3"/>
  <c r="J1686" i="3"/>
  <c r="D1686" i="3"/>
  <c r="K1686" i="3"/>
  <c r="E1686" i="3"/>
  <c r="C1685" i="3"/>
  <c r="B1685" i="3" s="1"/>
  <c r="A1687" i="3"/>
  <c r="I1685" i="3"/>
  <c r="H1685" i="3" s="1"/>
  <c r="L1687" i="3" l="1"/>
  <c r="F1687" i="3"/>
  <c r="D1687" i="3"/>
  <c r="J1687" i="3"/>
  <c r="E1687" i="3"/>
  <c r="K1687" i="3"/>
  <c r="I1686" i="3"/>
  <c r="H1686" i="3" s="1"/>
  <c r="C1686" i="3"/>
  <c r="B1686" i="3" s="1"/>
  <c r="A1688" i="3"/>
  <c r="L1688" i="3" l="1"/>
  <c r="J1688" i="3"/>
  <c r="D1688" i="3"/>
  <c r="K1688" i="3"/>
  <c r="E1688" i="3"/>
  <c r="C1687" i="3"/>
  <c r="B1687" i="3" s="1"/>
  <c r="I1687" i="3"/>
  <c r="H1687" i="3" s="1"/>
  <c r="A1689" i="3"/>
  <c r="L1689" i="3" l="1"/>
  <c r="F1689" i="3"/>
  <c r="J1689" i="3"/>
  <c r="D1689" i="3"/>
  <c r="K1689" i="3"/>
  <c r="E1689" i="3"/>
  <c r="A1690" i="3"/>
  <c r="I1688" i="3"/>
  <c r="H1688" i="3" s="1"/>
  <c r="L1690" i="3" l="1"/>
  <c r="F1690" i="3"/>
  <c r="J1690" i="3"/>
  <c r="D1690" i="3"/>
  <c r="K1690" i="3"/>
  <c r="E1690" i="3"/>
  <c r="C1689" i="3"/>
  <c r="B1689" i="3" s="1"/>
  <c r="A1691" i="3"/>
  <c r="I1689" i="3"/>
  <c r="H1689" i="3" s="1"/>
  <c r="L1691" i="3" l="1"/>
  <c r="F1691" i="3"/>
  <c r="J1691" i="3"/>
  <c r="D1691" i="3"/>
  <c r="K1691" i="3"/>
  <c r="E1691" i="3"/>
  <c r="C1690" i="3"/>
  <c r="B1690" i="3" s="1"/>
  <c r="A1692" i="3"/>
  <c r="I1690" i="3"/>
  <c r="H1690" i="3" s="1"/>
  <c r="F1692" i="3" l="1"/>
  <c r="E1692" i="3"/>
  <c r="L1692" i="3"/>
  <c r="J1692" i="3"/>
  <c r="D1692" i="3"/>
  <c r="K1692" i="3"/>
  <c r="I1691" i="3"/>
  <c r="H1691" i="3" s="1"/>
  <c r="C1691" i="3"/>
  <c r="B1691" i="3" s="1"/>
  <c r="A1693" i="3"/>
  <c r="L1693" i="3" l="1"/>
  <c r="F1693" i="3"/>
  <c r="J1693" i="3"/>
  <c r="D1693" i="3"/>
  <c r="K1693" i="3"/>
  <c r="E1693" i="3"/>
  <c r="I1692" i="3"/>
  <c r="H1692" i="3" s="1"/>
  <c r="A1694" i="3"/>
  <c r="C1692" i="3"/>
  <c r="B1692" i="3" s="1"/>
  <c r="L1694" i="3" l="1"/>
  <c r="F1694" i="3"/>
  <c r="J1694" i="3"/>
  <c r="D1694" i="3"/>
  <c r="K1694" i="3"/>
  <c r="E1694" i="3"/>
  <c r="C1693" i="3"/>
  <c r="B1693" i="3" s="1"/>
  <c r="A1695" i="3"/>
  <c r="I1693" i="3"/>
  <c r="H1693" i="3" s="1"/>
  <c r="L1695" i="3" l="1"/>
  <c r="F1695" i="3"/>
  <c r="J1695" i="3"/>
  <c r="D1695" i="3"/>
  <c r="K1695" i="3"/>
  <c r="E1695" i="3"/>
  <c r="C1694" i="3"/>
  <c r="B1694" i="3" s="1"/>
  <c r="I1694" i="3"/>
  <c r="H1694" i="3" s="1"/>
  <c r="A1696" i="3"/>
  <c r="L1696" i="3" l="1"/>
  <c r="F1696" i="3"/>
  <c r="J1696" i="3"/>
  <c r="D1696" i="3"/>
  <c r="K1696" i="3"/>
  <c r="E1696" i="3"/>
  <c r="C1695" i="3"/>
  <c r="B1695" i="3" s="1"/>
  <c r="I1695" i="3"/>
  <c r="H1695" i="3" s="1"/>
  <c r="A1697" i="3"/>
  <c r="L1697" i="3" l="1"/>
  <c r="F1697" i="3"/>
  <c r="J1697" i="3"/>
  <c r="D1697" i="3"/>
  <c r="K1697" i="3"/>
  <c r="E1697" i="3"/>
  <c r="C1696" i="3"/>
  <c r="B1696" i="3" s="1"/>
  <c r="A1698" i="3"/>
  <c r="I1696" i="3"/>
  <c r="H1696" i="3" s="1"/>
  <c r="L1698" i="3" l="1"/>
  <c r="F1698" i="3"/>
  <c r="J1698" i="3"/>
  <c r="D1698" i="3"/>
  <c r="K1698" i="3"/>
  <c r="E1698" i="3"/>
  <c r="I1697" i="3"/>
  <c r="H1697" i="3" s="1"/>
  <c r="A1699" i="3"/>
  <c r="C1697" i="3"/>
  <c r="B1697" i="3" s="1"/>
  <c r="F1699" i="3" l="1"/>
  <c r="L1699" i="3"/>
  <c r="J1699" i="3"/>
  <c r="D1699" i="3"/>
  <c r="K1699" i="3"/>
  <c r="E1699" i="3"/>
  <c r="C1698" i="3"/>
  <c r="B1698" i="3" s="1"/>
  <c r="A1700" i="3"/>
  <c r="I1698" i="3"/>
  <c r="H1698" i="3" s="1"/>
  <c r="L1700" i="3" l="1"/>
  <c r="F1700" i="3"/>
  <c r="D1700" i="3"/>
  <c r="E1700" i="3"/>
  <c r="J1700" i="3"/>
  <c r="K1700" i="3"/>
  <c r="I1699" i="3"/>
  <c r="H1699" i="3" s="1"/>
  <c r="C1699" i="3"/>
  <c r="B1699" i="3" s="1"/>
  <c r="A1701" i="3"/>
  <c r="L1701" i="3" l="1"/>
  <c r="F1701" i="3"/>
  <c r="J1701" i="3"/>
  <c r="D1701" i="3"/>
  <c r="K1701" i="3"/>
  <c r="E1701" i="3"/>
  <c r="I1700" i="3"/>
  <c r="H1700" i="3" s="1"/>
  <c r="A1702" i="3"/>
  <c r="C1700" i="3"/>
  <c r="B1700" i="3" s="1"/>
  <c r="L1702" i="3" l="1"/>
  <c r="F1702" i="3"/>
  <c r="J1702" i="3"/>
  <c r="D1702" i="3"/>
  <c r="K1702" i="3"/>
  <c r="E1702" i="3"/>
  <c r="C1701" i="3"/>
  <c r="B1701" i="3" s="1"/>
  <c r="I1701" i="3"/>
  <c r="H1701" i="3" s="1"/>
  <c r="A1703" i="3"/>
  <c r="L1703" i="3" l="1"/>
  <c r="F1703" i="3"/>
  <c r="J1703" i="3"/>
  <c r="D1703" i="3"/>
  <c r="K1703" i="3"/>
  <c r="E1703" i="3"/>
  <c r="C1702" i="3"/>
  <c r="B1702" i="3" s="1"/>
  <c r="A1704" i="3"/>
  <c r="I1702" i="3"/>
  <c r="H1702" i="3" s="1"/>
  <c r="L1704" i="3" l="1"/>
  <c r="F1704" i="3"/>
  <c r="J1704" i="3"/>
  <c r="D1704" i="3"/>
  <c r="K1704" i="3"/>
  <c r="E1704" i="3"/>
  <c r="C1703" i="3"/>
  <c r="B1703" i="3" s="1"/>
  <c r="A1705" i="3"/>
  <c r="I1703" i="3"/>
  <c r="H1703" i="3" s="1"/>
  <c r="L1705" i="3" l="1"/>
  <c r="F1705" i="3"/>
  <c r="D1705" i="3"/>
  <c r="J1705" i="3"/>
  <c r="E1705" i="3"/>
  <c r="K1705" i="3"/>
  <c r="C1704" i="3"/>
  <c r="B1704" i="3" s="1"/>
  <c r="I1704" i="3"/>
  <c r="H1704" i="3" s="1"/>
  <c r="A1706" i="3"/>
  <c r="L1706" i="3" l="1"/>
  <c r="F1706" i="3"/>
  <c r="J1706" i="3"/>
  <c r="D1706" i="3"/>
  <c r="K1706" i="3"/>
  <c r="E1706" i="3"/>
  <c r="I1705" i="3"/>
  <c r="H1705" i="3" s="1"/>
  <c r="C1705" i="3"/>
  <c r="B1705" i="3" s="1"/>
  <c r="A1707" i="3"/>
  <c r="L1707" i="3" l="1"/>
  <c r="F1707" i="3"/>
  <c r="J1707" i="3"/>
  <c r="D1707" i="3"/>
  <c r="K1707" i="3"/>
  <c r="E1707" i="3"/>
  <c r="C1706" i="3"/>
  <c r="B1706" i="3" s="1"/>
  <c r="A1708" i="3"/>
  <c r="I1706" i="3"/>
  <c r="H1706" i="3" s="1"/>
  <c r="L1708" i="3" l="1"/>
  <c r="J1708" i="3"/>
  <c r="D1708" i="3"/>
  <c r="K1708" i="3"/>
  <c r="E1708" i="3"/>
  <c r="C1707" i="3"/>
  <c r="B1707" i="3" s="1"/>
  <c r="A1709" i="3"/>
  <c r="I1707" i="3"/>
  <c r="H1707" i="3" s="1"/>
  <c r="L1709" i="3" l="1"/>
  <c r="F1709" i="3"/>
  <c r="J1709" i="3"/>
  <c r="D1709" i="3"/>
  <c r="K1709" i="3"/>
  <c r="E1709" i="3"/>
  <c r="A1710" i="3"/>
  <c r="I1708" i="3"/>
  <c r="H1708" i="3" s="1"/>
  <c r="L1710" i="3" l="1"/>
  <c r="F1710" i="3"/>
  <c r="J1710" i="3"/>
  <c r="D1710" i="3"/>
  <c r="K1710" i="3"/>
  <c r="E1710" i="3"/>
  <c r="C1709" i="3"/>
  <c r="B1709" i="3" s="1"/>
  <c r="I1709" i="3"/>
  <c r="H1709" i="3" s="1"/>
  <c r="A1711" i="3"/>
  <c r="L1711" i="3" l="1"/>
  <c r="F1711" i="3"/>
  <c r="J1711" i="3"/>
  <c r="D1711" i="3"/>
  <c r="K1711" i="3"/>
  <c r="E1711" i="3"/>
  <c r="C1710" i="3"/>
  <c r="B1710" i="3" s="1"/>
  <c r="I1710" i="3"/>
  <c r="H1710" i="3" s="1"/>
  <c r="A1712" i="3"/>
  <c r="L1712" i="3" l="1"/>
  <c r="F1712" i="3"/>
  <c r="J1712" i="3"/>
  <c r="D1712" i="3"/>
  <c r="K1712" i="3"/>
  <c r="E1712" i="3"/>
  <c r="A1713" i="3"/>
  <c r="I1711" i="3"/>
  <c r="H1711" i="3" s="1"/>
  <c r="C1711" i="3"/>
  <c r="B1711" i="3" s="1"/>
  <c r="F1713" i="3" l="1"/>
  <c r="E1713" i="3"/>
  <c r="L1713" i="3"/>
  <c r="J1713" i="3"/>
  <c r="D1713" i="3"/>
  <c r="K1713" i="3"/>
  <c r="C1712" i="3"/>
  <c r="B1712" i="3" s="1"/>
  <c r="A1714" i="3"/>
  <c r="I1712" i="3"/>
  <c r="H1712" i="3" s="1"/>
  <c r="L1714" i="3" l="1"/>
  <c r="F1714" i="3"/>
  <c r="J1714" i="3"/>
  <c r="D1714" i="3"/>
  <c r="K1714" i="3"/>
  <c r="E1714" i="3"/>
  <c r="C1713" i="3"/>
  <c r="B1713" i="3" s="1"/>
  <c r="A1715" i="3"/>
  <c r="I1713" i="3"/>
  <c r="H1713" i="3" s="1"/>
  <c r="L1715" i="3" l="1"/>
  <c r="F1715" i="3"/>
  <c r="J1715" i="3"/>
  <c r="D1715" i="3"/>
  <c r="K1715" i="3"/>
  <c r="E1715" i="3"/>
  <c r="I1714" i="3"/>
  <c r="H1714" i="3" s="1"/>
  <c r="C1714" i="3"/>
  <c r="B1714" i="3" s="1"/>
  <c r="A1716" i="3"/>
  <c r="L1716" i="3" l="1"/>
  <c r="F1716" i="3"/>
  <c r="J1716" i="3"/>
  <c r="D1716" i="3"/>
  <c r="K1716" i="3"/>
  <c r="E1716" i="3"/>
  <c r="C1715" i="3"/>
  <c r="B1715" i="3" s="1"/>
  <c r="I1715" i="3"/>
  <c r="H1715" i="3" s="1"/>
  <c r="A1717" i="3"/>
  <c r="L1717" i="3" l="1"/>
  <c r="F1717" i="3"/>
  <c r="J1717" i="3"/>
  <c r="D1717" i="3"/>
  <c r="K1717" i="3"/>
  <c r="E1717" i="3"/>
  <c r="C1716" i="3"/>
  <c r="B1716" i="3" s="1"/>
  <c r="I1716" i="3"/>
  <c r="H1716" i="3" s="1"/>
  <c r="A1718" i="3"/>
  <c r="L1718" i="3" l="1"/>
  <c r="F1718" i="3"/>
  <c r="J1718" i="3"/>
  <c r="D1718" i="3"/>
  <c r="K1718" i="3"/>
  <c r="E1718" i="3"/>
  <c r="C1717" i="3"/>
  <c r="B1717" i="3" s="1"/>
  <c r="A1719" i="3"/>
  <c r="I1717" i="3"/>
  <c r="H1717" i="3" s="1"/>
  <c r="L1719" i="3" l="1"/>
  <c r="F1719" i="3"/>
  <c r="J1719" i="3"/>
  <c r="D1719" i="3"/>
  <c r="K1719" i="3"/>
  <c r="E1719" i="3"/>
  <c r="I1718" i="3"/>
  <c r="H1718" i="3" s="1"/>
  <c r="C1718" i="3"/>
  <c r="B1718" i="3" s="1"/>
  <c r="A1720" i="3"/>
  <c r="F1720" i="3" l="1"/>
  <c r="L1720" i="3"/>
  <c r="J1720" i="3"/>
  <c r="D1720" i="3"/>
  <c r="K1720" i="3"/>
  <c r="E1720" i="3"/>
  <c r="I1719" i="3"/>
  <c r="H1719" i="3" s="1"/>
  <c r="C1719" i="3"/>
  <c r="B1719" i="3" s="1"/>
  <c r="A1721" i="3"/>
  <c r="L1721" i="3" l="1"/>
  <c r="F1721" i="3"/>
  <c r="D1721" i="3"/>
  <c r="J1721" i="3"/>
  <c r="E1721" i="3"/>
  <c r="K1721" i="3"/>
  <c r="C1720" i="3"/>
  <c r="B1720" i="3" s="1"/>
  <c r="A1722" i="3"/>
  <c r="I1720" i="3"/>
  <c r="H1720" i="3" s="1"/>
  <c r="L1722" i="3" l="1"/>
  <c r="F1722" i="3"/>
  <c r="J1722" i="3"/>
  <c r="D1722" i="3"/>
  <c r="K1722" i="3"/>
  <c r="E1722" i="3"/>
  <c r="C1721" i="3"/>
  <c r="B1721" i="3" s="1"/>
  <c r="A1723" i="3"/>
  <c r="I1721" i="3"/>
  <c r="H1721" i="3" s="1"/>
  <c r="L1723" i="3" l="1"/>
  <c r="F1723" i="3"/>
  <c r="J1723" i="3"/>
  <c r="D1723" i="3"/>
  <c r="K1723" i="3"/>
  <c r="E1723" i="3"/>
  <c r="C1722" i="3"/>
  <c r="B1722" i="3" s="1"/>
  <c r="A1724" i="3"/>
  <c r="I1722" i="3"/>
  <c r="H1722" i="3" s="1"/>
  <c r="L1724" i="3" l="1"/>
  <c r="F1724" i="3"/>
  <c r="J1724" i="3"/>
  <c r="D1724" i="3"/>
  <c r="K1724" i="3"/>
  <c r="E1724" i="3"/>
  <c r="I1723" i="3"/>
  <c r="H1723" i="3" s="1"/>
  <c r="C1723" i="3"/>
  <c r="B1723" i="3" s="1"/>
  <c r="A1725" i="3"/>
  <c r="L1725" i="3" l="1"/>
  <c r="F1725" i="3"/>
  <c r="J1725" i="3"/>
  <c r="D1725" i="3"/>
  <c r="K1725" i="3"/>
  <c r="E1725" i="3"/>
  <c r="I1724" i="3"/>
  <c r="H1724" i="3" s="1"/>
  <c r="C1724" i="3"/>
  <c r="B1724" i="3" s="1"/>
  <c r="A1726" i="3"/>
  <c r="L1726" i="3" l="1"/>
  <c r="F1726" i="3"/>
  <c r="J1726" i="3"/>
  <c r="D1726" i="3"/>
  <c r="K1726" i="3"/>
  <c r="E1726" i="3"/>
  <c r="I1725" i="3"/>
  <c r="H1725" i="3" s="1"/>
  <c r="A1727" i="3"/>
  <c r="C1725" i="3"/>
  <c r="B1725" i="3" s="1"/>
  <c r="L1727" i="3" l="1"/>
  <c r="F1727" i="3"/>
  <c r="J1727" i="3"/>
  <c r="D1727" i="3"/>
  <c r="K1727" i="3"/>
  <c r="E1727" i="3"/>
  <c r="C1726" i="3"/>
  <c r="B1726" i="3" s="1"/>
  <c r="I1726" i="3"/>
  <c r="H1726" i="3" s="1"/>
  <c r="A1728" i="3"/>
  <c r="L1728" i="3" l="1"/>
  <c r="F1728" i="3"/>
  <c r="J1728" i="3"/>
  <c r="D1728" i="3"/>
  <c r="K1728" i="3"/>
  <c r="E1728" i="3"/>
  <c r="C1727" i="3"/>
  <c r="B1727" i="3" s="1"/>
  <c r="A1729" i="3"/>
  <c r="I1727" i="3"/>
  <c r="H1727" i="3" s="1"/>
  <c r="L1729" i="3" l="1"/>
  <c r="F1729" i="3"/>
  <c r="J1729" i="3"/>
  <c r="D1729" i="3"/>
  <c r="K1729" i="3"/>
  <c r="E1729" i="3"/>
  <c r="A1730" i="3"/>
  <c r="I1728" i="3"/>
  <c r="H1728" i="3" s="1"/>
  <c r="C1728" i="3"/>
  <c r="B1728" i="3" s="1"/>
  <c r="L1730" i="3" l="1"/>
  <c r="F1730" i="3"/>
  <c r="J1730" i="3"/>
  <c r="D1730" i="3"/>
  <c r="K1730" i="3"/>
  <c r="E1730" i="3"/>
  <c r="C1729" i="3"/>
  <c r="B1729" i="3" s="1"/>
  <c r="A1731" i="3"/>
  <c r="I1729" i="3"/>
  <c r="H1729" i="3" s="1"/>
  <c r="L1731" i="3" l="1"/>
  <c r="J1731" i="3"/>
  <c r="D1731" i="3"/>
  <c r="K1731" i="3"/>
  <c r="E1731" i="3"/>
  <c r="C1730" i="3"/>
  <c r="B1730" i="3" s="1"/>
  <c r="A1732" i="3"/>
  <c r="I1730" i="3"/>
  <c r="H1730" i="3" s="1"/>
  <c r="L1732" i="3" l="1"/>
  <c r="F1732" i="3"/>
  <c r="D1732" i="3"/>
  <c r="J1732" i="3"/>
  <c r="E1732" i="3"/>
  <c r="K1732" i="3"/>
  <c r="I1731" i="3"/>
  <c r="H1731" i="3" s="1"/>
  <c r="A1733" i="3"/>
  <c r="F1733" i="3" l="1"/>
  <c r="E1733" i="3"/>
  <c r="L1733" i="3"/>
  <c r="J1733" i="3"/>
  <c r="D1733" i="3"/>
  <c r="K1733" i="3"/>
  <c r="I1732" i="3"/>
  <c r="H1732" i="3" s="1"/>
  <c r="C1732" i="3"/>
  <c r="B1732" i="3" s="1"/>
  <c r="A1734" i="3"/>
  <c r="L1734" i="3" l="1"/>
  <c r="F1734" i="3"/>
  <c r="J1734" i="3"/>
  <c r="D1734" i="3"/>
  <c r="K1734" i="3"/>
  <c r="E1734" i="3"/>
  <c r="C1733" i="3"/>
  <c r="B1733" i="3" s="1"/>
  <c r="A1735" i="3"/>
  <c r="I1733" i="3"/>
  <c r="H1733" i="3" s="1"/>
  <c r="L1735" i="3" l="1"/>
  <c r="F1735" i="3"/>
  <c r="D1735" i="3"/>
  <c r="E1735" i="3"/>
  <c r="J1735" i="3"/>
  <c r="K1735" i="3"/>
  <c r="C1734" i="3"/>
  <c r="B1734" i="3" s="1"/>
  <c r="I1734" i="3"/>
  <c r="H1734" i="3" s="1"/>
  <c r="A1736" i="3"/>
  <c r="L1736" i="3" l="1"/>
  <c r="F1736" i="3"/>
  <c r="J1736" i="3"/>
  <c r="D1736" i="3"/>
  <c r="K1736" i="3"/>
  <c r="E1736" i="3"/>
  <c r="I1735" i="3"/>
  <c r="H1735" i="3" s="1"/>
  <c r="C1735" i="3"/>
  <c r="B1735" i="3" s="1"/>
  <c r="A1737" i="3"/>
  <c r="L1737" i="3" l="1"/>
  <c r="F1737" i="3"/>
  <c r="J1737" i="3"/>
  <c r="D1737" i="3"/>
  <c r="K1737" i="3"/>
  <c r="E1737" i="3"/>
  <c r="C1736" i="3"/>
  <c r="B1736" i="3" s="1"/>
  <c r="A1738" i="3"/>
  <c r="I1736" i="3"/>
  <c r="H1736" i="3" s="1"/>
  <c r="L1738" i="3" l="1"/>
  <c r="F1738" i="3"/>
  <c r="J1738" i="3"/>
  <c r="D1738" i="3"/>
  <c r="K1738" i="3"/>
  <c r="E1738" i="3"/>
  <c r="C1737" i="3"/>
  <c r="B1737" i="3" s="1"/>
  <c r="A1739" i="3"/>
  <c r="I1737" i="3"/>
  <c r="H1737" i="3" s="1"/>
  <c r="L1739" i="3" l="1"/>
  <c r="F1739" i="3"/>
  <c r="J1739" i="3"/>
  <c r="D1739" i="3"/>
  <c r="K1739" i="3"/>
  <c r="E1739" i="3"/>
  <c r="C1738" i="3"/>
  <c r="B1738" i="3" s="1"/>
  <c r="A1740" i="3"/>
  <c r="I1738" i="3"/>
  <c r="H1738" i="3" s="1"/>
  <c r="F1740" i="3" l="1"/>
  <c r="L1740" i="3"/>
  <c r="J1740" i="3"/>
  <c r="D1740" i="3"/>
  <c r="K1740" i="3"/>
  <c r="E1740" i="3"/>
  <c r="I1739" i="3"/>
  <c r="H1739" i="3" s="1"/>
  <c r="C1739" i="3"/>
  <c r="B1739" i="3" s="1"/>
  <c r="A1741" i="3"/>
  <c r="L1741" i="3" l="1"/>
  <c r="F1741" i="3"/>
  <c r="J1741" i="3"/>
  <c r="D1741" i="3"/>
  <c r="K1741" i="3"/>
  <c r="E1741" i="3"/>
  <c r="C1740" i="3"/>
  <c r="B1740" i="3" s="1"/>
  <c r="I1740" i="3"/>
  <c r="H1740" i="3" s="1"/>
  <c r="A1742" i="3"/>
  <c r="L1742" i="3" l="1"/>
  <c r="F1742" i="3"/>
  <c r="J1742" i="3"/>
  <c r="D1742" i="3"/>
  <c r="K1742" i="3"/>
  <c r="E1742" i="3"/>
  <c r="I1741" i="3"/>
  <c r="H1741" i="3" s="1"/>
  <c r="C1741" i="3"/>
  <c r="B1741" i="3" s="1"/>
  <c r="A1743" i="3"/>
  <c r="L1743" i="3" l="1"/>
  <c r="F1743" i="3"/>
  <c r="J1743" i="3"/>
  <c r="D1743" i="3"/>
  <c r="K1743" i="3"/>
  <c r="E1743" i="3"/>
  <c r="C1742" i="3"/>
  <c r="B1742" i="3" s="1"/>
  <c r="I1742" i="3"/>
  <c r="H1742" i="3" s="1"/>
  <c r="A1744" i="3"/>
  <c r="L1744" i="3" l="1"/>
  <c r="F1744" i="3"/>
  <c r="J1744" i="3"/>
  <c r="D1744" i="3"/>
  <c r="K1744" i="3"/>
  <c r="E1744" i="3"/>
  <c r="C1743" i="3"/>
  <c r="B1743" i="3" s="1"/>
  <c r="A1745" i="3"/>
  <c r="I1743" i="3"/>
  <c r="H1743" i="3" s="1"/>
  <c r="L1745" i="3" l="1"/>
  <c r="F1745" i="3"/>
  <c r="J1745" i="3"/>
  <c r="D1745" i="3"/>
  <c r="K1745" i="3"/>
  <c r="E1745" i="3"/>
  <c r="A1746" i="3"/>
  <c r="I1744" i="3"/>
  <c r="H1744" i="3" s="1"/>
  <c r="C1744" i="3"/>
  <c r="B1744" i="3" s="1"/>
  <c r="L1746" i="3" l="1"/>
  <c r="F1746" i="3"/>
  <c r="J1746" i="3"/>
  <c r="D1746" i="3"/>
  <c r="K1746" i="3"/>
  <c r="E1746" i="3"/>
  <c r="C1745" i="3"/>
  <c r="B1745" i="3" s="1"/>
  <c r="A1747" i="3"/>
  <c r="I1745" i="3"/>
  <c r="H1745" i="3" s="1"/>
  <c r="L1747" i="3" l="1"/>
  <c r="F1747" i="3"/>
  <c r="J1747" i="3"/>
  <c r="D1747" i="3"/>
  <c r="K1747" i="3"/>
  <c r="E1747" i="3"/>
  <c r="I1746" i="3"/>
  <c r="H1746" i="3" s="1"/>
  <c r="C1746" i="3"/>
  <c r="B1746" i="3" s="1"/>
  <c r="A1748" i="3"/>
  <c r="L1748" i="3" l="1"/>
  <c r="F1748" i="3"/>
  <c r="J1748" i="3"/>
  <c r="D1748" i="3"/>
  <c r="K1748" i="3"/>
  <c r="E1748" i="3"/>
  <c r="C1747" i="3"/>
  <c r="B1747" i="3" s="1"/>
  <c r="I1747" i="3"/>
  <c r="H1747" i="3" s="1"/>
  <c r="A1749" i="3"/>
  <c r="L1749" i="3" l="1"/>
  <c r="F1749" i="3"/>
  <c r="D1749" i="3"/>
  <c r="J1749" i="3"/>
  <c r="E1749" i="3"/>
  <c r="K1749" i="3"/>
  <c r="C1748" i="3"/>
  <c r="B1748" i="3" s="1"/>
  <c r="I1748" i="3"/>
  <c r="H1748" i="3" s="1"/>
  <c r="A1750" i="3"/>
  <c r="L1750" i="3" l="1"/>
  <c r="F1750" i="3"/>
  <c r="J1750" i="3"/>
  <c r="D1750" i="3"/>
  <c r="K1750" i="3"/>
  <c r="E1750" i="3"/>
  <c r="I1749" i="3"/>
  <c r="H1749" i="3" s="1"/>
  <c r="C1749" i="3"/>
  <c r="B1749" i="3" s="1"/>
  <c r="A1751" i="3"/>
  <c r="L1751" i="3" l="1"/>
  <c r="F1751" i="3"/>
  <c r="J1751" i="3"/>
  <c r="D1751" i="3"/>
  <c r="K1751" i="3"/>
  <c r="E1751" i="3"/>
  <c r="C1750" i="3"/>
  <c r="B1750" i="3" s="1"/>
  <c r="I1750" i="3"/>
  <c r="H1750" i="3" s="1"/>
  <c r="A1752" i="3"/>
  <c r="L1752" i="3" l="1"/>
  <c r="J1752" i="3"/>
  <c r="D1752" i="3"/>
  <c r="K1752" i="3"/>
  <c r="E1752" i="3"/>
  <c r="A1753" i="3"/>
  <c r="I1751" i="3"/>
  <c r="H1751" i="3" s="1"/>
  <c r="C1751" i="3"/>
  <c r="B1751" i="3" s="1"/>
  <c r="F1753" i="3" l="1"/>
  <c r="E1753" i="3"/>
  <c r="L1753" i="3"/>
  <c r="J1753" i="3"/>
  <c r="D1753" i="3"/>
  <c r="K1753" i="3"/>
  <c r="A1754" i="3"/>
  <c r="I1752" i="3"/>
  <c r="H1752" i="3" s="1"/>
  <c r="L1754" i="3" l="1"/>
  <c r="F1754" i="3"/>
  <c r="J1754" i="3"/>
  <c r="D1754" i="3"/>
  <c r="K1754" i="3"/>
  <c r="E1754" i="3"/>
  <c r="I1753" i="3"/>
  <c r="H1753" i="3" s="1"/>
  <c r="C1753" i="3"/>
  <c r="B1753" i="3" s="1"/>
  <c r="A1755" i="3"/>
  <c r="L1755" i="3" l="1"/>
  <c r="F1755" i="3"/>
  <c r="J1755" i="3"/>
  <c r="D1755" i="3"/>
  <c r="K1755" i="3"/>
  <c r="E1755" i="3"/>
  <c r="I1754" i="3"/>
  <c r="H1754" i="3" s="1"/>
  <c r="C1754" i="3"/>
  <c r="B1754" i="3" s="1"/>
  <c r="A1756" i="3"/>
  <c r="L1756" i="3" l="1"/>
  <c r="F1756" i="3"/>
  <c r="J1756" i="3"/>
  <c r="D1756" i="3"/>
  <c r="K1756" i="3"/>
  <c r="E1756" i="3"/>
  <c r="C1755" i="3"/>
  <c r="B1755" i="3" s="1"/>
  <c r="I1755" i="3"/>
  <c r="H1755" i="3" s="1"/>
  <c r="A1757" i="3"/>
  <c r="L1757" i="3" l="1"/>
  <c r="F1757" i="3"/>
  <c r="J1757" i="3"/>
  <c r="D1757" i="3"/>
  <c r="K1757" i="3"/>
  <c r="E1757" i="3"/>
  <c r="C1756" i="3"/>
  <c r="B1756" i="3" s="1"/>
  <c r="I1756" i="3"/>
  <c r="H1756" i="3" s="1"/>
  <c r="A1758" i="3"/>
  <c r="L1758" i="3" l="1"/>
  <c r="F1758" i="3"/>
  <c r="J1758" i="3"/>
  <c r="D1758" i="3"/>
  <c r="K1758" i="3"/>
  <c r="E1758" i="3"/>
  <c r="C1757" i="3"/>
  <c r="B1757" i="3" s="1"/>
  <c r="A1759" i="3"/>
  <c r="I1757" i="3"/>
  <c r="H1757" i="3" s="1"/>
  <c r="L1759" i="3" l="1"/>
  <c r="F1759" i="3"/>
  <c r="J1759" i="3"/>
  <c r="D1759" i="3"/>
  <c r="K1759" i="3"/>
  <c r="E1759" i="3"/>
  <c r="I1758" i="3"/>
  <c r="H1758" i="3" s="1"/>
  <c r="C1758" i="3"/>
  <c r="B1758" i="3" s="1"/>
  <c r="A1760" i="3"/>
  <c r="F1760" i="3" l="1"/>
  <c r="L1760" i="3"/>
  <c r="J1760" i="3"/>
  <c r="K1760" i="3"/>
  <c r="D1760" i="3"/>
  <c r="E1760" i="3"/>
  <c r="A1761" i="3"/>
  <c r="I1759" i="3"/>
  <c r="H1759" i="3" s="1"/>
  <c r="C1759" i="3"/>
  <c r="B1759" i="3" s="1"/>
  <c r="L1761" i="3" l="1"/>
  <c r="F1761" i="3"/>
  <c r="J1761" i="3"/>
  <c r="D1761" i="3"/>
  <c r="K1761" i="3"/>
  <c r="E1761" i="3"/>
  <c r="C1760" i="3"/>
  <c r="B1760" i="3" s="1"/>
  <c r="A1762" i="3"/>
  <c r="I1760" i="3"/>
  <c r="H1760" i="3" s="1"/>
  <c r="L1762" i="3" l="1"/>
  <c r="F1762" i="3"/>
  <c r="J1762" i="3"/>
  <c r="D1762" i="3"/>
  <c r="K1762" i="3"/>
  <c r="E1762" i="3"/>
  <c r="C1761" i="3"/>
  <c r="B1761" i="3" s="1"/>
  <c r="I1761" i="3"/>
  <c r="H1761" i="3" s="1"/>
  <c r="A1763" i="3"/>
  <c r="L1763" i="3" l="1"/>
  <c r="F1763" i="3"/>
  <c r="D1763" i="3"/>
  <c r="J1763" i="3"/>
  <c r="E1763" i="3"/>
  <c r="K1763" i="3"/>
  <c r="C1762" i="3"/>
  <c r="B1762" i="3" s="1"/>
  <c r="A1764" i="3"/>
  <c r="I1762" i="3"/>
  <c r="H1762" i="3" s="1"/>
  <c r="L1764" i="3" l="1"/>
  <c r="F1764" i="3"/>
  <c r="D1764" i="3"/>
  <c r="E1764" i="3"/>
  <c r="J1764" i="3"/>
  <c r="K1764" i="3"/>
  <c r="I1763" i="3"/>
  <c r="H1763" i="3" s="1"/>
  <c r="C1763" i="3"/>
  <c r="B1763" i="3" s="1"/>
  <c r="A1765" i="3"/>
  <c r="L1765" i="3" l="1"/>
  <c r="F1765" i="3"/>
  <c r="J1765" i="3"/>
  <c r="D1765" i="3"/>
  <c r="K1765" i="3"/>
  <c r="E1765" i="3"/>
  <c r="I1764" i="3"/>
  <c r="H1764" i="3" s="1"/>
  <c r="A1766" i="3"/>
  <c r="C1764" i="3"/>
  <c r="B1764" i="3" s="1"/>
  <c r="L1766" i="3" l="1"/>
  <c r="F1766" i="3"/>
  <c r="J1766" i="3"/>
  <c r="D1766" i="3"/>
  <c r="K1766" i="3"/>
  <c r="E1766" i="3"/>
  <c r="C1765" i="3"/>
  <c r="B1765" i="3" s="1"/>
  <c r="A1767" i="3"/>
  <c r="I1765" i="3"/>
  <c r="H1765" i="3" s="1"/>
  <c r="L1767" i="3" l="1"/>
  <c r="F1767" i="3"/>
  <c r="J1767" i="3"/>
  <c r="D1767" i="3"/>
  <c r="K1767" i="3"/>
  <c r="E1767" i="3"/>
  <c r="I1766" i="3"/>
  <c r="H1766" i="3" s="1"/>
  <c r="C1766" i="3"/>
  <c r="B1766" i="3" s="1"/>
  <c r="A1768" i="3"/>
  <c r="L1768" i="3" l="1"/>
  <c r="F1768" i="3"/>
  <c r="J1768" i="3"/>
  <c r="D1768" i="3"/>
  <c r="K1768" i="3"/>
  <c r="E1768" i="3"/>
  <c r="C1767" i="3"/>
  <c r="B1767" i="3" s="1"/>
  <c r="I1767" i="3"/>
  <c r="H1767" i="3" s="1"/>
  <c r="A1769" i="3"/>
  <c r="L1769" i="3" l="1"/>
  <c r="F1769" i="3"/>
  <c r="J1769" i="3"/>
  <c r="D1769" i="3"/>
  <c r="K1769" i="3"/>
  <c r="E1769" i="3"/>
  <c r="I1768" i="3"/>
  <c r="H1768" i="3" s="1"/>
  <c r="C1768" i="3"/>
  <c r="B1768" i="3" s="1"/>
  <c r="A1770" i="3"/>
  <c r="L1770" i="3" l="1"/>
  <c r="F1770" i="3"/>
  <c r="J1770" i="3"/>
  <c r="D1770" i="3"/>
  <c r="K1770" i="3"/>
  <c r="E1770" i="3"/>
  <c r="C1769" i="3"/>
  <c r="B1769" i="3" s="1"/>
  <c r="I1769" i="3"/>
  <c r="H1769" i="3" s="1"/>
  <c r="A1771" i="3"/>
  <c r="L1771" i="3" l="1"/>
  <c r="F1771" i="3"/>
  <c r="J1771" i="3"/>
  <c r="D1771" i="3"/>
  <c r="K1771" i="3"/>
  <c r="E1771" i="3"/>
  <c r="C1770" i="3"/>
  <c r="B1770" i="3" s="1"/>
  <c r="A1772" i="3"/>
  <c r="I1770" i="3"/>
  <c r="H1770" i="3" s="1"/>
  <c r="L1772" i="3" l="1"/>
  <c r="F1772" i="3"/>
  <c r="J1772" i="3"/>
  <c r="D1772" i="3"/>
  <c r="K1772" i="3"/>
  <c r="E1772" i="3"/>
  <c r="C1771" i="3"/>
  <c r="B1771" i="3" s="1"/>
  <c r="A1773" i="3"/>
  <c r="I1771" i="3"/>
  <c r="H1771" i="3" s="1"/>
  <c r="L1773" i="3" l="1"/>
  <c r="F1773" i="3"/>
  <c r="J1773" i="3"/>
  <c r="D1773" i="3"/>
  <c r="K1773" i="3"/>
  <c r="E1773" i="3"/>
  <c r="I1772" i="3"/>
  <c r="H1772" i="3" s="1"/>
  <c r="C1772" i="3"/>
  <c r="B1772" i="3" s="1"/>
  <c r="A1774" i="3"/>
  <c r="L1774" i="3" l="1"/>
  <c r="J1774" i="3"/>
  <c r="K1774" i="3"/>
  <c r="D1774" i="3"/>
  <c r="E1774" i="3"/>
  <c r="I1773" i="3"/>
  <c r="H1773" i="3" s="1"/>
  <c r="C1773" i="3"/>
  <c r="B1773" i="3" s="1"/>
  <c r="A1775" i="3"/>
  <c r="F1775" i="3" l="1"/>
  <c r="E1775" i="3"/>
  <c r="L1775" i="3"/>
  <c r="J1775" i="3"/>
  <c r="D1775" i="3"/>
  <c r="K1775" i="3"/>
  <c r="I1774" i="3"/>
  <c r="H1774" i="3" s="1"/>
  <c r="A1776" i="3"/>
  <c r="L1776" i="3" l="1"/>
  <c r="F1776" i="3"/>
  <c r="J1776" i="3"/>
  <c r="D1776" i="3"/>
  <c r="K1776" i="3"/>
  <c r="E1776" i="3"/>
  <c r="A1777" i="3"/>
  <c r="I1775" i="3"/>
  <c r="H1775" i="3" s="1"/>
  <c r="C1775" i="3"/>
  <c r="B1775" i="3" s="1"/>
  <c r="L1777" i="3" l="1"/>
  <c r="F1777" i="3"/>
  <c r="J1777" i="3"/>
  <c r="D1777" i="3"/>
  <c r="K1777" i="3"/>
  <c r="E1777" i="3"/>
  <c r="C1776" i="3"/>
  <c r="B1776" i="3" s="1"/>
  <c r="A1778" i="3"/>
  <c r="I1776" i="3"/>
  <c r="H1776" i="3" s="1"/>
  <c r="L1778" i="3" l="1"/>
  <c r="F1778" i="3"/>
  <c r="J1778" i="3"/>
  <c r="D1778" i="3"/>
  <c r="K1778" i="3"/>
  <c r="E1778" i="3"/>
  <c r="I1777" i="3"/>
  <c r="H1777" i="3" s="1"/>
  <c r="A1779" i="3"/>
  <c r="C1777" i="3"/>
  <c r="B1777" i="3" s="1"/>
  <c r="L1779" i="3" l="1"/>
  <c r="F1779" i="3"/>
  <c r="J1779" i="3"/>
  <c r="D1779" i="3"/>
  <c r="K1779" i="3"/>
  <c r="E1779" i="3"/>
  <c r="C1778" i="3"/>
  <c r="B1778" i="3" s="1"/>
  <c r="A1780" i="3"/>
  <c r="I1778" i="3"/>
  <c r="H1778" i="3" s="1"/>
  <c r="L1780" i="3" l="1"/>
  <c r="F1780" i="3"/>
  <c r="D1780" i="3"/>
  <c r="E1780" i="3"/>
  <c r="J1780" i="3"/>
  <c r="K1780" i="3"/>
  <c r="I1779" i="3"/>
  <c r="H1779" i="3" s="1"/>
  <c r="A1781" i="3"/>
  <c r="C1779" i="3"/>
  <c r="B1779" i="3" s="1"/>
  <c r="L1781" i="3" l="1"/>
  <c r="F1781" i="3"/>
  <c r="J1781" i="3"/>
  <c r="D1781" i="3"/>
  <c r="K1781" i="3"/>
  <c r="E1781" i="3"/>
  <c r="C1780" i="3"/>
  <c r="B1780" i="3" s="1"/>
  <c r="I1780" i="3"/>
  <c r="H1780" i="3" s="1"/>
  <c r="A1782" i="3"/>
  <c r="F1782" i="3" l="1"/>
  <c r="L1782" i="3"/>
  <c r="J1782" i="3"/>
  <c r="D1782" i="3"/>
  <c r="K1782" i="3"/>
  <c r="E1782" i="3"/>
  <c r="C1781" i="3"/>
  <c r="B1781" i="3" s="1"/>
  <c r="A1783" i="3"/>
  <c r="I1781" i="3"/>
  <c r="H1781" i="3" s="1"/>
  <c r="L1783" i="3" l="1"/>
  <c r="F1783" i="3"/>
  <c r="J1783" i="3"/>
  <c r="D1783" i="3"/>
  <c r="K1783" i="3"/>
  <c r="E1783" i="3"/>
  <c r="C1782" i="3"/>
  <c r="B1782" i="3" s="1"/>
  <c r="I1782" i="3"/>
  <c r="H1782" i="3" s="1"/>
  <c r="A1784" i="3"/>
  <c r="L1784" i="3" l="1"/>
  <c r="F1784" i="3"/>
  <c r="J1784" i="3"/>
  <c r="D1784" i="3"/>
  <c r="K1784" i="3"/>
  <c r="E1784" i="3"/>
  <c r="C1783" i="3"/>
  <c r="B1783" i="3" s="1"/>
  <c r="I1783" i="3"/>
  <c r="H1783" i="3" s="1"/>
  <c r="A1785" i="3"/>
  <c r="L1785" i="3" l="1"/>
  <c r="F1785" i="3"/>
  <c r="J1785" i="3"/>
  <c r="D1785" i="3"/>
  <c r="K1785" i="3"/>
  <c r="E1785" i="3"/>
  <c r="C1784" i="3"/>
  <c r="B1784" i="3" s="1"/>
  <c r="A1786" i="3"/>
  <c r="I1784" i="3"/>
  <c r="H1784" i="3" s="1"/>
  <c r="L1786" i="3" l="1"/>
  <c r="F1786" i="3"/>
  <c r="J1786" i="3"/>
  <c r="D1786" i="3"/>
  <c r="K1786" i="3"/>
  <c r="E1786" i="3"/>
  <c r="I1785" i="3"/>
  <c r="H1785" i="3" s="1"/>
  <c r="C1785" i="3"/>
  <c r="B1785" i="3" s="1"/>
  <c r="A1787" i="3"/>
  <c r="L1787" i="3" l="1"/>
  <c r="F1787" i="3"/>
  <c r="J1787" i="3"/>
  <c r="D1787" i="3"/>
  <c r="K1787" i="3"/>
  <c r="E1787" i="3"/>
  <c r="C1786" i="3"/>
  <c r="B1786" i="3" s="1"/>
  <c r="I1786" i="3"/>
  <c r="H1786" i="3" s="1"/>
  <c r="A1788" i="3"/>
  <c r="L1788" i="3" l="1"/>
  <c r="F1788" i="3"/>
  <c r="J1788" i="3"/>
  <c r="D1788" i="3"/>
  <c r="K1788" i="3"/>
  <c r="E1788" i="3"/>
  <c r="A1789" i="3"/>
  <c r="C1787" i="3"/>
  <c r="B1787" i="3" s="1"/>
  <c r="I1787" i="3"/>
  <c r="H1787" i="3" s="1"/>
  <c r="L1789" i="3" l="1"/>
  <c r="F1789" i="3"/>
  <c r="J1789" i="3"/>
  <c r="D1789" i="3"/>
  <c r="K1789" i="3"/>
  <c r="E1789" i="3"/>
  <c r="C1788" i="3"/>
  <c r="B1788" i="3" s="1"/>
  <c r="I1788" i="3"/>
  <c r="H1788" i="3" s="1"/>
  <c r="A1790" i="3"/>
  <c r="L1790" i="3" l="1"/>
  <c r="F1790" i="3"/>
  <c r="J1790" i="3"/>
  <c r="D1790" i="3"/>
  <c r="K1790" i="3"/>
  <c r="E1790" i="3"/>
  <c r="C1789" i="3"/>
  <c r="B1789" i="3" s="1"/>
  <c r="A1791" i="3"/>
  <c r="I1789" i="3"/>
  <c r="H1789" i="3" s="1"/>
  <c r="L1791" i="3" l="1"/>
  <c r="F1791" i="3"/>
  <c r="J1791" i="3"/>
  <c r="D1791" i="3"/>
  <c r="K1791" i="3"/>
  <c r="E1791" i="3"/>
  <c r="I1790" i="3"/>
  <c r="H1790" i="3" s="1"/>
  <c r="A1792" i="3"/>
  <c r="C1790" i="3"/>
  <c r="B1790" i="3" s="1"/>
  <c r="L1792" i="3" l="1"/>
  <c r="F1792" i="3"/>
  <c r="J1792" i="3"/>
  <c r="D1792" i="3"/>
  <c r="K1792" i="3"/>
  <c r="E1792" i="3"/>
  <c r="C1791" i="3"/>
  <c r="B1791" i="3" s="1"/>
  <c r="A1793" i="3"/>
  <c r="I1791" i="3"/>
  <c r="H1791" i="3" s="1"/>
  <c r="L1793" i="3" l="1"/>
  <c r="F1793" i="3"/>
  <c r="D1793" i="3"/>
  <c r="E1793" i="3"/>
  <c r="J1793" i="3"/>
  <c r="K1793" i="3"/>
  <c r="C1792" i="3"/>
  <c r="B1792" i="3" s="1"/>
  <c r="I1792" i="3"/>
  <c r="H1792" i="3" s="1"/>
  <c r="A1794" i="3"/>
  <c r="L1794" i="3" l="1"/>
  <c r="F1794" i="3"/>
  <c r="J1794" i="3"/>
  <c r="D1794" i="3"/>
  <c r="K1794" i="3"/>
  <c r="E1794" i="3"/>
  <c r="C1793" i="3"/>
  <c r="B1793" i="3" s="1"/>
  <c r="I1793" i="3"/>
  <c r="H1793" i="3" s="1"/>
  <c r="A1795" i="3"/>
  <c r="L1795" i="3" l="1"/>
  <c r="F1795" i="3"/>
  <c r="J1795" i="3"/>
  <c r="D1795" i="3"/>
  <c r="K1795" i="3"/>
  <c r="E1795" i="3"/>
  <c r="I1794" i="3"/>
  <c r="H1794" i="3" s="1"/>
  <c r="C1794" i="3"/>
  <c r="B1794" i="3" s="1"/>
  <c r="A1796" i="3"/>
  <c r="L1796" i="3" l="1"/>
  <c r="F1796" i="3"/>
  <c r="J1796" i="3"/>
  <c r="D1796" i="3"/>
  <c r="K1796" i="3"/>
  <c r="E1796" i="3"/>
  <c r="I1795" i="3"/>
  <c r="H1795" i="3" s="1"/>
  <c r="C1795" i="3"/>
  <c r="B1795" i="3" s="1"/>
  <c r="A1797" i="3"/>
  <c r="F1797" i="3" l="1"/>
  <c r="E1797" i="3"/>
  <c r="L1797" i="3"/>
  <c r="D1797" i="3"/>
  <c r="J1797" i="3"/>
  <c r="K1797" i="3"/>
  <c r="C1796" i="3"/>
  <c r="B1796" i="3" s="1"/>
  <c r="I1796" i="3"/>
  <c r="H1796" i="3" s="1"/>
  <c r="A1798" i="3"/>
  <c r="L1798" i="3" l="1"/>
  <c r="F1798" i="3"/>
  <c r="J1798" i="3"/>
  <c r="D1798" i="3"/>
  <c r="K1798" i="3"/>
  <c r="E1798" i="3"/>
  <c r="A1799" i="3"/>
  <c r="I1797" i="3"/>
  <c r="H1797" i="3" s="1"/>
  <c r="L1799" i="3" l="1"/>
  <c r="F1799" i="3"/>
  <c r="J1799" i="3"/>
  <c r="D1799" i="3"/>
  <c r="K1799" i="3"/>
  <c r="E1799" i="3"/>
  <c r="I1798" i="3"/>
  <c r="H1798" i="3" s="1"/>
  <c r="C1798" i="3"/>
  <c r="B1798" i="3" s="1"/>
  <c r="A1800" i="3"/>
  <c r="L1800" i="3" l="1"/>
  <c r="F1800" i="3"/>
  <c r="J1800" i="3"/>
  <c r="D1800" i="3"/>
  <c r="K1800" i="3"/>
  <c r="E1800" i="3"/>
  <c r="C1799" i="3"/>
  <c r="B1799" i="3" s="1"/>
  <c r="A1801" i="3"/>
  <c r="I1799" i="3"/>
  <c r="H1799" i="3" s="1"/>
  <c r="L1801" i="3" l="1"/>
  <c r="F1801" i="3"/>
  <c r="J1801" i="3"/>
  <c r="D1801" i="3"/>
  <c r="K1801" i="3"/>
  <c r="E1801" i="3"/>
  <c r="C1800" i="3"/>
  <c r="B1800" i="3" s="1"/>
  <c r="I1800" i="3"/>
  <c r="H1800" i="3" s="1"/>
  <c r="A1802" i="3"/>
  <c r="L1802" i="3" l="1"/>
  <c r="F1802" i="3"/>
  <c r="J1802" i="3"/>
  <c r="D1802" i="3"/>
  <c r="K1802" i="3"/>
  <c r="E1802" i="3"/>
  <c r="C1801" i="3"/>
  <c r="B1801" i="3" s="1"/>
  <c r="A1803" i="3"/>
  <c r="I1801" i="3"/>
  <c r="H1801" i="3" s="1"/>
  <c r="L1803" i="3" l="1"/>
  <c r="F1803" i="3"/>
  <c r="J1803" i="3"/>
  <c r="D1803" i="3"/>
  <c r="K1803" i="3"/>
  <c r="E1803" i="3"/>
  <c r="A1804" i="3"/>
  <c r="I1802" i="3"/>
  <c r="H1802" i="3" s="1"/>
  <c r="C1802" i="3"/>
  <c r="B1802" i="3" s="1"/>
  <c r="F1804" i="3" l="1"/>
  <c r="L1804" i="3"/>
  <c r="J1804" i="3"/>
  <c r="D1804" i="3"/>
  <c r="K1804" i="3"/>
  <c r="E1804" i="3"/>
  <c r="C1803" i="3"/>
  <c r="B1803" i="3" s="1"/>
  <c r="I1803" i="3"/>
  <c r="H1803" i="3" s="1"/>
  <c r="A1805" i="3"/>
  <c r="L1805" i="3" l="1"/>
  <c r="F1805" i="3"/>
  <c r="J1805" i="3"/>
  <c r="K1805" i="3"/>
  <c r="D1805" i="3"/>
  <c r="E1805" i="3"/>
  <c r="I1804" i="3"/>
  <c r="H1804" i="3" s="1"/>
  <c r="C1804" i="3"/>
  <c r="B1804" i="3" s="1"/>
  <c r="A1806" i="3"/>
  <c r="L1806" i="3" l="1"/>
  <c r="F1806" i="3"/>
  <c r="J1806" i="3"/>
  <c r="D1806" i="3"/>
  <c r="K1806" i="3"/>
  <c r="E1806" i="3"/>
  <c r="I1805" i="3"/>
  <c r="H1805" i="3" s="1"/>
  <c r="C1805" i="3"/>
  <c r="B1805" i="3" s="1"/>
  <c r="A1807" i="3"/>
  <c r="L1807" i="3" l="1"/>
  <c r="F1807" i="3"/>
  <c r="J1807" i="3"/>
  <c r="D1807" i="3"/>
  <c r="K1807" i="3"/>
  <c r="E1807" i="3"/>
  <c r="C1806" i="3"/>
  <c r="B1806" i="3" s="1"/>
  <c r="I1806" i="3"/>
  <c r="H1806" i="3" s="1"/>
  <c r="A1808" i="3"/>
  <c r="L1808" i="3" l="1"/>
  <c r="F1808" i="3"/>
  <c r="J1808" i="3"/>
  <c r="D1808" i="3"/>
  <c r="K1808" i="3"/>
  <c r="E1808" i="3"/>
  <c r="I1807" i="3"/>
  <c r="H1807" i="3" s="1"/>
  <c r="A1809" i="3"/>
  <c r="C1807" i="3"/>
  <c r="B1807" i="3" s="1"/>
  <c r="L1809" i="3" l="1"/>
  <c r="F1809" i="3"/>
  <c r="J1809" i="3"/>
  <c r="D1809" i="3"/>
  <c r="K1809" i="3"/>
  <c r="E1809" i="3"/>
  <c r="C1808" i="3"/>
  <c r="B1808" i="3" s="1"/>
  <c r="A1810" i="3"/>
  <c r="I1808" i="3"/>
  <c r="H1808" i="3" s="1"/>
  <c r="L1810" i="3" l="1"/>
  <c r="F1810" i="3"/>
  <c r="J1810" i="3"/>
  <c r="D1810" i="3"/>
  <c r="K1810" i="3"/>
  <c r="E1810" i="3"/>
  <c r="C1809" i="3"/>
  <c r="B1809" i="3" s="1"/>
  <c r="A1811" i="3"/>
  <c r="I1809" i="3"/>
  <c r="H1809" i="3" s="1"/>
  <c r="L1811" i="3" l="1"/>
  <c r="F1811" i="3"/>
  <c r="D1811" i="3"/>
  <c r="J1811" i="3"/>
  <c r="E1811" i="3"/>
  <c r="K1811" i="3"/>
  <c r="I1810" i="3"/>
  <c r="H1810" i="3" s="1"/>
  <c r="A1812" i="3"/>
  <c r="C1810" i="3"/>
  <c r="B1810" i="3" s="1"/>
  <c r="L1812" i="3" l="1"/>
  <c r="F1812" i="3"/>
  <c r="J1812" i="3"/>
  <c r="D1812" i="3"/>
  <c r="K1812" i="3"/>
  <c r="E1812" i="3"/>
  <c r="C1811" i="3"/>
  <c r="B1811" i="3" s="1"/>
  <c r="I1811" i="3"/>
  <c r="H1811" i="3" s="1"/>
  <c r="A1813" i="3"/>
  <c r="L1813" i="3" l="1"/>
  <c r="F1813" i="3"/>
  <c r="J1813" i="3"/>
  <c r="D1813" i="3"/>
  <c r="K1813" i="3"/>
  <c r="E1813" i="3"/>
  <c r="I1812" i="3"/>
  <c r="H1812" i="3" s="1"/>
  <c r="C1812" i="3"/>
  <c r="B1812" i="3" s="1"/>
  <c r="A1814" i="3"/>
  <c r="L1814" i="3" l="1"/>
  <c r="F1814" i="3"/>
  <c r="J1814" i="3"/>
  <c r="D1814" i="3"/>
  <c r="K1814" i="3"/>
  <c r="E1814" i="3"/>
  <c r="C1813" i="3"/>
  <c r="B1813" i="3" s="1"/>
  <c r="A1815" i="3"/>
  <c r="I1813" i="3"/>
  <c r="H1813" i="3" s="1"/>
  <c r="F1815" i="3" l="1"/>
  <c r="E1815" i="3"/>
  <c r="L1815" i="3"/>
  <c r="J1815" i="3"/>
  <c r="D1815" i="3"/>
  <c r="K1815" i="3"/>
  <c r="I1814" i="3"/>
  <c r="H1814" i="3" s="1"/>
  <c r="C1814" i="3"/>
  <c r="B1814" i="3" s="1"/>
  <c r="A1816" i="3"/>
  <c r="L1816" i="3" l="1"/>
  <c r="F1816" i="3"/>
  <c r="J1816" i="3"/>
  <c r="D1816" i="3"/>
  <c r="K1816" i="3"/>
  <c r="E1816" i="3"/>
  <c r="C1815" i="3"/>
  <c r="B1815" i="3" s="1"/>
  <c r="I1815" i="3"/>
  <c r="H1815" i="3" s="1"/>
  <c r="A1817" i="3"/>
  <c r="L1817" i="3" l="1"/>
  <c r="J1817" i="3"/>
  <c r="D1817" i="3"/>
  <c r="K1817" i="3"/>
  <c r="E1817" i="3"/>
  <c r="C1816" i="3"/>
  <c r="B1816" i="3" s="1"/>
  <c r="A1818" i="3"/>
  <c r="I1816" i="3"/>
  <c r="H1816" i="3" s="1"/>
  <c r="L1818" i="3" l="1"/>
  <c r="F1818" i="3"/>
  <c r="J1818" i="3"/>
  <c r="D1818" i="3"/>
  <c r="K1818" i="3"/>
  <c r="E1818" i="3"/>
  <c r="A1819" i="3"/>
  <c r="I1817" i="3"/>
  <c r="H1817" i="3" s="1"/>
  <c r="L1819" i="3" l="1"/>
  <c r="F1819" i="3"/>
  <c r="J1819" i="3"/>
  <c r="D1819" i="3"/>
  <c r="K1819" i="3"/>
  <c r="E1819" i="3"/>
  <c r="I1818" i="3"/>
  <c r="H1818" i="3" s="1"/>
  <c r="C1818" i="3"/>
  <c r="B1818" i="3" s="1"/>
  <c r="A1820" i="3"/>
  <c r="L1820" i="3" l="1"/>
  <c r="F1820" i="3"/>
  <c r="J1820" i="3"/>
  <c r="D1820" i="3"/>
  <c r="K1820" i="3"/>
  <c r="E1820" i="3"/>
  <c r="C1819" i="3"/>
  <c r="B1819" i="3" s="1"/>
  <c r="I1819" i="3"/>
  <c r="H1819" i="3" s="1"/>
  <c r="A1821" i="3"/>
  <c r="L1821" i="3" l="1"/>
  <c r="F1821" i="3"/>
  <c r="J1821" i="3"/>
  <c r="D1821" i="3"/>
  <c r="K1821" i="3"/>
  <c r="E1821" i="3"/>
  <c r="C1820" i="3"/>
  <c r="B1820" i="3" s="1"/>
  <c r="A1822" i="3"/>
  <c r="I1820" i="3"/>
  <c r="H1820" i="3" s="1"/>
  <c r="F1822" i="3" l="1"/>
  <c r="L1822" i="3"/>
  <c r="D1822" i="3"/>
  <c r="J1822" i="3"/>
  <c r="E1822" i="3"/>
  <c r="K1822" i="3"/>
  <c r="A1823" i="3"/>
  <c r="C1821" i="3"/>
  <c r="B1821" i="3" s="1"/>
  <c r="I1821" i="3"/>
  <c r="H1821" i="3" s="1"/>
  <c r="L1823" i="3" l="1"/>
  <c r="F1823" i="3"/>
  <c r="J1823" i="3"/>
  <c r="D1823" i="3"/>
  <c r="K1823" i="3"/>
  <c r="E1823" i="3"/>
  <c r="I1822" i="3"/>
  <c r="H1822" i="3" s="1"/>
  <c r="C1822" i="3"/>
  <c r="B1822" i="3" s="1"/>
  <c r="A1824" i="3"/>
  <c r="L1824" i="3" l="1"/>
  <c r="F1824" i="3"/>
  <c r="J1824" i="3"/>
  <c r="D1824" i="3"/>
  <c r="K1824" i="3"/>
  <c r="E1824" i="3"/>
  <c r="I1823" i="3"/>
  <c r="H1823" i="3" s="1"/>
  <c r="C1823" i="3"/>
  <c r="B1823" i="3" s="1"/>
  <c r="A1825" i="3"/>
  <c r="L1825" i="3" l="1"/>
  <c r="F1825" i="3"/>
  <c r="D1825" i="3"/>
  <c r="J1825" i="3"/>
  <c r="E1825" i="3"/>
  <c r="K1825" i="3"/>
  <c r="C1824" i="3"/>
  <c r="B1824" i="3" s="1"/>
  <c r="A1826" i="3"/>
  <c r="I1824" i="3"/>
  <c r="H1824" i="3" s="1"/>
  <c r="L1826" i="3" l="1"/>
  <c r="F1826" i="3"/>
  <c r="J1826" i="3"/>
  <c r="D1826" i="3"/>
  <c r="K1826" i="3"/>
  <c r="E1826" i="3"/>
  <c r="C1825" i="3"/>
  <c r="B1825" i="3" s="1"/>
  <c r="A1827" i="3"/>
  <c r="I1825" i="3"/>
  <c r="H1825" i="3" s="1"/>
  <c r="L1827" i="3" l="1"/>
  <c r="F1827" i="3"/>
  <c r="J1827" i="3"/>
  <c r="D1827" i="3"/>
  <c r="K1827" i="3"/>
  <c r="E1827" i="3"/>
  <c r="I1826" i="3"/>
  <c r="H1826" i="3" s="1"/>
  <c r="C1826" i="3"/>
  <c r="B1826" i="3" s="1"/>
  <c r="A1828" i="3"/>
  <c r="L1828" i="3" l="1"/>
  <c r="F1828" i="3"/>
  <c r="J1828" i="3"/>
  <c r="D1828" i="3"/>
  <c r="K1828" i="3"/>
  <c r="E1828" i="3"/>
  <c r="I1827" i="3"/>
  <c r="H1827" i="3" s="1"/>
  <c r="C1827" i="3"/>
  <c r="B1827" i="3" s="1"/>
  <c r="A1829" i="3"/>
  <c r="L1829" i="3" l="1"/>
  <c r="F1829" i="3"/>
  <c r="J1829" i="3"/>
  <c r="D1829" i="3"/>
  <c r="K1829" i="3"/>
  <c r="E1829" i="3"/>
  <c r="I1828" i="3"/>
  <c r="H1828" i="3" s="1"/>
  <c r="A1830" i="3"/>
  <c r="C1828" i="3"/>
  <c r="B1828" i="3" s="1"/>
  <c r="L1830" i="3" l="1"/>
  <c r="F1830" i="3"/>
  <c r="J1830" i="3"/>
  <c r="D1830" i="3"/>
  <c r="K1830" i="3"/>
  <c r="E1830" i="3"/>
  <c r="C1829" i="3"/>
  <c r="B1829" i="3" s="1"/>
  <c r="A1831" i="3"/>
  <c r="I1829" i="3"/>
  <c r="H1829" i="3" s="1"/>
  <c r="L1831" i="3" l="1"/>
  <c r="F1831" i="3"/>
  <c r="J1831" i="3"/>
  <c r="D1831" i="3"/>
  <c r="K1831" i="3"/>
  <c r="E1831" i="3"/>
  <c r="I1830" i="3"/>
  <c r="H1830" i="3" s="1"/>
  <c r="C1830" i="3"/>
  <c r="B1830" i="3" s="1"/>
  <c r="A1832" i="3"/>
  <c r="L1832" i="3" l="1"/>
  <c r="F1832" i="3"/>
  <c r="J1832" i="3"/>
  <c r="D1832" i="3"/>
  <c r="K1832" i="3"/>
  <c r="E1832" i="3"/>
  <c r="C1831" i="3"/>
  <c r="B1831" i="3" s="1"/>
  <c r="I1831" i="3"/>
  <c r="H1831" i="3" s="1"/>
  <c r="A1833" i="3"/>
  <c r="L1833" i="3" l="1"/>
  <c r="F1833" i="3"/>
  <c r="J1833" i="3"/>
  <c r="D1833" i="3"/>
  <c r="K1833" i="3"/>
  <c r="E1833" i="3"/>
  <c r="C1832" i="3"/>
  <c r="B1832" i="3" s="1"/>
  <c r="A1834" i="3"/>
  <c r="I1832" i="3"/>
  <c r="H1832" i="3" s="1"/>
  <c r="L1834" i="3" l="1"/>
  <c r="F1834" i="3"/>
  <c r="J1834" i="3"/>
  <c r="D1834" i="3"/>
  <c r="K1834" i="3"/>
  <c r="E1834" i="3"/>
  <c r="A1835" i="3"/>
  <c r="I1833" i="3"/>
  <c r="H1833" i="3" s="1"/>
  <c r="C1833" i="3"/>
  <c r="B1833" i="3" s="1"/>
  <c r="L1835" i="3" l="1"/>
  <c r="F1835" i="3"/>
  <c r="J1835" i="3"/>
  <c r="D1835" i="3"/>
  <c r="K1835" i="3"/>
  <c r="E1835" i="3"/>
  <c r="I1834" i="3"/>
  <c r="H1834" i="3" s="1"/>
  <c r="C1834" i="3"/>
  <c r="B1834" i="3" s="1"/>
  <c r="A1836" i="3"/>
  <c r="L1836" i="3" l="1"/>
  <c r="F1836" i="3"/>
  <c r="J1836" i="3"/>
  <c r="D1836" i="3"/>
  <c r="K1836" i="3"/>
  <c r="E1836" i="3"/>
  <c r="I1835" i="3"/>
  <c r="H1835" i="3" s="1"/>
  <c r="C1835" i="3"/>
  <c r="B1835" i="3" s="1"/>
  <c r="A1837" i="3"/>
  <c r="L1837" i="3" l="1"/>
  <c r="F1837" i="3"/>
  <c r="J1837" i="3"/>
  <c r="D1837" i="3"/>
  <c r="K1837" i="3"/>
  <c r="E1837" i="3"/>
  <c r="I1836" i="3"/>
  <c r="H1836" i="3" s="1"/>
  <c r="C1836" i="3"/>
  <c r="B1836" i="3" s="1"/>
  <c r="A1838" i="3"/>
  <c r="F1838" i="3" l="1"/>
  <c r="E1838" i="3"/>
  <c r="L1838" i="3"/>
  <c r="J1838" i="3"/>
  <c r="D1838" i="3"/>
  <c r="K1838" i="3"/>
  <c r="C1837" i="3"/>
  <c r="B1837" i="3" s="1"/>
  <c r="A1839" i="3"/>
  <c r="I1837" i="3"/>
  <c r="H1837" i="3" s="1"/>
  <c r="L1839" i="3" l="1"/>
  <c r="J1839" i="3"/>
  <c r="D1839" i="3"/>
  <c r="K1839" i="3"/>
  <c r="E1839" i="3"/>
  <c r="I1838" i="3"/>
  <c r="H1838" i="3" s="1"/>
  <c r="A1840" i="3"/>
  <c r="C1838" i="3"/>
  <c r="B1838" i="3" s="1"/>
  <c r="L1840" i="3" l="1"/>
  <c r="F1840" i="3"/>
  <c r="D1840" i="3"/>
  <c r="J1840" i="3"/>
  <c r="E1840" i="3"/>
  <c r="K1840" i="3"/>
  <c r="I1839" i="3"/>
  <c r="H1839" i="3" s="1"/>
  <c r="A1841" i="3"/>
  <c r="L1841" i="3" l="1"/>
  <c r="F1841" i="3"/>
  <c r="J1841" i="3"/>
  <c r="D1841" i="3"/>
  <c r="K1841" i="3"/>
  <c r="E1841" i="3"/>
  <c r="C1840" i="3"/>
  <c r="B1840" i="3" s="1"/>
  <c r="I1840" i="3"/>
  <c r="H1840" i="3" s="1"/>
  <c r="A1842" i="3"/>
  <c r="L1842" i="3" l="1"/>
  <c r="F1842" i="3"/>
  <c r="J1842" i="3"/>
  <c r="D1842" i="3"/>
  <c r="K1842" i="3"/>
  <c r="E1842" i="3"/>
  <c r="C1841" i="3"/>
  <c r="B1841" i="3" s="1"/>
  <c r="A1843" i="3"/>
  <c r="I1841" i="3"/>
  <c r="H1841" i="3" s="1"/>
  <c r="L1843" i="3" l="1"/>
  <c r="F1843" i="3"/>
  <c r="J1843" i="3"/>
  <c r="D1843" i="3"/>
  <c r="K1843" i="3"/>
  <c r="E1843" i="3"/>
  <c r="I1842" i="3"/>
  <c r="H1842" i="3" s="1"/>
  <c r="C1842" i="3"/>
  <c r="B1842" i="3" s="1"/>
  <c r="A1844" i="3"/>
  <c r="L1844" i="3" l="1"/>
  <c r="F1844" i="3"/>
  <c r="J1844" i="3"/>
  <c r="D1844" i="3"/>
  <c r="K1844" i="3"/>
  <c r="E1844" i="3"/>
  <c r="I1843" i="3"/>
  <c r="H1843" i="3" s="1"/>
  <c r="A1845" i="3"/>
  <c r="C1843" i="3"/>
  <c r="B1843" i="3" s="1"/>
  <c r="F1845" i="3" l="1"/>
  <c r="L1845" i="3"/>
  <c r="J1845" i="3"/>
  <c r="D1845" i="3"/>
  <c r="K1845" i="3"/>
  <c r="E1845" i="3"/>
  <c r="A1846" i="3"/>
  <c r="I1844" i="3"/>
  <c r="H1844" i="3" s="1"/>
  <c r="C1844" i="3"/>
  <c r="B1844" i="3" s="1"/>
  <c r="L1846" i="3" l="1"/>
  <c r="F1846" i="3"/>
  <c r="J1846" i="3"/>
  <c r="D1846" i="3"/>
  <c r="K1846" i="3"/>
  <c r="E1846" i="3"/>
  <c r="C1845" i="3"/>
  <c r="B1845" i="3" s="1"/>
  <c r="A1847" i="3"/>
  <c r="I1845" i="3"/>
  <c r="H1845" i="3" s="1"/>
  <c r="L1847" i="3" l="1"/>
  <c r="F1847" i="3"/>
  <c r="J1847" i="3"/>
  <c r="D1847" i="3"/>
  <c r="K1847" i="3"/>
  <c r="E1847" i="3"/>
  <c r="I1846" i="3"/>
  <c r="H1846" i="3" s="1"/>
  <c r="C1846" i="3"/>
  <c r="B1846" i="3" s="1"/>
  <c r="A1848" i="3"/>
  <c r="L1848" i="3" l="1"/>
  <c r="F1848" i="3"/>
  <c r="J1848" i="3"/>
  <c r="D1848" i="3"/>
  <c r="K1848" i="3"/>
  <c r="E1848" i="3"/>
  <c r="C1847" i="3"/>
  <c r="B1847" i="3" s="1"/>
  <c r="I1847" i="3"/>
  <c r="H1847" i="3" s="1"/>
  <c r="A1849" i="3"/>
  <c r="L1849" i="3" l="1"/>
  <c r="F1849" i="3"/>
  <c r="J1849" i="3"/>
  <c r="D1849" i="3"/>
  <c r="K1849" i="3"/>
  <c r="E1849" i="3"/>
  <c r="C1848" i="3"/>
  <c r="B1848" i="3" s="1"/>
  <c r="I1848" i="3"/>
  <c r="H1848" i="3" s="1"/>
  <c r="A1850" i="3"/>
  <c r="L1850" i="3" l="1"/>
  <c r="F1850" i="3"/>
  <c r="J1850" i="3"/>
  <c r="D1850" i="3"/>
  <c r="K1850" i="3"/>
  <c r="E1850" i="3"/>
  <c r="C1849" i="3"/>
  <c r="B1849" i="3" s="1"/>
  <c r="A1851" i="3"/>
  <c r="I1849" i="3"/>
  <c r="H1849" i="3" s="1"/>
  <c r="L1851" i="3" l="1"/>
  <c r="F1851" i="3"/>
  <c r="J1851" i="3"/>
  <c r="D1851" i="3"/>
  <c r="K1851" i="3"/>
  <c r="E1851" i="3"/>
  <c r="I1850" i="3"/>
  <c r="H1850" i="3" s="1"/>
  <c r="C1850" i="3"/>
  <c r="B1850" i="3" s="1"/>
  <c r="A1852" i="3"/>
  <c r="L1852" i="3" l="1"/>
  <c r="F1852" i="3"/>
  <c r="J1852" i="3"/>
  <c r="D1852" i="3"/>
  <c r="K1852" i="3"/>
  <c r="E1852" i="3"/>
  <c r="I1851" i="3"/>
  <c r="H1851" i="3" s="1"/>
  <c r="A1853" i="3"/>
  <c r="C1851" i="3"/>
  <c r="B1851" i="3" s="1"/>
  <c r="L1853" i="3" l="1"/>
  <c r="F1853" i="3"/>
  <c r="J1853" i="3"/>
  <c r="D1853" i="3"/>
  <c r="K1853" i="3"/>
  <c r="E1853" i="3"/>
  <c r="C1852" i="3"/>
  <c r="B1852" i="3" s="1"/>
  <c r="A1854" i="3"/>
  <c r="I1852" i="3"/>
  <c r="H1852" i="3" s="1"/>
  <c r="L1854" i="3" l="1"/>
  <c r="F1854" i="3"/>
  <c r="D1854" i="3"/>
  <c r="E1854" i="3"/>
  <c r="J1854" i="3"/>
  <c r="K1854" i="3"/>
  <c r="I1853" i="3"/>
  <c r="H1853" i="3" s="1"/>
  <c r="C1853" i="3"/>
  <c r="B1853" i="3" s="1"/>
  <c r="A1855" i="3"/>
  <c r="L1855" i="3" l="1"/>
  <c r="F1855" i="3"/>
  <c r="J1855" i="3"/>
  <c r="D1855" i="3"/>
  <c r="K1855" i="3"/>
  <c r="E1855" i="3"/>
  <c r="I1854" i="3"/>
  <c r="H1854" i="3" s="1"/>
  <c r="C1854" i="3"/>
  <c r="B1854" i="3" s="1"/>
  <c r="A1856" i="3"/>
  <c r="F1856" i="3" l="1"/>
  <c r="E1856" i="3"/>
  <c r="L1856" i="3"/>
  <c r="J1856" i="3"/>
  <c r="D1856" i="3"/>
  <c r="K1856" i="3"/>
  <c r="I1855" i="3"/>
  <c r="H1855" i="3" s="1"/>
  <c r="A1857" i="3"/>
  <c r="C1855" i="3"/>
  <c r="B1855" i="3" s="1"/>
  <c r="L1857" i="3" l="1"/>
  <c r="F1857" i="3"/>
  <c r="J1857" i="3"/>
  <c r="K1857" i="3"/>
  <c r="D1857" i="3"/>
  <c r="E1857" i="3"/>
  <c r="C1856" i="3"/>
  <c r="B1856" i="3" s="1"/>
  <c r="A1858" i="3"/>
  <c r="I1856" i="3"/>
  <c r="H1856" i="3" s="1"/>
  <c r="L1858" i="3" l="1"/>
  <c r="F1858" i="3"/>
  <c r="J1858" i="3"/>
  <c r="D1858" i="3"/>
  <c r="K1858" i="3"/>
  <c r="E1858" i="3"/>
  <c r="C1857" i="3"/>
  <c r="B1857" i="3" s="1"/>
  <c r="A1859" i="3"/>
  <c r="I1857" i="3"/>
  <c r="H1857" i="3" s="1"/>
  <c r="L1859" i="3" l="1"/>
  <c r="F1859" i="3"/>
  <c r="D1859" i="3"/>
  <c r="J1859" i="3"/>
  <c r="E1859" i="3"/>
  <c r="K1859" i="3"/>
  <c r="I1858" i="3"/>
  <c r="H1858" i="3" s="1"/>
  <c r="C1858" i="3"/>
  <c r="B1858" i="3" s="1"/>
  <c r="A1860" i="3"/>
  <c r="I1859" i="3" l="1"/>
  <c r="H1859" i="3" s="1"/>
  <c r="L1860" i="3"/>
  <c r="J1860" i="3"/>
  <c r="D1860" i="3"/>
  <c r="K1860" i="3"/>
  <c r="E1860" i="3"/>
  <c r="C1859" i="3"/>
  <c r="B1859" i="3" s="1"/>
  <c r="A1861" i="3"/>
  <c r="L1861" i="3" l="1"/>
  <c r="F1861" i="3"/>
  <c r="J1861" i="3"/>
  <c r="D1861" i="3"/>
  <c r="K1861" i="3"/>
  <c r="E1861" i="3"/>
  <c r="I1860" i="3"/>
  <c r="H1860" i="3" s="1"/>
  <c r="A1862" i="3"/>
  <c r="L1862" i="3" l="1"/>
  <c r="F1862" i="3"/>
  <c r="J1862" i="3"/>
  <c r="D1862" i="3"/>
  <c r="K1862" i="3"/>
  <c r="E1862" i="3"/>
  <c r="I1861" i="3"/>
  <c r="H1861" i="3" s="1"/>
  <c r="C1861" i="3"/>
  <c r="B1861" i="3" s="1"/>
  <c r="A1863" i="3"/>
  <c r="F1863" i="3" l="1"/>
  <c r="L1863" i="3"/>
  <c r="J1863" i="3"/>
  <c r="D1863" i="3"/>
  <c r="K1863" i="3"/>
  <c r="E1863" i="3"/>
  <c r="I1862" i="3"/>
  <c r="H1862" i="3" s="1"/>
  <c r="C1862" i="3"/>
  <c r="B1862" i="3" s="1"/>
  <c r="A1864" i="3"/>
  <c r="L1864" i="3" l="1"/>
  <c r="F1864" i="3"/>
  <c r="J1864" i="3"/>
  <c r="D1864" i="3"/>
  <c r="K1864" i="3"/>
  <c r="E1864" i="3"/>
  <c r="C1863" i="3"/>
  <c r="B1863" i="3" s="1"/>
  <c r="I1863" i="3"/>
  <c r="H1863" i="3" s="1"/>
  <c r="A1865" i="3"/>
  <c r="L1865" i="3" l="1"/>
  <c r="F1865" i="3"/>
  <c r="J1865" i="3"/>
  <c r="D1865" i="3"/>
  <c r="K1865" i="3"/>
  <c r="E1865" i="3"/>
  <c r="C1864" i="3"/>
  <c r="B1864" i="3" s="1"/>
  <c r="I1864" i="3"/>
  <c r="H1864" i="3" s="1"/>
  <c r="A1866" i="3"/>
  <c r="L1866" i="3" l="1"/>
  <c r="F1866" i="3"/>
  <c r="J1866" i="3"/>
  <c r="D1866" i="3"/>
  <c r="K1866" i="3"/>
  <c r="E1866" i="3"/>
  <c r="C1865" i="3"/>
  <c r="B1865" i="3" s="1"/>
  <c r="A1867" i="3"/>
  <c r="I1865" i="3"/>
  <c r="H1865" i="3" s="1"/>
  <c r="L1867" i="3" l="1"/>
  <c r="F1867" i="3"/>
  <c r="J1867" i="3"/>
  <c r="D1867" i="3"/>
  <c r="K1867" i="3"/>
  <c r="E1867" i="3"/>
  <c r="C1866" i="3"/>
  <c r="B1866" i="3" s="1"/>
  <c r="A1868" i="3"/>
  <c r="I1866" i="3"/>
  <c r="H1866" i="3" s="1"/>
  <c r="L1868" i="3" l="1"/>
  <c r="F1868" i="3"/>
  <c r="J1868" i="3"/>
  <c r="D1868" i="3"/>
  <c r="K1868" i="3"/>
  <c r="E1868" i="3"/>
  <c r="I1867" i="3"/>
  <c r="H1867" i="3" s="1"/>
  <c r="C1867" i="3"/>
  <c r="B1867" i="3" s="1"/>
  <c r="A1869" i="3"/>
  <c r="L1869" i="3" l="1"/>
  <c r="F1869" i="3"/>
  <c r="J1869" i="3"/>
  <c r="D1869" i="3"/>
  <c r="K1869" i="3"/>
  <c r="E1869" i="3"/>
  <c r="I1868" i="3"/>
  <c r="H1868" i="3" s="1"/>
  <c r="C1868" i="3"/>
  <c r="B1868" i="3" s="1"/>
  <c r="A1870" i="3"/>
  <c r="L1870" i="3" l="1"/>
  <c r="F1870" i="3"/>
  <c r="J1870" i="3"/>
  <c r="D1870" i="3"/>
  <c r="K1870" i="3"/>
  <c r="E1870" i="3"/>
  <c r="I1869" i="3"/>
  <c r="H1869" i="3" s="1"/>
  <c r="C1869" i="3"/>
  <c r="B1869" i="3" s="1"/>
  <c r="A1871" i="3"/>
  <c r="L1871" i="3" l="1"/>
  <c r="F1871" i="3"/>
  <c r="J1871" i="3"/>
  <c r="D1871" i="3"/>
  <c r="K1871" i="3"/>
  <c r="E1871" i="3"/>
  <c r="I1870" i="3"/>
  <c r="H1870" i="3" s="1"/>
  <c r="C1870" i="3"/>
  <c r="B1870" i="3" s="1"/>
  <c r="A1872" i="3"/>
  <c r="L1872" i="3" l="1"/>
  <c r="F1872" i="3"/>
  <c r="J1872" i="3"/>
  <c r="D1872" i="3"/>
  <c r="K1872" i="3"/>
  <c r="E1872" i="3"/>
  <c r="C1871" i="3"/>
  <c r="B1871" i="3" s="1"/>
  <c r="I1871" i="3"/>
  <c r="H1871" i="3" s="1"/>
  <c r="A1873" i="3"/>
  <c r="L1873" i="3" l="1"/>
  <c r="F1873" i="3"/>
  <c r="J1873" i="3"/>
  <c r="D1873" i="3"/>
  <c r="K1873" i="3"/>
  <c r="E1873" i="3"/>
  <c r="C1872" i="3"/>
  <c r="B1872" i="3" s="1"/>
  <c r="I1872" i="3"/>
  <c r="H1872" i="3" s="1"/>
  <c r="A1874" i="3"/>
  <c r="L1874" i="3" l="1"/>
  <c r="F1874" i="3"/>
  <c r="D1874" i="3"/>
  <c r="J1874" i="3"/>
  <c r="E1874" i="3"/>
  <c r="K1874" i="3"/>
  <c r="C1873" i="3"/>
  <c r="B1873" i="3" s="1"/>
  <c r="A1875" i="3"/>
  <c r="I1873" i="3"/>
  <c r="H1873" i="3" s="1"/>
  <c r="L1875" i="3" l="1"/>
  <c r="F1875" i="3"/>
  <c r="J1875" i="3"/>
  <c r="D1875" i="3"/>
  <c r="K1875" i="3"/>
  <c r="E1875" i="3"/>
  <c r="C1874" i="3"/>
  <c r="B1874" i="3" s="1"/>
  <c r="A1876" i="3"/>
  <c r="I1874" i="3"/>
  <c r="H1874" i="3" s="1"/>
  <c r="L1876" i="3" l="1"/>
  <c r="F1876" i="3"/>
  <c r="J1876" i="3"/>
  <c r="D1876" i="3"/>
  <c r="K1876" i="3"/>
  <c r="E1876" i="3"/>
  <c r="A1877" i="3"/>
  <c r="I1875" i="3"/>
  <c r="H1875" i="3" s="1"/>
  <c r="C1875" i="3"/>
  <c r="B1875" i="3" s="1"/>
  <c r="L1877" i="3" l="1"/>
  <c r="F1877" i="3"/>
  <c r="J1877" i="3"/>
  <c r="D1877" i="3"/>
  <c r="K1877" i="3"/>
  <c r="E1877" i="3"/>
  <c r="I1876" i="3"/>
  <c r="H1876" i="3" s="1"/>
  <c r="A1878" i="3"/>
  <c r="C1876" i="3"/>
  <c r="B1876" i="3" s="1"/>
  <c r="F1878" i="3" l="1"/>
  <c r="E1878" i="3"/>
  <c r="L1878" i="3"/>
  <c r="J1878" i="3"/>
  <c r="D1878" i="3"/>
  <c r="K1878" i="3"/>
  <c r="C1877" i="3"/>
  <c r="B1877" i="3" s="1"/>
  <c r="A1879" i="3"/>
  <c r="I1877" i="3"/>
  <c r="H1877" i="3" s="1"/>
  <c r="L1879" i="3" l="1"/>
  <c r="F1879" i="3"/>
  <c r="J1879" i="3"/>
  <c r="D1879" i="3"/>
  <c r="K1879" i="3"/>
  <c r="E1879" i="3"/>
  <c r="A1880" i="3"/>
  <c r="I1878" i="3"/>
  <c r="H1878" i="3" s="1"/>
  <c r="L1880" i="3" l="1"/>
  <c r="F1880" i="3"/>
  <c r="J1880" i="3"/>
  <c r="D1880" i="3"/>
  <c r="K1880" i="3"/>
  <c r="E1880" i="3"/>
  <c r="I1879" i="3"/>
  <c r="H1879" i="3" s="1"/>
  <c r="A1881" i="3"/>
  <c r="C1879" i="3"/>
  <c r="B1879" i="3" s="1"/>
  <c r="L1881" i="3" l="1"/>
  <c r="F1881" i="3"/>
  <c r="J1881" i="3"/>
  <c r="K1881" i="3"/>
  <c r="D1881" i="3"/>
  <c r="E1881" i="3"/>
  <c r="I1880" i="3"/>
  <c r="H1880" i="3" s="1"/>
  <c r="C1880" i="3"/>
  <c r="B1880" i="3" s="1"/>
  <c r="A1882" i="3"/>
  <c r="L1882" i="3" l="1"/>
  <c r="F1882" i="3"/>
  <c r="J1882" i="3"/>
  <c r="D1882" i="3"/>
  <c r="K1882" i="3"/>
  <c r="E1882" i="3"/>
  <c r="I1881" i="3"/>
  <c r="H1881" i="3" s="1"/>
  <c r="C1881" i="3"/>
  <c r="B1881" i="3" s="1"/>
  <c r="A1883" i="3"/>
  <c r="L1883" i="3" l="1"/>
  <c r="F1883" i="3"/>
  <c r="J1883" i="3"/>
  <c r="D1883" i="3"/>
  <c r="K1883" i="3"/>
  <c r="E1883" i="3"/>
  <c r="I1882" i="3"/>
  <c r="H1882" i="3" s="1"/>
  <c r="C1882" i="3"/>
  <c r="B1882" i="3" s="1"/>
  <c r="A1884" i="3"/>
  <c r="L1884" i="3" l="1"/>
  <c r="F1884" i="3"/>
  <c r="J1884" i="3"/>
  <c r="D1884" i="3"/>
  <c r="K1884" i="3"/>
  <c r="E1884" i="3"/>
  <c r="A1885" i="3"/>
  <c r="I1883" i="3"/>
  <c r="H1883" i="3" s="1"/>
  <c r="C1883" i="3"/>
  <c r="B1883" i="3" s="1"/>
  <c r="F1885" i="3" l="1"/>
  <c r="L1885" i="3"/>
  <c r="D1885" i="3"/>
  <c r="E1885" i="3"/>
  <c r="J1885" i="3"/>
  <c r="K1885" i="3"/>
  <c r="C1884" i="3"/>
  <c r="B1884" i="3" s="1"/>
  <c r="A1886" i="3"/>
  <c r="I1884" i="3"/>
  <c r="H1884" i="3" s="1"/>
  <c r="L1886" i="3" l="1"/>
  <c r="F1886" i="3"/>
  <c r="J1886" i="3"/>
  <c r="D1886" i="3"/>
  <c r="K1886" i="3"/>
  <c r="E1886" i="3"/>
  <c r="I1885" i="3"/>
  <c r="H1885" i="3" s="1"/>
  <c r="C1885" i="3"/>
  <c r="B1885" i="3" s="1"/>
  <c r="A1887" i="3"/>
  <c r="L1887" i="3" l="1"/>
  <c r="F1887" i="3"/>
  <c r="D1887" i="3"/>
  <c r="E1887" i="3"/>
  <c r="J1887" i="3"/>
  <c r="K1887" i="3"/>
  <c r="A1888" i="3"/>
  <c r="I1886" i="3"/>
  <c r="H1886" i="3" s="1"/>
  <c r="C1886" i="3"/>
  <c r="B1886" i="3" s="1"/>
  <c r="L1888" i="3" l="1"/>
  <c r="F1888" i="3"/>
  <c r="J1888" i="3"/>
  <c r="D1888" i="3"/>
  <c r="K1888" i="3"/>
  <c r="E1888" i="3"/>
  <c r="I1887" i="3"/>
  <c r="H1887" i="3" s="1"/>
  <c r="C1887" i="3"/>
  <c r="B1887" i="3" s="1"/>
  <c r="A1889" i="3"/>
  <c r="L1889" i="3" l="1"/>
  <c r="F1889" i="3"/>
  <c r="J1889" i="3"/>
  <c r="D1889" i="3"/>
  <c r="K1889" i="3"/>
  <c r="E1889" i="3"/>
  <c r="I1888" i="3"/>
  <c r="H1888" i="3" s="1"/>
  <c r="C1888" i="3"/>
  <c r="B1888" i="3" s="1"/>
  <c r="A1890" i="3"/>
  <c r="L1890" i="3" l="1"/>
  <c r="F1890" i="3"/>
  <c r="J1890" i="3"/>
  <c r="D1890" i="3"/>
  <c r="K1890" i="3"/>
  <c r="E1890" i="3"/>
  <c r="I1889" i="3"/>
  <c r="H1889" i="3" s="1"/>
  <c r="C1889" i="3"/>
  <c r="B1889" i="3" s="1"/>
  <c r="A1891" i="3"/>
  <c r="L1891" i="3" l="1"/>
  <c r="F1891" i="3"/>
  <c r="J1891" i="3"/>
  <c r="D1891" i="3"/>
  <c r="K1891" i="3"/>
  <c r="E1891" i="3"/>
  <c r="I1890" i="3"/>
  <c r="H1890" i="3" s="1"/>
  <c r="A1892" i="3"/>
  <c r="C1890" i="3"/>
  <c r="B1890" i="3" s="1"/>
  <c r="L1892" i="3" l="1"/>
  <c r="F1892" i="3"/>
  <c r="J1892" i="3"/>
  <c r="D1892" i="3"/>
  <c r="K1892" i="3"/>
  <c r="E1892" i="3"/>
  <c r="I1891" i="3"/>
  <c r="H1891" i="3" s="1"/>
  <c r="C1891" i="3"/>
  <c r="B1891" i="3" s="1"/>
  <c r="A1893" i="3"/>
  <c r="L1893" i="3" l="1"/>
  <c r="F1893" i="3"/>
  <c r="J1893" i="3"/>
  <c r="D1893" i="3"/>
  <c r="K1893" i="3"/>
  <c r="E1893" i="3"/>
  <c r="C1892" i="3"/>
  <c r="B1892" i="3" s="1"/>
  <c r="I1892" i="3"/>
  <c r="H1892" i="3" s="1"/>
  <c r="A1894" i="3"/>
  <c r="L1894" i="3" l="1"/>
  <c r="F1894" i="3"/>
  <c r="J1894" i="3"/>
  <c r="D1894" i="3"/>
  <c r="K1894" i="3"/>
  <c r="E1894" i="3"/>
  <c r="C1893" i="3"/>
  <c r="B1893" i="3" s="1"/>
  <c r="A1895" i="3"/>
  <c r="I1893" i="3"/>
  <c r="H1893" i="3" s="1"/>
  <c r="L1895" i="3" l="1"/>
  <c r="F1895" i="3"/>
  <c r="J1895" i="3"/>
  <c r="D1895" i="3"/>
  <c r="K1895" i="3"/>
  <c r="E1895" i="3"/>
  <c r="I1894" i="3"/>
  <c r="H1894" i="3" s="1"/>
  <c r="C1894" i="3"/>
  <c r="B1894" i="3" s="1"/>
  <c r="A1896" i="3"/>
  <c r="L1896" i="3" l="1"/>
  <c r="F1896" i="3"/>
  <c r="J1896" i="3"/>
  <c r="D1896" i="3"/>
  <c r="K1896" i="3"/>
  <c r="E1896" i="3"/>
  <c r="I1895" i="3"/>
  <c r="H1895" i="3" s="1"/>
  <c r="C1895" i="3"/>
  <c r="B1895" i="3" s="1"/>
  <c r="A1897" i="3"/>
  <c r="L1897" i="3" l="1"/>
  <c r="F1897" i="3"/>
  <c r="J1897" i="3"/>
  <c r="D1897" i="3"/>
  <c r="K1897" i="3"/>
  <c r="E1897" i="3"/>
  <c r="I1896" i="3"/>
  <c r="H1896" i="3" s="1"/>
  <c r="C1896" i="3"/>
  <c r="B1896" i="3" s="1"/>
  <c r="A1898" i="3"/>
  <c r="L1898" i="3" l="1"/>
  <c r="F1898" i="3"/>
  <c r="J1898" i="3"/>
  <c r="D1898" i="3"/>
  <c r="K1898" i="3"/>
  <c r="E1898" i="3"/>
  <c r="C1897" i="3"/>
  <c r="B1897" i="3" s="1"/>
  <c r="A1899" i="3"/>
  <c r="I1897" i="3"/>
  <c r="H1897" i="3" s="1"/>
  <c r="F1899" i="3" l="1"/>
  <c r="E1899" i="3"/>
  <c r="L1899" i="3"/>
  <c r="J1899" i="3"/>
  <c r="D1899" i="3"/>
  <c r="K1899" i="3"/>
  <c r="C1898" i="3"/>
  <c r="B1898" i="3" s="1"/>
  <c r="A1900" i="3"/>
  <c r="I1898" i="3"/>
  <c r="H1898" i="3" s="1"/>
  <c r="L1900" i="3" l="1"/>
  <c r="J1900" i="3"/>
  <c r="D1900" i="3"/>
  <c r="K1900" i="3"/>
  <c r="E1900" i="3"/>
  <c r="C1899" i="3"/>
  <c r="B1899" i="3" s="1"/>
  <c r="A1901" i="3"/>
  <c r="I1899" i="3"/>
  <c r="H1899" i="3" s="1"/>
  <c r="L1901" i="3" l="1"/>
  <c r="F1901" i="3"/>
  <c r="J1901" i="3"/>
  <c r="D1901" i="3"/>
  <c r="K1901" i="3"/>
  <c r="E1901" i="3"/>
  <c r="A1902" i="3"/>
  <c r="I1900" i="3"/>
  <c r="H1900" i="3" s="1"/>
  <c r="L1902" i="3" l="1"/>
  <c r="F1902" i="3"/>
  <c r="D1902" i="3"/>
  <c r="E1902" i="3"/>
  <c r="J1902" i="3"/>
  <c r="K1902" i="3"/>
  <c r="C1901" i="3"/>
  <c r="B1901" i="3" s="1"/>
  <c r="A1903" i="3"/>
  <c r="I1901" i="3"/>
  <c r="H1901" i="3" s="1"/>
  <c r="L1903" i="3" l="1"/>
  <c r="F1903" i="3"/>
  <c r="J1903" i="3"/>
  <c r="D1903" i="3"/>
  <c r="K1903" i="3"/>
  <c r="E1903" i="3"/>
  <c r="C1902" i="3"/>
  <c r="B1902" i="3" s="1"/>
  <c r="A1904" i="3"/>
  <c r="I1902" i="3"/>
  <c r="H1902" i="3" s="1"/>
  <c r="L1904" i="3" l="1"/>
  <c r="F1904" i="3"/>
  <c r="J1904" i="3"/>
  <c r="D1904" i="3"/>
  <c r="K1904" i="3"/>
  <c r="E1904" i="3"/>
  <c r="C1903" i="3"/>
  <c r="B1903" i="3" s="1"/>
  <c r="A1905" i="3"/>
  <c r="I1903" i="3"/>
  <c r="H1903" i="3" s="1"/>
  <c r="L1905" i="3" l="1"/>
  <c r="F1905" i="3"/>
  <c r="J1905" i="3"/>
  <c r="D1905" i="3"/>
  <c r="K1905" i="3"/>
  <c r="E1905" i="3"/>
  <c r="I1904" i="3"/>
  <c r="H1904" i="3" s="1"/>
  <c r="A1906" i="3"/>
  <c r="C1904" i="3"/>
  <c r="B1904" i="3" s="1"/>
  <c r="F1906" i="3" l="1"/>
  <c r="L1906" i="3"/>
  <c r="J1906" i="3"/>
  <c r="D1906" i="3"/>
  <c r="K1906" i="3"/>
  <c r="E1906" i="3"/>
  <c r="I1905" i="3"/>
  <c r="H1905" i="3" s="1"/>
  <c r="C1905" i="3"/>
  <c r="B1905" i="3" s="1"/>
  <c r="A1907" i="3"/>
  <c r="L1907" i="3" l="1"/>
  <c r="F1907" i="3"/>
  <c r="J1907" i="3"/>
  <c r="D1907" i="3"/>
  <c r="K1907" i="3"/>
  <c r="E1907" i="3"/>
  <c r="I1906" i="3"/>
  <c r="H1906" i="3" s="1"/>
  <c r="A1908" i="3"/>
  <c r="C1906" i="3"/>
  <c r="B1906" i="3" s="1"/>
  <c r="L1908" i="3" l="1"/>
  <c r="F1908" i="3"/>
  <c r="J1908" i="3"/>
  <c r="D1908" i="3"/>
  <c r="K1908" i="3"/>
  <c r="E1908" i="3"/>
  <c r="C1907" i="3"/>
  <c r="B1907" i="3" s="1"/>
  <c r="I1907" i="3"/>
  <c r="H1907" i="3" s="1"/>
  <c r="A1909" i="3"/>
  <c r="L1909" i="3" l="1"/>
  <c r="F1909" i="3"/>
  <c r="J1909" i="3"/>
  <c r="D1909" i="3"/>
  <c r="K1909" i="3"/>
  <c r="E1909" i="3"/>
  <c r="I1908" i="3"/>
  <c r="H1908" i="3" s="1"/>
  <c r="A1910" i="3"/>
  <c r="C1908" i="3"/>
  <c r="B1908" i="3" s="1"/>
  <c r="L1910" i="3" l="1"/>
  <c r="F1910" i="3"/>
  <c r="J1910" i="3"/>
  <c r="D1910" i="3"/>
  <c r="K1910" i="3"/>
  <c r="E1910" i="3"/>
  <c r="C1909" i="3"/>
  <c r="B1909" i="3" s="1"/>
  <c r="A1911" i="3"/>
  <c r="I1909" i="3"/>
  <c r="H1909" i="3" s="1"/>
  <c r="L1911" i="3" l="1"/>
  <c r="F1911" i="3"/>
  <c r="J1911" i="3"/>
  <c r="D1911" i="3"/>
  <c r="K1911" i="3"/>
  <c r="E1911" i="3"/>
  <c r="C1910" i="3"/>
  <c r="B1910" i="3" s="1"/>
  <c r="I1910" i="3"/>
  <c r="H1910" i="3" s="1"/>
  <c r="A1912" i="3"/>
  <c r="L1912" i="3" l="1"/>
  <c r="F1912" i="3"/>
  <c r="J1912" i="3"/>
  <c r="D1912" i="3"/>
  <c r="K1912" i="3"/>
  <c r="E1912" i="3"/>
  <c r="C1911" i="3"/>
  <c r="B1911" i="3" s="1"/>
  <c r="I1911" i="3"/>
  <c r="H1911" i="3" s="1"/>
  <c r="A1913" i="3"/>
  <c r="L1913" i="3" l="1"/>
  <c r="F1913" i="3"/>
  <c r="J1913" i="3"/>
  <c r="D1913" i="3"/>
  <c r="K1913" i="3"/>
  <c r="E1913" i="3"/>
  <c r="C1912" i="3"/>
  <c r="B1912" i="3" s="1"/>
  <c r="I1912" i="3"/>
  <c r="H1912" i="3" s="1"/>
  <c r="A1914" i="3"/>
  <c r="L1914" i="3" l="1"/>
  <c r="F1914" i="3"/>
  <c r="D1914" i="3"/>
  <c r="E1914" i="3"/>
  <c r="J1914" i="3"/>
  <c r="K1914" i="3"/>
  <c r="C1913" i="3"/>
  <c r="B1913" i="3" s="1"/>
  <c r="A1915" i="3"/>
  <c r="I1913" i="3"/>
  <c r="H1913" i="3" s="1"/>
  <c r="L1915" i="3" l="1"/>
  <c r="F1915" i="3"/>
  <c r="D1915" i="3"/>
  <c r="J1915" i="3"/>
  <c r="E1915" i="3"/>
  <c r="K1915" i="3"/>
  <c r="C1914" i="3"/>
  <c r="B1914" i="3" s="1"/>
  <c r="A1916" i="3"/>
  <c r="I1914" i="3"/>
  <c r="H1914" i="3" s="1"/>
  <c r="L1916" i="3" l="1"/>
  <c r="F1916" i="3"/>
  <c r="J1916" i="3"/>
  <c r="D1916" i="3"/>
  <c r="K1916" i="3"/>
  <c r="E1916" i="3"/>
  <c r="C1915" i="3"/>
  <c r="B1915" i="3" s="1"/>
  <c r="A1917" i="3"/>
  <c r="I1915" i="3"/>
  <c r="H1915" i="3" s="1"/>
  <c r="L1917" i="3" l="1"/>
  <c r="F1917" i="3"/>
  <c r="J1917" i="3"/>
  <c r="D1917" i="3"/>
  <c r="K1917" i="3"/>
  <c r="E1917" i="3"/>
  <c r="A1918" i="3"/>
  <c r="I1916" i="3"/>
  <c r="H1916" i="3" s="1"/>
  <c r="C1916" i="3"/>
  <c r="B1916" i="3" s="1"/>
  <c r="L1918" i="3" l="1"/>
  <c r="F1918" i="3"/>
  <c r="J1918" i="3"/>
  <c r="D1918" i="3"/>
  <c r="K1918" i="3"/>
  <c r="E1918" i="3"/>
  <c r="C1917" i="3"/>
  <c r="B1917" i="3" s="1"/>
  <c r="I1917" i="3"/>
  <c r="H1917" i="3" s="1"/>
  <c r="A1919" i="3"/>
  <c r="L1919" i="3" l="1"/>
  <c r="F1919" i="3"/>
  <c r="J1919" i="3"/>
  <c r="D1919" i="3"/>
  <c r="K1919" i="3"/>
  <c r="E1919" i="3"/>
  <c r="C1918" i="3"/>
  <c r="B1918" i="3" s="1"/>
  <c r="I1918" i="3"/>
  <c r="H1918" i="3" s="1"/>
  <c r="A1920" i="3"/>
  <c r="F1920" i="3" l="1"/>
  <c r="E1920" i="3"/>
  <c r="L1920" i="3"/>
  <c r="J1920" i="3"/>
  <c r="D1920" i="3"/>
  <c r="K1920" i="3"/>
  <c r="C1919" i="3"/>
  <c r="B1919" i="3" s="1"/>
  <c r="A1921" i="3"/>
  <c r="I1919" i="3"/>
  <c r="H1919" i="3" s="1"/>
  <c r="L1921" i="3" l="1"/>
  <c r="F1921" i="3"/>
  <c r="J1921" i="3"/>
  <c r="D1921" i="3"/>
  <c r="K1921" i="3"/>
  <c r="E1921" i="3"/>
  <c r="I1920" i="3"/>
  <c r="H1920" i="3" s="1"/>
  <c r="A1922" i="3"/>
  <c r="I1921" i="3" l="1"/>
  <c r="H1921" i="3" s="1"/>
  <c r="L1922" i="3"/>
  <c r="F1922" i="3"/>
  <c r="J1922" i="3"/>
  <c r="D1922" i="3"/>
  <c r="K1922" i="3"/>
  <c r="E1922" i="3"/>
  <c r="C1921" i="3"/>
  <c r="B1921" i="3" s="1"/>
  <c r="A1923" i="3"/>
  <c r="L1923" i="3" l="1"/>
  <c r="F1923" i="3"/>
  <c r="J1923" i="3"/>
  <c r="D1923" i="3"/>
  <c r="K1923" i="3"/>
  <c r="E1923" i="3"/>
  <c r="C1922" i="3"/>
  <c r="B1922" i="3" s="1"/>
  <c r="I1922" i="3"/>
  <c r="H1922" i="3" s="1"/>
  <c r="A1924" i="3"/>
  <c r="L1924" i="3" l="1"/>
  <c r="F1924" i="3"/>
  <c r="J1924" i="3"/>
  <c r="D1924" i="3"/>
  <c r="K1924" i="3"/>
  <c r="E1924" i="3"/>
  <c r="I1923" i="3"/>
  <c r="H1923" i="3" s="1"/>
  <c r="A1925" i="3"/>
  <c r="C1923" i="3"/>
  <c r="B1923" i="3" s="1"/>
  <c r="L1925" i="3" l="1"/>
  <c r="F1925" i="3"/>
  <c r="J1925" i="3"/>
  <c r="D1925" i="3"/>
  <c r="K1925" i="3"/>
  <c r="E1925" i="3"/>
  <c r="A1926" i="3"/>
  <c r="I1924" i="3"/>
  <c r="H1924" i="3" s="1"/>
  <c r="C1924" i="3"/>
  <c r="B1924" i="3" s="1"/>
  <c r="L1926" i="3" l="1"/>
  <c r="F1926" i="3"/>
  <c r="J1926" i="3"/>
  <c r="D1926" i="3"/>
  <c r="K1926" i="3"/>
  <c r="E1926" i="3"/>
  <c r="C1925" i="3"/>
  <c r="B1925" i="3" s="1"/>
  <c r="A1927" i="3"/>
  <c r="I1925" i="3"/>
  <c r="H1925" i="3" s="1"/>
  <c r="F1927" i="3" l="1"/>
  <c r="L1927" i="3"/>
  <c r="J1927" i="3"/>
  <c r="D1927" i="3"/>
  <c r="K1927" i="3"/>
  <c r="E1927" i="3"/>
  <c r="A1928" i="3"/>
  <c r="I1926" i="3"/>
  <c r="H1926" i="3" s="1"/>
  <c r="C1926" i="3"/>
  <c r="B1926" i="3" s="1"/>
  <c r="L1928" i="3" l="1"/>
  <c r="F1928" i="3"/>
  <c r="J1928" i="3"/>
  <c r="D1928" i="3"/>
  <c r="K1928" i="3"/>
  <c r="E1928" i="3"/>
  <c r="C1927" i="3"/>
  <c r="B1927" i="3" s="1"/>
  <c r="A1929" i="3"/>
  <c r="I1927" i="3"/>
  <c r="H1927" i="3" s="1"/>
  <c r="L1929" i="3" l="1"/>
  <c r="F1929" i="3"/>
  <c r="J1929" i="3"/>
  <c r="D1929" i="3"/>
  <c r="K1929" i="3"/>
  <c r="E1929" i="3"/>
  <c r="C1928" i="3"/>
  <c r="B1928" i="3" s="1"/>
  <c r="I1928" i="3"/>
  <c r="H1928" i="3" s="1"/>
  <c r="A1930" i="3"/>
  <c r="L1930" i="3" l="1"/>
  <c r="F1930" i="3"/>
  <c r="J1930" i="3"/>
  <c r="D1930" i="3"/>
  <c r="K1930" i="3"/>
  <c r="E1930" i="3"/>
  <c r="C1929" i="3"/>
  <c r="B1929" i="3" s="1"/>
  <c r="A1931" i="3"/>
  <c r="I1929" i="3"/>
  <c r="H1929" i="3" s="1"/>
  <c r="L1931" i="3" l="1"/>
  <c r="F1931" i="3"/>
  <c r="J1931" i="3"/>
  <c r="D1931" i="3"/>
  <c r="K1931" i="3"/>
  <c r="E1931" i="3"/>
  <c r="I1930" i="3"/>
  <c r="H1930" i="3" s="1"/>
  <c r="C1930" i="3"/>
  <c r="B1930" i="3" s="1"/>
  <c r="A1932" i="3"/>
  <c r="L1932" i="3" l="1"/>
  <c r="F1932" i="3"/>
  <c r="J1932" i="3"/>
  <c r="D1932" i="3"/>
  <c r="K1932" i="3"/>
  <c r="E1932" i="3"/>
  <c r="C1931" i="3"/>
  <c r="B1931" i="3" s="1"/>
  <c r="A1933" i="3"/>
  <c r="I1931" i="3"/>
  <c r="H1931" i="3" s="1"/>
  <c r="L1933" i="3" l="1"/>
  <c r="F1933" i="3"/>
  <c r="D1933" i="3"/>
  <c r="J1933" i="3"/>
  <c r="E1933" i="3"/>
  <c r="K1933" i="3"/>
  <c r="C1932" i="3"/>
  <c r="B1932" i="3" s="1"/>
  <c r="I1932" i="3"/>
  <c r="H1932" i="3" s="1"/>
  <c r="A1934" i="3"/>
  <c r="L1934" i="3" l="1"/>
  <c r="F1934" i="3"/>
  <c r="J1934" i="3"/>
  <c r="D1934" i="3"/>
  <c r="K1934" i="3"/>
  <c r="E1934" i="3"/>
  <c r="I1933" i="3"/>
  <c r="H1933" i="3" s="1"/>
  <c r="C1933" i="3"/>
  <c r="B1933" i="3" s="1"/>
  <c r="A1935" i="3"/>
  <c r="L1935" i="3" l="1"/>
  <c r="F1935" i="3"/>
  <c r="J1935" i="3"/>
  <c r="D1935" i="3"/>
  <c r="K1935" i="3"/>
  <c r="E1935" i="3"/>
  <c r="I1934" i="3"/>
  <c r="H1934" i="3" s="1"/>
  <c r="C1934" i="3"/>
  <c r="B1934" i="3" s="1"/>
  <c r="A1936" i="3"/>
  <c r="L1936" i="3" l="1"/>
  <c r="F1936" i="3"/>
  <c r="J1936" i="3"/>
  <c r="D1936" i="3"/>
  <c r="K1936" i="3"/>
  <c r="E1936" i="3"/>
  <c r="C1935" i="3"/>
  <c r="B1935" i="3" s="1"/>
  <c r="I1935" i="3"/>
  <c r="H1935" i="3" s="1"/>
  <c r="A1937" i="3"/>
  <c r="L1937" i="3" l="1"/>
  <c r="F1937" i="3"/>
  <c r="J1937" i="3"/>
  <c r="D1937" i="3"/>
  <c r="K1937" i="3"/>
  <c r="E1937" i="3"/>
  <c r="I1936" i="3"/>
  <c r="H1936" i="3" s="1"/>
  <c r="C1936" i="3"/>
  <c r="B1936" i="3" s="1"/>
  <c r="A1938" i="3"/>
  <c r="L1938" i="3" l="1"/>
  <c r="F1938" i="3"/>
  <c r="J1938" i="3"/>
  <c r="D1938" i="3"/>
  <c r="K1938" i="3"/>
  <c r="E1938" i="3"/>
  <c r="C1937" i="3"/>
  <c r="B1937" i="3" s="1"/>
  <c r="A1939" i="3"/>
  <c r="I1937" i="3"/>
  <c r="H1937" i="3" s="1"/>
  <c r="L1939" i="3" l="1"/>
  <c r="F1939" i="3"/>
  <c r="J1939" i="3"/>
  <c r="D1939" i="3"/>
  <c r="K1939" i="3"/>
  <c r="E1939" i="3"/>
  <c r="I1938" i="3"/>
  <c r="H1938" i="3" s="1"/>
  <c r="C1938" i="3"/>
  <c r="B1938" i="3" s="1"/>
  <c r="A1940" i="3"/>
  <c r="L1940" i="3" l="1"/>
  <c r="J1940" i="3"/>
  <c r="D1940" i="3"/>
  <c r="K1940" i="3"/>
  <c r="E1940" i="3"/>
  <c r="C1939" i="3"/>
  <c r="B1939" i="3" s="1"/>
  <c r="I1939" i="3"/>
  <c r="H1939" i="3" s="1"/>
  <c r="A1941" i="3"/>
  <c r="L1941" i="3" l="1"/>
  <c r="F1941" i="3"/>
  <c r="J1941" i="3"/>
  <c r="D1941" i="3"/>
  <c r="K1941" i="3"/>
  <c r="E1941" i="3"/>
  <c r="I1940" i="3"/>
  <c r="H1940" i="3" s="1"/>
  <c r="A1942" i="3"/>
  <c r="L1942" i="3" l="1"/>
  <c r="F1942" i="3"/>
  <c r="J1942" i="3"/>
  <c r="D1942" i="3"/>
  <c r="K1942" i="3"/>
  <c r="E1942" i="3"/>
  <c r="I1941" i="3"/>
  <c r="H1941" i="3" s="1"/>
  <c r="C1941" i="3"/>
  <c r="B1941" i="3" s="1"/>
  <c r="A1943" i="3"/>
  <c r="F1943" i="3" l="1"/>
  <c r="E1943" i="3"/>
  <c r="L1943" i="3"/>
  <c r="J1943" i="3"/>
  <c r="D1943" i="3"/>
  <c r="K1943" i="3"/>
  <c r="I1942" i="3"/>
  <c r="H1942" i="3" s="1"/>
  <c r="A1944" i="3"/>
  <c r="C1942" i="3"/>
  <c r="B1942" i="3" s="1"/>
  <c r="L1944" i="3" l="1"/>
  <c r="F1944" i="3"/>
  <c r="J1944" i="3"/>
  <c r="D1944" i="3"/>
  <c r="K1944" i="3"/>
  <c r="E1944" i="3"/>
  <c r="C1943" i="3"/>
  <c r="B1943" i="3" s="1"/>
  <c r="A1945" i="3"/>
  <c r="I1943" i="3"/>
  <c r="H1943" i="3" s="1"/>
  <c r="L1945" i="3" l="1"/>
  <c r="F1945" i="3"/>
  <c r="J1945" i="3"/>
  <c r="D1945" i="3"/>
  <c r="K1945" i="3"/>
  <c r="E1945" i="3"/>
  <c r="C1944" i="3"/>
  <c r="B1944" i="3" s="1"/>
  <c r="A1946" i="3"/>
  <c r="I1944" i="3"/>
  <c r="H1944" i="3" s="1"/>
  <c r="L1946" i="3" l="1"/>
  <c r="F1946" i="3"/>
  <c r="D1946" i="3"/>
  <c r="J1946" i="3"/>
  <c r="E1946" i="3"/>
  <c r="K1946" i="3"/>
  <c r="I1945" i="3"/>
  <c r="H1945" i="3" s="1"/>
  <c r="C1945" i="3"/>
  <c r="B1945" i="3" s="1"/>
  <c r="A1947" i="3"/>
  <c r="L1947" i="3" l="1"/>
  <c r="F1947" i="3"/>
  <c r="D1947" i="3"/>
  <c r="J1947" i="3"/>
  <c r="E1947" i="3"/>
  <c r="K1947" i="3"/>
  <c r="C1946" i="3"/>
  <c r="B1946" i="3" s="1"/>
  <c r="A1948" i="3"/>
  <c r="I1946" i="3"/>
  <c r="H1946" i="3" s="1"/>
  <c r="L1948" i="3" l="1"/>
  <c r="F1948" i="3"/>
  <c r="J1948" i="3"/>
  <c r="D1948" i="3"/>
  <c r="K1948" i="3"/>
  <c r="E1948" i="3"/>
  <c r="C1947" i="3"/>
  <c r="B1947" i="3" s="1"/>
  <c r="A1949" i="3"/>
  <c r="I1947" i="3"/>
  <c r="H1947" i="3" s="1"/>
  <c r="L1949" i="3" l="1"/>
  <c r="F1949" i="3"/>
  <c r="J1949" i="3"/>
  <c r="D1949" i="3"/>
  <c r="K1949" i="3"/>
  <c r="E1949" i="3"/>
  <c r="C1948" i="3"/>
  <c r="B1948" i="3" s="1"/>
  <c r="A1950" i="3"/>
  <c r="I1948" i="3"/>
  <c r="H1948" i="3" s="1"/>
  <c r="F1950" i="3" l="1"/>
  <c r="L1950" i="3"/>
  <c r="J1950" i="3"/>
  <c r="D1950" i="3"/>
  <c r="K1950" i="3"/>
  <c r="E1950" i="3"/>
  <c r="A1951" i="3"/>
  <c r="I1949" i="3"/>
  <c r="H1949" i="3" s="1"/>
  <c r="C1949" i="3"/>
  <c r="B1949" i="3" s="1"/>
  <c r="L1951" i="3" l="1"/>
  <c r="F1951" i="3"/>
  <c r="J1951" i="3"/>
  <c r="D1951" i="3"/>
  <c r="K1951" i="3"/>
  <c r="E1951" i="3"/>
  <c r="C1950" i="3"/>
  <c r="B1950" i="3" s="1"/>
  <c r="A1952" i="3"/>
  <c r="I1950" i="3"/>
  <c r="H1950" i="3" s="1"/>
  <c r="L1952" i="3" l="1"/>
  <c r="F1952" i="3"/>
  <c r="J1952" i="3"/>
  <c r="D1952" i="3"/>
  <c r="K1952" i="3"/>
  <c r="E1952" i="3"/>
  <c r="I1951" i="3"/>
  <c r="H1951" i="3" s="1"/>
  <c r="A1953" i="3"/>
  <c r="C1951" i="3"/>
  <c r="B1951" i="3" s="1"/>
  <c r="L1953" i="3" l="1"/>
  <c r="F1953" i="3"/>
  <c r="J1953" i="3"/>
  <c r="D1953" i="3"/>
  <c r="K1953" i="3"/>
  <c r="E1953" i="3"/>
  <c r="C1952" i="3"/>
  <c r="B1952" i="3" s="1"/>
  <c r="A1954" i="3"/>
  <c r="I1952" i="3"/>
  <c r="H1952" i="3" s="1"/>
  <c r="L1954" i="3" l="1"/>
  <c r="F1954" i="3"/>
  <c r="J1954" i="3"/>
  <c r="D1954" i="3"/>
  <c r="K1954" i="3"/>
  <c r="E1954" i="3"/>
  <c r="C1953" i="3"/>
  <c r="B1953" i="3" s="1"/>
  <c r="A1955" i="3"/>
  <c r="I1953" i="3"/>
  <c r="H1953" i="3" s="1"/>
  <c r="L1955" i="3" l="1"/>
  <c r="F1955" i="3"/>
  <c r="J1955" i="3"/>
  <c r="D1955" i="3"/>
  <c r="K1955" i="3"/>
  <c r="E1955" i="3"/>
  <c r="I1954" i="3"/>
  <c r="H1954" i="3" s="1"/>
  <c r="C1954" i="3"/>
  <c r="B1954" i="3" s="1"/>
  <c r="A1956" i="3"/>
  <c r="L1956" i="3" l="1"/>
  <c r="F1956" i="3"/>
  <c r="J1956" i="3"/>
  <c r="D1956" i="3"/>
  <c r="K1956" i="3"/>
  <c r="E1956" i="3"/>
  <c r="C1955" i="3"/>
  <c r="B1955" i="3" s="1"/>
  <c r="I1955" i="3"/>
  <c r="H1955" i="3" s="1"/>
  <c r="A1957" i="3"/>
  <c r="L1957" i="3" l="1"/>
  <c r="F1957" i="3"/>
  <c r="J1957" i="3"/>
  <c r="D1957" i="3"/>
  <c r="K1957" i="3"/>
  <c r="E1957" i="3"/>
  <c r="A1958" i="3"/>
  <c r="I1956" i="3"/>
  <c r="H1956" i="3" s="1"/>
  <c r="C1956" i="3"/>
  <c r="B1956" i="3" s="1"/>
  <c r="L1958" i="3" l="1"/>
  <c r="F1958" i="3"/>
  <c r="J1958" i="3"/>
  <c r="D1958" i="3"/>
  <c r="K1958" i="3"/>
  <c r="E1958" i="3"/>
  <c r="C1957" i="3"/>
  <c r="B1957" i="3" s="1"/>
  <c r="A1959" i="3"/>
  <c r="I1957" i="3"/>
  <c r="H1957" i="3" s="1"/>
  <c r="L1959" i="3" l="1"/>
  <c r="F1959" i="3"/>
  <c r="J1959" i="3"/>
  <c r="D1959" i="3"/>
  <c r="K1959" i="3"/>
  <c r="E1959" i="3"/>
  <c r="C1958" i="3"/>
  <c r="B1958" i="3" s="1"/>
  <c r="A1960" i="3"/>
  <c r="I1958" i="3"/>
  <c r="H1958" i="3" s="1"/>
  <c r="L1960" i="3" l="1"/>
  <c r="F1960" i="3"/>
  <c r="J1960" i="3"/>
  <c r="D1960" i="3"/>
  <c r="K1960" i="3"/>
  <c r="E1960" i="3"/>
  <c r="C1959" i="3"/>
  <c r="B1959" i="3" s="1"/>
  <c r="A1961" i="3"/>
  <c r="I1959" i="3"/>
  <c r="H1959" i="3" s="1"/>
  <c r="L1961" i="3" l="1"/>
  <c r="J1961" i="3"/>
  <c r="D1961" i="3"/>
  <c r="K1961" i="3"/>
  <c r="E1961" i="3"/>
  <c r="C1960" i="3"/>
  <c r="B1960" i="3" s="1"/>
  <c r="A1962" i="3"/>
  <c r="I1960" i="3"/>
  <c r="H1960" i="3" s="1"/>
  <c r="L1962" i="3" l="1"/>
  <c r="F1962" i="3"/>
  <c r="D1962" i="3"/>
  <c r="J1962" i="3"/>
  <c r="E1962" i="3"/>
  <c r="K1962" i="3"/>
  <c r="I1961" i="3"/>
  <c r="H1961" i="3" s="1"/>
  <c r="A1963" i="3"/>
  <c r="F1963" i="3" l="1"/>
  <c r="E1963" i="3"/>
  <c r="L1963" i="3"/>
  <c r="J1963" i="3"/>
  <c r="D1963" i="3"/>
  <c r="K1963" i="3"/>
  <c r="C1962" i="3"/>
  <c r="B1962" i="3" s="1"/>
  <c r="A1964" i="3"/>
  <c r="I1962" i="3"/>
  <c r="H1962" i="3" s="1"/>
  <c r="L1964" i="3" l="1"/>
  <c r="F1964" i="3"/>
  <c r="J1964" i="3"/>
  <c r="D1964" i="3"/>
  <c r="K1964" i="3"/>
  <c r="E1964" i="3"/>
  <c r="C1963" i="3"/>
  <c r="B1963" i="3" s="1"/>
  <c r="A1965" i="3"/>
  <c r="I1963" i="3"/>
  <c r="H1963" i="3" s="1"/>
  <c r="L1965" i="3" l="1"/>
  <c r="F1965" i="3"/>
  <c r="J1965" i="3"/>
  <c r="D1965" i="3"/>
  <c r="K1965" i="3"/>
  <c r="E1965" i="3"/>
  <c r="C1964" i="3"/>
  <c r="B1964" i="3" s="1"/>
  <c r="A1966" i="3"/>
  <c r="I1964" i="3"/>
  <c r="H1964" i="3" s="1"/>
  <c r="L1966" i="3" l="1"/>
  <c r="F1966" i="3"/>
  <c r="J1966" i="3"/>
  <c r="D1966" i="3"/>
  <c r="K1966" i="3"/>
  <c r="E1966" i="3"/>
  <c r="C1965" i="3"/>
  <c r="B1965" i="3" s="1"/>
  <c r="I1965" i="3"/>
  <c r="H1965" i="3" s="1"/>
  <c r="A1967" i="3"/>
  <c r="L1967" i="3" l="1"/>
  <c r="F1967" i="3"/>
  <c r="J1967" i="3"/>
  <c r="D1967" i="3"/>
  <c r="K1967" i="3"/>
  <c r="E1967" i="3"/>
  <c r="C1966" i="3"/>
  <c r="B1966" i="3" s="1"/>
  <c r="A1968" i="3"/>
  <c r="I1966" i="3"/>
  <c r="H1966" i="3" s="1"/>
  <c r="L1968" i="3" l="1"/>
  <c r="F1968" i="3"/>
  <c r="J1968" i="3"/>
  <c r="D1968" i="3"/>
  <c r="K1968" i="3"/>
  <c r="E1968" i="3"/>
  <c r="C1967" i="3"/>
  <c r="B1967" i="3" s="1"/>
  <c r="I1967" i="3"/>
  <c r="H1967" i="3" s="1"/>
  <c r="A1969" i="3"/>
  <c r="L1969" i="3" l="1"/>
  <c r="F1969" i="3"/>
  <c r="J1969" i="3"/>
  <c r="D1969" i="3"/>
  <c r="K1969" i="3"/>
  <c r="E1969" i="3"/>
  <c r="C1968" i="3"/>
  <c r="B1968" i="3" s="1"/>
  <c r="I1968" i="3"/>
  <c r="H1968" i="3" s="1"/>
  <c r="A1970" i="3"/>
  <c r="F1970" i="3" l="1"/>
  <c r="L1970" i="3"/>
  <c r="J1970" i="3"/>
  <c r="D1970" i="3"/>
  <c r="K1970" i="3"/>
  <c r="E1970" i="3"/>
  <c r="C1969" i="3"/>
  <c r="B1969" i="3" s="1"/>
  <c r="A1971" i="3"/>
  <c r="I1969" i="3"/>
  <c r="H1969" i="3" s="1"/>
  <c r="L1971" i="3" l="1"/>
  <c r="F1971" i="3"/>
  <c r="J1971" i="3"/>
  <c r="D1971" i="3"/>
  <c r="K1971" i="3"/>
  <c r="E1971" i="3"/>
  <c r="C1970" i="3"/>
  <c r="B1970" i="3" s="1"/>
  <c r="I1970" i="3"/>
  <c r="H1970" i="3" s="1"/>
  <c r="A1972" i="3"/>
  <c r="L1972" i="3" l="1"/>
  <c r="F1972" i="3"/>
  <c r="J1972" i="3"/>
  <c r="D1972" i="3"/>
  <c r="K1972" i="3"/>
  <c r="E1972" i="3"/>
  <c r="C1971" i="3"/>
  <c r="B1971" i="3" s="1"/>
  <c r="I1971" i="3"/>
  <c r="H1971" i="3" s="1"/>
  <c r="A1973" i="3"/>
  <c r="L1973" i="3" l="1"/>
  <c r="F1973" i="3"/>
  <c r="J1973" i="3"/>
  <c r="D1973" i="3"/>
  <c r="K1973" i="3"/>
  <c r="E1973" i="3"/>
  <c r="C1972" i="3"/>
  <c r="B1972" i="3" s="1"/>
  <c r="I1972" i="3"/>
  <c r="H1972" i="3" s="1"/>
  <c r="A1974" i="3"/>
  <c r="L1974" i="3" l="1"/>
  <c r="F1974" i="3"/>
  <c r="J1974" i="3"/>
  <c r="D1974" i="3"/>
  <c r="K1974" i="3"/>
  <c r="E1974" i="3"/>
  <c r="I1973" i="3"/>
  <c r="H1973" i="3" s="1"/>
  <c r="C1973" i="3"/>
  <c r="B1973" i="3" s="1"/>
  <c r="A1975" i="3"/>
  <c r="L1975" i="3" l="1"/>
  <c r="F1975" i="3"/>
  <c r="D1975" i="3"/>
  <c r="J1975" i="3"/>
  <c r="E1975" i="3"/>
  <c r="K1975" i="3"/>
  <c r="C1974" i="3"/>
  <c r="B1974" i="3" s="1"/>
  <c r="I1974" i="3"/>
  <c r="H1974" i="3" s="1"/>
  <c r="A1976" i="3"/>
  <c r="L1976" i="3" l="1"/>
  <c r="F1976" i="3"/>
  <c r="J1976" i="3"/>
  <c r="D1976" i="3"/>
  <c r="K1976" i="3"/>
  <c r="E1976" i="3"/>
  <c r="C1975" i="3"/>
  <c r="B1975" i="3" s="1"/>
  <c r="A1977" i="3"/>
  <c r="I1975" i="3"/>
  <c r="H1975" i="3" s="1"/>
  <c r="L1977" i="3" l="1"/>
  <c r="F1977" i="3"/>
  <c r="J1977" i="3"/>
  <c r="D1977" i="3"/>
  <c r="K1977" i="3"/>
  <c r="E1977" i="3"/>
  <c r="C1976" i="3"/>
  <c r="B1976" i="3" s="1"/>
  <c r="A1978" i="3"/>
  <c r="I1976" i="3"/>
  <c r="H1976" i="3" s="1"/>
  <c r="L1978" i="3" l="1"/>
  <c r="F1978" i="3"/>
  <c r="D1978" i="3"/>
  <c r="J1978" i="3"/>
  <c r="E1978" i="3"/>
  <c r="K1978" i="3"/>
  <c r="A1979" i="3"/>
  <c r="I1977" i="3"/>
  <c r="H1977" i="3" s="1"/>
  <c r="C1977" i="3"/>
  <c r="B1977" i="3" s="1"/>
  <c r="L1979" i="3" l="1"/>
  <c r="F1979" i="3"/>
  <c r="J1979" i="3"/>
  <c r="D1979" i="3"/>
  <c r="K1979" i="3"/>
  <c r="E1979" i="3"/>
  <c r="C1978" i="3"/>
  <c r="B1978" i="3" s="1"/>
  <c r="A1980" i="3"/>
  <c r="I1978" i="3"/>
  <c r="H1978" i="3" s="1"/>
  <c r="L1980" i="3" l="1"/>
  <c r="F1980" i="3"/>
  <c r="J1980" i="3"/>
  <c r="D1980" i="3"/>
  <c r="K1980" i="3"/>
  <c r="E1980" i="3"/>
  <c r="C1979" i="3"/>
  <c r="B1979" i="3" s="1"/>
  <c r="I1979" i="3"/>
  <c r="H1979" i="3" s="1"/>
  <c r="A1981" i="3"/>
  <c r="L1981" i="3" l="1"/>
  <c r="F1981" i="3"/>
  <c r="J1981" i="3"/>
  <c r="D1981" i="3"/>
  <c r="K1981" i="3"/>
  <c r="E1981" i="3"/>
  <c r="C1980" i="3"/>
  <c r="B1980" i="3" s="1"/>
  <c r="A1982" i="3"/>
  <c r="I1980" i="3"/>
  <c r="H1980" i="3" s="1"/>
  <c r="L1982" i="3" l="1"/>
  <c r="F1982" i="3"/>
  <c r="J1982" i="3"/>
  <c r="D1982" i="3"/>
  <c r="K1982" i="3"/>
  <c r="E1982" i="3"/>
  <c r="C1981" i="3"/>
  <c r="B1981" i="3" s="1"/>
  <c r="A1983" i="3"/>
  <c r="I1981" i="3"/>
  <c r="H1981" i="3" s="1"/>
  <c r="L1983" i="3" l="1"/>
  <c r="F1983" i="3"/>
  <c r="J1983" i="3"/>
  <c r="D1983" i="3"/>
  <c r="K1983" i="3"/>
  <c r="E1983" i="3"/>
  <c r="C1982" i="3"/>
  <c r="B1982" i="3" s="1"/>
  <c r="A1984" i="3"/>
  <c r="I1982" i="3"/>
  <c r="H1982" i="3" s="1"/>
  <c r="F1984" i="3" l="1"/>
  <c r="E1984" i="3"/>
  <c r="L1984" i="3"/>
  <c r="J1984" i="3"/>
  <c r="D1984" i="3"/>
  <c r="K1984" i="3"/>
  <c r="C1983" i="3"/>
  <c r="B1983" i="3" s="1"/>
  <c r="I1983" i="3"/>
  <c r="H1983" i="3" s="1"/>
  <c r="A1985" i="3"/>
  <c r="L1985" i="3" l="1"/>
  <c r="F1985" i="3"/>
  <c r="J1985" i="3"/>
  <c r="D1985" i="3"/>
  <c r="K1985" i="3"/>
  <c r="E1985" i="3"/>
  <c r="A1986" i="3"/>
  <c r="I1984" i="3"/>
  <c r="H1984" i="3" s="1"/>
  <c r="L1986" i="3" l="1"/>
  <c r="F1986" i="3"/>
  <c r="J1986" i="3"/>
  <c r="D1986" i="3"/>
  <c r="K1986" i="3"/>
  <c r="E1986" i="3"/>
  <c r="A1987" i="3"/>
  <c r="I1985" i="3"/>
  <c r="H1985" i="3" s="1"/>
  <c r="C1985" i="3"/>
  <c r="B1985" i="3" s="1"/>
  <c r="L1987" i="3" l="1"/>
  <c r="F1987" i="3"/>
  <c r="J1987" i="3"/>
  <c r="D1987" i="3"/>
  <c r="K1987" i="3"/>
  <c r="E1987" i="3"/>
  <c r="C1986" i="3"/>
  <c r="B1986" i="3" s="1"/>
  <c r="A1988" i="3"/>
  <c r="I1986" i="3"/>
  <c r="H1986" i="3" s="1"/>
  <c r="L1988" i="3" l="1"/>
  <c r="F1988" i="3"/>
  <c r="J1988" i="3"/>
  <c r="D1988" i="3"/>
  <c r="K1988" i="3"/>
  <c r="E1988" i="3"/>
  <c r="C1987" i="3"/>
  <c r="B1987" i="3" s="1"/>
  <c r="I1987" i="3"/>
  <c r="H1987" i="3" s="1"/>
  <c r="A1989" i="3"/>
  <c r="L1989" i="3" l="1"/>
  <c r="F1989" i="3"/>
  <c r="J1989" i="3"/>
  <c r="D1989" i="3"/>
  <c r="K1989" i="3"/>
  <c r="E1989" i="3"/>
  <c r="C1988" i="3"/>
  <c r="B1988" i="3" s="1"/>
  <c r="A1990" i="3"/>
  <c r="I1988" i="3"/>
  <c r="H1988" i="3" s="1"/>
  <c r="L1990" i="3" l="1"/>
  <c r="F1990" i="3"/>
  <c r="J1990" i="3"/>
  <c r="D1990" i="3"/>
  <c r="K1990" i="3"/>
  <c r="E1990" i="3"/>
  <c r="I1989" i="3"/>
  <c r="H1989" i="3" s="1"/>
  <c r="C1989" i="3"/>
  <c r="B1989" i="3" s="1"/>
  <c r="A1991" i="3"/>
  <c r="F1991" i="3" l="1"/>
  <c r="L1991" i="3"/>
  <c r="J1991" i="3"/>
  <c r="D1991" i="3"/>
  <c r="K1991" i="3"/>
  <c r="E1991" i="3"/>
  <c r="I1990" i="3"/>
  <c r="H1990" i="3" s="1"/>
  <c r="C1990" i="3"/>
  <c r="B1990" i="3" s="1"/>
  <c r="A1992" i="3"/>
  <c r="L1992" i="3" l="1"/>
  <c r="F1992" i="3"/>
  <c r="J1992" i="3"/>
  <c r="D1992" i="3"/>
  <c r="K1992" i="3"/>
  <c r="E1992" i="3"/>
  <c r="I1991" i="3"/>
  <c r="H1991" i="3" s="1"/>
  <c r="A1993" i="3"/>
  <c r="C1991" i="3"/>
  <c r="B1991" i="3" s="1"/>
  <c r="L1993" i="3" l="1"/>
  <c r="F1993" i="3"/>
  <c r="J1993" i="3"/>
  <c r="D1993" i="3"/>
  <c r="K1993" i="3"/>
  <c r="E1993" i="3"/>
  <c r="C1992" i="3"/>
  <c r="B1992" i="3" s="1"/>
  <c r="A1994" i="3"/>
  <c r="I1992" i="3"/>
  <c r="H1992" i="3" s="1"/>
  <c r="L1994" i="3" l="1"/>
  <c r="F1994" i="3"/>
  <c r="D1994" i="3"/>
  <c r="E1994" i="3"/>
  <c r="J1994" i="3"/>
  <c r="K1994" i="3"/>
  <c r="C1993" i="3"/>
  <c r="B1993" i="3" s="1"/>
  <c r="A1995" i="3"/>
  <c r="I1993" i="3"/>
  <c r="H1993" i="3" s="1"/>
  <c r="L1995" i="3" l="1"/>
  <c r="F1995" i="3"/>
  <c r="J1995" i="3"/>
  <c r="D1995" i="3"/>
  <c r="K1995" i="3"/>
  <c r="E1995" i="3"/>
  <c r="C1994" i="3"/>
  <c r="B1994" i="3" s="1"/>
  <c r="A1996" i="3"/>
  <c r="I1994" i="3"/>
  <c r="H1994" i="3" s="1"/>
  <c r="L1996" i="3" l="1"/>
  <c r="F1996" i="3"/>
  <c r="J1996" i="3"/>
  <c r="D1996" i="3"/>
  <c r="K1996" i="3"/>
  <c r="E1996" i="3"/>
  <c r="I1995" i="3"/>
  <c r="H1995" i="3" s="1"/>
  <c r="A1997" i="3"/>
  <c r="C1995" i="3"/>
  <c r="B1995" i="3" s="1"/>
  <c r="L1997" i="3" l="1"/>
  <c r="F1997" i="3"/>
  <c r="J1997" i="3"/>
  <c r="D1997" i="3"/>
  <c r="K1997" i="3"/>
  <c r="E1997" i="3"/>
  <c r="C1996" i="3"/>
  <c r="B1996" i="3" s="1"/>
  <c r="A1998" i="3"/>
  <c r="I1996" i="3"/>
  <c r="H1996" i="3" s="1"/>
  <c r="L1998" i="3" l="1"/>
  <c r="F1998" i="3"/>
  <c r="J1998" i="3"/>
  <c r="D1998" i="3"/>
  <c r="K1998" i="3"/>
  <c r="E1998" i="3"/>
  <c r="I1997" i="3"/>
  <c r="H1997" i="3" s="1"/>
  <c r="A1999" i="3"/>
  <c r="C1997" i="3"/>
  <c r="B1997" i="3" s="1"/>
  <c r="L1999" i="3" l="1"/>
  <c r="F1999" i="3"/>
  <c r="J1999" i="3"/>
  <c r="D1999" i="3"/>
  <c r="K1999" i="3"/>
  <c r="E1999" i="3"/>
  <c r="C1998" i="3"/>
  <c r="B1998" i="3" s="1"/>
  <c r="A2000" i="3"/>
  <c r="I1998" i="3"/>
  <c r="H1998" i="3" s="1"/>
  <c r="L2000" i="3" l="1"/>
  <c r="F2000" i="3"/>
  <c r="J2000" i="3"/>
  <c r="D2000" i="3"/>
  <c r="K2000" i="3"/>
  <c r="E2000" i="3"/>
  <c r="C1999" i="3"/>
  <c r="B1999" i="3" s="1"/>
  <c r="I1999" i="3"/>
  <c r="H1999" i="3" s="1"/>
  <c r="A2001" i="3"/>
  <c r="L2001" i="3" l="1"/>
  <c r="F2001" i="3"/>
  <c r="J2001" i="3"/>
  <c r="D2001" i="3"/>
  <c r="K2001" i="3"/>
  <c r="E2001" i="3"/>
  <c r="C2000" i="3"/>
  <c r="B2000" i="3" s="1"/>
  <c r="A2002" i="3"/>
  <c r="I2000" i="3"/>
  <c r="H2000" i="3" s="1"/>
  <c r="L2002" i="3" l="1"/>
  <c r="F2002" i="3"/>
  <c r="J2002" i="3"/>
  <c r="D2002" i="3"/>
  <c r="K2002" i="3"/>
  <c r="E2002" i="3"/>
  <c r="C2001" i="3"/>
  <c r="B2001" i="3" s="1"/>
  <c r="A2003" i="3"/>
  <c r="I2001" i="3"/>
  <c r="H2001" i="3" s="1"/>
  <c r="L2003" i="3" l="1"/>
  <c r="F2003" i="3"/>
  <c r="J2003" i="3"/>
  <c r="D2003" i="3"/>
  <c r="K2003" i="3"/>
  <c r="E2003" i="3"/>
  <c r="C2002" i="3"/>
  <c r="B2002" i="3" s="1"/>
  <c r="A2004" i="3"/>
  <c r="I2002" i="3"/>
  <c r="H2002" i="3" s="1"/>
  <c r="F2004" i="3" l="1"/>
  <c r="E2004" i="3"/>
  <c r="L2004" i="3"/>
  <c r="J2004" i="3"/>
  <c r="D2004" i="3"/>
  <c r="K2004" i="3"/>
  <c r="A2005" i="3"/>
  <c r="I2003" i="3"/>
  <c r="H2003" i="3" s="1"/>
  <c r="C2003" i="3"/>
  <c r="B2003" i="3" s="1"/>
  <c r="L2005" i="3" l="1"/>
  <c r="J2005" i="3"/>
  <c r="D2005" i="3"/>
  <c r="K2005" i="3"/>
  <c r="E2005" i="3"/>
  <c r="C2004" i="3"/>
  <c r="B2004" i="3" s="1"/>
  <c r="A2006" i="3"/>
  <c r="I2004" i="3"/>
  <c r="H2004" i="3" s="1"/>
  <c r="L2006" i="3" l="1"/>
  <c r="F2006" i="3"/>
  <c r="J2006" i="3"/>
  <c r="D2006" i="3"/>
  <c r="K2006" i="3"/>
  <c r="E2006" i="3"/>
  <c r="I2005" i="3"/>
  <c r="H2005" i="3" s="1"/>
  <c r="A2007" i="3"/>
  <c r="L2007" i="3" l="1"/>
  <c r="F2007" i="3"/>
  <c r="J2007" i="3"/>
  <c r="D2007" i="3"/>
  <c r="K2007" i="3"/>
  <c r="E2007" i="3"/>
  <c r="I2006" i="3"/>
  <c r="H2006" i="3" s="1"/>
  <c r="A2008" i="3"/>
  <c r="C2006" i="3"/>
  <c r="B2006" i="3" s="1"/>
  <c r="L2008" i="3" l="1"/>
  <c r="F2008" i="3"/>
  <c r="D2008" i="3"/>
  <c r="J2008" i="3"/>
  <c r="E2008" i="3"/>
  <c r="K2008" i="3"/>
  <c r="I2007" i="3"/>
  <c r="H2007" i="3" s="1"/>
  <c r="A2009" i="3"/>
  <c r="C2007" i="3"/>
  <c r="B2007" i="3" s="1"/>
  <c r="L2009" i="3" l="1"/>
  <c r="F2009" i="3"/>
  <c r="J2009" i="3"/>
  <c r="D2009" i="3"/>
  <c r="K2009" i="3"/>
  <c r="E2009" i="3"/>
  <c r="C2008" i="3"/>
  <c r="B2008" i="3" s="1"/>
  <c r="A2010" i="3"/>
  <c r="I2008" i="3"/>
  <c r="H2008" i="3" s="1"/>
  <c r="L2010" i="3" l="1"/>
  <c r="F2010" i="3"/>
  <c r="J2010" i="3"/>
  <c r="D2010" i="3"/>
  <c r="K2010" i="3"/>
  <c r="E2010" i="3"/>
  <c r="C2009" i="3"/>
  <c r="B2009" i="3" s="1"/>
  <c r="I2009" i="3"/>
  <c r="H2009" i="3" s="1"/>
  <c r="A2011" i="3"/>
  <c r="F2011" i="3" l="1"/>
  <c r="L2011" i="3"/>
  <c r="J2011" i="3"/>
  <c r="D2011" i="3"/>
  <c r="K2011" i="3"/>
  <c r="E2011" i="3"/>
  <c r="I2010" i="3"/>
  <c r="H2010" i="3" s="1"/>
  <c r="A2012" i="3"/>
  <c r="C2010" i="3"/>
  <c r="B2010" i="3" s="1"/>
  <c r="L2012" i="3" l="1"/>
  <c r="F2012" i="3"/>
  <c r="J2012" i="3"/>
  <c r="D2012" i="3"/>
  <c r="K2012" i="3"/>
  <c r="E2012" i="3"/>
  <c r="C2011" i="3"/>
  <c r="B2011" i="3" s="1"/>
  <c r="I2011" i="3"/>
  <c r="H2011" i="3" s="1"/>
  <c r="A2013" i="3"/>
  <c r="L2013" i="3" l="1"/>
  <c r="F2013" i="3"/>
  <c r="J2013" i="3"/>
  <c r="D2013" i="3"/>
  <c r="K2013" i="3"/>
  <c r="E2013" i="3"/>
  <c r="C2012" i="3"/>
  <c r="B2012" i="3" s="1"/>
  <c r="I2012" i="3"/>
  <c r="H2012" i="3" s="1"/>
  <c r="A2014" i="3"/>
  <c r="L2014" i="3" l="1"/>
  <c r="F2014" i="3"/>
  <c r="J2014" i="3"/>
  <c r="D2014" i="3"/>
  <c r="K2014" i="3"/>
  <c r="E2014" i="3"/>
  <c r="A2015" i="3"/>
  <c r="I2013" i="3"/>
  <c r="H2013" i="3" s="1"/>
  <c r="C2013" i="3"/>
  <c r="B2013" i="3" s="1"/>
  <c r="L2015" i="3" l="1"/>
  <c r="F2015" i="3"/>
  <c r="J2015" i="3"/>
  <c r="D2015" i="3"/>
  <c r="K2015" i="3"/>
  <c r="E2015" i="3"/>
  <c r="C2014" i="3"/>
  <c r="B2014" i="3" s="1"/>
  <c r="I2014" i="3"/>
  <c r="H2014" i="3" s="1"/>
  <c r="A2016" i="3"/>
  <c r="L2016" i="3" l="1"/>
  <c r="F2016" i="3"/>
  <c r="J2016" i="3"/>
  <c r="D2016" i="3"/>
  <c r="K2016" i="3"/>
  <c r="E2016" i="3"/>
  <c r="C2015" i="3"/>
  <c r="B2015" i="3" s="1"/>
  <c r="I2015" i="3"/>
  <c r="H2015" i="3" s="1"/>
  <c r="A2017" i="3"/>
  <c r="L2017" i="3" l="1"/>
  <c r="F2017" i="3"/>
  <c r="J2017" i="3"/>
  <c r="D2017" i="3"/>
  <c r="K2017" i="3"/>
  <c r="E2017" i="3"/>
  <c r="I2016" i="3"/>
  <c r="H2016" i="3" s="1"/>
  <c r="C2016" i="3"/>
  <c r="B2016" i="3" s="1"/>
  <c r="A2018" i="3"/>
  <c r="L2018" i="3" l="1"/>
  <c r="F2018" i="3"/>
  <c r="J2018" i="3"/>
  <c r="D2018" i="3"/>
  <c r="K2018" i="3"/>
  <c r="E2018" i="3"/>
  <c r="A2019" i="3"/>
  <c r="I2017" i="3"/>
  <c r="H2017" i="3" s="1"/>
  <c r="C2017" i="3"/>
  <c r="B2017" i="3" s="1"/>
  <c r="L2019" i="3" l="1"/>
  <c r="F2019" i="3"/>
  <c r="J2019" i="3"/>
  <c r="K2019" i="3"/>
  <c r="D2019" i="3"/>
  <c r="E2019" i="3"/>
  <c r="C2018" i="3"/>
  <c r="B2018" i="3" s="1"/>
  <c r="A2020" i="3"/>
  <c r="I2018" i="3"/>
  <c r="H2018" i="3" s="1"/>
  <c r="L2020" i="3" l="1"/>
  <c r="F2020" i="3"/>
  <c r="J2020" i="3"/>
  <c r="D2020" i="3"/>
  <c r="K2020" i="3"/>
  <c r="E2020" i="3"/>
  <c r="C2019" i="3"/>
  <c r="B2019" i="3" s="1"/>
  <c r="A2021" i="3"/>
  <c r="I2019" i="3"/>
  <c r="H2019" i="3" s="1"/>
  <c r="L2021" i="3" l="1"/>
  <c r="F2021" i="3"/>
  <c r="J2021" i="3"/>
  <c r="D2021" i="3"/>
  <c r="K2021" i="3"/>
  <c r="E2021" i="3"/>
  <c r="C2020" i="3"/>
  <c r="B2020" i="3" s="1"/>
  <c r="A2022" i="3"/>
  <c r="I2020" i="3"/>
  <c r="H2020" i="3" s="1"/>
  <c r="L2022" i="3" l="1"/>
  <c r="F2022" i="3"/>
  <c r="J2022" i="3"/>
  <c r="D2022" i="3"/>
  <c r="K2022" i="3"/>
  <c r="E2022" i="3"/>
  <c r="I2021" i="3"/>
  <c r="H2021" i="3" s="1"/>
  <c r="C2021" i="3"/>
  <c r="B2021" i="3" s="1"/>
  <c r="A2023" i="3"/>
  <c r="L2023" i="3" l="1"/>
  <c r="F2023" i="3"/>
  <c r="J2023" i="3"/>
  <c r="D2023" i="3"/>
  <c r="K2023" i="3"/>
  <c r="E2023" i="3"/>
  <c r="C2022" i="3"/>
  <c r="B2022" i="3" s="1"/>
  <c r="A2024" i="3"/>
  <c r="I2022" i="3"/>
  <c r="H2022" i="3" s="1"/>
  <c r="F2024" i="3" l="1"/>
  <c r="E2024" i="3"/>
  <c r="L2024" i="3"/>
  <c r="D2024" i="3"/>
  <c r="J2024" i="3"/>
  <c r="K2024" i="3"/>
  <c r="C2023" i="3"/>
  <c r="B2023" i="3" s="1"/>
  <c r="A2025" i="3"/>
  <c r="I2023" i="3"/>
  <c r="H2023" i="3" s="1"/>
  <c r="L2025" i="3" l="1"/>
  <c r="F2025" i="3"/>
  <c r="J2025" i="3"/>
  <c r="D2025" i="3"/>
  <c r="K2025" i="3"/>
  <c r="E2025" i="3"/>
  <c r="C2024" i="3"/>
  <c r="B2024" i="3" s="1"/>
  <c r="A2026" i="3"/>
  <c r="I2024" i="3"/>
  <c r="H2024" i="3" s="1"/>
  <c r="L2026" i="3" l="1"/>
  <c r="J2026" i="3"/>
  <c r="D2026" i="3"/>
  <c r="K2026" i="3"/>
  <c r="E2026" i="3"/>
  <c r="C2025" i="3"/>
  <c r="B2025" i="3" s="1"/>
  <c r="I2025" i="3"/>
  <c r="H2025" i="3" s="1"/>
  <c r="A2027" i="3"/>
  <c r="L2027" i="3" l="1"/>
  <c r="F2027" i="3"/>
  <c r="J2027" i="3"/>
  <c r="D2027" i="3"/>
  <c r="K2027" i="3"/>
  <c r="E2027" i="3"/>
  <c r="I2026" i="3"/>
  <c r="H2026" i="3" s="1"/>
  <c r="A2028" i="3"/>
  <c r="L2028" i="3" l="1"/>
  <c r="F2028" i="3"/>
  <c r="J2028" i="3"/>
  <c r="D2028" i="3"/>
  <c r="K2028" i="3"/>
  <c r="E2028" i="3"/>
  <c r="C2027" i="3"/>
  <c r="B2027" i="3" s="1"/>
  <c r="A2029" i="3"/>
  <c r="I2027" i="3"/>
  <c r="H2027" i="3" s="1"/>
  <c r="L2029" i="3" l="1"/>
  <c r="F2029" i="3"/>
  <c r="J2029" i="3"/>
  <c r="D2029" i="3"/>
  <c r="K2029" i="3"/>
  <c r="E2029" i="3"/>
  <c r="C2028" i="3"/>
  <c r="B2028" i="3" s="1"/>
  <c r="A2030" i="3"/>
  <c r="I2028" i="3"/>
  <c r="H2028" i="3" s="1"/>
  <c r="L2030" i="3" l="1"/>
  <c r="F2030" i="3"/>
  <c r="J2030" i="3"/>
  <c r="D2030" i="3"/>
  <c r="K2030" i="3"/>
  <c r="E2030" i="3"/>
  <c r="C2029" i="3"/>
  <c r="B2029" i="3" s="1"/>
  <c r="A2031" i="3"/>
  <c r="I2029" i="3"/>
  <c r="H2029" i="3" s="1"/>
  <c r="F2031" i="3" l="1"/>
  <c r="L2031" i="3"/>
  <c r="J2031" i="3"/>
  <c r="D2031" i="3"/>
  <c r="K2031" i="3"/>
  <c r="E2031" i="3"/>
  <c r="C2030" i="3"/>
  <c r="B2030" i="3" s="1"/>
  <c r="I2030" i="3"/>
  <c r="H2030" i="3" s="1"/>
  <c r="A2032" i="3"/>
  <c r="L2032" i="3" l="1"/>
  <c r="F2032" i="3"/>
  <c r="J2032" i="3"/>
  <c r="D2032" i="3"/>
  <c r="K2032" i="3"/>
  <c r="E2032" i="3"/>
  <c r="C2031" i="3"/>
  <c r="B2031" i="3" s="1"/>
  <c r="I2031" i="3"/>
  <c r="H2031" i="3" s="1"/>
  <c r="A2033" i="3"/>
  <c r="L2033" i="3" l="1"/>
  <c r="F2033" i="3"/>
  <c r="J2033" i="3"/>
  <c r="D2033" i="3"/>
  <c r="K2033" i="3"/>
  <c r="E2033" i="3"/>
  <c r="C2032" i="3"/>
  <c r="B2032" i="3" s="1"/>
  <c r="I2032" i="3"/>
  <c r="H2032" i="3" s="1"/>
  <c r="A2034" i="3"/>
  <c r="L2034" i="3" l="1"/>
  <c r="F2034" i="3"/>
  <c r="J2034" i="3"/>
  <c r="D2034" i="3"/>
  <c r="K2034" i="3"/>
  <c r="E2034" i="3"/>
  <c r="C2033" i="3"/>
  <c r="B2033" i="3" s="1"/>
  <c r="A2035" i="3"/>
  <c r="I2033" i="3"/>
  <c r="H2033" i="3" s="1"/>
  <c r="L2035" i="3" l="1"/>
  <c r="F2035" i="3"/>
  <c r="J2035" i="3"/>
  <c r="D2035" i="3"/>
  <c r="K2035" i="3"/>
  <c r="E2035" i="3"/>
  <c r="C2034" i="3"/>
  <c r="B2034" i="3" s="1"/>
  <c r="A2036" i="3"/>
  <c r="I2034" i="3"/>
  <c r="H2034" i="3" s="1"/>
  <c r="L2036" i="3" l="1"/>
  <c r="F2036" i="3"/>
  <c r="J2036" i="3"/>
  <c r="D2036" i="3"/>
  <c r="K2036" i="3"/>
  <c r="E2036" i="3"/>
  <c r="C2035" i="3"/>
  <c r="B2035" i="3" s="1"/>
  <c r="A2037" i="3"/>
  <c r="I2035" i="3"/>
  <c r="H2035" i="3" s="1"/>
  <c r="L2037" i="3" l="1"/>
  <c r="F2037" i="3"/>
  <c r="D2037" i="3"/>
  <c r="J2037" i="3"/>
  <c r="E2037" i="3"/>
  <c r="K2037" i="3"/>
  <c r="A2038" i="3"/>
  <c r="I2036" i="3"/>
  <c r="H2036" i="3" s="1"/>
  <c r="C2036" i="3"/>
  <c r="B2036" i="3" s="1"/>
  <c r="L2038" i="3" l="1"/>
  <c r="F2038" i="3"/>
  <c r="J2038" i="3"/>
  <c r="D2038" i="3"/>
  <c r="K2038" i="3"/>
  <c r="E2038" i="3"/>
  <c r="A2039" i="3"/>
  <c r="I2037" i="3"/>
  <c r="H2037" i="3" s="1"/>
  <c r="C2037" i="3"/>
  <c r="B2037" i="3" s="1"/>
  <c r="L2039" i="3" l="1"/>
  <c r="F2039" i="3"/>
  <c r="J2039" i="3"/>
  <c r="D2039" i="3"/>
  <c r="K2039" i="3"/>
  <c r="E2039" i="3"/>
  <c r="C2038" i="3"/>
  <c r="B2038" i="3" s="1"/>
  <c r="A2040" i="3"/>
  <c r="I2038" i="3"/>
  <c r="H2038" i="3" s="1"/>
  <c r="L2040" i="3" l="1"/>
  <c r="F2040" i="3"/>
  <c r="J2040" i="3"/>
  <c r="D2040" i="3"/>
  <c r="K2040" i="3"/>
  <c r="E2040" i="3"/>
  <c r="C2039" i="3"/>
  <c r="B2039" i="3" s="1"/>
  <c r="A2041" i="3"/>
  <c r="I2039" i="3"/>
  <c r="H2039" i="3" s="1"/>
  <c r="L2041" i="3" l="1"/>
  <c r="F2041" i="3"/>
  <c r="J2041" i="3"/>
  <c r="D2041" i="3"/>
  <c r="K2041" i="3"/>
  <c r="E2041" i="3"/>
  <c r="C2040" i="3"/>
  <c r="B2040" i="3" s="1"/>
  <c r="A2042" i="3"/>
  <c r="I2040" i="3"/>
  <c r="H2040" i="3" s="1"/>
  <c r="L2042" i="3" l="1"/>
  <c r="F2042" i="3"/>
  <c r="J2042" i="3"/>
  <c r="D2042" i="3"/>
  <c r="K2042" i="3"/>
  <c r="E2042" i="3"/>
  <c r="C2041" i="3"/>
  <c r="B2041" i="3" s="1"/>
  <c r="I2041" i="3"/>
  <c r="H2041" i="3" s="1"/>
  <c r="A2043" i="3"/>
  <c r="L2043" i="3" l="1"/>
  <c r="F2043" i="3"/>
  <c r="J2043" i="3"/>
  <c r="D2043" i="3"/>
  <c r="K2043" i="3"/>
  <c r="E2043" i="3"/>
  <c r="C2042" i="3"/>
  <c r="B2042" i="3" s="1"/>
  <c r="A2044" i="3"/>
  <c r="I2042" i="3"/>
  <c r="H2042" i="3" s="1"/>
  <c r="L2044" i="3" l="1"/>
  <c r="F2044" i="3"/>
  <c r="J2044" i="3"/>
  <c r="D2044" i="3"/>
  <c r="K2044" i="3"/>
  <c r="E2044" i="3"/>
  <c r="I2043" i="3"/>
  <c r="H2043" i="3" s="1"/>
  <c r="C2043" i="3"/>
  <c r="B2043" i="3" s="1"/>
  <c r="A2045" i="3"/>
  <c r="L2045" i="3" l="1"/>
  <c r="F2045" i="3"/>
  <c r="J2045" i="3"/>
  <c r="D2045" i="3"/>
  <c r="K2045" i="3"/>
  <c r="E2045" i="3"/>
  <c r="C2044" i="3"/>
  <c r="B2044" i="3" s="1"/>
  <c r="I2044" i="3"/>
  <c r="H2044" i="3" s="1"/>
  <c r="A2046" i="3"/>
  <c r="F2046" i="3" l="1"/>
  <c r="E2046" i="3"/>
  <c r="L2046" i="3"/>
  <c r="J2046" i="3"/>
  <c r="D2046" i="3"/>
  <c r="K2046" i="3"/>
  <c r="C2045" i="3"/>
  <c r="B2045" i="3" s="1"/>
  <c r="A2047" i="3"/>
  <c r="I2045" i="3"/>
  <c r="H2045" i="3" s="1"/>
  <c r="L2047" i="3" l="1"/>
  <c r="J2047" i="3"/>
  <c r="D2047" i="3"/>
  <c r="K2047" i="3"/>
  <c r="E2047" i="3"/>
  <c r="C2046" i="3"/>
  <c r="B2046" i="3" s="1"/>
  <c r="I2046" i="3"/>
  <c r="H2046" i="3" s="1"/>
  <c r="A2048" i="3"/>
  <c r="L2048" i="3" l="1"/>
  <c r="F2048" i="3"/>
  <c r="J2048" i="3"/>
  <c r="D2048" i="3"/>
  <c r="K2048" i="3"/>
  <c r="E2048" i="3"/>
  <c r="I2047" i="3"/>
  <c r="H2047" i="3" s="1"/>
  <c r="A2049" i="3"/>
  <c r="L2049" i="3" l="1"/>
  <c r="F2049" i="3"/>
  <c r="J2049" i="3"/>
  <c r="D2049" i="3"/>
  <c r="K2049" i="3"/>
  <c r="E2049" i="3"/>
  <c r="C2048" i="3"/>
  <c r="B2048" i="3" s="1"/>
  <c r="I2048" i="3"/>
  <c r="H2048" i="3" s="1"/>
  <c r="A2050" i="3"/>
  <c r="L2050" i="3" l="1"/>
  <c r="F2050" i="3"/>
  <c r="J2050" i="3"/>
  <c r="D2050" i="3"/>
  <c r="K2050" i="3"/>
  <c r="E2050" i="3"/>
  <c r="A2051" i="3"/>
  <c r="I2049" i="3"/>
  <c r="H2049" i="3" s="1"/>
  <c r="C2049" i="3"/>
  <c r="B2049" i="3" s="1"/>
  <c r="L2051" i="3" l="1"/>
  <c r="F2051" i="3"/>
  <c r="J2051" i="3"/>
  <c r="D2051" i="3"/>
  <c r="K2051" i="3"/>
  <c r="E2051" i="3"/>
  <c r="A2052" i="3"/>
  <c r="C2050" i="3"/>
  <c r="B2050" i="3" s="1"/>
  <c r="I2050" i="3"/>
  <c r="H2050" i="3" s="1"/>
  <c r="L2052" i="3" l="1"/>
  <c r="F2052" i="3"/>
  <c r="J2052" i="3"/>
  <c r="D2052" i="3"/>
  <c r="K2052" i="3"/>
  <c r="E2052" i="3"/>
  <c r="C2051" i="3"/>
  <c r="B2051" i="3" s="1"/>
  <c r="A2053" i="3"/>
  <c r="I2051" i="3"/>
  <c r="H2051" i="3" s="1"/>
  <c r="F2053" i="3" l="1"/>
  <c r="L2053" i="3"/>
  <c r="D2053" i="3"/>
  <c r="J2053" i="3"/>
  <c r="E2053" i="3"/>
  <c r="K2053" i="3"/>
  <c r="C2052" i="3"/>
  <c r="B2052" i="3" s="1"/>
  <c r="I2052" i="3"/>
  <c r="H2052" i="3" s="1"/>
  <c r="A2054" i="3"/>
  <c r="L2054" i="3" l="1"/>
  <c r="F2054" i="3"/>
  <c r="J2054" i="3"/>
  <c r="D2054" i="3"/>
  <c r="K2054" i="3"/>
  <c r="E2054" i="3"/>
  <c r="C2053" i="3"/>
  <c r="B2053" i="3" s="1"/>
  <c r="I2053" i="3"/>
  <c r="H2053" i="3" s="1"/>
  <c r="A2055" i="3"/>
  <c r="L2055" i="3" l="1"/>
  <c r="F2055" i="3"/>
  <c r="J2055" i="3"/>
  <c r="D2055" i="3"/>
  <c r="K2055" i="3"/>
  <c r="E2055" i="3"/>
  <c r="C2054" i="3"/>
  <c r="B2054" i="3" s="1"/>
  <c r="A2056" i="3"/>
  <c r="I2054" i="3"/>
  <c r="H2054" i="3" s="1"/>
  <c r="L2056" i="3" l="1"/>
  <c r="F2056" i="3"/>
  <c r="J2056" i="3"/>
  <c r="D2056" i="3"/>
  <c r="K2056" i="3"/>
  <c r="E2056" i="3"/>
  <c r="C2055" i="3"/>
  <c r="B2055" i="3" s="1"/>
  <c r="A2057" i="3"/>
  <c r="I2055" i="3"/>
  <c r="H2055" i="3" s="1"/>
  <c r="L2057" i="3" l="1"/>
  <c r="F2057" i="3"/>
  <c r="J2057" i="3"/>
  <c r="D2057" i="3"/>
  <c r="K2057" i="3"/>
  <c r="E2057" i="3"/>
  <c r="C2056" i="3"/>
  <c r="B2056" i="3" s="1"/>
  <c r="A2058" i="3"/>
  <c r="I2056" i="3"/>
  <c r="H2056" i="3" s="1"/>
  <c r="L2058" i="3" l="1"/>
  <c r="F2058" i="3"/>
  <c r="J2058" i="3"/>
  <c r="K2058" i="3"/>
  <c r="D2058" i="3"/>
  <c r="E2058" i="3"/>
  <c r="I2057" i="3"/>
  <c r="H2057" i="3" s="1"/>
  <c r="A2059" i="3"/>
  <c r="C2057" i="3"/>
  <c r="B2057" i="3" s="1"/>
  <c r="L2059" i="3" l="1"/>
  <c r="F2059" i="3"/>
  <c r="J2059" i="3"/>
  <c r="D2059" i="3"/>
  <c r="K2059" i="3"/>
  <c r="E2059" i="3"/>
  <c r="I2058" i="3"/>
  <c r="H2058" i="3" s="1"/>
  <c r="C2058" i="3"/>
  <c r="B2058" i="3" s="1"/>
  <c r="A2060" i="3"/>
  <c r="L2060" i="3" l="1"/>
  <c r="F2060" i="3"/>
  <c r="J2060" i="3"/>
  <c r="D2060" i="3"/>
  <c r="K2060" i="3"/>
  <c r="E2060" i="3"/>
  <c r="C2059" i="3"/>
  <c r="B2059" i="3" s="1"/>
  <c r="A2061" i="3"/>
  <c r="I2059" i="3"/>
  <c r="H2059" i="3" s="1"/>
  <c r="L2061" i="3" l="1"/>
  <c r="F2061" i="3"/>
  <c r="J2061" i="3"/>
  <c r="D2061" i="3"/>
  <c r="K2061" i="3"/>
  <c r="E2061" i="3"/>
  <c r="C2060" i="3"/>
  <c r="B2060" i="3" s="1"/>
  <c r="I2060" i="3"/>
  <c r="H2060" i="3" s="1"/>
  <c r="A2062" i="3"/>
  <c r="L2062" i="3" l="1"/>
  <c r="F2062" i="3"/>
  <c r="J2062" i="3"/>
  <c r="D2062" i="3"/>
  <c r="K2062" i="3"/>
  <c r="E2062" i="3"/>
  <c r="A2063" i="3"/>
  <c r="I2061" i="3"/>
  <c r="H2061" i="3" s="1"/>
  <c r="C2061" i="3"/>
  <c r="B2061" i="3" s="1"/>
  <c r="L2063" i="3" l="1"/>
  <c r="F2063" i="3"/>
  <c r="J2063" i="3"/>
  <c r="D2063" i="3"/>
  <c r="K2063" i="3"/>
  <c r="E2063" i="3"/>
  <c r="C2062" i="3"/>
  <c r="B2062" i="3" s="1"/>
  <c r="A2064" i="3"/>
  <c r="I2062" i="3"/>
  <c r="H2062" i="3" s="1"/>
  <c r="L2064" i="3" l="1"/>
  <c r="F2064" i="3"/>
  <c r="J2064" i="3"/>
  <c r="D2064" i="3"/>
  <c r="K2064" i="3"/>
  <c r="E2064" i="3"/>
  <c r="C2063" i="3"/>
  <c r="B2063" i="3" s="1"/>
  <c r="A2065" i="3"/>
  <c r="I2063" i="3"/>
  <c r="H2063" i="3" s="1"/>
  <c r="F2065" i="3" l="1"/>
  <c r="E2065" i="3"/>
  <c r="L2065" i="3"/>
  <c r="J2065" i="3"/>
  <c r="D2065" i="3"/>
  <c r="K2065" i="3"/>
  <c r="A2066" i="3"/>
  <c r="I2064" i="3"/>
  <c r="H2064" i="3" s="1"/>
  <c r="C2064" i="3"/>
  <c r="B2064" i="3" s="1"/>
  <c r="L2066" i="3" l="1"/>
  <c r="F2066" i="3"/>
  <c r="D2066" i="3"/>
  <c r="J2066" i="3"/>
  <c r="E2066" i="3"/>
  <c r="K2066" i="3"/>
  <c r="C2065" i="3"/>
  <c r="B2065" i="3" s="1"/>
  <c r="A2067" i="3"/>
  <c r="I2065" i="3"/>
  <c r="H2065" i="3" s="1"/>
  <c r="L2067" i="3" l="1"/>
  <c r="J2067" i="3"/>
  <c r="D2067" i="3"/>
  <c r="K2067" i="3"/>
  <c r="E2067" i="3"/>
  <c r="I2066" i="3"/>
  <c r="H2066" i="3" s="1"/>
  <c r="A2068" i="3"/>
  <c r="C2066" i="3"/>
  <c r="B2066" i="3" s="1"/>
  <c r="L2068" i="3" l="1"/>
  <c r="F2068" i="3"/>
  <c r="J2068" i="3"/>
  <c r="D2068" i="3"/>
  <c r="K2068" i="3"/>
  <c r="E2068" i="3"/>
  <c r="A2069" i="3"/>
  <c r="I2067" i="3"/>
  <c r="H2067" i="3" s="1"/>
  <c r="L2069" i="3" l="1"/>
  <c r="F2069" i="3"/>
  <c r="D2069" i="3"/>
  <c r="J2069" i="3"/>
  <c r="E2069" i="3"/>
  <c r="K2069" i="3"/>
  <c r="C2068" i="3"/>
  <c r="B2068" i="3" s="1"/>
  <c r="I2068" i="3"/>
  <c r="H2068" i="3" s="1"/>
  <c r="A2070" i="3"/>
  <c r="L2070" i="3" l="1"/>
  <c r="F2070" i="3"/>
  <c r="J2070" i="3"/>
  <c r="D2070" i="3"/>
  <c r="K2070" i="3"/>
  <c r="E2070" i="3"/>
  <c r="C2069" i="3"/>
  <c r="B2069" i="3" s="1"/>
  <c r="A2071" i="3"/>
  <c r="I2069" i="3"/>
  <c r="H2069" i="3" s="1"/>
  <c r="L2071" i="3" l="1"/>
  <c r="F2071" i="3"/>
  <c r="J2071" i="3"/>
  <c r="D2071" i="3"/>
  <c r="K2071" i="3"/>
  <c r="E2071" i="3"/>
  <c r="C2070" i="3"/>
  <c r="B2070" i="3" s="1"/>
  <c r="A2072" i="3"/>
  <c r="I2070" i="3"/>
  <c r="H2070" i="3" s="1"/>
  <c r="F2072" i="3" l="1"/>
  <c r="L2072" i="3"/>
  <c r="J2072" i="3"/>
  <c r="D2072" i="3"/>
  <c r="K2072" i="3"/>
  <c r="E2072" i="3"/>
  <c r="C2071" i="3"/>
  <c r="B2071" i="3" s="1"/>
  <c r="A2073" i="3"/>
  <c r="I2071" i="3"/>
  <c r="H2071" i="3" s="1"/>
  <c r="L2073" i="3" l="1"/>
  <c r="F2073" i="3"/>
  <c r="J2073" i="3"/>
  <c r="D2073" i="3"/>
  <c r="K2073" i="3"/>
  <c r="E2073" i="3"/>
  <c r="C2072" i="3"/>
  <c r="B2072" i="3" s="1"/>
  <c r="A2074" i="3"/>
  <c r="I2072" i="3"/>
  <c r="H2072" i="3" s="1"/>
  <c r="L2074" i="3" l="1"/>
  <c r="F2074" i="3"/>
  <c r="J2074" i="3"/>
  <c r="D2074" i="3"/>
  <c r="K2074" i="3"/>
  <c r="E2074" i="3"/>
  <c r="I2073" i="3"/>
  <c r="H2073" i="3" s="1"/>
  <c r="A2075" i="3"/>
  <c r="C2073" i="3"/>
  <c r="B2073" i="3" s="1"/>
  <c r="L2075" i="3" l="1"/>
  <c r="F2075" i="3"/>
  <c r="J2075" i="3"/>
  <c r="D2075" i="3"/>
  <c r="K2075" i="3"/>
  <c r="E2075" i="3"/>
  <c r="C2074" i="3"/>
  <c r="B2074" i="3" s="1"/>
  <c r="A2076" i="3"/>
  <c r="I2074" i="3"/>
  <c r="H2074" i="3" s="1"/>
  <c r="L2076" i="3" l="1"/>
  <c r="F2076" i="3"/>
  <c r="J2076" i="3"/>
  <c r="D2076" i="3"/>
  <c r="K2076" i="3"/>
  <c r="E2076" i="3"/>
  <c r="I2075" i="3"/>
  <c r="H2075" i="3" s="1"/>
  <c r="C2075" i="3"/>
  <c r="B2075" i="3" s="1"/>
  <c r="A2077" i="3"/>
  <c r="L2077" i="3" l="1"/>
  <c r="F2077" i="3"/>
  <c r="J2077" i="3"/>
  <c r="D2077" i="3"/>
  <c r="K2077" i="3"/>
  <c r="E2077" i="3"/>
  <c r="C2076" i="3"/>
  <c r="B2076" i="3" s="1"/>
  <c r="I2076" i="3"/>
  <c r="H2076" i="3" s="1"/>
  <c r="A2078" i="3"/>
  <c r="L2078" i="3" l="1"/>
  <c r="F2078" i="3"/>
  <c r="J2078" i="3"/>
  <c r="D2078" i="3"/>
  <c r="K2078" i="3"/>
  <c r="E2078" i="3"/>
  <c r="I2077" i="3"/>
  <c r="H2077" i="3" s="1"/>
  <c r="A2079" i="3"/>
  <c r="C2077" i="3"/>
  <c r="B2077" i="3" s="1"/>
  <c r="L2079" i="3" l="1"/>
  <c r="F2079" i="3"/>
  <c r="J2079" i="3"/>
  <c r="D2079" i="3"/>
  <c r="K2079" i="3"/>
  <c r="E2079" i="3"/>
  <c r="A2080" i="3"/>
  <c r="I2078" i="3"/>
  <c r="H2078" i="3" s="1"/>
  <c r="C2078" i="3"/>
  <c r="B2078" i="3" s="1"/>
  <c r="L2080" i="3" l="1"/>
  <c r="F2080" i="3"/>
  <c r="J2080" i="3"/>
  <c r="D2080" i="3"/>
  <c r="K2080" i="3"/>
  <c r="E2080" i="3"/>
  <c r="A2081" i="3"/>
  <c r="I2079" i="3"/>
  <c r="H2079" i="3" s="1"/>
  <c r="C2079" i="3"/>
  <c r="B2079" i="3" s="1"/>
  <c r="L2081" i="3" l="1"/>
  <c r="F2081" i="3"/>
  <c r="J2081" i="3"/>
  <c r="D2081" i="3"/>
  <c r="K2081" i="3"/>
  <c r="E2081" i="3"/>
  <c r="C2080" i="3"/>
  <c r="B2080" i="3" s="1"/>
  <c r="A2082" i="3"/>
  <c r="I2080" i="3"/>
  <c r="H2080" i="3" s="1"/>
  <c r="L2082" i="3" l="1"/>
  <c r="F2082" i="3"/>
  <c r="J2082" i="3"/>
  <c r="D2082" i="3"/>
  <c r="K2082" i="3"/>
  <c r="E2082" i="3"/>
  <c r="C2081" i="3"/>
  <c r="B2081" i="3" s="1"/>
  <c r="A2083" i="3"/>
  <c r="I2081" i="3"/>
  <c r="H2081" i="3" s="1"/>
  <c r="L2083" i="3" l="1"/>
  <c r="F2083" i="3"/>
  <c r="J2083" i="3"/>
  <c r="D2083" i="3"/>
  <c r="K2083" i="3"/>
  <c r="E2083" i="3"/>
  <c r="I2082" i="3"/>
  <c r="H2082" i="3" s="1"/>
  <c r="A2084" i="3"/>
  <c r="C2082" i="3"/>
  <c r="B2082" i="3" s="1"/>
  <c r="L2084" i="3" l="1"/>
  <c r="F2084" i="3"/>
  <c r="D2084" i="3"/>
  <c r="E2084" i="3"/>
  <c r="J2084" i="3"/>
  <c r="K2084" i="3"/>
  <c r="C2083" i="3"/>
  <c r="B2083" i="3" s="1"/>
  <c r="A2085" i="3"/>
  <c r="I2083" i="3"/>
  <c r="H2083" i="3" s="1"/>
  <c r="F2085" i="3" l="1"/>
  <c r="E2085" i="3"/>
  <c r="L2085" i="3"/>
  <c r="J2085" i="3"/>
  <c r="D2085" i="3"/>
  <c r="K2085" i="3"/>
  <c r="C2084" i="3"/>
  <c r="B2084" i="3" s="1"/>
  <c r="I2084" i="3"/>
  <c r="H2084" i="3" s="1"/>
  <c r="A2086" i="3"/>
  <c r="L2086" i="3" l="1"/>
  <c r="F2086" i="3"/>
  <c r="J2086" i="3"/>
  <c r="D2086" i="3"/>
  <c r="K2086" i="3"/>
  <c r="E2086" i="3"/>
  <c r="I2085" i="3"/>
  <c r="H2085" i="3" s="1"/>
  <c r="A2087" i="3"/>
  <c r="C2085" i="3"/>
  <c r="B2085" i="3" s="1"/>
  <c r="L2087" i="3" l="1"/>
  <c r="F2087" i="3"/>
  <c r="J2087" i="3"/>
  <c r="D2087" i="3"/>
  <c r="K2087" i="3"/>
  <c r="E2087" i="3"/>
  <c r="C2086" i="3"/>
  <c r="B2086" i="3" s="1"/>
  <c r="A2088" i="3"/>
  <c r="I2086" i="3"/>
  <c r="H2086" i="3" s="1"/>
  <c r="L2088" i="3" l="1"/>
  <c r="F2088" i="3"/>
  <c r="J2088" i="3"/>
  <c r="D2088" i="3"/>
  <c r="K2088" i="3"/>
  <c r="E2088" i="3"/>
  <c r="C2087" i="3"/>
  <c r="B2087" i="3" s="1"/>
  <c r="A2089" i="3"/>
  <c r="I2087" i="3"/>
  <c r="H2087" i="3" s="1"/>
  <c r="L2089" i="3" l="1"/>
  <c r="J2089" i="3"/>
  <c r="D2089" i="3"/>
  <c r="K2089" i="3"/>
  <c r="E2089" i="3"/>
  <c r="C2088" i="3"/>
  <c r="B2088" i="3" s="1"/>
  <c r="A2090" i="3"/>
  <c r="I2088" i="3"/>
  <c r="H2088" i="3" s="1"/>
  <c r="L2090" i="3" l="1"/>
  <c r="F2090" i="3"/>
  <c r="J2090" i="3"/>
  <c r="D2090" i="3"/>
  <c r="K2090" i="3"/>
  <c r="E2090" i="3"/>
  <c r="I2089" i="3"/>
  <c r="H2089" i="3" s="1"/>
  <c r="A2091" i="3"/>
  <c r="L2091" i="3" l="1"/>
  <c r="F2091" i="3"/>
  <c r="J2091" i="3"/>
  <c r="D2091" i="3"/>
  <c r="K2091" i="3"/>
  <c r="E2091" i="3"/>
  <c r="C2090" i="3"/>
  <c r="B2090" i="3" s="1"/>
  <c r="I2090" i="3"/>
  <c r="H2090" i="3" s="1"/>
  <c r="A2092" i="3"/>
  <c r="F2092" i="3" l="1"/>
  <c r="L2092" i="3"/>
  <c r="J2092" i="3"/>
  <c r="D2092" i="3"/>
  <c r="K2092" i="3"/>
  <c r="E2092" i="3"/>
  <c r="A2093" i="3"/>
  <c r="I2091" i="3"/>
  <c r="H2091" i="3" s="1"/>
  <c r="C2091" i="3"/>
  <c r="B2091" i="3" s="1"/>
  <c r="L2093" i="3" l="1"/>
  <c r="F2093" i="3"/>
  <c r="J2093" i="3"/>
  <c r="D2093" i="3"/>
  <c r="K2093" i="3"/>
  <c r="E2093" i="3"/>
  <c r="I2092" i="3"/>
  <c r="H2092" i="3" s="1"/>
  <c r="C2092" i="3"/>
  <c r="B2092" i="3" s="1"/>
  <c r="A2094" i="3"/>
  <c r="L2094" i="3" l="1"/>
  <c r="F2094" i="3"/>
  <c r="J2094" i="3"/>
  <c r="D2094" i="3"/>
  <c r="K2094" i="3"/>
  <c r="E2094" i="3"/>
  <c r="C2093" i="3"/>
  <c r="B2093" i="3" s="1"/>
  <c r="I2093" i="3"/>
  <c r="H2093" i="3" s="1"/>
  <c r="A2095" i="3"/>
  <c r="L2095" i="3" l="1"/>
  <c r="F2095" i="3"/>
  <c r="J2095" i="3"/>
  <c r="D2095" i="3"/>
  <c r="K2095" i="3"/>
  <c r="E2095" i="3"/>
  <c r="C2094" i="3"/>
  <c r="B2094" i="3" s="1"/>
  <c r="I2094" i="3"/>
  <c r="H2094" i="3" s="1"/>
  <c r="A2096" i="3"/>
  <c r="L2096" i="3" l="1"/>
  <c r="F2096" i="3"/>
  <c r="D2096" i="3"/>
  <c r="J2096" i="3"/>
  <c r="E2096" i="3"/>
  <c r="K2096" i="3"/>
  <c r="I2095" i="3"/>
  <c r="H2095" i="3" s="1"/>
  <c r="A2097" i="3"/>
  <c r="C2095" i="3"/>
  <c r="B2095" i="3" s="1"/>
  <c r="L2097" i="3" l="1"/>
  <c r="F2097" i="3"/>
  <c r="J2097" i="3"/>
  <c r="D2097" i="3"/>
  <c r="K2097" i="3"/>
  <c r="E2097" i="3"/>
  <c r="C2096" i="3"/>
  <c r="B2096" i="3" s="1"/>
  <c r="A2098" i="3"/>
  <c r="I2096" i="3"/>
  <c r="H2096" i="3" s="1"/>
  <c r="L2098" i="3" l="1"/>
  <c r="F2098" i="3"/>
  <c r="J2098" i="3"/>
  <c r="D2098" i="3"/>
  <c r="K2098" i="3"/>
  <c r="E2098" i="3"/>
  <c r="C2097" i="3"/>
  <c r="B2097" i="3" s="1"/>
  <c r="A2099" i="3"/>
  <c r="I2097" i="3"/>
  <c r="H2097" i="3" s="1"/>
  <c r="L2099" i="3" l="1"/>
  <c r="F2099" i="3"/>
  <c r="J2099" i="3"/>
  <c r="D2099" i="3"/>
  <c r="K2099" i="3"/>
  <c r="E2099" i="3"/>
  <c r="I2098" i="3"/>
  <c r="H2098" i="3" s="1"/>
  <c r="A2100" i="3"/>
  <c r="C2098" i="3"/>
  <c r="B2098" i="3" s="1"/>
  <c r="L2100" i="3" l="1"/>
  <c r="F2100" i="3"/>
  <c r="D2100" i="3"/>
  <c r="J2100" i="3"/>
  <c r="E2100" i="3"/>
  <c r="K2100" i="3"/>
  <c r="A2101" i="3"/>
  <c r="I2099" i="3"/>
  <c r="H2099" i="3" s="1"/>
  <c r="C2099" i="3"/>
  <c r="B2099" i="3" s="1"/>
  <c r="L2101" i="3" l="1"/>
  <c r="F2101" i="3"/>
  <c r="J2101" i="3"/>
  <c r="D2101" i="3"/>
  <c r="K2101" i="3"/>
  <c r="E2101" i="3"/>
  <c r="I2100" i="3"/>
  <c r="H2100" i="3" s="1"/>
  <c r="C2100" i="3"/>
  <c r="B2100" i="3" s="1"/>
  <c r="A2102" i="3"/>
  <c r="I2101" i="3" l="1"/>
  <c r="H2101" i="3" s="1"/>
  <c r="L2102" i="3"/>
  <c r="F2102" i="3"/>
  <c r="J2102" i="3"/>
  <c r="D2102" i="3"/>
  <c r="K2102" i="3"/>
  <c r="E2102" i="3"/>
  <c r="C2101" i="3"/>
  <c r="B2101" i="3" s="1"/>
  <c r="A2103" i="3"/>
  <c r="L2103" i="3" l="1"/>
  <c r="F2103" i="3"/>
  <c r="J2103" i="3"/>
  <c r="D2103" i="3"/>
  <c r="K2103" i="3"/>
  <c r="E2103" i="3"/>
  <c r="C2102" i="3"/>
  <c r="B2102" i="3" s="1"/>
  <c r="A2104" i="3"/>
  <c r="I2102" i="3"/>
  <c r="H2102" i="3" s="1"/>
  <c r="L2104" i="3" l="1"/>
  <c r="F2104" i="3"/>
  <c r="J2104" i="3"/>
  <c r="D2104" i="3"/>
  <c r="K2104" i="3"/>
  <c r="E2104" i="3"/>
  <c r="C2103" i="3"/>
  <c r="B2103" i="3" s="1"/>
  <c r="A2105" i="3"/>
  <c r="I2103" i="3"/>
  <c r="H2103" i="3" s="1"/>
  <c r="L2105" i="3" l="1"/>
  <c r="F2105" i="3"/>
  <c r="J2105" i="3"/>
  <c r="D2105" i="3"/>
  <c r="K2105" i="3"/>
  <c r="E2105" i="3"/>
  <c r="C2104" i="3"/>
  <c r="B2104" i="3" s="1"/>
  <c r="A2106" i="3"/>
  <c r="I2104" i="3"/>
  <c r="H2104" i="3" s="1"/>
  <c r="L2106" i="3" l="1"/>
  <c r="F2106" i="3"/>
  <c r="J2106" i="3"/>
  <c r="D2106" i="3"/>
  <c r="K2106" i="3"/>
  <c r="E2106" i="3"/>
  <c r="C2105" i="3"/>
  <c r="B2105" i="3" s="1"/>
  <c r="I2105" i="3"/>
  <c r="H2105" i="3" s="1"/>
  <c r="A2107" i="3"/>
  <c r="F2107" i="3" l="1"/>
  <c r="E2107" i="3"/>
  <c r="L2107" i="3"/>
  <c r="J2107" i="3"/>
  <c r="D2107" i="3"/>
  <c r="K2107" i="3"/>
  <c r="C2106" i="3"/>
  <c r="B2106" i="3" s="1"/>
  <c r="A2108" i="3"/>
  <c r="I2106" i="3"/>
  <c r="H2106" i="3" s="1"/>
  <c r="L2108" i="3" l="1"/>
  <c r="F2108" i="3"/>
  <c r="J2108" i="3"/>
  <c r="D2108" i="3"/>
  <c r="K2108" i="3"/>
  <c r="E2108" i="3"/>
  <c r="I2107" i="3"/>
  <c r="H2107" i="3" s="1"/>
  <c r="C2107" i="3"/>
  <c r="B2107" i="3" s="1"/>
  <c r="A2109" i="3"/>
  <c r="L2109" i="3" l="1"/>
  <c r="J2109" i="3"/>
  <c r="D2109" i="3"/>
  <c r="K2109" i="3"/>
  <c r="E2109" i="3"/>
  <c r="I2108" i="3"/>
  <c r="H2108" i="3" s="1"/>
  <c r="C2108" i="3"/>
  <c r="B2108" i="3" s="1"/>
  <c r="A2110" i="3"/>
  <c r="L2110" i="3" l="1"/>
  <c r="F2110" i="3"/>
  <c r="J2110" i="3"/>
  <c r="D2110" i="3"/>
  <c r="K2110" i="3"/>
  <c r="E2110" i="3"/>
  <c r="I2109" i="3"/>
  <c r="H2109" i="3" s="1"/>
  <c r="A2111" i="3"/>
  <c r="L2111" i="3" l="1"/>
  <c r="F2111" i="3"/>
  <c r="J2111" i="3"/>
  <c r="D2111" i="3"/>
  <c r="K2111" i="3"/>
  <c r="E2111" i="3"/>
  <c r="C2110" i="3"/>
  <c r="B2110" i="3" s="1"/>
  <c r="I2110" i="3"/>
  <c r="H2110" i="3" s="1"/>
  <c r="A2112" i="3"/>
  <c r="L2112" i="3" l="1"/>
  <c r="F2112" i="3"/>
  <c r="J2112" i="3"/>
  <c r="D2112" i="3"/>
  <c r="K2112" i="3"/>
  <c r="E2112" i="3"/>
  <c r="C2111" i="3"/>
  <c r="B2111" i="3" s="1"/>
  <c r="I2111" i="3"/>
  <c r="H2111" i="3" s="1"/>
  <c r="A2113" i="3"/>
  <c r="L2113" i="3" l="1"/>
  <c r="F2113" i="3"/>
  <c r="J2113" i="3"/>
  <c r="D2113" i="3"/>
  <c r="K2113" i="3"/>
  <c r="E2113" i="3"/>
  <c r="I2112" i="3"/>
  <c r="H2112" i="3" s="1"/>
  <c r="C2112" i="3"/>
  <c r="B2112" i="3" s="1"/>
  <c r="A2114" i="3"/>
  <c r="F2114" i="3" l="1"/>
  <c r="L2114" i="3"/>
  <c r="J2114" i="3"/>
  <c r="D2114" i="3"/>
  <c r="K2114" i="3"/>
  <c r="E2114" i="3"/>
  <c r="I2113" i="3"/>
  <c r="H2113" i="3" s="1"/>
  <c r="C2113" i="3"/>
  <c r="B2113" i="3" s="1"/>
  <c r="A2115" i="3"/>
  <c r="L2115" i="3" l="1"/>
  <c r="F2115" i="3"/>
  <c r="D2115" i="3"/>
  <c r="J2115" i="3"/>
  <c r="E2115" i="3"/>
  <c r="K2115" i="3"/>
  <c r="I2114" i="3"/>
  <c r="H2114" i="3" s="1"/>
  <c r="C2114" i="3"/>
  <c r="B2114" i="3" s="1"/>
  <c r="A2116" i="3"/>
  <c r="L2116" i="3" l="1"/>
  <c r="F2116" i="3"/>
  <c r="J2116" i="3"/>
  <c r="D2116" i="3"/>
  <c r="K2116" i="3"/>
  <c r="E2116" i="3"/>
  <c r="I2115" i="3"/>
  <c r="H2115" i="3" s="1"/>
  <c r="A2117" i="3"/>
  <c r="C2115" i="3"/>
  <c r="B2115" i="3" s="1"/>
  <c r="L2117" i="3" l="1"/>
  <c r="F2117" i="3"/>
  <c r="J2117" i="3"/>
  <c r="D2117" i="3"/>
  <c r="K2117" i="3"/>
  <c r="E2117" i="3"/>
  <c r="I2116" i="3"/>
  <c r="H2116" i="3" s="1"/>
  <c r="A2118" i="3"/>
  <c r="C2116" i="3"/>
  <c r="B2116" i="3" s="1"/>
  <c r="L2118" i="3" l="1"/>
  <c r="F2118" i="3"/>
  <c r="J2118" i="3"/>
  <c r="D2118" i="3"/>
  <c r="K2118" i="3"/>
  <c r="E2118" i="3"/>
  <c r="I2117" i="3"/>
  <c r="H2117" i="3" s="1"/>
  <c r="A2119" i="3"/>
  <c r="C2117" i="3"/>
  <c r="B2117" i="3" s="1"/>
  <c r="L2119" i="3" l="1"/>
  <c r="F2119" i="3"/>
  <c r="J2119" i="3"/>
  <c r="D2119" i="3"/>
  <c r="K2119" i="3"/>
  <c r="E2119" i="3"/>
  <c r="I2118" i="3"/>
  <c r="H2118" i="3" s="1"/>
  <c r="A2120" i="3"/>
  <c r="C2118" i="3"/>
  <c r="B2118" i="3" s="1"/>
  <c r="L2120" i="3" l="1"/>
  <c r="F2120" i="3"/>
  <c r="J2120" i="3"/>
  <c r="D2120" i="3"/>
  <c r="K2120" i="3"/>
  <c r="E2120" i="3"/>
  <c r="C2119" i="3"/>
  <c r="B2119" i="3" s="1"/>
  <c r="I2119" i="3"/>
  <c r="H2119" i="3" s="1"/>
  <c r="A2121" i="3"/>
  <c r="I2120" i="3" l="1"/>
  <c r="H2120" i="3" s="1"/>
  <c r="L2121" i="3"/>
  <c r="F2121" i="3"/>
  <c r="J2121" i="3"/>
  <c r="D2121" i="3"/>
  <c r="K2121" i="3"/>
  <c r="E2121" i="3"/>
  <c r="A2122" i="3"/>
  <c r="C2120" i="3"/>
  <c r="B2120" i="3" s="1"/>
  <c r="L2122" i="3" l="1"/>
  <c r="F2122" i="3"/>
  <c r="J2122" i="3"/>
  <c r="D2122" i="3"/>
  <c r="K2122" i="3"/>
  <c r="E2122" i="3"/>
  <c r="C2121" i="3"/>
  <c r="B2121" i="3" s="1"/>
  <c r="A2123" i="3"/>
  <c r="I2121" i="3"/>
  <c r="H2121" i="3" s="1"/>
  <c r="L2123" i="3" l="1"/>
  <c r="F2123" i="3"/>
  <c r="J2123" i="3"/>
  <c r="D2123" i="3"/>
  <c r="K2123" i="3"/>
  <c r="E2123" i="3"/>
  <c r="C2122" i="3"/>
  <c r="B2122" i="3" s="1"/>
  <c r="A2124" i="3"/>
  <c r="I2122" i="3"/>
  <c r="H2122" i="3" s="1"/>
  <c r="L2124" i="3" l="1"/>
  <c r="F2124" i="3"/>
  <c r="J2124" i="3"/>
  <c r="D2124" i="3"/>
  <c r="K2124" i="3"/>
  <c r="E2124" i="3"/>
  <c r="C2123" i="3"/>
  <c r="B2123" i="3" s="1"/>
  <c r="A2125" i="3"/>
  <c r="I2123" i="3"/>
  <c r="H2123" i="3" s="1"/>
  <c r="L2125" i="3" l="1"/>
  <c r="F2125" i="3"/>
  <c r="J2125" i="3"/>
  <c r="D2125" i="3"/>
  <c r="K2125" i="3"/>
  <c r="E2125" i="3"/>
  <c r="A2126" i="3"/>
  <c r="I2124" i="3"/>
  <c r="H2124" i="3" s="1"/>
  <c r="C2124" i="3"/>
  <c r="B2124" i="3" s="1"/>
  <c r="L2126" i="3" l="1"/>
  <c r="F2126" i="3"/>
  <c r="J2126" i="3"/>
  <c r="D2126" i="3"/>
  <c r="K2126" i="3"/>
  <c r="E2126" i="3"/>
  <c r="C2125" i="3"/>
  <c r="B2125" i="3" s="1"/>
  <c r="A2127" i="3"/>
  <c r="I2125" i="3"/>
  <c r="H2125" i="3" s="1"/>
  <c r="L2127" i="3" l="1"/>
  <c r="D2127" i="3"/>
  <c r="J2127" i="3"/>
  <c r="E2127" i="3"/>
  <c r="K2127" i="3"/>
  <c r="I2126" i="3"/>
  <c r="H2126" i="3" s="1"/>
  <c r="C2126" i="3"/>
  <c r="B2126" i="3" s="1"/>
  <c r="A2128" i="3"/>
  <c r="F2128" i="3" l="1"/>
  <c r="E2128" i="3"/>
  <c r="L2128" i="3"/>
  <c r="J2128" i="3"/>
  <c r="D2128" i="3"/>
  <c r="K2128" i="3"/>
  <c r="I2127" i="3"/>
  <c r="H2127" i="3" s="1"/>
  <c r="A2129" i="3"/>
  <c r="L2129" i="3" l="1"/>
  <c r="F2129" i="3"/>
  <c r="D2129" i="3"/>
  <c r="J2129" i="3"/>
  <c r="E2129" i="3"/>
  <c r="K2129" i="3"/>
  <c r="I2128" i="3"/>
  <c r="H2128" i="3" s="1"/>
  <c r="A2130" i="3"/>
  <c r="C2128" i="3"/>
  <c r="B2128" i="3" s="1"/>
  <c r="L2130" i="3" l="1"/>
  <c r="F2130" i="3"/>
  <c r="J2130" i="3"/>
  <c r="D2130" i="3"/>
  <c r="K2130" i="3"/>
  <c r="E2130" i="3"/>
  <c r="I2129" i="3"/>
  <c r="H2129" i="3" s="1"/>
  <c r="A2131" i="3"/>
  <c r="C2129" i="3"/>
  <c r="B2129" i="3" s="1"/>
  <c r="L2131" i="3" l="1"/>
  <c r="F2131" i="3"/>
  <c r="J2131" i="3"/>
  <c r="D2131" i="3"/>
  <c r="K2131" i="3"/>
  <c r="E2131" i="3"/>
  <c r="C2130" i="3"/>
  <c r="B2130" i="3" s="1"/>
  <c r="A2132" i="3"/>
  <c r="I2130" i="3"/>
  <c r="H2130" i="3" s="1"/>
  <c r="L2132" i="3" l="1"/>
  <c r="F2132" i="3"/>
  <c r="J2132" i="3"/>
  <c r="D2132" i="3"/>
  <c r="K2132" i="3"/>
  <c r="E2132" i="3"/>
  <c r="C2131" i="3"/>
  <c r="B2131" i="3" s="1"/>
  <c r="A2133" i="3"/>
  <c r="I2131" i="3"/>
  <c r="H2131" i="3" s="1"/>
  <c r="L2133" i="3" l="1"/>
  <c r="F2133" i="3"/>
  <c r="J2133" i="3"/>
  <c r="D2133" i="3"/>
  <c r="K2133" i="3"/>
  <c r="E2133" i="3"/>
  <c r="C2132" i="3"/>
  <c r="B2132" i="3" s="1"/>
  <c r="A2134" i="3"/>
  <c r="I2132" i="3"/>
  <c r="H2132" i="3" s="1"/>
  <c r="L2134" i="3" l="1"/>
  <c r="F2134" i="3"/>
  <c r="J2134" i="3"/>
  <c r="D2134" i="3"/>
  <c r="K2134" i="3"/>
  <c r="E2134" i="3"/>
  <c r="C2133" i="3"/>
  <c r="B2133" i="3" s="1"/>
  <c r="I2133" i="3"/>
  <c r="H2133" i="3" s="1"/>
  <c r="A2135" i="3"/>
  <c r="F2135" i="3" l="1"/>
  <c r="L2135" i="3"/>
  <c r="J2135" i="3"/>
  <c r="D2135" i="3"/>
  <c r="K2135" i="3"/>
  <c r="E2135" i="3"/>
  <c r="I2134" i="3"/>
  <c r="H2134" i="3" s="1"/>
  <c r="A2136" i="3"/>
  <c r="C2134" i="3"/>
  <c r="B2134" i="3" s="1"/>
  <c r="L2136" i="3" l="1"/>
  <c r="F2136" i="3"/>
  <c r="J2136" i="3"/>
  <c r="D2136" i="3"/>
  <c r="K2136" i="3"/>
  <c r="E2136" i="3"/>
  <c r="I2135" i="3"/>
  <c r="H2135" i="3" s="1"/>
  <c r="A2137" i="3"/>
  <c r="C2135" i="3"/>
  <c r="B2135" i="3" s="1"/>
  <c r="L2137" i="3" l="1"/>
  <c r="F2137" i="3"/>
  <c r="J2137" i="3"/>
  <c r="D2137" i="3"/>
  <c r="K2137" i="3"/>
  <c r="E2137" i="3"/>
  <c r="C2136" i="3"/>
  <c r="B2136" i="3" s="1"/>
  <c r="I2136" i="3"/>
  <c r="H2136" i="3" s="1"/>
  <c r="A2138" i="3"/>
  <c r="L2138" i="3" l="1"/>
  <c r="F2138" i="3"/>
  <c r="J2138" i="3"/>
  <c r="D2138" i="3"/>
  <c r="K2138" i="3"/>
  <c r="E2138" i="3"/>
  <c r="A2139" i="3"/>
  <c r="I2137" i="3"/>
  <c r="H2137" i="3" s="1"/>
  <c r="C2137" i="3"/>
  <c r="B2137" i="3" s="1"/>
  <c r="L2139" i="3" l="1"/>
  <c r="F2139" i="3"/>
  <c r="J2139" i="3"/>
  <c r="D2139" i="3"/>
  <c r="K2139" i="3"/>
  <c r="E2139" i="3"/>
  <c r="C2138" i="3"/>
  <c r="B2138" i="3" s="1"/>
  <c r="A2140" i="3"/>
  <c r="I2138" i="3"/>
  <c r="H2138" i="3" s="1"/>
  <c r="L2140" i="3" l="1"/>
  <c r="F2140" i="3"/>
  <c r="J2140" i="3"/>
  <c r="D2140" i="3"/>
  <c r="K2140" i="3"/>
  <c r="E2140" i="3"/>
  <c r="A2141" i="3"/>
  <c r="I2139" i="3"/>
  <c r="H2139" i="3" s="1"/>
  <c r="C2139" i="3"/>
  <c r="B2139" i="3" s="1"/>
  <c r="L2141" i="3" l="1"/>
  <c r="F2141" i="3"/>
  <c r="J2141" i="3"/>
  <c r="D2141" i="3"/>
  <c r="K2141" i="3"/>
  <c r="E2141" i="3"/>
  <c r="C2140" i="3"/>
  <c r="B2140" i="3" s="1"/>
  <c r="A2142" i="3"/>
  <c r="I2140" i="3"/>
  <c r="H2140" i="3" s="1"/>
  <c r="L2142" i="3" l="1"/>
  <c r="F2142" i="3"/>
  <c r="J2142" i="3"/>
  <c r="D2142" i="3"/>
  <c r="K2142" i="3"/>
  <c r="E2142" i="3"/>
  <c r="I2141" i="3"/>
  <c r="H2141" i="3" s="1"/>
  <c r="C2141" i="3"/>
  <c r="B2141" i="3" s="1"/>
  <c r="A2143" i="3"/>
  <c r="L2143" i="3" l="1"/>
  <c r="F2143" i="3"/>
  <c r="J2143" i="3"/>
  <c r="D2143" i="3"/>
  <c r="K2143" i="3"/>
  <c r="E2143" i="3"/>
  <c r="C2142" i="3"/>
  <c r="B2142" i="3" s="1"/>
  <c r="I2142" i="3"/>
  <c r="H2142" i="3" s="1"/>
  <c r="A2144" i="3"/>
  <c r="L2144" i="3" l="1"/>
  <c r="F2144" i="3"/>
  <c r="J2144" i="3"/>
  <c r="D2144" i="3"/>
  <c r="K2144" i="3"/>
  <c r="E2144" i="3"/>
  <c r="C2143" i="3"/>
  <c r="B2143" i="3" s="1"/>
  <c r="A2145" i="3"/>
  <c r="I2143" i="3"/>
  <c r="H2143" i="3" s="1"/>
  <c r="L2145" i="3" l="1"/>
  <c r="F2145" i="3"/>
  <c r="J2145" i="3"/>
  <c r="D2145" i="3"/>
  <c r="K2145" i="3"/>
  <c r="E2145" i="3"/>
  <c r="C2144" i="3"/>
  <c r="B2144" i="3" s="1"/>
  <c r="A2146" i="3"/>
  <c r="I2144" i="3"/>
  <c r="H2144" i="3" s="1"/>
  <c r="L2146" i="3" l="1"/>
  <c r="F2146" i="3"/>
  <c r="J2146" i="3"/>
  <c r="D2146" i="3"/>
  <c r="K2146" i="3"/>
  <c r="E2146" i="3"/>
  <c r="C2145" i="3"/>
  <c r="B2145" i="3" s="1"/>
  <c r="I2145" i="3"/>
  <c r="H2145" i="3" s="1"/>
  <c r="A2147" i="3"/>
  <c r="L2147" i="3" l="1"/>
  <c r="F2147" i="3"/>
  <c r="D2147" i="3"/>
  <c r="J2147" i="3"/>
  <c r="E2147" i="3"/>
  <c r="K2147" i="3"/>
  <c r="I2146" i="3"/>
  <c r="H2146" i="3" s="1"/>
  <c r="C2146" i="3"/>
  <c r="B2146" i="3" s="1"/>
  <c r="A2148" i="3"/>
  <c r="F2148" i="3" l="1"/>
  <c r="E2148" i="3"/>
  <c r="L2148" i="3"/>
  <c r="J2148" i="3"/>
  <c r="D2148" i="3"/>
  <c r="K2148" i="3"/>
  <c r="I2147" i="3"/>
  <c r="H2147" i="3" s="1"/>
  <c r="C2147" i="3"/>
  <c r="B2147" i="3" s="1"/>
  <c r="A2149" i="3"/>
  <c r="L2149" i="3" l="1"/>
  <c r="J2149" i="3"/>
  <c r="D2149" i="3"/>
  <c r="K2149" i="3"/>
  <c r="E2149" i="3"/>
  <c r="C2148" i="3"/>
  <c r="B2148" i="3" s="1"/>
  <c r="I2148" i="3"/>
  <c r="H2148" i="3" s="1"/>
  <c r="A2150" i="3"/>
  <c r="L2150" i="3" l="1"/>
  <c r="F2150" i="3"/>
  <c r="J2150" i="3"/>
  <c r="D2150" i="3"/>
  <c r="K2150" i="3"/>
  <c r="E2150" i="3"/>
  <c r="A2151" i="3"/>
  <c r="I2149" i="3"/>
  <c r="H2149" i="3" s="1"/>
  <c r="L2151" i="3" l="1"/>
  <c r="F2151" i="3"/>
  <c r="J2151" i="3"/>
  <c r="D2151" i="3"/>
  <c r="K2151" i="3"/>
  <c r="E2151" i="3"/>
  <c r="I2150" i="3"/>
  <c r="H2150" i="3" s="1"/>
  <c r="C2150" i="3"/>
  <c r="B2150" i="3" s="1"/>
  <c r="A2152" i="3"/>
  <c r="L2152" i="3" l="1"/>
  <c r="F2152" i="3"/>
  <c r="J2152" i="3"/>
  <c r="D2152" i="3"/>
  <c r="K2152" i="3"/>
  <c r="E2152" i="3"/>
  <c r="I2151" i="3"/>
  <c r="H2151" i="3" s="1"/>
  <c r="C2151" i="3"/>
  <c r="B2151" i="3" s="1"/>
  <c r="A2153" i="3"/>
  <c r="L2153" i="3" l="1"/>
  <c r="F2153" i="3"/>
  <c r="J2153" i="3"/>
  <c r="D2153" i="3"/>
  <c r="K2153" i="3"/>
  <c r="E2153" i="3"/>
  <c r="C2152" i="3"/>
  <c r="B2152" i="3" s="1"/>
  <c r="I2152" i="3"/>
  <c r="H2152" i="3" s="1"/>
  <c r="A2154" i="3"/>
  <c r="L2154" i="3" l="1"/>
  <c r="F2154" i="3"/>
  <c r="J2154" i="3"/>
  <c r="K2154" i="3"/>
  <c r="D2154" i="3"/>
  <c r="E2154" i="3"/>
  <c r="I2153" i="3"/>
  <c r="H2153" i="3" s="1"/>
  <c r="A2155" i="3"/>
  <c r="C2153" i="3"/>
  <c r="B2153" i="3" s="1"/>
  <c r="F2155" i="3" l="1"/>
  <c r="L2155" i="3"/>
  <c r="J2155" i="3"/>
  <c r="K2155" i="3"/>
  <c r="D2155" i="3"/>
  <c r="E2155" i="3"/>
  <c r="C2154" i="3"/>
  <c r="B2154" i="3" s="1"/>
  <c r="A2156" i="3"/>
  <c r="I2154" i="3"/>
  <c r="H2154" i="3" s="1"/>
  <c r="L2156" i="3" l="1"/>
  <c r="F2156" i="3"/>
  <c r="J2156" i="3"/>
  <c r="D2156" i="3"/>
  <c r="K2156" i="3"/>
  <c r="E2156" i="3"/>
  <c r="C2155" i="3"/>
  <c r="B2155" i="3" s="1"/>
  <c r="A2157" i="3"/>
  <c r="I2155" i="3"/>
  <c r="H2155" i="3" s="1"/>
  <c r="L2157" i="3" l="1"/>
  <c r="F2157" i="3"/>
  <c r="D2157" i="3"/>
  <c r="J2157" i="3"/>
  <c r="E2157" i="3"/>
  <c r="K2157" i="3"/>
  <c r="C2156" i="3"/>
  <c r="B2156" i="3" s="1"/>
  <c r="A2158" i="3"/>
  <c r="I2156" i="3"/>
  <c r="H2156" i="3" s="1"/>
  <c r="L2158" i="3" l="1"/>
  <c r="F2158" i="3"/>
  <c r="J2158" i="3"/>
  <c r="D2158" i="3"/>
  <c r="K2158" i="3"/>
  <c r="E2158" i="3"/>
  <c r="I2157" i="3"/>
  <c r="H2157" i="3" s="1"/>
  <c r="C2157" i="3"/>
  <c r="B2157" i="3" s="1"/>
  <c r="A2159" i="3"/>
  <c r="L2159" i="3" l="1"/>
  <c r="F2159" i="3"/>
  <c r="J2159" i="3"/>
  <c r="D2159" i="3"/>
  <c r="K2159" i="3"/>
  <c r="E2159" i="3"/>
  <c r="I2158" i="3"/>
  <c r="H2158" i="3" s="1"/>
  <c r="A2160" i="3"/>
  <c r="C2158" i="3"/>
  <c r="B2158" i="3" s="1"/>
  <c r="L2160" i="3" l="1"/>
  <c r="F2160" i="3"/>
  <c r="J2160" i="3"/>
  <c r="D2160" i="3"/>
  <c r="K2160" i="3"/>
  <c r="E2160" i="3"/>
  <c r="C2159" i="3"/>
  <c r="B2159" i="3" s="1"/>
  <c r="A2161" i="3"/>
  <c r="I2159" i="3"/>
  <c r="H2159" i="3" s="1"/>
  <c r="L2161" i="3" l="1"/>
  <c r="F2161" i="3"/>
  <c r="D2161" i="3"/>
  <c r="J2161" i="3"/>
  <c r="E2161" i="3"/>
  <c r="K2161" i="3"/>
  <c r="C2160" i="3"/>
  <c r="B2160" i="3" s="1"/>
  <c r="A2162" i="3"/>
  <c r="I2160" i="3"/>
  <c r="H2160" i="3" s="1"/>
  <c r="L2162" i="3" l="1"/>
  <c r="F2162" i="3"/>
  <c r="J2162" i="3"/>
  <c r="D2162" i="3"/>
  <c r="K2162" i="3"/>
  <c r="E2162" i="3"/>
  <c r="A2163" i="3"/>
  <c r="I2161" i="3"/>
  <c r="H2161" i="3" s="1"/>
  <c r="C2161" i="3"/>
  <c r="B2161" i="3" s="1"/>
  <c r="L2163" i="3" l="1"/>
  <c r="F2163" i="3"/>
  <c r="J2163" i="3"/>
  <c r="D2163" i="3"/>
  <c r="K2163" i="3"/>
  <c r="E2163" i="3"/>
  <c r="C2162" i="3"/>
  <c r="B2162" i="3" s="1"/>
  <c r="A2164" i="3"/>
  <c r="I2162" i="3"/>
  <c r="H2162" i="3" s="1"/>
  <c r="L2164" i="3" l="1"/>
  <c r="F2164" i="3"/>
  <c r="J2164" i="3"/>
  <c r="D2164" i="3"/>
  <c r="K2164" i="3"/>
  <c r="E2164" i="3"/>
  <c r="C2163" i="3"/>
  <c r="B2163" i="3" s="1"/>
  <c r="A2165" i="3"/>
  <c r="I2163" i="3"/>
  <c r="H2163" i="3" s="1"/>
  <c r="L2165" i="3" l="1"/>
  <c r="F2165" i="3"/>
  <c r="J2165" i="3"/>
  <c r="D2165" i="3"/>
  <c r="K2165" i="3"/>
  <c r="E2165" i="3"/>
  <c r="I2164" i="3"/>
  <c r="H2164" i="3" s="1"/>
  <c r="A2166" i="3"/>
  <c r="C2164" i="3"/>
  <c r="B2164" i="3" s="1"/>
  <c r="L2166" i="3" l="1"/>
  <c r="F2166" i="3"/>
  <c r="J2166" i="3"/>
  <c r="D2166" i="3"/>
  <c r="K2166" i="3"/>
  <c r="E2166" i="3"/>
  <c r="C2165" i="3"/>
  <c r="B2165" i="3" s="1"/>
  <c r="A2167" i="3"/>
  <c r="I2165" i="3"/>
  <c r="H2165" i="3" s="1"/>
  <c r="L2167" i="3" l="1"/>
  <c r="F2167" i="3"/>
  <c r="J2167" i="3"/>
  <c r="D2167" i="3"/>
  <c r="K2167" i="3"/>
  <c r="E2167" i="3"/>
  <c r="C2166" i="3"/>
  <c r="B2166" i="3" s="1"/>
  <c r="I2166" i="3"/>
  <c r="H2166" i="3" s="1"/>
  <c r="A2168" i="3"/>
  <c r="L2168" i="3" l="1"/>
  <c r="F2168" i="3"/>
  <c r="J2168" i="3"/>
  <c r="D2168" i="3"/>
  <c r="K2168" i="3"/>
  <c r="E2168" i="3"/>
  <c r="I2167" i="3"/>
  <c r="H2167" i="3" s="1"/>
  <c r="A2169" i="3"/>
  <c r="C2167" i="3"/>
  <c r="B2167" i="3" s="1"/>
  <c r="L2169" i="3" l="1"/>
  <c r="F2169" i="3"/>
  <c r="J2169" i="3"/>
  <c r="D2169" i="3"/>
  <c r="K2169" i="3"/>
  <c r="E2169" i="3"/>
  <c r="C2168" i="3"/>
  <c r="B2168" i="3" s="1"/>
  <c r="I2168" i="3"/>
  <c r="H2168" i="3" s="1"/>
  <c r="A2170" i="3"/>
  <c r="L2170" i="3" l="1"/>
  <c r="J2170" i="3"/>
  <c r="D2170" i="3"/>
  <c r="K2170" i="3"/>
  <c r="E2170" i="3"/>
  <c r="A2171" i="3"/>
  <c r="I2169" i="3"/>
  <c r="H2169" i="3" s="1"/>
  <c r="C2169" i="3"/>
  <c r="B2169" i="3" s="1"/>
  <c r="F2171" i="3" l="1"/>
  <c r="E2171" i="3"/>
  <c r="L2171" i="3"/>
  <c r="J2171" i="3"/>
  <c r="D2171" i="3"/>
  <c r="K2171" i="3"/>
  <c r="I2170" i="3"/>
  <c r="H2170" i="3" s="1"/>
  <c r="A2172" i="3"/>
  <c r="L2172" i="3" l="1"/>
  <c r="F2172" i="3"/>
  <c r="J2172" i="3"/>
  <c r="D2172" i="3"/>
  <c r="K2172" i="3"/>
  <c r="E2172" i="3"/>
  <c r="A2173" i="3"/>
  <c r="I2171" i="3"/>
  <c r="H2171" i="3" s="1"/>
  <c r="C2171" i="3"/>
  <c r="B2171" i="3" s="1"/>
  <c r="L2173" i="3" l="1"/>
  <c r="F2173" i="3"/>
  <c r="J2173" i="3"/>
  <c r="D2173" i="3"/>
  <c r="K2173" i="3"/>
  <c r="E2173" i="3"/>
  <c r="C2172" i="3"/>
  <c r="B2172" i="3" s="1"/>
  <c r="A2174" i="3"/>
  <c r="I2172" i="3"/>
  <c r="H2172" i="3" s="1"/>
  <c r="L2174" i="3" l="1"/>
  <c r="F2174" i="3"/>
  <c r="J2174" i="3"/>
  <c r="D2174" i="3"/>
  <c r="K2174" i="3"/>
  <c r="E2174" i="3"/>
  <c r="I2173" i="3"/>
  <c r="H2173" i="3" s="1"/>
  <c r="A2175" i="3"/>
  <c r="C2173" i="3"/>
  <c r="B2173" i="3" s="1"/>
  <c r="L2175" i="3" l="1"/>
  <c r="F2175" i="3"/>
  <c r="D2175" i="3"/>
  <c r="J2175" i="3"/>
  <c r="E2175" i="3"/>
  <c r="K2175" i="3"/>
  <c r="A2176" i="3"/>
  <c r="I2174" i="3"/>
  <c r="H2174" i="3" s="1"/>
  <c r="C2174" i="3"/>
  <c r="B2174" i="3" s="1"/>
  <c r="L2176" i="3" l="1"/>
  <c r="F2176" i="3"/>
  <c r="J2176" i="3"/>
  <c r="D2176" i="3"/>
  <c r="K2176" i="3"/>
  <c r="E2176" i="3"/>
  <c r="C2175" i="3"/>
  <c r="B2175" i="3" s="1"/>
  <c r="A2177" i="3"/>
  <c r="I2175" i="3"/>
  <c r="H2175" i="3" s="1"/>
  <c r="L2177" i="3" l="1"/>
  <c r="F2177" i="3"/>
  <c r="J2177" i="3"/>
  <c r="D2177" i="3"/>
  <c r="K2177" i="3"/>
  <c r="E2177" i="3"/>
  <c r="C2176" i="3"/>
  <c r="B2176" i="3" s="1"/>
  <c r="A2178" i="3"/>
  <c r="I2176" i="3"/>
  <c r="H2176" i="3" s="1"/>
  <c r="F2178" i="3" l="1"/>
  <c r="L2178" i="3"/>
  <c r="J2178" i="3"/>
  <c r="D2178" i="3"/>
  <c r="K2178" i="3"/>
  <c r="E2178" i="3"/>
  <c r="C2177" i="3"/>
  <c r="B2177" i="3" s="1"/>
  <c r="A2179" i="3"/>
  <c r="I2177" i="3"/>
  <c r="H2177" i="3" s="1"/>
  <c r="L2179" i="3" l="1"/>
  <c r="F2179" i="3"/>
  <c r="J2179" i="3"/>
  <c r="D2179" i="3"/>
  <c r="K2179" i="3"/>
  <c r="E2179" i="3"/>
  <c r="C2178" i="3"/>
  <c r="B2178" i="3" s="1"/>
  <c r="A2180" i="3"/>
  <c r="I2178" i="3"/>
  <c r="H2178" i="3" s="1"/>
  <c r="L2180" i="3" l="1"/>
  <c r="F2180" i="3"/>
  <c r="J2180" i="3"/>
  <c r="D2180" i="3"/>
  <c r="K2180" i="3"/>
  <c r="E2180" i="3"/>
  <c r="I2179" i="3"/>
  <c r="H2179" i="3" s="1"/>
  <c r="A2181" i="3"/>
  <c r="C2179" i="3"/>
  <c r="B2179" i="3" s="1"/>
  <c r="L2181" i="3" l="1"/>
  <c r="F2181" i="3"/>
  <c r="J2181" i="3"/>
  <c r="D2181" i="3"/>
  <c r="K2181" i="3"/>
  <c r="E2181" i="3"/>
  <c r="C2180" i="3"/>
  <c r="B2180" i="3" s="1"/>
  <c r="A2182" i="3"/>
  <c r="I2180" i="3"/>
  <c r="H2180" i="3" s="1"/>
  <c r="L2182" i="3" l="1"/>
  <c r="F2182" i="3"/>
  <c r="J2182" i="3"/>
  <c r="D2182" i="3"/>
  <c r="K2182" i="3"/>
  <c r="E2182" i="3"/>
  <c r="C2181" i="3"/>
  <c r="B2181" i="3" s="1"/>
  <c r="A2183" i="3"/>
  <c r="I2181" i="3"/>
  <c r="H2181" i="3" s="1"/>
  <c r="L2183" i="3" l="1"/>
  <c r="F2183" i="3"/>
  <c r="J2183" i="3"/>
  <c r="D2183" i="3"/>
  <c r="K2183" i="3"/>
  <c r="E2183" i="3"/>
  <c r="A2184" i="3"/>
  <c r="I2182" i="3"/>
  <c r="H2182" i="3" s="1"/>
  <c r="C2182" i="3"/>
  <c r="B2182" i="3" s="1"/>
  <c r="L2184" i="3" l="1"/>
  <c r="F2184" i="3"/>
  <c r="J2184" i="3"/>
  <c r="D2184" i="3"/>
  <c r="K2184" i="3"/>
  <c r="E2184" i="3"/>
  <c r="C2183" i="3"/>
  <c r="B2183" i="3" s="1"/>
  <c r="I2183" i="3"/>
  <c r="H2183" i="3" s="1"/>
  <c r="A2185" i="3"/>
  <c r="L2185" i="3" l="1"/>
  <c r="F2185" i="3"/>
  <c r="J2185" i="3"/>
  <c r="D2185" i="3"/>
  <c r="K2185" i="3"/>
  <c r="E2185" i="3"/>
  <c r="I2184" i="3"/>
  <c r="H2184" i="3" s="1"/>
  <c r="C2184" i="3"/>
  <c r="B2184" i="3" s="1"/>
  <c r="A2186" i="3"/>
  <c r="L2186" i="3" l="1"/>
  <c r="F2186" i="3"/>
  <c r="J2186" i="3"/>
  <c r="D2186" i="3"/>
  <c r="K2186" i="3"/>
  <c r="E2186" i="3"/>
  <c r="C2185" i="3"/>
  <c r="B2185" i="3" s="1"/>
  <c r="A2187" i="3"/>
  <c r="I2185" i="3"/>
  <c r="H2185" i="3" s="1"/>
  <c r="L2187" i="3" l="1"/>
  <c r="F2187" i="3"/>
  <c r="D2187" i="3"/>
  <c r="E2187" i="3"/>
  <c r="J2187" i="3"/>
  <c r="K2187" i="3"/>
  <c r="I2186" i="3"/>
  <c r="H2186" i="3" s="1"/>
  <c r="A2188" i="3"/>
  <c r="C2186" i="3"/>
  <c r="B2186" i="3" s="1"/>
  <c r="L2188" i="3" l="1"/>
  <c r="F2188" i="3"/>
  <c r="J2188" i="3"/>
  <c r="D2188" i="3"/>
  <c r="K2188" i="3"/>
  <c r="E2188" i="3"/>
  <c r="C2187" i="3"/>
  <c r="B2187" i="3" s="1"/>
  <c r="A2189" i="3"/>
  <c r="I2187" i="3"/>
  <c r="H2187" i="3" s="1"/>
  <c r="L2189" i="3" l="1"/>
  <c r="F2189" i="3"/>
  <c r="J2189" i="3"/>
  <c r="D2189" i="3"/>
  <c r="K2189" i="3"/>
  <c r="E2189" i="3"/>
  <c r="C2188" i="3"/>
  <c r="B2188" i="3" s="1"/>
  <c r="A2190" i="3"/>
  <c r="I2188" i="3"/>
  <c r="H2188" i="3" s="1"/>
  <c r="L2190" i="3" l="1"/>
  <c r="D2190" i="3"/>
  <c r="J2190" i="3"/>
  <c r="E2190" i="3"/>
  <c r="K2190" i="3"/>
  <c r="I2189" i="3"/>
  <c r="H2189" i="3" s="1"/>
  <c r="C2189" i="3"/>
  <c r="B2189" i="3" s="1"/>
  <c r="A2191" i="3"/>
  <c r="L2191" i="3" l="1"/>
  <c r="F2191" i="3"/>
  <c r="J2191" i="3"/>
  <c r="D2191" i="3"/>
  <c r="K2191" i="3"/>
  <c r="E2191" i="3"/>
  <c r="I2190" i="3"/>
  <c r="H2190" i="3" s="1"/>
  <c r="A2192" i="3"/>
  <c r="L2192" i="3" l="1"/>
  <c r="F2192" i="3"/>
  <c r="J2192" i="3"/>
  <c r="D2192" i="3"/>
  <c r="K2192" i="3"/>
  <c r="E2192" i="3"/>
  <c r="C2191" i="3"/>
  <c r="B2191" i="3" s="1"/>
  <c r="A2193" i="3"/>
  <c r="I2191" i="3"/>
  <c r="H2191" i="3" s="1"/>
  <c r="F2193" i="3" l="1"/>
  <c r="E2193" i="3"/>
  <c r="L2193" i="3"/>
  <c r="J2193" i="3"/>
  <c r="D2193" i="3"/>
  <c r="K2193" i="3"/>
  <c r="C2192" i="3"/>
  <c r="B2192" i="3" s="1"/>
  <c r="I2192" i="3"/>
  <c r="H2192" i="3" s="1"/>
  <c r="A2194" i="3"/>
  <c r="L2194" i="3" l="1"/>
  <c r="F2194" i="3"/>
  <c r="J2194" i="3"/>
  <c r="D2194" i="3"/>
  <c r="K2194" i="3"/>
  <c r="E2194" i="3"/>
  <c r="A2195" i="3"/>
  <c r="I2193" i="3"/>
  <c r="H2193" i="3" s="1"/>
  <c r="C2193" i="3"/>
  <c r="B2193" i="3" s="1"/>
  <c r="L2195" i="3" l="1"/>
  <c r="F2195" i="3"/>
  <c r="J2195" i="3"/>
  <c r="D2195" i="3"/>
  <c r="K2195" i="3"/>
  <c r="E2195" i="3"/>
  <c r="C2194" i="3"/>
  <c r="B2194" i="3" s="1"/>
  <c r="A2196" i="3"/>
  <c r="I2194" i="3"/>
  <c r="H2194" i="3" s="1"/>
  <c r="L2196" i="3" l="1"/>
  <c r="F2196" i="3"/>
  <c r="J2196" i="3"/>
  <c r="D2196" i="3"/>
  <c r="K2196" i="3"/>
  <c r="E2196" i="3"/>
  <c r="C2195" i="3"/>
  <c r="B2195" i="3" s="1"/>
  <c r="I2195" i="3"/>
  <c r="H2195" i="3" s="1"/>
  <c r="A2197" i="3"/>
  <c r="L2197" i="3" l="1"/>
  <c r="F2197" i="3"/>
  <c r="J2197" i="3"/>
  <c r="D2197" i="3"/>
  <c r="K2197" i="3"/>
  <c r="E2197" i="3"/>
  <c r="I2196" i="3"/>
  <c r="H2196" i="3" s="1"/>
  <c r="C2196" i="3"/>
  <c r="B2196" i="3" s="1"/>
  <c r="A2198" i="3"/>
  <c r="L2198" i="3" l="1"/>
  <c r="F2198" i="3"/>
  <c r="J2198" i="3"/>
  <c r="D2198" i="3"/>
  <c r="K2198" i="3"/>
  <c r="E2198" i="3"/>
  <c r="A2199" i="3"/>
  <c r="C2197" i="3"/>
  <c r="B2197" i="3" s="1"/>
  <c r="I2197" i="3"/>
  <c r="H2197" i="3" s="1"/>
  <c r="L2199" i="3" l="1"/>
  <c r="F2199" i="3"/>
  <c r="J2199" i="3"/>
  <c r="D2199" i="3"/>
  <c r="K2199" i="3"/>
  <c r="E2199" i="3"/>
  <c r="I2198" i="3"/>
  <c r="H2198" i="3" s="1"/>
  <c r="C2198" i="3"/>
  <c r="B2198" i="3" s="1"/>
  <c r="A2200" i="3"/>
  <c r="F2200" i="3" l="1"/>
  <c r="L2200" i="3"/>
  <c r="J2200" i="3"/>
  <c r="D2200" i="3"/>
  <c r="K2200" i="3"/>
  <c r="E2200" i="3"/>
  <c r="I2199" i="3"/>
  <c r="H2199" i="3" s="1"/>
  <c r="A2201" i="3"/>
  <c r="C2199" i="3"/>
  <c r="B2199" i="3" s="1"/>
  <c r="L2201" i="3" l="1"/>
  <c r="F2201" i="3"/>
  <c r="J2201" i="3"/>
  <c r="D2201" i="3"/>
  <c r="K2201" i="3"/>
  <c r="E2201" i="3"/>
  <c r="C2200" i="3"/>
  <c r="B2200" i="3" s="1"/>
  <c r="I2200" i="3"/>
  <c r="H2200" i="3" s="1"/>
  <c r="A2202" i="3"/>
  <c r="L2202" i="3" l="1"/>
  <c r="F2202" i="3"/>
  <c r="J2202" i="3"/>
  <c r="D2202" i="3"/>
  <c r="K2202" i="3"/>
  <c r="E2202" i="3"/>
  <c r="C2201" i="3"/>
  <c r="B2201" i="3" s="1"/>
  <c r="I2201" i="3"/>
  <c r="H2201" i="3" s="1"/>
  <c r="A2203" i="3"/>
  <c r="L2203" i="3" l="1"/>
  <c r="F2203" i="3"/>
  <c r="J2203" i="3"/>
  <c r="D2203" i="3"/>
  <c r="K2203" i="3"/>
  <c r="E2203" i="3"/>
  <c r="A2204" i="3"/>
  <c r="C2202" i="3"/>
  <c r="B2202" i="3" s="1"/>
  <c r="I2202" i="3"/>
  <c r="H2202" i="3" s="1"/>
  <c r="L2204" i="3" l="1"/>
  <c r="F2204" i="3"/>
  <c r="J2204" i="3"/>
  <c r="D2204" i="3"/>
  <c r="K2204" i="3"/>
  <c r="E2204" i="3"/>
  <c r="C2203" i="3"/>
  <c r="B2203" i="3" s="1"/>
  <c r="A2205" i="3"/>
  <c r="I2203" i="3"/>
  <c r="H2203" i="3" s="1"/>
  <c r="L2205" i="3" l="1"/>
  <c r="F2205" i="3"/>
  <c r="J2205" i="3"/>
  <c r="D2205" i="3"/>
  <c r="K2205" i="3"/>
  <c r="E2205" i="3"/>
  <c r="C2204" i="3"/>
  <c r="B2204" i="3" s="1"/>
  <c r="A2206" i="3"/>
  <c r="I2204" i="3"/>
  <c r="H2204" i="3" s="1"/>
  <c r="L2206" i="3" l="1"/>
  <c r="F2206" i="3"/>
  <c r="D2206" i="3"/>
  <c r="J2206" i="3"/>
  <c r="E2206" i="3"/>
  <c r="K2206" i="3"/>
  <c r="I2205" i="3"/>
  <c r="H2205" i="3" s="1"/>
  <c r="C2205" i="3"/>
  <c r="B2205" i="3" s="1"/>
  <c r="A2207" i="3"/>
  <c r="L2207" i="3" l="1"/>
  <c r="F2207" i="3"/>
  <c r="J2207" i="3"/>
  <c r="D2207" i="3"/>
  <c r="K2207" i="3"/>
  <c r="E2207" i="3"/>
  <c r="I2206" i="3"/>
  <c r="H2206" i="3" s="1"/>
  <c r="C2206" i="3"/>
  <c r="B2206" i="3" s="1"/>
  <c r="A2208" i="3"/>
  <c r="L2208" i="3" l="1"/>
  <c r="F2208" i="3"/>
  <c r="J2208" i="3"/>
  <c r="D2208" i="3"/>
  <c r="K2208" i="3"/>
  <c r="E2208" i="3"/>
  <c r="C2207" i="3"/>
  <c r="B2207" i="3" s="1"/>
  <c r="A2209" i="3"/>
  <c r="I2207" i="3"/>
  <c r="H2207" i="3" s="1"/>
  <c r="L2209" i="3" l="1"/>
  <c r="F2209" i="3"/>
  <c r="J2209" i="3"/>
  <c r="D2209" i="3"/>
  <c r="K2209" i="3"/>
  <c r="E2209" i="3"/>
  <c r="C2208" i="3"/>
  <c r="B2208" i="3" s="1"/>
  <c r="A2210" i="3"/>
  <c r="I2208" i="3"/>
  <c r="H2208" i="3" s="1"/>
  <c r="L2210" i="3" l="1"/>
  <c r="F2210" i="3"/>
  <c r="J2210" i="3"/>
  <c r="D2210" i="3"/>
  <c r="K2210" i="3"/>
  <c r="E2210" i="3"/>
  <c r="I2209" i="3"/>
  <c r="H2209" i="3" s="1"/>
  <c r="C2209" i="3"/>
  <c r="B2209" i="3" s="1"/>
  <c r="A2211" i="3"/>
  <c r="L2211" i="3" l="1"/>
  <c r="F2211" i="3"/>
  <c r="J2211" i="3"/>
  <c r="D2211" i="3"/>
  <c r="K2211" i="3"/>
  <c r="E2211" i="3"/>
  <c r="I2210" i="3"/>
  <c r="H2210" i="3" s="1"/>
  <c r="C2210" i="3"/>
  <c r="B2210" i="3" s="1"/>
  <c r="A2212" i="3"/>
  <c r="L2212" i="3" l="1"/>
  <c r="J2212" i="3"/>
  <c r="D2212" i="3"/>
  <c r="K2212" i="3"/>
  <c r="E2212" i="3"/>
  <c r="I2211" i="3"/>
  <c r="H2211" i="3" s="1"/>
  <c r="C2211" i="3"/>
  <c r="B2211" i="3" s="1"/>
  <c r="A2213" i="3"/>
  <c r="L2213" i="3" l="1"/>
  <c r="F2213" i="3"/>
  <c r="J2213" i="3"/>
  <c r="D2213" i="3"/>
  <c r="K2213" i="3"/>
  <c r="E2213" i="3"/>
  <c r="A2214" i="3"/>
  <c r="I2212" i="3"/>
  <c r="H2212" i="3" s="1"/>
  <c r="F2214" i="3" l="1"/>
  <c r="E2214" i="3"/>
  <c r="L2214" i="3"/>
  <c r="J2214" i="3"/>
  <c r="D2214" i="3"/>
  <c r="K2214" i="3"/>
  <c r="C2213" i="3"/>
  <c r="B2213" i="3" s="1"/>
  <c r="A2215" i="3"/>
  <c r="I2213" i="3"/>
  <c r="H2213" i="3" s="1"/>
  <c r="L2215" i="3" l="1"/>
  <c r="F2215" i="3"/>
  <c r="J2215" i="3"/>
  <c r="D2215" i="3"/>
  <c r="K2215" i="3"/>
  <c r="E2215" i="3"/>
  <c r="A2216" i="3"/>
  <c r="I2214" i="3"/>
  <c r="H2214" i="3" s="1"/>
  <c r="C2214" i="3"/>
  <c r="B2214" i="3" s="1"/>
  <c r="L2216" i="3" l="1"/>
  <c r="F2216" i="3"/>
  <c r="J2216" i="3"/>
  <c r="D2216" i="3"/>
  <c r="K2216" i="3"/>
  <c r="E2216" i="3"/>
  <c r="I2215" i="3"/>
  <c r="H2215" i="3" s="1"/>
  <c r="C2215" i="3"/>
  <c r="B2215" i="3" s="1"/>
  <c r="A2217" i="3"/>
  <c r="L2217" i="3" l="1"/>
  <c r="F2217" i="3"/>
  <c r="J2217" i="3"/>
  <c r="D2217" i="3"/>
  <c r="K2217" i="3"/>
  <c r="E2217" i="3"/>
  <c r="I2216" i="3"/>
  <c r="H2216" i="3" s="1"/>
  <c r="C2216" i="3"/>
  <c r="B2216" i="3" s="1"/>
  <c r="A2218" i="3"/>
  <c r="L2218" i="3" l="1"/>
  <c r="F2218" i="3"/>
  <c r="D2218" i="3"/>
  <c r="J2218" i="3"/>
  <c r="E2218" i="3"/>
  <c r="K2218" i="3"/>
  <c r="C2217" i="3"/>
  <c r="B2217" i="3" s="1"/>
  <c r="A2219" i="3"/>
  <c r="I2217" i="3"/>
  <c r="H2217" i="3" s="1"/>
  <c r="L2219" i="3" l="1"/>
  <c r="F2219" i="3"/>
  <c r="J2219" i="3"/>
  <c r="D2219" i="3"/>
  <c r="K2219" i="3"/>
  <c r="E2219" i="3"/>
  <c r="C2218" i="3"/>
  <c r="B2218" i="3" s="1"/>
  <c r="A2220" i="3"/>
  <c r="I2218" i="3"/>
  <c r="H2218" i="3" s="1"/>
  <c r="L2220" i="3" l="1"/>
  <c r="F2220" i="3"/>
  <c r="J2220" i="3"/>
  <c r="D2220" i="3"/>
  <c r="K2220" i="3"/>
  <c r="E2220" i="3"/>
  <c r="C2219" i="3"/>
  <c r="B2219" i="3" s="1"/>
  <c r="A2221" i="3"/>
  <c r="I2219" i="3"/>
  <c r="H2219" i="3" s="1"/>
  <c r="F2221" i="3" l="1"/>
  <c r="L2221" i="3"/>
  <c r="J2221" i="3"/>
  <c r="D2221" i="3"/>
  <c r="K2221" i="3"/>
  <c r="E2221" i="3"/>
  <c r="A2222" i="3"/>
  <c r="I2220" i="3"/>
  <c r="H2220" i="3" s="1"/>
  <c r="C2220" i="3"/>
  <c r="B2220" i="3" s="1"/>
  <c r="L2222" i="3" l="1"/>
  <c r="F2222" i="3"/>
  <c r="J2222" i="3"/>
  <c r="D2222" i="3"/>
  <c r="K2222" i="3"/>
  <c r="E2222" i="3"/>
  <c r="I2221" i="3"/>
  <c r="H2221" i="3" s="1"/>
  <c r="C2221" i="3"/>
  <c r="B2221" i="3" s="1"/>
  <c r="A2223" i="3"/>
  <c r="L2223" i="3" l="1"/>
  <c r="F2223" i="3"/>
  <c r="D2223" i="3"/>
  <c r="J2223" i="3"/>
  <c r="E2223" i="3"/>
  <c r="K2223" i="3"/>
  <c r="I2222" i="3"/>
  <c r="H2222" i="3" s="1"/>
  <c r="C2222" i="3"/>
  <c r="B2222" i="3" s="1"/>
  <c r="A2224" i="3"/>
  <c r="L2224" i="3" l="1"/>
  <c r="F2224" i="3"/>
  <c r="J2224" i="3"/>
  <c r="D2224" i="3"/>
  <c r="K2224" i="3"/>
  <c r="E2224" i="3"/>
  <c r="C2223" i="3"/>
  <c r="B2223" i="3" s="1"/>
  <c r="A2225" i="3"/>
  <c r="I2223" i="3"/>
  <c r="H2223" i="3" s="1"/>
  <c r="L2225" i="3" l="1"/>
  <c r="F2225" i="3"/>
  <c r="J2225" i="3"/>
  <c r="D2225" i="3"/>
  <c r="K2225" i="3"/>
  <c r="E2225" i="3"/>
  <c r="C2224" i="3"/>
  <c r="B2224" i="3" s="1"/>
  <c r="A2226" i="3"/>
  <c r="I2224" i="3"/>
  <c r="H2224" i="3" s="1"/>
  <c r="L2226" i="3" l="1"/>
  <c r="F2226" i="3"/>
  <c r="J2226" i="3"/>
  <c r="D2226" i="3"/>
  <c r="K2226" i="3"/>
  <c r="E2226" i="3"/>
  <c r="C2225" i="3"/>
  <c r="B2225" i="3" s="1"/>
  <c r="A2227" i="3"/>
  <c r="I2225" i="3"/>
  <c r="H2225" i="3" s="1"/>
  <c r="L2227" i="3" l="1"/>
  <c r="F2227" i="3"/>
  <c r="J2227" i="3"/>
  <c r="D2227" i="3"/>
  <c r="K2227" i="3"/>
  <c r="E2227" i="3"/>
  <c r="C2226" i="3"/>
  <c r="B2226" i="3" s="1"/>
  <c r="A2228" i="3"/>
  <c r="I2226" i="3"/>
  <c r="H2226" i="3" s="1"/>
  <c r="L2228" i="3" l="1"/>
  <c r="F2228" i="3"/>
  <c r="J2228" i="3"/>
  <c r="D2228" i="3"/>
  <c r="K2228" i="3"/>
  <c r="E2228" i="3"/>
  <c r="I2227" i="3"/>
  <c r="H2227" i="3" s="1"/>
  <c r="C2227" i="3"/>
  <c r="B2227" i="3" s="1"/>
  <c r="A2229" i="3"/>
  <c r="L2229" i="3" l="1"/>
  <c r="F2229" i="3"/>
  <c r="J2229" i="3"/>
  <c r="D2229" i="3"/>
  <c r="K2229" i="3"/>
  <c r="E2229" i="3"/>
  <c r="C2228" i="3"/>
  <c r="B2228" i="3" s="1"/>
  <c r="A2230" i="3"/>
  <c r="I2228" i="3"/>
  <c r="H2228" i="3" s="1"/>
  <c r="L2230" i="3" l="1"/>
  <c r="F2230" i="3"/>
  <c r="J2230" i="3"/>
  <c r="D2230" i="3"/>
  <c r="K2230" i="3"/>
  <c r="E2230" i="3"/>
  <c r="C2229" i="3"/>
  <c r="B2229" i="3" s="1"/>
  <c r="A2231" i="3"/>
  <c r="I2229" i="3"/>
  <c r="H2229" i="3" s="1"/>
  <c r="L2231" i="3" l="1"/>
  <c r="F2231" i="3"/>
  <c r="J2231" i="3"/>
  <c r="D2231" i="3"/>
  <c r="K2231" i="3"/>
  <c r="E2231" i="3"/>
  <c r="I2230" i="3"/>
  <c r="H2230" i="3" s="1"/>
  <c r="A2232" i="3"/>
  <c r="C2230" i="3"/>
  <c r="B2230" i="3" s="1"/>
  <c r="L2232" i="3" l="1"/>
  <c r="F2232" i="3"/>
  <c r="J2232" i="3"/>
  <c r="D2232" i="3"/>
  <c r="K2232" i="3"/>
  <c r="E2232" i="3"/>
  <c r="I2231" i="3"/>
  <c r="H2231" i="3" s="1"/>
  <c r="C2231" i="3"/>
  <c r="B2231" i="3" s="1"/>
  <c r="A2233" i="3"/>
  <c r="L2233" i="3" l="1"/>
  <c r="F2233" i="3"/>
  <c r="J2233" i="3"/>
  <c r="D2233" i="3"/>
  <c r="K2233" i="3"/>
  <c r="E2233" i="3"/>
  <c r="C2232" i="3"/>
  <c r="B2232" i="3" s="1"/>
  <c r="I2232" i="3"/>
  <c r="H2232" i="3" s="1"/>
  <c r="A2234" i="3"/>
  <c r="L2234" i="3" l="1"/>
  <c r="J2234" i="3"/>
  <c r="D2234" i="3"/>
  <c r="K2234" i="3"/>
  <c r="E2234" i="3"/>
  <c r="I2233" i="3"/>
  <c r="H2233" i="3" s="1"/>
  <c r="C2233" i="3"/>
  <c r="B2233" i="3" s="1"/>
  <c r="A2235" i="3"/>
  <c r="L2235" i="3" l="1"/>
  <c r="F2235" i="3"/>
  <c r="J2235" i="3"/>
  <c r="D2235" i="3"/>
  <c r="K2235" i="3"/>
  <c r="E2235" i="3"/>
  <c r="I2234" i="3"/>
  <c r="H2234" i="3" s="1"/>
  <c r="A2236" i="3"/>
  <c r="L2236" i="3" l="1"/>
  <c r="F2236" i="3"/>
  <c r="J2236" i="3"/>
  <c r="D2236" i="3"/>
  <c r="K2236" i="3"/>
  <c r="E2236" i="3"/>
  <c r="C2235" i="3"/>
  <c r="B2235" i="3" s="1"/>
  <c r="A2237" i="3"/>
  <c r="I2235" i="3"/>
  <c r="H2235" i="3" s="1"/>
  <c r="F2237" i="3" l="1"/>
  <c r="E2237" i="3"/>
  <c r="L2237" i="3"/>
  <c r="J2237" i="3"/>
  <c r="D2237" i="3"/>
  <c r="K2237" i="3"/>
  <c r="C2236" i="3"/>
  <c r="B2236" i="3" s="1"/>
  <c r="A2238" i="3"/>
  <c r="I2236" i="3"/>
  <c r="H2236" i="3" s="1"/>
  <c r="L2238" i="3" l="1"/>
  <c r="F2238" i="3"/>
  <c r="D2238" i="3"/>
  <c r="E2238" i="3"/>
  <c r="J2238" i="3"/>
  <c r="K2238" i="3"/>
  <c r="I2237" i="3"/>
  <c r="H2237" i="3" s="1"/>
  <c r="C2237" i="3"/>
  <c r="B2237" i="3" s="1"/>
  <c r="A2239" i="3"/>
  <c r="L2239" i="3" l="1"/>
  <c r="F2239" i="3"/>
  <c r="J2239" i="3"/>
  <c r="D2239" i="3"/>
  <c r="K2239" i="3"/>
  <c r="E2239" i="3"/>
  <c r="I2238" i="3"/>
  <c r="H2238" i="3" s="1"/>
  <c r="A2240" i="3"/>
  <c r="C2238" i="3"/>
  <c r="B2238" i="3" s="1"/>
  <c r="L2240" i="3" l="1"/>
  <c r="F2240" i="3"/>
  <c r="J2240" i="3"/>
  <c r="D2240" i="3"/>
  <c r="K2240" i="3"/>
  <c r="E2240" i="3"/>
  <c r="C2239" i="3"/>
  <c r="B2239" i="3" s="1"/>
  <c r="A2241" i="3"/>
  <c r="I2239" i="3"/>
  <c r="H2239" i="3" s="1"/>
  <c r="L2241" i="3" l="1"/>
  <c r="F2241" i="3"/>
  <c r="J2241" i="3"/>
  <c r="D2241" i="3"/>
  <c r="K2241" i="3"/>
  <c r="E2241" i="3"/>
  <c r="C2240" i="3"/>
  <c r="B2240" i="3" s="1"/>
  <c r="A2242" i="3"/>
  <c r="I2240" i="3"/>
  <c r="H2240" i="3" s="1"/>
  <c r="L2242" i="3" l="1"/>
  <c r="F2242" i="3"/>
  <c r="J2242" i="3"/>
  <c r="D2242" i="3"/>
  <c r="K2242" i="3"/>
  <c r="E2242" i="3"/>
  <c r="C2241" i="3"/>
  <c r="B2241" i="3" s="1"/>
  <c r="A2243" i="3"/>
  <c r="I2241" i="3"/>
  <c r="H2241" i="3" s="1"/>
  <c r="L2243" i="3" l="1"/>
  <c r="F2243" i="3"/>
  <c r="J2243" i="3"/>
  <c r="D2243" i="3"/>
  <c r="K2243" i="3"/>
  <c r="E2243" i="3"/>
  <c r="C2242" i="3"/>
  <c r="B2242" i="3" s="1"/>
  <c r="A2244" i="3"/>
  <c r="I2242" i="3"/>
  <c r="H2242" i="3" s="1"/>
  <c r="F2244" i="3" l="1"/>
  <c r="L2244" i="3"/>
  <c r="J2244" i="3"/>
  <c r="D2244" i="3"/>
  <c r="K2244" i="3"/>
  <c r="E2244" i="3"/>
  <c r="I2243" i="3"/>
  <c r="H2243" i="3" s="1"/>
  <c r="C2243" i="3"/>
  <c r="B2243" i="3" s="1"/>
  <c r="A2245" i="3"/>
  <c r="L2245" i="3" l="1"/>
  <c r="F2245" i="3"/>
  <c r="J2245" i="3"/>
  <c r="D2245" i="3"/>
  <c r="K2245" i="3"/>
  <c r="E2245" i="3"/>
  <c r="C2244" i="3"/>
  <c r="B2244" i="3" s="1"/>
  <c r="I2244" i="3"/>
  <c r="H2244" i="3" s="1"/>
  <c r="A2246" i="3"/>
  <c r="L2246" i="3" l="1"/>
  <c r="F2246" i="3"/>
  <c r="J2246" i="3"/>
  <c r="K2246" i="3"/>
  <c r="D2246" i="3"/>
  <c r="E2246" i="3"/>
  <c r="I2245" i="3"/>
  <c r="H2245" i="3" s="1"/>
  <c r="C2245" i="3"/>
  <c r="B2245" i="3" s="1"/>
  <c r="A2247" i="3"/>
  <c r="L2247" i="3" l="1"/>
  <c r="F2247" i="3"/>
  <c r="J2247" i="3"/>
  <c r="D2247" i="3"/>
  <c r="K2247" i="3"/>
  <c r="E2247" i="3"/>
  <c r="I2246" i="3"/>
  <c r="H2246" i="3" s="1"/>
  <c r="A2248" i="3"/>
  <c r="C2246" i="3"/>
  <c r="B2246" i="3" s="1"/>
  <c r="L2248" i="3" l="1"/>
  <c r="F2248" i="3"/>
  <c r="J2248" i="3"/>
  <c r="D2248" i="3"/>
  <c r="K2248" i="3"/>
  <c r="E2248" i="3"/>
  <c r="C2247" i="3"/>
  <c r="B2247" i="3" s="1"/>
  <c r="I2247" i="3"/>
  <c r="H2247" i="3" s="1"/>
  <c r="A2249" i="3"/>
  <c r="L2249" i="3" l="1"/>
  <c r="F2249" i="3"/>
  <c r="J2249" i="3"/>
  <c r="D2249" i="3"/>
  <c r="K2249" i="3"/>
  <c r="E2249" i="3"/>
  <c r="I2248" i="3"/>
  <c r="H2248" i="3" s="1"/>
  <c r="A2250" i="3"/>
  <c r="C2248" i="3"/>
  <c r="B2248" i="3" s="1"/>
  <c r="L2250" i="3" l="1"/>
  <c r="F2250" i="3"/>
  <c r="D2250" i="3"/>
  <c r="E2250" i="3"/>
  <c r="J2250" i="3"/>
  <c r="K2250" i="3"/>
  <c r="C2249" i="3"/>
  <c r="B2249" i="3" s="1"/>
  <c r="I2249" i="3"/>
  <c r="H2249" i="3" s="1"/>
  <c r="A2251" i="3"/>
  <c r="L2251" i="3" l="1"/>
  <c r="F2251" i="3"/>
  <c r="J2251" i="3"/>
  <c r="D2251" i="3"/>
  <c r="K2251" i="3"/>
  <c r="E2251" i="3"/>
  <c r="I2250" i="3"/>
  <c r="H2250" i="3" s="1"/>
  <c r="C2250" i="3"/>
  <c r="B2250" i="3" s="1"/>
  <c r="A2252" i="3"/>
  <c r="L2252" i="3" l="1"/>
  <c r="F2252" i="3"/>
  <c r="D2252" i="3"/>
  <c r="J2252" i="3"/>
  <c r="E2252" i="3"/>
  <c r="K2252" i="3"/>
  <c r="C2251" i="3"/>
  <c r="B2251" i="3" s="1"/>
  <c r="A2253" i="3"/>
  <c r="I2251" i="3"/>
  <c r="H2251" i="3" s="1"/>
  <c r="L2253" i="3" l="1"/>
  <c r="F2253" i="3"/>
  <c r="J2253" i="3"/>
  <c r="D2253" i="3"/>
  <c r="K2253" i="3"/>
  <c r="E2253" i="3"/>
  <c r="C2252" i="3"/>
  <c r="B2252" i="3" s="1"/>
  <c r="A2254" i="3"/>
  <c r="I2252" i="3"/>
  <c r="H2252" i="3" s="1"/>
  <c r="L2254" i="3" l="1"/>
  <c r="F2254" i="3"/>
  <c r="J2254" i="3"/>
  <c r="D2254" i="3"/>
  <c r="K2254" i="3"/>
  <c r="E2254" i="3"/>
  <c r="I2253" i="3"/>
  <c r="H2253" i="3" s="1"/>
  <c r="C2253" i="3"/>
  <c r="B2253" i="3" s="1"/>
  <c r="A2255" i="3"/>
  <c r="L2255" i="3" l="1"/>
  <c r="F2255" i="3"/>
  <c r="J2255" i="3"/>
  <c r="D2255" i="3"/>
  <c r="K2255" i="3"/>
  <c r="E2255" i="3"/>
  <c r="C2254" i="3"/>
  <c r="B2254" i="3" s="1"/>
  <c r="I2254" i="3"/>
  <c r="H2254" i="3" s="1"/>
  <c r="A2256" i="3"/>
  <c r="L2256" i="3" l="1"/>
  <c r="J2256" i="3"/>
  <c r="D2256" i="3"/>
  <c r="K2256" i="3"/>
  <c r="E2256" i="3"/>
  <c r="C2255" i="3"/>
  <c r="B2255" i="3" s="1"/>
  <c r="A2257" i="3"/>
  <c r="I2255" i="3"/>
  <c r="H2255" i="3" s="1"/>
  <c r="F2257" i="3" l="1"/>
  <c r="E2257" i="3"/>
  <c r="L2257" i="3"/>
  <c r="J2257" i="3"/>
  <c r="D2257" i="3"/>
  <c r="K2257" i="3"/>
  <c r="A2258" i="3"/>
  <c r="I2256" i="3"/>
  <c r="H2256" i="3" s="1"/>
  <c r="L2258" i="3" l="1"/>
  <c r="F2258" i="3"/>
  <c r="J2258" i="3"/>
  <c r="D2258" i="3"/>
  <c r="K2258" i="3"/>
  <c r="E2258" i="3"/>
  <c r="C2257" i="3"/>
  <c r="B2257" i="3" s="1"/>
  <c r="A2259" i="3"/>
  <c r="I2257" i="3"/>
  <c r="H2257" i="3" s="1"/>
  <c r="L2259" i="3" l="1"/>
  <c r="F2259" i="3"/>
  <c r="J2259" i="3"/>
  <c r="D2259" i="3"/>
  <c r="K2259" i="3"/>
  <c r="E2259" i="3"/>
  <c r="C2258" i="3"/>
  <c r="B2258" i="3" s="1"/>
  <c r="I2258" i="3"/>
  <c r="H2258" i="3" s="1"/>
  <c r="A2260" i="3"/>
  <c r="L2260" i="3" l="1"/>
  <c r="F2260" i="3"/>
  <c r="J2260" i="3"/>
  <c r="D2260" i="3"/>
  <c r="K2260" i="3"/>
  <c r="E2260" i="3"/>
  <c r="I2259" i="3"/>
  <c r="H2259" i="3" s="1"/>
  <c r="C2259" i="3"/>
  <c r="B2259" i="3" s="1"/>
  <c r="A2261" i="3"/>
  <c r="L2261" i="3" l="1"/>
  <c r="F2261" i="3"/>
  <c r="J2261" i="3"/>
  <c r="D2261" i="3"/>
  <c r="K2261" i="3"/>
  <c r="E2261" i="3"/>
  <c r="I2260" i="3"/>
  <c r="H2260" i="3" s="1"/>
  <c r="A2262" i="3"/>
  <c r="C2260" i="3"/>
  <c r="B2260" i="3" s="1"/>
  <c r="L2262" i="3" l="1"/>
  <c r="F2262" i="3"/>
  <c r="J2262" i="3"/>
  <c r="K2262" i="3"/>
  <c r="D2262" i="3"/>
  <c r="E2262" i="3"/>
  <c r="C2261" i="3"/>
  <c r="B2261" i="3" s="1"/>
  <c r="A2263" i="3"/>
  <c r="I2261" i="3"/>
  <c r="H2261" i="3" s="1"/>
  <c r="L2263" i="3" l="1"/>
  <c r="F2263" i="3"/>
  <c r="J2263" i="3"/>
  <c r="K2263" i="3"/>
  <c r="D2263" i="3"/>
  <c r="E2263" i="3"/>
  <c r="C2262" i="3"/>
  <c r="B2262" i="3" s="1"/>
  <c r="A2264" i="3"/>
  <c r="I2262" i="3"/>
  <c r="H2262" i="3" s="1"/>
  <c r="F2264" i="3" l="1"/>
  <c r="L2264" i="3"/>
  <c r="J2264" i="3"/>
  <c r="D2264" i="3"/>
  <c r="K2264" i="3"/>
  <c r="E2264" i="3"/>
  <c r="A2265" i="3"/>
  <c r="I2263" i="3"/>
  <c r="H2263" i="3" s="1"/>
  <c r="C2263" i="3"/>
  <c r="B2263" i="3" s="1"/>
  <c r="L2265" i="3" l="1"/>
  <c r="F2265" i="3"/>
  <c r="J2265" i="3"/>
  <c r="D2265" i="3"/>
  <c r="K2265" i="3"/>
  <c r="E2265" i="3"/>
  <c r="I2264" i="3"/>
  <c r="H2264" i="3" s="1"/>
  <c r="C2264" i="3"/>
  <c r="B2264" i="3" s="1"/>
  <c r="A2266" i="3"/>
  <c r="L2266" i="3" l="1"/>
  <c r="F2266" i="3"/>
  <c r="J2266" i="3"/>
  <c r="D2266" i="3"/>
  <c r="K2266" i="3"/>
  <c r="E2266" i="3"/>
  <c r="C2265" i="3"/>
  <c r="B2265" i="3" s="1"/>
  <c r="I2265" i="3"/>
  <c r="H2265" i="3" s="1"/>
  <c r="A2267" i="3"/>
  <c r="L2267" i="3" l="1"/>
  <c r="F2267" i="3"/>
  <c r="D2267" i="3"/>
  <c r="J2267" i="3"/>
  <c r="E2267" i="3"/>
  <c r="K2267" i="3"/>
  <c r="A2268" i="3"/>
  <c r="C2266" i="3"/>
  <c r="B2266" i="3" s="1"/>
  <c r="I2266" i="3"/>
  <c r="H2266" i="3" s="1"/>
  <c r="L2268" i="3" l="1"/>
  <c r="F2268" i="3"/>
  <c r="J2268" i="3"/>
  <c r="D2268" i="3"/>
  <c r="K2268" i="3"/>
  <c r="E2268" i="3"/>
  <c r="C2267" i="3"/>
  <c r="B2267" i="3" s="1"/>
  <c r="A2269" i="3"/>
  <c r="I2267" i="3"/>
  <c r="H2267" i="3" s="1"/>
  <c r="L2269" i="3" l="1"/>
  <c r="F2269" i="3"/>
  <c r="J2269" i="3"/>
  <c r="D2269" i="3"/>
  <c r="K2269" i="3"/>
  <c r="E2269" i="3"/>
  <c r="C2268" i="3"/>
  <c r="B2268" i="3" s="1"/>
  <c r="A2270" i="3"/>
  <c r="I2268" i="3"/>
  <c r="H2268" i="3" s="1"/>
  <c r="L2270" i="3" l="1"/>
  <c r="F2270" i="3"/>
  <c r="J2270" i="3"/>
  <c r="D2270" i="3"/>
  <c r="K2270" i="3"/>
  <c r="E2270" i="3"/>
  <c r="I2269" i="3"/>
  <c r="H2269" i="3" s="1"/>
  <c r="C2269" i="3"/>
  <c r="B2269" i="3" s="1"/>
  <c r="A2271" i="3"/>
  <c r="L2271" i="3" l="1"/>
  <c r="F2271" i="3"/>
  <c r="J2271" i="3"/>
  <c r="D2271" i="3"/>
  <c r="K2271" i="3"/>
  <c r="E2271" i="3"/>
  <c r="I2270" i="3"/>
  <c r="H2270" i="3" s="1"/>
  <c r="C2270" i="3"/>
  <c r="B2270" i="3" s="1"/>
  <c r="A2272" i="3"/>
  <c r="L2272" i="3" l="1"/>
  <c r="F2272" i="3"/>
  <c r="J2272" i="3"/>
  <c r="D2272" i="3"/>
  <c r="K2272" i="3"/>
  <c r="E2272" i="3"/>
  <c r="I2271" i="3"/>
  <c r="H2271" i="3" s="1"/>
  <c r="C2271" i="3"/>
  <c r="B2271" i="3" s="1"/>
  <c r="A2273" i="3"/>
  <c r="L2273" i="3" l="1"/>
  <c r="F2273" i="3"/>
  <c r="J2273" i="3"/>
  <c r="D2273" i="3"/>
  <c r="K2273" i="3"/>
  <c r="E2273" i="3"/>
  <c r="C2272" i="3"/>
  <c r="B2272" i="3" s="1"/>
  <c r="A2274" i="3"/>
  <c r="I2272" i="3"/>
  <c r="H2272" i="3" s="1"/>
  <c r="L2274" i="3" l="1"/>
  <c r="F2274" i="3"/>
  <c r="J2274" i="3"/>
  <c r="D2274" i="3"/>
  <c r="K2274" i="3"/>
  <c r="E2274" i="3"/>
  <c r="C2273" i="3"/>
  <c r="B2273" i="3" s="1"/>
  <c r="A2275" i="3"/>
  <c r="I2273" i="3"/>
  <c r="H2273" i="3" s="1"/>
  <c r="L2275" i="3" l="1"/>
  <c r="F2275" i="3"/>
  <c r="J2275" i="3"/>
  <c r="D2275" i="3"/>
  <c r="K2275" i="3"/>
  <c r="E2275" i="3"/>
  <c r="A2276" i="3"/>
  <c r="I2274" i="3"/>
  <c r="H2274" i="3" s="1"/>
  <c r="C2274" i="3"/>
  <c r="B2274" i="3" s="1"/>
  <c r="L2276" i="3" l="1"/>
  <c r="F2276" i="3"/>
  <c r="J2276" i="3"/>
  <c r="D2276" i="3"/>
  <c r="K2276" i="3"/>
  <c r="E2276" i="3"/>
  <c r="C2275" i="3"/>
  <c r="B2275" i="3" s="1"/>
  <c r="I2275" i="3"/>
  <c r="H2275" i="3" s="1"/>
  <c r="A2277" i="3"/>
  <c r="L2277" i="3" l="1"/>
  <c r="J2277" i="3"/>
  <c r="D2277" i="3"/>
  <c r="K2277" i="3"/>
  <c r="E2277" i="3"/>
  <c r="I2276" i="3"/>
  <c r="H2276" i="3" s="1"/>
  <c r="C2276" i="3"/>
  <c r="B2276" i="3" s="1"/>
  <c r="A2278" i="3"/>
  <c r="F2278" i="3" l="1"/>
  <c r="E2278" i="3"/>
  <c r="L2278" i="3"/>
  <c r="J2278" i="3"/>
  <c r="D2278" i="3"/>
  <c r="K2278" i="3"/>
  <c r="A2279" i="3"/>
  <c r="I2277" i="3"/>
  <c r="H2277" i="3" s="1"/>
  <c r="L2279" i="3" l="1"/>
  <c r="F2279" i="3"/>
  <c r="J2279" i="3"/>
  <c r="D2279" i="3"/>
  <c r="K2279" i="3"/>
  <c r="E2279" i="3"/>
  <c r="C2278" i="3"/>
  <c r="B2278" i="3" s="1"/>
  <c r="A2280" i="3"/>
  <c r="I2278" i="3"/>
  <c r="H2278" i="3" s="1"/>
  <c r="L2280" i="3" l="1"/>
  <c r="F2280" i="3"/>
  <c r="J2280" i="3"/>
  <c r="D2280" i="3"/>
  <c r="K2280" i="3"/>
  <c r="E2280" i="3"/>
  <c r="C2279" i="3"/>
  <c r="B2279" i="3" s="1"/>
  <c r="A2281" i="3"/>
  <c r="I2279" i="3"/>
  <c r="H2279" i="3" s="1"/>
  <c r="L2281" i="3" l="1"/>
  <c r="F2281" i="3"/>
  <c r="D2281" i="3"/>
  <c r="J2281" i="3"/>
  <c r="E2281" i="3"/>
  <c r="K2281" i="3"/>
  <c r="I2280" i="3"/>
  <c r="H2280" i="3" s="1"/>
  <c r="C2280" i="3"/>
  <c r="B2280" i="3" s="1"/>
  <c r="A2282" i="3"/>
  <c r="L2282" i="3" l="1"/>
  <c r="F2282" i="3"/>
  <c r="J2282" i="3"/>
  <c r="D2282" i="3"/>
  <c r="K2282" i="3"/>
  <c r="E2282" i="3"/>
  <c r="C2281" i="3"/>
  <c r="B2281" i="3" s="1"/>
  <c r="I2281" i="3"/>
  <c r="H2281" i="3" s="1"/>
  <c r="A2283" i="3"/>
  <c r="L2283" i="3" l="1"/>
  <c r="F2283" i="3"/>
  <c r="J2283" i="3"/>
  <c r="D2283" i="3"/>
  <c r="K2283" i="3"/>
  <c r="E2283" i="3"/>
  <c r="I2282" i="3"/>
  <c r="H2282" i="3" s="1"/>
  <c r="A2284" i="3"/>
  <c r="C2282" i="3"/>
  <c r="B2282" i="3" s="1"/>
  <c r="L2284" i="3" l="1"/>
  <c r="F2284" i="3"/>
  <c r="J2284" i="3"/>
  <c r="D2284" i="3"/>
  <c r="K2284" i="3"/>
  <c r="E2284" i="3"/>
  <c r="C2283" i="3"/>
  <c r="B2283" i="3" s="1"/>
  <c r="A2285" i="3"/>
  <c r="I2283" i="3"/>
  <c r="H2283" i="3" s="1"/>
  <c r="F2285" i="3" l="1"/>
  <c r="L2285" i="3"/>
  <c r="J2285" i="3"/>
  <c r="D2285" i="3"/>
  <c r="K2285" i="3"/>
  <c r="E2285" i="3"/>
  <c r="C2284" i="3"/>
  <c r="B2284" i="3" s="1"/>
  <c r="A2286" i="3"/>
  <c r="I2284" i="3"/>
  <c r="H2284" i="3" s="1"/>
  <c r="L2286" i="3" l="1"/>
  <c r="F2286" i="3"/>
  <c r="J2286" i="3"/>
  <c r="D2286" i="3"/>
  <c r="K2286" i="3"/>
  <c r="E2286" i="3"/>
  <c r="C2285" i="3"/>
  <c r="B2285" i="3" s="1"/>
  <c r="I2285" i="3"/>
  <c r="H2285" i="3" s="1"/>
  <c r="A2287" i="3"/>
  <c r="L2287" i="3" l="1"/>
  <c r="F2287" i="3"/>
  <c r="J2287" i="3"/>
  <c r="D2287" i="3"/>
  <c r="K2287" i="3"/>
  <c r="E2287" i="3"/>
  <c r="C2286" i="3"/>
  <c r="B2286" i="3" s="1"/>
  <c r="I2286" i="3"/>
  <c r="H2286" i="3" s="1"/>
  <c r="A2288" i="3"/>
  <c r="L2288" i="3" l="1"/>
  <c r="F2288" i="3"/>
  <c r="J2288" i="3"/>
  <c r="D2288" i="3"/>
  <c r="K2288" i="3"/>
  <c r="E2288" i="3"/>
  <c r="C2287" i="3"/>
  <c r="B2287" i="3" s="1"/>
  <c r="A2289" i="3"/>
  <c r="I2287" i="3"/>
  <c r="H2287" i="3" s="1"/>
  <c r="L2289" i="3" l="1"/>
  <c r="F2289" i="3"/>
  <c r="J2289" i="3"/>
  <c r="D2289" i="3"/>
  <c r="K2289" i="3"/>
  <c r="E2289" i="3"/>
  <c r="C2288" i="3"/>
  <c r="B2288" i="3" s="1"/>
  <c r="A2290" i="3"/>
  <c r="I2288" i="3"/>
  <c r="H2288" i="3" s="1"/>
  <c r="L2290" i="3" l="1"/>
  <c r="F2290" i="3"/>
  <c r="J2290" i="3"/>
  <c r="D2290" i="3"/>
  <c r="K2290" i="3"/>
  <c r="E2290" i="3"/>
  <c r="I2289" i="3"/>
  <c r="H2289" i="3" s="1"/>
  <c r="C2289" i="3"/>
  <c r="B2289" i="3" s="1"/>
  <c r="A2291" i="3"/>
  <c r="L2291" i="3" l="1"/>
  <c r="F2291" i="3"/>
  <c r="J2291" i="3"/>
  <c r="D2291" i="3"/>
  <c r="K2291" i="3"/>
  <c r="E2291" i="3"/>
  <c r="I2290" i="3"/>
  <c r="H2290" i="3" s="1"/>
  <c r="C2290" i="3"/>
  <c r="B2290" i="3" s="1"/>
  <c r="A2292" i="3"/>
  <c r="L2292" i="3" l="1"/>
  <c r="F2292" i="3"/>
  <c r="J2292" i="3"/>
  <c r="D2292" i="3"/>
  <c r="K2292" i="3"/>
  <c r="E2292" i="3"/>
  <c r="I2291" i="3"/>
  <c r="H2291" i="3" s="1"/>
  <c r="A2293" i="3"/>
  <c r="C2291" i="3"/>
  <c r="B2291" i="3" s="1"/>
  <c r="L2293" i="3" l="1"/>
  <c r="F2293" i="3"/>
  <c r="J2293" i="3"/>
  <c r="D2293" i="3"/>
  <c r="K2293" i="3"/>
  <c r="E2293" i="3"/>
  <c r="C2292" i="3"/>
  <c r="B2292" i="3" s="1"/>
  <c r="A2294" i="3"/>
  <c r="I2292" i="3"/>
  <c r="H2292" i="3" s="1"/>
  <c r="L2294" i="3" l="1"/>
  <c r="F2294" i="3"/>
  <c r="J2294" i="3"/>
  <c r="D2294" i="3"/>
  <c r="K2294" i="3"/>
  <c r="E2294" i="3"/>
  <c r="C2293" i="3"/>
  <c r="B2293" i="3" s="1"/>
  <c r="I2293" i="3"/>
  <c r="H2293" i="3" s="1"/>
  <c r="A2295" i="3"/>
  <c r="L2295" i="3" l="1"/>
  <c r="F2295" i="3"/>
  <c r="J2295" i="3"/>
  <c r="D2295" i="3"/>
  <c r="K2295" i="3"/>
  <c r="E2295" i="3"/>
  <c r="C2294" i="3"/>
  <c r="B2294" i="3" s="1"/>
  <c r="I2294" i="3"/>
  <c r="H2294" i="3" s="1"/>
  <c r="A2296" i="3"/>
  <c r="L2296" i="3" l="1"/>
  <c r="F2296" i="3"/>
  <c r="J2296" i="3"/>
  <c r="D2296" i="3"/>
  <c r="K2296" i="3"/>
  <c r="E2296" i="3"/>
  <c r="C2295" i="3"/>
  <c r="B2295" i="3" s="1"/>
  <c r="I2295" i="3"/>
  <c r="H2295" i="3" s="1"/>
  <c r="A2297" i="3"/>
  <c r="L2297" i="3" l="1"/>
  <c r="J2297" i="3"/>
  <c r="D2297" i="3"/>
  <c r="K2297" i="3"/>
  <c r="E2297" i="3"/>
  <c r="A2298" i="3"/>
  <c r="I2296" i="3"/>
  <c r="H2296" i="3" s="1"/>
  <c r="C2296" i="3"/>
  <c r="B2296" i="3" s="1"/>
  <c r="L2298" i="3" l="1"/>
  <c r="F2298" i="3"/>
  <c r="D2298" i="3"/>
  <c r="J2298" i="3"/>
  <c r="E2298" i="3"/>
  <c r="K2298" i="3"/>
  <c r="A2299" i="3"/>
  <c r="I2297" i="3"/>
  <c r="H2297" i="3" s="1"/>
  <c r="L2299" i="3" l="1"/>
  <c r="F2299" i="3"/>
  <c r="J2299" i="3"/>
  <c r="D2299" i="3"/>
  <c r="K2299" i="3"/>
  <c r="E2299" i="3"/>
  <c r="C2298" i="3"/>
  <c r="B2298" i="3" s="1"/>
  <c r="A2300" i="3"/>
  <c r="I2298" i="3"/>
  <c r="H2298" i="3" s="1"/>
  <c r="F2300" i="3" l="1"/>
  <c r="E2300" i="3"/>
  <c r="L2300" i="3"/>
  <c r="J2300" i="3"/>
  <c r="D2300" i="3"/>
  <c r="K2300" i="3"/>
  <c r="A2301" i="3"/>
  <c r="I2299" i="3"/>
  <c r="H2299" i="3" s="1"/>
  <c r="C2299" i="3"/>
  <c r="B2299" i="3" s="1"/>
  <c r="L2301" i="3" l="1"/>
  <c r="F2301" i="3"/>
  <c r="J2301" i="3"/>
  <c r="D2301" i="3"/>
  <c r="K2301" i="3"/>
  <c r="E2301" i="3"/>
  <c r="C2300" i="3"/>
  <c r="B2300" i="3" s="1"/>
  <c r="A2302" i="3"/>
  <c r="I2300" i="3"/>
  <c r="H2300" i="3" s="1"/>
  <c r="L2302" i="3" l="1"/>
  <c r="F2302" i="3"/>
  <c r="J2302" i="3"/>
  <c r="D2302" i="3"/>
  <c r="K2302" i="3"/>
  <c r="E2302" i="3"/>
  <c r="C2301" i="3"/>
  <c r="B2301" i="3" s="1"/>
  <c r="I2301" i="3"/>
  <c r="H2301" i="3" s="1"/>
  <c r="A2303" i="3"/>
  <c r="L2303" i="3" l="1"/>
  <c r="F2303" i="3"/>
  <c r="J2303" i="3"/>
  <c r="D2303" i="3"/>
  <c r="K2303" i="3"/>
  <c r="E2303" i="3"/>
  <c r="I2302" i="3"/>
  <c r="H2302" i="3" s="1"/>
  <c r="C2302" i="3"/>
  <c r="B2302" i="3" s="1"/>
  <c r="A2304" i="3"/>
  <c r="L2304" i="3" l="1"/>
  <c r="F2304" i="3"/>
  <c r="J2304" i="3"/>
  <c r="D2304" i="3"/>
  <c r="K2304" i="3"/>
  <c r="E2304" i="3"/>
  <c r="A2305" i="3"/>
  <c r="I2303" i="3"/>
  <c r="H2303" i="3" s="1"/>
  <c r="C2303" i="3"/>
  <c r="B2303" i="3" s="1"/>
  <c r="L2305" i="3" l="1"/>
  <c r="F2305" i="3"/>
  <c r="J2305" i="3"/>
  <c r="D2305" i="3"/>
  <c r="K2305" i="3"/>
  <c r="E2305" i="3"/>
  <c r="C2304" i="3"/>
  <c r="B2304" i="3" s="1"/>
  <c r="A2306" i="3"/>
  <c r="I2304" i="3"/>
  <c r="H2304" i="3" s="1"/>
  <c r="L2306" i="3" l="1"/>
  <c r="F2306" i="3"/>
  <c r="J2306" i="3"/>
  <c r="D2306" i="3"/>
  <c r="K2306" i="3"/>
  <c r="E2306" i="3"/>
  <c r="C2305" i="3"/>
  <c r="B2305" i="3" s="1"/>
  <c r="A2307" i="3"/>
  <c r="I2305" i="3"/>
  <c r="H2305" i="3" s="1"/>
  <c r="F2307" i="3" l="1"/>
  <c r="L2307" i="3"/>
  <c r="J2307" i="3"/>
  <c r="D2307" i="3"/>
  <c r="K2307" i="3"/>
  <c r="E2307" i="3"/>
  <c r="C2306" i="3"/>
  <c r="B2306" i="3" s="1"/>
  <c r="A2308" i="3"/>
  <c r="I2306" i="3"/>
  <c r="H2306" i="3" s="1"/>
  <c r="L2308" i="3" l="1"/>
  <c r="F2308" i="3"/>
  <c r="J2308" i="3"/>
  <c r="D2308" i="3"/>
  <c r="K2308" i="3"/>
  <c r="E2308" i="3"/>
  <c r="I2307" i="3"/>
  <c r="H2307" i="3" s="1"/>
  <c r="A2309" i="3"/>
  <c r="C2307" i="3"/>
  <c r="B2307" i="3" s="1"/>
  <c r="L2309" i="3" l="1"/>
  <c r="F2309" i="3"/>
  <c r="J2309" i="3"/>
  <c r="D2309" i="3"/>
  <c r="K2309" i="3"/>
  <c r="E2309" i="3"/>
  <c r="C2308" i="3"/>
  <c r="B2308" i="3" s="1"/>
  <c r="A2310" i="3"/>
  <c r="I2308" i="3"/>
  <c r="H2308" i="3" s="1"/>
  <c r="L2310" i="3" l="1"/>
  <c r="F2310" i="3"/>
  <c r="J2310" i="3"/>
  <c r="D2310" i="3"/>
  <c r="K2310" i="3"/>
  <c r="E2310" i="3"/>
  <c r="C2309" i="3"/>
  <c r="B2309" i="3" s="1"/>
  <c r="A2311" i="3"/>
  <c r="I2309" i="3"/>
  <c r="H2309" i="3" s="1"/>
  <c r="L2311" i="3" l="1"/>
  <c r="F2311" i="3"/>
  <c r="D2311" i="3"/>
  <c r="E2311" i="3"/>
  <c r="J2311" i="3"/>
  <c r="K2311" i="3"/>
  <c r="C2310" i="3"/>
  <c r="B2310" i="3" s="1"/>
  <c r="I2310" i="3"/>
  <c r="H2310" i="3" s="1"/>
  <c r="A2312" i="3"/>
  <c r="L2312" i="3" l="1"/>
  <c r="F2312" i="3"/>
  <c r="J2312" i="3"/>
  <c r="D2312" i="3"/>
  <c r="K2312" i="3"/>
  <c r="E2312" i="3"/>
  <c r="I2311" i="3"/>
  <c r="H2311" i="3" s="1"/>
  <c r="A2313" i="3"/>
  <c r="C2311" i="3"/>
  <c r="B2311" i="3" s="1"/>
  <c r="L2313" i="3" l="1"/>
  <c r="F2313" i="3"/>
  <c r="J2313" i="3"/>
  <c r="D2313" i="3"/>
  <c r="K2313" i="3"/>
  <c r="E2313" i="3"/>
  <c r="I2312" i="3"/>
  <c r="H2312" i="3" s="1"/>
  <c r="C2312" i="3"/>
  <c r="B2312" i="3" s="1"/>
  <c r="A2314" i="3"/>
  <c r="L2314" i="3" l="1"/>
  <c r="F2314" i="3"/>
  <c r="J2314" i="3"/>
  <c r="D2314" i="3"/>
  <c r="K2314" i="3"/>
  <c r="E2314" i="3"/>
  <c r="C2313" i="3"/>
  <c r="B2313" i="3" s="1"/>
  <c r="A2315" i="3"/>
  <c r="I2313" i="3"/>
  <c r="H2313" i="3" s="1"/>
  <c r="L2315" i="3" l="1"/>
  <c r="F2315" i="3"/>
  <c r="J2315" i="3"/>
  <c r="D2315" i="3"/>
  <c r="K2315" i="3"/>
  <c r="E2315" i="3"/>
  <c r="C2314" i="3"/>
  <c r="B2314" i="3" s="1"/>
  <c r="A2316" i="3"/>
  <c r="I2314" i="3"/>
  <c r="H2314" i="3" s="1"/>
  <c r="L2316" i="3" l="1"/>
  <c r="F2316" i="3"/>
  <c r="J2316" i="3"/>
  <c r="D2316" i="3"/>
  <c r="K2316" i="3"/>
  <c r="E2316" i="3"/>
  <c r="C2315" i="3"/>
  <c r="B2315" i="3" s="1"/>
  <c r="A2317" i="3"/>
  <c r="I2315" i="3"/>
  <c r="H2315" i="3" s="1"/>
  <c r="L2317" i="3" l="1"/>
  <c r="J2317" i="3"/>
  <c r="D2317" i="3"/>
  <c r="K2317" i="3"/>
  <c r="E2317" i="3"/>
  <c r="A2318" i="3"/>
  <c r="I2316" i="3"/>
  <c r="H2316" i="3" s="1"/>
  <c r="C2316" i="3"/>
  <c r="B2316" i="3" s="1"/>
  <c r="L2318" i="3" l="1"/>
  <c r="F2318" i="3"/>
  <c r="J2318" i="3"/>
  <c r="D2318" i="3"/>
  <c r="K2318" i="3"/>
  <c r="E2318" i="3"/>
  <c r="I2317" i="3"/>
  <c r="H2317" i="3" s="1"/>
  <c r="A2319" i="3"/>
  <c r="L2319" i="3" l="1"/>
  <c r="F2319" i="3"/>
  <c r="J2319" i="3"/>
  <c r="D2319" i="3"/>
  <c r="K2319" i="3"/>
  <c r="E2319" i="3"/>
  <c r="I2318" i="3"/>
  <c r="H2318" i="3" s="1"/>
  <c r="C2318" i="3"/>
  <c r="B2318" i="3" s="1"/>
  <c r="A2320" i="3"/>
  <c r="F2320" i="3" l="1"/>
  <c r="E2320" i="3"/>
  <c r="L2320" i="3"/>
  <c r="J2320" i="3"/>
  <c r="D2320" i="3"/>
  <c r="K2320" i="3"/>
  <c r="C2319" i="3"/>
  <c r="B2319" i="3" s="1"/>
  <c r="A2321" i="3"/>
  <c r="I2319" i="3"/>
  <c r="H2319" i="3" s="1"/>
  <c r="L2321" i="3" l="1"/>
  <c r="F2321" i="3"/>
  <c r="J2321" i="3"/>
  <c r="D2321" i="3"/>
  <c r="K2321" i="3"/>
  <c r="E2321" i="3"/>
  <c r="C2320" i="3"/>
  <c r="B2320" i="3" s="1"/>
  <c r="A2322" i="3"/>
  <c r="I2320" i="3"/>
  <c r="H2320" i="3" s="1"/>
  <c r="L2322" i="3" l="1"/>
  <c r="F2322" i="3"/>
  <c r="J2322" i="3"/>
  <c r="D2322" i="3"/>
  <c r="K2322" i="3"/>
  <c r="E2322" i="3"/>
  <c r="I2321" i="3"/>
  <c r="H2321" i="3" s="1"/>
  <c r="C2321" i="3"/>
  <c r="B2321" i="3" s="1"/>
  <c r="A2323" i="3"/>
  <c r="I2322" i="3" l="1"/>
  <c r="H2322" i="3" s="1"/>
  <c r="L2323" i="3"/>
  <c r="F2323" i="3"/>
  <c r="J2323" i="3"/>
  <c r="D2323" i="3"/>
  <c r="K2323" i="3"/>
  <c r="E2323" i="3"/>
  <c r="C2322" i="3"/>
  <c r="B2322" i="3" s="1"/>
  <c r="A2324" i="3"/>
  <c r="L2324" i="3" l="1"/>
  <c r="F2324" i="3"/>
  <c r="J2324" i="3"/>
  <c r="D2324" i="3"/>
  <c r="K2324" i="3"/>
  <c r="E2324" i="3"/>
  <c r="I2323" i="3"/>
  <c r="H2323" i="3" s="1"/>
  <c r="C2323" i="3"/>
  <c r="B2323" i="3" s="1"/>
  <c r="A2325" i="3"/>
  <c r="L2325" i="3" l="1"/>
  <c r="F2325" i="3"/>
  <c r="J2325" i="3"/>
  <c r="D2325" i="3"/>
  <c r="K2325" i="3"/>
  <c r="E2325" i="3"/>
  <c r="C2324" i="3"/>
  <c r="B2324" i="3" s="1"/>
  <c r="A2326" i="3"/>
  <c r="I2324" i="3"/>
  <c r="H2324" i="3" s="1"/>
  <c r="L2326" i="3" l="1"/>
  <c r="F2326" i="3"/>
  <c r="J2326" i="3"/>
  <c r="D2326" i="3"/>
  <c r="K2326" i="3"/>
  <c r="E2326" i="3"/>
  <c r="C2325" i="3"/>
  <c r="B2325" i="3" s="1"/>
  <c r="I2325" i="3"/>
  <c r="H2325" i="3" s="1"/>
  <c r="A2327" i="3"/>
  <c r="F2327" i="3" l="1"/>
  <c r="L2327" i="3"/>
  <c r="J2327" i="3"/>
  <c r="D2327" i="3"/>
  <c r="K2327" i="3"/>
  <c r="E2327" i="3"/>
  <c r="C2326" i="3"/>
  <c r="B2326" i="3" s="1"/>
  <c r="I2326" i="3"/>
  <c r="H2326" i="3" s="1"/>
  <c r="A2328" i="3"/>
  <c r="L2328" i="3" l="1"/>
  <c r="F2328" i="3"/>
  <c r="J2328" i="3"/>
  <c r="D2328" i="3"/>
  <c r="K2328" i="3"/>
  <c r="E2328" i="3"/>
  <c r="C2327" i="3"/>
  <c r="B2327" i="3" s="1"/>
  <c r="I2327" i="3"/>
  <c r="H2327" i="3" s="1"/>
  <c r="A2329" i="3"/>
  <c r="L2329" i="3" l="1"/>
  <c r="F2329" i="3"/>
  <c r="D2329" i="3"/>
  <c r="E2329" i="3"/>
  <c r="J2329" i="3"/>
  <c r="K2329" i="3"/>
  <c r="A2330" i="3"/>
  <c r="I2328" i="3"/>
  <c r="H2328" i="3" s="1"/>
  <c r="C2328" i="3"/>
  <c r="B2328" i="3" s="1"/>
  <c r="L2330" i="3" l="1"/>
  <c r="F2330" i="3"/>
  <c r="J2330" i="3"/>
  <c r="D2330" i="3"/>
  <c r="K2330" i="3"/>
  <c r="E2330" i="3"/>
  <c r="C2329" i="3"/>
  <c r="B2329" i="3" s="1"/>
  <c r="A2331" i="3"/>
  <c r="I2329" i="3"/>
  <c r="H2329" i="3" s="1"/>
  <c r="L2331" i="3" l="1"/>
  <c r="F2331" i="3"/>
  <c r="J2331" i="3"/>
  <c r="D2331" i="3"/>
  <c r="K2331" i="3"/>
  <c r="E2331" i="3"/>
  <c r="I2330" i="3"/>
  <c r="H2330" i="3" s="1"/>
  <c r="C2330" i="3"/>
  <c r="B2330" i="3" s="1"/>
  <c r="A2332" i="3"/>
  <c r="L2332" i="3" l="1"/>
  <c r="F2332" i="3"/>
  <c r="J2332" i="3"/>
  <c r="D2332" i="3"/>
  <c r="K2332" i="3"/>
  <c r="E2332" i="3"/>
  <c r="I2331" i="3"/>
  <c r="H2331" i="3" s="1"/>
  <c r="C2331" i="3"/>
  <c r="B2331" i="3" s="1"/>
  <c r="A2333" i="3"/>
  <c r="L2333" i="3" l="1"/>
  <c r="F2333" i="3"/>
  <c r="J2333" i="3"/>
  <c r="D2333" i="3"/>
  <c r="K2333" i="3"/>
  <c r="E2333" i="3"/>
  <c r="C2332" i="3"/>
  <c r="B2332" i="3" s="1"/>
  <c r="A2334" i="3"/>
  <c r="I2332" i="3"/>
  <c r="H2332" i="3" s="1"/>
  <c r="L2334" i="3" l="1"/>
  <c r="F2334" i="3"/>
  <c r="J2334" i="3"/>
  <c r="D2334" i="3"/>
  <c r="K2334" i="3"/>
  <c r="E2334" i="3"/>
  <c r="C2333" i="3"/>
  <c r="B2333" i="3" s="1"/>
  <c r="I2333" i="3"/>
  <c r="H2333" i="3" s="1"/>
  <c r="A2335" i="3"/>
  <c r="L2335" i="3" l="1"/>
  <c r="F2335" i="3"/>
  <c r="J2335" i="3"/>
  <c r="D2335" i="3"/>
  <c r="K2335" i="3"/>
  <c r="E2335" i="3"/>
  <c r="C2334" i="3"/>
  <c r="B2334" i="3" s="1"/>
  <c r="A2336" i="3"/>
  <c r="I2334" i="3"/>
  <c r="H2334" i="3" s="1"/>
  <c r="L2336" i="3" l="1"/>
  <c r="F2336" i="3"/>
  <c r="J2336" i="3"/>
  <c r="D2336" i="3"/>
  <c r="K2336" i="3"/>
  <c r="E2336" i="3"/>
  <c r="C2335" i="3"/>
  <c r="B2335" i="3" s="1"/>
  <c r="A2337" i="3"/>
  <c r="I2335" i="3"/>
  <c r="H2335" i="3" s="1"/>
  <c r="L2337" i="3" l="1"/>
  <c r="F2337" i="3"/>
  <c r="J2337" i="3"/>
  <c r="D2337" i="3"/>
  <c r="K2337" i="3"/>
  <c r="E2337" i="3"/>
  <c r="C2336" i="3"/>
  <c r="B2336" i="3" s="1"/>
  <c r="A2338" i="3"/>
  <c r="I2336" i="3"/>
  <c r="H2336" i="3" s="1"/>
  <c r="L2338" i="3" l="1"/>
  <c r="F2338" i="3"/>
  <c r="J2338" i="3"/>
  <c r="D2338" i="3"/>
  <c r="K2338" i="3"/>
  <c r="E2338" i="3"/>
  <c r="C2337" i="3"/>
  <c r="B2337" i="3" s="1"/>
  <c r="A2339" i="3"/>
  <c r="I2337" i="3"/>
  <c r="H2337" i="3" s="1"/>
  <c r="F2339" i="3" l="1"/>
  <c r="E2339" i="3"/>
  <c r="L2339" i="3"/>
  <c r="J2339" i="3"/>
  <c r="D2339" i="3"/>
  <c r="K2339" i="3"/>
  <c r="I2338" i="3"/>
  <c r="H2338" i="3" s="1"/>
  <c r="A2340" i="3"/>
  <c r="C2338" i="3"/>
  <c r="B2338" i="3" s="1"/>
  <c r="L2340" i="3" l="1"/>
  <c r="F2340" i="3"/>
  <c r="D2340" i="3"/>
  <c r="E2340" i="3"/>
  <c r="J2340" i="3"/>
  <c r="K2340" i="3"/>
  <c r="C2339" i="3"/>
  <c r="B2339" i="3" s="1"/>
  <c r="I2339" i="3"/>
  <c r="H2339" i="3" s="1"/>
  <c r="A2341" i="3"/>
  <c r="L2341" i="3" l="1"/>
  <c r="F2341" i="3"/>
  <c r="J2341" i="3"/>
  <c r="D2341" i="3"/>
  <c r="K2341" i="3"/>
  <c r="E2341" i="3"/>
  <c r="I2340" i="3"/>
  <c r="H2340" i="3" s="1"/>
  <c r="C2340" i="3"/>
  <c r="B2340" i="3" s="1"/>
  <c r="A2342" i="3"/>
  <c r="L2342" i="3" l="1"/>
  <c r="F2342" i="3"/>
  <c r="D2342" i="3"/>
  <c r="J2342" i="3"/>
  <c r="E2342" i="3"/>
  <c r="K2342" i="3"/>
  <c r="I2341" i="3"/>
  <c r="H2341" i="3" s="1"/>
  <c r="C2341" i="3"/>
  <c r="B2341" i="3" s="1"/>
  <c r="A2343" i="3"/>
  <c r="L2343" i="3" l="1"/>
  <c r="F2343" i="3"/>
  <c r="J2343" i="3"/>
  <c r="D2343" i="3"/>
  <c r="K2343" i="3"/>
  <c r="E2343" i="3"/>
  <c r="C2342" i="3"/>
  <c r="B2342" i="3" s="1"/>
  <c r="I2342" i="3"/>
  <c r="H2342" i="3" s="1"/>
  <c r="A2344" i="3"/>
  <c r="L2344" i="3" l="1"/>
  <c r="F2344" i="3"/>
  <c r="J2344" i="3"/>
  <c r="D2344" i="3"/>
  <c r="K2344" i="3"/>
  <c r="E2344" i="3"/>
  <c r="C2343" i="3"/>
  <c r="B2343" i="3" s="1"/>
  <c r="A2345" i="3"/>
  <c r="I2343" i="3"/>
  <c r="H2343" i="3" s="1"/>
  <c r="L2345" i="3" l="1"/>
  <c r="F2345" i="3"/>
  <c r="J2345" i="3"/>
  <c r="K2345" i="3"/>
  <c r="D2345" i="3"/>
  <c r="E2345" i="3"/>
  <c r="I2344" i="3"/>
  <c r="H2344" i="3" s="1"/>
  <c r="C2344" i="3"/>
  <c r="B2344" i="3" s="1"/>
  <c r="A2346" i="3"/>
  <c r="F2346" i="3" l="1"/>
  <c r="L2346" i="3"/>
  <c r="J2346" i="3"/>
  <c r="D2346" i="3"/>
  <c r="K2346" i="3"/>
  <c r="E2346" i="3"/>
  <c r="C2345" i="3"/>
  <c r="B2345" i="3" s="1"/>
  <c r="I2345" i="3"/>
  <c r="H2345" i="3" s="1"/>
  <c r="A2347" i="3"/>
  <c r="L2347" i="3" l="1"/>
  <c r="F2347" i="3"/>
  <c r="J2347" i="3"/>
  <c r="D2347" i="3"/>
  <c r="K2347" i="3"/>
  <c r="E2347" i="3"/>
  <c r="C2346" i="3"/>
  <c r="B2346" i="3" s="1"/>
  <c r="I2346" i="3"/>
  <c r="H2346" i="3" s="1"/>
  <c r="A2348" i="3"/>
  <c r="L2348" i="3" l="1"/>
  <c r="F2348" i="3"/>
  <c r="J2348" i="3"/>
  <c r="D2348" i="3"/>
  <c r="K2348" i="3"/>
  <c r="E2348" i="3"/>
  <c r="A2349" i="3"/>
  <c r="I2347" i="3"/>
  <c r="H2347" i="3" s="1"/>
  <c r="C2347" i="3"/>
  <c r="B2347" i="3" s="1"/>
  <c r="L2349" i="3" l="1"/>
  <c r="F2349" i="3"/>
  <c r="J2349" i="3"/>
  <c r="D2349" i="3"/>
  <c r="K2349" i="3"/>
  <c r="E2349" i="3"/>
  <c r="C2348" i="3"/>
  <c r="B2348" i="3" s="1"/>
  <c r="A2350" i="3"/>
  <c r="I2348" i="3"/>
  <c r="H2348" i="3" s="1"/>
  <c r="L2350" i="3" l="1"/>
  <c r="F2350" i="3"/>
  <c r="J2350" i="3"/>
  <c r="D2350" i="3"/>
  <c r="K2350" i="3"/>
  <c r="E2350" i="3"/>
  <c r="C2349" i="3"/>
  <c r="B2349" i="3" s="1"/>
  <c r="I2349" i="3"/>
  <c r="H2349" i="3" s="1"/>
  <c r="A2351" i="3"/>
  <c r="L2351" i="3" l="1"/>
  <c r="F2351" i="3"/>
  <c r="J2351" i="3"/>
  <c r="D2351" i="3"/>
  <c r="K2351" i="3"/>
  <c r="E2351" i="3"/>
  <c r="C2350" i="3"/>
  <c r="B2350" i="3" s="1"/>
  <c r="I2350" i="3"/>
  <c r="H2350" i="3" s="1"/>
  <c r="A2352" i="3"/>
  <c r="L2352" i="3" l="1"/>
  <c r="F2352" i="3"/>
  <c r="J2352" i="3"/>
  <c r="D2352" i="3"/>
  <c r="K2352" i="3"/>
  <c r="E2352" i="3"/>
  <c r="C2351" i="3"/>
  <c r="B2351" i="3" s="1"/>
  <c r="A2353" i="3"/>
  <c r="I2351" i="3"/>
  <c r="H2351" i="3" s="1"/>
  <c r="L2353" i="3" l="1"/>
  <c r="F2353" i="3"/>
  <c r="J2353" i="3"/>
  <c r="D2353" i="3"/>
  <c r="K2353" i="3"/>
  <c r="E2353" i="3"/>
  <c r="I2352" i="3"/>
  <c r="H2352" i="3" s="1"/>
  <c r="C2352" i="3"/>
  <c r="B2352" i="3" s="1"/>
  <c r="A2354" i="3"/>
  <c r="L2354" i="3" l="1"/>
  <c r="F2354" i="3"/>
  <c r="J2354" i="3"/>
  <c r="D2354" i="3"/>
  <c r="K2354" i="3"/>
  <c r="E2354" i="3"/>
  <c r="C2353" i="3"/>
  <c r="B2353" i="3" s="1"/>
  <c r="A2355" i="3"/>
  <c r="I2353" i="3"/>
  <c r="H2353" i="3" s="1"/>
  <c r="L2355" i="3" l="1"/>
  <c r="F2355" i="3"/>
  <c r="J2355" i="3"/>
  <c r="D2355" i="3"/>
  <c r="K2355" i="3"/>
  <c r="E2355" i="3"/>
  <c r="I2354" i="3"/>
  <c r="H2354" i="3" s="1"/>
  <c r="C2354" i="3"/>
  <c r="B2354" i="3" s="1"/>
  <c r="A2356" i="3"/>
  <c r="L2356" i="3" l="1"/>
  <c r="F2356" i="3"/>
  <c r="J2356" i="3"/>
  <c r="D2356" i="3"/>
  <c r="K2356" i="3"/>
  <c r="E2356" i="3"/>
  <c r="C2355" i="3"/>
  <c r="B2355" i="3" s="1"/>
  <c r="I2355" i="3"/>
  <c r="H2355" i="3" s="1"/>
  <c r="A2357" i="3"/>
  <c r="L2357" i="3" l="1"/>
  <c r="F2357" i="3"/>
  <c r="J2357" i="3"/>
  <c r="D2357" i="3"/>
  <c r="K2357" i="3"/>
  <c r="E2357" i="3"/>
  <c r="I2356" i="3"/>
  <c r="H2356" i="3" s="1"/>
  <c r="A2358" i="3"/>
  <c r="C2356" i="3"/>
  <c r="B2356" i="3" s="1"/>
  <c r="L2358" i="3" l="1"/>
  <c r="F2358" i="3"/>
  <c r="J2358" i="3"/>
  <c r="D2358" i="3"/>
  <c r="K2358" i="3"/>
  <c r="E2358" i="3"/>
  <c r="C2357" i="3"/>
  <c r="B2357" i="3" s="1"/>
  <c r="A2359" i="3"/>
  <c r="I2357" i="3"/>
  <c r="H2357" i="3" s="1"/>
  <c r="F2359" i="3" l="1"/>
  <c r="E2359" i="3"/>
  <c r="L2359" i="3"/>
  <c r="J2359" i="3"/>
  <c r="D2359" i="3"/>
  <c r="K2359" i="3"/>
  <c r="C2358" i="3"/>
  <c r="B2358" i="3" s="1"/>
  <c r="A2360" i="3"/>
  <c r="I2358" i="3"/>
  <c r="H2358" i="3" s="1"/>
  <c r="L2360" i="3" l="1"/>
  <c r="F2360" i="3"/>
  <c r="D2360" i="3"/>
  <c r="E2360" i="3"/>
  <c r="J2360" i="3"/>
  <c r="K2360" i="3"/>
  <c r="I2359" i="3"/>
  <c r="H2359" i="3" s="1"/>
  <c r="C2359" i="3"/>
  <c r="B2359" i="3" s="1"/>
  <c r="A2361" i="3"/>
  <c r="L2361" i="3" l="1"/>
  <c r="F2361" i="3"/>
  <c r="J2361" i="3"/>
  <c r="D2361" i="3"/>
  <c r="K2361" i="3"/>
  <c r="E2361" i="3"/>
  <c r="I2360" i="3"/>
  <c r="H2360" i="3" s="1"/>
  <c r="C2360" i="3"/>
  <c r="B2360" i="3" s="1"/>
  <c r="A2362" i="3"/>
  <c r="L2362" i="3" l="1"/>
  <c r="F2362" i="3"/>
  <c r="J2362" i="3"/>
  <c r="D2362" i="3"/>
  <c r="K2362" i="3"/>
  <c r="E2362" i="3"/>
  <c r="C2361" i="3"/>
  <c r="B2361" i="3" s="1"/>
  <c r="I2361" i="3"/>
  <c r="H2361" i="3" s="1"/>
  <c r="A2363" i="3"/>
  <c r="L2363" i="3" l="1"/>
  <c r="F2363" i="3"/>
  <c r="J2363" i="3"/>
  <c r="D2363" i="3"/>
  <c r="K2363" i="3"/>
  <c r="E2363" i="3"/>
  <c r="C2362" i="3"/>
  <c r="B2362" i="3" s="1"/>
  <c r="A2364" i="3"/>
  <c r="I2362" i="3"/>
  <c r="H2362" i="3" s="1"/>
  <c r="L2364" i="3" l="1"/>
  <c r="F2364" i="3"/>
  <c r="J2364" i="3"/>
  <c r="D2364" i="3"/>
  <c r="K2364" i="3"/>
  <c r="E2364" i="3"/>
  <c r="C2363" i="3"/>
  <c r="B2363" i="3" s="1"/>
  <c r="A2365" i="3"/>
  <c r="I2363" i="3"/>
  <c r="H2363" i="3" s="1"/>
  <c r="L2365" i="3" l="1"/>
  <c r="F2365" i="3"/>
  <c r="J2365" i="3"/>
  <c r="D2365" i="3"/>
  <c r="K2365" i="3"/>
  <c r="E2365" i="3"/>
  <c r="C2364" i="3"/>
  <c r="B2364" i="3" s="1"/>
  <c r="A2366" i="3"/>
  <c r="I2364" i="3"/>
  <c r="H2364" i="3" s="1"/>
  <c r="F2366" i="3" l="1"/>
  <c r="L2366" i="3"/>
  <c r="J2366" i="3"/>
  <c r="D2366" i="3"/>
  <c r="K2366" i="3"/>
  <c r="E2366" i="3"/>
  <c r="C2365" i="3"/>
  <c r="B2365" i="3" s="1"/>
  <c r="I2365" i="3"/>
  <c r="H2365" i="3" s="1"/>
  <c r="A2367" i="3"/>
  <c r="L2367" i="3" l="1"/>
  <c r="F2367" i="3"/>
  <c r="J2367" i="3"/>
  <c r="D2367" i="3"/>
  <c r="K2367" i="3"/>
  <c r="E2367" i="3"/>
  <c r="A2368" i="3"/>
  <c r="I2366" i="3"/>
  <c r="H2366" i="3" s="1"/>
  <c r="C2366" i="3"/>
  <c r="B2366" i="3" s="1"/>
  <c r="L2368" i="3" l="1"/>
  <c r="F2368" i="3"/>
  <c r="J2368" i="3"/>
  <c r="D2368" i="3"/>
  <c r="K2368" i="3"/>
  <c r="E2368" i="3"/>
  <c r="I2367" i="3"/>
  <c r="H2367" i="3" s="1"/>
  <c r="C2367" i="3"/>
  <c r="B2367" i="3" s="1"/>
  <c r="A2369" i="3"/>
  <c r="L2369" i="3" l="1"/>
  <c r="F2369" i="3"/>
  <c r="J2369" i="3"/>
  <c r="D2369" i="3"/>
  <c r="K2369" i="3"/>
  <c r="E2369" i="3"/>
  <c r="I2368" i="3"/>
  <c r="H2368" i="3" s="1"/>
  <c r="C2368" i="3"/>
  <c r="B2368" i="3" s="1"/>
  <c r="A2370" i="3"/>
  <c r="L2370" i="3" l="1"/>
  <c r="F2370" i="3"/>
  <c r="J2370" i="3"/>
  <c r="D2370" i="3"/>
  <c r="K2370" i="3"/>
  <c r="E2370" i="3"/>
  <c r="C2369" i="3"/>
  <c r="B2369" i="3" s="1"/>
  <c r="I2369" i="3"/>
  <c r="H2369" i="3" s="1"/>
  <c r="A2371" i="3"/>
  <c r="L2371" i="3" l="1"/>
  <c r="F2371" i="3"/>
  <c r="J2371" i="3"/>
  <c r="D2371" i="3"/>
  <c r="K2371" i="3"/>
  <c r="E2371" i="3"/>
  <c r="C2370" i="3"/>
  <c r="B2370" i="3" s="1"/>
  <c r="A2372" i="3"/>
  <c r="I2370" i="3"/>
  <c r="H2370" i="3" s="1"/>
  <c r="L2372" i="3" l="1"/>
  <c r="F2372" i="3"/>
  <c r="D2372" i="3"/>
  <c r="J2372" i="3"/>
  <c r="E2372" i="3"/>
  <c r="K2372" i="3"/>
  <c r="I2371" i="3"/>
  <c r="H2371" i="3" s="1"/>
  <c r="C2371" i="3"/>
  <c r="B2371" i="3" s="1"/>
  <c r="A2373" i="3"/>
  <c r="L2373" i="3" l="1"/>
  <c r="F2373" i="3"/>
  <c r="J2373" i="3"/>
  <c r="D2373" i="3"/>
  <c r="K2373" i="3"/>
  <c r="E2373" i="3"/>
  <c r="C2372" i="3"/>
  <c r="B2372" i="3" s="1"/>
  <c r="A2374" i="3"/>
  <c r="I2372" i="3"/>
  <c r="H2372" i="3" s="1"/>
  <c r="L2374" i="3" l="1"/>
  <c r="F2374" i="3"/>
  <c r="J2374" i="3"/>
  <c r="D2374" i="3"/>
  <c r="K2374" i="3"/>
  <c r="E2374" i="3"/>
  <c r="C2373" i="3"/>
  <c r="B2373" i="3" s="1"/>
  <c r="A2375" i="3"/>
  <c r="I2373" i="3"/>
  <c r="H2373" i="3" s="1"/>
  <c r="L2375" i="3" l="1"/>
  <c r="F2375" i="3"/>
  <c r="J2375" i="3"/>
  <c r="D2375" i="3"/>
  <c r="K2375" i="3"/>
  <c r="E2375" i="3"/>
  <c r="I2374" i="3"/>
  <c r="H2374" i="3" s="1"/>
  <c r="C2374" i="3"/>
  <c r="B2374" i="3" s="1"/>
  <c r="A2376" i="3"/>
  <c r="L2376" i="3" l="1"/>
  <c r="F2376" i="3"/>
  <c r="J2376" i="3"/>
  <c r="D2376" i="3"/>
  <c r="K2376" i="3"/>
  <c r="E2376" i="3"/>
  <c r="C2375" i="3"/>
  <c r="B2375" i="3" s="1"/>
  <c r="I2375" i="3"/>
  <c r="H2375" i="3" s="1"/>
  <c r="A2377" i="3"/>
  <c r="L2377" i="3" l="1"/>
  <c r="F2377" i="3"/>
  <c r="J2377" i="3"/>
  <c r="D2377" i="3"/>
  <c r="K2377" i="3"/>
  <c r="E2377" i="3"/>
  <c r="C2376" i="3"/>
  <c r="B2376" i="3" s="1"/>
  <c r="I2376" i="3"/>
  <c r="H2376" i="3" s="1"/>
  <c r="A2378" i="3"/>
  <c r="L2378" i="3" l="1"/>
  <c r="F2378" i="3"/>
  <c r="J2378" i="3"/>
  <c r="D2378" i="3"/>
  <c r="K2378" i="3"/>
  <c r="E2378" i="3"/>
  <c r="C2377" i="3"/>
  <c r="B2377" i="3" s="1"/>
  <c r="I2377" i="3"/>
  <c r="H2377" i="3" s="1"/>
  <c r="A2379" i="3"/>
  <c r="L2379" i="3" l="1"/>
  <c r="F2379" i="3"/>
  <c r="J2379" i="3"/>
  <c r="D2379" i="3"/>
  <c r="K2379" i="3"/>
  <c r="E2379" i="3"/>
  <c r="I2378" i="3"/>
  <c r="H2378" i="3" s="1"/>
  <c r="C2378" i="3"/>
  <c r="B2378" i="3" s="1"/>
  <c r="A2380" i="3"/>
  <c r="F2380" i="3" l="1"/>
  <c r="E2380" i="3"/>
  <c r="L2380" i="3"/>
  <c r="J2380" i="3"/>
  <c r="D2380" i="3"/>
  <c r="K2380" i="3"/>
  <c r="I2379" i="3"/>
  <c r="H2379" i="3" s="1"/>
  <c r="C2379" i="3"/>
  <c r="B2379" i="3" s="1"/>
  <c r="A2381" i="3"/>
  <c r="L2381" i="3" l="1"/>
  <c r="F2381" i="3"/>
  <c r="J2381" i="3"/>
  <c r="D2381" i="3"/>
  <c r="K2381" i="3"/>
  <c r="E2381" i="3"/>
  <c r="A2382" i="3"/>
  <c r="I2380" i="3"/>
  <c r="H2380" i="3" s="1"/>
  <c r="C2380" i="3"/>
  <c r="B2380" i="3" s="1"/>
  <c r="L2382" i="3" l="1"/>
  <c r="F2382" i="3"/>
  <c r="J2382" i="3"/>
  <c r="D2382" i="3"/>
  <c r="K2382" i="3"/>
  <c r="E2382" i="3"/>
  <c r="I2381" i="3"/>
  <c r="H2381" i="3" s="1"/>
  <c r="C2381" i="3"/>
  <c r="B2381" i="3" s="1"/>
  <c r="A2383" i="3"/>
  <c r="L2383" i="3" l="1"/>
  <c r="F2383" i="3"/>
  <c r="J2383" i="3"/>
  <c r="D2383" i="3"/>
  <c r="K2383" i="3"/>
  <c r="E2383" i="3"/>
  <c r="C2382" i="3"/>
  <c r="B2382" i="3" s="1"/>
  <c r="A2384" i="3"/>
  <c r="I2382" i="3"/>
  <c r="H2382" i="3" s="1"/>
  <c r="L2384" i="3" l="1"/>
  <c r="F2384" i="3"/>
  <c r="J2384" i="3"/>
  <c r="D2384" i="3"/>
  <c r="K2384" i="3"/>
  <c r="E2384" i="3"/>
  <c r="C2383" i="3"/>
  <c r="B2383" i="3" s="1"/>
  <c r="A2385" i="3"/>
  <c r="I2383" i="3"/>
  <c r="H2383" i="3" s="1"/>
  <c r="L2385" i="3" l="1"/>
  <c r="F2385" i="3"/>
  <c r="J2385" i="3"/>
  <c r="D2385" i="3"/>
  <c r="K2385" i="3"/>
  <c r="E2385" i="3"/>
  <c r="C2384" i="3"/>
  <c r="B2384" i="3" s="1"/>
  <c r="A2386" i="3"/>
  <c r="I2384" i="3"/>
  <c r="H2384" i="3" s="1"/>
  <c r="L2386" i="3" l="1"/>
  <c r="F2386" i="3"/>
  <c r="J2386" i="3"/>
  <c r="D2386" i="3"/>
  <c r="K2386" i="3"/>
  <c r="E2386" i="3"/>
  <c r="C2385" i="3"/>
  <c r="B2385" i="3" s="1"/>
  <c r="A2387" i="3"/>
  <c r="I2385" i="3"/>
  <c r="H2385" i="3" s="1"/>
  <c r="F2387" i="3" l="1"/>
  <c r="L2387" i="3"/>
  <c r="J2387" i="3"/>
  <c r="D2387" i="3"/>
  <c r="K2387" i="3"/>
  <c r="E2387" i="3"/>
  <c r="C2386" i="3"/>
  <c r="B2386" i="3" s="1"/>
  <c r="A2388" i="3"/>
  <c r="I2386" i="3"/>
  <c r="H2386" i="3" s="1"/>
  <c r="L2388" i="3" l="1"/>
  <c r="F2388" i="3"/>
  <c r="J2388" i="3"/>
  <c r="D2388" i="3"/>
  <c r="K2388" i="3"/>
  <c r="E2388" i="3"/>
  <c r="I2387" i="3"/>
  <c r="H2387" i="3" s="1"/>
  <c r="A2389" i="3"/>
  <c r="C2387" i="3"/>
  <c r="B2387" i="3" s="1"/>
  <c r="L2389" i="3" l="1"/>
  <c r="F2389" i="3"/>
  <c r="J2389" i="3"/>
  <c r="D2389" i="3"/>
  <c r="K2389" i="3"/>
  <c r="E2389" i="3"/>
  <c r="A2390" i="3"/>
  <c r="I2388" i="3"/>
  <c r="H2388" i="3" s="1"/>
  <c r="C2388" i="3"/>
  <c r="B2388" i="3" s="1"/>
  <c r="L2390" i="3" l="1"/>
  <c r="F2390" i="3"/>
  <c r="J2390" i="3"/>
  <c r="D2390" i="3"/>
  <c r="K2390" i="3"/>
  <c r="E2390" i="3"/>
  <c r="C2389" i="3"/>
  <c r="B2389" i="3" s="1"/>
  <c r="A2391" i="3"/>
  <c r="I2389" i="3"/>
  <c r="H2389" i="3" s="1"/>
  <c r="L2391" i="3" l="1"/>
  <c r="F2391" i="3"/>
  <c r="J2391" i="3"/>
  <c r="D2391" i="3"/>
  <c r="K2391" i="3"/>
  <c r="E2391" i="3"/>
  <c r="I2390" i="3"/>
  <c r="H2390" i="3" s="1"/>
  <c r="A2392" i="3"/>
  <c r="C2390" i="3"/>
  <c r="B2390" i="3" s="1"/>
  <c r="L2392" i="3" l="1"/>
  <c r="F2392" i="3"/>
  <c r="D2392" i="3"/>
  <c r="J2392" i="3"/>
  <c r="E2392" i="3"/>
  <c r="K2392" i="3"/>
  <c r="I2391" i="3"/>
  <c r="H2391" i="3" s="1"/>
  <c r="C2391" i="3"/>
  <c r="B2391" i="3" s="1"/>
  <c r="A2393" i="3"/>
  <c r="L2393" i="3" l="1"/>
  <c r="F2393" i="3"/>
  <c r="J2393" i="3"/>
  <c r="D2393" i="3"/>
  <c r="K2393" i="3"/>
  <c r="E2393" i="3"/>
  <c r="C2392" i="3"/>
  <c r="B2392" i="3" s="1"/>
  <c r="I2392" i="3"/>
  <c r="H2392" i="3" s="1"/>
  <c r="A2394" i="3"/>
  <c r="L2394" i="3" l="1"/>
  <c r="F2394" i="3"/>
  <c r="J2394" i="3"/>
  <c r="D2394" i="3"/>
  <c r="K2394" i="3"/>
  <c r="E2394" i="3"/>
  <c r="C2393" i="3"/>
  <c r="B2393" i="3" s="1"/>
  <c r="A2395" i="3"/>
  <c r="I2393" i="3"/>
  <c r="H2393" i="3" s="1"/>
  <c r="L2395" i="3" l="1"/>
  <c r="F2395" i="3"/>
  <c r="J2395" i="3"/>
  <c r="D2395" i="3"/>
  <c r="K2395" i="3"/>
  <c r="E2395" i="3"/>
  <c r="C2394" i="3"/>
  <c r="B2394" i="3" s="1"/>
  <c r="A2396" i="3"/>
  <c r="I2394" i="3"/>
  <c r="H2394" i="3" s="1"/>
  <c r="L2396" i="3" l="1"/>
  <c r="F2396" i="3"/>
  <c r="J2396" i="3"/>
  <c r="D2396" i="3"/>
  <c r="K2396" i="3"/>
  <c r="E2396" i="3"/>
  <c r="A2397" i="3"/>
  <c r="I2395" i="3"/>
  <c r="H2395" i="3" s="1"/>
  <c r="C2395" i="3"/>
  <c r="B2395" i="3" s="1"/>
  <c r="L2397" i="3" l="1"/>
  <c r="F2397" i="3"/>
  <c r="J2397" i="3"/>
  <c r="K2397" i="3"/>
  <c r="D2397" i="3"/>
  <c r="E2397" i="3"/>
  <c r="C2396" i="3"/>
  <c r="B2396" i="3" s="1"/>
  <c r="A2398" i="3"/>
  <c r="I2396" i="3"/>
  <c r="H2396" i="3" s="1"/>
  <c r="L2398" i="3" l="1"/>
  <c r="F2398" i="3"/>
  <c r="J2398" i="3"/>
  <c r="D2398" i="3"/>
  <c r="K2398" i="3"/>
  <c r="E2398" i="3"/>
  <c r="I2397" i="3"/>
  <c r="H2397" i="3" s="1"/>
  <c r="C2397" i="3"/>
  <c r="B2397" i="3" s="1"/>
  <c r="A2399" i="3"/>
  <c r="L2399" i="3" l="1"/>
  <c r="F2399" i="3"/>
  <c r="J2399" i="3"/>
  <c r="D2399" i="3"/>
  <c r="K2399" i="3"/>
  <c r="E2399" i="3"/>
  <c r="A2400" i="3"/>
  <c r="I2398" i="3"/>
  <c r="H2398" i="3" s="1"/>
  <c r="C2398" i="3"/>
  <c r="B2398" i="3" s="1"/>
  <c r="F2400" i="3" l="1"/>
  <c r="E2400" i="3"/>
  <c r="L2400" i="3"/>
  <c r="J2400" i="3"/>
  <c r="D2400" i="3"/>
  <c r="K2400" i="3"/>
  <c r="C2399" i="3"/>
  <c r="B2399" i="3" s="1"/>
  <c r="A2401" i="3"/>
  <c r="I2399" i="3"/>
  <c r="H2399" i="3" s="1"/>
  <c r="L2401" i="3" l="1"/>
  <c r="F2401" i="3"/>
  <c r="J2401" i="3"/>
  <c r="D2401" i="3"/>
  <c r="K2401" i="3"/>
  <c r="E2401" i="3"/>
  <c r="I2400" i="3"/>
  <c r="H2400" i="3" s="1"/>
  <c r="C2400" i="3"/>
  <c r="B2400" i="3" s="1"/>
  <c r="A2402" i="3"/>
  <c r="L2402" i="3" l="1"/>
  <c r="F2402" i="3"/>
  <c r="D2402" i="3"/>
  <c r="J2402" i="3"/>
  <c r="E2402" i="3"/>
  <c r="K2402" i="3"/>
  <c r="I2401" i="3"/>
  <c r="H2401" i="3" s="1"/>
  <c r="C2401" i="3"/>
  <c r="B2401" i="3" s="1"/>
  <c r="A2403" i="3"/>
  <c r="L2403" i="3" l="1"/>
  <c r="F2403" i="3"/>
  <c r="J2403" i="3"/>
  <c r="D2403" i="3"/>
  <c r="K2403" i="3"/>
  <c r="E2403" i="3"/>
  <c r="C2402" i="3"/>
  <c r="B2402" i="3" s="1"/>
  <c r="A2404" i="3"/>
  <c r="I2402" i="3"/>
  <c r="H2402" i="3" s="1"/>
  <c r="L2404" i="3" l="1"/>
  <c r="F2404" i="3"/>
  <c r="J2404" i="3"/>
  <c r="D2404" i="3"/>
  <c r="K2404" i="3"/>
  <c r="E2404" i="3"/>
  <c r="C2403" i="3"/>
  <c r="B2403" i="3" s="1"/>
  <c r="A2405" i="3"/>
  <c r="I2403" i="3"/>
  <c r="H2403" i="3" s="1"/>
  <c r="L2405" i="3" l="1"/>
  <c r="F2405" i="3"/>
  <c r="J2405" i="3"/>
  <c r="D2405" i="3"/>
  <c r="K2405" i="3"/>
  <c r="E2405" i="3"/>
  <c r="A2406" i="3"/>
  <c r="I2404" i="3"/>
  <c r="H2404" i="3" s="1"/>
  <c r="C2404" i="3"/>
  <c r="B2404" i="3" s="1"/>
  <c r="L2406" i="3" l="1"/>
  <c r="F2406" i="3"/>
  <c r="J2406" i="3"/>
  <c r="D2406" i="3"/>
  <c r="K2406" i="3"/>
  <c r="E2406" i="3"/>
  <c r="C2405" i="3"/>
  <c r="B2405" i="3" s="1"/>
  <c r="A2407" i="3"/>
  <c r="I2405" i="3"/>
  <c r="H2405" i="3" s="1"/>
  <c r="F2407" i="3" l="1"/>
  <c r="L2407" i="3"/>
  <c r="J2407" i="3"/>
  <c r="D2407" i="3"/>
  <c r="K2407" i="3"/>
  <c r="E2407" i="3"/>
  <c r="C2406" i="3"/>
  <c r="B2406" i="3" s="1"/>
  <c r="A2408" i="3"/>
  <c r="I2406" i="3"/>
  <c r="H2406" i="3" s="1"/>
  <c r="L2408" i="3" l="1"/>
  <c r="F2408" i="3"/>
  <c r="J2408" i="3"/>
  <c r="D2408" i="3"/>
  <c r="K2408" i="3"/>
  <c r="E2408" i="3"/>
  <c r="I2407" i="3"/>
  <c r="H2407" i="3" s="1"/>
  <c r="A2409" i="3"/>
  <c r="C2407" i="3"/>
  <c r="B2407" i="3" s="1"/>
  <c r="L2409" i="3" l="1"/>
  <c r="F2409" i="3"/>
  <c r="J2409" i="3"/>
  <c r="D2409" i="3"/>
  <c r="K2409" i="3"/>
  <c r="E2409" i="3"/>
  <c r="I2408" i="3"/>
  <c r="H2408" i="3" s="1"/>
  <c r="C2408" i="3"/>
  <c r="B2408" i="3" s="1"/>
  <c r="A2410" i="3"/>
  <c r="L2410" i="3" l="1"/>
  <c r="F2410" i="3"/>
  <c r="J2410" i="3"/>
  <c r="D2410" i="3"/>
  <c r="K2410" i="3"/>
  <c r="E2410" i="3"/>
  <c r="I2409" i="3"/>
  <c r="H2409" i="3" s="1"/>
  <c r="C2409" i="3"/>
  <c r="B2409" i="3" s="1"/>
  <c r="A2411" i="3"/>
  <c r="L2411" i="3" l="1"/>
  <c r="F2411" i="3"/>
  <c r="J2411" i="3"/>
  <c r="D2411" i="3"/>
  <c r="K2411" i="3"/>
  <c r="E2411" i="3"/>
  <c r="C2410" i="3"/>
  <c r="B2410" i="3" s="1"/>
  <c r="A2412" i="3"/>
  <c r="I2410" i="3"/>
  <c r="H2410" i="3" s="1"/>
  <c r="L2412" i="3" l="1"/>
  <c r="F2412" i="3"/>
  <c r="J2412" i="3"/>
  <c r="D2412" i="3"/>
  <c r="K2412" i="3"/>
  <c r="E2412" i="3"/>
  <c r="C2411" i="3"/>
  <c r="B2411" i="3" s="1"/>
  <c r="A2413" i="3"/>
  <c r="I2411" i="3"/>
  <c r="H2411" i="3" s="1"/>
  <c r="L2413" i="3" l="1"/>
  <c r="F2413" i="3"/>
  <c r="J2413" i="3"/>
  <c r="D2413" i="3"/>
  <c r="K2413" i="3"/>
  <c r="E2413" i="3"/>
  <c r="C2412" i="3"/>
  <c r="B2412" i="3" s="1"/>
  <c r="A2414" i="3"/>
  <c r="I2412" i="3"/>
  <c r="H2412" i="3" s="1"/>
  <c r="L2414" i="3" l="1"/>
  <c r="F2414" i="3"/>
  <c r="J2414" i="3"/>
  <c r="D2414" i="3"/>
  <c r="K2414" i="3"/>
  <c r="E2414" i="3"/>
  <c r="A2415" i="3"/>
  <c r="I2413" i="3"/>
  <c r="H2413" i="3" s="1"/>
  <c r="C2413" i="3"/>
  <c r="B2413" i="3" s="1"/>
  <c r="L2415" i="3" l="1"/>
  <c r="F2415" i="3"/>
  <c r="J2415" i="3"/>
  <c r="D2415" i="3"/>
  <c r="K2415" i="3"/>
  <c r="E2415" i="3"/>
  <c r="C2414" i="3"/>
  <c r="B2414" i="3" s="1"/>
  <c r="I2414" i="3"/>
  <c r="H2414" i="3" s="1"/>
  <c r="A2416" i="3"/>
  <c r="L2416" i="3" l="1"/>
  <c r="F2416" i="3"/>
  <c r="J2416" i="3"/>
  <c r="D2416" i="3"/>
  <c r="K2416" i="3"/>
  <c r="E2416" i="3"/>
  <c r="C2415" i="3"/>
  <c r="B2415" i="3" s="1"/>
  <c r="A2417" i="3"/>
  <c r="I2415" i="3"/>
  <c r="H2415" i="3" s="1"/>
  <c r="L2417" i="3" l="1"/>
  <c r="F2417" i="3"/>
  <c r="J2417" i="3"/>
  <c r="D2417" i="3"/>
  <c r="K2417" i="3"/>
  <c r="E2417" i="3"/>
  <c r="C2416" i="3"/>
  <c r="B2416" i="3" s="1"/>
  <c r="A2418" i="3"/>
  <c r="I2416" i="3"/>
  <c r="H2416" i="3" s="1"/>
  <c r="L2418" i="3" l="1"/>
  <c r="F2418" i="3"/>
  <c r="J2418" i="3"/>
  <c r="D2418" i="3"/>
  <c r="K2418" i="3"/>
  <c r="E2418" i="3"/>
  <c r="C2417" i="3"/>
  <c r="B2417" i="3" s="1"/>
  <c r="A2419" i="3"/>
  <c r="I2417" i="3"/>
  <c r="H2417" i="3" s="1"/>
  <c r="L2419" i="3" l="1"/>
  <c r="F2419" i="3"/>
  <c r="J2419" i="3"/>
  <c r="D2419" i="3"/>
  <c r="K2419" i="3"/>
  <c r="E2419" i="3"/>
  <c r="C2418" i="3"/>
  <c r="B2418" i="3" s="1"/>
  <c r="A2420" i="3"/>
  <c r="I2418" i="3"/>
  <c r="H2418" i="3" s="1"/>
  <c r="L2420" i="3" l="1"/>
  <c r="F2420" i="3"/>
  <c r="J2420" i="3"/>
  <c r="D2420" i="3"/>
  <c r="K2420" i="3"/>
  <c r="E2420" i="3"/>
  <c r="C2419" i="3"/>
  <c r="B2419" i="3" s="1"/>
  <c r="A2421" i="3"/>
  <c r="I2419" i="3"/>
  <c r="H2419" i="3" s="1"/>
  <c r="L2421" i="3" l="1"/>
  <c r="F2421" i="3"/>
  <c r="J2421" i="3"/>
  <c r="D2421" i="3"/>
  <c r="K2421" i="3"/>
  <c r="E2421" i="3"/>
  <c r="C2420" i="3"/>
  <c r="B2420" i="3" s="1"/>
  <c r="A2422" i="3"/>
  <c r="I2420" i="3"/>
  <c r="H2420" i="3" s="1"/>
  <c r="L2422" i="3" l="1"/>
  <c r="F2422" i="3"/>
  <c r="D2422" i="3"/>
  <c r="E2422" i="3"/>
  <c r="J2422" i="3"/>
  <c r="K2422" i="3"/>
  <c r="A2423" i="3"/>
  <c r="I2421" i="3"/>
  <c r="H2421" i="3" s="1"/>
  <c r="C2421" i="3"/>
  <c r="B2421" i="3" s="1"/>
  <c r="F2423" i="3" l="1"/>
  <c r="E2423" i="3"/>
  <c r="L2423" i="3"/>
  <c r="J2423" i="3"/>
  <c r="D2423" i="3"/>
  <c r="K2423" i="3"/>
  <c r="A2424" i="3"/>
  <c r="I2422" i="3"/>
  <c r="H2422" i="3" s="1"/>
  <c r="C2422" i="3"/>
  <c r="B2422" i="3" s="1"/>
  <c r="L2424" i="3" l="1"/>
  <c r="F2424" i="3"/>
  <c r="J2424" i="3"/>
  <c r="D2424" i="3"/>
  <c r="K2424" i="3"/>
  <c r="E2424" i="3"/>
  <c r="I2423" i="3"/>
  <c r="H2423" i="3" s="1"/>
  <c r="C2423" i="3"/>
  <c r="B2423" i="3" s="1"/>
  <c r="A2425" i="3"/>
  <c r="L2425" i="3" l="1"/>
  <c r="F2425" i="3"/>
  <c r="J2425" i="3"/>
  <c r="D2425" i="3"/>
  <c r="K2425" i="3"/>
  <c r="E2425" i="3"/>
  <c r="I2424" i="3"/>
  <c r="H2424" i="3" s="1"/>
  <c r="C2424" i="3"/>
  <c r="B2424" i="3" s="1"/>
  <c r="A2426" i="3"/>
  <c r="L2426" i="3" l="1"/>
  <c r="F2426" i="3"/>
  <c r="J2426" i="3"/>
  <c r="D2426" i="3"/>
  <c r="K2426" i="3"/>
  <c r="E2426" i="3"/>
  <c r="I2425" i="3"/>
  <c r="H2425" i="3" s="1"/>
  <c r="C2425" i="3"/>
  <c r="B2425" i="3" s="1"/>
  <c r="A2427" i="3"/>
  <c r="L2427" i="3" l="1"/>
  <c r="F2427" i="3"/>
  <c r="J2427" i="3"/>
  <c r="K2427" i="3"/>
  <c r="D2427" i="3"/>
  <c r="E2427" i="3"/>
  <c r="C2426" i="3"/>
  <c r="B2426" i="3" s="1"/>
  <c r="I2426" i="3"/>
  <c r="H2426" i="3" s="1"/>
  <c r="A2428" i="3"/>
  <c r="L2428" i="3" l="1"/>
  <c r="F2428" i="3"/>
  <c r="J2428" i="3"/>
  <c r="D2428" i="3"/>
  <c r="K2428" i="3"/>
  <c r="E2428" i="3"/>
  <c r="C2427" i="3"/>
  <c r="B2427" i="3" s="1"/>
  <c r="A2429" i="3"/>
  <c r="I2427" i="3"/>
  <c r="H2427" i="3" s="1"/>
  <c r="L2429" i="3" l="1"/>
  <c r="F2429" i="3"/>
  <c r="J2429" i="3"/>
  <c r="D2429" i="3"/>
  <c r="K2429" i="3"/>
  <c r="E2429" i="3"/>
  <c r="A2430" i="3"/>
  <c r="I2428" i="3"/>
  <c r="H2428" i="3" s="1"/>
  <c r="C2428" i="3"/>
  <c r="B2428" i="3" s="1"/>
  <c r="F2430" i="3" l="1"/>
  <c r="L2430" i="3"/>
  <c r="D2430" i="3"/>
  <c r="J2430" i="3"/>
  <c r="E2430" i="3"/>
  <c r="K2430" i="3"/>
  <c r="C2429" i="3"/>
  <c r="B2429" i="3" s="1"/>
  <c r="I2429" i="3"/>
  <c r="H2429" i="3" s="1"/>
  <c r="A2431" i="3"/>
  <c r="L2431" i="3" l="1"/>
  <c r="F2431" i="3"/>
  <c r="J2431" i="3"/>
  <c r="D2431" i="3"/>
  <c r="K2431" i="3"/>
  <c r="E2431" i="3"/>
  <c r="I2430" i="3"/>
  <c r="H2430" i="3" s="1"/>
  <c r="A2432" i="3"/>
  <c r="C2430" i="3"/>
  <c r="B2430" i="3" s="1"/>
  <c r="L2432" i="3" l="1"/>
  <c r="F2432" i="3"/>
  <c r="J2432" i="3"/>
  <c r="D2432" i="3"/>
  <c r="K2432" i="3"/>
  <c r="E2432" i="3"/>
  <c r="C2431" i="3"/>
  <c r="B2431" i="3" s="1"/>
  <c r="A2433" i="3"/>
  <c r="I2431" i="3"/>
  <c r="H2431" i="3" s="1"/>
  <c r="L2433" i="3" l="1"/>
  <c r="F2433" i="3"/>
  <c r="D2433" i="3"/>
  <c r="J2433" i="3"/>
  <c r="E2433" i="3"/>
  <c r="K2433" i="3"/>
  <c r="C2432" i="3"/>
  <c r="B2432" i="3" s="1"/>
  <c r="A2434" i="3"/>
  <c r="I2432" i="3"/>
  <c r="H2432" i="3" s="1"/>
  <c r="L2434" i="3" l="1"/>
  <c r="F2434" i="3"/>
  <c r="J2434" i="3"/>
  <c r="D2434" i="3"/>
  <c r="K2434" i="3"/>
  <c r="E2434" i="3"/>
  <c r="C2433" i="3"/>
  <c r="B2433" i="3" s="1"/>
  <c r="A2435" i="3"/>
  <c r="I2433" i="3"/>
  <c r="H2433" i="3" s="1"/>
  <c r="L2435" i="3" l="1"/>
  <c r="F2435" i="3"/>
  <c r="J2435" i="3"/>
  <c r="D2435" i="3"/>
  <c r="K2435" i="3"/>
  <c r="E2435" i="3"/>
  <c r="C2434" i="3"/>
  <c r="B2434" i="3" s="1"/>
  <c r="A2436" i="3"/>
  <c r="I2434" i="3"/>
  <c r="H2434" i="3" s="1"/>
  <c r="L2436" i="3" l="1"/>
  <c r="F2436" i="3"/>
  <c r="J2436" i="3"/>
  <c r="D2436" i="3"/>
  <c r="K2436" i="3"/>
  <c r="E2436" i="3"/>
  <c r="I2435" i="3"/>
  <c r="H2435" i="3" s="1"/>
  <c r="C2435" i="3"/>
  <c r="B2435" i="3" s="1"/>
  <c r="A2437" i="3"/>
  <c r="L2437" i="3" l="1"/>
  <c r="F2437" i="3"/>
  <c r="J2437" i="3"/>
  <c r="D2437" i="3"/>
  <c r="K2437" i="3"/>
  <c r="E2437" i="3"/>
  <c r="I2436" i="3"/>
  <c r="H2436" i="3" s="1"/>
  <c r="C2436" i="3"/>
  <c r="B2436" i="3" s="1"/>
  <c r="A2438" i="3"/>
  <c r="L2438" i="3" l="1"/>
  <c r="F2438" i="3"/>
  <c r="J2438" i="3"/>
  <c r="D2438" i="3"/>
  <c r="K2438" i="3"/>
  <c r="E2438" i="3"/>
  <c r="C2437" i="3"/>
  <c r="B2437" i="3" s="1"/>
  <c r="A2439" i="3"/>
  <c r="I2437" i="3"/>
  <c r="H2437" i="3" s="1"/>
  <c r="L2439" i="3" l="1"/>
  <c r="F2439" i="3"/>
  <c r="J2439" i="3"/>
  <c r="D2439" i="3"/>
  <c r="K2439" i="3"/>
  <c r="E2439" i="3"/>
  <c r="I2438" i="3"/>
  <c r="H2438" i="3" s="1"/>
  <c r="C2438" i="3"/>
  <c r="B2438" i="3" s="1"/>
  <c r="A2440" i="3"/>
  <c r="L2440" i="3" l="1"/>
  <c r="F2440" i="3"/>
  <c r="J2440" i="3"/>
  <c r="D2440" i="3"/>
  <c r="K2440" i="3"/>
  <c r="E2440" i="3"/>
  <c r="A2441" i="3"/>
  <c r="I2439" i="3"/>
  <c r="H2439" i="3" s="1"/>
  <c r="C2439" i="3"/>
  <c r="B2439" i="3" s="1"/>
  <c r="L2441" i="3" l="1"/>
  <c r="F2441" i="3"/>
  <c r="J2441" i="3"/>
  <c r="D2441" i="3"/>
  <c r="K2441" i="3"/>
  <c r="E2441" i="3"/>
  <c r="I2440" i="3"/>
  <c r="H2440" i="3" s="1"/>
  <c r="A2442" i="3"/>
  <c r="C2440" i="3"/>
  <c r="B2440" i="3" s="1"/>
  <c r="L2442" i="3" l="1"/>
  <c r="F2442" i="3"/>
  <c r="J2442" i="3"/>
  <c r="D2442" i="3"/>
  <c r="K2442" i="3"/>
  <c r="E2442" i="3"/>
  <c r="C2441" i="3"/>
  <c r="B2441" i="3" s="1"/>
  <c r="I2441" i="3"/>
  <c r="H2441" i="3" s="1"/>
  <c r="A2443" i="3"/>
  <c r="L2443" i="3" l="1"/>
  <c r="F2443" i="3"/>
  <c r="J2443" i="3"/>
  <c r="D2443" i="3"/>
  <c r="K2443" i="3"/>
  <c r="E2443" i="3"/>
  <c r="I2442" i="3"/>
  <c r="H2442" i="3" s="1"/>
  <c r="A2444" i="3"/>
  <c r="C2442" i="3"/>
  <c r="B2442" i="3" s="1"/>
  <c r="F2444" i="3" l="1"/>
  <c r="E2444" i="3"/>
  <c r="L2444" i="3"/>
  <c r="J2444" i="3"/>
  <c r="D2444" i="3"/>
  <c r="K2444" i="3"/>
  <c r="C2443" i="3"/>
  <c r="B2443" i="3" s="1"/>
  <c r="A2445" i="3"/>
  <c r="I2443" i="3"/>
  <c r="H2443" i="3" s="1"/>
  <c r="L2445" i="3" l="1"/>
  <c r="F2445" i="3"/>
  <c r="J2445" i="3"/>
  <c r="D2445" i="3"/>
  <c r="K2445" i="3"/>
  <c r="E2445" i="3"/>
  <c r="C2444" i="3"/>
  <c r="B2444" i="3" s="1"/>
  <c r="A2446" i="3"/>
  <c r="I2444" i="3"/>
  <c r="H2444" i="3" s="1"/>
  <c r="L2446" i="3" l="1"/>
  <c r="F2446" i="3"/>
  <c r="J2446" i="3"/>
  <c r="D2446" i="3"/>
  <c r="K2446" i="3"/>
  <c r="E2446" i="3"/>
  <c r="C2445" i="3"/>
  <c r="B2445" i="3" s="1"/>
  <c r="I2445" i="3"/>
  <c r="H2445" i="3" s="1"/>
  <c r="A2447" i="3"/>
  <c r="L2447" i="3" l="1"/>
  <c r="F2447" i="3"/>
  <c r="J2447" i="3"/>
  <c r="D2447" i="3"/>
  <c r="K2447" i="3"/>
  <c r="E2447" i="3"/>
  <c r="I2446" i="3"/>
  <c r="H2446" i="3" s="1"/>
  <c r="C2446" i="3"/>
  <c r="B2446" i="3" s="1"/>
  <c r="A2448" i="3"/>
  <c r="L2448" i="3" l="1"/>
  <c r="F2448" i="3"/>
  <c r="J2448" i="3"/>
  <c r="D2448" i="3"/>
  <c r="K2448" i="3"/>
  <c r="E2448" i="3"/>
  <c r="C2447" i="3"/>
  <c r="B2447" i="3" s="1"/>
  <c r="I2447" i="3"/>
  <c r="H2447" i="3" s="1"/>
  <c r="A2449" i="3"/>
  <c r="L2449" i="3" l="1"/>
  <c r="F2449" i="3"/>
  <c r="D2449" i="3"/>
  <c r="J2449" i="3"/>
  <c r="E2449" i="3"/>
  <c r="K2449" i="3"/>
  <c r="I2448" i="3"/>
  <c r="H2448" i="3" s="1"/>
  <c r="C2448" i="3"/>
  <c r="B2448" i="3" s="1"/>
  <c r="A2450" i="3"/>
  <c r="L2450" i="3" l="1"/>
  <c r="F2450" i="3"/>
  <c r="J2450" i="3"/>
  <c r="D2450" i="3"/>
  <c r="K2450" i="3"/>
  <c r="E2450" i="3"/>
  <c r="A2451" i="3"/>
  <c r="I2449" i="3"/>
  <c r="H2449" i="3" s="1"/>
  <c r="C2449" i="3"/>
  <c r="B2449" i="3" s="1"/>
  <c r="F2451" i="3" l="1"/>
  <c r="L2451" i="3"/>
  <c r="J2451" i="3"/>
  <c r="D2451" i="3"/>
  <c r="K2451" i="3"/>
  <c r="E2451" i="3"/>
  <c r="C2450" i="3"/>
  <c r="B2450" i="3" s="1"/>
  <c r="A2452" i="3"/>
  <c r="I2450" i="3"/>
  <c r="H2450" i="3" s="1"/>
  <c r="L2452" i="3" l="1"/>
  <c r="F2452" i="3"/>
  <c r="J2452" i="3"/>
  <c r="D2452" i="3"/>
  <c r="K2452" i="3"/>
  <c r="E2452" i="3"/>
  <c r="I2451" i="3"/>
  <c r="H2451" i="3" s="1"/>
  <c r="C2451" i="3"/>
  <c r="B2451" i="3" s="1"/>
  <c r="A2453" i="3"/>
  <c r="L2453" i="3" l="1"/>
  <c r="F2453" i="3"/>
  <c r="J2453" i="3"/>
  <c r="K2453" i="3"/>
  <c r="D2453" i="3"/>
  <c r="E2453" i="3"/>
  <c r="A2454" i="3"/>
  <c r="I2452" i="3"/>
  <c r="H2452" i="3" s="1"/>
  <c r="C2452" i="3"/>
  <c r="B2452" i="3" s="1"/>
  <c r="L2454" i="3" l="1"/>
  <c r="F2454" i="3"/>
  <c r="J2454" i="3"/>
  <c r="D2454" i="3"/>
  <c r="K2454" i="3"/>
  <c r="E2454" i="3"/>
  <c r="C2453" i="3"/>
  <c r="B2453" i="3" s="1"/>
  <c r="A2455" i="3"/>
  <c r="I2453" i="3"/>
  <c r="H2453" i="3" s="1"/>
  <c r="L2455" i="3" l="1"/>
  <c r="F2455" i="3"/>
  <c r="J2455" i="3"/>
  <c r="D2455" i="3"/>
  <c r="K2455" i="3"/>
  <c r="E2455" i="3"/>
  <c r="C2454" i="3"/>
  <c r="B2454" i="3" s="1"/>
  <c r="I2454" i="3"/>
  <c r="H2454" i="3" s="1"/>
  <c r="A2456" i="3"/>
  <c r="L2456" i="3" l="1"/>
  <c r="F2456" i="3"/>
  <c r="J2456" i="3"/>
  <c r="D2456" i="3"/>
  <c r="K2456" i="3"/>
  <c r="E2456" i="3"/>
  <c r="I2455" i="3"/>
  <c r="H2455" i="3" s="1"/>
  <c r="A2457" i="3"/>
  <c r="C2455" i="3"/>
  <c r="B2455" i="3" s="1"/>
  <c r="L2457" i="3" l="1"/>
  <c r="F2457" i="3"/>
  <c r="J2457" i="3"/>
  <c r="D2457" i="3"/>
  <c r="K2457" i="3"/>
  <c r="E2457" i="3"/>
  <c r="I2456" i="3"/>
  <c r="H2456" i="3" s="1"/>
  <c r="C2456" i="3"/>
  <c r="B2456" i="3" s="1"/>
  <c r="A2458" i="3"/>
  <c r="L2458" i="3" l="1"/>
  <c r="F2458" i="3"/>
  <c r="J2458" i="3"/>
  <c r="D2458" i="3"/>
  <c r="K2458" i="3"/>
  <c r="E2458" i="3"/>
  <c r="C2457" i="3"/>
  <c r="B2457" i="3" s="1"/>
  <c r="I2457" i="3"/>
  <c r="H2457" i="3" s="1"/>
  <c r="A2459" i="3"/>
  <c r="L2459" i="3" l="1"/>
  <c r="F2459" i="3"/>
  <c r="J2459" i="3"/>
  <c r="D2459" i="3"/>
  <c r="K2459" i="3"/>
  <c r="E2459" i="3"/>
  <c r="I2458" i="3"/>
  <c r="H2458" i="3" s="1"/>
  <c r="C2458" i="3"/>
  <c r="B2458" i="3" s="1"/>
  <c r="A2460" i="3"/>
  <c r="L2460" i="3" l="1"/>
  <c r="F2460" i="3"/>
  <c r="J2460" i="3"/>
  <c r="D2460" i="3"/>
  <c r="K2460" i="3"/>
  <c r="E2460" i="3"/>
  <c r="C2459" i="3"/>
  <c r="B2459" i="3" s="1"/>
  <c r="A2461" i="3"/>
  <c r="I2459" i="3"/>
  <c r="H2459" i="3" s="1"/>
  <c r="L2461" i="3" l="1"/>
  <c r="F2461" i="3"/>
  <c r="J2461" i="3"/>
  <c r="D2461" i="3"/>
  <c r="K2461" i="3"/>
  <c r="E2461" i="3"/>
  <c r="C2460" i="3"/>
  <c r="B2460" i="3" s="1"/>
  <c r="A2462" i="3"/>
  <c r="I2460" i="3"/>
  <c r="H2460" i="3" s="1"/>
  <c r="L2462" i="3" l="1"/>
  <c r="F2462" i="3"/>
  <c r="J2462" i="3"/>
  <c r="D2462" i="3"/>
  <c r="K2462" i="3"/>
  <c r="E2462" i="3"/>
  <c r="C2461" i="3"/>
  <c r="B2461" i="3" s="1"/>
  <c r="I2461" i="3"/>
  <c r="H2461" i="3" s="1"/>
  <c r="A2463" i="3"/>
  <c r="L2463" i="3" l="1"/>
  <c r="F2463" i="3"/>
  <c r="J2463" i="3"/>
  <c r="D2463" i="3"/>
  <c r="K2463" i="3"/>
  <c r="E2463" i="3"/>
  <c r="I2462" i="3"/>
  <c r="H2462" i="3" s="1"/>
  <c r="C2462" i="3"/>
  <c r="B2462" i="3" s="1"/>
  <c r="A2464" i="3"/>
  <c r="L2464" i="3" l="1"/>
  <c r="F2464" i="3"/>
  <c r="D2464" i="3"/>
  <c r="E2464" i="3"/>
  <c r="J2464" i="3"/>
  <c r="K2464" i="3"/>
  <c r="C2463" i="3"/>
  <c r="B2463" i="3" s="1"/>
  <c r="A2465" i="3"/>
  <c r="I2463" i="3"/>
  <c r="H2463" i="3" s="1"/>
  <c r="L2465" i="3" l="1"/>
  <c r="F2465" i="3"/>
  <c r="D2465" i="3"/>
  <c r="J2465" i="3"/>
  <c r="E2465" i="3"/>
  <c r="K2465" i="3"/>
  <c r="A2466" i="3"/>
  <c r="I2464" i="3"/>
  <c r="H2464" i="3" s="1"/>
  <c r="C2464" i="3"/>
  <c r="B2464" i="3" s="1"/>
  <c r="F2466" i="3" l="1"/>
  <c r="E2466" i="3"/>
  <c r="L2466" i="3"/>
  <c r="J2466" i="3"/>
  <c r="D2466" i="3"/>
  <c r="K2466" i="3"/>
  <c r="C2465" i="3"/>
  <c r="B2465" i="3" s="1"/>
  <c r="A2467" i="3"/>
  <c r="I2465" i="3"/>
  <c r="H2465" i="3" s="1"/>
  <c r="L2467" i="3" l="1"/>
  <c r="F2467" i="3"/>
  <c r="J2467" i="3"/>
  <c r="K2467" i="3"/>
  <c r="D2467" i="3"/>
  <c r="E2467" i="3"/>
  <c r="C2466" i="3"/>
  <c r="B2466" i="3" s="1"/>
  <c r="A2468" i="3"/>
  <c r="I2466" i="3"/>
  <c r="H2466" i="3" s="1"/>
  <c r="L2468" i="3" l="1"/>
  <c r="F2468" i="3"/>
  <c r="J2468" i="3"/>
  <c r="D2468" i="3"/>
  <c r="K2468" i="3"/>
  <c r="E2468" i="3"/>
  <c r="I2467" i="3"/>
  <c r="H2467" i="3" s="1"/>
  <c r="C2467" i="3"/>
  <c r="B2467" i="3" s="1"/>
  <c r="A2469" i="3"/>
  <c r="L2469" i="3" l="1"/>
  <c r="F2469" i="3"/>
  <c r="J2469" i="3"/>
  <c r="D2469" i="3"/>
  <c r="K2469" i="3"/>
  <c r="E2469" i="3"/>
  <c r="I2468" i="3"/>
  <c r="H2468" i="3" s="1"/>
  <c r="A2470" i="3"/>
  <c r="C2468" i="3"/>
  <c r="B2468" i="3" s="1"/>
  <c r="L2470" i="3" l="1"/>
  <c r="F2470" i="3"/>
  <c r="J2470" i="3"/>
  <c r="D2470" i="3"/>
  <c r="K2470" i="3"/>
  <c r="E2470" i="3"/>
  <c r="C2469" i="3"/>
  <c r="B2469" i="3" s="1"/>
  <c r="A2471" i="3"/>
  <c r="I2469" i="3"/>
  <c r="H2469" i="3" s="1"/>
  <c r="L2471" i="3" l="1"/>
  <c r="F2471" i="3"/>
  <c r="J2471" i="3"/>
  <c r="D2471" i="3"/>
  <c r="K2471" i="3"/>
  <c r="E2471" i="3"/>
  <c r="A2472" i="3"/>
  <c r="I2470" i="3"/>
  <c r="H2470" i="3" s="1"/>
  <c r="C2470" i="3"/>
  <c r="B2470" i="3" s="1"/>
  <c r="L2472" i="3" l="1"/>
  <c r="F2472" i="3"/>
  <c r="J2472" i="3"/>
  <c r="D2472" i="3"/>
  <c r="K2472" i="3"/>
  <c r="E2472" i="3"/>
  <c r="I2471" i="3"/>
  <c r="H2471" i="3" s="1"/>
  <c r="C2471" i="3"/>
  <c r="B2471" i="3" s="1"/>
  <c r="A2473" i="3"/>
  <c r="F2473" i="3" l="1"/>
  <c r="L2473" i="3"/>
  <c r="J2473" i="3"/>
  <c r="D2473" i="3"/>
  <c r="K2473" i="3"/>
  <c r="E2473" i="3"/>
  <c r="C2472" i="3"/>
  <c r="B2472" i="3" s="1"/>
  <c r="I2472" i="3"/>
  <c r="H2472" i="3" s="1"/>
  <c r="A2474" i="3"/>
  <c r="L2474" i="3" l="1"/>
  <c r="F2474" i="3"/>
  <c r="J2474" i="3"/>
  <c r="D2474" i="3"/>
  <c r="K2474" i="3"/>
  <c r="E2474" i="3"/>
  <c r="C2473" i="3"/>
  <c r="B2473" i="3" s="1"/>
  <c r="A2475" i="3"/>
  <c r="I2473" i="3"/>
  <c r="H2473" i="3" s="1"/>
  <c r="L2475" i="3" l="1"/>
  <c r="F2475" i="3"/>
  <c r="J2475" i="3"/>
  <c r="D2475" i="3"/>
  <c r="K2475" i="3"/>
  <c r="E2475" i="3"/>
  <c r="C2474" i="3"/>
  <c r="B2474" i="3" s="1"/>
  <c r="A2476" i="3"/>
  <c r="I2474" i="3"/>
  <c r="H2474" i="3" s="1"/>
  <c r="L2476" i="3" l="1"/>
  <c r="F2476" i="3"/>
  <c r="J2476" i="3"/>
  <c r="D2476" i="3"/>
  <c r="K2476" i="3"/>
  <c r="E2476" i="3"/>
  <c r="C2475" i="3"/>
  <c r="B2475" i="3" s="1"/>
  <c r="A2477" i="3"/>
  <c r="I2475" i="3"/>
  <c r="H2475" i="3" s="1"/>
  <c r="L2477" i="3" l="1"/>
  <c r="F2477" i="3"/>
  <c r="J2477" i="3"/>
  <c r="D2477" i="3"/>
  <c r="K2477" i="3"/>
  <c r="E2477" i="3"/>
  <c r="C2476" i="3"/>
  <c r="B2476" i="3" s="1"/>
  <c r="I2476" i="3"/>
  <c r="H2476" i="3" s="1"/>
  <c r="A2478" i="3"/>
  <c r="L2478" i="3" l="1"/>
  <c r="F2478" i="3"/>
  <c r="J2478" i="3"/>
  <c r="D2478" i="3"/>
  <c r="K2478" i="3"/>
  <c r="E2478" i="3"/>
  <c r="I2477" i="3"/>
  <c r="H2477" i="3" s="1"/>
  <c r="A2479" i="3"/>
  <c r="C2477" i="3"/>
  <c r="B2477" i="3" s="1"/>
  <c r="L2479" i="3" l="1"/>
  <c r="F2479" i="3"/>
  <c r="J2479" i="3"/>
  <c r="D2479" i="3"/>
  <c r="K2479" i="3"/>
  <c r="E2479" i="3"/>
  <c r="C2478" i="3"/>
  <c r="B2478" i="3" s="1"/>
  <c r="I2478" i="3"/>
  <c r="H2478" i="3" s="1"/>
  <c r="A2480" i="3"/>
  <c r="L2480" i="3" l="1"/>
  <c r="F2480" i="3"/>
  <c r="D2480" i="3"/>
  <c r="J2480" i="3"/>
  <c r="E2480" i="3"/>
  <c r="K2480" i="3"/>
  <c r="C2479" i="3"/>
  <c r="B2479" i="3" s="1"/>
  <c r="A2481" i="3"/>
  <c r="I2479" i="3"/>
  <c r="H2479" i="3" s="1"/>
  <c r="L2481" i="3" l="1"/>
  <c r="F2481" i="3"/>
  <c r="J2481" i="3"/>
  <c r="D2481" i="3"/>
  <c r="K2481" i="3"/>
  <c r="E2481" i="3"/>
  <c r="C2480" i="3"/>
  <c r="B2480" i="3" s="1"/>
  <c r="A2482" i="3"/>
  <c r="I2480" i="3"/>
  <c r="H2480" i="3" s="1"/>
  <c r="L2482" i="3" l="1"/>
  <c r="F2482" i="3"/>
  <c r="J2482" i="3"/>
  <c r="D2482" i="3"/>
  <c r="K2482" i="3"/>
  <c r="E2482" i="3"/>
  <c r="C2481" i="3"/>
  <c r="B2481" i="3" s="1"/>
  <c r="A2483" i="3"/>
  <c r="I2481" i="3"/>
  <c r="H2481" i="3" s="1"/>
  <c r="L2483" i="3" l="1"/>
  <c r="F2483" i="3"/>
  <c r="J2483" i="3"/>
  <c r="D2483" i="3"/>
  <c r="K2483" i="3"/>
  <c r="E2483" i="3"/>
  <c r="C2482" i="3"/>
  <c r="B2482" i="3" s="1"/>
  <c r="A2484" i="3"/>
  <c r="I2482" i="3"/>
  <c r="H2482" i="3" s="1"/>
  <c r="L2484" i="3" l="1"/>
  <c r="F2484" i="3"/>
  <c r="J2484" i="3"/>
  <c r="D2484" i="3"/>
  <c r="K2484" i="3"/>
  <c r="E2484" i="3"/>
  <c r="C2483" i="3"/>
  <c r="B2483" i="3" s="1"/>
  <c r="A2485" i="3"/>
  <c r="I2483" i="3"/>
  <c r="H2483" i="3" s="1"/>
  <c r="L2485" i="3" l="1"/>
  <c r="F2485" i="3"/>
  <c r="J2485" i="3"/>
  <c r="D2485" i="3"/>
  <c r="K2485" i="3"/>
  <c r="E2485" i="3"/>
  <c r="C2484" i="3"/>
  <c r="B2484" i="3" s="1"/>
  <c r="A2486" i="3"/>
  <c r="I2484" i="3"/>
  <c r="H2484" i="3" s="1"/>
  <c r="L2486" i="3" l="1"/>
  <c r="F2486" i="3"/>
  <c r="J2486" i="3"/>
  <c r="D2486" i="3"/>
  <c r="K2486" i="3"/>
  <c r="E2486" i="3"/>
  <c r="A2487" i="3"/>
  <c r="I2485" i="3"/>
  <c r="H2485" i="3" s="1"/>
  <c r="C2485" i="3"/>
  <c r="B2485" i="3" s="1"/>
  <c r="L2487" i="3" l="1"/>
  <c r="F2487" i="3"/>
  <c r="J2487" i="3"/>
  <c r="D2487" i="3"/>
  <c r="K2487" i="3"/>
  <c r="E2487" i="3"/>
  <c r="C2486" i="3"/>
  <c r="B2486" i="3" s="1"/>
  <c r="A2488" i="3"/>
  <c r="I2486" i="3"/>
  <c r="H2486" i="3" s="1"/>
  <c r="L2488" i="3" l="1"/>
  <c r="F2488" i="3"/>
  <c r="J2488" i="3"/>
  <c r="D2488" i="3"/>
  <c r="K2488" i="3"/>
  <c r="E2488" i="3"/>
  <c r="I2487" i="3"/>
  <c r="H2487" i="3" s="1"/>
  <c r="C2487" i="3"/>
  <c r="B2487" i="3" s="1"/>
  <c r="A2489" i="3"/>
  <c r="F2489" i="3" l="1"/>
  <c r="E2489" i="3"/>
  <c r="L2489" i="3"/>
  <c r="J2489" i="3"/>
  <c r="D2489" i="3"/>
  <c r="K2489" i="3"/>
  <c r="A2490" i="3"/>
  <c r="I2488" i="3"/>
  <c r="H2488" i="3" s="1"/>
  <c r="C2488" i="3"/>
  <c r="B2488" i="3" s="1"/>
  <c r="L2490" i="3" l="1"/>
  <c r="F2490" i="3"/>
  <c r="J2490" i="3"/>
  <c r="D2490" i="3"/>
  <c r="K2490" i="3"/>
  <c r="E2490" i="3"/>
  <c r="C2489" i="3"/>
  <c r="B2489" i="3" s="1"/>
  <c r="I2489" i="3"/>
  <c r="H2489" i="3" s="1"/>
  <c r="A2491" i="3"/>
  <c r="L2491" i="3" l="1"/>
  <c r="F2491" i="3"/>
  <c r="J2491" i="3"/>
  <c r="D2491" i="3"/>
  <c r="K2491" i="3"/>
  <c r="E2491" i="3"/>
  <c r="I2490" i="3"/>
  <c r="H2490" i="3" s="1"/>
  <c r="A2492" i="3"/>
  <c r="C2490" i="3"/>
  <c r="B2490" i="3" s="1"/>
  <c r="L2492" i="3" l="1"/>
  <c r="F2492" i="3"/>
  <c r="D2492" i="3"/>
  <c r="J2492" i="3"/>
  <c r="E2492" i="3"/>
  <c r="K2492" i="3"/>
  <c r="C2491" i="3"/>
  <c r="B2491" i="3" s="1"/>
  <c r="A2493" i="3"/>
  <c r="I2491" i="3"/>
  <c r="H2491" i="3" s="1"/>
  <c r="L2493" i="3" l="1"/>
  <c r="F2493" i="3"/>
  <c r="J2493" i="3"/>
  <c r="D2493" i="3"/>
  <c r="K2493" i="3"/>
  <c r="E2493" i="3"/>
  <c r="C2492" i="3"/>
  <c r="B2492" i="3" s="1"/>
  <c r="A2494" i="3"/>
  <c r="I2492" i="3"/>
  <c r="H2492" i="3" s="1"/>
  <c r="L2494" i="3" l="1"/>
  <c r="F2494" i="3"/>
  <c r="J2494" i="3"/>
  <c r="D2494" i="3"/>
  <c r="K2494" i="3"/>
  <c r="E2494" i="3"/>
  <c r="A2495" i="3"/>
  <c r="I2493" i="3"/>
  <c r="H2493" i="3" s="1"/>
  <c r="C2493" i="3"/>
  <c r="B2493" i="3" s="1"/>
  <c r="L2495" i="3" l="1"/>
  <c r="F2495" i="3"/>
  <c r="J2495" i="3"/>
  <c r="D2495" i="3"/>
  <c r="K2495" i="3"/>
  <c r="E2495" i="3"/>
  <c r="I2494" i="3"/>
  <c r="H2494" i="3" s="1"/>
  <c r="C2494" i="3"/>
  <c r="B2494" i="3" s="1"/>
  <c r="A2496" i="3"/>
  <c r="F2496" i="3" l="1"/>
  <c r="L2496" i="3"/>
  <c r="D2496" i="3"/>
  <c r="E2496" i="3"/>
  <c r="J2496" i="3"/>
  <c r="K2496" i="3"/>
  <c r="A2497" i="3"/>
  <c r="I2495" i="3"/>
  <c r="H2495" i="3" s="1"/>
  <c r="C2495" i="3"/>
  <c r="B2495" i="3" s="1"/>
  <c r="L2497" i="3" l="1"/>
  <c r="F2497" i="3"/>
  <c r="J2497" i="3"/>
  <c r="D2497" i="3"/>
  <c r="K2497" i="3"/>
  <c r="E2497" i="3"/>
  <c r="C2496" i="3"/>
  <c r="B2496" i="3" s="1"/>
  <c r="A2498" i="3"/>
  <c r="I2496" i="3"/>
  <c r="H2496" i="3" s="1"/>
  <c r="L2498" i="3" l="1"/>
  <c r="F2498" i="3"/>
  <c r="J2498" i="3"/>
  <c r="D2498" i="3"/>
  <c r="K2498" i="3"/>
  <c r="E2498" i="3"/>
  <c r="C2497" i="3"/>
  <c r="B2497" i="3" s="1"/>
  <c r="A2499" i="3"/>
  <c r="I2497" i="3"/>
  <c r="H2497" i="3" s="1"/>
  <c r="L2499" i="3" l="1"/>
  <c r="F2499" i="3"/>
  <c r="J2499" i="3"/>
  <c r="D2499" i="3"/>
  <c r="K2499" i="3"/>
  <c r="E2499" i="3"/>
  <c r="C2498" i="3"/>
  <c r="B2498" i="3" s="1"/>
  <c r="A2500" i="3"/>
  <c r="I2498" i="3"/>
  <c r="H2498" i="3" s="1"/>
  <c r="L2500" i="3" l="1"/>
  <c r="F2500" i="3"/>
  <c r="J2500" i="3"/>
  <c r="D2500" i="3"/>
  <c r="K2500" i="3"/>
  <c r="E2500" i="3"/>
  <c r="A2501" i="3"/>
  <c r="I2499" i="3"/>
  <c r="H2499" i="3" s="1"/>
  <c r="C2499" i="3"/>
  <c r="B2499" i="3" s="1"/>
  <c r="L2501" i="3" l="1"/>
  <c r="F2501" i="3"/>
  <c r="J2501" i="3"/>
  <c r="D2501" i="3"/>
  <c r="K2501" i="3"/>
  <c r="E2501" i="3"/>
  <c r="C2500" i="3"/>
  <c r="B2500" i="3" s="1"/>
  <c r="A2502" i="3"/>
  <c r="I2500" i="3"/>
  <c r="H2500" i="3" s="1"/>
  <c r="L2502" i="3" l="1"/>
  <c r="F2502" i="3"/>
  <c r="J2502" i="3"/>
  <c r="D2502" i="3"/>
  <c r="K2502" i="3"/>
  <c r="E2502" i="3"/>
  <c r="A2503" i="3"/>
  <c r="I2501" i="3"/>
  <c r="H2501" i="3" s="1"/>
  <c r="C2501" i="3"/>
  <c r="B2501" i="3" s="1"/>
  <c r="L2503" i="3" l="1"/>
  <c r="F2503" i="3"/>
  <c r="J2503" i="3"/>
  <c r="D2503" i="3"/>
  <c r="K2503" i="3"/>
  <c r="E2503" i="3"/>
  <c r="C2502" i="3"/>
  <c r="B2502" i="3" s="1"/>
  <c r="A2504" i="3"/>
  <c r="I2502" i="3"/>
  <c r="H2502" i="3" s="1"/>
  <c r="L2504" i="3" l="1"/>
  <c r="F2504" i="3"/>
  <c r="J2504" i="3"/>
  <c r="D2504" i="3"/>
  <c r="K2504" i="3"/>
  <c r="E2504" i="3"/>
  <c r="I2503" i="3"/>
  <c r="H2503" i="3" s="1"/>
  <c r="C2503" i="3"/>
  <c r="B2503" i="3" s="1"/>
  <c r="A2505" i="3"/>
  <c r="L2505" i="3" l="1"/>
  <c r="F2505" i="3"/>
  <c r="J2505" i="3"/>
  <c r="D2505" i="3"/>
  <c r="K2505" i="3"/>
  <c r="E2505" i="3"/>
  <c r="C2504" i="3"/>
  <c r="B2504" i="3" s="1"/>
  <c r="I2504" i="3"/>
  <c r="H2504" i="3" s="1"/>
  <c r="A2506" i="3"/>
  <c r="L2506" i="3" l="1"/>
  <c r="F2506" i="3"/>
  <c r="J2506" i="3"/>
  <c r="D2506" i="3"/>
  <c r="K2506" i="3"/>
  <c r="E2506" i="3"/>
  <c r="C2505" i="3"/>
  <c r="B2505" i="3" s="1"/>
  <c r="I2505" i="3"/>
  <c r="H2505" i="3" s="1"/>
  <c r="A2507" i="3"/>
  <c r="L2507" i="3" l="1"/>
  <c r="F2507" i="3"/>
  <c r="J2507" i="3"/>
  <c r="D2507" i="3"/>
  <c r="K2507" i="3"/>
  <c r="E2507" i="3"/>
  <c r="C2506" i="3"/>
  <c r="B2506" i="3" s="1"/>
  <c r="I2506" i="3"/>
  <c r="H2506" i="3" s="1"/>
  <c r="A2508" i="3"/>
  <c r="L2508" i="3" l="1"/>
  <c r="F2508" i="3"/>
  <c r="J2508" i="3"/>
  <c r="D2508" i="3"/>
  <c r="K2508" i="3"/>
  <c r="E2508" i="3"/>
  <c r="A2509" i="3"/>
  <c r="I2507" i="3"/>
  <c r="H2507" i="3" s="1"/>
  <c r="C2507" i="3"/>
  <c r="B2507" i="3" s="1"/>
  <c r="F2509" i="3" l="1"/>
  <c r="E2509" i="3"/>
  <c r="L2509" i="3"/>
  <c r="J2509" i="3"/>
  <c r="D2509" i="3"/>
  <c r="K2509" i="3"/>
  <c r="C2508" i="3"/>
  <c r="B2508" i="3" s="1"/>
  <c r="A2510" i="3"/>
  <c r="I2508" i="3"/>
  <c r="H2508" i="3" s="1"/>
  <c r="L2510" i="3" l="1"/>
  <c r="F2510" i="3"/>
  <c r="J2510" i="3"/>
  <c r="D2510" i="3"/>
  <c r="K2510" i="3"/>
  <c r="E2510" i="3"/>
  <c r="I2509" i="3"/>
  <c r="H2509" i="3" s="1"/>
  <c r="C2509" i="3"/>
  <c r="B2509" i="3" s="1"/>
  <c r="A2511" i="3"/>
  <c r="L2511" i="3" l="1"/>
  <c r="F2511" i="3"/>
  <c r="D2511" i="3"/>
  <c r="J2511" i="3"/>
  <c r="E2511" i="3"/>
  <c r="K2511" i="3"/>
  <c r="C2510" i="3"/>
  <c r="B2510" i="3" s="1"/>
  <c r="A2512" i="3"/>
  <c r="I2510" i="3"/>
  <c r="H2510" i="3" s="1"/>
  <c r="L2512" i="3" l="1"/>
  <c r="F2512" i="3"/>
  <c r="J2512" i="3"/>
  <c r="D2512" i="3"/>
  <c r="K2512" i="3"/>
  <c r="E2512" i="3"/>
  <c r="C2511" i="3"/>
  <c r="B2511" i="3" s="1"/>
  <c r="A2513" i="3"/>
  <c r="I2511" i="3"/>
  <c r="H2511" i="3" s="1"/>
  <c r="L2513" i="3" l="1"/>
  <c r="F2513" i="3"/>
  <c r="J2513" i="3"/>
  <c r="D2513" i="3"/>
  <c r="K2513" i="3"/>
  <c r="E2513" i="3"/>
  <c r="C2512" i="3"/>
  <c r="B2512" i="3" s="1"/>
  <c r="A2514" i="3"/>
  <c r="I2512" i="3"/>
  <c r="H2512" i="3" s="1"/>
  <c r="L2514" i="3" l="1"/>
  <c r="F2514" i="3"/>
  <c r="J2514" i="3"/>
  <c r="D2514" i="3"/>
  <c r="K2514" i="3"/>
  <c r="E2514" i="3"/>
  <c r="I2513" i="3"/>
  <c r="H2513" i="3" s="1"/>
  <c r="A2515" i="3"/>
  <c r="C2513" i="3"/>
  <c r="B2513" i="3" s="1"/>
  <c r="L2515" i="3" l="1"/>
  <c r="F2515" i="3"/>
  <c r="J2515" i="3"/>
  <c r="D2515" i="3"/>
  <c r="K2515" i="3"/>
  <c r="E2515" i="3"/>
  <c r="I2514" i="3"/>
  <c r="H2514" i="3" s="1"/>
  <c r="C2514" i="3"/>
  <c r="B2514" i="3" s="1"/>
  <c r="A2516" i="3"/>
  <c r="F2516" i="3" l="1"/>
  <c r="L2516" i="3"/>
  <c r="J2516" i="3"/>
  <c r="D2516" i="3"/>
  <c r="K2516" i="3"/>
  <c r="E2516" i="3"/>
  <c r="C2515" i="3"/>
  <c r="B2515" i="3" s="1"/>
  <c r="A2517" i="3"/>
  <c r="I2515" i="3"/>
  <c r="H2515" i="3" s="1"/>
  <c r="L2517" i="3" l="1"/>
  <c r="F2517" i="3"/>
  <c r="J2517" i="3"/>
  <c r="D2517" i="3"/>
  <c r="K2517" i="3"/>
  <c r="E2517" i="3"/>
  <c r="C2516" i="3"/>
  <c r="B2516" i="3" s="1"/>
  <c r="A2518" i="3"/>
  <c r="I2516" i="3"/>
  <c r="H2516" i="3" s="1"/>
  <c r="L2518" i="3" l="1"/>
  <c r="F2518" i="3"/>
  <c r="J2518" i="3"/>
  <c r="D2518" i="3"/>
  <c r="K2518" i="3"/>
  <c r="E2518" i="3"/>
  <c r="C2517" i="3"/>
  <c r="B2517" i="3" s="1"/>
  <c r="A2519" i="3"/>
  <c r="I2517" i="3"/>
  <c r="H2517" i="3" s="1"/>
  <c r="L2519" i="3" l="1"/>
  <c r="F2519" i="3"/>
  <c r="J2519" i="3"/>
  <c r="D2519" i="3"/>
  <c r="K2519" i="3"/>
  <c r="E2519" i="3"/>
  <c r="C2518" i="3"/>
  <c r="B2518" i="3" s="1"/>
  <c r="A2520" i="3"/>
  <c r="I2518" i="3"/>
  <c r="H2518" i="3" s="1"/>
  <c r="L2520" i="3" l="1"/>
  <c r="F2520" i="3"/>
  <c r="J2520" i="3"/>
  <c r="D2520" i="3"/>
  <c r="K2520" i="3"/>
  <c r="E2520" i="3"/>
  <c r="C2519" i="3"/>
  <c r="B2519" i="3" s="1"/>
  <c r="I2519" i="3"/>
  <c r="H2519" i="3" s="1"/>
  <c r="A2521" i="3"/>
  <c r="L2521" i="3" l="1"/>
  <c r="F2521" i="3"/>
  <c r="J2521" i="3"/>
  <c r="D2521" i="3"/>
  <c r="K2521" i="3"/>
  <c r="E2521" i="3"/>
  <c r="C2520" i="3"/>
  <c r="B2520" i="3" s="1"/>
  <c r="I2520" i="3"/>
  <c r="H2520" i="3" s="1"/>
  <c r="A2522" i="3"/>
  <c r="L2522" i="3" l="1"/>
  <c r="F2522" i="3"/>
  <c r="J2522" i="3"/>
  <c r="D2522" i="3"/>
  <c r="K2522" i="3"/>
  <c r="E2522" i="3"/>
  <c r="A2523" i="3"/>
  <c r="I2521" i="3"/>
  <c r="H2521" i="3" s="1"/>
  <c r="C2521" i="3"/>
  <c r="B2521" i="3" s="1"/>
  <c r="L2523" i="3" l="1"/>
  <c r="F2523" i="3"/>
  <c r="D2523" i="3"/>
  <c r="E2523" i="3"/>
  <c r="J2523" i="3"/>
  <c r="K2523" i="3"/>
  <c r="I2522" i="3"/>
  <c r="H2522" i="3" s="1"/>
  <c r="C2522" i="3"/>
  <c r="B2522" i="3" s="1"/>
  <c r="A2524" i="3"/>
  <c r="L2524" i="3" l="1"/>
  <c r="F2524" i="3"/>
  <c r="J2524" i="3"/>
  <c r="D2524" i="3"/>
  <c r="K2524" i="3"/>
  <c r="E2524" i="3"/>
  <c r="I2523" i="3"/>
  <c r="H2523" i="3" s="1"/>
  <c r="A2525" i="3"/>
  <c r="C2523" i="3"/>
  <c r="B2523" i="3" s="1"/>
  <c r="L2525" i="3" l="1"/>
  <c r="F2525" i="3"/>
  <c r="J2525" i="3"/>
  <c r="D2525" i="3"/>
  <c r="K2525" i="3"/>
  <c r="E2525" i="3"/>
  <c r="C2524" i="3"/>
  <c r="B2524" i="3" s="1"/>
  <c r="I2524" i="3"/>
  <c r="H2524" i="3" s="1"/>
  <c r="A2526" i="3"/>
  <c r="L2526" i="3" l="1"/>
  <c r="F2526" i="3"/>
  <c r="D2526" i="3"/>
  <c r="E2526" i="3"/>
  <c r="J2526" i="3"/>
  <c r="K2526" i="3"/>
  <c r="C2525" i="3"/>
  <c r="B2525" i="3" s="1"/>
  <c r="A2527" i="3"/>
  <c r="I2525" i="3"/>
  <c r="H2525" i="3" s="1"/>
  <c r="L2527" i="3" l="1"/>
  <c r="F2527" i="3"/>
  <c r="J2527" i="3"/>
  <c r="D2527" i="3"/>
  <c r="K2527" i="3"/>
  <c r="E2527" i="3"/>
  <c r="C2526" i="3"/>
  <c r="B2526" i="3" s="1"/>
  <c r="A2528" i="3"/>
  <c r="I2526" i="3"/>
  <c r="H2526" i="3" s="1"/>
  <c r="L2528" i="3" l="1"/>
  <c r="F2528" i="3"/>
  <c r="J2528" i="3"/>
  <c r="D2528" i="3"/>
  <c r="K2528" i="3"/>
  <c r="E2528" i="3"/>
  <c r="C2527" i="3"/>
  <c r="B2527" i="3" s="1"/>
  <c r="A2529" i="3"/>
  <c r="I2527" i="3"/>
  <c r="H2527" i="3" s="1"/>
  <c r="L2529" i="3" l="1"/>
  <c r="F2529" i="3"/>
  <c r="J2529" i="3"/>
  <c r="D2529" i="3"/>
  <c r="K2529" i="3"/>
  <c r="E2529" i="3"/>
  <c r="C2528" i="3"/>
  <c r="B2528" i="3" s="1"/>
  <c r="A2530" i="3"/>
  <c r="I2528" i="3"/>
  <c r="H2528" i="3" s="1"/>
  <c r="L2530" i="3" l="1"/>
  <c r="F2530" i="3"/>
  <c r="J2530" i="3"/>
  <c r="D2530" i="3"/>
  <c r="K2530" i="3"/>
  <c r="E2530" i="3"/>
  <c r="I2529" i="3"/>
  <c r="H2529" i="3" s="1"/>
  <c r="A2531" i="3"/>
  <c r="C2529" i="3"/>
  <c r="B2529" i="3" s="1"/>
  <c r="F2531" i="3" l="1"/>
  <c r="E2531" i="3"/>
  <c r="L2531" i="3"/>
  <c r="J2531" i="3"/>
  <c r="D2531" i="3"/>
  <c r="K2531" i="3"/>
  <c r="I2530" i="3"/>
  <c r="H2530" i="3" s="1"/>
  <c r="A2532" i="3"/>
  <c r="C2530" i="3"/>
  <c r="B2530" i="3" s="1"/>
  <c r="L2532" i="3" l="1"/>
  <c r="F2532" i="3"/>
  <c r="J2532" i="3"/>
  <c r="D2532" i="3"/>
  <c r="K2532" i="3"/>
  <c r="E2532" i="3"/>
  <c r="I2531" i="3"/>
  <c r="H2531" i="3" s="1"/>
  <c r="C2531" i="3"/>
  <c r="B2531" i="3" s="1"/>
  <c r="A2533" i="3"/>
  <c r="L2533" i="3" l="1"/>
  <c r="F2533" i="3"/>
  <c r="J2533" i="3"/>
  <c r="D2533" i="3"/>
  <c r="K2533" i="3"/>
  <c r="E2533" i="3"/>
  <c r="C2532" i="3"/>
  <c r="B2532" i="3" s="1"/>
  <c r="A2534" i="3"/>
  <c r="I2532" i="3"/>
  <c r="H2532" i="3" s="1"/>
  <c r="L2534" i="3" l="1"/>
  <c r="F2534" i="3"/>
  <c r="J2534" i="3"/>
  <c r="D2534" i="3"/>
  <c r="K2534" i="3"/>
  <c r="E2534" i="3"/>
  <c r="C2533" i="3"/>
  <c r="B2533" i="3" s="1"/>
  <c r="A2535" i="3"/>
  <c r="I2533" i="3"/>
  <c r="H2533" i="3" s="1"/>
  <c r="L2535" i="3" l="1"/>
  <c r="F2535" i="3"/>
  <c r="J2535" i="3"/>
  <c r="D2535" i="3"/>
  <c r="K2535" i="3"/>
  <c r="E2535" i="3"/>
  <c r="C2534" i="3"/>
  <c r="B2534" i="3" s="1"/>
  <c r="A2536" i="3"/>
  <c r="I2534" i="3"/>
  <c r="H2534" i="3" s="1"/>
  <c r="L2536" i="3" l="1"/>
  <c r="F2536" i="3"/>
  <c r="J2536" i="3"/>
  <c r="D2536" i="3"/>
  <c r="K2536" i="3"/>
  <c r="E2536" i="3"/>
  <c r="I2535" i="3"/>
  <c r="H2535" i="3" s="1"/>
  <c r="C2535" i="3"/>
  <c r="B2535" i="3" s="1"/>
  <c r="A2537" i="3"/>
  <c r="L2537" i="3" l="1"/>
  <c r="F2537" i="3"/>
  <c r="J2537" i="3"/>
  <c r="D2537" i="3"/>
  <c r="K2537" i="3"/>
  <c r="E2537" i="3"/>
  <c r="I2536" i="3"/>
  <c r="H2536" i="3" s="1"/>
  <c r="C2536" i="3"/>
  <c r="B2536" i="3" s="1"/>
  <c r="A2538" i="3"/>
  <c r="F2538" i="3" l="1"/>
  <c r="L2538" i="3"/>
  <c r="J2538" i="3"/>
  <c r="D2538" i="3"/>
  <c r="K2538" i="3"/>
  <c r="E2538" i="3"/>
  <c r="I2537" i="3"/>
  <c r="H2537" i="3" s="1"/>
  <c r="C2537" i="3"/>
  <c r="B2537" i="3" s="1"/>
  <c r="A2539" i="3"/>
  <c r="L2539" i="3" l="1"/>
  <c r="F2539" i="3"/>
  <c r="J2539" i="3"/>
  <c r="D2539" i="3"/>
  <c r="K2539" i="3"/>
  <c r="E2539" i="3"/>
  <c r="I2538" i="3"/>
  <c r="H2538" i="3" s="1"/>
  <c r="C2538" i="3"/>
  <c r="B2538" i="3" s="1"/>
  <c r="A2540" i="3"/>
  <c r="L2540" i="3" l="1"/>
  <c r="F2540" i="3"/>
  <c r="D2540" i="3"/>
  <c r="J2540" i="3"/>
  <c r="E2540" i="3"/>
  <c r="K2540" i="3"/>
  <c r="C2539" i="3"/>
  <c r="B2539" i="3" s="1"/>
  <c r="I2539" i="3"/>
  <c r="H2539" i="3" s="1"/>
  <c r="A2541" i="3"/>
  <c r="L2541" i="3" l="1"/>
  <c r="F2541" i="3"/>
  <c r="J2541" i="3"/>
  <c r="D2541" i="3"/>
  <c r="K2541" i="3"/>
  <c r="E2541" i="3"/>
  <c r="I2540" i="3"/>
  <c r="H2540" i="3" s="1"/>
  <c r="A2542" i="3"/>
  <c r="C2540" i="3"/>
  <c r="B2540" i="3" s="1"/>
  <c r="L2542" i="3" l="1"/>
  <c r="F2542" i="3"/>
  <c r="J2542" i="3"/>
  <c r="D2542" i="3"/>
  <c r="K2542" i="3"/>
  <c r="E2542" i="3"/>
  <c r="C2541" i="3"/>
  <c r="B2541" i="3" s="1"/>
  <c r="A2543" i="3"/>
  <c r="I2541" i="3"/>
  <c r="H2541" i="3" s="1"/>
  <c r="L2543" i="3" l="1"/>
  <c r="F2543" i="3"/>
  <c r="J2543" i="3"/>
  <c r="D2543" i="3"/>
  <c r="K2543" i="3"/>
  <c r="E2543" i="3"/>
  <c r="C2542" i="3"/>
  <c r="B2542" i="3" s="1"/>
  <c r="A2544" i="3"/>
  <c r="I2542" i="3"/>
  <c r="H2542" i="3" s="1"/>
  <c r="L2544" i="3" l="1"/>
  <c r="F2544" i="3"/>
  <c r="J2544" i="3"/>
  <c r="D2544" i="3"/>
  <c r="K2544" i="3"/>
  <c r="E2544" i="3"/>
  <c r="I2543" i="3"/>
  <c r="H2543" i="3" s="1"/>
  <c r="C2543" i="3"/>
  <c r="B2543" i="3" s="1"/>
  <c r="A2545" i="3"/>
  <c r="L2545" i="3" l="1"/>
  <c r="F2545" i="3"/>
  <c r="J2545" i="3"/>
  <c r="D2545" i="3"/>
  <c r="K2545" i="3"/>
  <c r="E2545" i="3"/>
  <c r="C2544" i="3"/>
  <c r="B2544" i="3" s="1"/>
  <c r="I2544" i="3"/>
  <c r="H2544" i="3" s="1"/>
  <c r="A2546" i="3"/>
  <c r="L2546" i="3" l="1"/>
  <c r="F2546" i="3"/>
  <c r="J2546" i="3"/>
  <c r="D2546" i="3"/>
  <c r="K2546" i="3"/>
  <c r="E2546" i="3"/>
  <c r="C2545" i="3"/>
  <c r="B2545" i="3" s="1"/>
  <c r="I2545" i="3"/>
  <c r="H2545" i="3" s="1"/>
  <c r="A2547" i="3"/>
  <c r="L2547" i="3" l="1"/>
  <c r="F2547" i="3"/>
  <c r="J2547" i="3"/>
  <c r="D2547" i="3"/>
  <c r="K2547" i="3"/>
  <c r="E2547" i="3"/>
  <c r="C2546" i="3"/>
  <c r="B2546" i="3" s="1"/>
  <c r="I2546" i="3"/>
  <c r="H2546" i="3" s="1"/>
  <c r="A2548" i="3"/>
  <c r="L2548" i="3" l="1"/>
  <c r="F2548" i="3"/>
  <c r="J2548" i="3"/>
  <c r="D2548" i="3"/>
  <c r="K2548" i="3"/>
  <c r="E2548" i="3"/>
  <c r="C2547" i="3"/>
  <c r="B2547" i="3" s="1"/>
  <c r="I2547" i="3"/>
  <c r="H2547" i="3" s="1"/>
  <c r="A2549" i="3"/>
  <c r="L2549" i="3" l="1"/>
  <c r="F2549" i="3"/>
  <c r="J2549" i="3"/>
  <c r="D2549" i="3"/>
  <c r="K2549" i="3"/>
  <c r="E2549" i="3"/>
  <c r="I2548" i="3"/>
  <c r="H2548" i="3" s="1"/>
  <c r="C2548" i="3"/>
  <c r="B2548" i="3" s="1"/>
  <c r="A2550" i="3"/>
  <c r="L2550" i="3" l="1"/>
  <c r="F2550" i="3"/>
  <c r="J2550" i="3"/>
  <c r="D2550" i="3"/>
  <c r="K2550" i="3"/>
  <c r="E2550" i="3"/>
  <c r="C2549" i="3"/>
  <c r="B2549" i="3" s="1"/>
  <c r="I2549" i="3"/>
  <c r="H2549" i="3" s="1"/>
  <c r="A2551" i="3"/>
  <c r="L2551" i="3" l="1"/>
  <c r="F2551" i="3"/>
  <c r="J2551" i="3"/>
  <c r="D2551" i="3"/>
  <c r="K2551" i="3"/>
  <c r="E2551" i="3"/>
  <c r="I2550" i="3"/>
  <c r="H2550" i="3" s="1"/>
  <c r="C2550" i="3"/>
  <c r="B2550" i="3" s="1"/>
  <c r="A2552" i="3"/>
  <c r="F2552" i="3" l="1"/>
  <c r="E2552" i="3"/>
  <c r="L2552" i="3"/>
  <c r="J2552" i="3"/>
  <c r="D2552" i="3"/>
  <c r="K2552" i="3"/>
  <c r="I2551" i="3"/>
  <c r="H2551" i="3" s="1"/>
  <c r="C2551" i="3"/>
  <c r="B2551" i="3" s="1"/>
  <c r="A2553" i="3"/>
  <c r="L2553" i="3" l="1"/>
  <c r="F2553" i="3"/>
  <c r="J2553" i="3"/>
  <c r="D2553" i="3"/>
  <c r="K2553" i="3"/>
  <c r="E2553" i="3"/>
  <c r="I2552" i="3"/>
  <c r="H2552" i="3" s="1"/>
  <c r="C2552" i="3"/>
  <c r="B2552" i="3" s="1"/>
  <c r="A2554" i="3"/>
  <c r="L2554" i="3" l="1"/>
  <c r="F2554" i="3"/>
  <c r="D2554" i="3"/>
  <c r="E2554" i="3"/>
  <c r="J2554" i="3"/>
  <c r="K2554" i="3"/>
  <c r="I2553" i="3"/>
  <c r="H2553" i="3" s="1"/>
  <c r="A2555" i="3"/>
  <c r="C2553" i="3"/>
  <c r="B2553" i="3" s="1"/>
  <c r="L2555" i="3" l="1"/>
  <c r="F2555" i="3"/>
  <c r="D2555" i="3"/>
  <c r="J2555" i="3"/>
  <c r="E2555" i="3"/>
  <c r="K2555" i="3"/>
  <c r="C2554" i="3"/>
  <c r="B2554" i="3" s="1"/>
  <c r="I2554" i="3"/>
  <c r="H2554" i="3" s="1"/>
  <c r="A2556" i="3"/>
  <c r="L2556" i="3" l="1"/>
  <c r="F2556" i="3"/>
  <c r="J2556" i="3"/>
  <c r="D2556" i="3"/>
  <c r="K2556" i="3"/>
  <c r="E2556" i="3"/>
  <c r="C2555" i="3"/>
  <c r="B2555" i="3" s="1"/>
  <c r="I2555" i="3"/>
  <c r="H2555" i="3" s="1"/>
  <c r="A2557" i="3"/>
  <c r="L2557" i="3" l="1"/>
  <c r="F2557" i="3"/>
  <c r="J2557" i="3"/>
  <c r="D2557" i="3"/>
  <c r="K2557" i="3"/>
  <c r="E2557" i="3"/>
  <c r="I2556" i="3"/>
  <c r="H2556" i="3" s="1"/>
  <c r="C2556" i="3"/>
  <c r="B2556" i="3" s="1"/>
  <c r="A2558" i="3"/>
  <c r="L2558" i="3" l="1"/>
  <c r="F2558" i="3"/>
  <c r="J2558" i="3"/>
  <c r="D2558" i="3"/>
  <c r="K2558" i="3"/>
  <c r="E2558" i="3"/>
  <c r="I2557" i="3"/>
  <c r="H2557" i="3" s="1"/>
  <c r="C2557" i="3"/>
  <c r="B2557" i="3" s="1"/>
  <c r="A2559" i="3"/>
  <c r="F2559" i="3" l="1"/>
  <c r="L2559" i="3"/>
  <c r="J2559" i="3"/>
  <c r="K2559" i="3"/>
  <c r="D2559" i="3"/>
  <c r="E2559" i="3"/>
  <c r="C2558" i="3"/>
  <c r="B2558" i="3" s="1"/>
  <c r="I2558" i="3"/>
  <c r="H2558" i="3" s="1"/>
  <c r="A2560" i="3"/>
  <c r="L2560" i="3" l="1"/>
  <c r="F2560" i="3"/>
  <c r="J2560" i="3"/>
  <c r="D2560" i="3"/>
  <c r="K2560" i="3"/>
  <c r="E2560" i="3"/>
  <c r="C2559" i="3"/>
  <c r="B2559" i="3" s="1"/>
  <c r="I2559" i="3"/>
  <c r="H2559" i="3" s="1"/>
  <c r="A2561" i="3"/>
  <c r="L2561" i="3" l="1"/>
  <c r="F2561" i="3"/>
  <c r="J2561" i="3"/>
  <c r="D2561" i="3"/>
  <c r="K2561" i="3"/>
  <c r="E2561" i="3"/>
  <c r="I2560" i="3"/>
  <c r="H2560" i="3" s="1"/>
  <c r="C2560" i="3"/>
  <c r="B2560" i="3" s="1"/>
  <c r="A2562" i="3"/>
  <c r="L2562" i="3" l="1"/>
  <c r="F2562" i="3"/>
  <c r="J2562" i="3"/>
  <c r="D2562" i="3"/>
  <c r="K2562" i="3"/>
  <c r="E2562" i="3"/>
  <c r="I2561" i="3"/>
  <c r="H2561" i="3" s="1"/>
  <c r="C2561" i="3"/>
  <c r="B2561" i="3" s="1"/>
  <c r="A2563" i="3"/>
  <c r="L2563" i="3" l="1"/>
  <c r="F2563" i="3"/>
  <c r="J2563" i="3"/>
  <c r="D2563" i="3"/>
  <c r="K2563" i="3"/>
  <c r="E2563" i="3"/>
  <c r="C2562" i="3"/>
  <c r="B2562" i="3" s="1"/>
  <c r="I2562" i="3"/>
  <c r="H2562" i="3" s="1"/>
  <c r="A2564" i="3"/>
  <c r="L2564" i="3" l="1"/>
  <c r="F2564" i="3"/>
  <c r="J2564" i="3"/>
  <c r="D2564" i="3"/>
  <c r="K2564" i="3"/>
  <c r="E2564" i="3"/>
  <c r="C2563" i="3"/>
  <c r="B2563" i="3" s="1"/>
  <c r="I2563" i="3"/>
  <c r="H2563" i="3" s="1"/>
  <c r="A2565" i="3"/>
  <c r="L2565" i="3" l="1"/>
  <c r="F2565" i="3"/>
  <c r="J2565" i="3"/>
  <c r="D2565" i="3"/>
  <c r="K2565" i="3"/>
  <c r="E2565" i="3"/>
  <c r="I2564" i="3"/>
  <c r="H2564" i="3" s="1"/>
  <c r="C2564" i="3"/>
  <c r="B2564" i="3" s="1"/>
  <c r="A2566" i="3"/>
  <c r="L2566" i="3" l="1"/>
  <c r="F2566" i="3"/>
  <c r="J2566" i="3"/>
  <c r="D2566" i="3"/>
  <c r="K2566" i="3"/>
  <c r="E2566" i="3"/>
  <c r="C2565" i="3"/>
  <c r="B2565" i="3" s="1"/>
  <c r="I2565" i="3"/>
  <c r="H2565" i="3" s="1"/>
  <c r="A2567" i="3"/>
  <c r="L2567" i="3" l="1"/>
  <c r="F2567" i="3"/>
  <c r="J2567" i="3"/>
  <c r="D2567" i="3"/>
  <c r="K2567" i="3"/>
  <c r="E2567" i="3"/>
  <c r="I2566" i="3"/>
  <c r="H2566" i="3" s="1"/>
  <c r="C2566" i="3"/>
  <c r="B2566" i="3" s="1"/>
  <c r="A2568" i="3"/>
  <c r="L2568" i="3" l="1"/>
  <c r="F2568" i="3"/>
  <c r="J2568" i="3"/>
  <c r="D2568" i="3"/>
  <c r="K2568" i="3"/>
  <c r="E2568" i="3"/>
  <c r="C2567" i="3"/>
  <c r="B2567" i="3" s="1"/>
  <c r="I2567" i="3"/>
  <c r="H2567" i="3" s="1"/>
  <c r="A2569" i="3"/>
  <c r="L2569" i="3" l="1"/>
  <c r="F2569" i="3"/>
  <c r="J2569" i="3"/>
  <c r="D2569" i="3"/>
  <c r="K2569" i="3"/>
  <c r="E2569" i="3"/>
  <c r="I2568" i="3"/>
  <c r="H2568" i="3" s="1"/>
  <c r="C2568" i="3"/>
  <c r="B2568" i="3" s="1"/>
  <c r="A2570" i="3"/>
  <c r="F2570" i="3" l="1"/>
  <c r="E2570" i="3"/>
  <c r="L2570" i="3"/>
  <c r="J2570" i="3"/>
  <c r="D2570" i="3"/>
  <c r="K2570" i="3"/>
  <c r="C2569" i="3"/>
  <c r="B2569" i="3" s="1"/>
  <c r="I2569" i="3"/>
  <c r="H2569" i="3" s="1"/>
  <c r="A2571" i="3"/>
  <c r="L2571" i="3" l="1"/>
  <c r="F2571" i="3"/>
  <c r="D2571" i="3"/>
  <c r="E2571" i="3"/>
  <c r="J2571" i="3"/>
  <c r="K2571" i="3"/>
  <c r="C2570" i="3"/>
  <c r="B2570" i="3" s="1"/>
  <c r="I2570" i="3"/>
  <c r="H2570" i="3" s="1"/>
  <c r="A2572" i="3"/>
  <c r="L2572" i="3" l="1"/>
  <c r="F2572" i="3"/>
  <c r="J2572" i="3"/>
  <c r="D2572" i="3"/>
  <c r="K2572" i="3"/>
  <c r="E2572" i="3"/>
  <c r="I2571" i="3"/>
  <c r="H2571" i="3" s="1"/>
  <c r="C2571" i="3"/>
  <c r="B2571" i="3" s="1"/>
  <c r="A2573" i="3"/>
  <c r="L2573" i="3" l="1"/>
  <c r="F2573" i="3"/>
  <c r="J2573" i="3"/>
  <c r="D2573" i="3"/>
  <c r="K2573" i="3"/>
  <c r="E2573" i="3"/>
  <c r="C2572" i="3"/>
  <c r="B2572" i="3" s="1"/>
  <c r="I2572" i="3"/>
  <c r="H2572" i="3" s="1"/>
  <c r="A2574" i="3"/>
  <c r="L2574" i="3" l="1"/>
  <c r="F2574" i="3"/>
  <c r="J2574" i="3"/>
  <c r="D2574" i="3"/>
  <c r="K2574" i="3"/>
  <c r="E2574" i="3"/>
  <c r="C2573" i="3"/>
  <c r="B2573" i="3" s="1"/>
  <c r="I2573" i="3"/>
  <c r="H2573" i="3" s="1"/>
  <c r="A2575" i="3"/>
  <c r="L2575" i="3" l="1"/>
  <c r="F2575" i="3"/>
  <c r="J2575" i="3"/>
  <c r="D2575" i="3"/>
  <c r="K2575" i="3"/>
  <c r="E2575" i="3"/>
  <c r="I2574" i="3"/>
  <c r="H2574" i="3" s="1"/>
  <c r="C2574" i="3"/>
  <c r="B2574" i="3" s="1"/>
  <c r="A2576" i="3"/>
  <c r="L2576" i="3" l="1"/>
  <c r="F2576" i="3"/>
  <c r="J2576" i="3"/>
  <c r="D2576" i="3"/>
  <c r="K2576" i="3"/>
  <c r="E2576" i="3"/>
  <c r="C2575" i="3"/>
  <c r="B2575" i="3" s="1"/>
  <c r="I2575" i="3"/>
  <c r="H2575" i="3" s="1"/>
  <c r="A2577" i="3"/>
  <c r="F2577" i="3" l="1"/>
  <c r="L2577" i="3"/>
  <c r="J2577" i="3"/>
  <c r="D2577" i="3"/>
  <c r="K2577" i="3"/>
  <c r="E2577" i="3"/>
  <c r="C2576" i="3"/>
  <c r="B2576" i="3" s="1"/>
  <c r="I2576" i="3"/>
  <c r="H2576" i="3" s="1"/>
  <c r="A2578" i="3"/>
  <c r="L2578" i="3" l="1"/>
  <c r="F2578" i="3"/>
  <c r="J2578" i="3"/>
  <c r="D2578" i="3"/>
  <c r="K2578" i="3"/>
  <c r="E2578" i="3"/>
  <c r="C2577" i="3"/>
  <c r="B2577" i="3" s="1"/>
  <c r="I2577" i="3"/>
  <c r="H2577" i="3" s="1"/>
  <c r="A2579" i="3"/>
  <c r="L2579" i="3" l="1"/>
  <c r="F2579" i="3"/>
  <c r="J2579" i="3"/>
  <c r="D2579" i="3"/>
  <c r="K2579" i="3"/>
  <c r="E2579" i="3"/>
  <c r="C2578" i="3"/>
  <c r="B2578" i="3" s="1"/>
  <c r="I2578" i="3"/>
  <c r="H2578" i="3" s="1"/>
  <c r="A2580" i="3"/>
  <c r="L2580" i="3" l="1"/>
  <c r="F2580" i="3"/>
  <c r="J2580" i="3"/>
  <c r="D2580" i="3"/>
  <c r="K2580" i="3"/>
  <c r="E2580" i="3"/>
  <c r="I2579" i="3"/>
  <c r="H2579" i="3" s="1"/>
  <c r="C2579" i="3"/>
  <c r="B2579" i="3" s="1"/>
  <c r="A2581" i="3"/>
  <c r="L2581" i="3" l="1"/>
  <c r="F2581" i="3"/>
  <c r="J2581" i="3"/>
  <c r="D2581" i="3"/>
  <c r="K2581" i="3"/>
  <c r="E2581" i="3"/>
  <c r="C2580" i="3"/>
  <c r="B2580" i="3" s="1"/>
  <c r="I2580" i="3"/>
  <c r="H2580" i="3" s="1"/>
  <c r="A2582" i="3"/>
  <c r="L2582" i="3" l="1"/>
  <c r="F2582" i="3"/>
  <c r="J2582" i="3"/>
  <c r="D2582" i="3"/>
  <c r="K2582" i="3"/>
  <c r="E2582" i="3"/>
  <c r="I2581" i="3"/>
  <c r="H2581" i="3" s="1"/>
  <c r="C2581" i="3"/>
  <c r="B2581" i="3" s="1"/>
  <c r="A2583" i="3"/>
  <c r="L2583" i="3" l="1"/>
  <c r="F2583" i="3"/>
  <c r="D2583" i="3"/>
  <c r="J2583" i="3"/>
  <c r="E2583" i="3"/>
  <c r="K2583" i="3"/>
  <c r="I2582" i="3"/>
  <c r="H2582" i="3" s="1"/>
  <c r="A2584" i="3"/>
  <c r="C2582" i="3"/>
  <c r="B2582" i="3" s="1"/>
  <c r="L2584" i="3" l="1"/>
  <c r="F2584" i="3"/>
  <c r="J2584" i="3"/>
  <c r="D2584" i="3"/>
  <c r="K2584" i="3"/>
  <c r="E2584" i="3"/>
  <c r="I2583" i="3"/>
  <c r="H2583" i="3" s="1"/>
  <c r="C2583" i="3"/>
  <c r="B2583" i="3" s="1"/>
  <c r="A2585" i="3"/>
  <c r="L2585" i="3" l="1"/>
  <c r="F2585" i="3"/>
  <c r="J2585" i="3"/>
  <c r="D2585" i="3"/>
  <c r="K2585" i="3"/>
  <c r="E2585" i="3"/>
  <c r="I2584" i="3"/>
  <c r="H2584" i="3" s="1"/>
  <c r="A2586" i="3"/>
  <c r="C2584" i="3"/>
  <c r="B2584" i="3" s="1"/>
  <c r="L2586" i="3" l="1"/>
  <c r="F2586" i="3"/>
  <c r="J2586" i="3"/>
  <c r="D2586" i="3"/>
  <c r="K2586" i="3"/>
  <c r="E2586" i="3"/>
  <c r="I2585" i="3"/>
  <c r="H2585" i="3" s="1"/>
  <c r="C2585" i="3"/>
  <c r="B2585" i="3" s="1"/>
  <c r="A2587" i="3"/>
  <c r="L2587" i="3" l="1"/>
  <c r="F2587" i="3"/>
  <c r="D2587" i="3"/>
  <c r="J2587" i="3"/>
  <c r="E2587" i="3"/>
  <c r="K2587" i="3"/>
  <c r="C2586" i="3"/>
  <c r="B2586" i="3" s="1"/>
  <c r="I2586" i="3"/>
  <c r="H2586" i="3" s="1"/>
  <c r="A2588" i="3"/>
  <c r="L2588" i="3" l="1"/>
  <c r="F2588" i="3"/>
  <c r="J2588" i="3"/>
  <c r="D2588" i="3"/>
  <c r="K2588" i="3"/>
  <c r="E2588" i="3"/>
  <c r="C2587" i="3"/>
  <c r="B2587" i="3" s="1"/>
  <c r="I2587" i="3"/>
  <c r="H2587" i="3" s="1"/>
  <c r="A2589" i="3"/>
  <c r="L2589" i="3" l="1"/>
  <c r="F2589" i="3"/>
  <c r="J2589" i="3"/>
  <c r="D2589" i="3"/>
  <c r="K2589" i="3"/>
  <c r="E2589" i="3"/>
  <c r="C2588" i="3"/>
  <c r="B2588" i="3" s="1"/>
  <c r="I2588" i="3"/>
  <c r="H2588" i="3" s="1"/>
  <c r="A2590" i="3"/>
  <c r="L2590" i="3" l="1"/>
  <c r="F2590" i="3"/>
  <c r="J2590" i="3"/>
  <c r="K2590" i="3"/>
  <c r="D2590" i="3"/>
  <c r="E2590" i="3"/>
  <c r="I2589" i="3"/>
  <c r="H2589" i="3" s="1"/>
  <c r="C2589" i="3"/>
  <c r="B2589" i="3" s="1"/>
  <c r="A2591" i="3"/>
  <c r="L2591" i="3" l="1"/>
  <c r="F2591" i="3"/>
  <c r="J2591" i="3"/>
  <c r="D2591" i="3"/>
  <c r="K2591" i="3"/>
  <c r="E2591" i="3"/>
  <c r="I2590" i="3"/>
  <c r="H2590" i="3" s="1"/>
  <c r="A2592" i="3"/>
  <c r="C2590" i="3"/>
  <c r="B2590" i="3" s="1"/>
  <c r="F2592" i="3" l="1"/>
  <c r="E2592" i="3"/>
  <c r="L2592" i="3"/>
  <c r="J2592" i="3"/>
  <c r="D2592" i="3"/>
  <c r="K2592" i="3"/>
  <c r="I2591" i="3"/>
  <c r="H2591" i="3" s="1"/>
  <c r="C2591" i="3"/>
  <c r="B2591" i="3" s="1"/>
  <c r="A2593" i="3"/>
  <c r="L2593" i="3" l="1"/>
  <c r="F2593" i="3"/>
  <c r="J2593" i="3"/>
  <c r="D2593" i="3"/>
  <c r="K2593" i="3"/>
  <c r="E2593" i="3"/>
  <c r="I2592" i="3"/>
  <c r="H2592" i="3" s="1"/>
  <c r="C2592" i="3"/>
  <c r="B2592" i="3" s="1"/>
  <c r="A2594" i="3"/>
  <c r="L2594" i="3" l="1"/>
  <c r="F2594" i="3"/>
  <c r="J2594" i="3"/>
  <c r="D2594" i="3"/>
  <c r="K2594" i="3"/>
  <c r="E2594" i="3"/>
  <c r="I2593" i="3"/>
  <c r="H2593" i="3" s="1"/>
  <c r="C2593" i="3"/>
  <c r="B2593" i="3" s="1"/>
  <c r="A2595" i="3"/>
  <c r="L2595" i="3" l="1"/>
  <c r="F2595" i="3"/>
  <c r="J2595" i="3"/>
  <c r="D2595" i="3"/>
  <c r="K2595" i="3"/>
  <c r="E2595" i="3"/>
  <c r="I2594" i="3"/>
  <c r="H2594" i="3" s="1"/>
  <c r="C2594" i="3"/>
  <c r="B2594" i="3" s="1"/>
  <c r="A2596" i="3"/>
  <c r="L2596" i="3" l="1"/>
  <c r="F2596" i="3"/>
  <c r="J2596" i="3"/>
  <c r="D2596" i="3"/>
  <c r="K2596" i="3"/>
  <c r="E2596" i="3"/>
  <c r="C2595" i="3"/>
  <c r="B2595" i="3" s="1"/>
  <c r="A2597" i="3"/>
  <c r="I2595" i="3"/>
  <c r="H2595" i="3" s="1"/>
  <c r="L2597" i="3" l="1"/>
  <c r="F2597" i="3"/>
  <c r="J2597" i="3"/>
  <c r="D2597" i="3"/>
  <c r="K2597" i="3"/>
  <c r="E2597" i="3"/>
  <c r="C2596" i="3"/>
  <c r="B2596" i="3" s="1"/>
  <c r="I2596" i="3"/>
  <c r="H2596" i="3" s="1"/>
  <c r="A2598" i="3"/>
  <c r="L2598" i="3" l="1"/>
  <c r="F2598" i="3"/>
  <c r="J2598" i="3"/>
  <c r="D2598" i="3"/>
  <c r="K2598" i="3"/>
  <c r="E2598" i="3"/>
  <c r="I2597" i="3"/>
  <c r="H2597" i="3" s="1"/>
  <c r="A2599" i="3"/>
  <c r="C2597" i="3"/>
  <c r="B2597" i="3" s="1"/>
  <c r="F2599" i="3" l="1"/>
  <c r="L2599" i="3"/>
  <c r="J2599" i="3"/>
  <c r="D2599" i="3"/>
  <c r="K2599" i="3"/>
  <c r="E2599" i="3"/>
  <c r="I2598" i="3"/>
  <c r="H2598" i="3" s="1"/>
  <c r="C2598" i="3"/>
  <c r="B2598" i="3" s="1"/>
  <c r="A2600" i="3"/>
  <c r="L2600" i="3" l="1"/>
  <c r="F2600" i="3"/>
  <c r="J2600" i="3"/>
  <c r="D2600" i="3"/>
  <c r="K2600" i="3"/>
  <c r="E2600" i="3"/>
  <c r="I2599" i="3"/>
  <c r="H2599" i="3" s="1"/>
  <c r="A2601" i="3"/>
  <c r="C2599" i="3"/>
  <c r="B2599" i="3" s="1"/>
  <c r="L2601" i="3" l="1"/>
  <c r="F2601" i="3"/>
  <c r="J2601" i="3"/>
  <c r="D2601" i="3"/>
  <c r="K2601" i="3"/>
  <c r="E2601" i="3"/>
  <c r="I2600" i="3"/>
  <c r="H2600" i="3" s="1"/>
  <c r="C2600" i="3"/>
  <c r="B2600" i="3" s="1"/>
  <c r="A2602" i="3"/>
  <c r="L2602" i="3" l="1"/>
  <c r="F2602" i="3"/>
  <c r="D2602" i="3"/>
  <c r="E2602" i="3"/>
  <c r="J2602" i="3"/>
  <c r="K2602" i="3"/>
  <c r="I2601" i="3"/>
  <c r="H2601" i="3" s="1"/>
  <c r="A2603" i="3"/>
  <c r="C2601" i="3"/>
  <c r="B2601" i="3" s="1"/>
  <c r="L2603" i="3" l="1"/>
  <c r="F2603" i="3"/>
  <c r="J2603" i="3"/>
  <c r="D2603" i="3"/>
  <c r="K2603" i="3"/>
  <c r="E2603" i="3"/>
  <c r="C2602" i="3"/>
  <c r="B2602" i="3" s="1"/>
  <c r="I2602" i="3"/>
  <c r="H2602" i="3" s="1"/>
  <c r="A2604" i="3"/>
  <c r="L2604" i="3" l="1"/>
  <c r="F2604" i="3"/>
  <c r="J2604" i="3"/>
  <c r="D2604" i="3"/>
  <c r="K2604" i="3"/>
  <c r="E2604" i="3"/>
  <c r="C2603" i="3"/>
  <c r="B2603" i="3" s="1"/>
  <c r="I2603" i="3"/>
  <c r="H2603" i="3" s="1"/>
  <c r="A2605" i="3"/>
  <c r="L2605" i="3" l="1"/>
  <c r="F2605" i="3"/>
  <c r="J2605" i="3"/>
  <c r="D2605" i="3"/>
  <c r="K2605" i="3"/>
  <c r="E2605" i="3"/>
  <c r="C2604" i="3"/>
  <c r="B2604" i="3" s="1"/>
  <c r="I2604" i="3"/>
  <c r="H2604" i="3" s="1"/>
  <c r="A2606" i="3"/>
  <c r="L2606" i="3" l="1"/>
  <c r="F2606" i="3"/>
  <c r="J2606" i="3"/>
  <c r="D2606" i="3"/>
  <c r="K2606" i="3"/>
  <c r="E2606" i="3"/>
  <c r="C2605" i="3"/>
  <c r="B2605" i="3" s="1"/>
  <c r="I2605" i="3"/>
  <c r="H2605" i="3" s="1"/>
  <c r="A2607" i="3"/>
  <c r="L2607" i="3" l="1"/>
  <c r="F2607" i="3"/>
  <c r="J2607" i="3"/>
  <c r="D2607" i="3"/>
  <c r="K2607" i="3"/>
  <c r="E2607" i="3"/>
  <c r="I2606" i="3"/>
  <c r="H2606" i="3" s="1"/>
  <c r="C2606" i="3"/>
  <c r="B2606" i="3" s="1"/>
  <c r="A2608" i="3"/>
  <c r="L2608" i="3" l="1"/>
  <c r="F2608" i="3"/>
  <c r="J2608" i="3"/>
  <c r="D2608" i="3"/>
  <c r="K2608" i="3"/>
  <c r="E2608" i="3"/>
  <c r="I2607" i="3"/>
  <c r="H2607" i="3" s="1"/>
  <c r="C2607" i="3"/>
  <c r="B2607" i="3" s="1"/>
  <c r="A2609" i="3"/>
  <c r="L2609" i="3" l="1"/>
  <c r="F2609" i="3"/>
  <c r="J2609" i="3"/>
  <c r="D2609" i="3"/>
  <c r="K2609" i="3"/>
  <c r="E2609" i="3"/>
  <c r="I2608" i="3"/>
  <c r="H2608" i="3" s="1"/>
  <c r="C2608" i="3"/>
  <c r="B2608" i="3" s="1"/>
  <c r="A2610" i="3"/>
  <c r="L2610" i="3" l="1"/>
  <c r="F2610" i="3"/>
  <c r="J2610" i="3"/>
  <c r="D2610" i="3"/>
  <c r="K2610" i="3"/>
  <c r="E2610" i="3"/>
  <c r="I2609" i="3"/>
  <c r="H2609" i="3" s="1"/>
  <c r="C2609" i="3"/>
  <c r="B2609" i="3" s="1"/>
  <c r="A2611" i="3"/>
  <c r="L2611" i="3" l="1"/>
  <c r="F2611" i="3"/>
  <c r="J2611" i="3"/>
  <c r="D2611" i="3"/>
  <c r="K2611" i="3"/>
  <c r="E2611" i="3"/>
  <c r="C2610" i="3"/>
  <c r="B2610" i="3" s="1"/>
  <c r="I2610" i="3"/>
  <c r="H2610" i="3" s="1"/>
  <c r="A2612" i="3"/>
  <c r="F2612" i="3" l="1"/>
  <c r="E2612" i="3"/>
  <c r="L2612" i="3"/>
  <c r="J2612" i="3"/>
  <c r="D2612" i="3"/>
  <c r="K2612" i="3"/>
  <c r="I2611" i="3"/>
  <c r="H2611" i="3" s="1"/>
  <c r="C2611" i="3"/>
  <c r="B2611" i="3" s="1"/>
  <c r="A2613" i="3"/>
  <c r="L2613" i="3" l="1"/>
  <c r="F2613" i="3"/>
  <c r="J2613" i="3"/>
  <c r="D2613" i="3"/>
  <c r="K2613" i="3"/>
  <c r="E2613" i="3"/>
  <c r="I2612" i="3"/>
  <c r="H2612" i="3" s="1"/>
  <c r="C2612" i="3"/>
  <c r="B2612" i="3" s="1"/>
  <c r="A2614" i="3"/>
  <c r="L2614" i="3" l="1"/>
  <c r="F2614" i="3"/>
  <c r="J2614" i="3"/>
  <c r="D2614" i="3"/>
  <c r="K2614" i="3"/>
  <c r="E2614" i="3"/>
  <c r="I2613" i="3"/>
  <c r="H2613" i="3" s="1"/>
  <c r="C2613" i="3"/>
  <c r="B2613" i="3" s="1"/>
  <c r="A2615" i="3"/>
  <c r="L2615" i="3" l="1"/>
  <c r="F2615" i="3"/>
  <c r="J2615" i="3"/>
  <c r="D2615" i="3"/>
  <c r="K2615" i="3"/>
  <c r="E2615" i="3"/>
  <c r="I2614" i="3"/>
  <c r="H2614" i="3" s="1"/>
  <c r="C2614" i="3"/>
  <c r="B2614" i="3" s="1"/>
  <c r="A2616" i="3"/>
  <c r="L2616" i="3" l="1"/>
  <c r="F2616" i="3"/>
  <c r="J2616" i="3"/>
  <c r="D2616" i="3"/>
  <c r="K2616" i="3"/>
  <c r="E2616" i="3"/>
  <c r="I2615" i="3"/>
  <c r="H2615" i="3" s="1"/>
  <c r="C2615" i="3"/>
  <c r="B2615" i="3" s="1"/>
  <c r="A2617" i="3"/>
  <c r="L2617" i="3" l="1"/>
  <c r="F2617" i="3"/>
  <c r="D2617" i="3"/>
  <c r="J2617" i="3"/>
  <c r="E2617" i="3"/>
  <c r="K2617" i="3"/>
  <c r="I2616" i="3"/>
  <c r="H2616" i="3" s="1"/>
  <c r="A2618" i="3"/>
  <c r="C2616" i="3"/>
  <c r="B2616" i="3" s="1"/>
  <c r="L2618" i="3" l="1"/>
  <c r="F2618" i="3"/>
  <c r="J2618" i="3"/>
  <c r="D2618" i="3"/>
  <c r="K2618" i="3"/>
  <c r="E2618" i="3"/>
  <c r="I2617" i="3"/>
  <c r="H2617" i="3" s="1"/>
  <c r="C2617" i="3"/>
  <c r="B2617" i="3" s="1"/>
  <c r="A2619" i="3"/>
  <c r="F2619" i="3" l="1"/>
  <c r="L2619" i="3"/>
  <c r="J2619" i="3"/>
  <c r="D2619" i="3"/>
  <c r="K2619" i="3"/>
  <c r="E2619" i="3"/>
  <c r="C2618" i="3"/>
  <c r="B2618" i="3" s="1"/>
  <c r="I2618" i="3"/>
  <c r="H2618" i="3" s="1"/>
  <c r="A2620" i="3"/>
  <c r="L2620" i="3" l="1"/>
  <c r="F2620" i="3"/>
  <c r="J2620" i="3"/>
  <c r="D2620" i="3"/>
  <c r="K2620" i="3"/>
  <c r="E2620" i="3"/>
  <c r="I2619" i="3"/>
  <c r="H2619" i="3" s="1"/>
  <c r="C2619" i="3"/>
  <c r="B2619" i="3" s="1"/>
  <c r="A2621" i="3"/>
  <c r="L2621" i="3" l="1"/>
  <c r="F2621" i="3"/>
  <c r="J2621" i="3"/>
  <c r="D2621" i="3"/>
  <c r="K2621" i="3"/>
  <c r="E2621" i="3"/>
  <c r="I2620" i="3"/>
  <c r="H2620" i="3" s="1"/>
  <c r="C2620" i="3"/>
  <c r="B2620" i="3" s="1"/>
  <c r="A2622" i="3"/>
  <c r="L2622" i="3" l="1"/>
  <c r="F2622" i="3"/>
  <c r="J2622" i="3"/>
  <c r="D2622" i="3"/>
  <c r="K2622" i="3"/>
  <c r="E2622" i="3"/>
  <c r="I2621" i="3"/>
  <c r="H2621" i="3" s="1"/>
  <c r="C2621" i="3"/>
  <c r="B2621" i="3" s="1"/>
  <c r="A2623" i="3"/>
  <c r="L2623" i="3" l="1"/>
  <c r="F2623" i="3"/>
  <c r="J2623" i="3"/>
  <c r="D2623" i="3"/>
  <c r="K2623" i="3"/>
  <c r="E2623" i="3"/>
  <c r="I2622" i="3"/>
  <c r="H2622" i="3" s="1"/>
  <c r="C2622" i="3"/>
  <c r="B2622" i="3" s="1"/>
  <c r="A2624" i="3"/>
  <c r="L2624" i="3" l="1"/>
  <c r="F2624" i="3"/>
  <c r="J2624" i="3"/>
  <c r="D2624" i="3"/>
  <c r="K2624" i="3"/>
  <c r="E2624" i="3"/>
  <c r="I2623" i="3"/>
  <c r="H2623" i="3" s="1"/>
  <c r="C2623" i="3"/>
  <c r="B2623" i="3" s="1"/>
  <c r="A2625" i="3"/>
  <c r="L2625" i="3" l="1"/>
  <c r="F2625" i="3"/>
  <c r="J2625" i="3"/>
  <c r="D2625" i="3"/>
  <c r="K2625" i="3"/>
  <c r="E2625" i="3"/>
  <c r="I2624" i="3"/>
  <c r="H2624" i="3" s="1"/>
  <c r="A2626" i="3"/>
  <c r="C2624" i="3"/>
  <c r="B2624" i="3" s="1"/>
  <c r="L2626" i="3" l="1"/>
  <c r="F2626" i="3"/>
  <c r="J2626" i="3"/>
  <c r="D2626" i="3"/>
  <c r="K2626" i="3"/>
  <c r="E2626" i="3"/>
  <c r="C2625" i="3"/>
  <c r="B2625" i="3" s="1"/>
  <c r="I2625" i="3"/>
  <c r="H2625" i="3" s="1"/>
  <c r="A2627" i="3"/>
  <c r="L2627" i="3" l="1"/>
  <c r="F2627" i="3"/>
  <c r="J2627" i="3"/>
  <c r="D2627" i="3"/>
  <c r="K2627" i="3"/>
  <c r="E2627" i="3"/>
  <c r="I2626" i="3"/>
  <c r="H2626" i="3" s="1"/>
  <c r="C2626" i="3"/>
  <c r="B2626" i="3" s="1"/>
  <c r="A2628" i="3"/>
  <c r="L2628" i="3" l="1"/>
  <c r="F2628" i="3"/>
  <c r="J2628" i="3"/>
  <c r="D2628" i="3"/>
  <c r="K2628" i="3"/>
  <c r="E2628" i="3"/>
  <c r="C2627" i="3"/>
  <c r="B2627" i="3" s="1"/>
  <c r="I2627" i="3"/>
  <c r="H2627" i="3" s="1"/>
  <c r="A2629" i="3"/>
  <c r="L2629" i="3" l="1"/>
  <c r="F2629" i="3"/>
  <c r="J2629" i="3"/>
  <c r="D2629" i="3"/>
  <c r="K2629" i="3"/>
  <c r="E2629" i="3"/>
  <c r="I2628" i="3"/>
  <c r="H2628" i="3" s="1"/>
  <c r="C2628" i="3"/>
  <c r="B2628" i="3" s="1"/>
  <c r="A2630" i="3"/>
  <c r="L2630" i="3" l="1"/>
  <c r="F2630" i="3"/>
  <c r="J2630" i="3"/>
  <c r="D2630" i="3"/>
  <c r="K2630" i="3"/>
  <c r="E2630" i="3"/>
  <c r="I2629" i="3"/>
  <c r="H2629" i="3" s="1"/>
  <c r="C2629" i="3"/>
  <c r="B2629" i="3" s="1"/>
  <c r="A2631" i="3"/>
  <c r="L2631" i="3" l="1"/>
  <c r="F2631" i="3"/>
  <c r="J2631" i="3"/>
  <c r="D2631" i="3"/>
  <c r="K2631" i="3"/>
  <c r="E2631" i="3"/>
  <c r="C2630" i="3"/>
  <c r="B2630" i="3" s="1"/>
  <c r="I2630" i="3"/>
  <c r="H2630" i="3" s="1"/>
  <c r="A2632" i="3"/>
  <c r="F2632" i="3" l="1"/>
  <c r="E2632" i="3"/>
  <c r="L2632" i="3"/>
  <c r="D2632" i="3"/>
  <c r="J2632" i="3"/>
  <c r="K2632" i="3"/>
  <c r="C2631" i="3"/>
  <c r="B2631" i="3" s="1"/>
  <c r="I2631" i="3"/>
  <c r="H2631" i="3" s="1"/>
  <c r="A2633" i="3"/>
  <c r="L2633" i="3" l="1"/>
  <c r="F2633" i="3"/>
  <c r="J2633" i="3"/>
  <c r="D2633" i="3"/>
  <c r="K2633" i="3"/>
  <c r="E2633" i="3"/>
  <c r="C2632" i="3"/>
  <c r="B2632" i="3" s="1"/>
  <c r="I2632" i="3"/>
  <c r="H2632" i="3" s="1"/>
  <c r="A2634" i="3"/>
  <c r="L2634" i="3" l="1"/>
  <c r="F2634" i="3"/>
  <c r="J2634" i="3"/>
  <c r="D2634" i="3"/>
  <c r="K2634" i="3"/>
  <c r="E2634" i="3"/>
  <c r="C2633" i="3"/>
  <c r="B2633" i="3" s="1"/>
  <c r="I2633" i="3"/>
  <c r="H2633" i="3" s="1"/>
  <c r="A2635" i="3"/>
  <c r="L2635" i="3" l="1"/>
  <c r="F2635" i="3"/>
  <c r="J2635" i="3"/>
  <c r="D2635" i="3"/>
  <c r="K2635" i="3"/>
  <c r="E2635" i="3"/>
  <c r="I2634" i="3"/>
  <c r="H2634" i="3" s="1"/>
  <c r="A2636" i="3"/>
  <c r="C2634" i="3"/>
  <c r="B2634" i="3" s="1"/>
  <c r="L2636" i="3" l="1"/>
  <c r="F2636" i="3"/>
  <c r="J2636" i="3"/>
  <c r="D2636" i="3"/>
  <c r="K2636" i="3"/>
  <c r="E2636" i="3"/>
  <c r="I2635" i="3"/>
  <c r="H2635" i="3" s="1"/>
  <c r="C2635" i="3"/>
  <c r="B2635" i="3" s="1"/>
  <c r="A2637" i="3"/>
  <c r="L2637" i="3" l="1"/>
  <c r="F2637" i="3"/>
  <c r="J2637" i="3"/>
  <c r="D2637" i="3"/>
  <c r="K2637" i="3"/>
  <c r="E2637" i="3"/>
  <c r="C2636" i="3"/>
  <c r="B2636" i="3" s="1"/>
  <c r="I2636" i="3"/>
  <c r="H2636" i="3" s="1"/>
  <c r="A2638" i="3"/>
  <c r="L2638" i="3" l="1"/>
  <c r="F2638" i="3"/>
  <c r="J2638" i="3"/>
  <c r="D2638" i="3"/>
  <c r="K2638" i="3"/>
  <c r="E2638" i="3"/>
  <c r="C2637" i="3"/>
  <c r="B2637" i="3" s="1"/>
  <c r="I2637" i="3"/>
  <c r="H2637" i="3" s="1"/>
  <c r="A2639" i="3"/>
  <c r="F2639" i="3" l="1"/>
  <c r="L2639" i="3"/>
  <c r="J2639" i="3"/>
  <c r="D2639" i="3"/>
  <c r="K2639" i="3"/>
  <c r="E2639" i="3"/>
  <c r="C2638" i="3"/>
  <c r="B2638" i="3" s="1"/>
  <c r="I2638" i="3"/>
  <c r="H2638" i="3" s="1"/>
  <c r="A2640" i="3"/>
  <c r="L2640" i="3" l="1"/>
  <c r="F2640" i="3"/>
  <c r="J2640" i="3"/>
  <c r="D2640" i="3"/>
  <c r="K2640" i="3"/>
  <c r="E2640" i="3"/>
  <c r="I2639" i="3"/>
  <c r="H2639" i="3" s="1"/>
  <c r="C2639" i="3"/>
  <c r="B2639" i="3" s="1"/>
  <c r="A2641" i="3"/>
  <c r="L2641" i="3" l="1"/>
  <c r="F2641" i="3"/>
  <c r="J2641" i="3"/>
  <c r="D2641" i="3"/>
  <c r="K2641" i="3"/>
  <c r="E2641" i="3"/>
  <c r="I2640" i="3"/>
  <c r="H2640" i="3" s="1"/>
  <c r="A2642" i="3"/>
  <c r="C2640" i="3"/>
  <c r="B2640" i="3" s="1"/>
  <c r="L2642" i="3" l="1"/>
  <c r="F2642" i="3"/>
  <c r="J2642" i="3"/>
  <c r="D2642" i="3"/>
  <c r="K2642" i="3"/>
  <c r="E2642" i="3"/>
  <c r="C2641" i="3"/>
  <c r="B2641" i="3" s="1"/>
  <c r="I2641" i="3"/>
  <c r="H2641" i="3" s="1"/>
  <c r="A2643" i="3"/>
  <c r="L2643" i="3" l="1"/>
  <c r="F2643" i="3"/>
  <c r="J2643" i="3"/>
  <c r="D2643" i="3"/>
  <c r="K2643" i="3"/>
  <c r="E2643" i="3"/>
  <c r="C2642" i="3"/>
  <c r="B2642" i="3" s="1"/>
  <c r="I2642" i="3"/>
  <c r="H2642" i="3" s="1"/>
  <c r="A2644" i="3"/>
  <c r="L2644" i="3" l="1"/>
  <c r="F2644" i="3"/>
  <c r="J2644" i="3"/>
  <c r="D2644" i="3"/>
  <c r="K2644" i="3"/>
  <c r="E2644" i="3"/>
  <c r="I2643" i="3"/>
  <c r="H2643" i="3" s="1"/>
  <c r="C2643" i="3"/>
  <c r="B2643" i="3" s="1"/>
  <c r="A2645" i="3"/>
  <c r="L2645" i="3" l="1"/>
  <c r="F2645" i="3"/>
  <c r="D2645" i="3"/>
  <c r="E2645" i="3"/>
  <c r="J2645" i="3"/>
  <c r="K2645" i="3"/>
  <c r="C2644" i="3"/>
  <c r="B2644" i="3" s="1"/>
  <c r="I2644" i="3"/>
  <c r="H2644" i="3" s="1"/>
  <c r="A2646" i="3"/>
  <c r="L2646" i="3" l="1"/>
  <c r="F2646" i="3"/>
  <c r="J2646" i="3"/>
  <c r="D2646" i="3"/>
  <c r="K2646" i="3"/>
  <c r="E2646" i="3"/>
  <c r="I2645" i="3"/>
  <c r="H2645" i="3" s="1"/>
  <c r="C2645" i="3"/>
  <c r="B2645" i="3" s="1"/>
  <c r="A2647" i="3"/>
  <c r="L2647" i="3" l="1"/>
  <c r="F2647" i="3"/>
  <c r="J2647" i="3"/>
  <c r="D2647" i="3"/>
  <c r="K2647" i="3"/>
  <c r="E2647" i="3"/>
  <c r="I2646" i="3"/>
  <c r="H2646" i="3" s="1"/>
  <c r="A2648" i="3"/>
  <c r="C2646" i="3"/>
  <c r="B2646" i="3" s="1"/>
  <c r="L2648" i="3" l="1"/>
  <c r="F2648" i="3"/>
  <c r="J2648" i="3"/>
  <c r="D2648" i="3"/>
  <c r="K2648" i="3"/>
  <c r="E2648" i="3"/>
  <c r="I2647" i="3"/>
  <c r="H2647" i="3" s="1"/>
  <c r="A2649" i="3"/>
  <c r="C2647" i="3"/>
  <c r="B2647" i="3" s="1"/>
  <c r="L2649" i="3" l="1"/>
  <c r="F2649" i="3"/>
  <c r="J2649" i="3"/>
  <c r="D2649" i="3"/>
  <c r="K2649" i="3"/>
  <c r="E2649" i="3"/>
  <c r="I2648" i="3"/>
  <c r="H2648" i="3" s="1"/>
  <c r="C2648" i="3"/>
  <c r="B2648" i="3" s="1"/>
  <c r="A2650" i="3"/>
  <c r="L2650" i="3" l="1"/>
  <c r="F2650" i="3"/>
  <c r="J2650" i="3"/>
  <c r="D2650" i="3"/>
  <c r="K2650" i="3"/>
  <c r="E2650" i="3"/>
  <c r="I2649" i="3"/>
  <c r="H2649" i="3" s="1"/>
  <c r="C2649" i="3"/>
  <c r="B2649" i="3" s="1"/>
  <c r="A2651" i="3"/>
  <c r="L2651" i="3" l="1"/>
  <c r="F2651" i="3"/>
  <c r="J2651" i="3"/>
  <c r="D2651" i="3"/>
  <c r="K2651" i="3"/>
  <c r="E2651" i="3"/>
  <c r="I2650" i="3"/>
  <c r="H2650" i="3" s="1"/>
  <c r="C2650" i="3"/>
  <c r="B2650" i="3" s="1"/>
  <c r="A2652" i="3"/>
  <c r="L2652" i="3" l="1"/>
  <c r="F2652" i="3"/>
  <c r="J2652" i="3"/>
  <c r="D2652" i="3"/>
  <c r="K2652" i="3"/>
  <c r="E2652" i="3"/>
  <c r="C2651" i="3"/>
  <c r="B2651" i="3" s="1"/>
  <c r="I2651" i="3"/>
  <c r="H2651" i="3" s="1"/>
  <c r="A2653" i="3"/>
  <c r="F2653" i="3" l="1"/>
  <c r="E2653" i="3"/>
  <c r="L2653" i="3"/>
  <c r="J2653" i="3"/>
  <c r="D2653" i="3"/>
  <c r="K2653" i="3"/>
  <c r="C2652" i="3"/>
  <c r="B2652" i="3" s="1"/>
  <c r="I2652" i="3"/>
  <c r="H2652" i="3" s="1"/>
  <c r="A2654" i="3"/>
  <c r="L2654" i="3" l="1"/>
  <c r="F2654" i="3"/>
  <c r="J2654" i="3"/>
  <c r="D2654" i="3"/>
  <c r="K2654" i="3"/>
  <c r="E2654" i="3"/>
  <c r="C2653" i="3"/>
  <c r="B2653" i="3" s="1"/>
  <c r="A2655" i="3"/>
  <c r="I2653" i="3"/>
  <c r="H2653" i="3" s="1"/>
  <c r="L2655" i="3" l="1"/>
  <c r="F2655" i="3"/>
  <c r="J2655" i="3"/>
  <c r="D2655" i="3"/>
  <c r="K2655" i="3"/>
  <c r="E2655" i="3"/>
  <c r="C2654" i="3"/>
  <c r="B2654" i="3" s="1"/>
  <c r="I2654" i="3"/>
  <c r="H2654" i="3" s="1"/>
  <c r="A2656" i="3"/>
  <c r="L2656" i="3" l="1"/>
  <c r="F2656" i="3"/>
  <c r="J2656" i="3"/>
  <c r="D2656" i="3"/>
  <c r="K2656" i="3"/>
  <c r="E2656" i="3"/>
  <c r="I2655" i="3"/>
  <c r="H2655" i="3" s="1"/>
  <c r="C2655" i="3"/>
  <c r="B2655" i="3" s="1"/>
  <c r="A2657" i="3"/>
  <c r="L2657" i="3" l="1"/>
  <c r="F2657" i="3"/>
  <c r="J2657" i="3"/>
  <c r="D2657" i="3"/>
  <c r="K2657" i="3"/>
  <c r="E2657" i="3"/>
  <c r="I2656" i="3"/>
  <c r="H2656" i="3" s="1"/>
  <c r="A2658" i="3"/>
  <c r="C2656" i="3"/>
  <c r="B2656" i="3" s="1"/>
  <c r="L2658" i="3" l="1"/>
  <c r="F2658" i="3"/>
  <c r="J2658" i="3"/>
  <c r="D2658" i="3"/>
  <c r="K2658" i="3"/>
  <c r="E2658" i="3"/>
  <c r="C2657" i="3"/>
  <c r="B2657" i="3" s="1"/>
  <c r="A2659" i="3"/>
  <c r="I2657" i="3"/>
  <c r="H2657" i="3" s="1"/>
  <c r="L2659" i="3" l="1"/>
  <c r="F2659" i="3"/>
  <c r="J2659" i="3"/>
  <c r="D2659" i="3"/>
  <c r="K2659" i="3"/>
  <c r="E2659" i="3"/>
  <c r="C2658" i="3"/>
  <c r="B2658" i="3" s="1"/>
  <c r="I2658" i="3"/>
  <c r="H2658" i="3" s="1"/>
  <c r="A2660" i="3"/>
  <c r="F2660" i="3" l="1"/>
  <c r="L2660" i="3"/>
  <c r="J2660" i="3"/>
  <c r="D2660" i="3"/>
  <c r="K2660" i="3"/>
  <c r="E2660" i="3"/>
  <c r="C2659" i="3"/>
  <c r="B2659" i="3" s="1"/>
  <c r="I2659" i="3"/>
  <c r="H2659" i="3" s="1"/>
  <c r="A2661" i="3"/>
  <c r="L2661" i="3" l="1"/>
  <c r="F2661" i="3"/>
  <c r="J2661" i="3"/>
  <c r="D2661" i="3"/>
  <c r="K2661" i="3"/>
  <c r="E2661" i="3"/>
  <c r="C2660" i="3"/>
  <c r="B2660" i="3" s="1"/>
  <c r="A2662" i="3"/>
  <c r="I2660" i="3"/>
  <c r="H2660" i="3" s="1"/>
  <c r="L2662" i="3" l="1"/>
  <c r="F2662" i="3"/>
  <c r="J2662" i="3"/>
  <c r="D2662" i="3"/>
  <c r="K2662" i="3"/>
  <c r="E2662" i="3"/>
  <c r="I2661" i="3"/>
  <c r="H2661" i="3" s="1"/>
  <c r="A2663" i="3"/>
  <c r="C2661" i="3"/>
  <c r="B2661" i="3" s="1"/>
  <c r="L2663" i="3" l="1"/>
  <c r="F2663" i="3"/>
  <c r="J2663" i="3"/>
  <c r="D2663" i="3"/>
  <c r="K2663" i="3"/>
  <c r="E2663" i="3"/>
  <c r="C2662" i="3"/>
  <c r="B2662" i="3" s="1"/>
  <c r="I2662" i="3"/>
  <c r="H2662" i="3" s="1"/>
  <c r="A2664" i="3"/>
  <c r="L2664" i="3" l="1"/>
  <c r="F2664" i="3"/>
  <c r="J2664" i="3"/>
  <c r="D2664" i="3"/>
  <c r="K2664" i="3"/>
  <c r="E2664" i="3"/>
  <c r="C2663" i="3"/>
  <c r="B2663" i="3" s="1"/>
  <c r="I2663" i="3"/>
  <c r="H2663" i="3" s="1"/>
  <c r="A2665" i="3"/>
  <c r="L2665" i="3" l="1"/>
  <c r="F2665" i="3"/>
  <c r="D2665" i="3"/>
  <c r="J2665" i="3"/>
  <c r="E2665" i="3"/>
  <c r="K2665" i="3"/>
  <c r="I2664" i="3"/>
  <c r="H2664" i="3" s="1"/>
  <c r="C2664" i="3"/>
  <c r="B2664" i="3" s="1"/>
  <c r="A2666" i="3"/>
  <c r="L2666" i="3" l="1"/>
  <c r="F2666" i="3"/>
  <c r="J2666" i="3"/>
  <c r="D2666" i="3"/>
  <c r="K2666" i="3"/>
  <c r="E2666" i="3"/>
  <c r="I2665" i="3"/>
  <c r="H2665" i="3" s="1"/>
  <c r="A2667" i="3"/>
  <c r="C2665" i="3"/>
  <c r="B2665" i="3" s="1"/>
  <c r="L2667" i="3" l="1"/>
  <c r="F2667" i="3"/>
  <c r="J2667" i="3"/>
  <c r="D2667" i="3"/>
  <c r="K2667" i="3"/>
  <c r="E2667" i="3"/>
  <c r="C2666" i="3"/>
  <c r="B2666" i="3" s="1"/>
  <c r="I2666" i="3"/>
  <c r="H2666" i="3" s="1"/>
  <c r="A2668" i="3"/>
  <c r="L2668" i="3" l="1"/>
  <c r="F2668" i="3"/>
  <c r="J2668" i="3"/>
  <c r="D2668" i="3"/>
  <c r="K2668" i="3"/>
  <c r="E2668" i="3"/>
  <c r="C2667" i="3"/>
  <c r="B2667" i="3" s="1"/>
  <c r="A2669" i="3"/>
  <c r="I2667" i="3"/>
  <c r="H2667" i="3" s="1"/>
  <c r="L2669" i="3" l="1"/>
  <c r="F2669" i="3"/>
  <c r="J2669" i="3"/>
  <c r="D2669" i="3"/>
  <c r="K2669" i="3"/>
  <c r="E2669" i="3"/>
  <c r="C2668" i="3"/>
  <c r="B2668" i="3" s="1"/>
  <c r="A2670" i="3"/>
  <c r="I2668" i="3"/>
  <c r="H2668" i="3" s="1"/>
  <c r="L2670" i="3" l="1"/>
  <c r="F2670" i="3"/>
  <c r="J2670" i="3"/>
  <c r="D2670" i="3"/>
  <c r="K2670" i="3"/>
  <c r="E2670" i="3"/>
  <c r="C2669" i="3"/>
  <c r="B2669" i="3" s="1"/>
  <c r="A2671" i="3"/>
  <c r="I2669" i="3"/>
  <c r="H2669" i="3" s="1"/>
  <c r="L2671" i="3" l="1"/>
  <c r="F2671" i="3"/>
  <c r="J2671" i="3"/>
  <c r="D2671" i="3"/>
  <c r="K2671" i="3"/>
  <c r="E2671" i="3"/>
  <c r="I2670" i="3"/>
  <c r="H2670" i="3" s="1"/>
  <c r="C2670" i="3"/>
  <c r="B2670" i="3" s="1"/>
  <c r="A2672" i="3"/>
  <c r="L2672" i="3" l="1"/>
  <c r="F2672" i="3"/>
  <c r="J2672" i="3"/>
  <c r="D2672" i="3"/>
  <c r="K2672" i="3"/>
  <c r="E2672" i="3"/>
  <c r="I2671" i="3"/>
  <c r="H2671" i="3" s="1"/>
  <c r="A2673" i="3"/>
  <c r="C2671" i="3"/>
  <c r="B2671" i="3" s="1"/>
  <c r="L2673" i="3" l="1"/>
  <c r="F2673" i="3"/>
  <c r="J2673" i="3"/>
  <c r="D2673" i="3"/>
  <c r="K2673" i="3"/>
  <c r="E2673" i="3"/>
  <c r="I2672" i="3"/>
  <c r="H2672" i="3" s="1"/>
  <c r="C2672" i="3"/>
  <c r="B2672" i="3" s="1"/>
  <c r="A2674" i="3"/>
  <c r="L2674" i="3" l="1"/>
  <c r="F2674" i="3"/>
  <c r="J2674" i="3"/>
  <c r="D2674" i="3"/>
  <c r="K2674" i="3"/>
  <c r="E2674" i="3"/>
  <c r="A2675" i="3"/>
  <c r="I2673" i="3"/>
  <c r="H2673" i="3" s="1"/>
  <c r="C2673" i="3"/>
  <c r="B2673" i="3" s="1"/>
  <c r="L2675" i="3" l="1"/>
  <c r="F2675" i="3"/>
  <c r="J2675" i="3"/>
  <c r="D2675" i="3"/>
  <c r="K2675" i="3"/>
  <c r="E2675" i="3"/>
  <c r="I2674" i="3"/>
  <c r="H2674" i="3" s="1"/>
  <c r="C2674" i="3"/>
  <c r="B2674" i="3" s="1"/>
  <c r="A2676" i="3"/>
  <c r="F2676" i="3" l="1"/>
  <c r="E2676" i="3"/>
  <c r="L2676" i="3"/>
  <c r="D2676" i="3"/>
  <c r="J2676" i="3"/>
  <c r="K2676" i="3"/>
  <c r="I2675" i="3"/>
  <c r="H2675" i="3" s="1"/>
  <c r="C2675" i="3"/>
  <c r="B2675" i="3" s="1"/>
  <c r="A2677" i="3"/>
  <c r="L2677" i="3" l="1"/>
  <c r="F2677" i="3"/>
  <c r="J2677" i="3"/>
  <c r="D2677" i="3"/>
  <c r="K2677" i="3"/>
  <c r="E2677" i="3"/>
  <c r="C2676" i="3"/>
  <c r="B2676" i="3" s="1"/>
  <c r="I2676" i="3"/>
  <c r="H2676" i="3" s="1"/>
  <c r="A2678" i="3"/>
  <c r="L2678" i="3" l="1"/>
  <c r="F2678" i="3"/>
  <c r="J2678" i="3"/>
  <c r="D2678" i="3"/>
  <c r="K2678" i="3"/>
  <c r="E2678" i="3"/>
  <c r="C2677" i="3"/>
  <c r="B2677" i="3" s="1"/>
  <c r="A2679" i="3"/>
  <c r="I2677" i="3"/>
  <c r="H2677" i="3" s="1"/>
  <c r="L2679" i="3" l="1"/>
  <c r="F2679" i="3"/>
  <c r="D2679" i="3"/>
  <c r="J2679" i="3"/>
  <c r="E2679" i="3"/>
  <c r="K2679" i="3"/>
  <c r="I2678" i="3"/>
  <c r="H2678" i="3" s="1"/>
  <c r="A2680" i="3"/>
  <c r="C2678" i="3"/>
  <c r="B2678" i="3" s="1"/>
  <c r="L2680" i="3" l="1"/>
  <c r="F2680" i="3"/>
  <c r="J2680" i="3"/>
  <c r="D2680" i="3"/>
  <c r="K2680" i="3"/>
  <c r="E2680" i="3"/>
  <c r="C2679" i="3"/>
  <c r="B2679" i="3" s="1"/>
  <c r="I2679" i="3"/>
  <c r="H2679" i="3" s="1"/>
  <c r="A2681" i="3"/>
  <c r="L2681" i="3" l="1"/>
  <c r="F2681" i="3"/>
  <c r="J2681" i="3"/>
  <c r="D2681" i="3"/>
  <c r="K2681" i="3"/>
  <c r="E2681" i="3"/>
  <c r="C2680" i="3"/>
  <c r="B2680" i="3" s="1"/>
  <c r="A2682" i="3"/>
  <c r="I2680" i="3"/>
  <c r="H2680" i="3" s="1"/>
  <c r="L2682" i="3" l="1"/>
  <c r="F2682" i="3"/>
  <c r="J2682" i="3"/>
  <c r="D2682" i="3"/>
  <c r="K2682" i="3"/>
  <c r="E2682" i="3"/>
  <c r="C2681" i="3"/>
  <c r="B2681" i="3" s="1"/>
  <c r="I2681" i="3"/>
  <c r="H2681" i="3" s="1"/>
  <c r="A2683" i="3"/>
  <c r="F2683" i="3" l="1"/>
  <c r="L2683" i="3"/>
  <c r="J2683" i="3"/>
  <c r="D2683" i="3"/>
  <c r="K2683" i="3"/>
  <c r="E2683" i="3"/>
  <c r="I2682" i="3"/>
  <c r="H2682" i="3" s="1"/>
  <c r="C2682" i="3"/>
  <c r="B2682" i="3" s="1"/>
  <c r="A2684" i="3"/>
  <c r="L2684" i="3" l="1"/>
  <c r="F2684" i="3"/>
  <c r="J2684" i="3"/>
  <c r="D2684" i="3"/>
  <c r="K2684" i="3"/>
  <c r="E2684" i="3"/>
  <c r="A2685" i="3"/>
  <c r="I2683" i="3"/>
  <c r="H2683" i="3" s="1"/>
  <c r="C2683" i="3"/>
  <c r="B2683" i="3" s="1"/>
  <c r="L2685" i="3" l="1"/>
  <c r="F2685" i="3"/>
  <c r="J2685" i="3"/>
  <c r="D2685" i="3"/>
  <c r="K2685" i="3"/>
  <c r="E2685" i="3"/>
  <c r="I2684" i="3"/>
  <c r="H2684" i="3" s="1"/>
  <c r="C2684" i="3"/>
  <c r="B2684" i="3" s="1"/>
  <c r="A2686" i="3"/>
  <c r="L2686" i="3" l="1"/>
  <c r="F2686" i="3"/>
  <c r="J2686" i="3"/>
  <c r="D2686" i="3"/>
  <c r="K2686" i="3"/>
  <c r="E2686" i="3"/>
  <c r="I2685" i="3"/>
  <c r="H2685" i="3" s="1"/>
  <c r="C2685" i="3"/>
  <c r="B2685" i="3" s="1"/>
  <c r="A2687" i="3"/>
  <c r="L2687" i="3" l="1"/>
  <c r="F2687" i="3"/>
  <c r="J2687" i="3"/>
  <c r="D2687" i="3"/>
  <c r="K2687" i="3"/>
  <c r="E2687" i="3"/>
  <c r="I2686" i="3"/>
  <c r="H2686" i="3" s="1"/>
  <c r="C2686" i="3"/>
  <c r="B2686" i="3" s="1"/>
  <c r="A2688" i="3"/>
  <c r="L2688" i="3" l="1"/>
  <c r="F2688" i="3"/>
  <c r="J2688" i="3"/>
  <c r="D2688" i="3"/>
  <c r="K2688" i="3"/>
  <c r="E2688" i="3"/>
  <c r="I2687" i="3"/>
  <c r="H2687" i="3" s="1"/>
  <c r="C2687" i="3"/>
  <c r="B2687" i="3" s="1"/>
  <c r="A2689" i="3"/>
  <c r="L2689" i="3" l="1"/>
  <c r="F2689" i="3"/>
  <c r="J2689" i="3"/>
  <c r="D2689" i="3"/>
  <c r="K2689" i="3"/>
  <c r="E2689" i="3"/>
  <c r="I2688" i="3"/>
  <c r="H2688" i="3" s="1"/>
  <c r="C2688" i="3"/>
  <c r="B2688" i="3" s="1"/>
  <c r="A2690" i="3"/>
  <c r="L2690" i="3" l="1"/>
  <c r="F2690" i="3"/>
  <c r="J2690" i="3"/>
  <c r="D2690" i="3"/>
  <c r="K2690" i="3"/>
  <c r="E2690" i="3"/>
  <c r="I2689" i="3"/>
  <c r="H2689" i="3" s="1"/>
  <c r="A2691" i="3"/>
  <c r="C2689" i="3"/>
  <c r="B2689" i="3" s="1"/>
  <c r="L2691" i="3" l="1"/>
  <c r="F2691" i="3"/>
  <c r="J2691" i="3"/>
  <c r="D2691" i="3"/>
  <c r="K2691" i="3"/>
  <c r="E2691" i="3"/>
  <c r="I2690" i="3"/>
  <c r="H2690" i="3" s="1"/>
  <c r="C2690" i="3"/>
  <c r="B2690" i="3" s="1"/>
  <c r="A2692" i="3"/>
  <c r="L2692" i="3" l="1"/>
  <c r="F2692" i="3"/>
  <c r="J2692" i="3"/>
  <c r="D2692" i="3"/>
  <c r="K2692" i="3"/>
  <c r="E2692" i="3"/>
  <c r="I2691" i="3"/>
  <c r="H2691" i="3" s="1"/>
  <c r="A2693" i="3"/>
  <c r="C2691" i="3"/>
  <c r="B2691" i="3" s="1"/>
  <c r="L2693" i="3" l="1"/>
  <c r="F2693" i="3"/>
  <c r="D2693" i="3"/>
  <c r="J2693" i="3"/>
  <c r="E2693" i="3"/>
  <c r="K2693" i="3"/>
  <c r="I2692" i="3"/>
  <c r="H2692" i="3" s="1"/>
  <c r="C2692" i="3"/>
  <c r="B2692" i="3" s="1"/>
  <c r="A2694" i="3"/>
  <c r="L2694" i="3" l="1"/>
  <c r="F2694" i="3"/>
  <c r="J2694" i="3"/>
  <c r="D2694" i="3"/>
  <c r="K2694" i="3"/>
  <c r="E2694" i="3"/>
  <c r="C2693" i="3"/>
  <c r="B2693" i="3" s="1"/>
  <c r="I2693" i="3"/>
  <c r="H2693" i="3" s="1"/>
  <c r="A2695" i="3"/>
  <c r="L2695" i="3" l="1"/>
  <c r="F2695" i="3"/>
  <c r="J2695" i="3"/>
  <c r="D2695" i="3"/>
  <c r="K2695" i="3"/>
  <c r="E2695" i="3"/>
  <c r="C2694" i="3"/>
  <c r="B2694" i="3" s="1"/>
  <c r="I2694" i="3"/>
  <c r="H2694" i="3" s="1"/>
  <c r="A2696" i="3"/>
  <c r="L2696" i="3" l="1"/>
  <c r="F2696" i="3"/>
  <c r="J2696" i="3"/>
  <c r="D2696" i="3"/>
  <c r="K2696" i="3"/>
  <c r="E2696" i="3"/>
  <c r="I2695" i="3"/>
  <c r="H2695" i="3" s="1"/>
  <c r="A2697" i="3"/>
  <c r="C2695" i="3"/>
  <c r="B2695" i="3" s="1"/>
  <c r="F2697" i="3" l="1"/>
  <c r="E2697" i="3"/>
  <c r="L2697" i="3"/>
  <c r="J2697" i="3"/>
  <c r="D2697" i="3"/>
  <c r="K2697" i="3"/>
  <c r="I2696" i="3"/>
  <c r="H2696" i="3" s="1"/>
  <c r="C2696" i="3"/>
  <c r="B2696" i="3" s="1"/>
  <c r="A2698" i="3"/>
  <c r="L2698" i="3" l="1"/>
  <c r="F2698" i="3"/>
  <c r="J2698" i="3"/>
  <c r="D2698" i="3"/>
  <c r="K2698" i="3"/>
  <c r="E2698" i="3"/>
  <c r="C2697" i="3"/>
  <c r="B2697" i="3" s="1"/>
  <c r="A2699" i="3"/>
  <c r="I2697" i="3"/>
  <c r="H2697" i="3" s="1"/>
  <c r="L2699" i="3" l="1"/>
  <c r="F2699" i="3"/>
  <c r="J2699" i="3"/>
  <c r="D2699" i="3"/>
  <c r="K2699" i="3"/>
  <c r="E2699" i="3"/>
  <c r="C2698" i="3"/>
  <c r="B2698" i="3" s="1"/>
  <c r="I2698" i="3"/>
  <c r="H2698" i="3" s="1"/>
  <c r="A2700" i="3"/>
  <c r="L2700" i="3" l="1"/>
  <c r="F2700" i="3"/>
  <c r="J2700" i="3"/>
  <c r="D2700" i="3"/>
  <c r="K2700" i="3"/>
  <c r="E2700" i="3"/>
  <c r="C2699" i="3"/>
  <c r="B2699" i="3" s="1"/>
  <c r="I2699" i="3"/>
  <c r="H2699" i="3" s="1"/>
  <c r="A2701" i="3"/>
  <c r="L2701" i="3" l="1"/>
  <c r="F2701" i="3"/>
  <c r="J2701" i="3"/>
  <c r="D2701" i="3"/>
  <c r="K2701" i="3"/>
  <c r="E2701" i="3"/>
  <c r="C2700" i="3"/>
  <c r="B2700" i="3" s="1"/>
  <c r="I2700" i="3"/>
  <c r="H2700" i="3" s="1"/>
  <c r="A2702" i="3"/>
  <c r="L2702" i="3" l="1"/>
  <c r="F2702" i="3"/>
  <c r="J2702" i="3"/>
  <c r="D2702" i="3"/>
  <c r="K2702" i="3"/>
  <c r="E2702" i="3"/>
  <c r="C2701" i="3"/>
  <c r="B2701" i="3" s="1"/>
  <c r="I2701" i="3"/>
  <c r="H2701" i="3" s="1"/>
  <c r="A2703" i="3"/>
  <c r="L2703" i="3" l="1"/>
  <c r="F2703" i="3"/>
  <c r="J2703" i="3"/>
  <c r="D2703" i="3"/>
  <c r="K2703" i="3"/>
  <c r="E2703" i="3"/>
  <c r="I2702" i="3"/>
  <c r="H2702" i="3" s="1"/>
  <c r="C2702" i="3"/>
  <c r="B2702" i="3" s="1"/>
  <c r="A2704" i="3"/>
  <c r="F2704" i="3" l="1"/>
  <c r="L2704" i="3"/>
  <c r="J2704" i="3"/>
  <c r="D2704" i="3"/>
  <c r="K2704" i="3"/>
  <c r="E2704" i="3"/>
  <c r="I2703" i="3"/>
  <c r="H2703" i="3" s="1"/>
  <c r="C2703" i="3"/>
  <c r="B2703" i="3" s="1"/>
  <c r="A2705" i="3"/>
  <c r="L2705" i="3" l="1"/>
  <c r="F2705" i="3"/>
  <c r="D2705" i="3"/>
  <c r="J2705" i="3"/>
  <c r="E2705" i="3"/>
  <c r="K2705" i="3"/>
  <c r="I2704" i="3"/>
  <c r="H2704" i="3" s="1"/>
  <c r="C2704" i="3"/>
  <c r="B2704" i="3" s="1"/>
  <c r="A2706" i="3"/>
  <c r="L2706" i="3" l="1"/>
  <c r="F2706" i="3"/>
  <c r="J2706" i="3"/>
  <c r="D2706" i="3"/>
  <c r="K2706" i="3"/>
  <c r="E2706" i="3"/>
  <c r="I2705" i="3"/>
  <c r="H2705" i="3" s="1"/>
  <c r="C2705" i="3"/>
  <c r="B2705" i="3" s="1"/>
  <c r="A2707" i="3"/>
  <c r="L2707" i="3" l="1"/>
  <c r="F2707" i="3"/>
  <c r="D2707" i="3"/>
  <c r="J2707" i="3"/>
  <c r="E2707" i="3"/>
  <c r="K2707" i="3"/>
  <c r="I2706" i="3"/>
  <c r="H2706" i="3" s="1"/>
  <c r="C2706" i="3"/>
  <c r="B2706" i="3" s="1"/>
  <c r="A2708" i="3"/>
  <c r="L2708" i="3" l="1"/>
  <c r="F2708" i="3"/>
  <c r="J2708" i="3"/>
  <c r="D2708" i="3"/>
  <c r="K2708" i="3"/>
  <c r="E2708" i="3"/>
  <c r="I2707" i="3"/>
  <c r="H2707" i="3" s="1"/>
  <c r="A2709" i="3"/>
  <c r="C2707" i="3"/>
  <c r="B2707" i="3" s="1"/>
  <c r="L2709" i="3" l="1"/>
  <c r="F2709" i="3"/>
  <c r="J2709" i="3"/>
  <c r="D2709" i="3"/>
  <c r="K2709" i="3"/>
  <c r="E2709" i="3"/>
  <c r="I2708" i="3"/>
  <c r="H2708" i="3" s="1"/>
  <c r="C2708" i="3"/>
  <c r="B2708" i="3" s="1"/>
  <c r="A2710" i="3"/>
  <c r="L2710" i="3" l="1"/>
  <c r="F2710" i="3"/>
  <c r="J2710" i="3"/>
  <c r="D2710" i="3"/>
  <c r="K2710" i="3"/>
  <c r="E2710" i="3"/>
  <c r="I2709" i="3"/>
  <c r="H2709" i="3" s="1"/>
  <c r="C2709" i="3"/>
  <c r="B2709" i="3" s="1"/>
  <c r="A2711" i="3"/>
  <c r="L2711" i="3" l="1"/>
  <c r="F2711" i="3"/>
  <c r="J2711" i="3"/>
  <c r="D2711" i="3"/>
  <c r="K2711" i="3"/>
  <c r="E2711" i="3"/>
  <c r="I2710" i="3"/>
  <c r="H2710" i="3" s="1"/>
  <c r="C2710" i="3"/>
  <c r="B2710" i="3" s="1"/>
  <c r="A2712" i="3"/>
  <c r="L2712" i="3" l="1"/>
  <c r="F2712" i="3"/>
  <c r="J2712" i="3"/>
  <c r="D2712" i="3"/>
  <c r="K2712" i="3"/>
  <c r="E2712" i="3"/>
  <c r="I2711" i="3"/>
  <c r="H2711" i="3" s="1"/>
  <c r="C2711" i="3"/>
  <c r="B2711" i="3" s="1"/>
  <c r="A2713" i="3"/>
  <c r="L2713" i="3" l="1"/>
  <c r="F2713" i="3"/>
  <c r="J2713" i="3"/>
  <c r="D2713" i="3"/>
  <c r="K2713" i="3"/>
  <c r="E2713" i="3"/>
  <c r="I2712" i="3"/>
  <c r="H2712" i="3" s="1"/>
  <c r="A2714" i="3"/>
  <c r="C2712" i="3"/>
  <c r="B2712" i="3" s="1"/>
  <c r="L2714" i="3" l="1"/>
  <c r="F2714" i="3"/>
  <c r="J2714" i="3"/>
  <c r="D2714" i="3"/>
  <c r="K2714" i="3"/>
  <c r="E2714" i="3"/>
  <c r="I2713" i="3"/>
  <c r="H2713" i="3" s="1"/>
  <c r="C2713" i="3"/>
  <c r="B2713" i="3" s="1"/>
  <c r="A2715" i="3"/>
  <c r="L2715" i="3" l="1"/>
  <c r="F2715" i="3"/>
  <c r="J2715" i="3"/>
  <c r="D2715" i="3"/>
  <c r="K2715" i="3"/>
  <c r="E2715" i="3"/>
  <c r="I2714" i="3"/>
  <c r="H2714" i="3" s="1"/>
  <c r="C2714" i="3"/>
  <c r="B2714" i="3" s="1"/>
  <c r="A2716" i="3"/>
  <c r="L2716" i="3" l="1"/>
  <c r="F2716" i="3"/>
  <c r="J2716" i="3"/>
  <c r="D2716" i="3"/>
  <c r="K2716" i="3"/>
  <c r="E2716" i="3"/>
  <c r="I2715" i="3"/>
  <c r="H2715" i="3" s="1"/>
  <c r="C2715" i="3"/>
  <c r="B2715" i="3" s="1"/>
  <c r="A2717" i="3"/>
  <c r="L2717" i="3" l="1"/>
  <c r="F2717" i="3"/>
  <c r="J2717" i="3"/>
  <c r="D2717" i="3"/>
  <c r="K2717" i="3"/>
  <c r="E2717" i="3"/>
  <c r="I2716" i="3"/>
  <c r="H2716" i="3" s="1"/>
  <c r="C2716" i="3"/>
  <c r="B2716" i="3" s="1"/>
  <c r="A2718" i="3"/>
  <c r="F2718" i="3" l="1"/>
  <c r="E2718" i="3"/>
  <c r="L2718" i="3"/>
  <c r="J2718" i="3"/>
  <c r="D2718" i="3"/>
  <c r="K2718" i="3"/>
  <c r="I2717" i="3"/>
  <c r="H2717" i="3" s="1"/>
  <c r="C2717" i="3"/>
  <c r="B2717" i="3" s="1"/>
  <c r="A2719" i="3"/>
  <c r="L2719" i="3" l="1"/>
  <c r="F2719" i="3"/>
  <c r="J2719" i="3"/>
  <c r="D2719" i="3"/>
  <c r="K2719" i="3"/>
  <c r="E2719" i="3"/>
  <c r="I2718" i="3"/>
  <c r="H2718" i="3" s="1"/>
  <c r="C2718" i="3"/>
  <c r="B2718" i="3" s="1"/>
  <c r="A2720" i="3"/>
  <c r="L2720" i="3" l="1"/>
  <c r="F2720" i="3"/>
  <c r="J2720" i="3"/>
  <c r="D2720" i="3"/>
  <c r="K2720" i="3"/>
  <c r="E2720" i="3"/>
  <c r="I2719" i="3"/>
  <c r="H2719" i="3" s="1"/>
  <c r="A2721" i="3"/>
  <c r="C2719" i="3"/>
  <c r="B2719" i="3" s="1"/>
  <c r="L2721" i="3" l="1"/>
  <c r="F2721" i="3"/>
  <c r="J2721" i="3"/>
  <c r="D2721" i="3"/>
  <c r="K2721" i="3"/>
  <c r="E2721" i="3"/>
  <c r="I2720" i="3"/>
  <c r="H2720" i="3" s="1"/>
  <c r="C2720" i="3"/>
  <c r="B2720" i="3" s="1"/>
  <c r="A2722" i="3"/>
  <c r="L2722" i="3" l="1"/>
  <c r="F2722" i="3"/>
  <c r="J2722" i="3"/>
  <c r="D2722" i="3"/>
  <c r="K2722" i="3"/>
  <c r="E2722" i="3"/>
  <c r="I2721" i="3"/>
  <c r="H2721" i="3" s="1"/>
  <c r="A2723" i="3"/>
  <c r="C2721" i="3"/>
  <c r="B2721" i="3" s="1"/>
  <c r="L2723" i="3" l="1"/>
  <c r="F2723" i="3"/>
  <c r="J2723" i="3"/>
  <c r="D2723" i="3"/>
  <c r="K2723" i="3"/>
  <c r="E2723" i="3"/>
  <c r="I2722" i="3"/>
  <c r="H2722" i="3" s="1"/>
  <c r="A2724" i="3"/>
  <c r="C2722" i="3"/>
  <c r="B2722" i="3" s="1"/>
  <c r="L2724" i="3" l="1"/>
  <c r="F2724" i="3"/>
  <c r="J2724" i="3"/>
  <c r="D2724" i="3"/>
  <c r="K2724" i="3"/>
  <c r="E2724" i="3"/>
  <c r="I2723" i="3"/>
  <c r="H2723" i="3" s="1"/>
  <c r="C2723" i="3"/>
  <c r="B2723" i="3" s="1"/>
  <c r="A2725" i="3"/>
  <c r="F2725" i="3" l="1"/>
  <c r="L2725" i="3"/>
  <c r="D2725" i="3"/>
  <c r="J2725" i="3"/>
  <c r="E2725" i="3"/>
  <c r="K2725" i="3"/>
  <c r="C2724" i="3"/>
  <c r="B2724" i="3" s="1"/>
  <c r="I2724" i="3"/>
  <c r="H2724" i="3" s="1"/>
  <c r="A2726" i="3"/>
  <c r="L2726" i="3" l="1"/>
  <c r="F2726" i="3"/>
  <c r="J2726" i="3"/>
  <c r="D2726" i="3"/>
  <c r="K2726" i="3"/>
  <c r="E2726" i="3"/>
  <c r="I2725" i="3"/>
  <c r="H2725" i="3" s="1"/>
  <c r="C2725" i="3"/>
  <c r="B2725" i="3" s="1"/>
  <c r="A2727" i="3"/>
  <c r="L2727" i="3" l="1"/>
  <c r="F2727" i="3"/>
  <c r="J2727" i="3"/>
  <c r="D2727" i="3"/>
  <c r="K2727" i="3"/>
  <c r="E2727" i="3"/>
  <c r="C2726" i="3"/>
  <c r="B2726" i="3" s="1"/>
  <c r="I2726" i="3"/>
  <c r="H2726" i="3" s="1"/>
  <c r="A2728" i="3"/>
  <c r="L2728" i="3" l="1"/>
  <c r="F2728" i="3"/>
  <c r="J2728" i="3"/>
  <c r="D2728" i="3"/>
  <c r="K2728" i="3"/>
  <c r="E2728" i="3"/>
  <c r="I2727" i="3"/>
  <c r="H2727" i="3" s="1"/>
  <c r="C2727" i="3"/>
  <c r="B2727" i="3" s="1"/>
  <c r="A2729" i="3"/>
  <c r="L2729" i="3" l="1"/>
  <c r="F2729" i="3"/>
  <c r="J2729" i="3"/>
  <c r="D2729" i="3"/>
  <c r="K2729" i="3"/>
  <c r="E2729" i="3"/>
  <c r="A2730" i="3"/>
  <c r="I2728" i="3"/>
  <c r="H2728" i="3" s="1"/>
  <c r="C2728" i="3"/>
  <c r="B2728" i="3" s="1"/>
  <c r="L2730" i="3" l="1"/>
  <c r="F2730" i="3"/>
  <c r="J2730" i="3"/>
  <c r="D2730" i="3"/>
  <c r="K2730" i="3"/>
  <c r="E2730" i="3"/>
  <c r="I2729" i="3"/>
  <c r="H2729" i="3" s="1"/>
  <c r="C2729" i="3"/>
  <c r="B2729" i="3" s="1"/>
  <c r="A2731" i="3"/>
  <c r="L2731" i="3" l="1"/>
  <c r="F2731" i="3"/>
  <c r="J2731" i="3"/>
  <c r="D2731" i="3"/>
  <c r="K2731" i="3"/>
  <c r="E2731" i="3"/>
  <c r="C2730" i="3"/>
  <c r="B2730" i="3" s="1"/>
  <c r="I2730" i="3"/>
  <c r="H2730" i="3" s="1"/>
  <c r="A2732" i="3"/>
  <c r="L2732" i="3" l="1"/>
  <c r="F2732" i="3"/>
  <c r="J2732" i="3"/>
  <c r="D2732" i="3"/>
  <c r="K2732" i="3"/>
  <c r="E2732" i="3"/>
  <c r="C2731" i="3"/>
  <c r="B2731" i="3" s="1"/>
  <c r="I2731" i="3"/>
  <c r="H2731" i="3" s="1"/>
  <c r="A2733" i="3"/>
  <c r="L2733" i="3" l="1"/>
  <c r="F2733" i="3"/>
  <c r="J2733" i="3"/>
  <c r="D2733" i="3"/>
  <c r="K2733" i="3"/>
  <c r="E2733" i="3"/>
  <c r="C2732" i="3"/>
  <c r="B2732" i="3" s="1"/>
  <c r="I2732" i="3"/>
  <c r="H2732" i="3" s="1"/>
  <c r="A2734" i="3"/>
  <c r="L2734" i="3" l="1"/>
  <c r="F2734" i="3"/>
  <c r="J2734" i="3"/>
  <c r="D2734" i="3"/>
  <c r="K2734" i="3"/>
  <c r="E2734" i="3"/>
  <c r="C2733" i="3"/>
  <c r="B2733" i="3" s="1"/>
  <c r="I2733" i="3"/>
  <c r="H2733" i="3" s="1"/>
  <c r="A2735" i="3"/>
  <c r="L2735" i="3" l="1"/>
  <c r="F2735" i="3"/>
  <c r="J2735" i="3"/>
  <c r="D2735" i="3"/>
  <c r="K2735" i="3"/>
  <c r="E2735" i="3"/>
  <c r="C2734" i="3"/>
  <c r="B2734" i="3" s="1"/>
  <c r="I2734" i="3"/>
  <c r="H2734" i="3" s="1"/>
  <c r="A2736" i="3"/>
  <c r="L2736" i="3" l="1"/>
  <c r="F2736" i="3"/>
  <c r="J2736" i="3"/>
  <c r="D2736" i="3"/>
  <c r="K2736" i="3"/>
  <c r="E2736" i="3"/>
  <c r="I2735" i="3"/>
  <c r="H2735" i="3" s="1"/>
  <c r="C2735" i="3"/>
  <c r="B2735" i="3" s="1"/>
  <c r="A2737" i="3"/>
  <c r="L2737" i="3" l="1"/>
  <c r="F2737" i="3"/>
  <c r="D2737" i="3"/>
  <c r="J2737" i="3"/>
  <c r="E2737" i="3"/>
  <c r="K2737" i="3"/>
  <c r="I2736" i="3"/>
  <c r="H2736" i="3" s="1"/>
  <c r="C2736" i="3"/>
  <c r="B2736" i="3" s="1"/>
  <c r="A2738" i="3"/>
  <c r="L2738" i="3" l="1"/>
  <c r="F2738" i="3"/>
  <c r="D2738" i="3"/>
  <c r="J2738" i="3"/>
  <c r="E2738" i="3"/>
  <c r="K2738" i="3"/>
  <c r="A2739" i="3"/>
  <c r="I2737" i="3"/>
  <c r="H2737" i="3" s="1"/>
  <c r="C2737" i="3"/>
  <c r="B2737" i="3" s="1"/>
  <c r="F2739" i="3" l="1"/>
  <c r="E2739" i="3"/>
  <c r="L2739" i="3"/>
  <c r="J2739" i="3"/>
  <c r="D2739" i="3"/>
  <c r="K2739" i="3"/>
  <c r="I2738" i="3"/>
  <c r="H2738" i="3" s="1"/>
  <c r="C2738" i="3"/>
  <c r="B2738" i="3" s="1"/>
  <c r="A2740" i="3"/>
  <c r="L2740" i="3" l="1"/>
  <c r="F2740" i="3"/>
  <c r="J2740" i="3"/>
  <c r="D2740" i="3"/>
  <c r="K2740" i="3"/>
  <c r="E2740" i="3"/>
  <c r="I2739" i="3"/>
  <c r="H2739" i="3" s="1"/>
  <c r="A2741" i="3"/>
  <c r="C2739" i="3"/>
  <c r="B2739" i="3" s="1"/>
  <c r="L2741" i="3" l="1"/>
  <c r="F2741" i="3"/>
  <c r="J2741" i="3"/>
  <c r="D2741" i="3"/>
  <c r="K2741" i="3"/>
  <c r="E2741" i="3"/>
  <c r="I2740" i="3"/>
  <c r="H2740" i="3" s="1"/>
  <c r="C2740" i="3"/>
  <c r="B2740" i="3" s="1"/>
  <c r="A2742" i="3"/>
  <c r="L2742" i="3" l="1"/>
  <c r="F2742" i="3"/>
  <c r="J2742" i="3"/>
  <c r="D2742" i="3"/>
  <c r="K2742" i="3"/>
  <c r="E2742" i="3"/>
  <c r="C2741" i="3"/>
  <c r="B2741" i="3" s="1"/>
  <c r="I2741" i="3"/>
  <c r="H2741" i="3" s="1"/>
  <c r="A2743" i="3"/>
  <c r="L2743" i="3" l="1"/>
  <c r="F2743" i="3"/>
  <c r="J2743" i="3"/>
  <c r="D2743" i="3"/>
  <c r="K2743" i="3"/>
  <c r="E2743" i="3"/>
  <c r="I2742" i="3"/>
  <c r="H2742" i="3" s="1"/>
  <c r="C2742" i="3"/>
  <c r="B2742" i="3" s="1"/>
  <c r="A2744" i="3"/>
  <c r="L2744" i="3" l="1"/>
  <c r="F2744" i="3"/>
  <c r="J2744" i="3"/>
  <c r="D2744" i="3"/>
  <c r="K2744" i="3"/>
  <c r="E2744" i="3"/>
  <c r="C2743" i="3"/>
  <c r="B2743" i="3" s="1"/>
  <c r="I2743" i="3"/>
  <c r="H2743" i="3" s="1"/>
  <c r="A2745" i="3"/>
  <c r="L2745" i="3" l="1"/>
  <c r="F2745" i="3"/>
  <c r="J2745" i="3"/>
  <c r="D2745" i="3"/>
  <c r="K2745" i="3"/>
  <c r="E2745" i="3"/>
  <c r="C2744" i="3"/>
  <c r="B2744" i="3" s="1"/>
  <c r="I2744" i="3"/>
  <c r="H2744" i="3" s="1"/>
  <c r="A2746" i="3"/>
  <c r="F2746" i="3" l="1"/>
  <c r="L2746" i="3"/>
  <c r="J2746" i="3"/>
  <c r="D2746" i="3"/>
  <c r="K2746" i="3"/>
  <c r="E2746" i="3"/>
  <c r="C2745" i="3"/>
  <c r="B2745" i="3" s="1"/>
  <c r="I2745" i="3"/>
  <c r="H2745" i="3" s="1"/>
  <c r="A2747" i="3"/>
  <c r="L2747" i="3" l="1"/>
  <c r="F2747" i="3"/>
  <c r="J2747" i="3"/>
  <c r="D2747" i="3"/>
  <c r="K2747" i="3"/>
  <c r="E2747" i="3"/>
  <c r="I2746" i="3"/>
  <c r="H2746" i="3" s="1"/>
  <c r="C2746" i="3"/>
  <c r="B2746" i="3" s="1"/>
  <c r="A2748" i="3"/>
  <c r="L2748" i="3" l="1"/>
  <c r="F2748" i="3"/>
  <c r="J2748" i="3"/>
  <c r="D2748" i="3"/>
  <c r="K2748" i="3"/>
  <c r="E2748" i="3"/>
  <c r="C2747" i="3"/>
  <c r="B2747" i="3" s="1"/>
  <c r="I2747" i="3"/>
  <c r="H2747" i="3" s="1"/>
  <c r="A2749" i="3"/>
  <c r="L2749" i="3" l="1"/>
  <c r="F2749" i="3"/>
  <c r="J2749" i="3"/>
  <c r="D2749" i="3"/>
  <c r="K2749" i="3"/>
  <c r="E2749" i="3"/>
  <c r="C2748" i="3"/>
  <c r="B2748" i="3" s="1"/>
  <c r="I2748" i="3"/>
  <c r="H2748" i="3" s="1"/>
  <c r="A2750" i="3"/>
  <c r="L2750" i="3" l="1"/>
  <c r="F2750" i="3"/>
  <c r="J2750" i="3"/>
  <c r="D2750" i="3"/>
  <c r="K2750" i="3"/>
  <c r="E2750" i="3"/>
  <c r="C2749" i="3"/>
  <c r="B2749" i="3" s="1"/>
  <c r="I2749" i="3"/>
  <c r="H2749" i="3" s="1"/>
  <c r="A2751" i="3"/>
  <c r="L2751" i="3" l="1"/>
  <c r="F2751" i="3"/>
  <c r="J2751" i="3"/>
  <c r="D2751" i="3"/>
  <c r="K2751" i="3"/>
  <c r="E2751" i="3"/>
  <c r="I2750" i="3"/>
  <c r="H2750" i="3" s="1"/>
  <c r="C2750" i="3"/>
  <c r="B2750" i="3" s="1"/>
  <c r="A2752" i="3"/>
  <c r="L2752" i="3" l="1"/>
  <c r="F2752" i="3"/>
  <c r="J2752" i="3"/>
  <c r="D2752" i="3"/>
  <c r="K2752" i="3"/>
  <c r="E2752" i="3"/>
  <c r="C2751" i="3"/>
  <c r="B2751" i="3" s="1"/>
  <c r="I2751" i="3"/>
  <c r="H2751" i="3" s="1"/>
  <c r="A2753" i="3"/>
  <c r="L2753" i="3" l="1"/>
  <c r="F2753" i="3"/>
  <c r="J2753" i="3"/>
  <c r="D2753" i="3"/>
  <c r="K2753" i="3"/>
  <c r="E2753" i="3"/>
  <c r="I2752" i="3"/>
  <c r="H2752" i="3" s="1"/>
  <c r="C2752" i="3"/>
  <c r="B2752" i="3" s="1"/>
  <c r="A2754" i="3"/>
  <c r="L2754" i="3" l="1"/>
  <c r="F2754" i="3"/>
  <c r="J2754" i="3"/>
  <c r="D2754" i="3"/>
  <c r="K2754" i="3"/>
  <c r="E2754" i="3"/>
  <c r="C2753" i="3"/>
  <c r="B2753" i="3" s="1"/>
  <c r="I2753" i="3"/>
  <c r="H2753" i="3" s="1"/>
  <c r="A2755" i="3"/>
  <c r="L2755" i="3" l="1"/>
  <c r="F2755" i="3"/>
  <c r="J2755" i="3"/>
  <c r="D2755" i="3"/>
  <c r="K2755" i="3"/>
  <c r="E2755" i="3"/>
  <c r="C2754" i="3"/>
  <c r="B2754" i="3" s="1"/>
  <c r="I2754" i="3"/>
  <c r="H2754" i="3" s="1"/>
  <c r="A2756" i="3"/>
  <c r="L2756" i="3" l="1"/>
  <c r="F2756" i="3"/>
  <c r="D2756" i="3"/>
  <c r="J2756" i="3"/>
  <c r="E2756" i="3"/>
  <c r="K2756" i="3"/>
  <c r="C2755" i="3"/>
  <c r="B2755" i="3" s="1"/>
  <c r="I2755" i="3"/>
  <c r="H2755" i="3" s="1"/>
  <c r="A2757" i="3"/>
  <c r="L2757" i="3" l="1"/>
  <c r="F2757" i="3"/>
  <c r="J2757" i="3"/>
  <c r="D2757" i="3"/>
  <c r="K2757" i="3"/>
  <c r="E2757" i="3"/>
  <c r="I2756" i="3"/>
  <c r="H2756" i="3" s="1"/>
  <c r="C2756" i="3"/>
  <c r="B2756" i="3" s="1"/>
  <c r="A2758" i="3"/>
  <c r="L2758" i="3" l="1"/>
  <c r="F2758" i="3"/>
  <c r="J2758" i="3"/>
  <c r="D2758" i="3"/>
  <c r="K2758" i="3"/>
  <c r="E2758" i="3"/>
  <c r="I2757" i="3"/>
  <c r="H2757" i="3" s="1"/>
  <c r="A2759" i="3"/>
  <c r="C2757" i="3"/>
  <c r="B2757" i="3" s="1"/>
  <c r="F2759" i="3" l="1"/>
  <c r="E2759" i="3"/>
  <c r="L2759" i="3"/>
  <c r="J2759" i="3"/>
  <c r="D2759" i="3"/>
  <c r="K2759" i="3"/>
  <c r="C2758" i="3"/>
  <c r="B2758" i="3" s="1"/>
  <c r="I2758" i="3"/>
  <c r="H2758" i="3" s="1"/>
  <c r="A2760" i="3"/>
  <c r="L2760" i="3" l="1"/>
  <c r="F2760" i="3"/>
  <c r="J2760" i="3"/>
  <c r="D2760" i="3"/>
  <c r="K2760" i="3"/>
  <c r="E2760" i="3"/>
  <c r="I2759" i="3"/>
  <c r="H2759" i="3" s="1"/>
  <c r="C2759" i="3"/>
  <c r="B2759" i="3" s="1"/>
  <c r="A2761" i="3"/>
  <c r="L2761" i="3" l="1"/>
  <c r="F2761" i="3"/>
  <c r="J2761" i="3"/>
  <c r="D2761" i="3"/>
  <c r="K2761" i="3"/>
  <c r="E2761" i="3"/>
  <c r="I2760" i="3"/>
  <c r="H2760" i="3" s="1"/>
  <c r="C2760" i="3"/>
  <c r="B2760" i="3" s="1"/>
  <c r="A2762" i="3"/>
  <c r="L2762" i="3" l="1"/>
  <c r="F2762" i="3"/>
  <c r="J2762" i="3"/>
  <c r="D2762" i="3"/>
  <c r="K2762" i="3"/>
  <c r="E2762" i="3"/>
  <c r="C2761" i="3"/>
  <c r="B2761" i="3" s="1"/>
  <c r="I2761" i="3"/>
  <c r="H2761" i="3" s="1"/>
  <c r="A2763" i="3"/>
  <c r="L2763" i="3" l="1"/>
  <c r="F2763" i="3"/>
  <c r="J2763" i="3"/>
  <c r="D2763" i="3"/>
  <c r="K2763" i="3"/>
  <c r="E2763" i="3"/>
  <c r="I2762" i="3"/>
  <c r="H2762" i="3" s="1"/>
  <c r="C2762" i="3"/>
  <c r="B2762" i="3" s="1"/>
  <c r="A2764" i="3"/>
  <c r="L2764" i="3" l="1"/>
  <c r="F2764" i="3"/>
  <c r="J2764" i="3"/>
  <c r="D2764" i="3"/>
  <c r="K2764" i="3"/>
  <c r="E2764" i="3"/>
  <c r="C2763" i="3"/>
  <c r="B2763" i="3" s="1"/>
  <c r="I2763" i="3"/>
  <c r="H2763" i="3" s="1"/>
  <c r="A2765" i="3"/>
  <c r="L2765" i="3" l="1"/>
  <c r="F2765" i="3"/>
  <c r="J2765" i="3"/>
  <c r="D2765" i="3"/>
  <c r="K2765" i="3"/>
  <c r="E2765" i="3"/>
  <c r="I2764" i="3"/>
  <c r="H2764" i="3" s="1"/>
  <c r="C2764" i="3"/>
  <c r="B2764" i="3" s="1"/>
  <c r="A2766" i="3"/>
  <c r="F2766" i="3" l="1"/>
  <c r="L2766" i="3"/>
  <c r="J2766" i="3"/>
  <c r="D2766" i="3"/>
  <c r="K2766" i="3"/>
  <c r="E2766" i="3"/>
  <c r="C2765" i="3"/>
  <c r="B2765" i="3" s="1"/>
  <c r="I2765" i="3"/>
  <c r="H2765" i="3" s="1"/>
  <c r="A2767" i="3"/>
  <c r="L2767" i="3" l="1"/>
  <c r="F2767" i="3"/>
  <c r="D2767" i="3"/>
  <c r="E2767" i="3"/>
  <c r="J2767" i="3"/>
  <c r="K2767" i="3"/>
  <c r="C2766" i="3"/>
  <c r="B2766" i="3" s="1"/>
  <c r="I2766" i="3"/>
  <c r="H2766" i="3" s="1"/>
  <c r="A2768" i="3"/>
  <c r="L2768" i="3" l="1"/>
  <c r="F2768" i="3"/>
  <c r="J2768" i="3"/>
  <c r="D2768" i="3"/>
  <c r="K2768" i="3"/>
  <c r="E2768" i="3"/>
  <c r="I2767" i="3"/>
  <c r="H2767" i="3" s="1"/>
  <c r="C2767" i="3"/>
  <c r="B2767" i="3" s="1"/>
  <c r="A2769" i="3"/>
  <c r="L2769" i="3" l="1"/>
  <c r="F2769" i="3"/>
  <c r="D2769" i="3"/>
  <c r="E2769" i="3"/>
  <c r="J2769" i="3"/>
  <c r="K2769" i="3"/>
  <c r="I2768" i="3"/>
  <c r="H2768" i="3" s="1"/>
  <c r="C2768" i="3"/>
  <c r="B2768" i="3" s="1"/>
  <c r="A2770" i="3"/>
  <c r="L2770" i="3" l="1"/>
  <c r="F2770" i="3"/>
  <c r="J2770" i="3"/>
  <c r="D2770" i="3"/>
  <c r="K2770" i="3"/>
  <c r="E2770" i="3"/>
  <c r="C2769" i="3"/>
  <c r="B2769" i="3" s="1"/>
  <c r="I2769" i="3"/>
  <c r="H2769" i="3" s="1"/>
  <c r="A2771" i="3"/>
  <c r="L2771" i="3" l="1"/>
  <c r="F2771" i="3"/>
  <c r="J2771" i="3"/>
  <c r="D2771" i="3"/>
  <c r="K2771" i="3"/>
  <c r="E2771" i="3"/>
  <c r="I2770" i="3"/>
  <c r="H2770" i="3" s="1"/>
  <c r="C2770" i="3"/>
  <c r="B2770" i="3" s="1"/>
  <c r="A2772" i="3"/>
  <c r="L2772" i="3" l="1"/>
  <c r="F2772" i="3"/>
  <c r="J2772" i="3"/>
  <c r="D2772" i="3"/>
  <c r="K2772" i="3"/>
  <c r="E2772" i="3"/>
  <c r="I2771" i="3"/>
  <c r="H2771" i="3" s="1"/>
  <c r="A2773" i="3"/>
  <c r="C2771" i="3"/>
  <c r="B2771" i="3" s="1"/>
  <c r="L2773" i="3" l="1"/>
  <c r="F2773" i="3"/>
  <c r="J2773" i="3"/>
  <c r="D2773" i="3"/>
  <c r="K2773" i="3"/>
  <c r="E2773" i="3"/>
  <c r="C2772" i="3"/>
  <c r="B2772" i="3" s="1"/>
  <c r="I2772" i="3"/>
  <c r="H2772" i="3" s="1"/>
  <c r="A2774" i="3"/>
  <c r="L2774" i="3" l="1"/>
  <c r="F2774" i="3"/>
  <c r="J2774" i="3"/>
  <c r="D2774" i="3"/>
  <c r="K2774" i="3"/>
  <c r="E2774" i="3"/>
  <c r="I2773" i="3"/>
  <c r="H2773" i="3" s="1"/>
  <c r="C2773" i="3"/>
  <c r="B2773" i="3" s="1"/>
  <c r="A2775" i="3"/>
  <c r="L2775" i="3" l="1"/>
  <c r="F2775" i="3"/>
  <c r="J2775" i="3"/>
  <c r="D2775" i="3"/>
  <c r="K2775" i="3"/>
  <c r="E2775" i="3"/>
  <c r="C2774" i="3"/>
  <c r="B2774" i="3" s="1"/>
  <c r="I2774" i="3"/>
  <c r="H2774" i="3" s="1"/>
  <c r="A2776" i="3"/>
  <c r="L2776" i="3" l="1"/>
  <c r="F2776" i="3"/>
  <c r="J2776" i="3"/>
  <c r="D2776" i="3"/>
  <c r="K2776" i="3"/>
  <c r="E2776" i="3"/>
  <c r="I2775" i="3"/>
  <c r="H2775" i="3" s="1"/>
  <c r="C2775" i="3"/>
  <c r="B2775" i="3" s="1"/>
  <c r="A2777" i="3"/>
  <c r="L2777" i="3" l="1"/>
  <c r="F2777" i="3"/>
  <c r="J2777" i="3"/>
  <c r="D2777" i="3"/>
  <c r="K2777" i="3"/>
  <c r="E2777" i="3"/>
  <c r="C2776" i="3"/>
  <c r="B2776" i="3" s="1"/>
  <c r="I2776" i="3"/>
  <c r="H2776" i="3" s="1"/>
  <c r="A2778" i="3"/>
  <c r="L2778" i="3" l="1"/>
  <c r="F2778" i="3"/>
  <c r="J2778" i="3"/>
  <c r="D2778" i="3"/>
  <c r="K2778" i="3"/>
  <c r="E2778" i="3"/>
  <c r="C2777" i="3"/>
  <c r="B2777" i="3" s="1"/>
  <c r="I2777" i="3"/>
  <c r="H2777" i="3" s="1"/>
  <c r="A2779" i="3"/>
  <c r="L2779" i="3" l="1"/>
  <c r="F2779" i="3"/>
  <c r="J2779" i="3"/>
  <c r="D2779" i="3"/>
  <c r="K2779" i="3"/>
  <c r="E2779" i="3"/>
  <c r="I2778" i="3"/>
  <c r="H2778" i="3" s="1"/>
  <c r="C2778" i="3"/>
  <c r="B2778" i="3" s="1"/>
  <c r="A2780" i="3"/>
  <c r="L2780" i="3" l="1"/>
  <c r="F2780" i="3"/>
  <c r="J2780" i="3"/>
  <c r="D2780" i="3"/>
  <c r="K2780" i="3"/>
  <c r="E2780" i="3"/>
  <c r="I2779" i="3"/>
  <c r="H2779" i="3" s="1"/>
  <c r="A2781" i="3"/>
  <c r="C2779" i="3"/>
  <c r="B2779" i="3" s="1"/>
  <c r="F2781" i="3" l="1"/>
  <c r="E2781" i="3"/>
  <c r="L2781" i="3"/>
  <c r="J2781" i="3"/>
  <c r="D2781" i="3"/>
  <c r="K2781" i="3"/>
  <c r="I2780" i="3"/>
  <c r="H2780" i="3" s="1"/>
  <c r="C2780" i="3"/>
  <c r="B2780" i="3" s="1"/>
  <c r="A2782" i="3"/>
  <c r="L2782" i="3" l="1"/>
  <c r="F2782" i="3"/>
  <c r="J2782" i="3"/>
  <c r="D2782" i="3"/>
  <c r="K2782" i="3"/>
  <c r="E2782" i="3"/>
  <c r="C2781" i="3"/>
  <c r="B2781" i="3" s="1"/>
  <c r="I2781" i="3"/>
  <c r="H2781" i="3" s="1"/>
  <c r="A2783" i="3"/>
  <c r="L2783" i="3" l="1"/>
  <c r="F2783" i="3"/>
  <c r="J2783" i="3"/>
  <c r="D2783" i="3"/>
  <c r="K2783" i="3"/>
  <c r="E2783" i="3"/>
  <c r="I2782" i="3"/>
  <c r="H2782" i="3" s="1"/>
  <c r="C2782" i="3"/>
  <c r="B2782" i="3" s="1"/>
  <c r="A2784" i="3"/>
  <c r="L2784" i="3" l="1"/>
  <c r="F2784" i="3"/>
  <c r="D2784" i="3"/>
  <c r="J2784" i="3"/>
  <c r="E2784" i="3"/>
  <c r="K2784" i="3"/>
  <c r="C2783" i="3"/>
  <c r="B2783" i="3" s="1"/>
  <c r="I2783" i="3"/>
  <c r="H2783" i="3" s="1"/>
  <c r="A2785" i="3"/>
  <c r="L2785" i="3" l="1"/>
  <c r="F2785" i="3"/>
  <c r="J2785" i="3"/>
  <c r="D2785" i="3"/>
  <c r="K2785" i="3"/>
  <c r="E2785" i="3"/>
  <c r="I2784" i="3"/>
  <c r="H2784" i="3" s="1"/>
  <c r="C2784" i="3"/>
  <c r="B2784" i="3" s="1"/>
  <c r="A2786" i="3"/>
  <c r="L2786" i="3" l="1"/>
  <c r="F2786" i="3"/>
  <c r="J2786" i="3"/>
  <c r="D2786" i="3"/>
  <c r="K2786" i="3"/>
  <c r="E2786" i="3"/>
  <c r="I2785" i="3"/>
  <c r="H2785" i="3" s="1"/>
  <c r="A2787" i="3"/>
  <c r="C2785" i="3"/>
  <c r="B2785" i="3" s="1"/>
  <c r="L2787" i="3" l="1"/>
  <c r="F2787" i="3"/>
  <c r="J2787" i="3"/>
  <c r="D2787" i="3"/>
  <c r="K2787" i="3"/>
  <c r="E2787" i="3"/>
  <c r="I2786" i="3"/>
  <c r="H2786" i="3" s="1"/>
  <c r="C2786" i="3"/>
  <c r="B2786" i="3" s="1"/>
  <c r="A2788" i="3"/>
  <c r="F2788" i="3" l="1"/>
  <c r="L2788" i="3"/>
  <c r="J2788" i="3"/>
  <c r="D2788" i="3"/>
  <c r="K2788" i="3"/>
  <c r="E2788" i="3"/>
  <c r="C2787" i="3"/>
  <c r="B2787" i="3" s="1"/>
  <c r="I2787" i="3"/>
  <c r="H2787" i="3" s="1"/>
  <c r="A2789" i="3"/>
  <c r="L2789" i="3" l="1"/>
  <c r="F2789" i="3"/>
  <c r="J2789" i="3"/>
  <c r="D2789" i="3"/>
  <c r="K2789" i="3"/>
  <c r="E2789" i="3"/>
  <c r="C2788" i="3"/>
  <c r="B2788" i="3" s="1"/>
  <c r="I2788" i="3"/>
  <c r="H2788" i="3" s="1"/>
  <c r="A2790" i="3"/>
  <c r="L2790" i="3" l="1"/>
  <c r="F2790" i="3"/>
  <c r="J2790" i="3"/>
  <c r="D2790" i="3"/>
  <c r="K2790" i="3"/>
  <c r="E2790" i="3"/>
  <c r="C2789" i="3"/>
  <c r="B2789" i="3" s="1"/>
  <c r="I2789" i="3"/>
  <c r="H2789" i="3" s="1"/>
  <c r="A2791" i="3"/>
  <c r="L2791" i="3" l="1"/>
  <c r="F2791" i="3"/>
  <c r="J2791" i="3"/>
  <c r="D2791" i="3"/>
  <c r="K2791" i="3"/>
  <c r="E2791" i="3"/>
  <c r="I2790" i="3"/>
  <c r="H2790" i="3" s="1"/>
  <c r="C2790" i="3"/>
  <c r="B2790" i="3" s="1"/>
  <c r="A2792" i="3"/>
  <c r="L2792" i="3" l="1"/>
  <c r="F2792" i="3"/>
  <c r="J2792" i="3"/>
  <c r="D2792" i="3"/>
  <c r="K2792" i="3"/>
  <c r="E2792" i="3"/>
  <c r="C2791" i="3"/>
  <c r="B2791" i="3" s="1"/>
  <c r="I2791" i="3"/>
  <c r="H2791" i="3" s="1"/>
  <c r="A2793" i="3"/>
  <c r="L2793" i="3" l="1"/>
  <c r="F2793" i="3"/>
  <c r="J2793" i="3"/>
  <c r="D2793" i="3"/>
  <c r="K2793" i="3"/>
  <c r="E2793" i="3"/>
  <c r="I2792" i="3"/>
  <c r="H2792" i="3" s="1"/>
  <c r="C2792" i="3"/>
  <c r="B2792" i="3" s="1"/>
  <c r="A2794" i="3"/>
  <c r="L2794" i="3" l="1"/>
  <c r="F2794" i="3"/>
  <c r="J2794" i="3"/>
  <c r="D2794" i="3"/>
  <c r="K2794" i="3"/>
  <c r="E2794" i="3"/>
  <c r="C2793" i="3"/>
  <c r="B2793" i="3" s="1"/>
  <c r="I2793" i="3"/>
  <c r="H2793" i="3" s="1"/>
  <c r="A2795" i="3"/>
  <c r="L2795" i="3" l="1"/>
  <c r="F2795" i="3"/>
  <c r="J2795" i="3"/>
  <c r="D2795" i="3"/>
  <c r="K2795" i="3"/>
  <c r="E2795" i="3"/>
  <c r="I2794" i="3"/>
  <c r="H2794" i="3" s="1"/>
  <c r="C2794" i="3"/>
  <c r="B2794" i="3" s="1"/>
  <c r="A2796" i="3"/>
  <c r="L2796" i="3" l="1"/>
  <c r="F2796" i="3"/>
  <c r="D2796" i="3"/>
  <c r="E2796" i="3"/>
  <c r="J2796" i="3"/>
  <c r="K2796" i="3"/>
  <c r="I2795" i="3"/>
  <c r="H2795" i="3" s="1"/>
  <c r="C2795" i="3"/>
  <c r="B2795" i="3" s="1"/>
  <c r="A2797" i="3"/>
  <c r="L2797" i="3" l="1"/>
  <c r="F2797" i="3"/>
  <c r="J2797" i="3"/>
  <c r="D2797" i="3"/>
  <c r="K2797" i="3"/>
  <c r="E2797" i="3"/>
  <c r="I2796" i="3"/>
  <c r="H2796" i="3" s="1"/>
  <c r="C2796" i="3"/>
  <c r="B2796" i="3" s="1"/>
  <c r="A2798" i="3"/>
  <c r="L2798" i="3" l="1"/>
  <c r="F2798" i="3"/>
  <c r="D2798" i="3"/>
  <c r="E2798" i="3"/>
  <c r="J2798" i="3"/>
  <c r="K2798" i="3"/>
  <c r="I2797" i="3"/>
  <c r="H2797" i="3" s="1"/>
  <c r="C2797" i="3"/>
  <c r="B2797" i="3" s="1"/>
  <c r="A2799" i="3"/>
  <c r="L2799" i="3" l="1"/>
  <c r="F2799" i="3"/>
  <c r="J2799" i="3"/>
  <c r="D2799" i="3"/>
  <c r="K2799" i="3"/>
  <c r="E2799" i="3"/>
  <c r="I2798" i="3"/>
  <c r="H2798" i="3" s="1"/>
  <c r="C2798" i="3"/>
  <c r="B2798" i="3" s="1"/>
  <c r="A2800" i="3"/>
  <c r="L2800" i="3" l="1"/>
  <c r="F2800" i="3"/>
  <c r="J2800" i="3"/>
  <c r="D2800" i="3"/>
  <c r="K2800" i="3"/>
  <c r="E2800" i="3"/>
  <c r="C2799" i="3"/>
  <c r="B2799" i="3" s="1"/>
  <c r="A2801" i="3"/>
  <c r="I2799" i="3"/>
  <c r="H2799" i="3" s="1"/>
  <c r="F2801" i="3" l="1"/>
  <c r="E2801" i="3"/>
  <c r="L2801" i="3"/>
  <c r="J2801" i="3"/>
  <c r="D2801" i="3"/>
  <c r="K2801" i="3"/>
  <c r="C2800" i="3"/>
  <c r="B2800" i="3" s="1"/>
  <c r="I2800" i="3"/>
  <c r="H2800" i="3" s="1"/>
  <c r="A2802" i="3"/>
  <c r="L2802" i="3" l="1"/>
  <c r="F2802" i="3"/>
  <c r="J2802" i="3"/>
  <c r="D2802" i="3"/>
  <c r="K2802" i="3"/>
  <c r="E2802" i="3"/>
  <c r="C2801" i="3"/>
  <c r="B2801" i="3" s="1"/>
  <c r="I2801" i="3"/>
  <c r="H2801" i="3" s="1"/>
  <c r="A2803" i="3"/>
  <c r="L2803" i="3" l="1"/>
  <c r="F2803" i="3"/>
  <c r="J2803" i="3"/>
  <c r="D2803" i="3"/>
  <c r="K2803" i="3"/>
  <c r="E2803" i="3"/>
  <c r="C2802" i="3"/>
  <c r="B2802" i="3" s="1"/>
  <c r="I2802" i="3"/>
  <c r="H2802" i="3" s="1"/>
  <c r="A2804" i="3"/>
  <c r="L2804" i="3" l="1"/>
  <c r="F2804" i="3"/>
  <c r="J2804" i="3"/>
  <c r="D2804" i="3"/>
  <c r="K2804" i="3"/>
  <c r="E2804" i="3"/>
  <c r="I2803" i="3"/>
  <c r="H2803" i="3" s="1"/>
  <c r="C2803" i="3"/>
  <c r="B2803" i="3" s="1"/>
  <c r="A2805" i="3"/>
  <c r="L2805" i="3" l="1"/>
  <c r="F2805" i="3"/>
  <c r="J2805" i="3"/>
  <c r="D2805" i="3"/>
  <c r="K2805" i="3"/>
  <c r="E2805" i="3"/>
  <c r="I2804" i="3"/>
  <c r="H2804" i="3" s="1"/>
  <c r="C2804" i="3"/>
  <c r="B2804" i="3" s="1"/>
  <c r="A2806" i="3"/>
  <c r="L2806" i="3" l="1"/>
  <c r="F2806" i="3"/>
  <c r="J2806" i="3"/>
  <c r="D2806" i="3"/>
  <c r="K2806" i="3"/>
  <c r="E2806" i="3"/>
  <c r="I2805" i="3"/>
  <c r="H2805" i="3" s="1"/>
  <c r="C2805" i="3"/>
  <c r="B2805" i="3" s="1"/>
  <c r="A2807" i="3"/>
  <c r="L2807" i="3" l="1"/>
  <c r="F2807" i="3"/>
  <c r="J2807" i="3"/>
  <c r="D2807" i="3"/>
  <c r="K2807" i="3"/>
  <c r="E2807" i="3"/>
  <c r="I2806" i="3"/>
  <c r="H2806" i="3" s="1"/>
  <c r="C2806" i="3"/>
  <c r="B2806" i="3" s="1"/>
  <c r="A2808" i="3"/>
  <c r="F2808" i="3" l="1"/>
  <c r="L2808" i="3"/>
  <c r="J2808" i="3"/>
  <c r="D2808" i="3"/>
  <c r="K2808" i="3"/>
  <c r="E2808" i="3"/>
  <c r="I2807" i="3"/>
  <c r="H2807" i="3" s="1"/>
  <c r="A2809" i="3"/>
  <c r="C2807" i="3"/>
  <c r="B2807" i="3" s="1"/>
  <c r="L2809" i="3" l="1"/>
  <c r="F2809" i="3"/>
  <c r="J2809" i="3"/>
  <c r="D2809" i="3"/>
  <c r="K2809" i="3"/>
  <c r="E2809" i="3"/>
  <c r="I2808" i="3"/>
  <c r="H2808" i="3" s="1"/>
  <c r="A2810" i="3"/>
  <c r="C2808" i="3"/>
  <c r="B2808" i="3" s="1"/>
  <c r="L2810" i="3" l="1"/>
  <c r="F2810" i="3"/>
  <c r="J2810" i="3"/>
  <c r="D2810" i="3"/>
  <c r="K2810" i="3"/>
  <c r="E2810" i="3"/>
  <c r="I2809" i="3"/>
  <c r="H2809" i="3" s="1"/>
  <c r="C2809" i="3"/>
  <c r="B2809" i="3" s="1"/>
  <c r="A2811" i="3"/>
  <c r="L2811" i="3" l="1"/>
  <c r="F2811" i="3"/>
  <c r="J2811" i="3"/>
  <c r="D2811" i="3"/>
  <c r="K2811" i="3"/>
  <c r="E2811" i="3"/>
  <c r="C2810" i="3"/>
  <c r="B2810" i="3" s="1"/>
  <c r="I2810" i="3"/>
  <c r="H2810" i="3" s="1"/>
  <c r="A2812" i="3"/>
  <c r="L2812" i="3" l="1"/>
  <c r="F2812" i="3"/>
  <c r="J2812" i="3"/>
  <c r="D2812" i="3"/>
  <c r="K2812" i="3"/>
  <c r="E2812" i="3"/>
  <c r="I2811" i="3"/>
  <c r="H2811" i="3" s="1"/>
  <c r="A2813" i="3"/>
  <c r="C2811" i="3"/>
  <c r="B2811" i="3" s="1"/>
  <c r="L2813" i="3" l="1"/>
  <c r="F2813" i="3"/>
  <c r="J2813" i="3"/>
  <c r="D2813" i="3"/>
  <c r="K2813" i="3"/>
  <c r="E2813" i="3"/>
  <c r="C2812" i="3"/>
  <c r="B2812" i="3" s="1"/>
  <c r="I2812" i="3"/>
  <c r="H2812" i="3" s="1"/>
  <c r="A2814" i="3"/>
  <c r="L2814" i="3" l="1"/>
  <c r="F2814" i="3"/>
  <c r="J2814" i="3"/>
  <c r="D2814" i="3"/>
  <c r="K2814" i="3"/>
  <c r="E2814" i="3"/>
  <c r="C2813" i="3"/>
  <c r="B2813" i="3" s="1"/>
  <c r="I2813" i="3"/>
  <c r="H2813" i="3" s="1"/>
  <c r="A2815" i="3"/>
  <c r="L2815" i="3" l="1"/>
  <c r="F2815" i="3"/>
  <c r="D2815" i="3"/>
  <c r="J2815" i="3"/>
  <c r="E2815" i="3"/>
  <c r="K2815" i="3"/>
  <c r="I2814" i="3"/>
  <c r="H2814" i="3" s="1"/>
  <c r="C2814" i="3"/>
  <c r="B2814" i="3" s="1"/>
  <c r="A2816" i="3"/>
  <c r="L2816" i="3" l="1"/>
  <c r="F2816" i="3"/>
  <c r="J2816" i="3"/>
  <c r="D2816" i="3"/>
  <c r="K2816" i="3"/>
  <c r="E2816" i="3"/>
  <c r="C2815" i="3"/>
  <c r="B2815" i="3" s="1"/>
  <c r="I2815" i="3"/>
  <c r="H2815" i="3" s="1"/>
  <c r="A2817" i="3"/>
  <c r="L2817" i="3" l="1"/>
  <c r="F2817" i="3"/>
  <c r="J2817" i="3"/>
  <c r="D2817" i="3"/>
  <c r="K2817" i="3"/>
  <c r="E2817" i="3"/>
  <c r="C2816" i="3"/>
  <c r="B2816" i="3" s="1"/>
  <c r="I2816" i="3"/>
  <c r="H2816" i="3" s="1"/>
  <c r="A2818" i="3"/>
  <c r="L2818" i="3" l="1"/>
  <c r="F2818" i="3"/>
  <c r="J2818" i="3"/>
  <c r="D2818" i="3"/>
  <c r="K2818" i="3"/>
  <c r="E2818" i="3"/>
  <c r="I2817" i="3"/>
  <c r="H2817" i="3" s="1"/>
  <c r="C2817" i="3"/>
  <c r="B2817" i="3" s="1"/>
  <c r="A2819" i="3"/>
  <c r="F2819" i="3" l="1"/>
  <c r="E2819" i="3"/>
  <c r="L2819" i="3"/>
  <c r="J2819" i="3"/>
  <c r="D2819" i="3"/>
  <c r="K2819" i="3"/>
  <c r="I2818" i="3"/>
  <c r="H2818" i="3" s="1"/>
  <c r="C2818" i="3"/>
  <c r="B2818" i="3" s="1"/>
  <c r="A2820" i="3"/>
  <c r="L2820" i="3" l="1"/>
  <c r="F2820" i="3"/>
  <c r="J2820" i="3"/>
  <c r="D2820" i="3"/>
  <c r="K2820" i="3"/>
  <c r="E2820" i="3"/>
  <c r="I2819" i="3"/>
  <c r="H2819" i="3" s="1"/>
  <c r="C2819" i="3"/>
  <c r="B2819" i="3" s="1"/>
  <c r="A2821" i="3"/>
  <c r="L2821" i="3" l="1"/>
  <c r="F2821" i="3"/>
  <c r="J2821" i="3"/>
  <c r="D2821" i="3"/>
  <c r="K2821" i="3"/>
  <c r="E2821" i="3"/>
  <c r="I2820" i="3"/>
  <c r="H2820" i="3" s="1"/>
  <c r="C2820" i="3"/>
  <c r="B2820" i="3" s="1"/>
  <c r="A2822" i="3"/>
  <c r="L2822" i="3" l="1"/>
  <c r="F2822" i="3"/>
  <c r="J2822" i="3"/>
  <c r="D2822" i="3"/>
  <c r="K2822" i="3"/>
  <c r="E2822" i="3"/>
  <c r="C2821" i="3"/>
  <c r="B2821" i="3" s="1"/>
  <c r="I2821" i="3"/>
  <c r="H2821" i="3" s="1"/>
  <c r="A2823" i="3"/>
  <c r="L2823" i="3" l="1"/>
  <c r="F2823" i="3"/>
  <c r="J2823" i="3"/>
  <c r="D2823" i="3"/>
  <c r="K2823" i="3"/>
  <c r="E2823" i="3"/>
  <c r="C2822" i="3"/>
  <c r="B2822" i="3" s="1"/>
  <c r="I2822" i="3"/>
  <c r="H2822" i="3" s="1"/>
  <c r="A2824" i="3"/>
  <c r="L2824" i="3" l="1"/>
  <c r="F2824" i="3"/>
  <c r="J2824" i="3"/>
  <c r="D2824" i="3"/>
  <c r="K2824" i="3"/>
  <c r="E2824" i="3"/>
  <c r="I2823" i="3"/>
  <c r="H2823" i="3" s="1"/>
  <c r="C2823" i="3"/>
  <c r="B2823" i="3" s="1"/>
  <c r="A2825" i="3"/>
  <c r="L2825" i="3" l="1"/>
  <c r="F2825" i="3"/>
  <c r="J2825" i="3"/>
  <c r="D2825" i="3"/>
  <c r="K2825" i="3"/>
  <c r="E2825" i="3"/>
  <c r="I2824" i="3"/>
  <c r="H2824" i="3" s="1"/>
  <c r="A2826" i="3"/>
  <c r="C2824" i="3"/>
  <c r="B2824" i="3" s="1"/>
  <c r="F2826" i="3" l="1"/>
  <c r="L2826" i="3"/>
  <c r="J2826" i="3"/>
  <c r="D2826" i="3"/>
  <c r="K2826" i="3"/>
  <c r="E2826" i="3"/>
  <c r="C2825" i="3"/>
  <c r="B2825" i="3" s="1"/>
  <c r="I2825" i="3"/>
  <c r="H2825" i="3" s="1"/>
  <c r="A2827" i="3"/>
  <c r="L2827" i="3" l="1"/>
  <c r="F2827" i="3"/>
  <c r="D2827" i="3"/>
  <c r="E2827" i="3"/>
  <c r="J2827" i="3"/>
  <c r="K2827" i="3"/>
  <c r="I2826" i="3"/>
  <c r="H2826" i="3" s="1"/>
  <c r="C2826" i="3"/>
  <c r="B2826" i="3" s="1"/>
  <c r="A2828" i="3"/>
  <c r="L2828" i="3" l="1"/>
  <c r="F2828" i="3"/>
  <c r="J2828" i="3"/>
  <c r="D2828" i="3"/>
  <c r="K2828" i="3"/>
  <c r="E2828" i="3"/>
  <c r="C2827" i="3"/>
  <c r="B2827" i="3" s="1"/>
  <c r="I2827" i="3"/>
  <c r="H2827" i="3" s="1"/>
  <c r="A2829" i="3"/>
  <c r="L2829" i="3" l="1"/>
  <c r="F2829" i="3"/>
  <c r="J2829" i="3"/>
  <c r="D2829" i="3"/>
  <c r="K2829" i="3"/>
  <c r="E2829" i="3"/>
  <c r="I2828" i="3"/>
  <c r="H2828" i="3" s="1"/>
  <c r="C2828" i="3"/>
  <c r="B2828" i="3" s="1"/>
  <c r="A2830" i="3"/>
  <c r="L2830" i="3" l="1"/>
  <c r="F2830" i="3"/>
  <c r="J2830" i="3"/>
  <c r="D2830" i="3"/>
  <c r="K2830" i="3"/>
  <c r="E2830" i="3"/>
  <c r="I2829" i="3"/>
  <c r="H2829" i="3" s="1"/>
  <c r="C2829" i="3"/>
  <c r="B2829" i="3" s="1"/>
  <c r="A2831" i="3"/>
  <c r="L2831" i="3" l="1"/>
  <c r="F2831" i="3"/>
  <c r="J2831" i="3"/>
  <c r="D2831" i="3"/>
  <c r="K2831" i="3"/>
  <c r="E2831" i="3"/>
  <c r="C2830" i="3"/>
  <c r="B2830" i="3" s="1"/>
  <c r="I2830" i="3"/>
  <c r="H2830" i="3" s="1"/>
  <c r="A2832" i="3"/>
  <c r="L2832" i="3" l="1"/>
  <c r="F2832" i="3"/>
  <c r="D2832" i="3"/>
  <c r="J2832" i="3"/>
  <c r="E2832" i="3"/>
  <c r="K2832" i="3"/>
  <c r="I2831" i="3"/>
  <c r="H2831" i="3" s="1"/>
  <c r="C2831" i="3"/>
  <c r="B2831" i="3" s="1"/>
  <c r="A2833" i="3"/>
  <c r="L2833" i="3" l="1"/>
  <c r="F2833" i="3"/>
  <c r="J2833" i="3"/>
  <c r="D2833" i="3"/>
  <c r="K2833" i="3"/>
  <c r="E2833" i="3"/>
  <c r="I2832" i="3"/>
  <c r="H2832" i="3" s="1"/>
  <c r="A2834" i="3"/>
  <c r="C2832" i="3"/>
  <c r="B2832" i="3" s="1"/>
  <c r="L2834" i="3" l="1"/>
  <c r="F2834" i="3"/>
  <c r="J2834" i="3"/>
  <c r="D2834" i="3"/>
  <c r="K2834" i="3"/>
  <c r="E2834" i="3"/>
  <c r="I2833" i="3"/>
  <c r="H2833" i="3" s="1"/>
  <c r="C2833" i="3"/>
  <c r="B2833" i="3" s="1"/>
  <c r="A2835" i="3"/>
  <c r="L2835" i="3" l="1"/>
  <c r="F2835" i="3"/>
  <c r="J2835" i="3"/>
  <c r="D2835" i="3"/>
  <c r="K2835" i="3"/>
  <c r="E2835" i="3"/>
  <c r="I2834" i="3"/>
  <c r="H2834" i="3" s="1"/>
  <c r="C2834" i="3"/>
  <c r="B2834" i="3" s="1"/>
  <c r="A2836" i="3"/>
  <c r="L2836" i="3" l="1"/>
  <c r="F2836" i="3"/>
  <c r="J2836" i="3"/>
  <c r="D2836" i="3"/>
  <c r="K2836" i="3"/>
  <c r="E2836" i="3"/>
  <c r="I2835" i="3"/>
  <c r="H2835" i="3" s="1"/>
  <c r="A2837" i="3"/>
  <c r="C2835" i="3"/>
  <c r="B2835" i="3" s="1"/>
  <c r="L2837" i="3" l="1"/>
  <c r="F2837" i="3"/>
  <c r="J2837" i="3"/>
  <c r="D2837" i="3"/>
  <c r="K2837" i="3"/>
  <c r="E2837" i="3"/>
  <c r="C2836" i="3"/>
  <c r="B2836" i="3" s="1"/>
  <c r="I2836" i="3"/>
  <c r="H2836" i="3" s="1"/>
  <c r="A2838" i="3"/>
  <c r="L2838" i="3" l="1"/>
  <c r="F2838" i="3"/>
  <c r="J2838" i="3"/>
  <c r="D2838" i="3"/>
  <c r="K2838" i="3"/>
  <c r="E2838" i="3"/>
  <c r="C2837" i="3"/>
  <c r="B2837" i="3" s="1"/>
  <c r="I2837" i="3"/>
  <c r="H2837" i="3" s="1"/>
  <c r="A2839" i="3"/>
  <c r="L2839" i="3" l="1"/>
  <c r="F2839" i="3"/>
  <c r="J2839" i="3"/>
  <c r="D2839" i="3"/>
  <c r="K2839" i="3"/>
  <c r="E2839" i="3"/>
  <c r="I2838" i="3"/>
  <c r="H2838" i="3" s="1"/>
  <c r="C2838" i="3"/>
  <c r="B2838" i="3" s="1"/>
  <c r="A2840" i="3"/>
  <c r="L2840" i="3" l="1"/>
  <c r="F2840" i="3"/>
  <c r="J2840" i="3"/>
  <c r="D2840" i="3"/>
  <c r="K2840" i="3"/>
  <c r="E2840" i="3"/>
  <c r="C2839" i="3"/>
  <c r="B2839" i="3" s="1"/>
  <c r="I2839" i="3"/>
  <c r="H2839" i="3" s="1"/>
  <c r="A2841" i="3"/>
  <c r="F2841" i="3" l="1"/>
  <c r="E2841" i="3"/>
  <c r="L2841" i="3"/>
  <c r="J2841" i="3"/>
  <c r="D2841" i="3"/>
  <c r="K2841" i="3"/>
  <c r="I2840" i="3"/>
  <c r="H2840" i="3" s="1"/>
  <c r="C2840" i="3"/>
  <c r="B2840" i="3" s="1"/>
  <c r="A2842" i="3"/>
  <c r="L2842" i="3" l="1"/>
  <c r="F2842" i="3"/>
  <c r="J2842" i="3"/>
  <c r="D2842" i="3"/>
  <c r="K2842" i="3"/>
  <c r="E2842" i="3"/>
  <c r="I2841" i="3"/>
  <c r="H2841" i="3" s="1"/>
  <c r="C2841" i="3"/>
  <c r="B2841" i="3" s="1"/>
  <c r="A2843" i="3"/>
  <c r="L2843" i="3" l="1"/>
  <c r="F2843" i="3"/>
  <c r="J2843" i="3"/>
  <c r="D2843" i="3"/>
  <c r="K2843" i="3"/>
  <c r="E2843" i="3"/>
  <c r="C2842" i="3"/>
  <c r="B2842" i="3" s="1"/>
  <c r="I2842" i="3"/>
  <c r="H2842" i="3" s="1"/>
  <c r="A2844" i="3"/>
  <c r="L2844" i="3" l="1"/>
  <c r="F2844" i="3"/>
  <c r="J2844" i="3"/>
  <c r="D2844" i="3"/>
  <c r="K2844" i="3"/>
  <c r="E2844" i="3"/>
  <c r="I2843" i="3"/>
  <c r="H2843" i="3" s="1"/>
  <c r="A2845" i="3"/>
  <c r="C2843" i="3"/>
  <c r="B2843" i="3" s="1"/>
  <c r="L2845" i="3" l="1"/>
  <c r="F2845" i="3"/>
  <c r="J2845" i="3"/>
  <c r="D2845" i="3"/>
  <c r="K2845" i="3"/>
  <c r="E2845" i="3"/>
  <c r="I2844" i="3"/>
  <c r="H2844" i="3" s="1"/>
  <c r="C2844" i="3"/>
  <c r="B2844" i="3" s="1"/>
  <c r="A2846" i="3"/>
  <c r="L2846" i="3" l="1"/>
  <c r="F2846" i="3"/>
  <c r="J2846" i="3"/>
  <c r="D2846" i="3"/>
  <c r="K2846" i="3"/>
  <c r="E2846" i="3"/>
  <c r="C2845" i="3"/>
  <c r="B2845" i="3" s="1"/>
  <c r="I2845" i="3"/>
  <c r="H2845" i="3" s="1"/>
  <c r="A2847" i="3"/>
  <c r="L2847" i="3" l="1"/>
  <c r="F2847" i="3"/>
  <c r="D2847" i="3"/>
  <c r="E2847" i="3"/>
  <c r="J2847" i="3"/>
  <c r="K2847" i="3"/>
  <c r="I2846" i="3"/>
  <c r="H2846" i="3" s="1"/>
  <c r="C2846" i="3"/>
  <c r="B2846" i="3" s="1"/>
  <c r="A2848" i="3"/>
  <c r="F2848" i="3" l="1"/>
  <c r="L2848" i="3"/>
  <c r="J2848" i="3"/>
  <c r="D2848" i="3"/>
  <c r="K2848" i="3"/>
  <c r="E2848" i="3"/>
  <c r="C2847" i="3"/>
  <c r="B2847" i="3" s="1"/>
  <c r="I2847" i="3"/>
  <c r="H2847" i="3" s="1"/>
  <c r="A2849" i="3"/>
  <c r="L2849" i="3" l="1"/>
  <c r="F2849" i="3"/>
  <c r="J2849" i="3"/>
  <c r="D2849" i="3"/>
  <c r="K2849" i="3"/>
  <c r="E2849" i="3"/>
  <c r="C2848" i="3"/>
  <c r="B2848" i="3" s="1"/>
  <c r="I2848" i="3"/>
  <c r="H2848" i="3" s="1"/>
  <c r="A2850" i="3"/>
  <c r="I2849" i="3" l="1"/>
  <c r="H2849" i="3" s="1"/>
  <c r="L2850" i="3"/>
  <c r="F2850" i="3"/>
  <c r="J2850" i="3"/>
  <c r="D2850" i="3"/>
  <c r="K2850" i="3"/>
  <c r="E2850" i="3"/>
  <c r="C2849" i="3"/>
  <c r="B2849" i="3" s="1"/>
  <c r="A2851" i="3"/>
  <c r="L2851" i="3" l="1"/>
  <c r="F2851" i="3"/>
  <c r="J2851" i="3"/>
  <c r="D2851" i="3"/>
  <c r="K2851" i="3"/>
  <c r="E2851" i="3"/>
  <c r="C2850" i="3"/>
  <c r="B2850" i="3" s="1"/>
  <c r="I2850" i="3"/>
  <c r="H2850" i="3" s="1"/>
  <c r="A2852" i="3"/>
  <c r="L2852" i="3" l="1"/>
  <c r="F2852" i="3"/>
  <c r="J2852" i="3"/>
  <c r="D2852" i="3"/>
  <c r="K2852" i="3"/>
  <c r="E2852" i="3"/>
  <c r="I2851" i="3"/>
  <c r="H2851" i="3" s="1"/>
  <c r="C2851" i="3"/>
  <c r="B2851" i="3" s="1"/>
  <c r="A2853" i="3"/>
  <c r="I2852" i="3" l="1"/>
  <c r="H2852" i="3" s="1"/>
  <c r="L2853" i="3"/>
  <c r="F2853" i="3"/>
  <c r="J2853" i="3"/>
  <c r="D2853" i="3"/>
  <c r="K2853" i="3"/>
  <c r="E2853" i="3"/>
  <c r="C2852" i="3"/>
  <c r="B2852" i="3" s="1"/>
  <c r="A2854" i="3"/>
  <c r="L2854" i="3" l="1"/>
  <c r="F2854" i="3"/>
  <c r="J2854" i="3"/>
  <c r="K2854" i="3"/>
  <c r="D2854" i="3"/>
  <c r="E2854" i="3"/>
  <c r="I2853" i="3"/>
  <c r="H2853" i="3" s="1"/>
  <c r="C2853" i="3"/>
  <c r="B2853" i="3" s="1"/>
  <c r="A2855" i="3"/>
  <c r="L2855" i="3" l="1"/>
  <c r="F2855" i="3"/>
  <c r="J2855" i="3"/>
  <c r="D2855" i="3"/>
  <c r="K2855" i="3"/>
  <c r="E2855" i="3"/>
  <c r="C2854" i="3"/>
  <c r="B2854" i="3" s="1"/>
  <c r="A2856" i="3"/>
  <c r="I2854" i="3"/>
  <c r="H2854" i="3" s="1"/>
  <c r="L2856" i="3" l="1"/>
  <c r="F2856" i="3"/>
  <c r="J2856" i="3"/>
  <c r="D2856" i="3"/>
  <c r="K2856" i="3"/>
  <c r="E2856" i="3"/>
  <c r="I2855" i="3"/>
  <c r="H2855" i="3" s="1"/>
  <c r="C2855" i="3"/>
  <c r="B2855" i="3" s="1"/>
  <c r="A2857" i="3"/>
  <c r="L2857" i="3" l="1"/>
  <c r="F2857" i="3"/>
  <c r="J2857" i="3"/>
  <c r="D2857" i="3"/>
  <c r="K2857" i="3"/>
  <c r="E2857" i="3"/>
  <c r="C2856" i="3"/>
  <c r="B2856" i="3" s="1"/>
  <c r="I2856" i="3"/>
  <c r="H2856" i="3" s="1"/>
  <c r="A2858" i="3"/>
  <c r="L2858" i="3" l="1"/>
  <c r="F2858" i="3"/>
  <c r="D2858" i="3"/>
  <c r="J2858" i="3"/>
  <c r="E2858" i="3"/>
  <c r="K2858" i="3"/>
  <c r="I2857" i="3"/>
  <c r="H2857" i="3" s="1"/>
  <c r="C2857" i="3"/>
  <c r="B2857" i="3" s="1"/>
  <c r="A2859" i="3"/>
  <c r="L2859" i="3" l="1"/>
  <c r="F2859" i="3"/>
  <c r="J2859" i="3"/>
  <c r="D2859" i="3"/>
  <c r="K2859" i="3"/>
  <c r="E2859" i="3"/>
  <c r="I2858" i="3"/>
  <c r="H2858" i="3" s="1"/>
  <c r="C2858" i="3"/>
  <c r="B2858" i="3" s="1"/>
  <c r="A2860" i="3"/>
  <c r="L2860" i="3" l="1"/>
  <c r="F2860" i="3"/>
  <c r="D2860" i="3"/>
  <c r="E2860" i="3"/>
  <c r="J2860" i="3"/>
  <c r="K2860" i="3"/>
  <c r="I2859" i="3"/>
  <c r="H2859" i="3" s="1"/>
  <c r="C2859" i="3"/>
  <c r="B2859" i="3" s="1"/>
  <c r="A2861" i="3"/>
  <c r="L2861" i="3" l="1"/>
  <c r="F2861" i="3"/>
  <c r="J2861" i="3"/>
  <c r="D2861" i="3"/>
  <c r="K2861" i="3"/>
  <c r="E2861" i="3"/>
  <c r="I2860" i="3"/>
  <c r="H2860" i="3" s="1"/>
  <c r="C2860" i="3"/>
  <c r="B2860" i="3" s="1"/>
  <c r="A2862" i="3"/>
  <c r="F2862" i="3" l="1"/>
  <c r="E2862" i="3"/>
  <c r="L2862" i="3"/>
  <c r="J2862" i="3"/>
  <c r="D2862" i="3"/>
  <c r="K2862" i="3"/>
  <c r="I2861" i="3"/>
  <c r="H2861" i="3" s="1"/>
  <c r="C2861" i="3"/>
  <c r="B2861" i="3" s="1"/>
  <c r="A2863" i="3"/>
  <c r="I2862" i="3" l="1"/>
  <c r="H2862" i="3" s="1"/>
  <c r="L2863" i="3"/>
  <c r="F2863" i="3"/>
  <c r="J2863" i="3"/>
  <c r="D2863" i="3"/>
  <c r="K2863" i="3"/>
  <c r="E2863" i="3"/>
  <c r="C2862" i="3"/>
  <c r="B2862" i="3" s="1"/>
  <c r="A2864" i="3"/>
  <c r="L2864" i="3" l="1"/>
  <c r="F2864" i="3"/>
  <c r="J2864" i="3"/>
  <c r="D2864" i="3"/>
  <c r="K2864" i="3"/>
  <c r="E2864" i="3"/>
  <c r="I2863" i="3"/>
  <c r="H2863" i="3" s="1"/>
  <c r="C2863" i="3"/>
  <c r="B2863" i="3" s="1"/>
  <c r="A2865" i="3"/>
  <c r="L2865" i="3" l="1"/>
  <c r="F2865" i="3"/>
  <c r="J2865" i="3"/>
  <c r="D2865" i="3"/>
  <c r="K2865" i="3"/>
  <c r="E2865" i="3"/>
  <c r="C2864" i="3"/>
  <c r="B2864" i="3" s="1"/>
  <c r="I2864" i="3"/>
  <c r="H2864" i="3" s="1"/>
  <c r="A2866" i="3"/>
  <c r="L2866" i="3" l="1"/>
  <c r="F2866" i="3"/>
  <c r="J2866" i="3"/>
  <c r="K2866" i="3"/>
  <c r="D2866" i="3"/>
  <c r="E2866" i="3"/>
  <c r="C2865" i="3"/>
  <c r="B2865" i="3" s="1"/>
  <c r="I2865" i="3"/>
  <c r="H2865" i="3" s="1"/>
  <c r="A2867" i="3"/>
  <c r="L2867" i="3" l="1"/>
  <c r="F2867" i="3"/>
  <c r="J2867" i="3"/>
  <c r="D2867" i="3"/>
  <c r="K2867" i="3"/>
  <c r="E2867" i="3"/>
  <c r="I2866" i="3"/>
  <c r="H2866" i="3" s="1"/>
  <c r="C2866" i="3"/>
  <c r="B2866" i="3" s="1"/>
  <c r="A2868" i="3"/>
  <c r="L2868" i="3" l="1"/>
  <c r="F2868" i="3"/>
  <c r="J2868" i="3"/>
  <c r="D2868" i="3"/>
  <c r="K2868" i="3"/>
  <c r="E2868" i="3"/>
  <c r="I2867" i="3"/>
  <c r="H2867" i="3" s="1"/>
  <c r="C2867" i="3"/>
  <c r="B2867" i="3" s="1"/>
  <c r="A2869" i="3"/>
  <c r="F2869" i="3" l="1"/>
  <c r="L2869" i="3"/>
  <c r="J2869" i="3"/>
  <c r="D2869" i="3"/>
  <c r="K2869" i="3"/>
  <c r="E2869" i="3"/>
  <c r="I2868" i="3"/>
  <c r="H2868" i="3" s="1"/>
  <c r="C2868" i="3"/>
  <c r="B2868" i="3" s="1"/>
  <c r="A2870" i="3"/>
  <c r="L2870" i="3" l="1"/>
  <c r="F2870" i="3"/>
  <c r="J2870" i="3"/>
  <c r="D2870" i="3"/>
  <c r="K2870" i="3"/>
  <c r="E2870" i="3"/>
  <c r="I2869" i="3"/>
  <c r="H2869" i="3" s="1"/>
  <c r="C2869" i="3"/>
  <c r="B2869" i="3" s="1"/>
  <c r="A2871" i="3"/>
  <c r="L2871" i="3" l="1"/>
  <c r="F2871" i="3"/>
  <c r="J2871" i="3"/>
  <c r="D2871" i="3"/>
  <c r="K2871" i="3"/>
  <c r="E2871" i="3"/>
  <c r="I2870" i="3"/>
  <c r="H2870" i="3" s="1"/>
  <c r="C2870" i="3"/>
  <c r="B2870" i="3" s="1"/>
  <c r="A2872" i="3"/>
  <c r="L2872" i="3" l="1"/>
  <c r="F2872" i="3"/>
  <c r="J2872" i="3"/>
  <c r="D2872" i="3"/>
  <c r="K2872" i="3"/>
  <c r="E2872" i="3"/>
  <c r="C2871" i="3"/>
  <c r="B2871" i="3" s="1"/>
  <c r="I2871" i="3"/>
  <c r="H2871" i="3" s="1"/>
  <c r="A2873" i="3"/>
  <c r="L2873" i="3" l="1"/>
  <c r="F2873" i="3"/>
  <c r="J2873" i="3"/>
  <c r="D2873" i="3"/>
  <c r="K2873" i="3"/>
  <c r="E2873" i="3"/>
  <c r="C2872" i="3"/>
  <c r="B2872" i="3" s="1"/>
  <c r="I2872" i="3"/>
  <c r="H2872" i="3" s="1"/>
  <c r="A2874" i="3"/>
  <c r="L2874" i="3" l="1"/>
  <c r="F2874" i="3"/>
  <c r="J2874" i="3"/>
  <c r="D2874" i="3"/>
  <c r="K2874" i="3"/>
  <c r="E2874" i="3"/>
  <c r="I2873" i="3"/>
  <c r="H2873" i="3" s="1"/>
  <c r="C2873" i="3"/>
  <c r="B2873" i="3" s="1"/>
  <c r="A2875" i="3"/>
  <c r="L2875" i="3" l="1"/>
  <c r="F2875" i="3"/>
  <c r="J2875" i="3"/>
  <c r="D2875" i="3"/>
  <c r="K2875" i="3"/>
  <c r="E2875" i="3"/>
  <c r="C2874" i="3"/>
  <c r="B2874" i="3" s="1"/>
  <c r="I2874" i="3"/>
  <c r="H2874" i="3" s="1"/>
  <c r="A2876" i="3"/>
  <c r="L2876" i="3" l="1"/>
  <c r="F2876" i="3"/>
  <c r="D2876" i="3"/>
  <c r="E2876" i="3"/>
  <c r="J2876" i="3"/>
  <c r="K2876" i="3"/>
  <c r="I2875" i="3"/>
  <c r="H2875" i="3" s="1"/>
  <c r="C2875" i="3"/>
  <c r="B2875" i="3" s="1"/>
  <c r="A2877" i="3"/>
  <c r="L2877" i="3" l="1"/>
  <c r="F2877" i="3"/>
  <c r="J2877" i="3"/>
  <c r="D2877" i="3"/>
  <c r="K2877" i="3"/>
  <c r="E2877" i="3"/>
  <c r="C2876" i="3"/>
  <c r="B2876" i="3" s="1"/>
  <c r="I2876" i="3"/>
  <c r="H2876" i="3" s="1"/>
  <c r="A2878" i="3"/>
  <c r="L2878" i="3" l="1"/>
  <c r="F2878" i="3"/>
  <c r="J2878" i="3"/>
  <c r="D2878" i="3"/>
  <c r="K2878" i="3"/>
  <c r="E2878" i="3"/>
  <c r="C2877" i="3"/>
  <c r="B2877" i="3" s="1"/>
  <c r="I2877" i="3"/>
  <c r="H2877" i="3" s="1"/>
  <c r="A2879" i="3"/>
  <c r="L2879" i="3" l="1"/>
  <c r="F2879" i="3"/>
  <c r="J2879" i="3"/>
  <c r="D2879" i="3"/>
  <c r="K2879" i="3"/>
  <c r="E2879" i="3"/>
  <c r="I2878" i="3"/>
  <c r="H2878" i="3" s="1"/>
  <c r="C2878" i="3"/>
  <c r="B2878" i="3" s="1"/>
  <c r="A2880" i="3"/>
  <c r="L2880" i="3" l="1"/>
  <c r="F2880" i="3"/>
  <c r="J2880" i="3"/>
  <c r="D2880" i="3"/>
  <c r="K2880" i="3"/>
  <c r="E2880" i="3"/>
  <c r="C2879" i="3"/>
  <c r="B2879" i="3" s="1"/>
  <c r="I2879" i="3"/>
  <c r="H2879" i="3" s="1"/>
  <c r="A2881" i="3"/>
  <c r="L2881" i="3" l="1"/>
  <c r="F2881" i="3"/>
  <c r="J2881" i="3"/>
  <c r="D2881" i="3"/>
  <c r="K2881" i="3"/>
  <c r="E2881" i="3"/>
  <c r="I2880" i="3"/>
  <c r="H2880" i="3" s="1"/>
  <c r="C2880" i="3"/>
  <c r="B2880" i="3" s="1"/>
  <c r="A2882" i="3"/>
  <c r="F2882" i="3" l="1"/>
  <c r="E2882" i="3"/>
  <c r="L2882" i="3"/>
  <c r="J2882" i="3"/>
  <c r="D2882" i="3"/>
  <c r="K2882" i="3"/>
  <c r="I2881" i="3"/>
  <c r="H2881" i="3" s="1"/>
  <c r="C2881" i="3"/>
  <c r="B2881" i="3" s="1"/>
  <c r="A2883" i="3"/>
  <c r="L2883" i="3" l="1"/>
  <c r="F2883" i="3"/>
  <c r="J2883" i="3"/>
  <c r="K2883" i="3"/>
  <c r="D2883" i="3"/>
  <c r="E2883" i="3"/>
  <c r="I2882" i="3"/>
  <c r="H2882" i="3" s="1"/>
  <c r="C2882" i="3"/>
  <c r="B2882" i="3" s="1"/>
  <c r="A2884" i="3"/>
  <c r="L2884" i="3" l="1"/>
  <c r="F2884" i="3"/>
  <c r="J2884" i="3"/>
  <c r="D2884" i="3"/>
  <c r="K2884" i="3"/>
  <c r="E2884" i="3"/>
  <c r="C2883" i="3"/>
  <c r="B2883" i="3" s="1"/>
  <c r="I2883" i="3"/>
  <c r="H2883" i="3" s="1"/>
  <c r="A2885" i="3"/>
  <c r="L2885" i="3" l="1"/>
  <c r="F2885" i="3"/>
  <c r="J2885" i="3"/>
  <c r="D2885" i="3"/>
  <c r="K2885" i="3"/>
  <c r="E2885" i="3"/>
  <c r="I2884" i="3"/>
  <c r="H2884" i="3" s="1"/>
  <c r="C2884" i="3"/>
  <c r="B2884" i="3" s="1"/>
  <c r="A2886" i="3"/>
  <c r="L2886" i="3" l="1"/>
  <c r="F2886" i="3"/>
  <c r="J2886" i="3"/>
  <c r="D2886" i="3"/>
  <c r="K2886" i="3"/>
  <c r="E2886" i="3"/>
  <c r="I2885" i="3"/>
  <c r="H2885" i="3" s="1"/>
  <c r="C2885" i="3"/>
  <c r="B2885" i="3" s="1"/>
  <c r="A2887" i="3"/>
  <c r="L2887" i="3" l="1"/>
  <c r="F2887" i="3"/>
  <c r="J2887" i="3"/>
  <c r="D2887" i="3"/>
  <c r="K2887" i="3"/>
  <c r="E2887" i="3"/>
  <c r="I2886" i="3"/>
  <c r="H2886" i="3" s="1"/>
  <c r="C2886" i="3"/>
  <c r="B2886" i="3" s="1"/>
  <c r="A2888" i="3"/>
  <c r="L2888" i="3" l="1"/>
  <c r="F2888" i="3"/>
  <c r="J2888" i="3"/>
  <c r="D2888" i="3"/>
  <c r="K2888" i="3"/>
  <c r="E2888" i="3"/>
  <c r="I2887" i="3"/>
  <c r="H2887" i="3" s="1"/>
  <c r="C2887" i="3"/>
  <c r="B2887" i="3" s="1"/>
  <c r="A2889" i="3"/>
  <c r="F2889" i="3" l="1"/>
  <c r="L2889" i="3"/>
  <c r="J2889" i="3"/>
  <c r="D2889" i="3"/>
  <c r="K2889" i="3"/>
  <c r="E2889" i="3"/>
  <c r="I2888" i="3"/>
  <c r="H2888" i="3" s="1"/>
  <c r="C2888" i="3"/>
  <c r="B2888" i="3" s="1"/>
  <c r="A2890" i="3"/>
  <c r="L2890" i="3" l="1"/>
  <c r="F2890" i="3"/>
  <c r="D2890" i="3"/>
  <c r="E2890" i="3"/>
  <c r="J2890" i="3"/>
  <c r="K2890" i="3"/>
  <c r="I2889" i="3"/>
  <c r="H2889" i="3" s="1"/>
  <c r="C2889" i="3"/>
  <c r="B2889" i="3" s="1"/>
  <c r="A2891" i="3"/>
  <c r="L2891" i="3" l="1"/>
  <c r="F2891" i="3"/>
  <c r="D2891" i="3"/>
  <c r="E2891" i="3"/>
  <c r="J2891" i="3"/>
  <c r="K2891" i="3"/>
  <c r="I2890" i="3"/>
  <c r="H2890" i="3" s="1"/>
  <c r="C2890" i="3"/>
  <c r="B2890" i="3" s="1"/>
  <c r="A2892" i="3"/>
  <c r="L2892" i="3" l="1"/>
  <c r="F2892" i="3"/>
  <c r="J2892" i="3"/>
  <c r="D2892" i="3"/>
  <c r="K2892" i="3"/>
  <c r="E2892" i="3"/>
  <c r="I2891" i="3"/>
  <c r="H2891" i="3" s="1"/>
  <c r="A2893" i="3"/>
  <c r="C2891" i="3"/>
  <c r="B2891" i="3" s="1"/>
  <c r="L2893" i="3" l="1"/>
  <c r="F2893" i="3"/>
  <c r="J2893" i="3"/>
  <c r="D2893" i="3"/>
  <c r="K2893" i="3"/>
  <c r="E2893" i="3"/>
  <c r="I2892" i="3"/>
  <c r="H2892" i="3" s="1"/>
  <c r="C2892" i="3"/>
  <c r="B2892" i="3" s="1"/>
  <c r="A2894" i="3"/>
  <c r="I2893" i="3" l="1"/>
  <c r="H2893" i="3" s="1"/>
  <c r="L2894" i="3"/>
  <c r="F2894" i="3"/>
  <c r="J2894" i="3"/>
  <c r="D2894" i="3"/>
  <c r="K2894" i="3"/>
  <c r="E2894" i="3"/>
  <c r="C2893" i="3"/>
  <c r="B2893" i="3" s="1"/>
  <c r="A2895" i="3"/>
  <c r="L2895" i="3" l="1"/>
  <c r="F2895" i="3"/>
  <c r="J2895" i="3"/>
  <c r="D2895" i="3"/>
  <c r="K2895" i="3"/>
  <c r="E2895" i="3"/>
  <c r="C2894" i="3"/>
  <c r="B2894" i="3" s="1"/>
  <c r="I2894" i="3"/>
  <c r="H2894" i="3" s="1"/>
  <c r="A2896" i="3"/>
  <c r="L2896" i="3" l="1"/>
  <c r="F2896" i="3"/>
  <c r="J2896" i="3"/>
  <c r="D2896" i="3"/>
  <c r="K2896" i="3"/>
  <c r="E2896" i="3"/>
  <c r="I2895" i="3"/>
  <c r="H2895" i="3" s="1"/>
  <c r="C2895" i="3"/>
  <c r="B2895" i="3" s="1"/>
  <c r="A2897" i="3"/>
  <c r="L2897" i="3" l="1"/>
  <c r="F2897" i="3"/>
  <c r="J2897" i="3"/>
  <c r="D2897" i="3"/>
  <c r="K2897" i="3"/>
  <c r="E2897" i="3"/>
  <c r="I2896" i="3"/>
  <c r="H2896" i="3" s="1"/>
  <c r="C2896" i="3"/>
  <c r="B2896" i="3" s="1"/>
  <c r="A2898" i="3"/>
  <c r="L2898" i="3" l="1"/>
  <c r="F2898" i="3"/>
  <c r="J2898" i="3"/>
  <c r="D2898" i="3"/>
  <c r="K2898" i="3"/>
  <c r="E2898" i="3"/>
  <c r="I2897" i="3"/>
  <c r="H2897" i="3" s="1"/>
  <c r="A2899" i="3"/>
  <c r="C2897" i="3"/>
  <c r="B2897" i="3" s="1"/>
  <c r="L2899" i="3" l="1"/>
  <c r="F2899" i="3"/>
  <c r="J2899" i="3"/>
  <c r="D2899" i="3"/>
  <c r="K2899" i="3"/>
  <c r="E2899" i="3"/>
  <c r="C2898" i="3"/>
  <c r="B2898" i="3" s="1"/>
  <c r="I2898" i="3"/>
  <c r="H2898" i="3" s="1"/>
  <c r="A2900" i="3"/>
  <c r="L2900" i="3" l="1"/>
  <c r="F2900" i="3"/>
  <c r="J2900" i="3"/>
  <c r="D2900" i="3"/>
  <c r="K2900" i="3"/>
  <c r="E2900" i="3"/>
  <c r="I2899" i="3"/>
  <c r="H2899" i="3" s="1"/>
  <c r="C2899" i="3"/>
  <c r="B2899" i="3" s="1"/>
  <c r="A2901" i="3"/>
  <c r="L2901" i="3" l="1"/>
  <c r="F2901" i="3"/>
  <c r="J2901" i="3"/>
  <c r="D2901" i="3"/>
  <c r="K2901" i="3"/>
  <c r="E2901" i="3"/>
  <c r="I2900" i="3"/>
  <c r="H2900" i="3" s="1"/>
  <c r="C2900" i="3"/>
  <c r="B2900" i="3" s="1"/>
  <c r="A2902" i="3"/>
  <c r="L2902" i="3" l="1"/>
  <c r="F2902" i="3"/>
  <c r="J2902" i="3"/>
  <c r="K2902" i="3"/>
  <c r="D2902" i="3"/>
  <c r="E2902" i="3"/>
  <c r="I2901" i="3"/>
  <c r="H2901" i="3" s="1"/>
  <c r="C2901" i="3"/>
  <c r="B2901" i="3" s="1"/>
  <c r="A2903" i="3"/>
  <c r="L2903" i="3" l="1"/>
  <c r="F2903" i="3"/>
  <c r="J2903" i="3"/>
  <c r="D2903" i="3"/>
  <c r="K2903" i="3"/>
  <c r="E2903" i="3"/>
  <c r="C2902" i="3"/>
  <c r="B2902" i="3" s="1"/>
  <c r="A2904" i="3"/>
  <c r="I2902" i="3"/>
  <c r="H2902" i="3" s="1"/>
  <c r="F2904" i="3" l="1"/>
  <c r="E2904" i="3"/>
  <c r="L2904" i="3"/>
  <c r="J2904" i="3"/>
  <c r="D2904" i="3"/>
  <c r="K2904" i="3"/>
  <c r="I2903" i="3"/>
  <c r="H2903" i="3" s="1"/>
  <c r="C2903" i="3"/>
  <c r="B2903" i="3" s="1"/>
  <c r="A2905" i="3"/>
  <c r="L2905" i="3" l="1"/>
  <c r="F2905" i="3"/>
  <c r="D2905" i="3"/>
  <c r="E2905" i="3"/>
  <c r="J2905" i="3"/>
  <c r="K2905" i="3"/>
  <c r="C2904" i="3"/>
  <c r="B2904" i="3" s="1"/>
  <c r="I2904" i="3"/>
  <c r="H2904" i="3" s="1"/>
  <c r="A2906" i="3"/>
  <c r="L2906" i="3" l="1"/>
  <c r="F2906" i="3"/>
  <c r="J2906" i="3"/>
  <c r="D2906" i="3"/>
  <c r="K2906" i="3"/>
  <c r="E2906" i="3"/>
  <c r="I2905" i="3"/>
  <c r="H2905" i="3" s="1"/>
  <c r="C2905" i="3"/>
  <c r="B2905" i="3" s="1"/>
  <c r="A2907" i="3"/>
  <c r="L2907" i="3" l="1"/>
  <c r="F2907" i="3"/>
  <c r="J2907" i="3"/>
  <c r="D2907" i="3"/>
  <c r="K2907" i="3"/>
  <c r="E2907" i="3"/>
  <c r="I2906" i="3"/>
  <c r="H2906" i="3" s="1"/>
  <c r="C2906" i="3"/>
  <c r="B2906" i="3" s="1"/>
  <c r="A2908" i="3"/>
  <c r="L2908" i="3" l="1"/>
  <c r="F2908" i="3"/>
  <c r="J2908" i="3"/>
  <c r="D2908" i="3"/>
  <c r="K2908" i="3"/>
  <c r="E2908" i="3"/>
  <c r="I2907" i="3"/>
  <c r="H2907" i="3" s="1"/>
  <c r="A2909" i="3"/>
  <c r="C2907" i="3"/>
  <c r="B2907" i="3" s="1"/>
  <c r="L2909" i="3" l="1"/>
  <c r="F2909" i="3"/>
  <c r="J2909" i="3"/>
  <c r="D2909" i="3"/>
  <c r="K2909" i="3"/>
  <c r="E2909" i="3"/>
  <c r="I2908" i="3"/>
  <c r="H2908" i="3" s="1"/>
  <c r="C2908" i="3"/>
  <c r="B2908" i="3" s="1"/>
  <c r="A2910" i="3"/>
  <c r="L2910" i="3" l="1"/>
  <c r="F2910" i="3"/>
  <c r="J2910" i="3"/>
  <c r="D2910" i="3"/>
  <c r="K2910" i="3"/>
  <c r="E2910" i="3"/>
  <c r="I2909" i="3"/>
  <c r="H2909" i="3" s="1"/>
  <c r="C2909" i="3"/>
  <c r="B2909" i="3" s="1"/>
  <c r="A2911" i="3"/>
  <c r="F2911" i="3" l="1"/>
  <c r="L2911" i="3"/>
  <c r="J2911" i="3"/>
  <c r="D2911" i="3"/>
  <c r="K2911" i="3"/>
  <c r="E2911" i="3"/>
  <c r="I2910" i="3"/>
  <c r="H2910" i="3" s="1"/>
  <c r="C2910" i="3"/>
  <c r="B2910" i="3" s="1"/>
  <c r="A2912" i="3"/>
  <c r="L2912" i="3" l="1"/>
  <c r="F2912" i="3"/>
  <c r="J2912" i="3"/>
  <c r="D2912" i="3"/>
  <c r="K2912" i="3"/>
  <c r="E2912" i="3"/>
  <c r="I2911" i="3"/>
  <c r="H2911" i="3" s="1"/>
  <c r="C2911" i="3"/>
  <c r="B2911" i="3" s="1"/>
  <c r="A2913" i="3"/>
  <c r="L2913" i="3" l="1"/>
  <c r="F2913" i="3"/>
  <c r="J2913" i="3"/>
  <c r="D2913" i="3"/>
  <c r="K2913" i="3"/>
  <c r="E2913" i="3"/>
  <c r="C2912" i="3"/>
  <c r="B2912" i="3" s="1"/>
  <c r="I2912" i="3"/>
  <c r="H2912" i="3" s="1"/>
  <c r="A2914" i="3"/>
  <c r="L2914" i="3" l="1"/>
  <c r="F2914" i="3"/>
  <c r="J2914" i="3"/>
  <c r="D2914" i="3"/>
  <c r="K2914" i="3"/>
  <c r="E2914" i="3"/>
  <c r="I2913" i="3"/>
  <c r="H2913" i="3" s="1"/>
  <c r="C2913" i="3"/>
  <c r="B2913" i="3" s="1"/>
  <c r="A2915" i="3"/>
  <c r="L2915" i="3" l="1"/>
  <c r="F2915" i="3"/>
  <c r="J2915" i="3"/>
  <c r="D2915" i="3"/>
  <c r="K2915" i="3"/>
  <c r="E2915" i="3"/>
  <c r="I2914" i="3"/>
  <c r="H2914" i="3" s="1"/>
  <c r="C2914" i="3"/>
  <c r="B2914" i="3" s="1"/>
  <c r="A2916" i="3"/>
  <c r="L2916" i="3" l="1"/>
  <c r="F2916" i="3"/>
  <c r="J2916" i="3"/>
  <c r="D2916" i="3"/>
  <c r="K2916" i="3"/>
  <c r="E2916" i="3"/>
  <c r="I2915" i="3"/>
  <c r="H2915" i="3" s="1"/>
  <c r="C2915" i="3"/>
  <c r="B2915" i="3" s="1"/>
  <c r="A2917" i="3"/>
  <c r="L2917" i="3" l="1"/>
  <c r="F2917" i="3"/>
  <c r="J2917" i="3"/>
  <c r="D2917" i="3"/>
  <c r="K2917" i="3"/>
  <c r="E2917" i="3"/>
  <c r="I2916" i="3"/>
  <c r="H2916" i="3" s="1"/>
  <c r="C2916" i="3"/>
  <c r="B2916" i="3" s="1"/>
  <c r="A2918" i="3"/>
  <c r="L2918" i="3" l="1"/>
  <c r="F2918" i="3"/>
  <c r="D2918" i="3"/>
  <c r="J2918" i="3"/>
  <c r="E2918" i="3"/>
  <c r="K2918" i="3"/>
  <c r="C2917" i="3"/>
  <c r="B2917" i="3" s="1"/>
  <c r="A2919" i="3"/>
  <c r="I2917" i="3"/>
  <c r="H2917" i="3" s="1"/>
  <c r="L2919" i="3" l="1"/>
  <c r="F2919" i="3"/>
  <c r="J2919" i="3"/>
  <c r="D2919" i="3"/>
  <c r="K2919" i="3"/>
  <c r="E2919" i="3"/>
  <c r="I2918" i="3"/>
  <c r="H2918" i="3" s="1"/>
  <c r="C2918" i="3"/>
  <c r="B2918" i="3" s="1"/>
  <c r="A2920" i="3"/>
  <c r="L2920" i="3" l="1"/>
  <c r="F2920" i="3"/>
  <c r="D2920" i="3"/>
  <c r="J2920" i="3"/>
  <c r="E2920" i="3"/>
  <c r="K2920" i="3"/>
  <c r="I2919" i="3"/>
  <c r="H2919" i="3" s="1"/>
  <c r="C2919" i="3"/>
  <c r="B2919" i="3" s="1"/>
  <c r="A2921" i="3"/>
  <c r="L2921" i="3" l="1"/>
  <c r="F2921" i="3"/>
  <c r="J2921" i="3"/>
  <c r="K2921" i="3"/>
  <c r="D2921" i="3"/>
  <c r="E2921" i="3"/>
  <c r="I2920" i="3"/>
  <c r="H2920" i="3" s="1"/>
  <c r="C2920" i="3"/>
  <c r="B2920" i="3" s="1"/>
  <c r="A2922" i="3"/>
  <c r="L2922" i="3" l="1"/>
  <c r="F2922" i="3"/>
  <c r="J2922" i="3"/>
  <c r="D2922" i="3"/>
  <c r="K2922" i="3"/>
  <c r="E2922" i="3"/>
  <c r="I2921" i="3"/>
  <c r="H2921" i="3" s="1"/>
  <c r="C2921" i="3"/>
  <c r="B2921" i="3" s="1"/>
  <c r="A2923" i="3"/>
  <c r="L2923" i="3" l="1"/>
  <c r="F2923" i="3"/>
  <c r="J2923" i="3"/>
  <c r="D2923" i="3"/>
  <c r="K2923" i="3"/>
  <c r="E2923" i="3"/>
  <c r="I2922" i="3"/>
  <c r="H2922" i="3" s="1"/>
  <c r="A2924" i="3"/>
  <c r="C2922" i="3"/>
  <c r="B2922" i="3" s="1"/>
  <c r="L2924" i="3" l="1"/>
  <c r="F2924" i="3"/>
  <c r="J2924" i="3"/>
  <c r="D2924" i="3"/>
  <c r="K2924" i="3"/>
  <c r="E2924" i="3"/>
  <c r="C2923" i="3"/>
  <c r="B2923" i="3" s="1"/>
  <c r="I2923" i="3"/>
  <c r="H2923" i="3" s="1"/>
  <c r="A2925" i="3"/>
  <c r="L2925" i="3" l="1"/>
  <c r="F2925" i="3"/>
  <c r="J2925" i="3"/>
  <c r="D2925" i="3"/>
  <c r="K2925" i="3"/>
  <c r="E2925" i="3"/>
  <c r="C2924" i="3"/>
  <c r="B2924" i="3" s="1"/>
  <c r="I2924" i="3"/>
  <c r="H2924" i="3" s="1"/>
  <c r="A2926" i="3"/>
  <c r="F2926" i="3" l="1"/>
  <c r="E2926" i="3"/>
  <c r="L2926" i="3"/>
  <c r="J2926" i="3"/>
  <c r="D2926" i="3"/>
  <c r="K2926" i="3"/>
  <c r="I2925" i="3"/>
  <c r="H2925" i="3" s="1"/>
  <c r="C2925" i="3"/>
  <c r="B2925" i="3" s="1"/>
  <c r="A2927" i="3"/>
  <c r="L2927" i="3" l="1"/>
  <c r="F2927" i="3"/>
  <c r="J2927" i="3"/>
  <c r="D2927" i="3"/>
  <c r="K2927" i="3"/>
  <c r="E2927" i="3"/>
  <c r="I2926" i="3"/>
  <c r="H2926" i="3" s="1"/>
  <c r="C2926" i="3"/>
  <c r="B2926" i="3" s="1"/>
  <c r="A2928" i="3"/>
  <c r="L2928" i="3" l="1"/>
  <c r="F2928" i="3"/>
  <c r="J2928" i="3"/>
  <c r="D2928" i="3"/>
  <c r="K2928" i="3"/>
  <c r="E2928" i="3"/>
  <c r="I2927" i="3"/>
  <c r="H2927" i="3" s="1"/>
  <c r="C2927" i="3"/>
  <c r="B2927" i="3" s="1"/>
  <c r="A2929" i="3"/>
  <c r="L2929" i="3" l="1"/>
  <c r="F2929" i="3"/>
  <c r="J2929" i="3"/>
  <c r="D2929" i="3"/>
  <c r="K2929" i="3"/>
  <c r="E2929" i="3"/>
  <c r="I2928" i="3"/>
  <c r="H2928" i="3" s="1"/>
  <c r="C2928" i="3"/>
  <c r="B2928" i="3" s="1"/>
  <c r="A2930" i="3"/>
  <c r="L2930" i="3" l="1"/>
  <c r="F2930" i="3"/>
  <c r="J2930" i="3"/>
  <c r="D2930" i="3"/>
  <c r="K2930" i="3"/>
  <c r="E2930" i="3"/>
  <c r="I2929" i="3"/>
  <c r="H2929" i="3" s="1"/>
  <c r="C2929" i="3"/>
  <c r="B2929" i="3" s="1"/>
  <c r="A2931" i="3"/>
  <c r="L2931" i="3" l="1"/>
  <c r="F2931" i="3"/>
  <c r="J2931" i="3"/>
  <c r="D2931" i="3"/>
  <c r="K2931" i="3"/>
  <c r="E2931" i="3"/>
  <c r="I2930" i="3"/>
  <c r="H2930" i="3" s="1"/>
  <c r="C2930" i="3"/>
  <c r="B2930" i="3" s="1"/>
  <c r="A2932" i="3"/>
  <c r="L2932" i="3" l="1"/>
  <c r="F2932" i="3"/>
  <c r="J2932" i="3"/>
  <c r="D2932" i="3"/>
  <c r="K2932" i="3"/>
  <c r="E2932" i="3"/>
  <c r="I2931" i="3"/>
  <c r="H2931" i="3" s="1"/>
  <c r="A2933" i="3"/>
  <c r="C2931" i="3"/>
  <c r="B2931" i="3" s="1"/>
  <c r="F2933" i="3" l="1"/>
  <c r="L2933" i="3"/>
  <c r="J2933" i="3"/>
  <c r="D2933" i="3"/>
  <c r="K2933" i="3"/>
  <c r="E2933" i="3"/>
  <c r="I2932" i="3"/>
  <c r="H2932" i="3" s="1"/>
  <c r="C2932" i="3"/>
  <c r="B2932" i="3" s="1"/>
  <c r="A2934" i="3"/>
  <c r="L2934" i="3" l="1"/>
  <c r="F2934" i="3"/>
  <c r="J2934" i="3"/>
  <c r="D2934" i="3"/>
  <c r="K2934" i="3"/>
  <c r="E2934" i="3"/>
  <c r="I2933" i="3"/>
  <c r="H2933" i="3" s="1"/>
  <c r="C2933" i="3"/>
  <c r="B2933" i="3" s="1"/>
  <c r="A2935" i="3"/>
  <c r="L2935" i="3" l="1"/>
  <c r="F2935" i="3"/>
  <c r="J2935" i="3"/>
  <c r="D2935" i="3"/>
  <c r="K2935" i="3"/>
  <c r="E2935" i="3"/>
  <c r="C2934" i="3"/>
  <c r="B2934" i="3" s="1"/>
  <c r="I2934" i="3"/>
  <c r="H2934" i="3" s="1"/>
  <c r="A2936" i="3"/>
  <c r="L2936" i="3" l="1"/>
  <c r="F2936" i="3"/>
  <c r="J2936" i="3"/>
  <c r="D2936" i="3"/>
  <c r="K2936" i="3"/>
  <c r="E2936" i="3"/>
  <c r="C2935" i="3"/>
  <c r="B2935" i="3" s="1"/>
  <c r="I2935" i="3"/>
  <c r="H2935" i="3" s="1"/>
  <c r="A2937" i="3"/>
  <c r="L2937" i="3" l="1"/>
  <c r="F2937" i="3"/>
  <c r="J2937" i="3"/>
  <c r="D2937" i="3"/>
  <c r="K2937" i="3"/>
  <c r="E2937" i="3"/>
  <c r="I2936" i="3"/>
  <c r="H2936" i="3" s="1"/>
  <c r="C2936" i="3"/>
  <c r="B2936" i="3" s="1"/>
  <c r="A2938" i="3"/>
  <c r="I2937" i="3" l="1"/>
  <c r="H2937" i="3" s="1"/>
  <c r="L2938" i="3"/>
  <c r="F2938" i="3"/>
  <c r="D2938" i="3"/>
  <c r="E2938" i="3"/>
  <c r="J2938" i="3"/>
  <c r="K2938" i="3"/>
  <c r="C2937" i="3"/>
  <c r="B2937" i="3" s="1"/>
  <c r="A2939" i="3"/>
  <c r="L2939" i="3" l="1"/>
  <c r="F2939" i="3"/>
  <c r="J2939" i="3"/>
  <c r="D2939" i="3"/>
  <c r="K2939" i="3"/>
  <c r="E2939" i="3"/>
  <c r="I2938" i="3"/>
  <c r="H2938" i="3" s="1"/>
  <c r="C2938" i="3"/>
  <c r="B2938" i="3" s="1"/>
  <c r="A2940" i="3"/>
  <c r="L2940" i="3" l="1"/>
  <c r="F2940" i="3"/>
  <c r="J2940" i="3"/>
  <c r="D2940" i="3"/>
  <c r="K2940" i="3"/>
  <c r="E2940" i="3"/>
  <c r="I2939" i="3"/>
  <c r="H2939" i="3" s="1"/>
  <c r="C2939" i="3"/>
  <c r="B2939" i="3" s="1"/>
  <c r="A2941" i="3"/>
  <c r="L2941" i="3" l="1"/>
  <c r="F2941" i="3"/>
  <c r="J2941" i="3"/>
  <c r="D2941" i="3"/>
  <c r="K2941" i="3"/>
  <c r="E2941" i="3"/>
  <c r="C2940" i="3"/>
  <c r="B2940" i="3" s="1"/>
  <c r="I2940" i="3"/>
  <c r="H2940" i="3" s="1"/>
  <c r="A2942" i="3"/>
  <c r="L2942" i="3" l="1"/>
  <c r="F2942" i="3"/>
  <c r="J2942" i="3"/>
  <c r="D2942" i="3"/>
  <c r="K2942" i="3"/>
  <c r="E2942" i="3"/>
  <c r="I2941" i="3"/>
  <c r="H2941" i="3" s="1"/>
  <c r="C2941" i="3"/>
  <c r="B2941" i="3" s="1"/>
  <c r="A2943" i="3"/>
  <c r="L2943" i="3" l="1"/>
  <c r="F2943" i="3"/>
  <c r="J2943" i="3"/>
  <c r="D2943" i="3"/>
  <c r="K2943" i="3"/>
  <c r="E2943" i="3"/>
  <c r="I2942" i="3"/>
  <c r="H2942" i="3" s="1"/>
  <c r="C2942" i="3"/>
  <c r="B2942" i="3" s="1"/>
  <c r="A2944" i="3"/>
  <c r="L2944" i="3" l="1"/>
  <c r="F2944" i="3"/>
  <c r="J2944" i="3"/>
  <c r="D2944" i="3"/>
  <c r="K2944" i="3"/>
  <c r="E2944" i="3"/>
  <c r="C2943" i="3"/>
  <c r="B2943" i="3" s="1"/>
  <c r="I2943" i="3"/>
  <c r="H2943" i="3" s="1"/>
  <c r="A2945" i="3"/>
  <c r="L2945" i="3" l="1"/>
  <c r="F2945" i="3"/>
  <c r="J2945" i="3"/>
  <c r="D2945" i="3"/>
  <c r="K2945" i="3"/>
  <c r="E2945" i="3"/>
  <c r="I2944" i="3"/>
  <c r="H2944" i="3" s="1"/>
  <c r="C2944" i="3"/>
  <c r="B2944" i="3" s="1"/>
  <c r="A2946" i="3"/>
  <c r="L2946" i="3" l="1"/>
  <c r="F2946" i="3"/>
  <c r="J2946" i="3"/>
  <c r="D2946" i="3"/>
  <c r="K2946" i="3"/>
  <c r="E2946" i="3"/>
  <c r="I2945" i="3"/>
  <c r="H2945" i="3" s="1"/>
  <c r="A2947" i="3"/>
  <c r="C2945" i="3"/>
  <c r="B2945" i="3" s="1"/>
  <c r="L2947" i="3" l="1"/>
  <c r="F2947" i="3"/>
  <c r="J2947" i="3"/>
  <c r="D2947" i="3"/>
  <c r="K2947" i="3"/>
  <c r="E2947" i="3"/>
  <c r="C2946" i="3"/>
  <c r="B2946" i="3" s="1"/>
  <c r="I2946" i="3"/>
  <c r="H2946" i="3" s="1"/>
  <c r="A2948" i="3"/>
  <c r="F2948" i="3" l="1"/>
  <c r="E2948" i="3"/>
  <c r="L2948" i="3"/>
  <c r="J2948" i="3"/>
  <c r="D2948" i="3"/>
  <c r="K2948" i="3"/>
  <c r="I2947" i="3"/>
  <c r="H2947" i="3" s="1"/>
  <c r="C2947" i="3"/>
  <c r="B2947" i="3" s="1"/>
  <c r="A2949" i="3"/>
  <c r="L2949" i="3" l="1"/>
  <c r="F2949" i="3"/>
  <c r="D2949" i="3"/>
  <c r="J2949" i="3"/>
  <c r="E2949" i="3"/>
  <c r="K2949" i="3"/>
  <c r="I2948" i="3"/>
  <c r="H2948" i="3" s="1"/>
  <c r="A2950" i="3"/>
  <c r="C2948" i="3"/>
  <c r="B2948" i="3" s="1"/>
  <c r="L2950" i="3" l="1"/>
  <c r="F2950" i="3"/>
  <c r="J2950" i="3"/>
  <c r="D2950" i="3"/>
  <c r="K2950" i="3"/>
  <c r="E2950" i="3"/>
  <c r="I2949" i="3"/>
  <c r="H2949" i="3" s="1"/>
  <c r="C2949" i="3"/>
  <c r="B2949" i="3" s="1"/>
  <c r="A2951" i="3"/>
  <c r="L2951" i="3" l="1"/>
  <c r="F2951" i="3"/>
  <c r="J2951" i="3"/>
  <c r="D2951" i="3"/>
  <c r="K2951" i="3"/>
  <c r="E2951" i="3"/>
  <c r="C2950" i="3"/>
  <c r="B2950" i="3" s="1"/>
  <c r="I2950" i="3"/>
  <c r="H2950" i="3" s="1"/>
  <c r="A2952" i="3"/>
  <c r="L2952" i="3" l="1"/>
  <c r="F2952" i="3"/>
  <c r="D2952" i="3"/>
  <c r="J2952" i="3"/>
  <c r="E2952" i="3"/>
  <c r="K2952" i="3"/>
  <c r="I2951" i="3"/>
  <c r="H2951" i="3" s="1"/>
  <c r="C2951" i="3"/>
  <c r="B2951" i="3" s="1"/>
  <c r="A2953" i="3"/>
  <c r="L2953" i="3" l="1"/>
  <c r="F2953" i="3"/>
  <c r="J2953" i="3"/>
  <c r="D2953" i="3"/>
  <c r="K2953" i="3"/>
  <c r="E2953" i="3"/>
  <c r="C2952" i="3"/>
  <c r="B2952" i="3" s="1"/>
  <c r="I2952" i="3"/>
  <c r="H2952" i="3" s="1"/>
  <c r="A2954" i="3"/>
  <c r="L2954" i="3" l="1"/>
  <c r="F2954" i="3"/>
  <c r="J2954" i="3"/>
  <c r="D2954" i="3"/>
  <c r="K2954" i="3"/>
  <c r="E2954" i="3"/>
  <c r="C2953" i="3"/>
  <c r="B2953" i="3" s="1"/>
  <c r="I2953" i="3"/>
  <c r="H2953" i="3" s="1"/>
  <c r="A2955" i="3"/>
  <c r="F2955" i="3" l="1"/>
  <c r="L2955" i="3"/>
  <c r="J2955" i="3"/>
  <c r="D2955" i="3"/>
  <c r="K2955" i="3"/>
  <c r="E2955" i="3"/>
  <c r="C2954" i="3"/>
  <c r="B2954" i="3" s="1"/>
  <c r="I2954" i="3"/>
  <c r="H2954" i="3" s="1"/>
  <c r="A2956" i="3"/>
  <c r="L2956" i="3" l="1"/>
  <c r="F2956" i="3"/>
  <c r="J2956" i="3"/>
  <c r="D2956" i="3"/>
  <c r="K2956" i="3"/>
  <c r="E2956" i="3"/>
  <c r="C2955" i="3"/>
  <c r="B2955" i="3" s="1"/>
  <c r="I2955" i="3"/>
  <c r="H2955" i="3" s="1"/>
  <c r="A2957" i="3"/>
  <c r="L2957" i="3" l="1"/>
  <c r="F2957" i="3"/>
  <c r="J2957" i="3"/>
  <c r="D2957" i="3"/>
  <c r="K2957" i="3"/>
  <c r="E2957" i="3"/>
  <c r="I2956" i="3"/>
  <c r="H2956" i="3" s="1"/>
  <c r="C2956" i="3"/>
  <c r="B2956" i="3" s="1"/>
  <c r="A2958" i="3"/>
  <c r="L2958" i="3" l="1"/>
  <c r="F2958" i="3"/>
  <c r="J2958" i="3"/>
  <c r="K2958" i="3"/>
  <c r="D2958" i="3"/>
  <c r="E2958" i="3"/>
  <c r="I2957" i="3"/>
  <c r="H2957" i="3" s="1"/>
  <c r="C2957" i="3"/>
  <c r="B2957" i="3" s="1"/>
  <c r="A2959" i="3"/>
  <c r="L2959" i="3" l="1"/>
  <c r="F2959" i="3"/>
  <c r="J2959" i="3"/>
  <c r="D2959" i="3"/>
  <c r="K2959" i="3"/>
  <c r="E2959" i="3"/>
  <c r="C2958" i="3"/>
  <c r="B2958" i="3" s="1"/>
  <c r="I2958" i="3"/>
  <c r="H2958" i="3" s="1"/>
  <c r="A2960" i="3"/>
  <c r="L2960" i="3" l="1"/>
  <c r="F2960" i="3"/>
  <c r="J2960" i="3"/>
  <c r="D2960" i="3"/>
  <c r="K2960" i="3"/>
  <c r="E2960" i="3"/>
  <c r="C2959" i="3"/>
  <c r="B2959" i="3" s="1"/>
  <c r="I2959" i="3"/>
  <c r="H2959" i="3" s="1"/>
  <c r="A2961" i="3"/>
  <c r="L2961" i="3" l="1"/>
  <c r="F2961" i="3"/>
  <c r="J2961" i="3"/>
  <c r="D2961" i="3"/>
  <c r="K2961" i="3"/>
  <c r="E2961" i="3"/>
  <c r="I2960" i="3"/>
  <c r="H2960" i="3" s="1"/>
  <c r="C2960" i="3"/>
  <c r="B2960" i="3" s="1"/>
  <c r="A2962" i="3"/>
  <c r="L2962" i="3" l="1"/>
  <c r="F2962" i="3"/>
  <c r="J2962" i="3"/>
  <c r="D2962" i="3"/>
  <c r="K2962" i="3"/>
  <c r="E2962" i="3"/>
  <c r="I2961" i="3"/>
  <c r="H2961" i="3" s="1"/>
  <c r="C2961" i="3"/>
  <c r="B2961" i="3" s="1"/>
  <c r="A2963" i="3"/>
  <c r="L2963" i="3" l="1"/>
  <c r="F2963" i="3"/>
  <c r="J2963" i="3"/>
  <c r="D2963" i="3"/>
  <c r="K2963" i="3"/>
  <c r="E2963" i="3"/>
  <c r="I2962" i="3"/>
  <c r="H2962" i="3" s="1"/>
  <c r="C2962" i="3"/>
  <c r="B2962" i="3" s="1"/>
  <c r="A2964" i="3"/>
  <c r="L2964" i="3" l="1"/>
  <c r="F2964" i="3"/>
  <c r="J2964" i="3"/>
  <c r="D2964" i="3"/>
  <c r="K2964" i="3"/>
  <c r="E2964" i="3"/>
  <c r="C2963" i="3"/>
  <c r="B2963" i="3" s="1"/>
  <c r="I2963" i="3"/>
  <c r="H2963" i="3" s="1"/>
  <c r="A2965" i="3"/>
  <c r="L2965" i="3" l="1"/>
  <c r="F2965" i="3"/>
  <c r="J2965" i="3"/>
  <c r="D2965" i="3"/>
  <c r="K2965" i="3"/>
  <c r="E2965" i="3"/>
  <c r="C2964" i="3"/>
  <c r="B2964" i="3" s="1"/>
  <c r="I2964" i="3"/>
  <c r="H2964" i="3" s="1"/>
  <c r="A2966" i="3"/>
  <c r="L2966" i="3" l="1"/>
  <c r="F2966" i="3"/>
  <c r="J2966" i="3"/>
  <c r="D2966" i="3"/>
  <c r="K2966" i="3"/>
  <c r="E2966" i="3"/>
  <c r="C2965" i="3"/>
  <c r="B2965" i="3" s="1"/>
  <c r="I2965" i="3"/>
  <c r="H2965" i="3" s="1"/>
  <c r="A2967" i="3"/>
  <c r="L2967" i="3" l="1"/>
  <c r="F2967" i="3"/>
  <c r="J2967" i="3"/>
  <c r="D2967" i="3"/>
  <c r="K2967" i="3"/>
  <c r="E2967" i="3"/>
  <c r="C2966" i="3"/>
  <c r="B2966" i="3" s="1"/>
  <c r="I2966" i="3"/>
  <c r="H2966" i="3" s="1"/>
  <c r="A2968" i="3"/>
  <c r="L2968" i="3" l="1"/>
  <c r="F2968" i="3"/>
  <c r="D2968" i="3"/>
  <c r="E2968" i="3"/>
  <c r="J2968" i="3"/>
  <c r="K2968" i="3"/>
  <c r="I2967" i="3"/>
  <c r="H2967" i="3" s="1"/>
  <c r="C2967" i="3"/>
  <c r="B2967" i="3" s="1"/>
  <c r="A2969" i="3"/>
  <c r="F2969" i="3" l="1"/>
  <c r="E2969" i="3"/>
  <c r="L2969" i="3"/>
  <c r="J2969" i="3"/>
  <c r="D2969" i="3"/>
  <c r="K2969" i="3"/>
  <c r="I2968" i="3"/>
  <c r="H2968" i="3" s="1"/>
  <c r="C2968" i="3"/>
  <c r="B2968" i="3" s="1"/>
  <c r="A2970" i="3"/>
  <c r="L2970" i="3" l="1"/>
  <c r="F2970" i="3"/>
  <c r="J2970" i="3"/>
  <c r="D2970" i="3"/>
  <c r="K2970" i="3"/>
  <c r="E2970" i="3"/>
  <c r="I2969" i="3"/>
  <c r="H2969" i="3" s="1"/>
  <c r="A2971" i="3"/>
  <c r="C2969" i="3"/>
  <c r="B2969" i="3" s="1"/>
  <c r="L2971" i="3" l="1"/>
  <c r="F2971" i="3"/>
  <c r="J2971" i="3"/>
  <c r="D2971" i="3"/>
  <c r="K2971" i="3"/>
  <c r="E2971" i="3"/>
  <c r="C2970" i="3"/>
  <c r="B2970" i="3" s="1"/>
  <c r="I2970" i="3"/>
  <c r="H2970" i="3" s="1"/>
  <c r="A2972" i="3"/>
  <c r="L2972" i="3" l="1"/>
  <c r="F2972" i="3"/>
  <c r="J2972" i="3"/>
  <c r="D2972" i="3"/>
  <c r="K2972" i="3"/>
  <c r="E2972" i="3"/>
  <c r="C2971" i="3"/>
  <c r="B2971" i="3" s="1"/>
  <c r="I2971" i="3"/>
  <c r="H2971" i="3" s="1"/>
  <c r="A2973" i="3"/>
  <c r="L2973" i="3" l="1"/>
  <c r="F2973" i="3"/>
  <c r="J2973" i="3"/>
  <c r="D2973" i="3"/>
  <c r="K2973" i="3"/>
  <c r="E2973" i="3"/>
  <c r="I2972" i="3"/>
  <c r="H2972" i="3" s="1"/>
  <c r="C2972" i="3"/>
  <c r="B2972" i="3" s="1"/>
  <c r="A2974" i="3"/>
  <c r="L2974" i="3" l="1"/>
  <c r="F2974" i="3"/>
  <c r="J2974" i="3"/>
  <c r="D2974" i="3"/>
  <c r="K2974" i="3"/>
  <c r="E2974" i="3"/>
  <c r="I2973" i="3"/>
  <c r="H2973" i="3" s="1"/>
  <c r="A2975" i="3"/>
  <c r="C2973" i="3"/>
  <c r="B2973" i="3" s="1"/>
  <c r="L2975" i="3" l="1"/>
  <c r="F2975" i="3"/>
  <c r="J2975" i="3"/>
  <c r="D2975" i="3"/>
  <c r="K2975" i="3"/>
  <c r="E2975" i="3"/>
  <c r="C2974" i="3"/>
  <c r="B2974" i="3" s="1"/>
  <c r="I2974" i="3"/>
  <c r="H2974" i="3" s="1"/>
  <c r="A2976" i="3"/>
  <c r="F2976" i="3" l="1"/>
  <c r="L2976" i="3"/>
  <c r="J2976" i="3"/>
  <c r="D2976" i="3"/>
  <c r="K2976" i="3"/>
  <c r="E2976" i="3"/>
  <c r="I2975" i="3"/>
  <c r="H2975" i="3" s="1"/>
  <c r="C2975" i="3"/>
  <c r="B2975" i="3" s="1"/>
  <c r="A2977" i="3"/>
  <c r="L2977" i="3" l="1"/>
  <c r="F2977" i="3"/>
  <c r="J2977" i="3"/>
  <c r="D2977" i="3"/>
  <c r="K2977" i="3"/>
  <c r="E2977" i="3"/>
  <c r="I2976" i="3"/>
  <c r="H2976" i="3" s="1"/>
  <c r="C2976" i="3"/>
  <c r="B2976" i="3" s="1"/>
  <c r="A2978" i="3"/>
  <c r="L2978" i="3" l="1"/>
  <c r="F2978" i="3"/>
  <c r="J2978" i="3"/>
  <c r="D2978" i="3"/>
  <c r="K2978" i="3"/>
  <c r="E2978" i="3"/>
  <c r="C2977" i="3"/>
  <c r="B2977" i="3" s="1"/>
  <c r="A2979" i="3"/>
  <c r="I2977" i="3"/>
  <c r="H2977" i="3" s="1"/>
  <c r="L2979" i="3" l="1"/>
  <c r="F2979" i="3"/>
  <c r="J2979" i="3"/>
  <c r="D2979" i="3"/>
  <c r="K2979" i="3"/>
  <c r="E2979" i="3"/>
  <c r="C2978" i="3"/>
  <c r="B2978" i="3" s="1"/>
  <c r="I2978" i="3"/>
  <c r="H2978" i="3" s="1"/>
  <c r="A2980" i="3"/>
  <c r="L2980" i="3" l="1"/>
  <c r="F2980" i="3"/>
  <c r="J2980" i="3"/>
  <c r="D2980" i="3"/>
  <c r="K2980" i="3"/>
  <c r="E2980" i="3"/>
  <c r="C2979" i="3"/>
  <c r="B2979" i="3" s="1"/>
  <c r="I2979" i="3"/>
  <c r="H2979" i="3" s="1"/>
  <c r="A2981" i="3"/>
  <c r="L2981" i="3" l="1"/>
  <c r="F2981" i="3"/>
  <c r="D2981" i="3"/>
  <c r="J2981" i="3"/>
  <c r="E2981" i="3"/>
  <c r="K2981" i="3"/>
  <c r="I2980" i="3"/>
  <c r="H2980" i="3" s="1"/>
  <c r="C2980" i="3"/>
  <c r="B2980" i="3" s="1"/>
  <c r="A2982" i="3"/>
  <c r="L2982" i="3" l="1"/>
  <c r="F2982" i="3"/>
  <c r="D2982" i="3"/>
  <c r="E2982" i="3"/>
  <c r="J2982" i="3"/>
  <c r="K2982" i="3"/>
  <c r="A2983" i="3"/>
  <c r="I2981" i="3"/>
  <c r="H2981" i="3" s="1"/>
  <c r="C2981" i="3"/>
  <c r="B2981" i="3" s="1"/>
  <c r="L2983" i="3" l="1"/>
  <c r="F2983" i="3"/>
  <c r="J2983" i="3"/>
  <c r="D2983" i="3"/>
  <c r="K2983" i="3"/>
  <c r="E2983" i="3"/>
  <c r="I2982" i="3"/>
  <c r="H2982" i="3" s="1"/>
  <c r="C2982" i="3"/>
  <c r="B2982" i="3" s="1"/>
  <c r="A2984" i="3"/>
  <c r="L2984" i="3" l="1"/>
  <c r="F2984" i="3"/>
  <c r="J2984" i="3"/>
  <c r="D2984" i="3"/>
  <c r="K2984" i="3"/>
  <c r="E2984" i="3"/>
  <c r="C2983" i="3"/>
  <c r="B2983" i="3" s="1"/>
  <c r="I2983" i="3"/>
  <c r="H2983" i="3" s="1"/>
  <c r="A2985" i="3"/>
  <c r="L2985" i="3" l="1"/>
  <c r="F2985" i="3"/>
  <c r="J2985" i="3"/>
  <c r="D2985" i="3"/>
  <c r="K2985" i="3"/>
  <c r="E2985" i="3"/>
  <c r="I2984" i="3"/>
  <c r="H2984" i="3" s="1"/>
  <c r="C2984" i="3"/>
  <c r="B2984" i="3" s="1"/>
  <c r="A2986" i="3"/>
  <c r="I2985" i="3" l="1"/>
  <c r="H2985" i="3" s="1"/>
  <c r="L2986" i="3"/>
  <c r="F2986" i="3"/>
  <c r="J2986" i="3"/>
  <c r="D2986" i="3"/>
  <c r="K2986" i="3"/>
  <c r="E2986" i="3"/>
  <c r="C2985" i="3"/>
  <c r="B2985" i="3" s="1"/>
  <c r="A2987" i="3"/>
  <c r="L2987" i="3" l="1"/>
  <c r="F2987" i="3"/>
  <c r="J2987" i="3"/>
  <c r="D2987" i="3"/>
  <c r="K2987" i="3"/>
  <c r="E2987" i="3"/>
  <c r="C2986" i="3"/>
  <c r="B2986" i="3" s="1"/>
  <c r="I2986" i="3"/>
  <c r="H2986" i="3" s="1"/>
  <c r="A2988" i="3"/>
  <c r="L2988" i="3" l="1"/>
  <c r="F2988" i="3"/>
  <c r="J2988" i="3"/>
  <c r="D2988" i="3"/>
  <c r="K2988" i="3"/>
  <c r="E2988" i="3"/>
  <c r="I2987" i="3"/>
  <c r="H2987" i="3" s="1"/>
  <c r="C2987" i="3"/>
  <c r="B2987" i="3" s="1"/>
  <c r="A2989" i="3"/>
  <c r="F2989" i="3" l="1"/>
  <c r="E2989" i="3"/>
  <c r="L2989" i="3"/>
  <c r="J2989" i="3"/>
  <c r="D2989" i="3"/>
  <c r="K2989" i="3"/>
  <c r="I2988" i="3"/>
  <c r="H2988" i="3" s="1"/>
  <c r="C2988" i="3"/>
  <c r="B2988" i="3" s="1"/>
  <c r="A2990" i="3"/>
  <c r="L2990" i="3" l="1"/>
  <c r="F2990" i="3"/>
  <c r="J2990" i="3"/>
  <c r="D2990" i="3"/>
  <c r="K2990" i="3"/>
  <c r="E2990" i="3"/>
  <c r="A2991" i="3"/>
  <c r="I2989" i="3"/>
  <c r="H2989" i="3" s="1"/>
  <c r="C2989" i="3"/>
  <c r="B2989" i="3" s="1"/>
  <c r="L2991" i="3" l="1"/>
  <c r="F2991" i="3"/>
  <c r="J2991" i="3"/>
  <c r="D2991" i="3"/>
  <c r="K2991" i="3"/>
  <c r="E2991" i="3"/>
  <c r="C2990" i="3"/>
  <c r="B2990" i="3" s="1"/>
  <c r="I2990" i="3"/>
  <c r="H2990" i="3" s="1"/>
  <c r="A2992" i="3"/>
  <c r="L2992" i="3" l="1"/>
  <c r="F2992" i="3"/>
  <c r="J2992" i="3"/>
  <c r="D2992" i="3"/>
  <c r="K2992" i="3"/>
  <c r="E2992" i="3"/>
  <c r="I2991" i="3"/>
  <c r="H2991" i="3" s="1"/>
  <c r="C2991" i="3"/>
  <c r="B2991" i="3" s="1"/>
  <c r="A2993" i="3"/>
  <c r="L2993" i="3" l="1"/>
  <c r="F2993" i="3"/>
  <c r="J2993" i="3"/>
  <c r="D2993" i="3"/>
  <c r="K2993" i="3"/>
  <c r="E2993" i="3"/>
  <c r="C2992" i="3"/>
  <c r="B2992" i="3" s="1"/>
  <c r="I2992" i="3"/>
  <c r="H2992" i="3" s="1"/>
  <c r="A2994" i="3"/>
  <c r="L2994" i="3" l="1"/>
  <c r="F2994" i="3"/>
  <c r="J2994" i="3"/>
  <c r="D2994" i="3"/>
  <c r="K2994" i="3"/>
  <c r="E2994" i="3"/>
  <c r="I2993" i="3"/>
  <c r="H2993" i="3" s="1"/>
  <c r="C2993" i="3"/>
  <c r="B2993" i="3" s="1"/>
  <c r="A2995" i="3"/>
  <c r="L2995" i="3" l="1"/>
  <c r="F2995" i="3"/>
  <c r="J2995" i="3"/>
  <c r="D2995" i="3"/>
  <c r="K2995" i="3"/>
  <c r="E2995" i="3"/>
  <c r="I2994" i="3"/>
  <c r="H2994" i="3" s="1"/>
  <c r="C2994" i="3"/>
  <c r="B2994" i="3" s="1"/>
  <c r="A2996" i="3"/>
  <c r="F2996" i="3" l="1"/>
  <c r="L2996" i="3"/>
  <c r="J2996" i="3"/>
  <c r="D2996" i="3"/>
  <c r="K2996" i="3"/>
  <c r="E2996" i="3"/>
  <c r="I2995" i="3"/>
  <c r="H2995" i="3" s="1"/>
  <c r="C2995" i="3"/>
  <c r="B2995" i="3" s="1"/>
  <c r="A2997" i="3"/>
  <c r="L2997" i="3" l="1"/>
  <c r="F2997" i="3"/>
  <c r="D2997" i="3"/>
  <c r="E2997" i="3"/>
  <c r="J2997" i="3"/>
  <c r="K2997" i="3"/>
  <c r="I2996" i="3"/>
  <c r="H2996" i="3" s="1"/>
  <c r="A2998" i="3"/>
  <c r="C2996" i="3"/>
  <c r="B2996" i="3" s="1"/>
  <c r="L2998" i="3" l="1"/>
  <c r="F2998" i="3"/>
  <c r="J2998" i="3"/>
  <c r="D2998" i="3"/>
  <c r="K2998" i="3"/>
  <c r="E2998" i="3"/>
  <c r="I2997" i="3"/>
  <c r="H2997" i="3" s="1"/>
  <c r="C2997" i="3"/>
  <c r="B2997" i="3" s="1"/>
  <c r="A2999" i="3"/>
  <c r="L2999" i="3" l="1"/>
  <c r="F2999" i="3"/>
  <c r="J2999" i="3"/>
  <c r="D2999" i="3"/>
  <c r="K2999" i="3"/>
  <c r="E2999" i="3"/>
  <c r="C2998" i="3"/>
  <c r="B2998" i="3" s="1"/>
  <c r="I2998" i="3"/>
  <c r="H2998" i="3" s="1"/>
  <c r="A3000" i="3"/>
  <c r="L3000" i="3" l="1"/>
  <c r="F3000" i="3"/>
  <c r="J3000" i="3"/>
  <c r="K3000" i="3"/>
  <c r="D3000" i="3"/>
  <c r="E3000" i="3"/>
  <c r="I2999" i="3"/>
  <c r="H2999" i="3" s="1"/>
  <c r="C2999" i="3"/>
  <c r="B2999" i="3" s="1"/>
  <c r="A3001" i="3"/>
  <c r="L3001" i="3" l="1"/>
  <c r="F3001" i="3"/>
  <c r="J3001" i="3"/>
  <c r="D3001" i="3"/>
  <c r="K3001" i="3"/>
  <c r="E3001" i="3"/>
  <c r="I3000" i="3"/>
  <c r="H3000" i="3" s="1"/>
  <c r="C3000" i="3"/>
  <c r="B3000" i="3" s="1"/>
  <c r="A3002" i="3"/>
  <c r="L3002" i="3" l="1"/>
  <c r="F3002" i="3"/>
  <c r="J3002" i="3"/>
  <c r="D3002" i="3"/>
  <c r="K3002" i="3"/>
  <c r="E3002" i="3"/>
  <c r="I3001" i="3"/>
  <c r="H3001" i="3" s="1"/>
  <c r="C3001" i="3"/>
  <c r="B3001" i="3" s="1"/>
  <c r="A3003" i="3"/>
  <c r="L3003" i="3" l="1"/>
  <c r="F3003" i="3"/>
  <c r="J3003" i="3"/>
  <c r="D3003" i="3"/>
  <c r="K3003" i="3"/>
  <c r="E3003" i="3"/>
  <c r="C3002" i="3"/>
  <c r="B3002" i="3" s="1"/>
  <c r="I3002" i="3"/>
  <c r="H3002" i="3" s="1"/>
  <c r="A3004" i="3"/>
  <c r="L3004" i="3" l="1"/>
  <c r="F3004" i="3"/>
  <c r="J3004" i="3"/>
  <c r="D3004" i="3"/>
  <c r="K3004" i="3"/>
  <c r="E3004" i="3"/>
  <c r="I3003" i="3"/>
  <c r="H3003" i="3" s="1"/>
  <c r="C3003" i="3"/>
  <c r="B3003" i="3" s="1"/>
  <c r="A3005" i="3"/>
  <c r="L3005" i="3" l="1"/>
  <c r="F3005" i="3"/>
  <c r="J3005" i="3"/>
  <c r="D3005" i="3"/>
  <c r="K3005" i="3"/>
  <c r="E3005" i="3"/>
  <c r="I3004" i="3"/>
  <c r="H3004" i="3" s="1"/>
  <c r="C3004" i="3"/>
  <c r="B3004" i="3" s="1"/>
  <c r="A3006" i="3"/>
  <c r="L3006" i="3" l="1"/>
  <c r="F3006" i="3"/>
  <c r="J3006" i="3"/>
  <c r="D3006" i="3"/>
  <c r="K3006" i="3"/>
  <c r="E3006" i="3"/>
  <c r="I3005" i="3"/>
  <c r="H3005" i="3" s="1"/>
  <c r="C3005" i="3"/>
  <c r="B3005" i="3" s="1"/>
  <c r="A3007" i="3"/>
  <c r="L3007" i="3" l="1"/>
  <c r="F3007" i="3"/>
  <c r="J3007" i="3"/>
  <c r="D3007" i="3"/>
  <c r="K3007" i="3"/>
  <c r="E3007" i="3"/>
  <c r="C3006" i="3"/>
  <c r="B3006" i="3" s="1"/>
  <c r="A3008" i="3"/>
  <c r="I3006" i="3"/>
  <c r="H3006" i="3" s="1"/>
  <c r="L3008" i="3" l="1"/>
  <c r="F3008" i="3"/>
  <c r="J3008" i="3"/>
  <c r="D3008" i="3"/>
  <c r="K3008" i="3"/>
  <c r="E3008" i="3"/>
  <c r="I3007" i="3"/>
  <c r="H3007" i="3" s="1"/>
  <c r="C3007" i="3"/>
  <c r="B3007" i="3" s="1"/>
  <c r="A3009" i="3"/>
  <c r="F3009" i="3" l="1"/>
  <c r="E3009" i="3"/>
  <c r="L3009" i="3"/>
  <c r="J3009" i="3"/>
  <c r="D3009" i="3"/>
  <c r="K3009" i="3"/>
  <c r="I3008" i="3"/>
  <c r="H3008" i="3" s="1"/>
  <c r="C3008" i="3"/>
  <c r="B3008" i="3" s="1"/>
  <c r="A3010" i="3"/>
  <c r="L3010" i="3" l="1"/>
  <c r="F3010" i="3"/>
  <c r="D3010" i="3"/>
  <c r="E3010" i="3"/>
  <c r="J3010" i="3"/>
  <c r="K3010" i="3"/>
  <c r="A3011" i="3"/>
  <c r="I3009" i="3"/>
  <c r="H3009" i="3" s="1"/>
  <c r="C3009" i="3"/>
  <c r="B3009" i="3" s="1"/>
  <c r="L3011" i="3" l="1"/>
  <c r="F3011" i="3"/>
  <c r="D3011" i="3"/>
  <c r="E3011" i="3"/>
  <c r="J3011" i="3"/>
  <c r="K3011" i="3"/>
  <c r="I3010" i="3"/>
  <c r="H3010" i="3" s="1"/>
  <c r="A3012" i="3"/>
  <c r="C3010" i="3"/>
  <c r="B3010" i="3" s="1"/>
  <c r="L3012" i="3" l="1"/>
  <c r="F3012" i="3"/>
  <c r="J3012" i="3"/>
  <c r="D3012" i="3"/>
  <c r="K3012" i="3"/>
  <c r="E3012" i="3"/>
  <c r="I3011" i="3"/>
  <c r="H3011" i="3" s="1"/>
  <c r="C3011" i="3"/>
  <c r="B3011" i="3" s="1"/>
  <c r="A3013" i="3"/>
  <c r="L3013" i="3" l="1"/>
  <c r="F3013" i="3"/>
  <c r="J3013" i="3"/>
  <c r="D3013" i="3"/>
  <c r="K3013" i="3"/>
  <c r="E3013" i="3"/>
  <c r="I3012" i="3"/>
  <c r="H3012" i="3" s="1"/>
  <c r="C3012" i="3"/>
  <c r="B3012" i="3" s="1"/>
  <c r="A3014" i="3"/>
  <c r="L3014" i="3" l="1"/>
  <c r="F3014" i="3"/>
  <c r="J3014" i="3"/>
  <c r="D3014" i="3"/>
  <c r="K3014" i="3"/>
  <c r="E3014" i="3"/>
  <c r="C3013" i="3"/>
  <c r="B3013" i="3" s="1"/>
  <c r="A3015" i="3"/>
  <c r="I3013" i="3"/>
  <c r="H3013" i="3" s="1"/>
  <c r="L3015" i="3" l="1"/>
  <c r="F3015" i="3"/>
  <c r="J3015" i="3"/>
  <c r="D3015" i="3"/>
  <c r="K3015" i="3"/>
  <c r="E3015" i="3"/>
  <c r="I3014" i="3"/>
  <c r="H3014" i="3" s="1"/>
  <c r="C3014" i="3"/>
  <c r="B3014" i="3" s="1"/>
  <c r="A3016" i="3"/>
  <c r="L3016" i="3" l="1"/>
  <c r="F3016" i="3"/>
  <c r="J3016" i="3"/>
  <c r="D3016" i="3"/>
  <c r="K3016" i="3"/>
  <c r="E3016" i="3"/>
  <c r="I3015" i="3"/>
  <c r="H3015" i="3" s="1"/>
  <c r="C3015" i="3"/>
  <c r="B3015" i="3" s="1"/>
  <c r="A3017" i="3"/>
  <c r="L3017" i="3" l="1"/>
  <c r="F3017" i="3"/>
  <c r="J3017" i="3"/>
  <c r="D3017" i="3"/>
  <c r="K3017" i="3"/>
  <c r="E3017" i="3"/>
  <c r="C3016" i="3"/>
  <c r="B3016" i="3" s="1"/>
  <c r="I3016" i="3"/>
  <c r="H3016" i="3" s="1"/>
  <c r="A3018" i="3"/>
  <c r="L3018" i="3" l="1"/>
  <c r="F3018" i="3"/>
  <c r="J3018" i="3"/>
  <c r="D3018" i="3"/>
  <c r="K3018" i="3"/>
  <c r="E3018" i="3"/>
  <c r="C3017" i="3"/>
  <c r="B3017" i="3" s="1"/>
  <c r="I3017" i="3"/>
  <c r="H3017" i="3" s="1"/>
  <c r="A3019" i="3"/>
  <c r="I3018" i="3" l="1"/>
  <c r="H3018" i="3" s="1"/>
  <c r="L3019" i="3"/>
  <c r="F3019" i="3"/>
  <c r="J3019" i="3"/>
  <c r="D3019" i="3"/>
  <c r="K3019" i="3"/>
  <c r="E3019" i="3"/>
  <c r="C3018" i="3"/>
  <c r="B3018" i="3" s="1"/>
  <c r="A3020" i="3"/>
  <c r="L3020" i="3" l="1"/>
  <c r="F3020" i="3"/>
  <c r="J3020" i="3"/>
  <c r="D3020" i="3"/>
  <c r="K3020" i="3"/>
  <c r="E3020" i="3"/>
  <c r="I3019" i="3"/>
  <c r="H3019" i="3" s="1"/>
  <c r="A3021" i="3"/>
  <c r="C3019" i="3"/>
  <c r="B3019" i="3" s="1"/>
  <c r="L3021" i="3" l="1"/>
  <c r="F3021" i="3"/>
  <c r="J3021" i="3"/>
  <c r="D3021" i="3"/>
  <c r="K3021" i="3"/>
  <c r="E3021" i="3"/>
  <c r="C3020" i="3"/>
  <c r="B3020" i="3" s="1"/>
  <c r="I3020" i="3"/>
  <c r="H3020" i="3" s="1"/>
  <c r="A3022" i="3"/>
  <c r="L3022" i="3" l="1"/>
  <c r="F3022" i="3"/>
  <c r="J3022" i="3"/>
  <c r="D3022" i="3"/>
  <c r="K3022" i="3"/>
  <c r="E3022" i="3"/>
  <c r="I3021" i="3"/>
  <c r="H3021" i="3" s="1"/>
  <c r="C3021" i="3"/>
  <c r="B3021" i="3" s="1"/>
  <c r="A3023" i="3"/>
  <c r="L3023" i="3" l="1"/>
  <c r="F3023" i="3"/>
  <c r="J3023" i="3"/>
  <c r="D3023" i="3"/>
  <c r="K3023" i="3"/>
  <c r="E3023" i="3"/>
  <c r="I3022" i="3"/>
  <c r="H3022" i="3" s="1"/>
  <c r="A3024" i="3"/>
  <c r="C3022" i="3"/>
  <c r="B3022" i="3" s="1"/>
  <c r="L3024" i="3" l="1"/>
  <c r="F3024" i="3"/>
  <c r="J3024" i="3"/>
  <c r="D3024" i="3"/>
  <c r="K3024" i="3"/>
  <c r="E3024" i="3"/>
  <c r="I3023" i="3"/>
  <c r="H3023" i="3" s="1"/>
  <c r="C3023" i="3"/>
  <c r="B3023" i="3" s="1"/>
  <c r="A3025" i="3"/>
  <c r="L3025" i="3" l="1"/>
  <c r="F3025" i="3"/>
  <c r="J3025" i="3"/>
  <c r="D3025" i="3"/>
  <c r="K3025" i="3"/>
  <c r="E3025" i="3"/>
  <c r="I3024" i="3"/>
  <c r="H3024" i="3" s="1"/>
  <c r="A3026" i="3"/>
  <c r="C3024" i="3"/>
  <c r="B3024" i="3" s="1"/>
  <c r="L3026" i="3" l="1"/>
  <c r="F3026" i="3"/>
  <c r="J3026" i="3"/>
  <c r="D3026" i="3"/>
  <c r="K3026" i="3"/>
  <c r="E3026" i="3"/>
  <c r="I3025" i="3"/>
  <c r="H3025" i="3" s="1"/>
  <c r="A3027" i="3"/>
  <c r="C3025" i="3"/>
  <c r="B3025" i="3" s="1"/>
  <c r="L3027" i="3" l="1"/>
  <c r="F3027" i="3"/>
  <c r="J3027" i="3"/>
  <c r="D3027" i="3"/>
  <c r="K3027" i="3"/>
  <c r="E3027" i="3"/>
  <c r="C3026" i="3"/>
  <c r="B3026" i="3" s="1"/>
  <c r="I3026" i="3"/>
  <c r="H3026" i="3" s="1"/>
  <c r="A3028" i="3"/>
  <c r="L3028" i="3" l="1"/>
  <c r="F3028" i="3"/>
  <c r="J3028" i="3"/>
  <c r="D3028" i="3"/>
  <c r="K3028" i="3"/>
  <c r="E3028" i="3"/>
  <c r="C3027" i="3"/>
  <c r="B3027" i="3" s="1"/>
  <c r="I3027" i="3"/>
  <c r="H3027" i="3" s="1"/>
  <c r="A3029" i="3"/>
  <c r="L3029" i="3" l="1"/>
  <c r="F3029" i="3"/>
  <c r="J3029" i="3"/>
  <c r="D3029" i="3"/>
  <c r="K3029" i="3"/>
  <c r="E3029" i="3"/>
  <c r="I3028" i="3"/>
  <c r="H3028" i="3" s="1"/>
  <c r="C3028" i="3"/>
  <c r="B3028" i="3" s="1"/>
  <c r="A3030" i="3"/>
  <c r="L3030" i="3" l="1"/>
  <c r="F3030" i="3"/>
  <c r="D3030" i="3"/>
  <c r="E3030" i="3"/>
  <c r="J3030" i="3"/>
  <c r="K3030" i="3"/>
  <c r="I3029" i="3"/>
  <c r="H3029" i="3" s="1"/>
  <c r="C3029" i="3"/>
  <c r="B3029" i="3" s="1"/>
  <c r="A3031" i="3"/>
  <c r="L3031" i="3" l="1"/>
  <c r="F3031" i="3"/>
  <c r="J3031" i="3"/>
  <c r="D3031" i="3"/>
  <c r="K3031" i="3"/>
  <c r="E3031" i="3"/>
  <c r="I3030" i="3"/>
  <c r="H3030" i="3" s="1"/>
  <c r="A3032" i="3"/>
  <c r="C3030" i="3"/>
  <c r="B3030" i="3" s="1"/>
  <c r="L3032" i="3" l="1"/>
  <c r="F3032" i="3"/>
  <c r="J3032" i="3"/>
  <c r="D3032" i="3"/>
  <c r="K3032" i="3"/>
  <c r="E3032" i="3"/>
  <c r="C3031" i="3"/>
  <c r="B3031" i="3" s="1"/>
  <c r="I3031" i="3"/>
  <c r="H3031" i="3" s="1"/>
  <c r="A3033" i="3"/>
  <c r="L3033" i="3" l="1"/>
  <c r="F3033" i="3"/>
  <c r="J3033" i="3"/>
  <c r="D3033" i="3"/>
  <c r="K3033" i="3"/>
  <c r="E3033" i="3"/>
  <c r="C3032" i="3"/>
  <c r="B3032" i="3" s="1"/>
  <c r="I3032" i="3"/>
  <c r="H3032" i="3" s="1"/>
  <c r="A3034" i="3"/>
  <c r="L3034" i="3" l="1"/>
  <c r="F3034" i="3"/>
  <c r="J3034" i="3"/>
  <c r="D3034" i="3"/>
  <c r="K3034" i="3"/>
  <c r="E3034" i="3"/>
  <c r="I3033" i="3"/>
  <c r="H3033" i="3" s="1"/>
  <c r="C3033" i="3"/>
  <c r="B3033" i="3" s="1"/>
  <c r="A3035" i="3"/>
  <c r="L3035" i="3" l="1"/>
  <c r="F3035" i="3"/>
  <c r="J3035" i="3"/>
  <c r="D3035" i="3"/>
  <c r="K3035" i="3"/>
  <c r="E3035" i="3"/>
  <c r="A3036" i="3"/>
  <c r="I3034" i="3"/>
  <c r="H3034" i="3" s="1"/>
  <c r="C3034" i="3"/>
  <c r="B3034" i="3" s="1"/>
  <c r="L3036" i="3" l="1"/>
  <c r="F3036" i="3"/>
  <c r="J3036" i="3"/>
  <c r="D3036" i="3"/>
  <c r="K3036" i="3"/>
  <c r="E3036" i="3"/>
  <c r="I3035" i="3"/>
  <c r="H3035" i="3" s="1"/>
  <c r="C3035" i="3"/>
  <c r="B3035" i="3" s="1"/>
  <c r="A3037" i="3"/>
  <c r="L3037" i="3" l="1"/>
  <c r="F3037" i="3"/>
  <c r="J3037" i="3"/>
  <c r="D3037" i="3"/>
  <c r="K3037" i="3"/>
  <c r="E3037" i="3"/>
  <c r="I3036" i="3"/>
  <c r="H3036" i="3" s="1"/>
  <c r="A3038" i="3"/>
  <c r="C3036" i="3"/>
  <c r="B3036" i="3" s="1"/>
  <c r="L3038" i="3" l="1"/>
  <c r="F3038" i="3"/>
  <c r="J3038" i="3"/>
  <c r="D3038" i="3"/>
  <c r="K3038" i="3"/>
  <c r="E3038" i="3"/>
  <c r="I3037" i="3"/>
  <c r="H3037" i="3" s="1"/>
  <c r="A3039" i="3"/>
  <c r="C3037" i="3"/>
  <c r="B3037" i="3" s="1"/>
  <c r="L3039" i="3" l="1"/>
  <c r="F3039" i="3"/>
  <c r="J3039" i="3"/>
  <c r="D3039" i="3"/>
  <c r="K3039" i="3"/>
  <c r="E3039" i="3"/>
  <c r="C3038" i="3"/>
  <c r="B3038" i="3" s="1"/>
  <c r="I3038" i="3"/>
  <c r="H3038" i="3" s="1"/>
  <c r="A3040" i="3"/>
  <c r="L3040" i="3" l="1"/>
  <c r="F3040" i="3"/>
  <c r="J3040" i="3"/>
  <c r="D3040" i="3"/>
  <c r="K3040" i="3"/>
  <c r="E3040" i="3"/>
  <c r="C3039" i="3"/>
  <c r="B3039" i="3" s="1"/>
  <c r="I3039" i="3"/>
  <c r="H3039" i="3" s="1"/>
  <c r="A3041" i="3"/>
  <c r="L3041" i="3" l="1"/>
  <c r="F3041" i="3"/>
  <c r="D3041" i="3"/>
  <c r="J3041" i="3"/>
  <c r="E3041" i="3"/>
  <c r="K3041" i="3"/>
  <c r="C3040" i="3"/>
  <c r="B3040" i="3" s="1"/>
  <c r="I3040" i="3"/>
  <c r="H3040" i="3" s="1"/>
  <c r="A3042" i="3"/>
  <c r="L3042" i="3" l="1"/>
  <c r="F3042" i="3"/>
  <c r="D3042" i="3"/>
  <c r="E3042" i="3"/>
  <c r="J3042" i="3"/>
  <c r="K3042" i="3"/>
  <c r="I3041" i="3"/>
  <c r="H3041" i="3" s="1"/>
  <c r="A3043" i="3"/>
  <c r="C3041" i="3"/>
  <c r="B3041" i="3" s="1"/>
  <c r="L3043" i="3" l="1"/>
  <c r="F3043" i="3"/>
  <c r="J3043" i="3"/>
  <c r="D3043" i="3"/>
  <c r="K3043" i="3"/>
  <c r="E3043" i="3"/>
  <c r="I3042" i="3"/>
  <c r="H3042" i="3" s="1"/>
  <c r="C3042" i="3"/>
  <c r="B3042" i="3" s="1"/>
  <c r="A3044" i="3"/>
  <c r="L3044" i="3" l="1"/>
  <c r="F3044" i="3"/>
  <c r="J3044" i="3"/>
  <c r="D3044" i="3"/>
  <c r="K3044" i="3"/>
  <c r="E3044" i="3"/>
  <c r="C3043" i="3"/>
  <c r="B3043" i="3" s="1"/>
  <c r="A3045" i="3"/>
  <c r="I3043" i="3"/>
  <c r="H3043" i="3" s="1"/>
  <c r="L3045" i="3" l="1"/>
  <c r="F3045" i="3"/>
  <c r="J3045" i="3"/>
  <c r="D3045" i="3"/>
  <c r="K3045" i="3"/>
  <c r="E3045" i="3"/>
  <c r="I3044" i="3"/>
  <c r="H3044" i="3" s="1"/>
  <c r="A3046" i="3"/>
  <c r="C3044" i="3"/>
  <c r="B3044" i="3" s="1"/>
  <c r="L3046" i="3" l="1"/>
  <c r="F3046" i="3"/>
  <c r="J3046" i="3"/>
  <c r="D3046" i="3"/>
  <c r="K3046" i="3"/>
  <c r="E3046" i="3"/>
  <c r="C3045" i="3"/>
  <c r="B3045" i="3" s="1"/>
  <c r="I3045" i="3"/>
  <c r="H3045" i="3" s="1"/>
  <c r="A3047" i="3"/>
  <c r="L3047" i="3" l="1"/>
  <c r="F3047" i="3"/>
  <c r="J3047" i="3"/>
  <c r="D3047" i="3"/>
  <c r="K3047" i="3"/>
  <c r="E3047" i="3"/>
  <c r="I3046" i="3"/>
  <c r="H3046" i="3" s="1"/>
  <c r="C3046" i="3"/>
  <c r="B3046" i="3" s="1"/>
  <c r="A3048" i="3"/>
  <c r="L3048" i="3" l="1"/>
  <c r="F3048" i="3"/>
  <c r="J3048" i="3"/>
  <c r="D3048" i="3"/>
  <c r="K3048" i="3"/>
  <c r="E3048" i="3"/>
  <c r="I3047" i="3"/>
  <c r="H3047" i="3" s="1"/>
  <c r="A3049" i="3"/>
  <c r="C3047" i="3"/>
  <c r="B3047" i="3" s="1"/>
  <c r="L3049" i="3" l="1"/>
  <c r="F3049" i="3"/>
  <c r="J3049" i="3"/>
  <c r="D3049" i="3"/>
  <c r="K3049" i="3"/>
  <c r="E3049" i="3"/>
  <c r="I3048" i="3"/>
  <c r="H3048" i="3" s="1"/>
  <c r="C3048" i="3"/>
  <c r="B3048" i="3" s="1"/>
  <c r="A3050" i="3"/>
  <c r="L3050" i="3" l="1"/>
  <c r="F3050" i="3"/>
  <c r="J3050" i="3"/>
  <c r="D3050" i="3"/>
  <c r="K3050" i="3"/>
  <c r="E3050" i="3"/>
  <c r="C3049" i="3"/>
  <c r="B3049" i="3" s="1"/>
  <c r="I3049" i="3"/>
  <c r="H3049" i="3" s="1"/>
  <c r="A3051" i="3"/>
  <c r="L3051" i="3" l="1"/>
  <c r="F3051" i="3"/>
  <c r="J3051" i="3"/>
  <c r="D3051" i="3"/>
  <c r="K3051" i="3"/>
  <c r="E3051" i="3"/>
  <c r="I3050" i="3"/>
  <c r="H3050" i="3" s="1"/>
  <c r="C3050" i="3"/>
  <c r="B3050" i="3" s="1"/>
  <c r="A3052" i="3"/>
  <c r="I3051" i="3" l="1"/>
  <c r="H3051" i="3" s="1"/>
  <c r="L3052" i="3"/>
  <c r="F3052" i="3"/>
  <c r="J3052" i="3"/>
  <c r="D3052" i="3"/>
  <c r="K3052" i="3"/>
  <c r="E3052" i="3"/>
  <c r="C3051" i="3"/>
  <c r="B3051" i="3" s="1"/>
  <c r="A3053" i="3"/>
  <c r="L3053" i="3" l="1"/>
  <c r="F3053" i="3"/>
  <c r="J3053" i="3"/>
  <c r="D3053" i="3"/>
  <c r="K3053" i="3"/>
  <c r="E3053" i="3"/>
  <c r="C3052" i="3"/>
  <c r="B3052" i="3" s="1"/>
  <c r="A3054" i="3"/>
  <c r="I3052" i="3"/>
  <c r="H3052" i="3" s="1"/>
  <c r="L3054" i="3" l="1"/>
  <c r="F3054" i="3"/>
  <c r="J3054" i="3"/>
  <c r="D3054" i="3"/>
  <c r="K3054" i="3"/>
  <c r="E3054" i="3"/>
  <c r="C3053" i="3"/>
  <c r="B3053" i="3" s="1"/>
  <c r="I3053" i="3"/>
  <c r="H3053" i="3" s="1"/>
  <c r="A3055" i="3"/>
  <c r="L3055" i="3" l="1"/>
  <c r="F3055" i="3"/>
  <c r="J3055" i="3"/>
  <c r="D3055" i="3"/>
  <c r="K3055" i="3"/>
  <c r="E3055" i="3"/>
  <c r="I3054" i="3"/>
  <c r="H3054" i="3" s="1"/>
  <c r="C3054" i="3"/>
  <c r="B3054" i="3" s="1"/>
  <c r="A3056" i="3"/>
  <c r="L3056" i="3" l="1"/>
  <c r="F3056" i="3"/>
  <c r="J3056" i="3"/>
  <c r="D3056" i="3"/>
  <c r="K3056" i="3"/>
  <c r="E3056" i="3"/>
  <c r="I3055" i="3"/>
  <c r="H3055" i="3" s="1"/>
  <c r="C3055" i="3"/>
  <c r="B3055" i="3" s="1"/>
  <c r="A3057" i="3"/>
  <c r="L3057" i="3" l="1"/>
  <c r="F3057" i="3"/>
  <c r="J3057" i="3"/>
  <c r="D3057" i="3"/>
  <c r="K3057" i="3"/>
  <c r="E3057" i="3"/>
  <c r="C3056" i="3"/>
  <c r="B3056" i="3" s="1"/>
  <c r="I3056" i="3"/>
  <c r="H3056" i="3" s="1"/>
  <c r="A3058" i="3"/>
  <c r="L3058" i="3" l="1"/>
  <c r="F3058" i="3"/>
  <c r="D3058" i="3"/>
  <c r="J3058" i="3"/>
  <c r="E3058" i="3"/>
  <c r="K3058" i="3"/>
  <c r="I3057" i="3"/>
  <c r="H3057" i="3" s="1"/>
  <c r="C3057" i="3"/>
  <c r="B3057" i="3" s="1"/>
  <c r="A3059" i="3"/>
  <c r="L3059" i="3" l="1"/>
  <c r="F3059" i="3"/>
  <c r="J3059" i="3"/>
  <c r="D3059" i="3"/>
  <c r="K3059" i="3"/>
  <c r="E3059" i="3"/>
  <c r="I3058" i="3"/>
  <c r="H3058" i="3" s="1"/>
  <c r="A3060" i="3"/>
  <c r="C3058" i="3"/>
  <c r="B3058" i="3" s="1"/>
  <c r="L3060" i="3" l="1"/>
  <c r="F3060" i="3"/>
  <c r="J3060" i="3"/>
  <c r="D3060" i="3"/>
  <c r="K3060" i="3"/>
  <c r="E3060" i="3"/>
  <c r="C3059" i="3"/>
  <c r="B3059" i="3" s="1"/>
  <c r="I3059" i="3"/>
  <c r="H3059" i="3" s="1"/>
  <c r="A3061" i="3"/>
  <c r="L3061" i="3" l="1"/>
  <c r="F3061" i="3"/>
  <c r="J3061" i="3"/>
  <c r="D3061" i="3"/>
  <c r="K3061" i="3"/>
  <c r="E3061" i="3"/>
  <c r="I3060" i="3"/>
  <c r="H3060" i="3" s="1"/>
  <c r="C3060" i="3"/>
  <c r="B3060" i="3" s="1"/>
  <c r="A3062" i="3"/>
  <c r="L3062" i="3" l="1"/>
  <c r="F3062" i="3"/>
  <c r="J3062" i="3"/>
  <c r="D3062" i="3"/>
  <c r="K3062" i="3"/>
  <c r="E3062" i="3"/>
  <c r="I3061" i="3"/>
  <c r="H3061" i="3" s="1"/>
  <c r="C3061" i="3"/>
  <c r="B3061" i="3" s="1"/>
  <c r="A3063" i="3"/>
  <c r="L3063" i="3" l="1"/>
  <c r="F3063" i="3"/>
  <c r="J3063" i="3"/>
  <c r="D3063" i="3"/>
  <c r="K3063" i="3"/>
  <c r="E3063" i="3"/>
  <c r="C3062" i="3"/>
  <c r="B3062" i="3" s="1"/>
  <c r="I3062" i="3"/>
  <c r="H3062" i="3" s="1"/>
  <c r="A3064" i="3"/>
  <c r="L3064" i="3" l="1"/>
  <c r="F3064" i="3"/>
  <c r="J3064" i="3"/>
  <c r="D3064" i="3"/>
  <c r="K3064" i="3"/>
  <c r="E3064" i="3"/>
  <c r="I3063" i="3"/>
  <c r="H3063" i="3" s="1"/>
  <c r="A3065" i="3"/>
  <c r="C3063" i="3"/>
  <c r="B3063" i="3" s="1"/>
  <c r="L3065" i="3" l="1"/>
  <c r="F3065" i="3"/>
  <c r="J3065" i="3"/>
  <c r="D3065" i="3"/>
  <c r="K3065" i="3"/>
  <c r="E3065" i="3"/>
  <c r="I3064" i="3"/>
  <c r="H3064" i="3" s="1"/>
  <c r="C3064" i="3"/>
  <c r="B3064" i="3" s="1"/>
  <c r="A3066" i="3"/>
  <c r="L3066" i="3" l="1"/>
  <c r="F3066" i="3"/>
  <c r="J3066" i="3"/>
  <c r="D3066" i="3"/>
  <c r="K3066" i="3"/>
  <c r="E3066" i="3"/>
  <c r="I3065" i="3"/>
  <c r="H3065" i="3" s="1"/>
  <c r="C3065" i="3"/>
  <c r="B3065" i="3" s="1"/>
  <c r="A3067" i="3"/>
  <c r="L3067" i="3" l="1"/>
  <c r="F3067" i="3"/>
  <c r="J3067" i="3"/>
  <c r="D3067" i="3"/>
  <c r="K3067" i="3"/>
  <c r="E3067" i="3"/>
  <c r="I3066" i="3"/>
  <c r="H3066" i="3" s="1"/>
  <c r="C3066" i="3"/>
  <c r="B3066" i="3" s="1"/>
  <c r="A3068" i="3"/>
  <c r="L3068" i="3" l="1"/>
  <c r="F3068" i="3"/>
  <c r="J3068" i="3"/>
  <c r="D3068" i="3"/>
  <c r="K3068" i="3"/>
  <c r="E3068" i="3"/>
  <c r="C3067" i="3"/>
  <c r="B3067" i="3" s="1"/>
  <c r="A3069" i="3"/>
  <c r="I3067" i="3"/>
  <c r="H3067" i="3" s="1"/>
  <c r="L3069" i="3" l="1"/>
  <c r="F3069" i="3"/>
  <c r="J3069" i="3"/>
  <c r="D3069" i="3"/>
  <c r="K3069" i="3"/>
  <c r="E3069" i="3"/>
  <c r="C3068" i="3"/>
  <c r="B3068" i="3" s="1"/>
  <c r="I3068" i="3"/>
  <c r="H3068" i="3" s="1"/>
  <c r="A3070" i="3"/>
  <c r="L3070" i="3" l="1"/>
  <c r="F3070" i="3"/>
  <c r="J3070" i="3"/>
  <c r="D3070" i="3"/>
  <c r="K3070" i="3"/>
  <c r="E3070" i="3"/>
  <c r="I3069" i="3"/>
  <c r="H3069" i="3" s="1"/>
  <c r="C3069" i="3"/>
  <c r="B3069" i="3" s="1"/>
  <c r="A3071" i="3"/>
  <c r="L3071" i="3" l="1"/>
  <c r="F3071" i="3"/>
  <c r="J3071" i="3"/>
  <c r="D3071" i="3"/>
  <c r="K3071" i="3"/>
  <c r="E3071" i="3"/>
  <c r="C3070" i="3"/>
  <c r="B3070" i="3" s="1"/>
  <c r="A3072" i="3"/>
  <c r="I3070" i="3"/>
  <c r="H3070" i="3" s="1"/>
  <c r="L3072" i="3" l="1"/>
  <c r="F3072" i="3"/>
  <c r="D3072" i="3"/>
  <c r="J3072" i="3"/>
  <c r="E3072" i="3"/>
  <c r="K3072" i="3"/>
  <c r="I3071" i="3"/>
  <c r="H3071" i="3" s="1"/>
  <c r="C3071" i="3"/>
  <c r="B3071" i="3" s="1"/>
  <c r="A3073" i="3"/>
  <c r="L3073" i="3" l="1"/>
  <c r="F3073" i="3"/>
  <c r="D3073" i="3"/>
  <c r="J3073" i="3"/>
  <c r="E3073" i="3"/>
  <c r="K3073" i="3"/>
  <c r="I3072" i="3"/>
  <c r="H3072" i="3" s="1"/>
  <c r="C3072" i="3"/>
  <c r="B3072" i="3" s="1"/>
  <c r="A3074" i="3"/>
  <c r="L3074" i="3" l="1"/>
  <c r="F3074" i="3"/>
  <c r="J3074" i="3"/>
  <c r="D3074" i="3"/>
  <c r="K3074" i="3"/>
  <c r="E3074" i="3"/>
  <c r="C3073" i="3"/>
  <c r="B3073" i="3" s="1"/>
  <c r="I3073" i="3"/>
  <c r="H3073" i="3" s="1"/>
  <c r="A3075" i="3"/>
  <c r="L3075" i="3" l="1"/>
  <c r="F3075" i="3"/>
  <c r="J3075" i="3"/>
  <c r="D3075" i="3"/>
  <c r="K3075" i="3"/>
  <c r="E3075" i="3"/>
  <c r="I3074" i="3"/>
  <c r="H3074" i="3" s="1"/>
  <c r="A3076" i="3"/>
  <c r="C3074" i="3"/>
  <c r="B3074" i="3" s="1"/>
  <c r="L3076" i="3" l="1"/>
  <c r="F3076" i="3"/>
  <c r="J3076" i="3"/>
  <c r="D3076" i="3"/>
  <c r="K3076" i="3"/>
  <c r="E3076" i="3"/>
  <c r="C3075" i="3"/>
  <c r="B3075" i="3" s="1"/>
  <c r="A3077" i="3"/>
  <c r="I3075" i="3"/>
  <c r="H3075" i="3" s="1"/>
  <c r="L3077" i="3" l="1"/>
  <c r="F3077" i="3"/>
  <c r="J3077" i="3"/>
  <c r="D3077" i="3"/>
  <c r="K3077" i="3"/>
  <c r="E3077" i="3"/>
  <c r="I3076" i="3"/>
  <c r="H3076" i="3" s="1"/>
  <c r="C3076" i="3"/>
  <c r="B3076" i="3" s="1"/>
  <c r="A3078" i="3"/>
  <c r="L3078" i="3" l="1"/>
  <c r="F3078" i="3"/>
  <c r="J3078" i="3"/>
  <c r="D3078" i="3"/>
  <c r="K3078" i="3"/>
  <c r="E3078" i="3"/>
  <c r="C3077" i="3"/>
  <c r="B3077" i="3" s="1"/>
  <c r="I3077" i="3"/>
  <c r="H3077" i="3" s="1"/>
  <c r="A3079" i="3"/>
  <c r="L3079" i="3" l="1"/>
  <c r="F3079" i="3"/>
  <c r="J3079" i="3"/>
  <c r="D3079" i="3"/>
  <c r="K3079" i="3"/>
  <c r="E3079" i="3"/>
  <c r="I3078" i="3"/>
  <c r="H3078" i="3" s="1"/>
  <c r="C3078" i="3"/>
  <c r="B3078" i="3" s="1"/>
  <c r="A3080" i="3"/>
  <c r="L3080" i="3" l="1"/>
  <c r="F3080" i="3"/>
  <c r="J3080" i="3"/>
  <c r="D3080" i="3"/>
  <c r="K3080" i="3"/>
  <c r="E3080" i="3"/>
  <c r="C3079" i="3"/>
  <c r="B3079" i="3" s="1"/>
  <c r="A3081" i="3"/>
  <c r="I3079" i="3"/>
  <c r="H3079" i="3" s="1"/>
  <c r="L3081" i="3" l="1"/>
  <c r="F3081" i="3"/>
  <c r="J3081" i="3"/>
  <c r="D3081" i="3"/>
  <c r="K3081" i="3"/>
  <c r="E3081" i="3"/>
  <c r="I3080" i="3"/>
  <c r="H3080" i="3" s="1"/>
  <c r="A3082" i="3"/>
  <c r="C3080" i="3"/>
  <c r="B3080" i="3" s="1"/>
  <c r="L3082" i="3" l="1"/>
  <c r="F3082" i="3"/>
  <c r="J3082" i="3"/>
  <c r="D3082" i="3"/>
  <c r="K3082" i="3"/>
  <c r="E3082" i="3"/>
  <c r="I3081" i="3"/>
  <c r="H3081" i="3" s="1"/>
  <c r="C3081" i="3"/>
  <c r="B3081" i="3" s="1"/>
  <c r="A3083" i="3"/>
  <c r="I3082" i="3" l="1"/>
  <c r="H3082" i="3" s="1"/>
  <c r="L3083" i="3"/>
  <c r="F3083" i="3"/>
  <c r="J3083" i="3"/>
  <c r="D3083" i="3"/>
  <c r="K3083" i="3"/>
  <c r="E3083" i="3"/>
  <c r="A3084" i="3"/>
  <c r="C3082" i="3"/>
  <c r="B3082" i="3" s="1"/>
  <c r="L3084" i="3" l="1"/>
  <c r="F3084" i="3"/>
  <c r="J3084" i="3"/>
  <c r="D3084" i="3"/>
  <c r="K3084" i="3"/>
  <c r="E3084" i="3"/>
  <c r="I3083" i="3"/>
  <c r="H3083" i="3" s="1"/>
  <c r="C3083" i="3"/>
  <c r="B3083" i="3" s="1"/>
  <c r="A3085" i="3"/>
  <c r="L3085" i="3" l="1"/>
  <c r="F3085" i="3"/>
  <c r="J3085" i="3"/>
  <c r="D3085" i="3"/>
  <c r="K3085" i="3"/>
  <c r="E3085" i="3"/>
  <c r="I3084" i="3"/>
  <c r="H3084" i="3" s="1"/>
  <c r="C3084" i="3"/>
  <c r="B3084" i="3" s="1"/>
  <c r="A3086" i="3"/>
  <c r="L3086" i="3" l="1"/>
  <c r="F3086" i="3"/>
  <c r="J3086" i="3"/>
  <c r="D3086" i="3"/>
  <c r="K3086" i="3"/>
  <c r="E3086" i="3"/>
  <c r="A3087" i="3"/>
  <c r="I3085" i="3"/>
  <c r="H3085" i="3" s="1"/>
  <c r="C3085" i="3"/>
  <c r="B3085" i="3" s="1"/>
  <c r="L3087" i="3" l="1"/>
  <c r="F3087" i="3"/>
  <c r="J3087" i="3"/>
  <c r="D3087" i="3"/>
  <c r="K3087" i="3"/>
  <c r="E3087" i="3"/>
  <c r="I3086" i="3"/>
  <c r="H3086" i="3" s="1"/>
  <c r="C3086" i="3"/>
  <c r="B3086" i="3" s="1"/>
  <c r="A3088" i="3"/>
  <c r="L3088" i="3" l="1"/>
  <c r="F3088" i="3"/>
  <c r="J3088" i="3"/>
  <c r="D3088" i="3"/>
  <c r="K3088" i="3"/>
  <c r="E3088" i="3"/>
  <c r="I3087" i="3"/>
  <c r="H3087" i="3" s="1"/>
  <c r="A3089" i="3"/>
  <c r="C3087" i="3"/>
  <c r="B3087" i="3" s="1"/>
  <c r="L3089" i="3" l="1"/>
  <c r="F3089" i="3"/>
  <c r="J3089" i="3"/>
  <c r="D3089" i="3"/>
  <c r="K3089" i="3"/>
  <c r="E3089" i="3"/>
  <c r="C3088" i="3"/>
  <c r="B3088" i="3" s="1"/>
  <c r="I3088" i="3"/>
  <c r="H3088" i="3" s="1"/>
  <c r="A3090" i="3"/>
  <c r="L3090" i="3" l="1"/>
  <c r="F3090" i="3"/>
  <c r="J3090" i="3"/>
  <c r="D3090" i="3"/>
  <c r="K3090" i="3"/>
  <c r="E3090" i="3"/>
  <c r="C3089" i="3"/>
  <c r="B3089" i="3" s="1"/>
  <c r="I3089" i="3"/>
  <c r="H3089" i="3" s="1"/>
  <c r="A3091" i="3"/>
  <c r="L3091" i="3" l="1"/>
  <c r="F3091" i="3"/>
  <c r="J3091" i="3"/>
  <c r="D3091" i="3"/>
  <c r="K3091" i="3"/>
  <c r="E3091" i="3"/>
  <c r="C3090" i="3"/>
  <c r="B3090" i="3" s="1"/>
  <c r="I3090" i="3"/>
  <c r="H3090" i="3" s="1"/>
  <c r="A3092" i="3"/>
  <c r="L3092" i="3" l="1"/>
  <c r="F3092" i="3"/>
  <c r="D3092" i="3"/>
  <c r="E3092" i="3"/>
  <c r="J3092" i="3"/>
  <c r="K3092" i="3"/>
  <c r="I3091" i="3"/>
  <c r="H3091" i="3" s="1"/>
  <c r="C3091" i="3"/>
  <c r="B3091" i="3" s="1"/>
  <c r="A3093" i="3"/>
  <c r="L3093" i="3" l="1"/>
  <c r="F3093" i="3"/>
  <c r="J3093" i="3"/>
  <c r="D3093" i="3"/>
  <c r="K3093" i="3"/>
  <c r="E3093" i="3"/>
  <c r="I3092" i="3"/>
  <c r="H3092" i="3" s="1"/>
  <c r="C3092" i="3"/>
  <c r="B3092" i="3" s="1"/>
  <c r="A3094" i="3"/>
  <c r="L3094" i="3" l="1"/>
  <c r="F3094" i="3"/>
  <c r="J3094" i="3"/>
  <c r="D3094" i="3"/>
  <c r="K3094" i="3"/>
  <c r="E3094" i="3"/>
  <c r="I3093" i="3"/>
  <c r="H3093" i="3" s="1"/>
  <c r="A3095" i="3"/>
  <c r="C3093" i="3"/>
  <c r="B3093" i="3" s="1"/>
  <c r="L3095" i="3" l="1"/>
  <c r="F3095" i="3"/>
  <c r="J3095" i="3"/>
  <c r="D3095" i="3"/>
  <c r="K3095" i="3"/>
  <c r="E3095" i="3"/>
  <c r="I3094" i="3"/>
  <c r="H3094" i="3" s="1"/>
  <c r="C3094" i="3"/>
  <c r="B3094" i="3" s="1"/>
  <c r="A3096" i="3"/>
  <c r="L3096" i="3" l="1"/>
  <c r="F3096" i="3"/>
  <c r="J3096" i="3"/>
  <c r="D3096" i="3"/>
  <c r="K3096" i="3"/>
  <c r="E3096" i="3"/>
  <c r="C3095" i="3"/>
  <c r="B3095" i="3" s="1"/>
  <c r="I3095" i="3"/>
  <c r="H3095" i="3" s="1"/>
  <c r="A3097" i="3"/>
  <c r="L3097" i="3" l="1"/>
  <c r="F3097" i="3"/>
  <c r="J3097" i="3"/>
  <c r="D3097" i="3"/>
  <c r="K3097" i="3"/>
  <c r="E3097" i="3"/>
  <c r="C3096" i="3"/>
  <c r="B3096" i="3" s="1"/>
  <c r="I3096" i="3"/>
  <c r="H3096" i="3" s="1"/>
  <c r="A3098" i="3"/>
  <c r="L3098" i="3" l="1"/>
  <c r="F3098" i="3"/>
  <c r="J3098" i="3"/>
  <c r="D3098" i="3"/>
  <c r="K3098" i="3"/>
  <c r="E3098" i="3"/>
  <c r="C3097" i="3"/>
  <c r="B3097" i="3" s="1"/>
  <c r="A3099" i="3"/>
  <c r="I3097" i="3"/>
  <c r="H3097" i="3" s="1"/>
  <c r="L3099" i="3" l="1"/>
  <c r="F3099" i="3"/>
  <c r="J3099" i="3"/>
  <c r="D3099" i="3"/>
  <c r="K3099" i="3"/>
  <c r="E3099" i="3"/>
  <c r="C3098" i="3"/>
  <c r="B3098" i="3" s="1"/>
  <c r="I3098" i="3"/>
  <c r="H3098" i="3" s="1"/>
  <c r="A3100" i="3"/>
  <c r="L3100" i="3" l="1"/>
  <c r="F3100" i="3"/>
  <c r="J3100" i="3"/>
  <c r="D3100" i="3"/>
  <c r="K3100" i="3"/>
  <c r="E3100" i="3"/>
  <c r="I3099" i="3"/>
  <c r="H3099" i="3" s="1"/>
  <c r="C3099" i="3"/>
  <c r="B3099" i="3" s="1"/>
  <c r="A3101" i="3"/>
  <c r="L3101" i="3" l="1"/>
  <c r="F3101" i="3"/>
  <c r="J3101" i="3"/>
  <c r="D3101" i="3"/>
  <c r="K3101" i="3"/>
  <c r="E3101" i="3"/>
  <c r="I3100" i="3"/>
  <c r="H3100" i="3" s="1"/>
  <c r="C3100" i="3"/>
  <c r="B3100" i="3" s="1"/>
  <c r="A3102" i="3"/>
  <c r="L3102" i="3" l="1"/>
  <c r="F3102" i="3"/>
  <c r="J3102" i="3"/>
  <c r="D3102" i="3"/>
  <c r="K3102" i="3"/>
  <c r="E3102" i="3"/>
  <c r="C3101" i="3"/>
  <c r="B3101" i="3" s="1"/>
  <c r="I3101" i="3"/>
  <c r="H3101" i="3" s="1"/>
  <c r="A3103" i="3"/>
  <c r="L3103" i="3" l="1"/>
  <c r="F3103" i="3"/>
  <c r="D3103" i="3"/>
  <c r="E3103" i="3"/>
  <c r="J3103" i="3"/>
  <c r="K3103" i="3"/>
  <c r="C3102" i="3"/>
  <c r="B3102" i="3" s="1"/>
  <c r="A3104" i="3"/>
  <c r="I3102" i="3"/>
  <c r="H3102" i="3" s="1"/>
  <c r="L3104" i="3" l="1"/>
  <c r="F3104" i="3"/>
  <c r="J3104" i="3"/>
  <c r="K3104" i="3"/>
  <c r="D3104" i="3"/>
  <c r="E3104" i="3"/>
  <c r="I3103" i="3"/>
  <c r="H3103" i="3" s="1"/>
  <c r="C3103" i="3"/>
  <c r="B3103" i="3" s="1"/>
  <c r="A3105" i="3"/>
  <c r="L3105" i="3" l="1"/>
  <c r="F3105" i="3"/>
  <c r="D3105" i="3"/>
  <c r="E3105" i="3"/>
  <c r="J3105" i="3"/>
  <c r="K3105" i="3"/>
  <c r="C3104" i="3"/>
  <c r="B3104" i="3" s="1"/>
  <c r="I3104" i="3"/>
  <c r="H3104" i="3" s="1"/>
  <c r="A3106" i="3"/>
  <c r="L3106" i="3" l="1"/>
  <c r="F3106" i="3"/>
  <c r="J3106" i="3"/>
  <c r="D3106" i="3"/>
  <c r="K3106" i="3"/>
  <c r="E3106" i="3"/>
  <c r="I3105" i="3"/>
  <c r="H3105" i="3" s="1"/>
  <c r="C3105" i="3"/>
  <c r="B3105" i="3" s="1"/>
  <c r="A3107" i="3"/>
  <c r="L3107" i="3" l="1"/>
  <c r="F3107" i="3"/>
  <c r="J3107" i="3"/>
  <c r="D3107" i="3"/>
  <c r="K3107" i="3"/>
  <c r="E3107" i="3"/>
  <c r="A3108" i="3"/>
  <c r="I3106" i="3"/>
  <c r="H3106" i="3" s="1"/>
  <c r="C3106" i="3"/>
  <c r="B3106" i="3" s="1"/>
  <c r="L3108" i="3" l="1"/>
  <c r="F3108" i="3"/>
  <c r="J3108" i="3"/>
  <c r="D3108" i="3"/>
  <c r="K3108" i="3"/>
  <c r="E3108" i="3"/>
  <c r="C3107" i="3"/>
  <c r="B3107" i="3" s="1"/>
  <c r="I3107" i="3"/>
  <c r="H3107" i="3" s="1"/>
  <c r="A3109" i="3"/>
  <c r="L3109" i="3" l="1"/>
  <c r="F3109" i="3"/>
  <c r="J3109" i="3"/>
  <c r="D3109" i="3"/>
  <c r="K3109" i="3"/>
  <c r="E3109" i="3"/>
  <c r="I3108" i="3"/>
  <c r="H3108" i="3" s="1"/>
  <c r="A3110" i="3"/>
  <c r="C3108" i="3"/>
  <c r="B3108" i="3" s="1"/>
  <c r="L3110" i="3" l="1"/>
  <c r="F3110" i="3"/>
  <c r="J3110" i="3"/>
  <c r="D3110" i="3"/>
  <c r="K3110" i="3"/>
  <c r="E3110" i="3"/>
  <c r="C3109" i="3"/>
  <c r="B3109" i="3" s="1"/>
  <c r="I3109" i="3"/>
  <c r="H3109" i="3" s="1"/>
  <c r="A3111" i="3"/>
  <c r="L3111" i="3" l="1"/>
  <c r="F3111" i="3"/>
  <c r="J3111" i="3"/>
  <c r="D3111" i="3"/>
  <c r="K3111" i="3"/>
  <c r="E3111" i="3"/>
  <c r="I3110" i="3"/>
  <c r="H3110" i="3" s="1"/>
  <c r="C3110" i="3"/>
  <c r="B3110" i="3" s="1"/>
  <c r="A3112" i="3"/>
  <c r="L3112" i="3" l="1"/>
  <c r="F3112" i="3"/>
  <c r="J3112" i="3"/>
  <c r="D3112" i="3"/>
  <c r="K3112" i="3"/>
  <c r="E3112" i="3"/>
  <c r="I3111" i="3"/>
  <c r="H3111" i="3" s="1"/>
  <c r="A3113" i="3"/>
  <c r="C3111" i="3"/>
  <c r="B3111" i="3" s="1"/>
  <c r="L3113" i="3" l="1"/>
  <c r="F3113" i="3"/>
  <c r="J3113" i="3"/>
  <c r="D3113" i="3"/>
  <c r="K3113" i="3"/>
  <c r="E3113" i="3"/>
  <c r="I3112" i="3"/>
  <c r="H3112" i="3" s="1"/>
  <c r="C3112" i="3"/>
  <c r="B3112" i="3" s="1"/>
  <c r="A3114" i="3"/>
  <c r="L3114" i="3" l="1"/>
  <c r="F3114" i="3"/>
  <c r="J3114" i="3"/>
  <c r="D3114" i="3"/>
  <c r="K3114" i="3"/>
  <c r="E3114" i="3"/>
  <c r="C3113" i="3"/>
  <c r="B3113" i="3" s="1"/>
  <c r="I3113" i="3"/>
  <c r="H3113" i="3" s="1"/>
  <c r="A3115" i="3"/>
  <c r="L3115" i="3" l="1"/>
  <c r="F3115" i="3"/>
  <c r="J3115" i="3"/>
  <c r="D3115" i="3"/>
  <c r="K3115" i="3"/>
  <c r="E3115" i="3"/>
  <c r="I3114" i="3"/>
  <c r="H3114" i="3" s="1"/>
  <c r="C3114" i="3"/>
  <c r="B3114" i="3" s="1"/>
  <c r="A3116" i="3"/>
  <c r="L3116" i="3" l="1"/>
  <c r="F3116" i="3"/>
  <c r="J3116" i="3"/>
  <c r="D3116" i="3"/>
  <c r="K3116" i="3"/>
  <c r="E3116" i="3"/>
  <c r="C3115" i="3"/>
  <c r="B3115" i="3" s="1"/>
  <c r="A3117" i="3"/>
  <c r="I3115" i="3"/>
  <c r="H3115" i="3" s="1"/>
  <c r="L3117" i="3" l="1"/>
  <c r="F3117" i="3"/>
  <c r="J3117" i="3"/>
  <c r="D3117" i="3"/>
  <c r="K3117" i="3"/>
  <c r="E3117" i="3"/>
  <c r="C3116" i="3"/>
  <c r="B3116" i="3" s="1"/>
  <c r="I3116" i="3"/>
  <c r="H3116" i="3" s="1"/>
  <c r="A3118" i="3"/>
  <c r="L3118" i="3" l="1"/>
  <c r="F3118" i="3"/>
  <c r="J3118" i="3"/>
  <c r="D3118" i="3"/>
  <c r="K3118" i="3"/>
  <c r="E3118" i="3"/>
  <c r="C3117" i="3"/>
  <c r="B3117" i="3" s="1"/>
  <c r="I3117" i="3"/>
  <c r="H3117" i="3" s="1"/>
  <c r="A3119" i="3"/>
  <c r="L3119" i="3" l="1"/>
  <c r="F3119" i="3"/>
  <c r="J3119" i="3"/>
  <c r="D3119" i="3"/>
  <c r="K3119" i="3"/>
  <c r="E3119" i="3"/>
  <c r="I3118" i="3"/>
  <c r="H3118" i="3" s="1"/>
  <c r="C3118" i="3"/>
  <c r="B3118" i="3" s="1"/>
  <c r="A3120" i="3"/>
  <c r="L3120" i="3" l="1"/>
  <c r="F3120" i="3"/>
  <c r="J3120" i="3"/>
  <c r="D3120" i="3"/>
  <c r="K3120" i="3"/>
  <c r="E3120" i="3"/>
  <c r="C3119" i="3"/>
  <c r="B3119" i="3" s="1"/>
  <c r="I3119" i="3"/>
  <c r="H3119" i="3" s="1"/>
  <c r="A3121" i="3"/>
  <c r="L3121" i="3" l="1"/>
  <c r="F3121" i="3"/>
  <c r="J3121" i="3"/>
  <c r="D3121" i="3"/>
  <c r="K3121" i="3"/>
  <c r="E3121" i="3"/>
  <c r="C3120" i="3"/>
  <c r="B3120" i="3" s="1"/>
  <c r="I3120" i="3"/>
  <c r="H3120" i="3" s="1"/>
  <c r="A3122" i="3"/>
  <c r="L3122" i="3" l="1"/>
  <c r="F3122" i="3"/>
  <c r="D3122" i="3"/>
  <c r="J3122" i="3"/>
  <c r="E3122" i="3"/>
  <c r="K3122" i="3"/>
  <c r="C3121" i="3"/>
  <c r="B3121" i="3" s="1"/>
  <c r="I3121" i="3"/>
  <c r="H3121" i="3" s="1"/>
  <c r="A3123" i="3"/>
  <c r="L3123" i="3" l="1"/>
  <c r="F3123" i="3"/>
  <c r="J3123" i="3"/>
  <c r="D3123" i="3"/>
  <c r="K3123" i="3"/>
  <c r="E3123" i="3"/>
  <c r="I3122" i="3"/>
  <c r="H3122" i="3" s="1"/>
  <c r="C3122" i="3"/>
  <c r="B3122" i="3" s="1"/>
  <c r="A3124" i="3"/>
  <c r="L3124" i="3" l="1"/>
  <c r="F3124" i="3"/>
  <c r="J3124" i="3"/>
  <c r="D3124" i="3"/>
  <c r="K3124" i="3"/>
  <c r="E3124" i="3"/>
  <c r="I3123" i="3"/>
  <c r="H3123" i="3" s="1"/>
  <c r="C3123" i="3"/>
  <c r="B3123" i="3" s="1"/>
  <c r="A3125" i="3"/>
  <c r="L3125" i="3" l="1"/>
  <c r="F3125" i="3"/>
  <c r="J3125" i="3"/>
  <c r="D3125" i="3"/>
  <c r="K3125" i="3"/>
  <c r="E3125" i="3"/>
  <c r="I3124" i="3"/>
  <c r="H3124" i="3" s="1"/>
  <c r="C3124" i="3"/>
  <c r="B3124" i="3" s="1"/>
  <c r="A3126" i="3"/>
  <c r="L3126" i="3" l="1"/>
  <c r="F3126" i="3"/>
  <c r="J3126" i="3"/>
  <c r="D3126" i="3"/>
  <c r="K3126" i="3"/>
  <c r="E3126" i="3"/>
  <c r="C3125" i="3"/>
  <c r="B3125" i="3" s="1"/>
  <c r="I3125" i="3"/>
  <c r="H3125" i="3" s="1"/>
  <c r="A3127" i="3"/>
  <c r="L3127" i="3" l="1"/>
  <c r="F3127" i="3"/>
  <c r="J3127" i="3"/>
  <c r="D3127" i="3"/>
  <c r="K3127" i="3"/>
  <c r="E3127" i="3"/>
  <c r="C3126" i="3"/>
  <c r="B3126" i="3" s="1"/>
  <c r="I3126" i="3"/>
  <c r="H3126" i="3" s="1"/>
  <c r="A3128" i="3"/>
  <c r="L3128" i="3" l="1"/>
  <c r="F3128" i="3"/>
  <c r="J3128" i="3"/>
  <c r="D3128" i="3"/>
  <c r="K3128" i="3"/>
  <c r="E3128" i="3"/>
  <c r="I3127" i="3"/>
  <c r="H3127" i="3" s="1"/>
  <c r="C3127" i="3"/>
  <c r="B3127" i="3" s="1"/>
  <c r="A3129" i="3"/>
  <c r="L3129" i="3" l="1"/>
  <c r="F3129" i="3"/>
  <c r="J3129" i="3"/>
  <c r="D3129" i="3"/>
  <c r="K3129" i="3"/>
  <c r="E3129" i="3"/>
  <c r="C3128" i="3"/>
  <c r="B3128" i="3" s="1"/>
  <c r="I3128" i="3"/>
  <c r="H3128" i="3" s="1"/>
  <c r="A3130" i="3"/>
  <c r="L3130" i="3" l="1"/>
  <c r="F3130" i="3"/>
  <c r="J3130" i="3"/>
  <c r="D3130" i="3"/>
  <c r="K3130" i="3"/>
  <c r="E3130" i="3"/>
  <c r="C3129" i="3"/>
  <c r="B3129" i="3" s="1"/>
  <c r="I3129" i="3"/>
  <c r="H3129" i="3" s="1"/>
  <c r="A3131" i="3"/>
  <c r="L3131" i="3" l="1"/>
  <c r="F3131" i="3"/>
  <c r="J3131" i="3"/>
  <c r="D3131" i="3"/>
  <c r="K3131" i="3"/>
  <c r="E3131" i="3"/>
  <c r="C3130" i="3"/>
  <c r="B3130" i="3" s="1"/>
  <c r="I3130" i="3"/>
  <c r="H3130" i="3" s="1"/>
  <c r="A3132" i="3"/>
  <c r="L3132" i="3" l="1"/>
  <c r="F3132" i="3"/>
  <c r="J3132" i="3"/>
  <c r="D3132" i="3"/>
  <c r="K3132" i="3"/>
  <c r="E3132" i="3"/>
  <c r="I3131" i="3"/>
  <c r="H3131" i="3" s="1"/>
  <c r="C3131" i="3"/>
  <c r="B3131" i="3" s="1"/>
  <c r="A3133" i="3"/>
  <c r="L3133" i="3" l="1"/>
  <c r="F3133" i="3"/>
  <c r="D3133" i="3"/>
  <c r="J3133" i="3"/>
  <c r="E3133" i="3"/>
  <c r="K3133" i="3"/>
  <c r="I3132" i="3"/>
  <c r="H3132" i="3" s="1"/>
  <c r="C3132" i="3"/>
  <c r="B3132" i="3" s="1"/>
  <c r="A3134" i="3"/>
  <c r="L3134" i="3" l="1"/>
  <c r="F3134" i="3"/>
  <c r="J3134" i="3"/>
  <c r="D3134" i="3"/>
  <c r="K3134" i="3"/>
  <c r="E3134" i="3"/>
  <c r="C3133" i="3"/>
  <c r="B3133" i="3" s="1"/>
  <c r="I3133" i="3"/>
  <c r="H3133" i="3" s="1"/>
  <c r="A3135" i="3"/>
  <c r="L3135" i="3" l="1"/>
  <c r="F3135" i="3"/>
  <c r="D3135" i="3"/>
  <c r="E3135" i="3"/>
  <c r="J3135" i="3"/>
  <c r="K3135" i="3"/>
  <c r="I3134" i="3"/>
  <c r="H3134" i="3" s="1"/>
  <c r="C3134" i="3"/>
  <c r="B3134" i="3" s="1"/>
  <c r="A3136" i="3"/>
  <c r="L3136" i="3" l="1"/>
  <c r="F3136" i="3"/>
  <c r="J3136" i="3"/>
  <c r="D3136" i="3"/>
  <c r="K3136" i="3"/>
  <c r="E3136" i="3"/>
  <c r="I3135" i="3"/>
  <c r="H3135" i="3" s="1"/>
  <c r="A3137" i="3"/>
  <c r="C3135" i="3"/>
  <c r="B3135" i="3" s="1"/>
  <c r="L3137" i="3" l="1"/>
  <c r="F3137" i="3"/>
  <c r="J3137" i="3"/>
  <c r="D3137" i="3"/>
  <c r="K3137" i="3"/>
  <c r="E3137" i="3"/>
  <c r="I3136" i="3"/>
  <c r="H3136" i="3" s="1"/>
  <c r="C3136" i="3"/>
  <c r="B3136" i="3" s="1"/>
  <c r="A3138" i="3"/>
  <c r="L3138" i="3" l="1"/>
  <c r="F3138" i="3"/>
  <c r="J3138" i="3"/>
  <c r="D3138" i="3"/>
  <c r="K3138" i="3"/>
  <c r="E3138" i="3"/>
  <c r="I3137" i="3"/>
  <c r="H3137" i="3" s="1"/>
  <c r="C3137" i="3"/>
  <c r="B3137" i="3" s="1"/>
  <c r="A3139" i="3"/>
  <c r="L3139" i="3" l="1"/>
  <c r="F3139" i="3"/>
  <c r="J3139" i="3"/>
  <c r="D3139" i="3"/>
  <c r="K3139" i="3"/>
  <c r="E3139" i="3"/>
  <c r="C3138" i="3"/>
  <c r="B3138" i="3" s="1"/>
  <c r="I3138" i="3"/>
  <c r="H3138" i="3" s="1"/>
  <c r="A3140" i="3"/>
  <c r="L3140" i="3" l="1"/>
  <c r="F3140" i="3"/>
  <c r="J3140" i="3"/>
  <c r="D3140" i="3"/>
  <c r="K3140" i="3"/>
  <c r="E3140" i="3"/>
  <c r="I3139" i="3"/>
  <c r="H3139" i="3" s="1"/>
  <c r="C3139" i="3"/>
  <c r="B3139" i="3" s="1"/>
  <c r="A3141" i="3"/>
  <c r="L3141" i="3" l="1"/>
  <c r="F3141" i="3"/>
  <c r="J3141" i="3"/>
  <c r="D3141" i="3"/>
  <c r="K3141" i="3"/>
  <c r="E3141" i="3"/>
  <c r="I3140" i="3"/>
  <c r="H3140" i="3" s="1"/>
  <c r="C3140" i="3"/>
  <c r="B3140" i="3" s="1"/>
  <c r="A3142" i="3"/>
  <c r="L3142" i="3" l="1"/>
  <c r="F3142" i="3"/>
  <c r="J3142" i="3"/>
  <c r="D3142" i="3"/>
  <c r="K3142" i="3"/>
  <c r="E3142" i="3"/>
  <c r="I3141" i="3"/>
  <c r="H3141" i="3" s="1"/>
  <c r="C3141" i="3"/>
  <c r="B3141" i="3" s="1"/>
  <c r="A3143" i="3"/>
  <c r="L3143" i="3" l="1"/>
  <c r="F3143" i="3"/>
  <c r="J3143" i="3"/>
  <c r="D3143" i="3"/>
  <c r="K3143" i="3"/>
  <c r="E3143" i="3"/>
  <c r="C3142" i="3"/>
  <c r="B3142" i="3" s="1"/>
  <c r="A3144" i="3"/>
  <c r="I3142" i="3"/>
  <c r="H3142" i="3" s="1"/>
  <c r="L3144" i="3" l="1"/>
  <c r="F3144" i="3"/>
  <c r="J3144" i="3"/>
  <c r="D3144" i="3"/>
  <c r="K3144" i="3"/>
  <c r="E3144" i="3"/>
  <c r="I3143" i="3"/>
  <c r="H3143" i="3" s="1"/>
  <c r="C3143" i="3"/>
  <c r="B3143" i="3" s="1"/>
  <c r="A3145" i="3"/>
  <c r="L3145" i="3" l="1"/>
  <c r="F3145" i="3"/>
  <c r="J3145" i="3"/>
  <c r="D3145" i="3"/>
  <c r="K3145" i="3"/>
  <c r="E3145" i="3"/>
  <c r="C3144" i="3"/>
  <c r="B3144" i="3" s="1"/>
  <c r="I3144" i="3"/>
  <c r="H3144" i="3" s="1"/>
  <c r="A3146" i="3"/>
  <c r="L3146" i="3" l="1"/>
  <c r="F3146" i="3"/>
  <c r="J3146" i="3"/>
  <c r="D3146" i="3"/>
  <c r="K3146" i="3"/>
  <c r="E3146" i="3"/>
  <c r="I3145" i="3"/>
  <c r="H3145" i="3" s="1"/>
  <c r="C3145" i="3"/>
  <c r="B3145" i="3" s="1"/>
  <c r="A3147" i="3"/>
  <c r="L3147" i="3" l="1"/>
  <c r="F3147" i="3"/>
  <c r="J3147" i="3"/>
  <c r="D3147" i="3"/>
  <c r="K3147" i="3"/>
  <c r="E3147" i="3"/>
  <c r="I3146" i="3"/>
  <c r="H3146" i="3" s="1"/>
  <c r="C3146" i="3"/>
  <c r="B3146" i="3" s="1"/>
  <c r="A3148" i="3"/>
  <c r="L3148" i="3" l="1"/>
  <c r="F3148" i="3"/>
  <c r="D3148" i="3"/>
  <c r="J3148" i="3"/>
  <c r="E3148" i="3"/>
  <c r="K3148" i="3"/>
  <c r="I3147" i="3"/>
  <c r="H3147" i="3" s="1"/>
  <c r="C3147" i="3"/>
  <c r="B3147" i="3" s="1"/>
  <c r="A3149" i="3"/>
  <c r="L3149" i="3" l="1"/>
  <c r="F3149" i="3"/>
  <c r="J3149" i="3"/>
  <c r="D3149" i="3"/>
  <c r="K3149" i="3"/>
  <c r="E3149" i="3"/>
  <c r="I3148" i="3"/>
  <c r="H3148" i="3" s="1"/>
  <c r="A3150" i="3"/>
  <c r="C3148" i="3"/>
  <c r="B3148" i="3" s="1"/>
  <c r="L3150" i="3" l="1"/>
  <c r="F3150" i="3"/>
  <c r="J3150" i="3"/>
  <c r="D3150" i="3"/>
  <c r="K3150" i="3"/>
  <c r="E3150" i="3"/>
  <c r="C3149" i="3"/>
  <c r="B3149" i="3" s="1"/>
  <c r="I3149" i="3"/>
  <c r="H3149" i="3" s="1"/>
  <c r="A3151" i="3"/>
  <c r="L3151" i="3" l="1"/>
  <c r="F3151" i="3"/>
  <c r="J3151" i="3"/>
  <c r="D3151" i="3"/>
  <c r="K3151" i="3"/>
  <c r="E3151" i="3"/>
  <c r="C3150" i="3"/>
  <c r="B3150" i="3" s="1"/>
  <c r="I3150" i="3"/>
  <c r="H3150" i="3" s="1"/>
  <c r="A3152" i="3"/>
  <c r="L3152" i="3" l="1"/>
  <c r="F3152" i="3"/>
  <c r="J3152" i="3"/>
  <c r="D3152" i="3"/>
  <c r="K3152" i="3"/>
  <c r="E3152" i="3"/>
  <c r="I3151" i="3"/>
  <c r="H3151" i="3" s="1"/>
  <c r="C3151" i="3"/>
  <c r="B3151" i="3" s="1"/>
  <c r="A3153" i="3"/>
  <c r="L3153" i="3" l="1"/>
  <c r="F3153" i="3"/>
  <c r="J3153" i="3"/>
  <c r="D3153" i="3"/>
  <c r="K3153" i="3"/>
  <c r="E3153" i="3"/>
  <c r="I3152" i="3"/>
  <c r="H3152" i="3" s="1"/>
  <c r="A3154" i="3"/>
  <c r="C3152" i="3"/>
  <c r="B3152" i="3" s="1"/>
  <c r="L3154" i="3" l="1"/>
  <c r="F3154" i="3"/>
  <c r="J3154" i="3"/>
  <c r="D3154" i="3"/>
  <c r="K3154" i="3"/>
  <c r="E3154" i="3"/>
  <c r="C3153" i="3"/>
  <c r="B3153" i="3" s="1"/>
  <c r="I3153" i="3"/>
  <c r="H3153" i="3" s="1"/>
  <c r="A3155" i="3"/>
  <c r="L3155" i="3" l="1"/>
  <c r="F3155" i="3"/>
  <c r="J3155" i="3"/>
  <c r="D3155" i="3"/>
  <c r="K3155" i="3"/>
  <c r="E3155" i="3"/>
  <c r="I3154" i="3"/>
  <c r="H3154" i="3" s="1"/>
  <c r="C3154" i="3"/>
  <c r="B3154" i="3" s="1"/>
  <c r="A3156" i="3"/>
  <c r="L3156" i="3" l="1"/>
  <c r="F3156" i="3"/>
  <c r="J3156" i="3"/>
  <c r="D3156" i="3"/>
  <c r="K3156" i="3"/>
  <c r="E3156" i="3"/>
  <c r="C3155" i="3"/>
  <c r="B3155" i="3" s="1"/>
  <c r="I3155" i="3"/>
  <c r="H3155" i="3" s="1"/>
  <c r="A3157" i="3"/>
  <c r="L3157" i="3" l="1"/>
  <c r="F3157" i="3"/>
  <c r="J3157" i="3"/>
  <c r="D3157" i="3"/>
  <c r="K3157" i="3"/>
  <c r="E3157" i="3"/>
  <c r="C3156" i="3"/>
  <c r="B3156" i="3" s="1"/>
  <c r="I3156" i="3"/>
  <c r="H3156" i="3" s="1"/>
  <c r="A3158" i="3"/>
  <c r="L3158" i="3" l="1"/>
  <c r="F3158" i="3"/>
  <c r="J3158" i="3"/>
  <c r="D3158" i="3"/>
  <c r="K3158" i="3"/>
  <c r="E3158" i="3"/>
  <c r="I3157" i="3"/>
  <c r="H3157" i="3" s="1"/>
  <c r="C3157" i="3"/>
  <c r="B3157" i="3" s="1"/>
  <c r="A3159" i="3"/>
  <c r="L3159" i="3" l="1"/>
  <c r="F3159" i="3"/>
  <c r="J3159" i="3"/>
  <c r="D3159" i="3"/>
  <c r="K3159" i="3"/>
  <c r="E3159" i="3"/>
  <c r="I3158" i="3"/>
  <c r="H3158" i="3" s="1"/>
  <c r="A3160" i="3"/>
  <c r="C3158" i="3"/>
  <c r="B3158" i="3" s="1"/>
  <c r="L3160" i="3" l="1"/>
  <c r="F3160" i="3"/>
  <c r="J3160" i="3"/>
  <c r="D3160" i="3"/>
  <c r="K3160" i="3"/>
  <c r="E3160" i="3"/>
  <c r="I3159" i="3"/>
  <c r="H3159" i="3" s="1"/>
  <c r="C3159" i="3"/>
  <c r="B3159" i="3" s="1"/>
  <c r="A3161" i="3"/>
  <c r="I3160" i="3" l="1"/>
  <c r="H3160" i="3" s="1"/>
  <c r="L3161" i="3"/>
  <c r="F3161" i="3"/>
  <c r="J3161" i="3"/>
  <c r="D3161" i="3"/>
  <c r="K3161" i="3"/>
  <c r="E3161" i="3"/>
  <c r="C3160" i="3"/>
  <c r="B3160" i="3" s="1"/>
  <c r="A3162" i="3"/>
  <c r="L3162" i="3" l="1"/>
  <c r="F3162" i="3"/>
  <c r="J3162" i="3"/>
  <c r="D3162" i="3"/>
  <c r="K3162" i="3"/>
  <c r="E3162" i="3"/>
  <c r="I3161" i="3"/>
  <c r="H3161" i="3" s="1"/>
  <c r="C3161" i="3"/>
  <c r="B3161" i="3" s="1"/>
  <c r="A3163" i="3"/>
  <c r="L3163" i="3" l="1"/>
  <c r="F3163" i="3"/>
  <c r="J3163" i="3"/>
  <c r="D3163" i="3"/>
  <c r="K3163" i="3"/>
  <c r="E3163" i="3"/>
  <c r="C3162" i="3"/>
  <c r="B3162" i="3" s="1"/>
  <c r="I3162" i="3"/>
  <c r="H3162" i="3" s="1"/>
  <c r="A3164" i="3"/>
  <c r="L3164" i="3" l="1"/>
  <c r="F3164" i="3"/>
  <c r="D3164" i="3"/>
  <c r="E3164" i="3"/>
  <c r="J3164" i="3"/>
  <c r="K3164" i="3"/>
  <c r="C3163" i="3"/>
  <c r="B3163" i="3" s="1"/>
  <c r="A3165" i="3"/>
  <c r="I3163" i="3"/>
  <c r="H3163" i="3" s="1"/>
  <c r="L3165" i="3" l="1"/>
  <c r="F3165" i="3"/>
  <c r="D3165" i="3"/>
  <c r="J3165" i="3"/>
  <c r="E3165" i="3"/>
  <c r="K3165" i="3"/>
  <c r="I3164" i="3"/>
  <c r="H3164" i="3" s="1"/>
  <c r="A3166" i="3"/>
  <c r="C3164" i="3"/>
  <c r="B3164" i="3" s="1"/>
  <c r="L3166" i="3" l="1"/>
  <c r="F3166" i="3"/>
  <c r="J3166" i="3"/>
  <c r="D3166" i="3"/>
  <c r="K3166" i="3"/>
  <c r="E3166" i="3"/>
  <c r="I3165" i="3"/>
  <c r="H3165" i="3" s="1"/>
  <c r="A3167" i="3"/>
  <c r="C3165" i="3"/>
  <c r="B3165" i="3" s="1"/>
  <c r="L3167" i="3" l="1"/>
  <c r="F3167" i="3"/>
  <c r="J3167" i="3"/>
  <c r="D3167" i="3"/>
  <c r="K3167" i="3"/>
  <c r="E3167" i="3"/>
  <c r="C3166" i="3"/>
  <c r="B3166" i="3" s="1"/>
  <c r="I3166" i="3"/>
  <c r="H3166" i="3" s="1"/>
  <c r="A3168" i="3"/>
  <c r="L3168" i="3" l="1"/>
  <c r="F3168" i="3"/>
  <c r="J3168" i="3"/>
  <c r="D3168" i="3"/>
  <c r="K3168" i="3"/>
  <c r="E3168" i="3"/>
  <c r="I3167" i="3"/>
  <c r="H3167" i="3" s="1"/>
  <c r="A3169" i="3"/>
  <c r="C3167" i="3"/>
  <c r="B3167" i="3" s="1"/>
  <c r="L3169" i="3" l="1"/>
  <c r="F3169" i="3"/>
  <c r="J3169" i="3"/>
  <c r="D3169" i="3"/>
  <c r="K3169" i="3"/>
  <c r="E3169" i="3"/>
  <c r="I3168" i="3"/>
  <c r="H3168" i="3" s="1"/>
  <c r="C3168" i="3"/>
  <c r="B3168" i="3" s="1"/>
  <c r="A3170" i="3"/>
  <c r="L3170" i="3" l="1"/>
  <c r="F3170" i="3"/>
  <c r="J3170" i="3"/>
  <c r="D3170" i="3"/>
  <c r="K3170" i="3"/>
  <c r="E3170" i="3"/>
  <c r="I3169" i="3"/>
  <c r="H3169" i="3" s="1"/>
  <c r="C3169" i="3"/>
  <c r="B3169" i="3" s="1"/>
  <c r="A3171" i="3"/>
  <c r="L3171" i="3" l="1"/>
  <c r="F3171" i="3"/>
  <c r="J3171" i="3"/>
  <c r="D3171" i="3"/>
  <c r="K3171" i="3"/>
  <c r="E3171" i="3"/>
  <c r="C3170" i="3"/>
  <c r="B3170" i="3" s="1"/>
  <c r="I3170" i="3"/>
  <c r="H3170" i="3" s="1"/>
  <c r="A3172" i="3"/>
  <c r="L3172" i="3" l="1"/>
  <c r="F3172" i="3"/>
  <c r="J3172" i="3"/>
  <c r="D3172" i="3"/>
  <c r="K3172" i="3"/>
  <c r="E3172" i="3"/>
  <c r="C3171" i="3"/>
  <c r="B3171" i="3" s="1"/>
  <c r="I3171" i="3"/>
  <c r="H3171" i="3" s="1"/>
  <c r="A3173" i="3"/>
  <c r="L3173" i="3" l="1"/>
  <c r="F3173" i="3"/>
  <c r="J3173" i="3"/>
  <c r="D3173" i="3"/>
  <c r="K3173" i="3"/>
  <c r="E3173" i="3"/>
  <c r="I3172" i="3"/>
  <c r="H3172" i="3" s="1"/>
  <c r="C3172" i="3"/>
  <c r="B3172" i="3" s="1"/>
  <c r="A3174" i="3"/>
  <c r="L3174" i="3" l="1"/>
  <c r="F3174" i="3"/>
  <c r="J3174" i="3"/>
  <c r="D3174" i="3"/>
  <c r="K3174" i="3"/>
  <c r="E3174" i="3"/>
  <c r="C3173" i="3"/>
  <c r="B3173" i="3" s="1"/>
  <c r="I3173" i="3"/>
  <c r="H3173" i="3" s="1"/>
  <c r="A3175" i="3"/>
  <c r="L3175" i="3" l="1"/>
  <c r="F3175" i="3"/>
  <c r="J3175" i="3"/>
  <c r="D3175" i="3"/>
  <c r="K3175" i="3"/>
  <c r="E3175" i="3"/>
  <c r="C3174" i="3"/>
  <c r="B3174" i="3" s="1"/>
  <c r="I3174" i="3"/>
  <c r="H3174" i="3" s="1"/>
  <c r="A3176" i="3"/>
  <c r="L3176" i="3" l="1"/>
  <c r="F3176" i="3"/>
  <c r="J3176" i="3"/>
  <c r="D3176" i="3"/>
  <c r="K3176" i="3"/>
  <c r="E3176" i="3"/>
  <c r="I3175" i="3"/>
  <c r="H3175" i="3" s="1"/>
  <c r="C3175" i="3"/>
  <c r="B3175" i="3" s="1"/>
  <c r="A3177" i="3"/>
  <c r="L3177" i="3" l="1"/>
  <c r="F3177" i="3"/>
  <c r="J3177" i="3"/>
  <c r="D3177" i="3"/>
  <c r="K3177" i="3"/>
  <c r="E3177" i="3"/>
  <c r="C3176" i="3"/>
  <c r="B3176" i="3" s="1"/>
  <c r="I3176" i="3"/>
  <c r="H3176" i="3" s="1"/>
  <c r="A3178" i="3"/>
  <c r="L3178" i="3" l="1"/>
  <c r="F3178" i="3"/>
  <c r="J3178" i="3"/>
  <c r="D3178" i="3"/>
  <c r="K3178" i="3"/>
  <c r="E3178" i="3"/>
  <c r="C3177" i="3"/>
  <c r="B3177" i="3" s="1"/>
  <c r="I3177" i="3"/>
  <c r="H3177" i="3" s="1"/>
  <c r="A3179" i="3"/>
  <c r="L3179" i="3" l="1"/>
  <c r="F3179" i="3"/>
  <c r="D3179" i="3"/>
  <c r="J3179" i="3"/>
  <c r="E3179" i="3"/>
  <c r="K3179" i="3"/>
  <c r="C3178" i="3"/>
  <c r="B3178" i="3" s="1"/>
  <c r="A3180" i="3"/>
  <c r="I3178" i="3"/>
  <c r="H3178" i="3" s="1"/>
  <c r="L3180" i="3" l="1"/>
  <c r="F3180" i="3"/>
  <c r="J3180" i="3"/>
  <c r="D3180" i="3"/>
  <c r="K3180" i="3"/>
  <c r="E3180" i="3"/>
  <c r="I3179" i="3"/>
  <c r="H3179" i="3" s="1"/>
  <c r="A3181" i="3"/>
  <c r="C3179" i="3"/>
  <c r="B3179" i="3" s="1"/>
  <c r="L3181" i="3" l="1"/>
  <c r="F3181" i="3"/>
  <c r="J3181" i="3"/>
  <c r="D3181" i="3"/>
  <c r="K3181" i="3"/>
  <c r="E3181" i="3"/>
  <c r="C3180" i="3"/>
  <c r="B3180" i="3" s="1"/>
  <c r="I3180" i="3"/>
  <c r="H3180" i="3" s="1"/>
  <c r="A3182" i="3"/>
  <c r="L3182" i="3" l="1"/>
  <c r="F3182" i="3"/>
  <c r="J3182" i="3"/>
  <c r="D3182" i="3"/>
  <c r="K3182" i="3"/>
  <c r="E3182" i="3"/>
  <c r="C3181" i="3"/>
  <c r="B3181" i="3" s="1"/>
  <c r="I3181" i="3"/>
  <c r="H3181" i="3" s="1"/>
  <c r="A3183" i="3"/>
  <c r="L3183" i="3" l="1"/>
  <c r="F3183" i="3"/>
  <c r="J3183" i="3"/>
  <c r="D3183" i="3"/>
  <c r="K3183" i="3"/>
  <c r="E3183" i="3"/>
  <c r="I3182" i="3"/>
  <c r="H3182" i="3" s="1"/>
  <c r="C3182" i="3"/>
  <c r="B3182" i="3" s="1"/>
  <c r="A3184" i="3"/>
  <c r="L3184" i="3" l="1"/>
  <c r="F3184" i="3"/>
  <c r="J3184" i="3"/>
  <c r="D3184" i="3"/>
  <c r="K3184" i="3"/>
  <c r="E3184" i="3"/>
  <c r="C3183" i="3"/>
  <c r="B3183" i="3" s="1"/>
  <c r="I3183" i="3"/>
  <c r="H3183" i="3" s="1"/>
  <c r="A3185" i="3"/>
  <c r="L3185" i="3" l="1"/>
  <c r="F3185" i="3"/>
  <c r="J3185" i="3"/>
  <c r="D3185" i="3"/>
  <c r="K3185" i="3"/>
  <c r="E3185" i="3"/>
  <c r="C3184" i="3"/>
  <c r="B3184" i="3" s="1"/>
  <c r="I3184" i="3"/>
  <c r="H3184" i="3" s="1"/>
  <c r="A3186" i="3"/>
  <c r="L3186" i="3" l="1"/>
  <c r="F3186" i="3"/>
  <c r="J3186" i="3"/>
  <c r="D3186" i="3"/>
  <c r="K3186" i="3"/>
  <c r="E3186" i="3"/>
  <c r="I3185" i="3"/>
  <c r="H3185" i="3" s="1"/>
  <c r="C3185" i="3"/>
  <c r="B3185" i="3" s="1"/>
  <c r="A3187" i="3"/>
  <c r="L3187" i="3" l="1"/>
  <c r="F3187" i="3"/>
  <c r="J3187" i="3"/>
  <c r="D3187" i="3"/>
  <c r="K3187" i="3"/>
  <c r="E3187" i="3"/>
  <c r="C3186" i="3"/>
  <c r="B3186" i="3" s="1"/>
  <c r="I3186" i="3"/>
  <c r="H3186" i="3" s="1"/>
  <c r="A3188" i="3"/>
  <c r="L3188" i="3" l="1"/>
  <c r="F3188" i="3"/>
  <c r="J3188" i="3"/>
  <c r="D3188" i="3"/>
  <c r="K3188" i="3"/>
  <c r="E3188" i="3"/>
  <c r="I3187" i="3"/>
  <c r="H3187" i="3" s="1"/>
  <c r="C3187" i="3"/>
  <c r="B3187" i="3" s="1"/>
  <c r="A3189" i="3"/>
  <c r="L3189" i="3" l="1"/>
  <c r="F3189" i="3"/>
  <c r="J3189" i="3"/>
  <c r="D3189" i="3"/>
  <c r="K3189" i="3"/>
  <c r="E3189" i="3"/>
  <c r="I3188" i="3"/>
  <c r="H3188" i="3" s="1"/>
  <c r="C3188" i="3"/>
  <c r="B3188" i="3" s="1"/>
  <c r="A3190" i="3"/>
  <c r="L3190" i="3" l="1"/>
  <c r="F3190" i="3"/>
  <c r="J3190" i="3"/>
  <c r="D3190" i="3"/>
  <c r="K3190" i="3"/>
  <c r="E3190" i="3"/>
  <c r="I3189" i="3"/>
  <c r="H3189" i="3" s="1"/>
  <c r="C3189" i="3"/>
  <c r="B3189" i="3" s="1"/>
  <c r="A3191" i="3"/>
  <c r="L3191" i="3" l="1"/>
  <c r="F3191" i="3"/>
  <c r="J3191" i="3"/>
  <c r="D3191" i="3"/>
  <c r="K3191" i="3"/>
  <c r="E3191" i="3"/>
  <c r="C3190" i="3"/>
  <c r="B3190" i="3" s="1"/>
  <c r="I3190" i="3"/>
  <c r="H3190" i="3" s="1"/>
  <c r="A3192" i="3"/>
  <c r="L3192" i="3" l="1"/>
  <c r="F3192" i="3"/>
  <c r="D3192" i="3"/>
  <c r="J3192" i="3"/>
  <c r="E3192" i="3"/>
  <c r="K3192" i="3"/>
  <c r="I3191" i="3"/>
  <c r="H3191" i="3" s="1"/>
  <c r="C3191" i="3"/>
  <c r="B3191" i="3" s="1"/>
  <c r="A3193" i="3"/>
  <c r="L3193" i="3" l="1"/>
  <c r="F3193" i="3"/>
  <c r="J3193" i="3"/>
  <c r="D3193" i="3"/>
  <c r="K3193" i="3"/>
  <c r="E3193" i="3"/>
  <c r="I3192" i="3"/>
  <c r="H3192" i="3" s="1"/>
  <c r="C3192" i="3"/>
  <c r="B3192" i="3" s="1"/>
  <c r="A3194" i="3"/>
  <c r="L3194" i="3" l="1"/>
  <c r="F3194" i="3"/>
  <c r="J3194" i="3"/>
  <c r="D3194" i="3"/>
  <c r="K3194" i="3"/>
  <c r="E3194" i="3"/>
  <c r="I3193" i="3"/>
  <c r="H3193" i="3" s="1"/>
  <c r="C3193" i="3"/>
  <c r="B3193" i="3" s="1"/>
  <c r="A3195" i="3"/>
  <c r="L3195" i="3" l="1"/>
  <c r="F3195" i="3"/>
  <c r="J3195" i="3"/>
  <c r="D3195" i="3"/>
  <c r="K3195" i="3"/>
  <c r="E3195" i="3"/>
  <c r="C3194" i="3"/>
  <c r="B3194" i="3" s="1"/>
  <c r="I3194" i="3"/>
  <c r="H3194" i="3" s="1"/>
  <c r="A3196" i="3"/>
  <c r="L3196" i="3" l="1"/>
  <c r="F3196" i="3"/>
  <c r="D3196" i="3"/>
  <c r="J3196" i="3"/>
  <c r="E3196" i="3"/>
  <c r="K3196" i="3"/>
  <c r="I3195" i="3"/>
  <c r="H3195" i="3" s="1"/>
  <c r="A3197" i="3"/>
  <c r="C3195" i="3"/>
  <c r="B3195" i="3" s="1"/>
  <c r="L3197" i="3" l="1"/>
  <c r="F3197" i="3"/>
  <c r="J3197" i="3"/>
  <c r="D3197" i="3"/>
  <c r="K3197" i="3"/>
  <c r="E3197" i="3"/>
  <c r="C3196" i="3"/>
  <c r="B3196" i="3" s="1"/>
  <c r="I3196" i="3"/>
  <c r="H3196" i="3" s="1"/>
  <c r="A3198" i="3"/>
  <c r="L3198" i="3" l="1"/>
  <c r="F3198" i="3"/>
  <c r="J3198" i="3"/>
  <c r="D3198" i="3"/>
  <c r="K3198" i="3"/>
  <c r="E3198" i="3"/>
  <c r="C3197" i="3"/>
  <c r="B3197" i="3" s="1"/>
  <c r="I3197" i="3"/>
  <c r="H3197" i="3" s="1"/>
  <c r="A3199" i="3"/>
  <c r="L3199" i="3" l="1"/>
  <c r="F3199" i="3"/>
  <c r="J3199" i="3"/>
  <c r="D3199" i="3"/>
  <c r="K3199" i="3"/>
  <c r="E3199" i="3"/>
  <c r="C3198" i="3"/>
  <c r="B3198" i="3" s="1"/>
  <c r="I3198" i="3"/>
  <c r="H3198" i="3" s="1"/>
  <c r="A3200" i="3"/>
  <c r="L3200" i="3" l="1"/>
  <c r="F3200" i="3"/>
  <c r="J3200" i="3"/>
  <c r="D3200" i="3"/>
  <c r="K3200" i="3"/>
  <c r="E3200" i="3"/>
  <c r="I3199" i="3"/>
  <c r="H3199" i="3" s="1"/>
  <c r="C3199" i="3"/>
  <c r="B3199" i="3" s="1"/>
  <c r="A3201" i="3"/>
  <c r="L3201" i="3" l="1"/>
  <c r="F3201" i="3"/>
  <c r="J3201" i="3"/>
  <c r="D3201" i="3"/>
  <c r="K3201" i="3"/>
  <c r="E3201" i="3"/>
  <c r="I3200" i="3"/>
  <c r="H3200" i="3" s="1"/>
  <c r="A3202" i="3"/>
  <c r="C3200" i="3"/>
  <c r="B3200" i="3" s="1"/>
  <c r="L3202" i="3" l="1"/>
  <c r="F3202" i="3"/>
  <c r="J3202" i="3"/>
  <c r="D3202" i="3"/>
  <c r="K3202" i="3"/>
  <c r="E3202" i="3"/>
  <c r="C3201" i="3"/>
  <c r="B3201" i="3" s="1"/>
  <c r="I3201" i="3"/>
  <c r="H3201" i="3" s="1"/>
  <c r="A3203" i="3"/>
  <c r="L3203" i="3" l="1"/>
  <c r="F3203" i="3"/>
  <c r="J3203" i="3"/>
  <c r="D3203" i="3"/>
  <c r="K3203" i="3"/>
  <c r="E3203" i="3"/>
  <c r="I3202" i="3"/>
  <c r="H3202" i="3" s="1"/>
  <c r="C3202" i="3"/>
  <c r="B3202" i="3" s="1"/>
  <c r="A3204" i="3"/>
  <c r="L3204" i="3" l="1"/>
  <c r="F3204" i="3"/>
  <c r="J3204" i="3"/>
  <c r="D3204" i="3"/>
  <c r="K3204" i="3"/>
  <c r="E3204" i="3"/>
  <c r="I3203" i="3"/>
  <c r="H3203" i="3" s="1"/>
  <c r="C3203" i="3"/>
  <c r="B3203" i="3" s="1"/>
  <c r="A3205" i="3"/>
  <c r="L3205" i="3" l="1"/>
  <c r="F3205" i="3"/>
  <c r="J3205" i="3"/>
  <c r="D3205" i="3"/>
  <c r="K3205" i="3"/>
  <c r="E3205" i="3"/>
  <c r="C3204" i="3"/>
  <c r="B3204" i="3" s="1"/>
  <c r="I3204" i="3"/>
  <c r="H3204" i="3" s="1"/>
  <c r="A3206" i="3"/>
  <c r="L3206" i="3" l="1"/>
  <c r="F3206" i="3"/>
  <c r="J3206" i="3"/>
  <c r="D3206" i="3"/>
  <c r="K3206" i="3"/>
  <c r="E3206" i="3"/>
  <c r="I3205" i="3"/>
  <c r="H3205" i="3" s="1"/>
  <c r="A3207" i="3"/>
  <c r="C3205" i="3"/>
  <c r="B3205" i="3" s="1"/>
  <c r="L3207" i="3" l="1"/>
  <c r="F3207" i="3"/>
  <c r="J3207" i="3"/>
  <c r="D3207" i="3"/>
  <c r="K3207" i="3"/>
  <c r="E3207" i="3"/>
  <c r="I3206" i="3"/>
  <c r="H3206" i="3" s="1"/>
  <c r="C3206" i="3"/>
  <c r="B3206" i="3" s="1"/>
  <c r="A3208" i="3"/>
  <c r="L3208" i="3" l="1"/>
  <c r="F3208" i="3"/>
  <c r="J3208" i="3"/>
  <c r="D3208" i="3"/>
  <c r="K3208" i="3"/>
  <c r="E3208" i="3"/>
  <c r="I3207" i="3"/>
  <c r="H3207" i="3" s="1"/>
  <c r="C3207" i="3"/>
  <c r="B3207" i="3" s="1"/>
  <c r="A3209" i="3"/>
  <c r="L3209" i="3" l="1"/>
  <c r="F3209" i="3"/>
  <c r="J3209" i="3"/>
  <c r="D3209" i="3"/>
  <c r="K3209" i="3"/>
  <c r="E3209" i="3"/>
  <c r="I3208" i="3"/>
  <c r="H3208" i="3" s="1"/>
  <c r="C3208" i="3"/>
  <c r="B3208" i="3" s="1"/>
  <c r="A3210" i="3"/>
  <c r="L3210" i="3" l="1"/>
  <c r="F3210" i="3"/>
  <c r="J3210" i="3"/>
  <c r="D3210" i="3"/>
  <c r="K3210" i="3"/>
  <c r="E3210" i="3"/>
  <c r="I3209" i="3"/>
  <c r="H3209" i="3" s="1"/>
  <c r="C3209" i="3"/>
  <c r="B3209" i="3" s="1"/>
  <c r="A3211" i="3"/>
  <c r="L3211" i="3" l="1"/>
  <c r="F3211" i="3"/>
  <c r="D3211" i="3"/>
  <c r="E3211" i="3"/>
  <c r="J3211" i="3"/>
  <c r="K3211" i="3"/>
  <c r="I3210" i="3"/>
  <c r="H3210" i="3" s="1"/>
  <c r="C3210" i="3"/>
  <c r="B3210" i="3" s="1"/>
  <c r="A3212" i="3"/>
  <c r="L3212" i="3" l="1"/>
  <c r="F3212" i="3"/>
  <c r="J3212" i="3"/>
  <c r="D3212" i="3"/>
  <c r="K3212" i="3"/>
  <c r="E3212" i="3"/>
  <c r="I3211" i="3"/>
  <c r="H3211" i="3" s="1"/>
  <c r="A3213" i="3"/>
  <c r="C3211" i="3"/>
  <c r="B3211" i="3" s="1"/>
  <c r="L3213" i="3" l="1"/>
  <c r="F3213" i="3"/>
  <c r="J3213" i="3"/>
  <c r="D3213" i="3"/>
  <c r="K3213" i="3"/>
  <c r="E3213" i="3"/>
  <c r="I3212" i="3"/>
  <c r="H3212" i="3" s="1"/>
  <c r="C3212" i="3"/>
  <c r="B3212" i="3" s="1"/>
  <c r="A3214" i="3"/>
  <c r="I3213" i="3" l="1"/>
  <c r="H3213" i="3" s="1"/>
  <c r="L3214" i="3"/>
  <c r="F3214" i="3"/>
  <c r="J3214" i="3"/>
  <c r="K3214" i="3"/>
  <c r="D3214" i="3"/>
  <c r="E3214" i="3"/>
  <c r="C3213" i="3"/>
  <c r="B3213" i="3" s="1"/>
  <c r="A3215" i="3"/>
  <c r="L3215" i="3" l="1"/>
  <c r="F3215" i="3"/>
  <c r="J3215" i="3"/>
  <c r="D3215" i="3"/>
  <c r="K3215" i="3"/>
  <c r="E3215" i="3"/>
  <c r="C3214" i="3"/>
  <c r="B3214" i="3" s="1"/>
  <c r="I3214" i="3"/>
  <c r="H3214" i="3" s="1"/>
  <c r="A3216" i="3"/>
  <c r="L3216" i="3" l="1"/>
  <c r="F3216" i="3"/>
  <c r="J3216" i="3"/>
  <c r="D3216" i="3"/>
  <c r="K3216" i="3"/>
  <c r="E3216" i="3"/>
  <c r="C3215" i="3"/>
  <c r="B3215" i="3" s="1"/>
  <c r="I3215" i="3"/>
  <c r="H3215" i="3" s="1"/>
  <c r="A3217" i="3"/>
  <c r="L3217" i="3" l="1"/>
  <c r="F3217" i="3"/>
  <c r="J3217" i="3"/>
  <c r="D3217" i="3"/>
  <c r="K3217" i="3"/>
  <c r="E3217" i="3"/>
  <c r="C3216" i="3"/>
  <c r="B3216" i="3" s="1"/>
  <c r="A3218" i="3"/>
  <c r="I3216" i="3"/>
  <c r="H3216" i="3" s="1"/>
  <c r="L3218" i="3" l="1"/>
  <c r="F3218" i="3"/>
  <c r="J3218" i="3"/>
  <c r="D3218" i="3"/>
  <c r="K3218" i="3"/>
  <c r="E3218" i="3"/>
  <c r="I3217" i="3"/>
  <c r="H3217" i="3" s="1"/>
  <c r="C3217" i="3"/>
  <c r="B3217" i="3" s="1"/>
  <c r="A3219" i="3"/>
  <c r="L3219" i="3" l="1"/>
  <c r="F3219" i="3"/>
  <c r="J3219" i="3"/>
  <c r="D3219" i="3"/>
  <c r="K3219" i="3"/>
  <c r="E3219" i="3"/>
  <c r="I3218" i="3"/>
  <c r="H3218" i="3" s="1"/>
  <c r="A3220" i="3"/>
  <c r="C3218" i="3"/>
  <c r="B3218" i="3" s="1"/>
  <c r="L3220" i="3" l="1"/>
  <c r="F3220" i="3"/>
  <c r="J3220" i="3"/>
  <c r="D3220" i="3"/>
  <c r="K3220" i="3"/>
  <c r="E3220" i="3"/>
  <c r="I3219" i="3"/>
  <c r="H3219" i="3" s="1"/>
  <c r="C3219" i="3"/>
  <c r="B3219" i="3" s="1"/>
  <c r="A3221" i="3"/>
  <c r="L3221" i="3" l="1"/>
  <c r="F3221" i="3"/>
  <c r="J3221" i="3"/>
  <c r="D3221" i="3"/>
  <c r="K3221" i="3"/>
  <c r="E3221" i="3"/>
  <c r="I3220" i="3"/>
  <c r="H3220" i="3" s="1"/>
  <c r="A3222" i="3"/>
  <c r="C3220" i="3"/>
  <c r="B3220" i="3" s="1"/>
  <c r="L3222" i="3" l="1"/>
  <c r="F3222" i="3"/>
  <c r="J3222" i="3"/>
  <c r="D3222" i="3"/>
  <c r="K3222" i="3"/>
  <c r="E3222" i="3"/>
  <c r="A3223" i="3"/>
  <c r="C3221" i="3"/>
  <c r="B3221" i="3" s="1"/>
  <c r="I3221" i="3"/>
  <c r="H3221" i="3" s="1"/>
  <c r="L3223" i="3" l="1"/>
  <c r="F3223" i="3"/>
  <c r="D3223" i="3"/>
  <c r="E3223" i="3"/>
  <c r="J3223" i="3"/>
  <c r="K3223" i="3"/>
  <c r="I3222" i="3"/>
  <c r="H3222" i="3" s="1"/>
  <c r="C3222" i="3"/>
  <c r="B3222" i="3" s="1"/>
  <c r="A3224" i="3"/>
  <c r="L3224" i="3" l="1"/>
  <c r="F3224" i="3"/>
  <c r="J3224" i="3"/>
  <c r="D3224" i="3"/>
  <c r="K3224" i="3"/>
  <c r="E3224" i="3"/>
  <c r="C3223" i="3"/>
  <c r="B3223" i="3" s="1"/>
  <c r="I3223" i="3"/>
  <c r="H3223" i="3" s="1"/>
  <c r="A3225" i="3"/>
  <c r="L3225" i="3" l="1"/>
  <c r="F3225" i="3"/>
  <c r="D3225" i="3"/>
  <c r="J3225" i="3"/>
  <c r="E3225" i="3"/>
  <c r="K3225" i="3"/>
  <c r="I3224" i="3"/>
  <c r="H3224" i="3" s="1"/>
  <c r="A3226" i="3"/>
  <c r="C3224" i="3"/>
  <c r="B3224" i="3" s="1"/>
  <c r="L3226" i="3" l="1"/>
  <c r="F3226" i="3"/>
  <c r="J3226" i="3"/>
  <c r="D3226" i="3"/>
  <c r="K3226" i="3"/>
  <c r="E3226" i="3"/>
  <c r="C3225" i="3"/>
  <c r="B3225" i="3" s="1"/>
  <c r="I3225" i="3"/>
  <c r="H3225" i="3" s="1"/>
  <c r="A3227" i="3"/>
  <c r="L3227" i="3" l="1"/>
  <c r="F3227" i="3"/>
  <c r="J3227" i="3"/>
  <c r="D3227" i="3"/>
  <c r="K3227" i="3"/>
  <c r="E3227" i="3"/>
  <c r="C3226" i="3"/>
  <c r="B3226" i="3" s="1"/>
  <c r="I3226" i="3"/>
  <c r="H3226" i="3" s="1"/>
  <c r="A3228" i="3"/>
  <c r="L3228" i="3" l="1"/>
  <c r="F3228" i="3"/>
  <c r="J3228" i="3"/>
  <c r="D3228" i="3"/>
  <c r="K3228" i="3"/>
  <c r="E3228" i="3"/>
  <c r="C3227" i="3"/>
  <c r="B3227" i="3" s="1"/>
  <c r="I3227" i="3"/>
  <c r="H3227" i="3" s="1"/>
  <c r="A3229" i="3"/>
  <c r="L3229" i="3" l="1"/>
  <c r="F3229" i="3"/>
  <c r="J3229" i="3"/>
  <c r="D3229" i="3"/>
  <c r="K3229" i="3"/>
  <c r="E3229" i="3"/>
  <c r="C3228" i="3"/>
  <c r="B3228" i="3" s="1"/>
  <c r="I3228" i="3"/>
  <c r="H3228" i="3" s="1"/>
  <c r="A3230" i="3"/>
  <c r="L3230" i="3" l="1"/>
  <c r="F3230" i="3"/>
  <c r="J3230" i="3"/>
  <c r="D3230" i="3"/>
  <c r="K3230" i="3"/>
  <c r="E3230" i="3"/>
  <c r="I3229" i="3"/>
  <c r="H3229" i="3" s="1"/>
  <c r="C3229" i="3"/>
  <c r="B3229" i="3" s="1"/>
  <c r="A3231" i="3"/>
  <c r="L3231" i="3" l="1"/>
  <c r="F3231" i="3"/>
  <c r="J3231" i="3"/>
  <c r="D3231" i="3"/>
  <c r="K3231" i="3"/>
  <c r="E3231" i="3"/>
  <c r="C3230" i="3"/>
  <c r="B3230" i="3" s="1"/>
  <c r="I3230" i="3"/>
  <c r="H3230" i="3" s="1"/>
  <c r="A3232" i="3"/>
  <c r="L3232" i="3" l="1"/>
  <c r="F3232" i="3"/>
  <c r="J3232" i="3"/>
  <c r="D3232" i="3"/>
  <c r="K3232" i="3"/>
  <c r="E3232" i="3"/>
  <c r="I3231" i="3"/>
  <c r="H3231" i="3" s="1"/>
  <c r="C3231" i="3"/>
  <c r="B3231" i="3" s="1"/>
  <c r="A3233" i="3"/>
  <c r="L3233" i="3" l="1"/>
  <c r="F3233" i="3"/>
  <c r="J3233" i="3"/>
  <c r="D3233" i="3"/>
  <c r="K3233" i="3"/>
  <c r="E3233" i="3"/>
  <c r="I3232" i="3"/>
  <c r="H3232" i="3" s="1"/>
  <c r="C3232" i="3"/>
  <c r="B3232" i="3" s="1"/>
  <c r="A3234" i="3"/>
  <c r="L3234" i="3" l="1"/>
  <c r="F3234" i="3"/>
  <c r="J3234" i="3"/>
  <c r="D3234" i="3"/>
  <c r="K3234" i="3"/>
  <c r="E3234" i="3"/>
  <c r="C3233" i="3"/>
  <c r="B3233" i="3" s="1"/>
  <c r="I3233" i="3"/>
  <c r="H3233" i="3" s="1"/>
  <c r="A3235" i="3"/>
  <c r="L3235" i="3" l="1"/>
  <c r="F3235" i="3"/>
  <c r="J3235" i="3"/>
  <c r="D3235" i="3"/>
  <c r="K3235" i="3"/>
  <c r="E3235" i="3"/>
  <c r="I3234" i="3"/>
  <c r="H3234" i="3" s="1"/>
  <c r="C3234" i="3"/>
  <c r="B3234" i="3" s="1"/>
  <c r="A3236" i="3"/>
  <c r="L3236" i="3" l="1"/>
  <c r="F3236" i="3"/>
  <c r="J3236" i="3"/>
  <c r="D3236" i="3"/>
  <c r="K3236" i="3"/>
  <c r="E3236" i="3"/>
  <c r="C3235" i="3"/>
  <c r="B3235" i="3" s="1"/>
  <c r="I3235" i="3"/>
  <c r="H3235" i="3" s="1"/>
  <c r="A3237" i="3"/>
  <c r="L3237" i="3" l="1"/>
  <c r="F3237" i="3"/>
  <c r="J3237" i="3"/>
  <c r="D3237" i="3"/>
  <c r="K3237" i="3"/>
  <c r="E3237" i="3"/>
  <c r="I3236" i="3"/>
  <c r="H3236" i="3" s="1"/>
  <c r="C3236" i="3"/>
  <c r="B3236" i="3" s="1"/>
  <c r="A3238" i="3"/>
  <c r="L3238" i="3" l="1"/>
  <c r="F3238" i="3"/>
  <c r="J3238" i="3"/>
  <c r="D3238" i="3"/>
  <c r="K3238" i="3"/>
  <c r="E3238" i="3"/>
  <c r="C3237" i="3"/>
  <c r="B3237" i="3" s="1"/>
  <c r="I3237" i="3"/>
  <c r="H3237" i="3" s="1"/>
  <c r="A3239" i="3"/>
  <c r="L3239" i="3" l="1"/>
  <c r="F3239" i="3"/>
  <c r="J3239" i="3"/>
  <c r="D3239" i="3"/>
  <c r="K3239" i="3"/>
  <c r="E3239" i="3"/>
  <c r="C3238" i="3"/>
  <c r="B3238" i="3" s="1"/>
  <c r="I3238" i="3"/>
  <c r="H3238" i="3" s="1"/>
  <c r="A3240" i="3"/>
  <c r="L3240" i="3" l="1"/>
  <c r="F3240" i="3"/>
  <c r="D3240" i="3"/>
  <c r="J3240" i="3"/>
  <c r="E3240" i="3"/>
  <c r="K3240" i="3"/>
  <c r="I3239" i="3"/>
  <c r="H3239" i="3" s="1"/>
  <c r="C3239" i="3"/>
  <c r="B3239" i="3" s="1"/>
  <c r="A3241" i="3"/>
  <c r="L3241" i="3" l="1"/>
  <c r="F3241" i="3"/>
  <c r="J3241" i="3"/>
  <c r="D3241" i="3"/>
  <c r="K3241" i="3"/>
  <c r="E3241" i="3"/>
  <c r="I3240" i="3"/>
  <c r="H3240" i="3" s="1"/>
  <c r="A3242" i="3"/>
  <c r="C3240" i="3"/>
  <c r="B3240" i="3" s="1"/>
  <c r="L3242" i="3" l="1"/>
  <c r="F3242" i="3"/>
  <c r="J3242" i="3"/>
  <c r="D3242" i="3"/>
  <c r="K3242" i="3"/>
  <c r="E3242" i="3"/>
  <c r="I3241" i="3"/>
  <c r="H3241" i="3" s="1"/>
  <c r="C3241" i="3"/>
  <c r="B3241" i="3" s="1"/>
  <c r="A3243" i="3"/>
  <c r="L3243" i="3" l="1"/>
  <c r="F3243" i="3"/>
  <c r="J3243" i="3"/>
  <c r="D3243" i="3"/>
  <c r="K3243" i="3"/>
  <c r="E3243" i="3"/>
  <c r="I3242" i="3"/>
  <c r="H3242" i="3" s="1"/>
  <c r="A3244" i="3"/>
  <c r="C3242" i="3"/>
  <c r="B3242" i="3" s="1"/>
  <c r="L3244" i="3" l="1"/>
  <c r="F3244" i="3"/>
  <c r="J3244" i="3"/>
  <c r="D3244" i="3"/>
  <c r="K3244" i="3"/>
  <c r="E3244" i="3"/>
  <c r="I3243" i="3"/>
  <c r="H3243" i="3" s="1"/>
  <c r="C3243" i="3"/>
  <c r="B3243" i="3" s="1"/>
  <c r="A3245" i="3"/>
  <c r="L3245" i="3" l="1"/>
  <c r="F3245" i="3"/>
  <c r="J3245" i="3"/>
  <c r="D3245" i="3"/>
  <c r="K3245" i="3"/>
  <c r="E3245" i="3"/>
  <c r="I3244" i="3"/>
  <c r="H3244" i="3" s="1"/>
  <c r="C3244" i="3"/>
  <c r="B3244" i="3" s="1"/>
  <c r="A3246" i="3"/>
  <c r="L3246" i="3" l="1"/>
  <c r="F3246" i="3"/>
  <c r="J3246" i="3"/>
  <c r="D3246" i="3"/>
  <c r="K3246" i="3"/>
  <c r="E3246" i="3"/>
  <c r="C3245" i="3"/>
  <c r="B3245" i="3" s="1"/>
  <c r="A3247" i="3"/>
  <c r="I3245" i="3"/>
  <c r="H3245" i="3" s="1"/>
  <c r="L3247" i="3" l="1"/>
  <c r="F3247" i="3"/>
  <c r="J3247" i="3"/>
  <c r="D3247" i="3"/>
  <c r="K3247" i="3"/>
  <c r="E3247" i="3"/>
  <c r="I3246" i="3"/>
  <c r="H3246" i="3" s="1"/>
  <c r="C3246" i="3"/>
  <c r="B3246" i="3" s="1"/>
  <c r="A3248" i="3"/>
  <c r="L3248" i="3" l="1"/>
  <c r="F3248" i="3"/>
  <c r="J3248" i="3"/>
  <c r="D3248" i="3"/>
  <c r="K3248" i="3"/>
  <c r="E3248" i="3"/>
  <c r="I3247" i="3"/>
  <c r="H3247" i="3" s="1"/>
  <c r="C3247" i="3"/>
  <c r="B3247" i="3" s="1"/>
  <c r="A3249" i="3"/>
  <c r="L3249" i="3" l="1"/>
  <c r="F3249" i="3"/>
  <c r="J3249" i="3"/>
  <c r="D3249" i="3"/>
  <c r="K3249" i="3"/>
  <c r="E3249" i="3"/>
  <c r="I3248" i="3"/>
  <c r="H3248" i="3" s="1"/>
  <c r="C3248" i="3"/>
  <c r="B3248" i="3" s="1"/>
  <c r="A3250" i="3"/>
  <c r="L3250" i="3" l="1"/>
  <c r="F3250" i="3"/>
  <c r="J3250" i="3"/>
  <c r="D3250" i="3"/>
  <c r="K3250" i="3"/>
  <c r="E3250" i="3"/>
  <c r="I3249" i="3"/>
  <c r="H3249" i="3" s="1"/>
  <c r="C3249" i="3"/>
  <c r="B3249" i="3" s="1"/>
  <c r="A3251" i="3"/>
  <c r="L3251" i="3" l="1"/>
  <c r="F3251" i="3"/>
  <c r="J3251" i="3"/>
  <c r="D3251" i="3"/>
  <c r="K3251" i="3"/>
  <c r="E3251" i="3"/>
  <c r="I3250" i="3"/>
  <c r="H3250" i="3" s="1"/>
  <c r="C3250" i="3"/>
  <c r="B3250" i="3" s="1"/>
  <c r="A3252" i="3"/>
  <c r="L3252" i="3" l="1"/>
  <c r="F3252" i="3"/>
  <c r="J3252" i="3"/>
  <c r="D3252" i="3"/>
  <c r="K3252" i="3"/>
  <c r="E3252" i="3"/>
  <c r="I3251" i="3"/>
  <c r="H3251" i="3" s="1"/>
  <c r="C3251" i="3"/>
  <c r="B3251" i="3" s="1"/>
  <c r="A3253" i="3"/>
  <c r="L3253" i="3" l="1"/>
  <c r="F3253" i="3"/>
  <c r="J3253" i="3"/>
  <c r="D3253" i="3"/>
  <c r="K3253" i="3"/>
  <c r="E3253" i="3"/>
  <c r="I3252" i="3"/>
  <c r="H3252" i="3" s="1"/>
  <c r="C3252" i="3"/>
  <c r="B3252" i="3" s="1"/>
  <c r="A3254" i="3"/>
  <c r="L3254" i="3" l="1"/>
  <c r="F3254" i="3"/>
  <c r="D3254" i="3"/>
  <c r="J3254" i="3"/>
  <c r="E3254" i="3"/>
  <c r="K3254" i="3"/>
  <c r="C3253" i="3"/>
  <c r="B3253" i="3" s="1"/>
  <c r="I3253" i="3"/>
  <c r="H3253" i="3" s="1"/>
  <c r="A3255" i="3"/>
  <c r="L3255" i="3" l="1"/>
  <c r="F3255" i="3"/>
  <c r="J3255" i="3"/>
  <c r="D3255" i="3"/>
  <c r="K3255" i="3"/>
  <c r="E3255" i="3"/>
  <c r="I3254" i="3"/>
  <c r="H3254" i="3" s="1"/>
  <c r="C3254" i="3"/>
  <c r="B3254" i="3" s="1"/>
  <c r="A3256" i="3"/>
  <c r="L3256" i="3" l="1"/>
  <c r="F3256" i="3"/>
  <c r="D3256" i="3"/>
  <c r="J3256" i="3"/>
  <c r="E3256" i="3"/>
  <c r="K3256" i="3"/>
  <c r="I3255" i="3"/>
  <c r="H3255" i="3" s="1"/>
  <c r="A3257" i="3"/>
  <c r="C3255" i="3"/>
  <c r="B3255" i="3" s="1"/>
  <c r="L3257" i="3" l="1"/>
  <c r="F3257" i="3"/>
  <c r="J3257" i="3"/>
  <c r="D3257" i="3"/>
  <c r="K3257" i="3"/>
  <c r="E3257" i="3"/>
  <c r="C3256" i="3"/>
  <c r="B3256" i="3" s="1"/>
  <c r="I3256" i="3"/>
  <c r="H3256" i="3" s="1"/>
  <c r="A3258" i="3"/>
  <c r="L3258" i="3" l="1"/>
  <c r="F3258" i="3"/>
  <c r="J3258" i="3"/>
  <c r="D3258" i="3"/>
  <c r="K3258" i="3"/>
  <c r="E3258" i="3"/>
  <c r="I3257" i="3"/>
  <c r="H3257" i="3" s="1"/>
  <c r="C3257" i="3"/>
  <c r="B3257" i="3" s="1"/>
  <c r="A3259" i="3"/>
  <c r="L3259" i="3" l="1"/>
  <c r="F3259" i="3"/>
  <c r="J3259" i="3"/>
  <c r="D3259" i="3"/>
  <c r="K3259" i="3"/>
  <c r="E3259" i="3"/>
  <c r="I3258" i="3"/>
  <c r="H3258" i="3" s="1"/>
  <c r="C3258" i="3"/>
  <c r="B3258" i="3" s="1"/>
  <c r="A3260" i="3"/>
  <c r="L3260" i="3" l="1"/>
  <c r="F3260" i="3"/>
  <c r="J3260" i="3"/>
  <c r="D3260" i="3"/>
  <c r="K3260" i="3"/>
  <c r="E3260" i="3"/>
  <c r="C3259" i="3"/>
  <c r="B3259" i="3" s="1"/>
  <c r="I3259" i="3"/>
  <c r="H3259" i="3" s="1"/>
  <c r="A3261" i="3"/>
  <c r="L3261" i="3" l="1"/>
  <c r="F3261" i="3"/>
  <c r="J3261" i="3"/>
  <c r="D3261" i="3"/>
  <c r="K3261" i="3"/>
  <c r="E3261" i="3"/>
  <c r="I3260" i="3"/>
  <c r="H3260" i="3" s="1"/>
  <c r="A3262" i="3"/>
  <c r="C3260" i="3"/>
  <c r="B3260" i="3" s="1"/>
  <c r="L3262" i="3" l="1"/>
  <c r="F3262" i="3"/>
  <c r="J3262" i="3"/>
  <c r="D3262" i="3"/>
  <c r="K3262" i="3"/>
  <c r="E3262" i="3"/>
  <c r="I3261" i="3"/>
  <c r="H3261" i="3" s="1"/>
  <c r="A3263" i="3"/>
  <c r="C3261" i="3"/>
  <c r="B3261" i="3" s="1"/>
  <c r="L3263" i="3" l="1"/>
  <c r="F3263" i="3"/>
  <c r="J3263" i="3"/>
  <c r="D3263" i="3"/>
  <c r="K3263" i="3"/>
  <c r="E3263" i="3"/>
  <c r="I3262" i="3"/>
  <c r="H3262" i="3" s="1"/>
  <c r="C3262" i="3"/>
  <c r="B3262" i="3" s="1"/>
  <c r="A3264" i="3"/>
  <c r="L3264" i="3" l="1"/>
  <c r="F3264" i="3"/>
  <c r="J3264" i="3"/>
  <c r="D3264" i="3"/>
  <c r="K3264" i="3"/>
  <c r="E3264" i="3"/>
  <c r="C3263" i="3"/>
  <c r="B3263" i="3" s="1"/>
  <c r="A3265" i="3"/>
  <c r="I3263" i="3"/>
  <c r="H3263" i="3" s="1"/>
  <c r="L3265" i="3" l="1"/>
  <c r="F3265" i="3"/>
  <c r="J3265" i="3"/>
  <c r="D3265" i="3"/>
  <c r="K3265" i="3"/>
  <c r="E3265" i="3"/>
  <c r="I3264" i="3"/>
  <c r="H3264" i="3" s="1"/>
  <c r="C3264" i="3"/>
  <c r="B3264" i="3" s="1"/>
  <c r="A3266" i="3"/>
  <c r="L3266" i="3" l="1"/>
  <c r="F3266" i="3"/>
  <c r="J3266" i="3"/>
  <c r="D3266" i="3"/>
  <c r="K3266" i="3"/>
  <c r="E3266" i="3"/>
  <c r="C3265" i="3"/>
  <c r="B3265" i="3" s="1"/>
  <c r="I3265" i="3"/>
  <c r="H3265" i="3" s="1"/>
  <c r="A3267" i="3"/>
  <c r="L3267" i="3" l="1"/>
  <c r="F3267" i="3"/>
  <c r="J3267" i="3"/>
  <c r="D3267" i="3"/>
  <c r="K3267" i="3"/>
  <c r="E3267" i="3"/>
  <c r="C3266" i="3"/>
  <c r="B3266" i="3" s="1"/>
  <c r="A3268" i="3"/>
  <c r="I3266" i="3"/>
  <c r="H3266" i="3" s="1"/>
  <c r="L3268" i="3" l="1"/>
  <c r="F3268" i="3"/>
  <c r="J3268" i="3"/>
  <c r="D3268" i="3"/>
  <c r="K3268" i="3"/>
  <c r="E3268" i="3"/>
  <c r="C3267" i="3"/>
  <c r="B3267" i="3" s="1"/>
  <c r="I3267" i="3"/>
  <c r="H3267" i="3" s="1"/>
  <c r="A3269" i="3"/>
  <c r="L3269" i="3" l="1"/>
  <c r="F3269" i="3"/>
  <c r="J3269" i="3"/>
  <c r="D3269" i="3"/>
  <c r="K3269" i="3"/>
  <c r="E3269" i="3"/>
  <c r="C3268" i="3"/>
  <c r="B3268" i="3" s="1"/>
  <c r="I3268" i="3"/>
  <c r="H3268" i="3" s="1"/>
  <c r="A3270" i="3"/>
  <c r="L3270" i="3" l="1"/>
  <c r="F3270" i="3"/>
  <c r="D3270" i="3"/>
  <c r="J3270" i="3"/>
  <c r="E3270" i="3"/>
  <c r="K3270" i="3"/>
  <c r="I3269" i="3"/>
  <c r="H3269" i="3" s="1"/>
  <c r="C3269" i="3"/>
  <c r="B3269" i="3" s="1"/>
  <c r="A3271" i="3"/>
  <c r="L3271" i="3" l="1"/>
  <c r="F3271" i="3"/>
  <c r="J3271" i="3"/>
  <c r="D3271" i="3"/>
  <c r="K3271" i="3"/>
  <c r="E3271" i="3"/>
  <c r="C3270" i="3"/>
  <c r="B3270" i="3" s="1"/>
  <c r="I3270" i="3"/>
  <c r="H3270" i="3" s="1"/>
  <c r="A3272" i="3"/>
  <c r="L3272" i="3" l="1"/>
  <c r="F3272" i="3"/>
  <c r="J3272" i="3"/>
  <c r="D3272" i="3"/>
  <c r="K3272" i="3"/>
  <c r="E3272" i="3"/>
  <c r="C3271" i="3"/>
  <c r="B3271" i="3" s="1"/>
  <c r="I3271" i="3"/>
  <c r="H3271" i="3" s="1"/>
  <c r="A3273" i="3"/>
  <c r="L3273" i="3" l="1"/>
  <c r="F3273" i="3"/>
  <c r="J3273" i="3"/>
  <c r="D3273" i="3"/>
  <c r="K3273" i="3"/>
  <c r="E3273" i="3"/>
  <c r="C3272" i="3"/>
  <c r="B3272" i="3" s="1"/>
  <c r="I3272" i="3"/>
  <c r="H3272" i="3" s="1"/>
  <c r="A3274" i="3"/>
  <c r="L3274" i="3" l="1"/>
  <c r="F3274" i="3"/>
  <c r="J3274" i="3"/>
  <c r="D3274" i="3"/>
  <c r="K3274" i="3"/>
  <c r="E3274" i="3"/>
  <c r="I3273" i="3"/>
  <c r="H3273" i="3" s="1"/>
  <c r="C3273" i="3"/>
  <c r="B3273" i="3" s="1"/>
  <c r="A3275" i="3"/>
  <c r="L3275" i="3" l="1"/>
  <c r="F3275" i="3"/>
  <c r="J3275" i="3"/>
  <c r="D3275" i="3"/>
  <c r="K3275" i="3"/>
  <c r="E3275" i="3"/>
  <c r="I3274" i="3"/>
  <c r="H3274" i="3" s="1"/>
  <c r="A3276" i="3"/>
  <c r="C3274" i="3"/>
  <c r="B3274" i="3" s="1"/>
  <c r="L3276" i="3" l="1"/>
  <c r="F3276" i="3"/>
  <c r="J3276" i="3"/>
  <c r="D3276" i="3"/>
  <c r="K3276" i="3"/>
  <c r="E3276" i="3"/>
  <c r="I3275" i="3"/>
  <c r="H3275" i="3" s="1"/>
  <c r="A3277" i="3"/>
  <c r="C3275" i="3"/>
  <c r="B3275" i="3" s="1"/>
  <c r="L3277" i="3" l="1"/>
  <c r="F3277" i="3"/>
  <c r="J3277" i="3"/>
  <c r="D3277" i="3"/>
  <c r="K3277" i="3"/>
  <c r="E3277" i="3"/>
  <c r="I3276" i="3"/>
  <c r="H3276" i="3" s="1"/>
  <c r="C3276" i="3"/>
  <c r="B3276" i="3" s="1"/>
  <c r="A3278" i="3"/>
  <c r="L3278" i="3" l="1"/>
  <c r="F3278" i="3"/>
  <c r="J3278" i="3"/>
  <c r="D3278" i="3"/>
  <c r="K3278" i="3"/>
  <c r="E3278" i="3"/>
  <c r="C3277" i="3"/>
  <c r="B3277" i="3" s="1"/>
  <c r="I3277" i="3"/>
  <c r="H3277" i="3" s="1"/>
  <c r="A3279" i="3"/>
  <c r="L3279" i="3" l="1"/>
  <c r="F3279" i="3"/>
  <c r="J3279" i="3"/>
  <c r="D3279" i="3"/>
  <c r="K3279" i="3"/>
  <c r="E3279" i="3"/>
  <c r="I3278" i="3"/>
  <c r="H3278" i="3" s="1"/>
  <c r="C3278" i="3"/>
  <c r="B3278" i="3" s="1"/>
  <c r="A3280" i="3"/>
  <c r="L3280" i="3" l="1"/>
  <c r="F3280" i="3"/>
  <c r="J3280" i="3"/>
  <c r="D3280" i="3"/>
  <c r="K3280" i="3"/>
  <c r="E3280" i="3"/>
  <c r="I3279" i="3"/>
  <c r="H3279" i="3" s="1"/>
  <c r="A3281" i="3"/>
  <c r="C3279" i="3"/>
  <c r="B3279" i="3" s="1"/>
  <c r="L3281" i="3" l="1"/>
  <c r="F3281" i="3"/>
  <c r="J3281" i="3"/>
  <c r="D3281" i="3"/>
  <c r="K3281" i="3"/>
  <c r="E3281" i="3"/>
  <c r="I3280" i="3"/>
  <c r="H3280" i="3" s="1"/>
  <c r="C3280" i="3"/>
  <c r="B3280" i="3" s="1"/>
  <c r="A3282" i="3"/>
  <c r="L3282" i="3" l="1"/>
  <c r="F3282" i="3"/>
  <c r="J3282" i="3"/>
  <c r="D3282" i="3"/>
  <c r="K3282" i="3"/>
  <c r="E3282" i="3"/>
  <c r="I3281" i="3"/>
  <c r="H3281" i="3" s="1"/>
  <c r="A3283" i="3"/>
  <c r="C3281" i="3"/>
  <c r="B3281" i="3" s="1"/>
  <c r="L3283" i="3" l="1"/>
  <c r="F3283" i="3"/>
  <c r="D3283" i="3"/>
  <c r="E3283" i="3"/>
  <c r="J3283" i="3"/>
  <c r="K3283" i="3"/>
  <c r="I3282" i="3"/>
  <c r="H3282" i="3" s="1"/>
  <c r="C3282" i="3"/>
  <c r="B3282" i="3" s="1"/>
  <c r="A3284" i="3"/>
  <c r="L3284" i="3" l="1"/>
  <c r="F3284" i="3"/>
  <c r="J3284" i="3"/>
  <c r="D3284" i="3"/>
  <c r="K3284" i="3"/>
  <c r="E3284" i="3"/>
  <c r="A3285" i="3"/>
  <c r="I3283" i="3"/>
  <c r="H3283" i="3" s="1"/>
  <c r="C3283" i="3"/>
  <c r="B3283" i="3" s="1"/>
  <c r="L3285" i="3" l="1"/>
  <c r="F3285" i="3"/>
  <c r="J3285" i="3"/>
  <c r="D3285" i="3"/>
  <c r="K3285" i="3"/>
  <c r="E3285" i="3"/>
  <c r="I3284" i="3"/>
  <c r="H3284" i="3" s="1"/>
  <c r="A3286" i="3"/>
  <c r="C3284" i="3"/>
  <c r="B3284" i="3" s="1"/>
  <c r="L3286" i="3" l="1"/>
  <c r="F3286" i="3"/>
  <c r="J3286" i="3"/>
  <c r="D3286" i="3"/>
  <c r="K3286" i="3"/>
  <c r="E3286" i="3"/>
  <c r="C3285" i="3"/>
  <c r="B3285" i="3" s="1"/>
  <c r="A3287" i="3"/>
  <c r="I3285" i="3"/>
  <c r="H3285" i="3" s="1"/>
  <c r="L3287" i="3" l="1"/>
  <c r="F3287" i="3"/>
  <c r="D3287" i="3"/>
  <c r="E3287" i="3"/>
  <c r="J3287" i="3"/>
  <c r="K3287" i="3"/>
  <c r="I3286" i="3"/>
  <c r="H3286" i="3" s="1"/>
  <c r="C3286" i="3"/>
  <c r="B3286" i="3" s="1"/>
  <c r="A3288" i="3"/>
  <c r="L3288" i="3" l="1"/>
  <c r="F3288" i="3"/>
  <c r="J3288" i="3"/>
  <c r="D3288" i="3"/>
  <c r="K3288" i="3"/>
  <c r="E3288" i="3"/>
  <c r="C3287" i="3"/>
  <c r="B3287" i="3" s="1"/>
  <c r="I3287" i="3"/>
  <c r="H3287" i="3" s="1"/>
  <c r="A3289" i="3"/>
  <c r="L3289" i="3" l="1"/>
  <c r="F3289" i="3"/>
  <c r="J3289" i="3"/>
  <c r="D3289" i="3"/>
  <c r="K3289" i="3"/>
  <c r="E3289" i="3"/>
  <c r="I3288" i="3"/>
  <c r="H3288" i="3" s="1"/>
  <c r="A3290" i="3"/>
  <c r="C3288" i="3"/>
  <c r="B3288" i="3" s="1"/>
  <c r="L3290" i="3" l="1"/>
  <c r="F3290" i="3"/>
  <c r="J3290" i="3"/>
  <c r="D3290" i="3"/>
  <c r="K3290" i="3"/>
  <c r="E3290" i="3"/>
  <c r="I3289" i="3"/>
  <c r="H3289" i="3" s="1"/>
  <c r="C3289" i="3"/>
  <c r="B3289" i="3" s="1"/>
  <c r="A3291" i="3"/>
  <c r="L3291" i="3" l="1"/>
  <c r="F3291" i="3"/>
  <c r="J3291" i="3"/>
  <c r="D3291" i="3"/>
  <c r="K3291" i="3"/>
  <c r="E3291" i="3"/>
  <c r="I3290" i="3"/>
  <c r="H3290" i="3" s="1"/>
  <c r="C3290" i="3"/>
  <c r="B3290" i="3" s="1"/>
  <c r="A3292" i="3"/>
  <c r="L3292" i="3" l="1"/>
  <c r="F3292" i="3"/>
  <c r="J3292" i="3"/>
  <c r="D3292" i="3"/>
  <c r="K3292" i="3"/>
  <c r="E3292" i="3"/>
  <c r="C3291" i="3"/>
  <c r="B3291" i="3" s="1"/>
  <c r="I3291" i="3"/>
  <c r="H3291" i="3" s="1"/>
  <c r="A3293" i="3"/>
  <c r="L3293" i="3" l="1"/>
  <c r="F3293" i="3"/>
  <c r="J3293" i="3"/>
  <c r="D3293" i="3"/>
  <c r="K3293" i="3"/>
  <c r="E3293" i="3"/>
  <c r="C3292" i="3"/>
  <c r="B3292" i="3" s="1"/>
  <c r="I3292" i="3"/>
  <c r="H3292" i="3" s="1"/>
  <c r="A3294" i="3"/>
  <c r="L3294" i="3" l="1"/>
  <c r="F3294" i="3"/>
  <c r="J3294" i="3"/>
  <c r="D3294" i="3"/>
  <c r="K3294" i="3"/>
  <c r="E3294" i="3"/>
  <c r="I3293" i="3"/>
  <c r="H3293" i="3" s="1"/>
  <c r="C3293" i="3"/>
  <c r="B3293" i="3" s="1"/>
  <c r="A3295" i="3"/>
  <c r="L3295" i="3" l="1"/>
  <c r="F3295" i="3"/>
  <c r="J3295" i="3"/>
  <c r="D3295" i="3"/>
  <c r="K3295" i="3"/>
  <c r="E3295" i="3"/>
  <c r="A3296" i="3"/>
  <c r="I3294" i="3"/>
  <c r="H3294" i="3" s="1"/>
  <c r="C3294" i="3"/>
  <c r="B3294" i="3" s="1"/>
  <c r="L3296" i="3" l="1"/>
  <c r="F3296" i="3"/>
  <c r="J3296" i="3"/>
  <c r="D3296" i="3"/>
  <c r="K3296" i="3"/>
  <c r="E3296" i="3"/>
  <c r="I3295" i="3"/>
  <c r="H3295" i="3" s="1"/>
  <c r="C3295" i="3"/>
  <c r="B3295" i="3" s="1"/>
  <c r="A3297" i="3"/>
  <c r="L3297" i="3" l="1"/>
  <c r="F3297" i="3"/>
  <c r="J3297" i="3"/>
  <c r="D3297" i="3"/>
  <c r="K3297" i="3"/>
  <c r="E3297" i="3"/>
  <c r="I3296" i="3"/>
  <c r="H3296" i="3" s="1"/>
  <c r="A3298" i="3"/>
  <c r="C3296" i="3"/>
  <c r="B3296" i="3" s="1"/>
  <c r="L3298" i="3" l="1"/>
  <c r="F3298" i="3"/>
  <c r="J3298" i="3"/>
  <c r="D3298" i="3"/>
  <c r="K3298" i="3"/>
  <c r="E3298" i="3"/>
  <c r="I3297" i="3"/>
  <c r="H3297" i="3" s="1"/>
  <c r="C3297" i="3"/>
  <c r="B3297" i="3" s="1"/>
  <c r="A3299" i="3"/>
  <c r="L3299" i="3" l="1"/>
  <c r="F3299" i="3"/>
  <c r="J3299" i="3"/>
  <c r="D3299" i="3"/>
  <c r="K3299" i="3"/>
  <c r="E3299" i="3"/>
  <c r="I3298" i="3"/>
  <c r="H3298" i="3" s="1"/>
  <c r="C3298" i="3"/>
  <c r="B3298" i="3" s="1"/>
  <c r="A3300" i="3"/>
  <c r="L3300" i="3" l="1"/>
  <c r="F3300" i="3"/>
  <c r="J3300" i="3"/>
  <c r="D3300" i="3"/>
  <c r="K3300" i="3"/>
  <c r="E3300" i="3"/>
  <c r="I3299" i="3"/>
  <c r="H3299" i="3" s="1"/>
  <c r="C3299" i="3"/>
  <c r="B3299" i="3" s="1"/>
  <c r="A3301" i="3"/>
  <c r="L3301" i="3" l="1"/>
  <c r="F3301" i="3"/>
  <c r="J3301" i="3"/>
  <c r="D3301" i="3"/>
  <c r="K3301" i="3"/>
  <c r="E3301" i="3"/>
  <c r="I3300" i="3"/>
  <c r="H3300" i="3" s="1"/>
  <c r="C3300" i="3"/>
  <c r="B3300" i="3" s="1"/>
  <c r="A3302" i="3"/>
  <c r="L3302" i="3" l="1"/>
  <c r="F3302" i="3"/>
  <c r="D3302" i="3"/>
  <c r="E3302" i="3"/>
  <c r="J3302" i="3"/>
  <c r="K3302" i="3"/>
  <c r="C3301" i="3"/>
  <c r="B3301" i="3" s="1"/>
  <c r="I3301" i="3"/>
  <c r="H3301" i="3" s="1"/>
  <c r="A3303" i="3"/>
  <c r="L3303" i="3" l="1"/>
  <c r="F3303" i="3"/>
  <c r="J3303" i="3"/>
  <c r="D3303" i="3"/>
  <c r="K3303" i="3"/>
  <c r="E3303" i="3"/>
  <c r="C3302" i="3"/>
  <c r="B3302" i="3" s="1"/>
  <c r="I3302" i="3"/>
  <c r="H3302" i="3" s="1"/>
  <c r="A3304" i="3"/>
  <c r="L3304" i="3" l="1"/>
  <c r="F3304" i="3"/>
  <c r="J3304" i="3"/>
  <c r="D3304" i="3"/>
  <c r="K3304" i="3"/>
  <c r="E3304" i="3"/>
  <c r="I3303" i="3"/>
  <c r="H3303" i="3" s="1"/>
  <c r="A3305" i="3"/>
  <c r="C3303" i="3"/>
  <c r="B3303" i="3" s="1"/>
  <c r="L3305" i="3" l="1"/>
  <c r="F3305" i="3"/>
  <c r="J3305" i="3"/>
  <c r="D3305" i="3"/>
  <c r="K3305" i="3"/>
  <c r="E3305" i="3"/>
  <c r="I3304" i="3"/>
  <c r="H3304" i="3" s="1"/>
  <c r="C3304" i="3"/>
  <c r="B3304" i="3" s="1"/>
  <c r="A3306" i="3"/>
  <c r="L3306" i="3" l="1"/>
  <c r="F3306" i="3"/>
  <c r="J3306" i="3"/>
  <c r="D3306" i="3"/>
  <c r="K3306" i="3"/>
  <c r="E3306" i="3"/>
  <c r="I3305" i="3"/>
  <c r="H3305" i="3" s="1"/>
  <c r="C3305" i="3"/>
  <c r="B3305" i="3" s="1"/>
  <c r="A3307" i="3"/>
  <c r="L3307" i="3" l="1"/>
  <c r="F3307" i="3"/>
  <c r="J3307" i="3"/>
  <c r="D3307" i="3"/>
  <c r="K3307" i="3"/>
  <c r="E3307" i="3"/>
  <c r="I3306" i="3"/>
  <c r="H3306" i="3" s="1"/>
  <c r="A3308" i="3"/>
  <c r="C3306" i="3"/>
  <c r="B3306" i="3" s="1"/>
  <c r="L3308" i="3" l="1"/>
  <c r="F3308" i="3"/>
  <c r="J3308" i="3"/>
  <c r="D3308" i="3"/>
  <c r="K3308" i="3"/>
  <c r="E3308" i="3"/>
  <c r="I3307" i="3"/>
  <c r="H3307" i="3" s="1"/>
  <c r="C3307" i="3"/>
  <c r="B3307" i="3" s="1"/>
  <c r="A3309" i="3"/>
  <c r="L3309" i="3" l="1"/>
  <c r="F3309" i="3"/>
  <c r="J3309" i="3"/>
  <c r="D3309" i="3"/>
  <c r="K3309" i="3"/>
  <c r="E3309" i="3"/>
  <c r="I3308" i="3"/>
  <c r="H3308" i="3" s="1"/>
  <c r="A3310" i="3"/>
  <c r="C3308" i="3"/>
  <c r="B3308" i="3" s="1"/>
  <c r="L3310" i="3" l="1"/>
  <c r="F3310" i="3"/>
  <c r="J3310" i="3"/>
  <c r="D3310" i="3"/>
  <c r="K3310" i="3"/>
  <c r="E3310" i="3"/>
  <c r="C3309" i="3"/>
  <c r="B3309" i="3" s="1"/>
  <c r="I3309" i="3"/>
  <c r="H3309" i="3" s="1"/>
  <c r="A3311" i="3"/>
  <c r="L3311" i="3" l="1"/>
  <c r="F3311" i="3"/>
  <c r="J3311" i="3"/>
  <c r="D3311" i="3"/>
  <c r="K3311" i="3"/>
  <c r="E3311" i="3"/>
  <c r="I3310" i="3"/>
  <c r="H3310" i="3" s="1"/>
  <c r="A3312" i="3"/>
  <c r="C3310" i="3"/>
  <c r="B3310" i="3" s="1"/>
  <c r="L3312" i="3" l="1"/>
  <c r="F3312" i="3"/>
  <c r="J3312" i="3"/>
  <c r="D3312" i="3"/>
  <c r="K3312" i="3"/>
  <c r="E3312" i="3"/>
  <c r="C3311" i="3"/>
  <c r="B3311" i="3" s="1"/>
  <c r="I3311" i="3"/>
  <c r="H3311" i="3" s="1"/>
  <c r="A3313" i="3"/>
  <c r="L3313" i="3" l="1"/>
  <c r="F3313" i="3"/>
  <c r="J3313" i="3"/>
  <c r="D3313" i="3"/>
  <c r="K3313" i="3"/>
  <c r="E3313" i="3"/>
  <c r="I3312" i="3"/>
  <c r="H3312" i="3" s="1"/>
  <c r="C3312" i="3"/>
  <c r="B3312" i="3" s="1"/>
  <c r="A3314" i="3"/>
  <c r="L3314" i="3" l="1"/>
  <c r="F3314" i="3"/>
  <c r="D3314" i="3"/>
  <c r="J3314" i="3"/>
  <c r="E3314" i="3"/>
  <c r="K3314" i="3"/>
  <c r="I3313" i="3"/>
  <c r="H3313" i="3" s="1"/>
  <c r="C3313" i="3"/>
  <c r="B3313" i="3" s="1"/>
  <c r="A3315" i="3"/>
  <c r="L3315" i="3" l="1"/>
  <c r="F3315" i="3"/>
  <c r="J3315" i="3"/>
  <c r="D3315" i="3"/>
  <c r="K3315" i="3"/>
  <c r="E3315" i="3"/>
  <c r="I3314" i="3"/>
  <c r="H3314" i="3" s="1"/>
  <c r="C3314" i="3"/>
  <c r="B3314" i="3" s="1"/>
  <c r="A3316" i="3"/>
  <c r="L3316" i="3" l="1"/>
  <c r="F3316" i="3"/>
  <c r="J3316" i="3"/>
  <c r="D3316" i="3"/>
  <c r="K3316" i="3"/>
  <c r="E3316" i="3"/>
  <c r="I3315" i="3"/>
  <c r="H3315" i="3" s="1"/>
  <c r="C3315" i="3"/>
  <c r="B3315" i="3" s="1"/>
  <c r="A3317" i="3"/>
  <c r="L3317" i="3" l="1"/>
  <c r="F3317" i="3"/>
  <c r="J3317" i="3"/>
  <c r="D3317" i="3"/>
  <c r="K3317" i="3"/>
  <c r="E3317" i="3"/>
  <c r="I3316" i="3"/>
  <c r="H3316" i="3" s="1"/>
  <c r="A3318" i="3"/>
  <c r="C3316" i="3"/>
  <c r="B3316" i="3" s="1"/>
  <c r="L3318" i="3" l="1"/>
  <c r="F3318" i="3"/>
  <c r="D3318" i="3"/>
  <c r="E3318" i="3"/>
  <c r="J3318" i="3"/>
  <c r="K3318" i="3"/>
  <c r="C3317" i="3"/>
  <c r="B3317" i="3" s="1"/>
  <c r="I3317" i="3"/>
  <c r="H3317" i="3" s="1"/>
  <c r="A3319" i="3"/>
  <c r="L3319" i="3" l="1"/>
  <c r="F3319" i="3"/>
  <c r="J3319" i="3"/>
  <c r="D3319" i="3"/>
  <c r="K3319" i="3"/>
  <c r="E3319" i="3"/>
  <c r="C3318" i="3"/>
  <c r="B3318" i="3" s="1"/>
  <c r="I3318" i="3"/>
  <c r="H3318" i="3" s="1"/>
  <c r="A3320" i="3"/>
  <c r="L3320" i="3" l="1"/>
  <c r="F3320" i="3"/>
  <c r="J3320" i="3"/>
  <c r="D3320" i="3"/>
  <c r="K3320" i="3"/>
  <c r="E3320" i="3"/>
  <c r="I3319" i="3"/>
  <c r="H3319" i="3" s="1"/>
  <c r="A3321" i="3"/>
  <c r="C3319" i="3"/>
  <c r="B3319" i="3" s="1"/>
  <c r="L3321" i="3" l="1"/>
  <c r="F3321" i="3"/>
  <c r="J3321" i="3"/>
  <c r="D3321" i="3"/>
  <c r="K3321" i="3"/>
  <c r="E3321" i="3"/>
  <c r="C3320" i="3"/>
  <c r="B3320" i="3" s="1"/>
  <c r="I3320" i="3"/>
  <c r="H3320" i="3" s="1"/>
  <c r="A3322" i="3"/>
  <c r="L3322" i="3" l="1"/>
  <c r="F3322" i="3"/>
  <c r="J3322" i="3"/>
  <c r="D3322" i="3"/>
  <c r="K3322" i="3"/>
  <c r="E3322" i="3"/>
  <c r="C3321" i="3"/>
  <c r="B3321" i="3" s="1"/>
  <c r="I3321" i="3"/>
  <c r="H3321" i="3" s="1"/>
  <c r="A3323" i="3"/>
  <c r="L3323" i="3" l="1"/>
  <c r="F3323" i="3"/>
  <c r="J3323" i="3"/>
  <c r="D3323" i="3"/>
  <c r="K3323" i="3"/>
  <c r="E3323" i="3"/>
  <c r="I3322" i="3"/>
  <c r="H3322" i="3" s="1"/>
  <c r="C3322" i="3"/>
  <c r="B3322" i="3" s="1"/>
  <c r="A3324" i="3"/>
  <c r="L3324" i="3" l="1"/>
  <c r="F3324" i="3"/>
  <c r="J3324" i="3"/>
  <c r="D3324" i="3"/>
  <c r="K3324" i="3"/>
  <c r="E3324" i="3"/>
  <c r="C3323" i="3"/>
  <c r="B3323" i="3" s="1"/>
  <c r="I3323" i="3"/>
  <c r="H3323" i="3" s="1"/>
  <c r="A3325" i="3"/>
  <c r="L3325" i="3" l="1"/>
  <c r="F3325" i="3"/>
  <c r="J3325" i="3"/>
  <c r="D3325" i="3"/>
  <c r="K3325" i="3"/>
  <c r="E3325" i="3"/>
  <c r="I3324" i="3"/>
  <c r="H3324" i="3" s="1"/>
  <c r="C3324" i="3"/>
  <c r="B3324" i="3" s="1"/>
  <c r="A3326" i="3"/>
  <c r="L3326" i="3" l="1"/>
  <c r="F3326" i="3"/>
  <c r="J3326" i="3"/>
  <c r="D3326" i="3"/>
  <c r="K3326" i="3"/>
  <c r="E3326" i="3"/>
  <c r="C3325" i="3"/>
  <c r="B3325" i="3" s="1"/>
  <c r="I3325" i="3"/>
  <c r="H3325" i="3" s="1"/>
  <c r="A3327" i="3"/>
  <c r="L3327" i="3" l="1"/>
  <c r="F3327" i="3"/>
  <c r="J3327" i="3"/>
  <c r="D3327" i="3"/>
  <c r="K3327" i="3"/>
  <c r="E3327" i="3"/>
  <c r="I3326" i="3"/>
  <c r="H3326" i="3" s="1"/>
  <c r="C3326" i="3"/>
  <c r="B3326" i="3" s="1"/>
  <c r="A3328" i="3"/>
  <c r="L3328" i="3" l="1"/>
  <c r="F3328" i="3"/>
  <c r="J3328" i="3"/>
  <c r="D3328" i="3"/>
  <c r="K3328" i="3"/>
  <c r="E3328" i="3"/>
  <c r="A3329" i="3"/>
  <c r="I3327" i="3"/>
  <c r="H3327" i="3" s="1"/>
  <c r="C3327" i="3"/>
  <c r="B3327" i="3" s="1"/>
  <c r="L3329" i="3" l="1"/>
  <c r="F3329" i="3"/>
  <c r="J3329" i="3"/>
  <c r="D3329" i="3"/>
  <c r="K3329" i="3"/>
  <c r="E3329" i="3"/>
  <c r="I3328" i="3"/>
  <c r="H3328" i="3" s="1"/>
  <c r="C3328" i="3"/>
  <c r="B3328" i="3" s="1"/>
  <c r="A3330" i="3"/>
  <c r="L3330" i="3" l="1"/>
  <c r="F3330" i="3"/>
  <c r="J3330" i="3"/>
  <c r="D3330" i="3"/>
  <c r="K3330" i="3"/>
  <c r="E3330" i="3"/>
  <c r="C3329" i="3"/>
  <c r="B3329" i="3" s="1"/>
  <c r="I3329" i="3"/>
  <c r="H3329" i="3" s="1"/>
  <c r="A3331" i="3"/>
  <c r="L3331" i="3" l="1"/>
  <c r="F3331" i="3"/>
  <c r="J3331" i="3"/>
  <c r="D3331" i="3"/>
  <c r="K3331" i="3"/>
  <c r="E3331" i="3"/>
  <c r="I3330" i="3"/>
  <c r="H3330" i="3" s="1"/>
  <c r="C3330" i="3"/>
  <c r="B3330" i="3" s="1"/>
  <c r="A3332" i="3"/>
  <c r="L3332" i="3" l="1"/>
  <c r="F3332" i="3"/>
  <c r="J3332" i="3"/>
  <c r="D3332" i="3"/>
  <c r="K3332" i="3"/>
  <c r="E3332" i="3"/>
  <c r="C3331" i="3"/>
  <c r="B3331" i="3" s="1"/>
  <c r="I3331" i="3"/>
  <c r="H3331" i="3" s="1"/>
  <c r="A3333" i="3"/>
  <c r="L3333" i="3" l="1"/>
  <c r="F3333" i="3"/>
  <c r="D3333" i="3"/>
  <c r="J3333" i="3"/>
  <c r="E3333" i="3"/>
  <c r="K3333" i="3"/>
  <c r="I3332" i="3"/>
  <c r="H3332" i="3" s="1"/>
  <c r="A3334" i="3"/>
  <c r="C3332" i="3"/>
  <c r="B3332" i="3" s="1"/>
  <c r="L3334" i="3" l="1"/>
  <c r="F3334" i="3"/>
  <c r="J3334" i="3"/>
  <c r="D3334" i="3"/>
  <c r="K3334" i="3"/>
  <c r="E3334" i="3"/>
  <c r="C3333" i="3"/>
  <c r="B3333" i="3" s="1"/>
  <c r="I3333" i="3"/>
  <c r="H3333" i="3" s="1"/>
  <c r="A3335" i="3"/>
  <c r="L3335" i="3" l="1"/>
  <c r="F3335" i="3"/>
  <c r="J3335" i="3"/>
  <c r="D3335" i="3"/>
  <c r="K3335" i="3"/>
  <c r="E3335" i="3"/>
  <c r="I3334" i="3"/>
  <c r="H3334" i="3" s="1"/>
  <c r="C3334" i="3"/>
  <c r="B3334" i="3" s="1"/>
  <c r="A3336" i="3"/>
  <c r="L3336" i="3" l="1"/>
  <c r="F3336" i="3"/>
  <c r="J3336" i="3"/>
  <c r="D3336" i="3"/>
  <c r="K3336" i="3"/>
  <c r="E3336" i="3"/>
  <c r="I3335" i="3"/>
  <c r="H3335" i="3" s="1"/>
  <c r="A3337" i="3"/>
  <c r="C3335" i="3"/>
  <c r="B3335" i="3" s="1"/>
  <c r="L3337" i="3" l="1"/>
  <c r="F3337" i="3"/>
  <c r="J3337" i="3"/>
  <c r="D3337" i="3"/>
  <c r="K3337" i="3"/>
  <c r="E3337" i="3"/>
  <c r="C3336" i="3"/>
  <c r="B3336" i="3" s="1"/>
  <c r="I3336" i="3"/>
  <c r="H3336" i="3" s="1"/>
  <c r="A3338" i="3"/>
  <c r="L3338" i="3" l="1"/>
  <c r="F3338" i="3"/>
  <c r="J3338" i="3"/>
  <c r="D3338" i="3"/>
  <c r="K3338" i="3"/>
  <c r="E3338" i="3"/>
  <c r="I3337" i="3"/>
  <c r="H3337" i="3" s="1"/>
  <c r="C3337" i="3"/>
  <c r="B3337" i="3" s="1"/>
  <c r="A3339" i="3"/>
  <c r="L3339" i="3" l="1"/>
  <c r="F3339" i="3"/>
  <c r="J3339" i="3"/>
  <c r="D3339" i="3"/>
  <c r="K3339" i="3"/>
  <c r="E3339" i="3"/>
  <c r="I3338" i="3"/>
  <c r="H3338" i="3" s="1"/>
  <c r="C3338" i="3"/>
  <c r="B3338" i="3" s="1"/>
  <c r="A3340" i="3"/>
  <c r="L3340" i="3" l="1"/>
  <c r="F3340" i="3"/>
  <c r="J3340" i="3"/>
  <c r="D3340" i="3"/>
  <c r="K3340" i="3"/>
  <c r="E3340" i="3"/>
  <c r="I3339" i="3"/>
  <c r="H3339" i="3" s="1"/>
  <c r="C3339" i="3"/>
  <c r="B3339" i="3" s="1"/>
  <c r="A3341" i="3"/>
  <c r="L3341" i="3" l="1"/>
  <c r="F3341" i="3"/>
  <c r="J3341" i="3"/>
  <c r="D3341" i="3"/>
  <c r="K3341" i="3"/>
  <c r="E3341" i="3"/>
  <c r="C3340" i="3"/>
  <c r="B3340" i="3" s="1"/>
  <c r="I3340" i="3"/>
  <c r="H3340" i="3" s="1"/>
  <c r="A3342" i="3"/>
  <c r="L3342" i="3" l="1"/>
  <c r="F3342" i="3"/>
  <c r="J3342" i="3"/>
  <c r="D3342" i="3"/>
  <c r="K3342" i="3"/>
  <c r="E3342" i="3"/>
  <c r="C3341" i="3"/>
  <c r="B3341" i="3" s="1"/>
  <c r="I3341" i="3"/>
  <c r="H3341" i="3" s="1"/>
  <c r="A3343" i="3"/>
  <c r="L3343" i="3" l="1"/>
  <c r="F3343" i="3"/>
  <c r="J3343" i="3"/>
  <c r="D3343" i="3"/>
  <c r="K3343" i="3"/>
  <c r="E3343" i="3"/>
  <c r="I3342" i="3"/>
  <c r="H3342" i="3" s="1"/>
  <c r="C3342" i="3"/>
  <c r="B3342" i="3" s="1"/>
  <c r="A3344" i="3"/>
  <c r="L3344" i="3" l="1"/>
  <c r="F3344" i="3"/>
  <c r="J3344" i="3"/>
  <c r="K3344" i="3"/>
  <c r="D3344" i="3"/>
  <c r="E3344" i="3"/>
  <c r="C3343" i="3"/>
  <c r="B3343" i="3" s="1"/>
  <c r="I3343" i="3"/>
  <c r="H3343" i="3" s="1"/>
  <c r="A3345" i="3"/>
  <c r="L3345" i="3" l="1"/>
  <c r="F3345" i="3"/>
  <c r="D3345" i="3"/>
  <c r="J3345" i="3"/>
  <c r="E3345" i="3"/>
  <c r="K3345" i="3"/>
  <c r="I3344" i="3"/>
  <c r="H3344" i="3" s="1"/>
  <c r="A3346" i="3"/>
  <c r="C3344" i="3"/>
  <c r="B3344" i="3" s="1"/>
  <c r="L3346" i="3" l="1"/>
  <c r="F3346" i="3"/>
  <c r="J3346" i="3"/>
  <c r="D3346" i="3"/>
  <c r="K3346" i="3"/>
  <c r="E3346" i="3"/>
  <c r="I3345" i="3"/>
  <c r="H3345" i="3" s="1"/>
  <c r="C3345" i="3"/>
  <c r="B3345" i="3" s="1"/>
  <c r="A3347" i="3"/>
  <c r="L3347" i="3" l="1"/>
  <c r="F3347" i="3"/>
  <c r="J3347" i="3"/>
  <c r="D3347" i="3"/>
  <c r="K3347" i="3"/>
  <c r="E3347" i="3"/>
  <c r="I3346" i="3"/>
  <c r="H3346" i="3" s="1"/>
  <c r="C3346" i="3"/>
  <c r="B3346" i="3" s="1"/>
  <c r="A3348" i="3"/>
  <c r="L3348" i="3" l="1"/>
  <c r="F3348" i="3"/>
  <c r="J3348" i="3"/>
  <c r="D3348" i="3"/>
  <c r="K3348" i="3"/>
  <c r="E3348" i="3"/>
  <c r="I3347" i="3"/>
  <c r="H3347" i="3" s="1"/>
  <c r="C3347" i="3"/>
  <c r="B3347" i="3" s="1"/>
  <c r="A3349" i="3"/>
  <c r="L3349" i="3" l="1"/>
  <c r="F3349" i="3"/>
  <c r="J3349" i="3"/>
  <c r="D3349" i="3"/>
  <c r="K3349" i="3"/>
  <c r="E3349" i="3"/>
  <c r="I3348" i="3"/>
  <c r="H3348" i="3" s="1"/>
  <c r="C3348" i="3"/>
  <c r="B3348" i="3" s="1"/>
  <c r="A3350" i="3"/>
  <c r="L3350" i="3" l="1"/>
  <c r="F3350" i="3"/>
  <c r="D3350" i="3"/>
  <c r="J3350" i="3"/>
  <c r="E3350" i="3"/>
  <c r="K3350" i="3"/>
  <c r="C3349" i="3"/>
  <c r="B3349" i="3" s="1"/>
  <c r="I3349" i="3"/>
  <c r="H3349" i="3" s="1"/>
  <c r="A3351" i="3"/>
  <c r="L3351" i="3" l="1"/>
  <c r="F3351" i="3"/>
  <c r="J3351" i="3"/>
  <c r="D3351" i="3"/>
  <c r="K3351" i="3"/>
  <c r="E3351" i="3"/>
  <c r="C3350" i="3"/>
  <c r="B3350" i="3" s="1"/>
  <c r="I3350" i="3"/>
  <c r="H3350" i="3" s="1"/>
  <c r="A3352" i="3"/>
  <c r="L3352" i="3" l="1"/>
  <c r="F3352" i="3"/>
  <c r="J3352" i="3"/>
  <c r="D3352" i="3"/>
  <c r="K3352" i="3"/>
  <c r="E3352" i="3"/>
  <c r="C3351" i="3"/>
  <c r="B3351" i="3" s="1"/>
  <c r="I3351" i="3"/>
  <c r="H3351" i="3" s="1"/>
  <c r="A3353" i="3"/>
  <c r="L3353" i="3" l="1"/>
  <c r="F3353" i="3"/>
  <c r="J3353" i="3"/>
  <c r="D3353" i="3"/>
  <c r="K3353" i="3"/>
  <c r="E3353" i="3"/>
  <c r="C3352" i="3"/>
  <c r="B3352" i="3" s="1"/>
  <c r="I3352" i="3"/>
  <c r="H3352" i="3" s="1"/>
  <c r="A3354" i="3"/>
  <c r="L3354" i="3" l="1"/>
  <c r="F3354" i="3"/>
  <c r="J3354" i="3"/>
  <c r="D3354" i="3"/>
  <c r="K3354" i="3"/>
  <c r="E3354" i="3"/>
  <c r="I3353" i="3"/>
  <c r="H3353" i="3" s="1"/>
  <c r="C3353" i="3"/>
  <c r="B3353" i="3" s="1"/>
  <c r="A3355" i="3"/>
  <c r="L3355" i="3" l="1"/>
  <c r="F3355" i="3"/>
  <c r="J3355" i="3"/>
  <c r="D3355" i="3"/>
  <c r="K3355" i="3"/>
  <c r="E3355" i="3"/>
  <c r="I3354" i="3"/>
  <c r="H3354" i="3" s="1"/>
  <c r="C3354" i="3"/>
  <c r="B3354" i="3" s="1"/>
  <c r="A3356" i="3"/>
  <c r="L3356" i="3" l="1"/>
  <c r="F3356" i="3"/>
  <c r="J3356" i="3"/>
  <c r="D3356" i="3"/>
  <c r="K3356" i="3"/>
  <c r="E3356" i="3"/>
  <c r="I3355" i="3"/>
  <c r="H3355" i="3" s="1"/>
  <c r="A3357" i="3"/>
  <c r="C3355" i="3"/>
  <c r="B3355" i="3" s="1"/>
  <c r="L3357" i="3" l="1"/>
  <c r="F3357" i="3"/>
  <c r="J3357" i="3"/>
  <c r="D3357" i="3"/>
  <c r="K3357" i="3"/>
  <c r="E3357" i="3"/>
  <c r="I3356" i="3"/>
  <c r="H3356" i="3" s="1"/>
  <c r="C3356" i="3"/>
  <c r="B3356" i="3" s="1"/>
  <c r="A3358" i="3"/>
  <c r="L3358" i="3" l="1"/>
  <c r="F3358" i="3"/>
  <c r="J3358" i="3"/>
  <c r="D3358" i="3"/>
  <c r="K3358" i="3"/>
  <c r="E3358" i="3"/>
  <c r="A3359" i="3"/>
  <c r="I3357" i="3"/>
  <c r="H3357" i="3" s="1"/>
  <c r="C3357" i="3"/>
  <c r="B3357" i="3" s="1"/>
  <c r="L3359" i="3" l="1"/>
  <c r="F3359" i="3"/>
  <c r="J3359" i="3"/>
  <c r="D3359" i="3"/>
  <c r="K3359" i="3"/>
  <c r="E3359" i="3"/>
  <c r="I3358" i="3"/>
  <c r="H3358" i="3" s="1"/>
  <c r="C3358" i="3"/>
  <c r="B3358" i="3" s="1"/>
  <c r="A3360" i="3"/>
  <c r="L3360" i="3" l="1"/>
  <c r="F3360" i="3"/>
  <c r="J3360" i="3"/>
  <c r="D3360" i="3"/>
  <c r="K3360" i="3"/>
  <c r="E3360" i="3"/>
  <c r="C3359" i="3"/>
  <c r="B3359" i="3" s="1"/>
  <c r="I3359" i="3"/>
  <c r="H3359" i="3" s="1"/>
  <c r="A3361" i="3"/>
  <c r="L3361" i="3" l="1"/>
  <c r="F3361" i="3"/>
  <c r="J3361" i="3"/>
  <c r="D3361" i="3"/>
  <c r="K3361" i="3"/>
  <c r="E3361" i="3"/>
  <c r="I3360" i="3"/>
  <c r="H3360" i="3" s="1"/>
  <c r="C3360" i="3"/>
  <c r="B3360" i="3" s="1"/>
  <c r="A3362" i="3"/>
  <c r="L3362" i="3" l="1"/>
  <c r="F3362" i="3"/>
  <c r="D3362" i="3"/>
  <c r="J3362" i="3"/>
  <c r="E3362" i="3"/>
  <c r="K3362" i="3"/>
  <c r="I3361" i="3"/>
  <c r="H3361" i="3" s="1"/>
  <c r="C3361" i="3"/>
  <c r="B3361" i="3" s="1"/>
  <c r="A3363" i="3"/>
  <c r="L3363" i="3" l="1"/>
  <c r="F3363" i="3"/>
  <c r="J3363" i="3"/>
  <c r="D3363" i="3"/>
  <c r="K3363" i="3"/>
  <c r="E3363" i="3"/>
  <c r="C3362" i="3"/>
  <c r="B3362" i="3" s="1"/>
  <c r="I3362" i="3"/>
  <c r="H3362" i="3" s="1"/>
  <c r="A3364" i="3"/>
  <c r="L3364" i="3" l="1"/>
  <c r="F3364" i="3"/>
  <c r="J3364" i="3"/>
  <c r="D3364" i="3"/>
  <c r="K3364" i="3"/>
  <c r="E3364" i="3"/>
  <c r="C3363" i="3"/>
  <c r="B3363" i="3" s="1"/>
  <c r="I3363" i="3"/>
  <c r="H3363" i="3" s="1"/>
  <c r="A3365" i="3"/>
  <c r="L3365" i="3" l="1"/>
  <c r="F3365" i="3"/>
  <c r="J3365" i="3"/>
  <c r="D3365" i="3"/>
  <c r="K3365" i="3"/>
  <c r="E3365" i="3"/>
  <c r="I3364" i="3"/>
  <c r="H3364" i="3" s="1"/>
  <c r="C3364" i="3"/>
  <c r="B3364" i="3" s="1"/>
  <c r="A3366" i="3"/>
  <c r="L3366" i="3" l="1"/>
  <c r="F3366" i="3"/>
  <c r="J3366" i="3"/>
  <c r="D3366" i="3"/>
  <c r="K3366" i="3"/>
  <c r="E3366" i="3"/>
  <c r="C3365" i="3"/>
  <c r="B3365" i="3" s="1"/>
  <c r="I3365" i="3"/>
  <c r="H3365" i="3" s="1"/>
  <c r="A3367" i="3"/>
  <c r="L3367" i="3" l="1"/>
  <c r="F3367" i="3"/>
  <c r="J3367" i="3"/>
  <c r="D3367" i="3"/>
  <c r="K3367" i="3"/>
  <c r="E3367" i="3"/>
  <c r="C3366" i="3"/>
  <c r="B3366" i="3" s="1"/>
  <c r="I3366" i="3"/>
  <c r="H3366" i="3" s="1"/>
  <c r="A3368" i="3"/>
  <c r="L3368" i="3" l="1"/>
  <c r="F3368" i="3"/>
  <c r="J3368" i="3"/>
  <c r="D3368" i="3"/>
  <c r="K3368" i="3"/>
  <c r="E3368" i="3"/>
  <c r="I3367" i="3"/>
  <c r="H3367" i="3" s="1"/>
  <c r="C3367" i="3"/>
  <c r="B3367" i="3" s="1"/>
  <c r="A3369" i="3"/>
  <c r="L3369" i="3" l="1"/>
  <c r="F3369" i="3"/>
  <c r="J3369" i="3"/>
  <c r="D3369" i="3"/>
  <c r="K3369" i="3"/>
  <c r="E3369" i="3"/>
  <c r="I3368" i="3"/>
  <c r="H3368" i="3" s="1"/>
  <c r="C3368" i="3"/>
  <c r="B3368" i="3" s="1"/>
  <c r="A3370" i="3"/>
  <c r="L3370" i="3" l="1"/>
  <c r="F3370" i="3"/>
  <c r="J3370" i="3"/>
  <c r="D3370" i="3"/>
  <c r="K3370" i="3"/>
  <c r="E3370" i="3"/>
  <c r="I3369" i="3"/>
  <c r="H3369" i="3" s="1"/>
  <c r="C3369" i="3"/>
  <c r="B3369" i="3" s="1"/>
  <c r="A3371" i="3"/>
  <c r="L3371" i="3" l="1"/>
  <c r="F3371" i="3"/>
  <c r="J3371" i="3"/>
  <c r="D3371" i="3"/>
  <c r="K3371" i="3"/>
  <c r="E3371" i="3"/>
  <c r="I3370" i="3"/>
  <c r="H3370" i="3" s="1"/>
  <c r="C3370" i="3"/>
  <c r="B3370" i="3" s="1"/>
  <c r="A3372" i="3"/>
  <c r="L3372" i="3" l="1"/>
  <c r="F3372" i="3"/>
  <c r="J3372" i="3"/>
  <c r="D3372" i="3"/>
  <c r="K3372" i="3"/>
  <c r="E3372" i="3"/>
  <c r="I3371" i="3"/>
  <c r="H3371" i="3" s="1"/>
  <c r="A3373" i="3"/>
  <c r="C3371" i="3"/>
  <c r="B3371" i="3" s="1"/>
  <c r="L3373" i="3" l="1"/>
  <c r="F3373" i="3"/>
  <c r="J3373" i="3"/>
  <c r="D3373" i="3"/>
  <c r="K3373" i="3"/>
  <c r="E3373" i="3"/>
  <c r="C3372" i="3"/>
  <c r="B3372" i="3" s="1"/>
  <c r="I3372" i="3"/>
  <c r="H3372" i="3" s="1"/>
  <c r="A3374" i="3"/>
  <c r="L3374" i="3" l="1"/>
  <c r="F3374" i="3"/>
  <c r="J3374" i="3"/>
  <c r="D3374" i="3"/>
  <c r="K3374" i="3"/>
  <c r="E3374" i="3"/>
  <c r="I3373" i="3"/>
  <c r="H3373" i="3" s="1"/>
  <c r="A3375" i="3"/>
  <c r="C3373" i="3"/>
  <c r="B3373" i="3" s="1"/>
  <c r="L3375" i="3" l="1"/>
  <c r="F3375" i="3"/>
  <c r="D3375" i="3"/>
  <c r="J3375" i="3"/>
  <c r="E3375" i="3"/>
  <c r="K3375" i="3"/>
  <c r="I3374" i="3"/>
  <c r="H3374" i="3" s="1"/>
  <c r="C3374" i="3"/>
  <c r="B3374" i="3" s="1"/>
  <c r="A3376" i="3"/>
  <c r="L3376" i="3" l="1"/>
  <c r="F3376" i="3"/>
  <c r="J3376" i="3"/>
  <c r="D3376" i="3"/>
  <c r="K3376" i="3"/>
  <c r="E3376" i="3"/>
  <c r="A3377" i="3"/>
  <c r="I3375" i="3"/>
  <c r="H3375" i="3" s="1"/>
  <c r="C3375" i="3"/>
  <c r="B3375" i="3" s="1"/>
  <c r="L3377" i="3" l="1"/>
  <c r="F3377" i="3"/>
  <c r="J3377" i="3"/>
  <c r="D3377" i="3"/>
  <c r="K3377" i="3"/>
  <c r="E3377" i="3"/>
  <c r="I3376" i="3"/>
  <c r="H3376" i="3" s="1"/>
  <c r="C3376" i="3"/>
  <c r="B3376" i="3" s="1"/>
  <c r="A3378" i="3"/>
  <c r="L3378" i="3" l="1"/>
  <c r="F3378" i="3"/>
  <c r="J3378" i="3"/>
  <c r="D3378" i="3"/>
  <c r="K3378" i="3"/>
  <c r="E3378" i="3"/>
  <c r="I3377" i="3"/>
  <c r="H3377" i="3" s="1"/>
  <c r="A3379" i="3"/>
  <c r="C3377" i="3"/>
  <c r="B3377" i="3" s="1"/>
  <c r="L3379" i="3" l="1"/>
  <c r="F3379" i="3"/>
  <c r="J3379" i="3"/>
  <c r="D3379" i="3"/>
  <c r="K3379" i="3"/>
  <c r="E3379" i="3"/>
  <c r="C3378" i="3"/>
  <c r="B3378" i="3" s="1"/>
  <c r="I3378" i="3"/>
  <c r="H3378" i="3" s="1"/>
  <c r="A3380" i="3"/>
  <c r="L3380" i="3" l="1"/>
  <c r="F3380" i="3"/>
  <c r="D3380" i="3"/>
  <c r="E3380" i="3"/>
  <c r="J3380" i="3"/>
  <c r="K3380" i="3"/>
  <c r="C3379" i="3"/>
  <c r="B3379" i="3" s="1"/>
  <c r="I3379" i="3"/>
  <c r="H3379" i="3" s="1"/>
  <c r="A3381" i="3"/>
  <c r="L3381" i="3" l="1"/>
  <c r="F3381" i="3"/>
  <c r="J3381" i="3"/>
  <c r="D3381" i="3"/>
  <c r="K3381" i="3"/>
  <c r="E3381" i="3"/>
  <c r="I3380" i="3"/>
  <c r="H3380" i="3" s="1"/>
  <c r="C3380" i="3"/>
  <c r="B3380" i="3" s="1"/>
  <c r="A3382" i="3"/>
  <c r="L3382" i="3" l="1"/>
  <c r="F3382" i="3"/>
  <c r="J3382" i="3"/>
  <c r="D3382" i="3"/>
  <c r="K3382" i="3"/>
  <c r="E3382" i="3"/>
  <c r="C3381" i="3"/>
  <c r="B3381" i="3" s="1"/>
  <c r="I3381" i="3"/>
  <c r="H3381" i="3" s="1"/>
  <c r="A3383" i="3"/>
  <c r="L3383" i="3" l="1"/>
  <c r="F3383" i="3"/>
  <c r="J3383" i="3"/>
  <c r="D3383" i="3"/>
  <c r="K3383" i="3"/>
  <c r="E3383" i="3"/>
  <c r="I3382" i="3"/>
  <c r="H3382" i="3" s="1"/>
  <c r="C3382" i="3"/>
  <c r="B3382" i="3" s="1"/>
  <c r="A3384" i="3"/>
  <c r="L3384" i="3" l="1"/>
  <c r="F3384" i="3"/>
  <c r="J3384" i="3"/>
  <c r="D3384" i="3"/>
  <c r="K3384" i="3"/>
  <c r="E3384" i="3"/>
  <c r="C3383" i="3"/>
  <c r="B3383" i="3" s="1"/>
  <c r="I3383" i="3"/>
  <c r="H3383" i="3" s="1"/>
  <c r="A3385" i="3"/>
  <c r="L3385" i="3" l="1"/>
  <c r="F3385" i="3"/>
  <c r="J3385" i="3"/>
  <c r="D3385" i="3"/>
  <c r="K3385" i="3"/>
  <c r="E3385" i="3"/>
  <c r="I3384" i="3"/>
  <c r="H3384" i="3" s="1"/>
  <c r="C3384" i="3"/>
  <c r="B3384" i="3" s="1"/>
  <c r="A3386" i="3"/>
  <c r="L3386" i="3" l="1"/>
  <c r="F3386" i="3"/>
  <c r="J3386" i="3"/>
  <c r="D3386" i="3"/>
  <c r="K3386" i="3"/>
  <c r="E3386" i="3"/>
  <c r="I3385" i="3"/>
  <c r="H3385" i="3" s="1"/>
  <c r="A3387" i="3"/>
  <c r="C3385" i="3"/>
  <c r="B3385" i="3" s="1"/>
  <c r="L3387" i="3" l="1"/>
  <c r="F3387" i="3"/>
  <c r="J3387" i="3"/>
  <c r="D3387" i="3"/>
  <c r="K3387" i="3"/>
  <c r="E3387" i="3"/>
  <c r="A3388" i="3"/>
  <c r="I3386" i="3"/>
  <c r="H3386" i="3" s="1"/>
  <c r="C3386" i="3"/>
  <c r="B3386" i="3" s="1"/>
  <c r="L3388" i="3" l="1"/>
  <c r="F3388" i="3"/>
  <c r="J3388" i="3"/>
  <c r="D3388" i="3"/>
  <c r="K3388" i="3"/>
  <c r="E3388" i="3"/>
  <c r="I3387" i="3"/>
  <c r="H3387" i="3" s="1"/>
  <c r="C3387" i="3"/>
  <c r="B3387" i="3" s="1"/>
  <c r="A3389" i="3"/>
  <c r="L3389" i="3" l="1"/>
  <c r="F3389" i="3"/>
  <c r="J3389" i="3"/>
  <c r="D3389" i="3"/>
  <c r="K3389" i="3"/>
  <c r="E3389" i="3"/>
  <c r="I3388" i="3"/>
  <c r="H3388" i="3" s="1"/>
  <c r="C3388" i="3"/>
  <c r="B3388" i="3" s="1"/>
  <c r="A3390" i="3"/>
  <c r="L3390" i="3" l="1"/>
  <c r="F3390" i="3"/>
  <c r="J3390" i="3"/>
  <c r="D3390" i="3"/>
  <c r="K3390" i="3"/>
  <c r="E3390" i="3"/>
  <c r="C3389" i="3"/>
  <c r="B3389" i="3" s="1"/>
  <c r="I3389" i="3"/>
  <c r="H3389" i="3" s="1"/>
  <c r="A3391" i="3"/>
  <c r="L3391" i="3" l="1"/>
  <c r="F3391" i="3"/>
  <c r="J3391" i="3"/>
  <c r="D3391" i="3"/>
  <c r="K3391" i="3"/>
  <c r="E3391" i="3"/>
  <c r="C3390" i="3"/>
  <c r="B3390" i="3" s="1"/>
  <c r="I3390" i="3"/>
  <c r="H3390" i="3" s="1"/>
  <c r="A3392" i="3"/>
  <c r="L3392" i="3" l="1"/>
  <c r="F3392" i="3"/>
  <c r="J3392" i="3"/>
  <c r="D3392" i="3"/>
  <c r="K3392" i="3"/>
  <c r="E3392" i="3"/>
  <c r="I3391" i="3"/>
  <c r="H3391" i="3" s="1"/>
  <c r="C3391" i="3"/>
  <c r="B3391" i="3" s="1"/>
  <c r="A3393" i="3"/>
  <c r="L3393" i="3" l="1"/>
  <c r="F3393" i="3"/>
  <c r="J3393" i="3"/>
  <c r="D3393" i="3"/>
  <c r="K3393" i="3"/>
  <c r="E3393" i="3"/>
  <c r="I3392" i="3"/>
  <c r="H3392" i="3" s="1"/>
  <c r="C3392" i="3"/>
  <c r="B3392" i="3" s="1"/>
  <c r="A3394" i="3"/>
  <c r="L3394" i="3" l="1"/>
  <c r="F3394" i="3"/>
  <c r="D3394" i="3"/>
  <c r="J3394" i="3"/>
  <c r="E3394" i="3"/>
  <c r="K3394" i="3"/>
  <c r="A3395" i="3"/>
  <c r="C3393" i="3"/>
  <c r="B3393" i="3" s="1"/>
  <c r="I3393" i="3"/>
  <c r="H3393" i="3" s="1"/>
  <c r="L3395" i="3" l="1"/>
  <c r="F3395" i="3"/>
  <c r="J3395" i="3"/>
  <c r="D3395" i="3"/>
  <c r="K3395" i="3"/>
  <c r="E3395" i="3"/>
  <c r="I3394" i="3"/>
  <c r="H3394" i="3" s="1"/>
  <c r="A3396" i="3"/>
  <c r="C3394" i="3"/>
  <c r="B3394" i="3" s="1"/>
  <c r="L3396" i="3" l="1"/>
  <c r="F3396" i="3"/>
  <c r="J3396" i="3"/>
  <c r="D3396" i="3"/>
  <c r="K3396" i="3"/>
  <c r="E3396" i="3"/>
  <c r="I3395" i="3"/>
  <c r="H3395" i="3" s="1"/>
  <c r="C3395" i="3"/>
  <c r="B3395" i="3" s="1"/>
  <c r="A3397" i="3"/>
  <c r="L3397" i="3" l="1"/>
  <c r="F3397" i="3"/>
  <c r="J3397" i="3"/>
  <c r="D3397" i="3"/>
  <c r="K3397" i="3"/>
  <c r="E3397" i="3"/>
  <c r="I3396" i="3"/>
  <c r="H3396" i="3" s="1"/>
  <c r="C3396" i="3"/>
  <c r="B3396" i="3" s="1"/>
  <c r="A3398" i="3"/>
  <c r="L3398" i="3" l="1"/>
  <c r="F3398" i="3"/>
  <c r="J3398" i="3"/>
  <c r="D3398" i="3"/>
  <c r="K3398" i="3"/>
  <c r="E3398" i="3"/>
  <c r="I3397" i="3"/>
  <c r="H3397" i="3" s="1"/>
  <c r="C3397" i="3"/>
  <c r="B3397" i="3" s="1"/>
  <c r="A3399" i="3"/>
  <c r="L3399" i="3" l="1"/>
  <c r="F3399" i="3"/>
  <c r="J3399" i="3"/>
  <c r="D3399" i="3"/>
  <c r="K3399" i="3"/>
  <c r="E3399" i="3"/>
  <c r="I3398" i="3"/>
  <c r="H3398" i="3" s="1"/>
  <c r="A3400" i="3"/>
  <c r="C3398" i="3"/>
  <c r="B3398" i="3" s="1"/>
  <c r="L3400" i="3" l="1"/>
  <c r="F3400" i="3"/>
  <c r="J3400" i="3"/>
  <c r="D3400" i="3"/>
  <c r="K3400" i="3"/>
  <c r="E3400" i="3"/>
  <c r="C3399" i="3"/>
  <c r="B3399" i="3" s="1"/>
  <c r="I3399" i="3"/>
  <c r="H3399" i="3" s="1"/>
  <c r="A3401" i="3"/>
  <c r="L3401" i="3" l="1"/>
  <c r="F3401" i="3"/>
  <c r="J3401" i="3"/>
  <c r="D3401" i="3"/>
  <c r="K3401" i="3"/>
  <c r="E3401" i="3"/>
  <c r="I3400" i="3"/>
  <c r="H3400" i="3" s="1"/>
  <c r="C3400" i="3"/>
  <c r="B3400" i="3" s="1"/>
  <c r="A3402" i="3"/>
  <c r="L3402" i="3" l="1"/>
  <c r="F3402" i="3"/>
  <c r="J3402" i="3"/>
  <c r="D3402" i="3"/>
  <c r="K3402" i="3"/>
  <c r="E3402" i="3"/>
  <c r="C3401" i="3"/>
  <c r="B3401" i="3" s="1"/>
  <c r="I3401" i="3"/>
  <c r="H3401" i="3" s="1"/>
  <c r="A3403" i="3"/>
  <c r="L3403" i="3" l="1"/>
  <c r="F3403" i="3"/>
  <c r="J3403" i="3"/>
  <c r="D3403" i="3"/>
  <c r="K3403" i="3"/>
  <c r="E3403" i="3"/>
  <c r="I3402" i="3"/>
  <c r="H3402" i="3" s="1"/>
  <c r="C3402" i="3"/>
  <c r="B3402" i="3" s="1"/>
  <c r="A3404" i="3"/>
  <c r="L3404" i="3" l="1"/>
  <c r="F3404" i="3"/>
  <c r="J3404" i="3"/>
  <c r="D3404" i="3"/>
  <c r="K3404" i="3"/>
  <c r="E3404" i="3"/>
  <c r="I3403" i="3"/>
  <c r="H3403" i="3" s="1"/>
  <c r="C3403" i="3"/>
  <c r="B3403" i="3" s="1"/>
  <c r="A3405" i="3"/>
  <c r="L3405" i="3" l="1"/>
  <c r="F3405" i="3"/>
  <c r="J3405" i="3"/>
  <c r="D3405" i="3"/>
  <c r="K3405" i="3"/>
  <c r="E3405" i="3"/>
  <c r="I3404" i="3"/>
  <c r="H3404" i="3" s="1"/>
  <c r="C3404" i="3"/>
  <c r="B3404" i="3" s="1"/>
  <c r="A3406" i="3"/>
  <c r="L3406" i="3" l="1"/>
  <c r="F3406" i="3"/>
  <c r="J3406" i="3"/>
  <c r="D3406" i="3"/>
  <c r="K3406" i="3"/>
  <c r="E3406" i="3"/>
  <c r="I3405" i="3"/>
  <c r="H3405" i="3" s="1"/>
  <c r="C3405" i="3"/>
  <c r="B3405" i="3" s="1"/>
  <c r="A3407" i="3"/>
  <c r="L3407" i="3" l="1"/>
  <c r="F3407" i="3"/>
  <c r="D3407" i="3"/>
  <c r="J3407" i="3"/>
  <c r="E3407" i="3"/>
  <c r="K3407" i="3"/>
  <c r="I3406" i="3"/>
  <c r="H3406" i="3" s="1"/>
  <c r="C3406" i="3"/>
  <c r="B3406" i="3" s="1"/>
  <c r="A3408" i="3"/>
  <c r="L3408" i="3" l="1"/>
  <c r="F3408" i="3"/>
  <c r="D3408" i="3"/>
  <c r="J3408" i="3"/>
  <c r="E3408" i="3"/>
  <c r="K3408" i="3"/>
  <c r="I3407" i="3"/>
  <c r="H3407" i="3" s="1"/>
  <c r="C3407" i="3"/>
  <c r="B3407" i="3" s="1"/>
  <c r="A3409" i="3"/>
  <c r="L3409" i="3" l="1"/>
  <c r="F3409" i="3"/>
  <c r="J3409" i="3"/>
  <c r="D3409" i="3"/>
  <c r="K3409" i="3"/>
  <c r="E3409" i="3"/>
  <c r="I3408" i="3"/>
  <c r="H3408" i="3" s="1"/>
  <c r="C3408" i="3"/>
  <c r="B3408" i="3" s="1"/>
  <c r="A3410" i="3"/>
  <c r="L3410" i="3" l="1"/>
  <c r="F3410" i="3"/>
  <c r="J3410" i="3"/>
  <c r="D3410" i="3"/>
  <c r="K3410" i="3"/>
  <c r="E3410" i="3"/>
  <c r="I3409" i="3"/>
  <c r="H3409" i="3" s="1"/>
  <c r="A3411" i="3"/>
  <c r="C3409" i="3"/>
  <c r="B3409" i="3" s="1"/>
  <c r="L3411" i="3" l="1"/>
  <c r="F3411" i="3"/>
  <c r="J3411" i="3"/>
  <c r="D3411" i="3"/>
  <c r="K3411" i="3"/>
  <c r="E3411" i="3"/>
  <c r="C3410" i="3"/>
  <c r="B3410" i="3" s="1"/>
  <c r="I3410" i="3"/>
  <c r="H3410" i="3" s="1"/>
  <c r="A3412" i="3"/>
  <c r="L3412" i="3" l="1"/>
  <c r="F3412" i="3"/>
  <c r="J3412" i="3"/>
  <c r="D3412" i="3"/>
  <c r="K3412" i="3"/>
  <c r="E3412" i="3"/>
  <c r="I3411" i="3"/>
  <c r="H3411" i="3" s="1"/>
  <c r="C3411" i="3"/>
  <c r="B3411" i="3" s="1"/>
  <c r="A3413" i="3"/>
  <c r="L3413" i="3" l="1"/>
  <c r="F3413" i="3"/>
  <c r="J3413" i="3"/>
  <c r="D3413" i="3"/>
  <c r="K3413" i="3"/>
  <c r="E3413" i="3"/>
  <c r="I3412" i="3"/>
  <c r="H3412" i="3" s="1"/>
  <c r="C3412" i="3"/>
  <c r="B3412" i="3" s="1"/>
  <c r="A3414" i="3"/>
  <c r="L3414" i="3" l="1"/>
  <c r="F3414" i="3"/>
  <c r="J3414" i="3"/>
  <c r="D3414" i="3"/>
  <c r="K3414" i="3"/>
  <c r="E3414" i="3"/>
  <c r="I3413" i="3"/>
  <c r="H3413" i="3" s="1"/>
  <c r="A3415" i="3"/>
  <c r="C3413" i="3"/>
  <c r="B3413" i="3" s="1"/>
  <c r="L3415" i="3" l="1"/>
  <c r="F3415" i="3"/>
  <c r="J3415" i="3"/>
  <c r="D3415" i="3"/>
  <c r="K3415" i="3"/>
  <c r="E3415" i="3"/>
  <c r="I3414" i="3"/>
  <c r="H3414" i="3" s="1"/>
  <c r="C3414" i="3"/>
  <c r="B3414" i="3" s="1"/>
  <c r="A3416" i="3"/>
  <c r="L3416" i="3" l="1"/>
  <c r="F3416" i="3"/>
  <c r="J3416" i="3"/>
  <c r="D3416" i="3"/>
  <c r="K3416" i="3"/>
  <c r="E3416" i="3"/>
  <c r="I3415" i="3"/>
  <c r="H3415" i="3" s="1"/>
  <c r="A3417" i="3"/>
  <c r="C3415" i="3"/>
  <c r="B3415" i="3" s="1"/>
  <c r="L3417" i="3" l="1"/>
  <c r="F3417" i="3"/>
  <c r="J3417" i="3"/>
  <c r="D3417" i="3"/>
  <c r="K3417" i="3"/>
  <c r="E3417" i="3"/>
  <c r="I3416" i="3"/>
  <c r="H3416" i="3" s="1"/>
  <c r="C3416" i="3"/>
  <c r="B3416" i="3" s="1"/>
  <c r="A3418" i="3"/>
  <c r="L3418" i="3" l="1"/>
  <c r="F3418" i="3"/>
  <c r="J3418" i="3"/>
  <c r="D3418" i="3"/>
  <c r="K3418" i="3"/>
  <c r="E3418" i="3"/>
  <c r="I3417" i="3"/>
  <c r="H3417" i="3" s="1"/>
  <c r="A3419" i="3"/>
  <c r="C3417" i="3"/>
  <c r="B3417" i="3" s="1"/>
  <c r="L3419" i="3" l="1"/>
  <c r="F3419" i="3"/>
  <c r="J3419" i="3"/>
  <c r="D3419" i="3"/>
  <c r="K3419" i="3"/>
  <c r="E3419" i="3"/>
  <c r="I3418" i="3"/>
  <c r="H3418" i="3" s="1"/>
  <c r="C3418" i="3"/>
  <c r="B3418" i="3" s="1"/>
  <c r="A3420" i="3"/>
  <c r="L3420" i="3" l="1"/>
  <c r="F3420" i="3"/>
  <c r="J3420" i="3"/>
  <c r="D3420" i="3"/>
  <c r="K3420" i="3"/>
  <c r="E3420" i="3"/>
  <c r="I3419" i="3"/>
  <c r="H3419" i="3" s="1"/>
  <c r="C3419" i="3"/>
  <c r="B3419" i="3" s="1"/>
  <c r="A3421" i="3"/>
  <c r="L3421" i="3" l="1"/>
  <c r="F3421" i="3"/>
  <c r="J3421" i="3"/>
  <c r="D3421" i="3"/>
  <c r="K3421" i="3"/>
  <c r="E3421" i="3"/>
  <c r="C3420" i="3"/>
  <c r="B3420" i="3" s="1"/>
  <c r="I3420" i="3"/>
  <c r="H3420" i="3" s="1"/>
  <c r="A3422" i="3"/>
  <c r="L3422" i="3" l="1"/>
  <c r="F3422" i="3"/>
  <c r="J3422" i="3"/>
  <c r="K3422" i="3"/>
  <c r="D3422" i="3"/>
  <c r="E3422" i="3"/>
  <c r="I3421" i="3"/>
  <c r="H3421" i="3" s="1"/>
  <c r="C3421" i="3"/>
  <c r="B3421" i="3" s="1"/>
  <c r="A3423" i="3"/>
  <c r="F3423" i="3" l="1"/>
  <c r="L3423" i="3"/>
  <c r="D3423" i="3"/>
  <c r="J3423" i="3"/>
  <c r="E3423" i="3"/>
  <c r="K3423" i="3"/>
  <c r="C3422" i="3"/>
  <c r="B3422" i="3" s="1"/>
  <c r="I3422" i="3"/>
  <c r="H3422" i="3" s="1"/>
  <c r="A3424" i="3"/>
  <c r="L3424" i="3" l="1"/>
  <c r="F3424" i="3"/>
  <c r="J3424" i="3"/>
  <c r="D3424" i="3"/>
  <c r="K3424" i="3"/>
  <c r="E3424" i="3"/>
  <c r="I3423" i="3"/>
  <c r="H3423" i="3" s="1"/>
  <c r="C3423" i="3"/>
  <c r="B3423" i="3" s="1"/>
  <c r="A3425" i="3"/>
  <c r="L3425" i="3" l="1"/>
  <c r="F3425" i="3"/>
  <c r="J3425" i="3"/>
  <c r="D3425" i="3"/>
  <c r="K3425" i="3"/>
  <c r="E3425" i="3"/>
  <c r="C3424" i="3"/>
  <c r="B3424" i="3" s="1"/>
  <c r="I3424" i="3"/>
  <c r="H3424" i="3" s="1"/>
  <c r="A3426" i="3"/>
  <c r="L3426" i="3" l="1"/>
  <c r="F3426" i="3"/>
  <c r="J3426" i="3"/>
  <c r="D3426" i="3"/>
  <c r="K3426" i="3"/>
  <c r="E3426" i="3"/>
  <c r="I3425" i="3"/>
  <c r="H3425" i="3" s="1"/>
  <c r="C3425" i="3"/>
  <c r="B3425" i="3" s="1"/>
  <c r="A3427" i="3"/>
  <c r="L3427" i="3" l="1"/>
  <c r="F3427" i="3"/>
  <c r="J3427" i="3"/>
  <c r="D3427" i="3"/>
  <c r="K3427" i="3"/>
  <c r="E3427" i="3"/>
  <c r="I3426" i="3"/>
  <c r="H3426" i="3" s="1"/>
  <c r="C3426" i="3"/>
  <c r="B3426" i="3" s="1"/>
  <c r="A3428" i="3"/>
  <c r="L3428" i="3" l="1"/>
  <c r="F3428" i="3"/>
  <c r="J3428" i="3"/>
  <c r="D3428" i="3"/>
  <c r="K3428" i="3"/>
  <c r="E3428" i="3"/>
  <c r="I3427" i="3"/>
  <c r="H3427" i="3" s="1"/>
  <c r="C3427" i="3"/>
  <c r="B3427" i="3" s="1"/>
  <c r="A3429" i="3"/>
  <c r="L3429" i="3" l="1"/>
  <c r="F3429" i="3"/>
  <c r="J3429" i="3"/>
  <c r="D3429" i="3"/>
  <c r="K3429" i="3"/>
  <c r="E3429" i="3"/>
  <c r="I3428" i="3"/>
  <c r="H3428" i="3" s="1"/>
  <c r="C3428" i="3"/>
  <c r="B3428" i="3" s="1"/>
  <c r="A3430" i="3"/>
  <c r="L3430" i="3" l="1"/>
  <c r="F3430" i="3"/>
  <c r="J3430" i="3"/>
  <c r="D3430" i="3"/>
  <c r="K3430" i="3"/>
  <c r="E3430" i="3"/>
  <c r="C3429" i="3"/>
  <c r="B3429" i="3" s="1"/>
  <c r="I3429" i="3"/>
  <c r="H3429" i="3" s="1"/>
  <c r="A3431" i="3"/>
  <c r="L3431" i="3" l="1"/>
  <c r="F3431" i="3"/>
  <c r="J3431" i="3"/>
  <c r="D3431" i="3"/>
  <c r="K3431" i="3"/>
  <c r="E3431" i="3"/>
  <c r="C3430" i="3"/>
  <c r="B3430" i="3" s="1"/>
  <c r="I3430" i="3"/>
  <c r="H3430" i="3" s="1"/>
  <c r="A3432" i="3"/>
  <c r="J19" i="1"/>
  <c r="L3432" i="3" l="1"/>
  <c r="F3432" i="3"/>
  <c r="J3432" i="3"/>
  <c r="D3432" i="3"/>
  <c r="K3432" i="3"/>
  <c r="E3432" i="3"/>
  <c r="C3431" i="3"/>
  <c r="B3431" i="3" s="1"/>
  <c r="I3431" i="3"/>
  <c r="H3431" i="3" s="1"/>
  <c r="A3433" i="3"/>
  <c r="L3433" i="3" l="1"/>
  <c r="F3433" i="3"/>
  <c r="J3433" i="3"/>
  <c r="D3433" i="3"/>
  <c r="K3433" i="3"/>
  <c r="E3433" i="3"/>
  <c r="I3432" i="3"/>
  <c r="H3432" i="3" s="1"/>
  <c r="A3434" i="3"/>
  <c r="C3432" i="3"/>
  <c r="B3432" i="3" s="1"/>
  <c r="L3434" i="3" l="1"/>
  <c r="F3434" i="3"/>
  <c r="J3434" i="3"/>
  <c r="D3434" i="3"/>
  <c r="K3434" i="3"/>
  <c r="E3434" i="3"/>
  <c r="I3433" i="3"/>
  <c r="H3433" i="3" s="1"/>
  <c r="C3433" i="3"/>
  <c r="B3433" i="3" s="1"/>
  <c r="A3435" i="3"/>
  <c r="L3435" i="3" l="1"/>
  <c r="F3435" i="3"/>
  <c r="J3435" i="3"/>
  <c r="D3435" i="3"/>
  <c r="K3435" i="3"/>
  <c r="E3435" i="3"/>
  <c r="I3434" i="3"/>
  <c r="H3434" i="3" s="1"/>
  <c r="C3434" i="3"/>
  <c r="B3434" i="3" s="1"/>
  <c r="A3436" i="3"/>
  <c r="L3436" i="3" l="1"/>
  <c r="F3436" i="3"/>
  <c r="D3436" i="3"/>
  <c r="E3436" i="3"/>
  <c r="J3436" i="3"/>
  <c r="K3436" i="3"/>
  <c r="C3435" i="3"/>
  <c r="B3435" i="3" s="1"/>
  <c r="I3435" i="3"/>
  <c r="H3435" i="3" s="1"/>
  <c r="A3437" i="3"/>
  <c r="L3437" i="3" l="1"/>
  <c r="F3437" i="3"/>
  <c r="J3437" i="3"/>
  <c r="D3437" i="3"/>
  <c r="K3437" i="3"/>
  <c r="E3437" i="3"/>
  <c r="I3436" i="3"/>
  <c r="H3436" i="3" s="1"/>
  <c r="C3436" i="3"/>
  <c r="B3436" i="3" s="1"/>
  <c r="A3438" i="3"/>
  <c r="L3438" i="3" l="1"/>
  <c r="F3438" i="3"/>
  <c r="D3438" i="3"/>
  <c r="E3438" i="3"/>
  <c r="J3438" i="3"/>
  <c r="K3438" i="3"/>
  <c r="C3437" i="3"/>
  <c r="B3437" i="3" s="1"/>
  <c r="I3437" i="3"/>
  <c r="H3437" i="3" s="1"/>
  <c r="A3439" i="3"/>
  <c r="L3439" i="3" l="1"/>
  <c r="F3439" i="3"/>
  <c r="J3439" i="3"/>
  <c r="D3439" i="3"/>
  <c r="K3439" i="3"/>
  <c r="E3439" i="3"/>
  <c r="C3438" i="3"/>
  <c r="B3438" i="3" s="1"/>
  <c r="I3438" i="3"/>
  <c r="H3438" i="3" s="1"/>
  <c r="A3440" i="3"/>
  <c r="L3440" i="3" l="1"/>
  <c r="F3440" i="3"/>
  <c r="J3440" i="3"/>
  <c r="D3440" i="3"/>
  <c r="K3440" i="3"/>
  <c r="E3440" i="3"/>
  <c r="I3439" i="3"/>
  <c r="H3439" i="3" s="1"/>
  <c r="C3439" i="3"/>
  <c r="B3439" i="3" s="1"/>
  <c r="A3441" i="3"/>
  <c r="L3441" i="3" l="1"/>
  <c r="F3441" i="3"/>
  <c r="J3441" i="3"/>
  <c r="D3441" i="3"/>
  <c r="K3441" i="3"/>
  <c r="E3441" i="3"/>
  <c r="C3440" i="3"/>
  <c r="B3440" i="3" s="1"/>
  <c r="I3440" i="3"/>
  <c r="H3440" i="3" s="1"/>
  <c r="A3442" i="3"/>
  <c r="L3442" i="3" l="1"/>
  <c r="F3442" i="3"/>
  <c r="J3442" i="3"/>
  <c r="D3442" i="3"/>
  <c r="K3442" i="3"/>
  <c r="E3442" i="3"/>
  <c r="I3441" i="3"/>
  <c r="H3441" i="3" s="1"/>
  <c r="C3441" i="3"/>
  <c r="B3441" i="3" s="1"/>
  <c r="A3443" i="3"/>
  <c r="L3443" i="3" l="1"/>
  <c r="F3443" i="3"/>
  <c r="J3443" i="3"/>
  <c r="D3443" i="3"/>
  <c r="K3443" i="3"/>
  <c r="E3443" i="3"/>
  <c r="I3442" i="3"/>
  <c r="H3442" i="3" s="1"/>
  <c r="C3442" i="3"/>
  <c r="B3442" i="3" s="1"/>
  <c r="A3444" i="3"/>
  <c r="L3444" i="3" l="1"/>
  <c r="F3444" i="3"/>
  <c r="J3444" i="3"/>
  <c r="D3444" i="3"/>
  <c r="K3444" i="3"/>
  <c r="E3444" i="3"/>
  <c r="A3445" i="3"/>
  <c r="I3443" i="3"/>
  <c r="H3443" i="3" s="1"/>
  <c r="C3443" i="3"/>
  <c r="B3443" i="3" s="1"/>
  <c r="L3445" i="3" l="1"/>
  <c r="F3445" i="3"/>
  <c r="J3445" i="3"/>
  <c r="D3445" i="3"/>
  <c r="K3445" i="3"/>
  <c r="E3445" i="3"/>
  <c r="C3444" i="3"/>
  <c r="B3444" i="3" s="1"/>
  <c r="I3444" i="3"/>
  <c r="H3444" i="3" s="1"/>
  <c r="A3446" i="3"/>
  <c r="L3446" i="3" l="1"/>
  <c r="F3446" i="3"/>
  <c r="J3446" i="3"/>
  <c r="D3446" i="3"/>
  <c r="K3446" i="3"/>
  <c r="E3446" i="3"/>
  <c r="I3445" i="3"/>
  <c r="H3445" i="3" s="1"/>
  <c r="C3445" i="3"/>
  <c r="B3445" i="3" s="1"/>
  <c r="A3447" i="3"/>
  <c r="L3447" i="3" l="1"/>
  <c r="F3447" i="3"/>
  <c r="J3447" i="3"/>
  <c r="D3447" i="3"/>
  <c r="K3447" i="3"/>
  <c r="E3447" i="3"/>
  <c r="I3446" i="3"/>
  <c r="H3446" i="3" s="1"/>
  <c r="C3446" i="3"/>
  <c r="B3446" i="3" s="1"/>
  <c r="A3448" i="3"/>
  <c r="L3448" i="3" l="1"/>
  <c r="F3448" i="3"/>
  <c r="J3448" i="3"/>
  <c r="K3448" i="3"/>
  <c r="D3448" i="3"/>
  <c r="E3448" i="3"/>
  <c r="I3447" i="3"/>
  <c r="H3447" i="3" s="1"/>
  <c r="C3447" i="3"/>
  <c r="B3447" i="3" s="1"/>
  <c r="A3449" i="3"/>
  <c r="L3449" i="3" l="1"/>
  <c r="F3449" i="3"/>
  <c r="J3449" i="3"/>
  <c r="D3449" i="3"/>
  <c r="K3449" i="3"/>
  <c r="E3449" i="3"/>
  <c r="A3450" i="3"/>
  <c r="I3448" i="3"/>
  <c r="H3448" i="3" s="1"/>
  <c r="C3448" i="3"/>
  <c r="B3448" i="3" s="1"/>
  <c r="L3450" i="3" l="1"/>
  <c r="F3450" i="3"/>
  <c r="J3450" i="3"/>
  <c r="D3450" i="3"/>
  <c r="K3450" i="3"/>
  <c r="E3450" i="3"/>
  <c r="I3449" i="3"/>
  <c r="H3449" i="3" s="1"/>
  <c r="C3449" i="3"/>
  <c r="B3449" i="3" s="1"/>
  <c r="A3451" i="3"/>
  <c r="L3451" i="3" l="1"/>
  <c r="F3451" i="3"/>
  <c r="J3451" i="3"/>
  <c r="D3451" i="3"/>
  <c r="K3451" i="3"/>
  <c r="E3451" i="3"/>
  <c r="C3450" i="3"/>
  <c r="B3450" i="3" s="1"/>
  <c r="I3450" i="3"/>
  <c r="H3450" i="3" s="1"/>
  <c r="A3452" i="3"/>
  <c r="L3452" i="3" l="1"/>
  <c r="F3452" i="3"/>
  <c r="J3452" i="3"/>
  <c r="D3452" i="3"/>
  <c r="K3452" i="3"/>
  <c r="E3452" i="3"/>
  <c r="I3451" i="3"/>
  <c r="H3451" i="3" s="1"/>
  <c r="C3451" i="3"/>
  <c r="B3451" i="3" s="1"/>
  <c r="A3453" i="3"/>
  <c r="L3453" i="3" l="1"/>
  <c r="F3453" i="3"/>
  <c r="J3453" i="3"/>
  <c r="D3453" i="3"/>
  <c r="K3453" i="3"/>
  <c r="E3453" i="3"/>
  <c r="I3452" i="3"/>
  <c r="H3452" i="3" s="1"/>
  <c r="A3454" i="3"/>
  <c r="C3452" i="3"/>
  <c r="B3452" i="3" s="1"/>
  <c r="L3454" i="3" l="1"/>
  <c r="F3454" i="3"/>
  <c r="J3454" i="3"/>
  <c r="D3454" i="3"/>
  <c r="K3454" i="3"/>
  <c r="E3454" i="3"/>
  <c r="I3453" i="3"/>
  <c r="H3453" i="3" s="1"/>
  <c r="C3453" i="3"/>
  <c r="B3453" i="3" s="1"/>
  <c r="A3455" i="3"/>
  <c r="L3455" i="3" l="1"/>
  <c r="F3455" i="3"/>
  <c r="J3455" i="3"/>
  <c r="D3455" i="3"/>
  <c r="K3455" i="3"/>
  <c r="E3455" i="3"/>
  <c r="C3454" i="3"/>
  <c r="B3454" i="3" s="1"/>
  <c r="I3454" i="3"/>
  <c r="H3454" i="3" s="1"/>
  <c r="A3456" i="3"/>
  <c r="L3456" i="3" l="1"/>
  <c r="F3456" i="3"/>
  <c r="J3456" i="3"/>
  <c r="D3456" i="3"/>
  <c r="K3456" i="3"/>
  <c r="E3456" i="3"/>
  <c r="I3455" i="3"/>
  <c r="H3455" i="3" s="1"/>
  <c r="C3455" i="3"/>
  <c r="B3455" i="3" s="1"/>
  <c r="A3457" i="3"/>
  <c r="L3457" i="3" l="1"/>
  <c r="F3457" i="3"/>
  <c r="J3457" i="3"/>
  <c r="D3457" i="3"/>
  <c r="K3457" i="3"/>
  <c r="E3457" i="3"/>
  <c r="I3456" i="3"/>
  <c r="H3456" i="3" s="1"/>
  <c r="C3456" i="3"/>
  <c r="B3456" i="3" s="1"/>
  <c r="A3458" i="3"/>
  <c r="L3458" i="3" l="1"/>
  <c r="F3458" i="3"/>
  <c r="J3458" i="3"/>
  <c r="D3458" i="3"/>
  <c r="K3458" i="3"/>
  <c r="E3458" i="3"/>
  <c r="C3457" i="3"/>
  <c r="B3457" i="3" s="1"/>
  <c r="I3457" i="3"/>
  <c r="H3457" i="3" s="1"/>
  <c r="A3459" i="3"/>
  <c r="L3459" i="3" l="1"/>
  <c r="F3459" i="3"/>
  <c r="J3459" i="3"/>
  <c r="D3459" i="3"/>
  <c r="K3459" i="3"/>
  <c r="E3459" i="3"/>
  <c r="I3458" i="3"/>
  <c r="H3458" i="3" s="1"/>
  <c r="C3458" i="3"/>
  <c r="B3458" i="3" s="1"/>
  <c r="A3460" i="3"/>
  <c r="L3460" i="3" l="1"/>
  <c r="F3460" i="3"/>
  <c r="J3460" i="3"/>
  <c r="D3460" i="3"/>
  <c r="K3460" i="3"/>
  <c r="E3460" i="3"/>
  <c r="I3459" i="3"/>
  <c r="H3459" i="3" s="1"/>
  <c r="A3461" i="3"/>
  <c r="C3459" i="3"/>
  <c r="B3459" i="3" s="1"/>
  <c r="L3461" i="3" l="1"/>
  <c r="F3461" i="3"/>
  <c r="J3461" i="3"/>
  <c r="D3461" i="3"/>
  <c r="K3461" i="3"/>
  <c r="E3461" i="3"/>
  <c r="I3460" i="3"/>
  <c r="H3460" i="3" s="1"/>
  <c r="C3460" i="3"/>
  <c r="B3460" i="3" s="1"/>
  <c r="A3462" i="3"/>
  <c r="L3462" i="3" l="1"/>
  <c r="F3462" i="3"/>
  <c r="J3462" i="3"/>
  <c r="D3462" i="3"/>
  <c r="K3462" i="3"/>
  <c r="E3462" i="3"/>
  <c r="I3461" i="3"/>
  <c r="H3461" i="3" s="1"/>
  <c r="C3461" i="3"/>
  <c r="B3461" i="3" s="1"/>
  <c r="A3463" i="3"/>
  <c r="L3463" i="3" l="1"/>
  <c r="F3463" i="3"/>
  <c r="J3463" i="3"/>
  <c r="D3463" i="3"/>
  <c r="K3463" i="3"/>
  <c r="E3463" i="3"/>
  <c r="I3462" i="3"/>
  <c r="H3462" i="3" s="1"/>
  <c r="C3462" i="3"/>
  <c r="B3462" i="3" s="1"/>
  <c r="A3464" i="3"/>
  <c r="L3464" i="3" l="1"/>
  <c r="F3464" i="3"/>
  <c r="J3464" i="3"/>
  <c r="D3464" i="3"/>
  <c r="K3464" i="3"/>
  <c r="E3464" i="3"/>
  <c r="I3463" i="3"/>
  <c r="H3463" i="3" s="1"/>
  <c r="A3465" i="3"/>
  <c r="C3463" i="3"/>
  <c r="B3463" i="3" s="1"/>
  <c r="L3465" i="3" l="1"/>
  <c r="F3465" i="3"/>
  <c r="J3465" i="3"/>
  <c r="D3465" i="3"/>
  <c r="K3465" i="3"/>
  <c r="E3465" i="3"/>
  <c r="I3464" i="3"/>
  <c r="H3464" i="3" s="1"/>
  <c r="C3464" i="3"/>
  <c r="B3464" i="3" s="1"/>
  <c r="A3466" i="3"/>
  <c r="L3466" i="3" l="1"/>
  <c r="F3466" i="3"/>
  <c r="J3466" i="3"/>
  <c r="D3466" i="3"/>
  <c r="K3466" i="3"/>
  <c r="E3466" i="3"/>
  <c r="A3467" i="3"/>
  <c r="I3465" i="3"/>
  <c r="H3465" i="3" s="1"/>
  <c r="C3465" i="3"/>
  <c r="B3465" i="3" s="1"/>
  <c r="L3467" i="3" l="1"/>
  <c r="F3467" i="3"/>
  <c r="J3467" i="3"/>
  <c r="D3467" i="3"/>
  <c r="K3467" i="3"/>
  <c r="E3467" i="3"/>
  <c r="C3466" i="3"/>
  <c r="B3466" i="3" s="1"/>
  <c r="I3466" i="3"/>
  <c r="H3466" i="3" s="1"/>
  <c r="A3468" i="3"/>
  <c r="L3468" i="3" l="1"/>
  <c r="F3468" i="3"/>
  <c r="D3468" i="3"/>
  <c r="J3468" i="3"/>
  <c r="E3468" i="3"/>
  <c r="K3468" i="3"/>
  <c r="I3467" i="3"/>
  <c r="H3467" i="3" s="1"/>
  <c r="C3467" i="3"/>
  <c r="B3467" i="3" s="1"/>
  <c r="A3469" i="3"/>
  <c r="L3469" i="3" l="1"/>
  <c r="F3469" i="3"/>
  <c r="D3469" i="3"/>
  <c r="E3469" i="3"/>
  <c r="J3469" i="3"/>
  <c r="K3469" i="3"/>
  <c r="C3468" i="3"/>
  <c r="B3468" i="3" s="1"/>
  <c r="I3468" i="3"/>
  <c r="H3468" i="3" s="1"/>
  <c r="A3470" i="3"/>
  <c r="L3470" i="3" l="1"/>
  <c r="F3470" i="3"/>
  <c r="J3470" i="3"/>
  <c r="D3470" i="3"/>
  <c r="K3470" i="3"/>
  <c r="E3470" i="3"/>
  <c r="I3469" i="3"/>
  <c r="H3469" i="3" s="1"/>
  <c r="C3469" i="3"/>
  <c r="B3469" i="3" s="1"/>
  <c r="A3471" i="3"/>
  <c r="L3471" i="3" l="1"/>
  <c r="F3471" i="3"/>
  <c r="J3471" i="3"/>
  <c r="D3471" i="3"/>
  <c r="K3471" i="3"/>
  <c r="E3471" i="3"/>
  <c r="I3470" i="3"/>
  <c r="H3470" i="3" s="1"/>
  <c r="A3472" i="3"/>
  <c r="C3470" i="3"/>
  <c r="B3470" i="3" s="1"/>
  <c r="L3472" i="3" l="1"/>
  <c r="F3472" i="3"/>
  <c r="J3472" i="3"/>
  <c r="D3472" i="3"/>
  <c r="K3472" i="3"/>
  <c r="E3472" i="3"/>
  <c r="I3471" i="3"/>
  <c r="H3471" i="3" s="1"/>
  <c r="C3471" i="3"/>
  <c r="B3471" i="3" s="1"/>
  <c r="A3473" i="3"/>
  <c r="L3473" i="3" l="1"/>
  <c r="F3473" i="3"/>
  <c r="J3473" i="3"/>
  <c r="D3473" i="3"/>
  <c r="K3473" i="3"/>
  <c r="E3473" i="3"/>
  <c r="I3472" i="3"/>
  <c r="H3472" i="3" s="1"/>
  <c r="C3472" i="3"/>
  <c r="B3472" i="3" s="1"/>
  <c r="A3474" i="3"/>
  <c r="L3474" i="3" l="1"/>
  <c r="F3474" i="3"/>
  <c r="J3474" i="3"/>
  <c r="D3474" i="3"/>
  <c r="K3474" i="3"/>
  <c r="E3474" i="3"/>
  <c r="I3473" i="3"/>
  <c r="H3473" i="3" s="1"/>
  <c r="C3473" i="3"/>
  <c r="B3473" i="3" s="1"/>
  <c r="A3475" i="3"/>
  <c r="L3475" i="3" l="1"/>
  <c r="F3475" i="3"/>
  <c r="J3475" i="3"/>
  <c r="D3475" i="3"/>
  <c r="K3475" i="3"/>
  <c r="E3475" i="3"/>
  <c r="C3474" i="3"/>
  <c r="B3474" i="3" s="1"/>
  <c r="I3474" i="3"/>
  <c r="H3474" i="3" s="1"/>
  <c r="A3476" i="3"/>
  <c r="L3476" i="3" l="1"/>
  <c r="F3476" i="3"/>
  <c r="J3476" i="3"/>
  <c r="D3476" i="3"/>
  <c r="K3476" i="3"/>
  <c r="E3476" i="3"/>
  <c r="I3475" i="3"/>
  <c r="H3475" i="3" s="1"/>
  <c r="C3475" i="3"/>
  <c r="B3475" i="3" s="1"/>
  <c r="A3477" i="3"/>
  <c r="L3477" i="3" l="1"/>
  <c r="F3477" i="3"/>
  <c r="J3477" i="3"/>
  <c r="D3477" i="3"/>
  <c r="K3477" i="3"/>
  <c r="E3477" i="3"/>
  <c r="I3476" i="3"/>
  <c r="H3476" i="3" s="1"/>
  <c r="C3476" i="3"/>
  <c r="B3476" i="3" s="1"/>
  <c r="A3478" i="3"/>
  <c r="L3478" i="3" l="1"/>
  <c r="F3478" i="3"/>
  <c r="J3478" i="3"/>
  <c r="D3478" i="3"/>
  <c r="K3478" i="3"/>
  <c r="E3478" i="3"/>
  <c r="I3477" i="3"/>
  <c r="H3477" i="3" s="1"/>
  <c r="C3477" i="3"/>
  <c r="B3477" i="3" s="1"/>
  <c r="A3479" i="3"/>
  <c r="L3479" i="3" l="1"/>
  <c r="F3479" i="3"/>
  <c r="J3479" i="3"/>
  <c r="D3479" i="3"/>
  <c r="K3479" i="3"/>
  <c r="E3479" i="3"/>
  <c r="I3478" i="3"/>
  <c r="H3478" i="3" s="1"/>
  <c r="C3478" i="3"/>
  <c r="B3478" i="3" s="1"/>
  <c r="A3480" i="3"/>
  <c r="L3480" i="3" l="1"/>
  <c r="F3480" i="3"/>
  <c r="J3480" i="3"/>
  <c r="D3480" i="3"/>
  <c r="K3480" i="3"/>
  <c r="E3480" i="3"/>
  <c r="C3479" i="3"/>
  <c r="B3479" i="3" s="1"/>
  <c r="I3479" i="3"/>
  <c r="H3479" i="3" s="1"/>
  <c r="A3481" i="3"/>
  <c r="L3481" i="3" l="1"/>
  <c r="F3481" i="3"/>
  <c r="J3481" i="3"/>
  <c r="D3481" i="3"/>
  <c r="K3481" i="3"/>
  <c r="E3481" i="3"/>
  <c r="C3480" i="3"/>
  <c r="B3480" i="3" s="1"/>
  <c r="I3480" i="3"/>
  <c r="H3480" i="3" s="1"/>
  <c r="A3482" i="3"/>
  <c r="L3482" i="3" l="1"/>
  <c r="F3482" i="3"/>
  <c r="J3482" i="3"/>
  <c r="D3482" i="3"/>
  <c r="K3482" i="3"/>
  <c r="E3482" i="3"/>
  <c r="C3481" i="3"/>
  <c r="B3481" i="3" s="1"/>
  <c r="I3481" i="3"/>
  <c r="H3481" i="3" s="1"/>
  <c r="A3483" i="3"/>
  <c r="L3483" i="3" l="1"/>
  <c r="F3483" i="3"/>
  <c r="J3483" i="3"/>
  <c r="D3483" i="3"/>
  <c r="K3483" i="3"/>
  <c r="E3483" i="3"/>
  <c r="I3482" i="3"/>
  <c r="H3482" i="3" s="1"/>
  <c r="C3482" i="3"/>
  <c r="B3482" i="3" s="1"/>
  <c r="A3484" i="3"/>
  <c r="L3484" i="3" l="1"/>
  <c r="F3484" i="3"/>
  <c r="J3484" i="3"/>
  <c r="D3484" i="3"/>
  <c r="K3484" i="3"/>
  <c r="E3484" i="3"/>
  <c r="C3483" i="3"/>
  <c r="B3483" i="3" s="1"/>
  <c r="I3483" i="3"/>
  <c r="H3483" i="3" s="1"/>
  <c r="A3485" i="3"/>
  <c r="L3485" i="3" l="1"/>
  <c r="F3485" i="3"/>
  <c r="J3485" i="3"/>
  <c r="D3485" i="3"/>
  <c r="K3485" i="3"/>
  <c r="E3485" i="3"/>
  <c r="I3484" i="3"/>
  <c r="H3484" i="3" s="1"/>
  <c r="C3484" i="3"/>
  <c r="B3484" i="3" s="1"/>
  <c r="A3486" i="3"/>
  <c r="L3486" i="3" l="1"/>
  <c r="F3486" i="3"/>
  <c r="J3486" i="3"/>
  <c r="D3486" i="3"/>
  <c r="K3486" i="3"/>
  <c r="E3486" i="3"/>
  <c r="I3485" i="3"/>
  <c r="H3485" i="3" s="1"/>
  <c r="C3485" i="3"/>
  <c r="B3485" i="3" s="1"/>
  <c r="A3487" i="3"/>
  <c r="L3487" i="3" l="1"/>
  <c r="F3487" i="3"/>
  <c r="J3487" i="3"/>
  <c r="D3487" i="3"/>
  <c r="K3487" i="3"/>
  <c r="E3487" i="3"/>
  <c r="I3486" i="3"/>
  <c r="H3486" i="3" s="1"/>
  <c r="A3488" i="3"/>
  <c r="C3486" i="3"/>
  <c r="B3486" i="3" s="1"/>
  <c r="L3488" i="3" l="1"/>
  <c r="F3488" i="3"/>
  <c r="J3488" i="3"/>
  <c r="D3488" i="3"/>
  <c r="K3488" i="3"/>
  <c r="E3488" i="3"/>
  <c r="I3487" i="3"/>
  <c r="H3487" i="3" s="1"/>
  <c r="C3487" i="3"/>
  <c r="B3487" i="3" s="1"/>
  <c r="A3489" i="3"/>
  <c r="L3489" i="3" l="1"/>
  <c r="F3489" i="3"/>
  <c r="J3489" i="3"/>
  <c r="D3489" i="3"/>
  <c r="K3489" i="3"/>
  <c r="E3489" i="3"/>
  <c r="C3488" i="3"/>
  <c r="B3488" i="3" s="1"/>
  <c r="I3488" i="3"/>
  <c r="H3488" i="3" s="1"/>
  <c r="A3490" i="3"/>
  <c r="L3490" i="3" l="1"/>
  <c r="F3490" i="3"/>
  <c r="J3490" i="3"/>
  <c r="D3490" i="3"/>
  <c r="K3490" i="3"/>
  <c r="E3490" i="3"/>
  <c r="I3489" i="3"/>
  <c r="H3489" i="3" s="1"/>
  <c r="C3489" i="3"/>
  <c r="B3489" i="3" s="1"/>
  <c r="A3491" i="3"/>
  <c r="L3491" i="3" l="1"/>
  <c r="F3491" i="3"/>
  <c r="J3491" i="3"/>
  <c r="D3491" i="3"/>
  <c r="K3491" i="3"/>
  <c r="E3491" i="3"/>
  <c r="C3490" i="3"/>
  <c r="B3490" i="3" s="1"/>
  <c r="I3490" i="3"/>
  <c r="H3490" i="3" s="1"/>
  <c r="A3492" i="3"/>
  <c r="L3492" i="3" l="1"/>
  <c r="F3492" i="3"/>
  <c r="J3492" i="3"/>
  <c r="D3492" i="3"/>
  <c r="K3492" i="3"/>
  <c r="E3492" i="3"/>
  <c r="I3491" i="3"/>
  <c r="H3491" i="3" s="1"/>
  <c r="C3491" i="3"/>
  <c r="B3491" i="3" s="1"/>
  <c r="A3493" i="3"/>
  <c r="L3493" i="3" l="1"/>
  <c r="F3493" i="3"/>
  <c r="J3493" i="3"/>
  <c r="D3493" i="3"/>
  <c r="K3493" i="3"/>
  <c r="E3493" i="3"/>
  <c r="I3492" i="3"/>
  <c r="H3492" i="3" s="1"/>
  <c r="C3492" i="3"/>
  <c r="B3492" i="3" s="1"/>
  <c r="A3494" i="3"/>
  <c r="L3494" i="3" l="1"/>
  <c r="F3494" i="3"/>
  <c r="J3494" i="3"/>
  <c r="D3494" i="3"/>
  <c r="K3494" i="3"/>
  <c r="E3494" i="3"/>
  <c r="I3493" i="3"/>
  <c r="H3493" i="3" s="1"/>
  <c r="C3493" i="3"/>
  <c r="B3493" i="3" s="1"/>
  <c r="A3495" i="3"/>
  <c r="L3495" i="3" l="1"/>
  <c r="F3495" i="3"/>
  <c r="J3495" i="3"/>
  <c r="D3495" i="3"/>
  <c r="K3495" i="3"/>
  <c r="E3495" i="3"/>
  <c r="C3494" i="3"/>
  <c r="B3494" i="3" s="1"/>
  <c r="I3494" i="3"/>
  <c r="H3494" i="3" s="1"/>
  <c r="A3496" i="3"/>
  <c r="L3496" i="3" l="1"/>
  <c r="F3496" i="3"/>
  <c r="J3496" i="3"/>
  <c r="D3496" i="3"/>
  <c r="K3496" i="3"/>
  <c r="E3496" i="3"/>
  <c r="I3495" i="3"/>
  <c r="H3495" i="3" s="1"/>
  <c r="C3495" i="3"/>
  <c r="B3495" i="3" s="1"/>
  <c r="A3497" i="3"/>
  <c r="L3497" i="3" l="1"/>
  <c r="F3497" i="3"/>
  <c r="J3497" i="3"/>
  <c r="D3497" i="3"/>
  <c r="K3497" i="3"/>
  <c r="E3497" i="3"/>
  <c r="C3496" i="3"/>
  <c r="B3496" i="3" s="1"/>
  <c r="I3496" i="3"/>
  <c r="H3496" i="3" s="1"/>
  <c r="A3498" i="3"/>
  <c r="L3498" i="3" l="1"/>
  <c r="F3498" i="3"/>
  <c r="D3498" i="3"/>
  <c r="J3498" i="3"/>
  <c r="E3498" i="3"/>
  <c r="K3498" i="3"/>
  <c r="C3497" i="3"/>
  <c r="B3497" i="3" s="1"/>
  <c r="I3497" i="3"/>
  <c r="H3497" i="3" s="1"/>
  <c r="A3499" i="3"/>
  <c r="L3499" i="3" l="1"/>
  <c r="F3499" i="3"/>
  <c r="D3499" i="3"/>
  <c r="E3499" i="3"/>
  <c r="J3499" i="3"/>
  <c r="K3499" i="3"/>
  <c r="I3498" i="3"/>
  <c r="H3498" i="3" s="1"/>
  <c r="C3498" i="3"/>
  <c r="B3498" i="3" s="1"/>
  <c r="A3500" i="3"/>
  <c r="L3500" i="3" l="1"/>
  <c r="F3500" i="3"/>
  <c r="J3500" i="3"/>
  <c r="D3500" i="3"/>
  <c r="K3500" i="3"/>
  <c r="E3500" i="3"/>
  <c r="I3499" i="3"/>
  <c r="H3499" i="3" s="1"/>
  <c r="A3501" i="3"/>
  <c r="C3499" i="3"/>
  <c r="B3499" i="3" s="1"/>
  <c r="L3501" i="3" l="1"/>
  <c r="F3501" i="3"/>
  <c r="J3501" i="3"/>
  <c r="D3501" i="3"/>
  <c r="K3501" i="3"/>
  <c r="E3501" i="3"/>
  <c r="I3500" i="3"/>
  <c r="H3500" i="3" s="1"/>
  <c r="C3500" i="3"/>
  <c r="B3500" i="3" s="1"/>
  <c r="A3502" i="3"/>
  <c r="L3502" i="3" l="1"/>
  <c r="F3502" i="3"/>
  <c r="J3502" i="3"/>
  <c r="D3502" i="3"/>
  <c r="K3502" i="3"/>
  <c r="E3502" i="3"/>
  <c r="C3501" i="3"/>
  <c r="B3501" i="3" s="1"/>
  <c r="I3501" i="3"/>
  <c r="H3501" i="3" s="1"/>
  <c r="A3503" i="3"/>
  <c r="L3503" i="3" l="1"/>
  <c r="F3503" i="3"/>
  <c r="J3503" i="3"/>
  <c r="D3503" i="3"/>
  <c r="K3503" i="3"/>
  <c r="E3503" i="3"/>
  <c r="I3502" i="3"/>
  <c r="H3502" i="3" s="1"/>
  <c r="A3504" i="3"/>
  <c r="C3502" i="3"/>
  <c r="B3502" i="3" s="1"/>
  <c r="L3504" i="3" l="1"/>
  <c r="F3504" i="3"/>
  <c r="J3504" i="3"/>
  <c r="D3504" i="3"/>
  <c r="K3504" i="3"/>
  <c r="E3504" i="3"/>
  <c r="I3503" i="3"/>
  <c r="H3503" i="3" s="1"/>
  <c r="C3503" i="3"/>
  <c r="B3503" i="3" s="1"/>
  <c r="A3505" i="3"/>
  <c r="L3505" i="3" l="1"/>
  <c r="F3505" i="3"/>
  <c r="J3505" i="3"/>
  <c r="D3505" i="3"/>
  <c r="K3505" i="3"/>
  <c r="E3505" i="3"/>
  <c r="C3504" i="3"/>
  <c r="B3504" i="3" s="1"/>
  <c r="I3504" i="3"/>
  <c r="H3504" i="3" s="1"/>
  <c r="A3506" i="3"/>
  <c r="L3506" i="3" l="1"/>
  <c r="F3506" i="3"/>
  <c r="J3506" i="3"/>
  <c r="D3506" i="3"/>
  <c r="K3506" i="3"/>
  <c r="E3506" i="3"/>
  <c r="I3505" i="3"/>
  <c r="H3505" i="3" s="1"/>
  <c r="C3505" i="3"/>
  <c r="B3505" i="3" s="1"/>
  <c r="A3507" i="3"/>
  <c r="I3506" i="3" l="1"/>
  <c r="H3506" i="3" s="1"/>
  <c r="L3507" i="3"/>
  <c r="F3507" i="3"/>
  <c r="J3507" i="3"/>
  <c r="D3507" i="3"/>
  <c r="K3507" i="3"/>
  <c r="E3507" i="3"/>
  <c r="C3506" i="3"/>
  <c r="B3506" i="3" s="1"/>
  <c r="A3508" i="3"/>
  <c r="L3508" i="3" l="1"/>
  <c r="F3508" i="3"/>
  <c r="J3508" i="3"/>
  <c r="D3508" i="3"/>
  <c r="K3508" i="3"/>
  <c r="E3508" i="3"/>
  <c r="I3507" i="3"/>
  <c r="H3507" i="3" s="1"/>
  <c r="C3507" i="3"/>
  <c r="B3507" i="3" s="1"/>
  <c r="A3509" i="3"/>
  <c r="L3509" i="3" l="1"/>
  <c r="F3509" i="3"/>
  <c r="J3509" i="3"/>
  <c r="D3509" i="3"/>
  <c r="K3509" i="3"/>
  <c r="E3509" i="3"/>
  <c r="C3508" i="3"/>
  <c r="B3508" i="3" s="1"/>
  <c r="I3508" i="3"/>
  <c r="H3508" i="3" s="1"/>
  <c r="A3510" i="3"/>
  <c r="L3510" i="3" l="1"/>
  <c r="F3510" i="3"/>
  <c r="J3510" i="3"/>
  <c r="D3510" i="3"/>
  <c r="K3510" i="3"/>
  <c r="E3510" i="3"/>
  <c r="C3509" i="3"/>
  <c r="B3509" i="3" s="1"/>
  <c r="I3509" i="3"/>
  <c r="H3509" i="3" s="1"/>
  <c r="A3511" i="3"/>
  <c r="L3511" i="3" l="1"/>
  <c r="F3511" i="3"/>
  <c r="J3511" i="3"/>
  <c r="D3511" i="3"/>
  <c r="K3511" i="3"/>
  <c r="E3511" i="3"/>
  <c r="I3510" i="3"/>
  <c r="H3510" i="3" s="1"/>
  <c r="C3510" i="3"/>
  <c r="B3510" i="3" s="1"/>
  <c r="A3512" i="3"/>
  <c r="L3512" i="3" l="1"/>
  <c r="F3512" i="3"/>
  <c r="J3512" i="3"/>
  <c r="D3512" i="3"/>
  <c r="K3512" i="3"/>
  <c r="E3512" i="3"/>
  <c r="I3511" i="3"/>
  <c r="H3511" i="3" s="1"/>
  <c r="C3511" i="3"/>
  <c r="B3511" i="3" s="1"/>
  <c r="A3513" i="3"/>
  <c r="L3513" i="3" l="1"/>
  <c r="F3513" i="3"/>
  <c r="J3513" i="3"/>
  <c r="D3513" i="3"/>
  <c r="K3513" i="3"/>
  <c r="E3513" i="3"/>
  <c r="C3512" i="3"/>
  <c r="B3512" i="3" s="1"/>
  <c r="I3512" i="3"/>
  <c r="H3512" i="3" s="1"/>
  <c r="A3514" i="3"/>
  <c r="L3514" i="3" l="1"/>
  <c r="F3514" i="3"/>
  <c r="J3514" i="3"/>
  <c r="D3514" i="3"/>
  <c r="K3514" i="3"/>
  <c r="E3514" i="3"/>
  <c r="C3513" i="3"/>
  <c r="B3513" i="3" s="1"/>
  <c r="A3515" i="3"/>
  <c r="I3513" i="3"/>
  <c r="H3513" i="3" s="1"/>
  <c r="L3515" i="3" l="1"/>
  <c r="F3515" i="3"/>
  <c r="J3515" i="3"/>
  <c r="D3515" i="3"/>
  <c r="K3515" i="3"/>
  <c r="E3515" i="3"/>
  <c r="C3514" i="3"/>
  <c r="B3514" i="3" s="1"/>
  <c r="I3514" i="3"/>
  <c r="H3514" i="3" s="1"/>
  <c r="A3516" i="3"/>
  <c r="L3516" i="3" l="1"/>
  <c r="F3516" i="3"/>
  <c r="J3516" i="3"/>
  <c r="D3516" i="3"/>
  <c r="K3516" i="3"/>
  <c r="E3516" i="3"/>
  <c r="C3515" i="3"/>
  <c r="B3515" i="3" s="1"/>
  <c r="I3515" i="3"/>
  <c r="H3515" i="3" s="1"/>
  <c r="A3517" i="3"/>
  <c r="L3517" i="3" l="1"/>
  <c r="F3517" i="3"/>
  <c r="J3517" i="3"/>
  <c r="D3517" i="3"/>
  <c r="K3517" i="3"/>
  <c r="E3517" i="3"/>
  <c r="C3516" i="3"/>
  <c r="B3516" i="3" s="1"/>
  <c r="I3516" i="3"/>
  <c r="H3516" i="3" s="1"/>
  <c r="A3518" i="3"/>
  <c r="L3518" i="3" l="1"/>
  <c r="F3518" i="3"/>
  <c r="J3518" i="3"/>
  <c r="D3518" i="3"/>
  <c r="K3518" i="3"/>
  <c r="E3518" i="3"/>
  <c r="I3517" i="3"/>
  <c r="H3517" i="3" s="1"/>
  <c r="C3517" i="3"/>
  <c r="B3517" i="3" s="1"/>
  <c r="A3519" i="3"/>
  <c r="L3519" i="3" l="1"/>
  <c r="F3519" i="3"/>
  <c r="J3519" i="3"/>
  <c r="D3519" i="3"/>
  <c r="K3519" i="3"/>
  <c r="E3519" i="3"/>
  <c r="C3518" i="3"/>
  <c r="B3518" i="3" s="1"/>
  <c r="I3518" i="3"/>
  <c r="H3518" i="3" s="1"/>
  <c r="A3520" i="3"/>
  <c r="L3520" i="3" l="1"/>
  <c r="F3520" i="3"/>
  <c r="J3520" i="3"/>
  <c r="D3520" i="3"/>
  <c r="K3520" i="3"/>
  <c r="E3520" i="3"/>
  <c r="I3519" i="3"/>
  <c r="H3519" i="3" s="1"/>
  <c r="A3521" i="3"/>
  <c r="C3519" i="3"/>
  <c r="B3519" i="3" s="1"/>
  <c r="L3521" i="3" l="1"/>
  <c r="F3521" i="3"/>
  <c r="J3521" i="3"/>
  <c r="D3521" i="3"/>
  <c r="K3521" i="3"/>
  <c r="E3521" i="3"/>
  <c r="I3520" i="3"/>
  <c r="H3520" i="3" s="1"/>
  <c r="C3520" i="3"/>
  <c r="B3520" i="3" s="1"/>
  <c r="A3522" i="3"/>
  <c r="L3522" i="3" l="1"/>
  <c r="F3522" i="3"/>
  <c r="J3522" i="3"/>
  <c r="D3522" i="3"/>
  <c r="K3522" i="3"/>
  <c r="E3522" i="3"/>
  <c r="I3521" i="3"/>
  <c r="H3521" i="3" s="1"/>
  <c r="C3521" i="3"/>
  <c r="B3521" i="3" s="1"/>
  <c r="A3523" i="3"/>
  <c r="L3523" i="3" l="1"/>
  <c r="F3523" i="3"/>
  <c r="J3523" i="3"/>
  <c r="D3523" i="3"/>
  <c r="K3523" i="3"/>
  <c r="E3523" i="3"/>
  <c r="C3522" i="3"/>
  <c r="B3522" i="3" s="1"/>
  <c r="I3522" i="3"/>
  <c r="H3522" i="3" s="1"/>
  <c r="A3524" i="3"/>
  <c r="L3524" i="3" l="1"/>
  <c r="F3524" i="3"/>
  <c r="J3524" i="3"/>
  <c r="D3524" i="3"/>
  <c r="K3524" i="3"/>
  <c r="E3524" i="3"/>
  <c r="I3523" i="3"/>
  <c r="H3523" i="3" s="1"/>
  <c r="C3523" i="3"/>
  <c r="B3523" i="3" s="1"/>
  <c r="A3525" i="3"/>
  <c r="L3525" i="3" l="1"/>
  <c r="F3525" i="3"/>
  <c r="J3525" i="3"/>
  <c r="D3525" i="3"/>
  <c r="K3525" i="3"/>
  <c r="E3525" i="3"/>
  <c r="I3524" i="3"/>
  <c r="H3524" i="3" s="1"/>
  <c r="C3524" i="3"/>
  <c r="B3524" i="3" s="1"/>
  <c r="A3526" i="3"/>
  <c r="L3526" i="3" l="1"/>
  <c r="F3526" i="3"/>
  <c r="J3526" i="3"/>
  <c r="D3526" i="3"/>
  <c r="K3526" i="3"/>
  <c r="E3526" i="3"/>
  <c r="C3525" i="3"/>
  <c r="B3525" i="3" s="1"/>
  <c r="I3525" i="3"/>
  <c r="H3525" i="3" s="1"/>
  <c r="A3527" i="3"/>
  <c r="L3527" i="3" l="1"/>
  <c r="F3527" i="3"/>
  <c r="D3527" i="3"/>
  <c r="E3527" i="3"/>
  <c r="J3527" i="3"/>
  <c r="K3527" i="3"/>
  <c r="C3526" i="3"/>
  <c r="B3526" i="3" s="1"/>
  <c r="I3526" i="3"/>
  <c r="H3526" i="3" s="1"/>
  <c r="A3528" i="3"/>
  <c r="L3528" i="3" l="1"/>
  <c r="F3528" i="3"/>
  <c r="J3528" i="3"/>
  <c r="D3528" i="3"/>
  <c r="K3528" i="3"/>
  <c r="E3528" i="3"/>
  <c r="I3527" i="3"/>
  <c r="H3527" i="3" s="1"/>
  <c r="C3527" i="3"/>
  <c r="B3527" i="3" s="1"/>
  <c r="A3529" i="3"/>
  <c r="L3529" i="3" l="1"/>
  <c r="F3529" i="3"/>
  <c r="D3529" i="3"/>
  <c r="E3529" i="3"/>
  <c r="J3529" i="3"/>
  <c r="K3529" i="3"/>
  <c r="I3528" i="3"/>
  <c r="H3528" i="3" s="1"/>
  <c r="C3528" i="3"/>
  <c r="B3528" i="3" s="1"/>
  <c r="A3530" i="3"/>
  <c r="L3530" i="3" l="1"/>
  <c r="F3530" i="3"/>
  <c r="J3530" i="3"/>
  <c r="D3530" i="3"/>
  <c r="K3530" i="3"/>
  <c r="E3530" i="3"/>
  <c r="I3529" i="3"/>
  <c r="H3529" i="3" s="1"/>
  <c r="A3531" i="3"/>
  <c r="C3529" i="3"/>
  <c r="B3529" i="3" s="1"/>
  <c r="L3531" i="3" l="1"/>
  <c r="F3531" i="3"/>
  <c r="J3531" i="3"/>
  <c r="D3531" i="3"/>
  <c r="K3531" i="3"/>
  <c r="E3531" i="3"/>
  <c r="I3530" i="3"/>
  <c r="H3530" i="3" s="1"/>
  <c r="C3530" i="3"/>
  <c r="B3530" i="3" s="1"/>
  <c r="A3532" i="3"/>
  <c r="L3532" i="3" l="1"/>
  <c r="F3532" i="3"/>
  <c r="J3532" i="3"/>
  <c r="D3532" i="3"/>
  <c r="K3532" i="3"/>
  <c r="E3532" i="3"/>
  <c r="I3531" i="3"/>
  <c r="H3531" i="3" s="1"/>
  <c r="C3531" i="3"/>
  <c r="B3531" i="3" s="1"/>
  <c r="A3533" i="3"/>
  <c r="L3533" i="3" l="1"/>
  <c r="F3533" i="3"/>
  <c r="J3533" i="3"/>
  <c r="D3533" i="3"/>
  <c r="K3533" i="3"/>
  <c r="E3533" i="3"/>
  <c r="A3534" i="3"/>
  <c r="I3532" i="3"/>
  <c r="H3532" i="3" s="1"/>
  <c r="C3532" i="3"/>
  <c r="B3532" i="3" s="1"/>
  <c r="L3534" i="3" l="1"/>
  <c r="F3534" i="3"/>
  <c r="J3534" i="3"/>
  <c r="D3534" i="3"/>
  <c r="K3534" i="3"/>
  <c r="E3534" i="3"/>
  <c r="I3533" i="3"/>
  <c r="H3533" i="3" s="1"/>
  <c r="C3533" i="3"/>
  <c r="B3533" i="3" s="1"/>
  <c r="A3535" i="3"/>
  <c r="L3535" i="3" l="1"/>
  <c r="F3535" i="3"/>
  <c r="J3535" i="3"/>
  <c r="D3535" i="3"/>
  <c r="K3535" i="3"/>
  <c r="E3535" i="3"/>
  <c r="I3534" i="3"/>
  <c r="H3534" i="3" s="1"/>
  <c r="C3534" i="3"/>
  <c r="B3534" i="3" s="1"/>
  <c r="A3536" i="3"/>
  <c r="L3536" i="3" l="1"/>
  <c r="F3536" i="3"/>
  <c r="J3536" i="3"/>
  <c r="D3536" i="3"/>
  <c r="K3536" i="3"/>
  <c r="E3536" i="3"/>
  <c r="I3535" i="3"/>
  <c r="H3535" i="3" s="1"/>
  <c r="A3537" i="3"/>
  <c r="C3535" i="3"/>
  <c r="B3535" i="3" s="1"/>
  <c r="L3537" i="3" l="1"/>
  <c r="F3537" i="3"/>
  <c r="J3537" i="3"/>
  <c r="D3537" i="3"/>
  <c r="K3537" i="3"/>
  <c r="E3537" i="3"/>
  <c r="C3536" i="3"/>
  <c r="B3536" i="3" s="1"/>
  <c r="I3536" i="3"/>
  <c r="H3536" i="3" s="1"/>
  <c r="A3538" i="3"/>
  <c r="L3538" i="3" l="1"/>
  <c r="F3538" i="3"/>
  <c r="J3538" i="3"/>
  <c r="D3538" i="3"/>
  <c r="K3538" i="3"/>
  <c r="E3538" i="3"/>
  <c r="I3537" i="3"/>
  <c r="H3537" i="3" s="1"/>
  <c r="C3537" i="3"/>
  <c r="B3537" i="3" s="1"/>
  <c r="A3539" i="3"/>
  <c r="L3539" i="3" l="1"/>
  <c r="F3539" i="3"/>
  <c r="J3539" i="3"/>
  <c r="D3539" i="3"/>
  <c r="K3539" i="3"/>
  <c r="E3539" i="3"/>
  <c r="C3538" i="3"/>
  <c r="B3538" i="3" s="1"/>
  <c r="I3538" i="3"/>
  <c r="H3538" i="3" s="1"/>
  <c r="A3540" i="3"/>
  <c r="L3540" i="3" l="1"/>
  <c r="F3540" i="3"/>
  <c r="J3540" i="3"/>
  <c r="D3540" i="3"/>
  <c r="K3540" i="3"/>
  <c r="E3540" i="3"/>
  <c r="C3539" i="3"/>
  <c r="B3539" i="3" s="1"/>
  <c r="I3539" i="3"/>
  <c r="H3539" i="3" s="1"/>
  <c r="A3541" i="3"/>
  <c r="L3541" i="3" l="1"/>
  <c r="F3541" i="3"/>
  <c r="J3541" i="3"/>
  <c r="K3541" i="3"/>
  <c r="D3541" i="3"/>
  <c r="E3541" i="3"/>
  <c r="C3540" i="3"/>
  <c r="B3540" i="3" s="1"/>
  <c r="I3540" i="3"/>
  <c r="H3540" i="3" s="1"/>
  <c r="A3542" i="3"/>
  <c r="L3542" i="3" l="1"/>
  <c r="F3542" i="3"/>
  <c r="J3542" i="3"/>
  <c r="D3542" i="3"/>
  <c r="K3542" i="3"/>
  <c r="E3542" i="3"/>
  <c r="C3541" i="3"/>
  <c r="B3541" i="3" s="1"/>
  <c r="I3541" i="3"/>
  <c r="H3541" i="3" s="1"/>
  <c r="A3543" i="3"/>
  <c r="L3543" i="3" l="1"/>
  <c r="F3543" i="3"/>
  <c r="J3543" i="3"/>
  <c r="D3543" i="3"/>
  <c r="K3543" i="3"/>
  <c r="E3543" i="3"/>
  <c r="I3542" i="3"/>
  <c r="H3542" i="3" s="1"/>
  <c r="C3542" i="3"/>
  <c r="B3542" i="3" s="1"/>
  <c r="A3544" i="3"/>
  <c r="L3544" i="3" l="1"/>
  <c r="F3544" i="3"/>
  <c r="J3544" i="3"/>
  <c r="D3544" i="3"/>
  <c r="K3544" i="3"/>
  <c r="E3544" i="3"/>
  <c r="I3543" i="3"/>
  <c r="H3543" i="3" s="1"/>
  <c r="A3545" i="3"/>
  <c r="C3543" i="3"/>
  <c r="B3543" i="3" s="1"/>
  <c r="L3545" i="3" l="1"/>
  <c r="F3545" i="3"/>
  <c r="J3545" i="3"/>
  <c r="D3545" i="3"/>
  <c r="K3545" i="3"/>
  <c r="E3545" i="3"/>
  <c r="C3544" i="3"/>
  <c r="B3544" i="3" s="1"/>
  <c r="I3544" i="3"/>
  <c r="H3544" i="3" s="1"/>
  <c r="A3546" i="3"/>
  <c r="L3546" i="3" l="1"/>
  <c r="F3546" i="3"/>
  <c r="J3546" i="3"/>
  <c r="D3546" i="3"/>
  <c r="K3546" i="3"/>
  <c r="E3546" i="3"/>
  <c r="I3545" i="3"/>
  <c r="H3545" i="3" s="1"/>
  <c r="C3545" i="3"/>
  <c r="B3545" i="3" s="1"/>
  <c r="A3547" i="3"/>
  <c r="L3547" i="3" l="1"/>
  <c r="F3547" i="3"/>
  <c r="J3547" i="3"/>
  <c r="D3547" i="3"/>
  <c r="K3547" i="3"/>
  <c r="E3547" i="3"/>
  <c r="C3546" i="3"/>
  <c r="B3546" i="3" s="1"/>
  <c r="I3546" i="3"/>
  <c r="H3546" i="3" s="1"/>
  <c r="A3548" i="3"/>
  <c r="L3548" i="3" l="1"/>
  <c r="F3548" i="3"/>
  <c r="J3548" i="3"/>
  <c r="D3548" i="3"/>
  <c r="K3548" i="3"/>
  <c r="E3548" i="3"/>
  <c r="I3547" i="3"/>
  <c r="H3547" i="3" s="1"/>
  <c r="A3549" i="3"/>
  <c r="C3547" i="3"/>
  <c r="B3547" i="3" s="1"/>
  <c r="L3549" i="3" l="1"/>
  <c r="F3549" i="3"/>
  <c r="J3549" i="3"/>
  <c r="D3549" i="3"/>
  <c r="K3549" i="3"/>
  <c r="E3549" i="3"/>
  <c r="C3548" i="3"/>
  <c r="B3548" i="3" s="1"/>
  <c r="I3548" i="3"/>
  <c r="H3548" i="3" s="1"/>
  <c r="A3550" i="3"/>
  <c r="L3550" i="3" l="1"/>
  <c r="F3550" i="3"/>
  <c r="J3550" i="3"/>
  <c r="D3550" i="3"/>
  <c r="K3550" i="3"/>
  <c r="E3550" i="3"/>
  <c r="C3549" i="3"/>
  <c r="B3549" i="3" s="1"/>
  <c r="I3549" i="3"/>
  <c r="H3549" i="3" s="1"/>
  <c r="A3551" i="3"/>
  <c r="L3551" i="3" l="1"/>
  <c r="F3551" i="3"/>
  <c r="J3551" i="3"/>
  <c r="D3551" i="3"/>
  <c r="K3551" i="3"/>
  <c r="E3551" i="3"/>
  <c r="I3550" i="3"/>
  <c r="H3550" i="3" s="1"/>
  <c r="C3550" i="3"/>
  <c r="B3550" i="3" s="1"/>
  <c r="A3552" i="3"/>
  <c r="L3552" i="3" l="1"/>
  <c r="F3552" i="3"/>
  <c r="J3552" i="3"/>
  <c r="D3552" i="3"/>
  <c r="K3552" i="3"/>
  <c r="E3552" i="3"/>
  <c r="I3551" i="3"/>
  <c r="H3551" i="3" s="1"/>
  <c r="C3551" i="3"/>
  <c r="B3551" i="3" s="1"/>
  <c r="A3553" i="3"/>
  <c r="L3553" i="3" l="1"/>
  <c r="F3553" i="3"/>
  <c r="J3553" i="3"/>
  <c r="D3553" i="3"/>
  <c r="K3553" i="3"/>
  <c r="E3553" i="3"/>
  <c r="C3552" i="3"/>
  <c r="B3552" i="3" s="1"/>
  <c r="I3552" i="3"/>
  <c r="H3552" i="3" s="1"/>
  <c r="A3554" i="3"/>
  <c r="L3554" i="3" l="1"/>
  <c r="F3554" i="3"/>
  <c r="J3554" i="3"/>
  <c r="D3554" i="3"/>
  <c r="K3554" i="3"/>
  <c r="E3554" i="3"/>
  <c r="I3553" i="3"/>
  <c r="H3553" i="3" s="1"/>
  <c r="C3553" i="3"/>
  <c r="B3553" i="3" s="1"/>
  <c r="A3555" i="3"/>
  <c r="L3555" i="3" l="1"/>
  <c r="F3555" i="3"/>
  <c r="J3555" i="3"/>
  <c r="D3555" i="3"/>
  <c r="K3555" i="3"/>
  <c r="E3555" i="3"/>
  <c r="I3554" i="3"/>
  <c r="H3554" i="3" s="1"/>
  <c r="C3554" i="3"/>
  <c r="B3554" i="3" s="1"/>
  <c r="A3556" i="3"/>
  <c r="L3556" i="3" l="1"/>
  <c r="F3556" i="3"/>
  <c r="J3556" i="3"/>
  <c r="D3556" i="3"/>
  <c r="K3556" i="3"/>
  <c r="E3556" i="3"/>
  <c r="C3555" i="3"/>
  <c r="B3555" i="3" s="1"/>
  <c r="I3555" i="3"/>
  <c r="H3555" i="3" s="1"/>
  <c r="A3557" i="3"/>
  <c r="L3557" i="3" l="1"/>
  <c r="F3557" i="3"/>
  <c r="J3557" i="3"/>
  <c r="D3557" i="3"/>
  <c r="K3557" i="3"/>
  <c r="E3557" i="3"/>
  <c r="I3556" i="3"/>
  <c r="H3556" i="3" s="1"/>
  <c r="C3556" i="3"/>
  <c r="B3556" i="3" s="1"/>
  <c r="A3558" i="3"/>
  <c r="L3558" i="3" l="1"/>
  <c r="F3558" i="3"/>
  <c r="D3558" i="3"/>
  <c r="J3558" i="3"/>
  <c r="E3558" i="3"/>
  <c r="K3558" i="3"/>
  <c r="C3557" i="3"/>
  <c r="B3557" i="3" s="1"/>
  <c r="I3557" i="3"/>
  <c r="H3557" i="3" s="1"/>
  <c r="A3559" i="3"/>
  <c r="L3559" i="3" l="1"/>
  <c r="F3559" i="3"/>
  <c r="J3559" i="3"/>
  <c r="D3559" i="3"/>
  <c r="K3559" i="3"/>
  <c r="E3559" i="3"/>
  <c r="I3558" i="3"/>
  <c r="H3558" i="3" s="1"/>
  <c r="C3558" i="3"/>
  <c r="B3558" i="3" s="1"/>
  <c r="A3560" i="3"/>
  <c r="L3560" i="3" l="1"/>
  <c r="F3560" i="3"/>
  <c r="D3560" i="3"/>
  <c r="J3560" i="3"/>
  <c r="E3560" i="3"/>
  <c r="K3560" i="3"/>
  <c r="I3559" i="3"/>
  <c r="H3559" i="3" s="1"/>
  <c r="C3559" i="3"/>
  <c r="B3559" i="3" s="1"/>
  <c r="A3561" i="3"/>
  <c r="L3561" i="3" l="1"/>
  <c r="F3561" i="3"/>
  <c r="J3561" i="3"/>
  <c r="D3561" i="3"/>
  <c r="K3561" i="3"/>
  <c r="E3561" i="3"/>
  <c r="I3560" i="3"/>
  <c r="H3560" i="3" s="1"/>
  <c r="C3560" i="3"/>
  <c r="B3560" i="3" s="1"/>
  <c r="A3562" i="3"/>
  <c r="L3562" i="3" l="1"/>
  <c r="F3562" i="3"/>
  <c r="J3562" i="3"/>
  <c r="D3562" i="3"/>
  <c r="K3562" i="3"/>
  <c r="E3562" i="3"/>
  <c r="I3561" i="3"/>
  <c r="H3561" i="3" s="1"/>
  <c r="C3561" i="3"/>
  <c r="B3561" i="3" s="1"/>
  <c r="A3563" i="3"/>
  <c r="L3563" i="3" l="1"/>
  <c r="F3563" i="3"/>
  <c r="J3563" i="3"/>
  <c r="D3563" i="3"/>
  <c r="K3563" i="3"/>
  <c r="E3563" i="3"/>
  <c r="I3562" i="3"/>
  <c r="H3562" i="3" s="1"/>
  <c r="C3562" i="3"/>
  <c r="B3562" i="3" s="1"/>
  <c r="A3564" i="3"/>
  <c r="L3564" i="3" l="1"/>
  <c r="F3564" i="3"/>
  <c r="J3564" i="3"/>
  <c r="D3564" i="3"/>
  <c r="K3564" i="3"/>
  <c r="E3564" i="3"/>
  <c r="C3563" i="3"/>
  <c r="B3563" i="3" s="1"/>
  <c r="I3563" i="3"/>
  <c r="H3563" i="3" s="1"/>
  <c r="A3565" i="3"/>
  <c r="L3565" i="3" l="1"/>
  <c r="F3565" i="3"/>
  <c r="J3565" i="3"/>
  <c r="D3565" i="3"/>
  <c r="K3565" i="3"/>
  <c r="E3565" i="3"/>
  <c r="C3564" i="3"/>
  <c r="B3564" i="3" s="1"/>
  <c r="I3564" i="3"/>
  <c r="H3564" i="3" s="1"/>
  <c r="A3566" i="3"/>
  <c r="L3566" i="3" l="1"/>
  <c r="F3566" i="3"/>
  <c r="J3566" i="3"/>
  <c r="K3566" i="3"/>
  <c r="D3566" i="3"/>
  <c r="E3566" i="3"/>
  <c r="C3565" i="3"/>
  <c r="B3565" i="3" s="1"/>
  <c r="I3565" i="3"/>
  <c r="H3565" i="3" s="1"/>
  <c r="A3567" i="3"/>
  <c r="L3567" i="3" l="1"/>
  <c r="F3567" i="3"/>
  <c r="J3567" i="3"/>
  <c r="D3567" i="3"/>
  <c r="K3567" i="3"/>
  <c r="E3567" i="3"/>
  <c r="I3566" i="3"/>
  <c r="H3566" i="3" s="1"/>
  <c r="C3566" i="3"/>
  <c r="B3566" i="3" s="1"/>
  <c r="A3568" i="3"/>
  <c r="L3568" i="3" l="1"/>
  <c r="F3568" i="3"/>
  <c r="J3568" i="3"/>
  <c r="D3568" i="3"/>
  <c r="K3568" i="3"/>
  <c r="E3568" i="3"/>
  <c r="I3567" i="3"/>
  <c r="H3567" i="3" s="1"/>
  <c r="C3567" i="3"/>
  <c r="B3567" i="3" s="1"/>
  <c r="A3569" i="3"/>
  <c r="L3569" i="3" l="1"/>
  <c r="F3569" i="3"/>
  <c r="J3569" i="3"/>
  <c r="D3569" i="3"/>
  <c r="K3569" i="3"/>
  <c r="E3569" i="3"/>
  <c r="C3568" i="3"/>
  <c r="B3568" i="3" s="1"/>
  <c r="I3568" i="3"/>
  <c r="H3568" i="3" s="1"/>
  <c r="A3570" i="3"/>
  <c r="L3570" i="3" l="1"/>
  <c r="F3570" i="3"/>
  <c r="J3570" i="3"/>
  <c r="D3570" i="3"/>
  <c r="K3570" i="3"/>
  <c r="E3570" i="3"/>
  <c r="I3569" i="3"/>
  <c r="H3569" i="3" s="1"/>
  <c r="C3569" i="3"/>
  <c r="B3569" i="3" s="1"/>
  <c r="A3571" i="3"/>
  <c r="L3571" i="3" l="1"/>
  <c r="F3571" i="3"/>
  <c r="J3571" i="3"/>
  <c r="D3571" i="3"/>
  <c r="K3571" i="3"/>
  <c r="E3571" i="3"/>
  <c r="I3570" i="3"/>
  <c r="H3570" i="3" s="1"/>
  <c r="C3570" i="3"/>
  <c r="B3570" i="3" s="1"/>
  <c r="A3572" i="3"/>
  <c r="L3572" i="3" l="1"/>
  <c r="F3572" i="3"/>
  <c r="J3572" i="3"/>
  <c r="D3572" i="3"/>
  <c r="K3572" i="3"/>
  <c r="E3572" i="3"/>
  <c r="C3571" i="3"/>
  <c r="B3571" i="3" s="1"/>
  <c r="I3571" i="3"/>
  <c r="H3571" i="3" s="1"/>
  <c r="A3573" i="3"/>
  <c r="L3573" i="3" l="1"/>
  <c r="F3573" i="3"/>
  <c r="J3573" i="3"/>
  <c r="D3573" i="3"/>
  <c r="K3573" i="3"/>
  <c r="E3573" i="3"/>
  <c r="I3572" i="3"/>
  <c r="H3572" i="3" s="1"/>
  <c r="C3572" i="3"/>
  <c r="B3572" i="3" s="1"/>
  <c r="A3574" i="3"/>
  <c r="L3574" i="3" l="1"/>
  <c r="F3574" i="3"/>
  <c r="J3574" i="3"/>
  <c r="D3574" i="3"/>
  <c r="K3574" i="3"/>
  <c r="E3574" i="3"/>
  <c r="I3573" i="3"/>
  <c r="H3573" i="3" s="1"/>
  <c r="C3573" i="3"/>
  <c r="B3573" i="3" s="1"/>
  <c r="A3575" i="3"/>
  <c r="L3575" i="3" l="1"/>
  <c r="F3575" i="3"/>
  <c r="J3575" i="3"/>
  <c r="D3575" i="3"/>
  <c r="K3575" i="3"/>
  <c r="E3575" i="3"/>
  <c r="I3574" i="3"/>
  <c r="H3574" i="3" s="1"/>
  <c r="C3574" i="3"/>
  <c r="B3574" i="3" s="1"/>
  <c r="A3576" i="3"/>
  <c r="L3576" i="3" l="1"/>
  <c r="F3576" i="3"/>
  <c r="J3576" i="3"/>
  <c r="D3576" i="3"/>
  <c r="K3576" i="3"/>
  <c r="E3576" i="3"/>
  <c r="I3575" i="3"/>
  <c r="H3575" i="3" s="1"/>
  <c r="A3577" i="3"/>
  <c r="C3575" i="3"/>
  <c r="B3575" i="3" s="1"/>
  <c r="L3577" i="3" l="1"/>
  <c r="F3577" i="3"/>
  <c r="J3577" i="3"/>
  <c r="D3577" i="3"/>
  <c r="K3577" i="3"/>
  <c r="E3577" i="3"/>
  <c r="I3576" i="3"/>
  <c r="H3576" i="3" s="1"/>
  <c r="C3576" i="3"/>
  <c r="B3576" i="3" s="1"/>
  <c r="A3578" i="3"/>
  <c r="L3578" i="3" l="1"/>
  <c r="F3578" i="3"/>
  <c r="J3578" i="3"/>
  <c r="D3578" i="3"/>
  <c r="K3578" i="3"/>
  <c r="E3578" i="3"/>
  <c r="I3577" i="3"/>
  <c r="H3577" i="3" s="1"/>
  <c r="A3579" i="3"/>
  <c r="C3577" i="3"/>
  <c r="B3577" i="3" s="1"/>
  <c r="L3579" i="3" l="1"/>
  <c r="F3579" i="3"/>
  <c r="J3579" i="3"/>
  <c r="D3579" i="3"/>
  <c r="K3579" i="3"/>
  <c r="E3579" i="3"/>
  <c r="I3578" i="3"/>
  <c r="H3578" i="3" s="1"/>
  <c r="C3578" i="3"/>
  <c r="B3578" i="3" s="1"/>
  <c r="A3580" i="3"/>
  <c r="L3580" i="3" l="1"/>
  <c r="F3580" i="3"/>
  <c r="J3580" i="3"/>
  <c r="D3580" i="3"/>
  <c r="K3580" i="3"/>
  <c r="E3580" i="3"/>
  <c r="C3579" i="3"/>
  <c r="B3579" i="3" s="1"/>
  <c r="I3579" i="3"/>
  <c r="H3579" i="3" s="1"/>
  <c r="A3581" i="3"/>
  <c r="L3581" i="3" l="1"/>
  <c r="F3581" i="3"/>
  <c r="J3581" i="3"/>
  <c r="D3581" i="3"/>
  <c r="K3581" i="3"/>
  <c r="E3581" i="3"/>
  <c r="C3580" i="3"/>
  <c r="B3580" i="3" s="1"/>
  <c r="I3580" i="3"/>
  <c r="H3580" i="3" s="1"/>
  <c r="A3582" i="3"/>
  <c r="L3582" i="3" l="1"/>
  <c r="F3582" i="3"/>
  <c r="J3582" i="3"/>
  <c r="D3582" i="3"/>
  <c r="K3582" i="3"/>
  <c r="E3582" i="3"/>
  <c r="C3581" i="3"/>
  <c r="B3581" i="3" s="1"/>
  <c r="I3581" i="3"/>
  <c r="H3581" i="3" s="1"/>
  <c r="A3583" i="3"/>
  <c r="L3583" i="3" l="1"/>
  <c r="F3583" i="3"/>
  <c r="J3583" i="3"/>
  <c r="D3583" i="3"/>
  <c r="K3583" i="3"/>
  <c r="E3583" i="3"/>
  <c r="C3582" i="3"/>
  <c r="B3582" i="3" s="1"/>
  <c r="I3582" i="3"/>
  <c r="H3582" i="3" s="1"/>
  <c r="A3584" i="3"/>
  <c r="L3584" i="3" l="1"/>
  <c r="F3584" i="3"/>
  <c r="J3584" i="3"/>
  <c r="D3584" i="3"/>
  <c r="K3584" i="3"/>
  <c r="E3584" i="3"/>
  <c r="I3583" i="3"/>
  <c r="H3583" i="3" s="1"/>
  <c r="C3583" i="3"/>
  <c r="B3583" i="3" s="1"/>
  <c r="A3585" i="3"/>
  <c r="L3585" i="3" l="1"/>
  <c r="F3585" i="3"/>
  <c r="J3585" i="3"/>
  <c r="D3585" i="3"/>
  <c r="K3585" i="3"/>
  <c r="E3585" i="3"/>
  <c r="I3584" i="3"/>
  <c r="H3584" i="3" s="1"/>
  <c r="C3584" i="3"/>
  <c r="B3584" i="3" s="1"/>
  <c r="A3586" i="3"/>
  <c r="L3586" i="3" l="1"/>
  <c r="F3586" i="3"/>
  <c r="J3586" i="3"/>
  <c r="D3586" i="3"/>
  <c r="K3586" i="3"/>
  <c r="E3586" i="3"/>
  <c r="I3585" i="3"/>
  <c r="H3585" i="3" s="1"/>
  <c r="A3587" i="3"/>
  <c r="C3585" i="3"/>
  <c r="B3585" i="3" s="1"/>
  <c r="L3587" i="3" l="1"/>
  <c r="F3587" i="3"/>
  <c r="J3587" i="3"/>
  <c r="D3587" i="3"/>
  <c r="K3587" i="3"/>
  <c r="E3587" i="3"/>
  <c r="I3586" i="3"/>
  <c r="H3586" i="3" s="1"/>
  <c r="C3586" i="3"/>
  <c r="B3586" i="3" s="1"/>
  <c r="A3588" i="3"/>
  <c r="L3588" i="3" l="1"/>
  <c r="F3588" i="3"/>
  <c r="J3588" i="3"/>
  <c r="D3588" i="3"/>
  <c r="K3588" i="3"/>
  <c r="E3588" i="3"/>
  <c r="I3587" i="3"/>
  <c r="H3587" i="3" s="1"/>
  <c r="C3587" i="3"/>
  <c r="B3587" i="3" s="1"/>
  <c r="A3589" i="3"/>
  <c r="L3589" i="3" l="1"/>
  <c r="F3589" i="3"/>
  <c r="J3589" i="3"/>
  <c r="D3589" i="3"/>
  <c r="K3589" i="3"/>
  <c r="E3589" i="3"/>
  <c r="I3588" i="3"/>
  <c r="H3588" i="3" s="1"/>
  <c r="C3588" i="3"/>
  <c r="B3588" i="3" s="1"/>
  <c r="A3590" i="3"/>
  <c r="L3590" i="3" l="1"/>
  <c r="F3590" i="3"/>
  <c r="D3590" i="3"/>
  <c r="E3590" i="3"/>
  <c r="J3590" i="3"/>
  <c r="K3590" i="3"/>
  <c r="I3589" i="3"/>
  <c r="H3589" i="3" s="1"/>
  <c r="C3589" i="3"/>
  <c r="B3589" i="3" s="1"/>
  <c r="A3591" i="3"/>
  <c r="L3591" i="3" l="1"/>
  <c r="F3591" i="3"/>
  <c r="J3591" i="3"/>
  <c r="D3591" i="3"/>
  <c r="K3591" i="3"/>
  <c r="E3591" i="3"/>
  <c r="I3590" i="3"/>
  <c r="H3590" i="3" s="1"/>
  <c r="C3590" i="3"/>
  <c r="B3590" i="3" s="1"/>
  <c r="A3592" i="3"/>
  <c r="L3592" i="3" l="1"/>
  <c r="F3592" i="3"/>
  <c r="J3592" i="3"/>
  <c r="D3592" i="3"/>
  <c r="K3592" i="3"/>
  <c r="E3592" i="3"/>
  <c r="I3591" i="3"/>
  <c r="H3591" i="3" s="1"/>
  <c r="C3591" i="3"/>
  <c r="B3591" i="3" s="1"/>
  <c r="A3593" i="3"/>
  <c r="L3593" i="3" l="1"/>
  <c r="F3593" i="3"/>
  <c r="J3593" i="3"/>
  <c r="D3593" i="3"/>
  <c r="K3593" i="3"/>
  <c r="E3593" i="3"/>
  <c r="I3592" i="3"/>
  <c r="H3592" i="3" s="1"/>
  <c r="C3592" i="3"/>
  <c r="B3592" i="3" s="1"/>
  <c r="A3594" i="3"/>
  <c r="L3594" i="3" l="1"/>
  <c r="F3594" i="3"/>
  <c r="J3594" i="3"/>
  <c r="D3594" i="3"/>
  <c r="K3594" i="3"/>
  <c r="E3594" i="3"/>
  <c r="I3593" i="3"/>
  <c r="H3593" i="3" s="1"/>
  <c r="C3593" i="3"/>
  <c r="B3593" i="3" s="1"/>
  <c r="A3595" i="3"/>
  <c r="L3595" i="3" l="1"/>
  <c r="F3595" i="3"/>
  <c r="J3595" i="3"/>
  <c r="D3595" i="3"/>
  <c r="K3595" i="3"/>
  <c r="E3595" i="3"/>
  <c r="I3594" i="3"/>
  <c r="H3594" i="3" s="1"/>
  <c r="C3594" i="3"/>
  <c r="B3594" i="3" s="1"/>
  <c r="A3596" i="3"/>
  <c r="L3596" i="3" l="1"/>
  <c r="F3596" i="3"/>
  <c r="J3596" i="3"/>
  <c r="D3596" i="3"/>
  <c r="K3596" i="3"/>
  <c r="E3596" i="3"/>
  <c r="C3595" i="3"/>
  <c r="B3595" i="3" s="1"/>
  <c r="I3595" i="3"/>
  <c r="H3595" i="3" s="1"/>
  <c r="A3597" i="3"/>
  <c r="L3597" i="3" l="1"/>
  <c r="F3597" i="3"/>
  <c r="J3597" i="3"/>
  <c r="D3597" i="3"/>
  <c r="K3597" i="3"/>
  <c r="E3597" i="3"/>
  <c r="I3596" i="3"/>
  <c r="H3596" i="3" s="1"/>
  <c r="A3598" i="3"/>
  <c r="C3596" i="3"/>
  <c r="B3596" i="3" s="1"/>
  <c r="L3598" i="3" l="1"/>
  <c r="F3598" i="3"/>
  <c r="J3598" i="3"/>
  <c r="D3598" i="3"/>
  <c r="K3598" i="3"/>
  <c r="E3598" i="3"/>
  <c r="C3597" i="3"/>
  <c r="B3597" i="3" s="1"/>
  <c r="I3597" i="3"/>
  <c r="H3597" i="3" s="1"/>
  <c r="A3599" i="3"/>
  <c r="L3599" i="3" l="1"/>
  <c r="F3599" i="3"/>
  <c r="J3599" i="3"/>
  <c r="D3599" i="3"/>
  <c r="K3599" i="3"/>
  <c r="E3599" i="3"/>
  <c r="I3598" i="3"/>
  <c r="H3598" i="3" s="1"/>
  <c r="A3600" i="3"/>
  <c r="C3598" i="3"/>
  <c r="B3598" i="3" s="1"/>
  <c r="L3600" i="3" l="1"/>
  <c r="F3600" i="3"/>
  <c r="J3600" i="3"/>
  <c r="D3600" i="3"/>
  <c r="K3600" i="3"/>
  <c r="E3600" i="3"/>
  <c r="I3599" i="3"/>
  <c r="H3599" i="3" s="1"/>
  <c r="C3599" i="3"/>
  <c r="B3599" i="3" s="1"/>
  <c r="A3601" i="3"/>
  <c r="L3601" i="3" l="1"/>
  <c r="F3601" i="3"/>
  <c r="J3601" i="3"/>
  <c r="D3601" i="3"/>
  <c r="K3601" i="3"/>
  <c r="E3601" i="3"/>
  <c r="I3600" i="3"/>
  <c r="H3600" i="3" s="1"/>
  <c r="A3602" i="3"/>
  <c r="C3600" i="3"/>
  <c r="B3600" i="3" s="1"/>
  <c r="L3602" i="3" l="1"/>
  <c r="F3602" i="3"/>
  <c r="J3602" i="3"/>
  <c r="D3602" i="3"/>
  <c r="K3602" i="3"/>
  <c r="E3602" i="3"/>
  <c r="C3601" i="3"/>
  <c r="B3601" i="3" s="1"/>
  <c r="I3601" i="3"/>
  <c r="H3601" i="3" s="1"/>
  <c r="A3603" i="3"/>
  <c r="L3603" i="3" l="1"/>
  <c r="F3603" i="3"/>
  <c r="J3603" i="3"/>
  <c r="D3603" i="3"/>
  <c r="K3603" i="3"/>
  <c r="E3603" i="3"/>
  <c r="C3602" i="3"/>
  <c r="B3602" i="3" s="1"/>
  <c r="I3602" i="3"/>
  <c r="H3602" i="3" s="1"/>
  <c r="A3604" i="3"/>
  <c r="L3604" i="3" l="1"/>
  <c r="F3604" i="3"/>
  <c r="J3604" i="3"/>
  <c r="D3604" i="3"/>
  <c r="K3604" i="3"/>
  <c r="E3604" i="3"/>
  <c r="I3603" i="3"/>
  <c r="H3603" i="3" s="1"/>
  <c r="C3603" i="3"/>
  <c r="B3603" i="3" s="1"/>
  <c r="A3605" i="3"/>
  <c r="L3605" i="3" l="1"/>
  <c r="F3605" i="3"/>
  <c r="J3605" i="3"/>
  <c r="D3605" i="3"/>
  <c r="K3605" i="3"/>
  <c r="E3605" i="3"/>
  <c r="C3604" i="3"/>
  <c r="B3604" i="3" s="1"/>
  <c r="I3604" i="3"/>
  <c r="H3604" i="3" s="1"/>
  <c r="A3606" i="3"/>
  <c r="L3606" i="3" l="1"/>
  <c r="F3606" i="3"/>
  <c r="J3606" i="3"/>
  <c r="D3606" i="3"/>
  <c r="K3606" i="3"/>
  <c r="E3606" i="3"/>
  <c r="C3605" i="3"/>
  <c r="B3605" i="3" s="1"/>
  <c r="I3605" i="3"/>
  <c r="H3605" i="3" s="1"/>
  <c r="A3607" i="3"/>
  <c r="L3607" i="3" l="1"/>
  <c r="F3607" i="3"/>
  <c r="J3607" i="3"/>
  <c r="D3607" i="3"/>
  <c r="K3607" i="3"/>
  <c r="E3607" i="3"/>
  <c r="I3606" i="3"/>
  <c r="H3606" i="3" s="1"/>
  <c r="C3606" i="3"/>
  <c r="B3606" i="3" s="1"/>
  <c r="A3608" i="3"/>
  <c r="L3608" i="3" l="1"/>
  <c r="F3608" i="3"/>
  <c r="J3608" i="3"/>
  <c r="D3608" i="3"/>
  <c r="K3608" i="3"/>
  <c r="E3608" i="3"/>
  <c r="I3607" i="3"/>
  <c r="H3607" i="3" s="1"/>
  <c r="C3607" i="3"/>
  <c r="B3607" i="3" s="1"/>
  <c r="A3609" i="3"/>
  <c r="L3609" i="3" l="1"/>
  <c r="F3609" i="3"/>
  <c r="J3609" i="3"/>
  <c r="D3609" i="3"/>
  <c r="K3609" i="3"/>
  <c r="E3609" i="3"/>
  <c r="I3608" i="3"/>
  <c r="H3608" i="3" s="1"/>
  <c r="A3610" i="3"/>
  <c r="C3608" i="3"/>
  <c r="B3608" i="3" s="1"/>
  <c r="L3610" i="3" l="1"/>
  <c r="F3610" i="3"/>
  <c r="J3610" i="3"/>
  <c r="D3610" i="3"/>
  <c r="K3610" i="3"/>
  <c r="E3610" i="3"/>
  <c r="I3609" i="3"/>
  <c r="H3609" i="3" s="1"/>
  <c r="C3609" i="3"/>
  <c r="B3609" i="3" s="1"/>
  <c r="A3611" i="3"/>
  <c r="L3611" i="3" l="1"/>
  <c r="F3611" i="3"/>
  <c r="J3611" i="3"/>
  <c r="D3611" i="3"/>
  <c r="K3611" i="3"/>
  <c r="E3611" i="3"/>
  <c r="I3610" i="3"/>
  <c r="H3610" i="3" s="1"/>
  <c r="C3610" i="3"/>
  <c r="B3610" i="3" s="1"/>
  <c r="A3612" i="3"/>
  <c r="L3612" i="3" l="1"/>
  <c r="F3612" i="3"/>
  <c r="J3612" i="3"/>
  <c r="D3612" i="3"/>
  <c r="K3612" i="3"/>
  <c r="E3612" i="3"/>
  <c r="I3611" i="3"/>
  <c r="H3611" i="3" s="1"/>
  <c r="C3611" i="3"/>
  <c r="B3611" i="3" s="1"/>
  <c r="A3613" i="3"/>
  <c r="L3613" i="3" l="1"/>
  <c r="F3613" i="3"/>
  <c r="J3613" i="3"/>
  <c r="D3613" i="3"/>
  <c r="K3613" i="3"/>
  <c r="E3613" i="3"/>
  <c r="C3612" i="3"/>
  <c r="B3612" i="3" s="1"/>
  <c r="I3612" i="3"/>
  <c r="H3612" i="3" s="1"/>
  <c r="A3614" i="3"/>
  <c r="L3614" i="3" l="1"/>
  <c r="F3614" i="3"/>
  <c r="J3614" i="3"/>
  <c r="D3614" i="3"/>
  <c r="K3614" i="3"/>
  <c r="E3614" i="3"/>
  <c r="I3613" i="3"/>
  <c r="H3613" i="3" s="1"/>
  <c r="A3615" i="3"/>
  <c r="C3613" i="3"/>
  <c r="B3613" i="3" s="1"/>
  <c r="L3615" i="3" l="1"/>
  <c r="F3615" i="3"/>
  <c r="J3615" i="3"/>
  <c r="D3615" i="3"/>
  <c r="K3615" i="3"/>
  <c r="E3615" i="3"/>
  <c r="A3616" i="3"/>
  <c r="I3614" i="3"/>
  <c r="H3614" i="3" s="1"/>
  <c r="C3614" i="3"/>
  <c r="B3614" i="3" s="1"/>
  <c r="L3616" i="3" l="1"/>
  <c r="F3616" i="3"/>
  <c r="J3616" i="3"/>
  <c r="D3616" i="3"/>
  <c r="K3616" i="3"/>
  <c r="E3616" i="3"/>
  <c r="C3615" i="3"/>
  <c r="B3615" i="3" s="1"/>
  <c r="I3615" i="3"/>
  <c r="H3615" i="3" s="1"/>
  <c r="A3617" i="3"/>
  <c r="L3617" i="3" l="1"/>
  <c r="F3617" i="3"/>
  <c r="J3617" i="3"/>
  <c r="D3617" i="3"/>
  <c r="K3617" i="3"/>
  <c r="E3617" i="3"/>
  <c r="C3616" i="3"/>
  <c r="B3616" i="3" s="1"/>
  <c r="I3616" i="3"/>
  <c r="H3616" i="3" s="1"/>
  <c r="A3618" i="3"/>
  <c r="L3618" i="3" l="1"/>
  <c r="F3618" i="3"/>
  <c r="J3618" i="3"/>
  <c r="D3618" i="3"/>
  <c r="K3618" i="3"/>
  <c r="E3618" i="3"/>
  <c r="C3617" i="3"/>
  <c r="B3617" i="3" s="1"/>
  <c r="A3619" i="3"/>
  <c r="I3617" i="3"/>
  <c r="H3617" i="3" s="1"/>
  <c r="L3619" i="3" l="1"/>
  <c r="F3619" i="3"/>
  <c r="D3619" i="3"/>
  <c r="J3619" i="3"/>
  <c r="E3619" i="3"/>
  <c r="K3619" i="3"/>
  <c r="I3618" i="3"/>
  <c r="H3618" i="3" s="1"/>
  <c r="C3618" i="3"/>
  <c r="B3618" i="3" s="1"/>
  <c r="A3620" i="3"/>
  <c r="L3620" i="3" l="1"/>
  <c r="F3620" i="3"/>
  <c r="J3620" i="3"/>
  <c r="D3620" i="3"/>
  <c r="K3620" i="3"/>
  <c r="E3620" i="3"/>
  <c r="C3619" i="3"/>
  <c r="B3619" i="3" s="1"/>
  <c r="A3621" i="3"/>
  <c r="I3619" i="3"/>
  <c r="H3619" i="3" s="1"/>
  <c r="L3621" i="3" l="1"/>
  <c r="F3621" i="3"/>
  <c r="J3621" i="3"/>
  <c r="D3621" i="3"/>
  <c r="K3621" i="3"/>
  <c r="E3621" i="3"/>
  <c r="C3620" i="3"/>
  <c r="B3620" i="3" s="1"/>
  <c r="A3622" i="3"/>
  <c r="I3620" i="3"/>
  <c r="H3620" i="3" s="1"/>
  <c r="L3622" i="3" l="1"/>
  <c r="F3622" i="3"/>
  <c r="J3622" i="3"/>
  <c r="D3622" i="3"/>
  <c r="K3622" i="3"/>
  <c r="E3622" i="3"/>
  <c r="C3621" i="3"/>
  <c r="B3621" i="3" s="1"/>
  <c r="A3623" i="3"/>
  <c r="I3621" i="3"/>
  <c r="H3621" i="3" s="1"/>
  <c r="L3623" i="3" l="1"/>
  <c r="F3623" i="3"/>
  <c r="D3623" i="3"/>
  <c r="J3623" i="3"/>
  <c r="E3623" i="3"/>
  <c r="K3623" i="3"/>
  <c r="C3622" i="3"/>
  <c r="B3622" i="3" s="1"/>
  <c r="I3622" i="3"/>
  <c r="H3622" i="3" s="1"/>
  <c r="A3624" i="3"/>
  <c r="L3624" i="3" l="1"/>
  <c r="F3624" i="3"/>
  <c r="J3624" i="3"/>
  <c r="D3624" i="3"/>
  <c r="K3624" i="3"/>
  <c r="E3624" i="3"/>
  <c r="I3623" i="3"/>
  <c r="H3623" i="3" s="1"/>
  <c r="A3625" i="3"/>
  <c r="C3623" i="3"/>
  <c r="B3623" i="3" s="1"/>
  <c r="L3625" i="3" l="1"/>
  <c r="F3625" i="3"/>
  <c r="J3625" i="3"/>
  <c r="D3625" i="3"/>
  <c r="K3625" i="3"/>
  <c r="E3625" i="3"/>
  <c r="I3624" i="3"/>
  <c r="H3624" i="3" s="1"/>
  <c r="A3626" i="3"/>
  <c r="C3624" i="3"/>
  <c r="B3624" i="3" s="1"/>
  <c r="L3626" i="3" l="1"/>
  <c r="F3626" i="3"/>
  <c r="J3626" i="3"/>
  <c r="D3626" i="3"/>
  <c r="K3626" i="3"/>
  <c r="E3626" i="3"/>
  <c r="C3625" i="3"/>
  <c r="B3625" i="3" s="1"/>
  <c r="I3625" i="3"/>
  <c r="H3625" i="3" s="1"/>
  <c r="A3627" i="3"/>
  <c r="L3627" i="3" l="1"/>
  <c r="F3627" i="3"/>
  <c r="J3627" i="3"/>
  <c r="D3627" i="3"/>
  <c r="K3627" i="3"/>
  <c r="E3627" i="3"/>
  <c r="C3626" i="3"/>
  <c r="B3626" i="3" s="1"/>
  <c r="I3626" i="3"/>
  <c r="H3626" i="3" s="1"/>
  <c r="A3628" i="3"/>
  <c r="L3628" i="3" l="1"/>
  <c r="F3628" i="3"/>
  <c r="J3628" i="3"/>
  <c r="D3628" i="3"/>
  <c r="K3628" i="3"/>
  <c r="E3628" i="3"/>
  <c r="C3627" i="3"/>
  <c r="B3627" i="3" s="1"/>
  <c r="I3627" i="3"/>
  <c r="H3627" i="3" s="1"/>
  <c r="A3629" i="3"/>
  <c r="L3629" i="3" l="1"/>
  <c r="F3629" i="3"/>
  <c r="J3629" i="3"/>
  <c r="D3629" i="3"/>
  <c r="K3629" i="3"/>
  <c r="E3629" i="3"/>
  <c r="C3628" i="3"/>
  <c r="B3628" i="3" s="1"/>
  <c r="I3628" i="3"/>
  <c r="H3628" i="3" s="1"/>
  <c r="A3630" i="3"/>
  <c r="L3630" i="3" l="1"/>
  <c r="F3630" i="3"/>
  <c r="J3630" i="3"/>
  <c r="D3630" i="3"/>
  <c r="K3630" i="3"/>
  <c r="E3630" i="3"/>
  <c r="I3629" i="3"/>
  <c r="H3629" i="3" s="1"/>
  <c r="C3629" i="3"/>
  <c r="B3629" i="3" s="1"/>
  <c r="A3631" i="3"/>
  <c r="L3631" i="3" l="1"/>
  <c r="F3631" i="3"/>
  <c r="J3631" i="3"/>
  <c r="D3631" i="3"/>
  <c r="K3631" i="3"/>
  <c r="E3631" i="3"/>
  <c r="I3630" i="3"/>
  <c r="H3630" i="3" s="1"/>
  <c r="A3632" i="3"/>
  <c r="C3630" i="3"/>
  <c r="B3630" i="3" s="1"/>
  <c r="L3632" i="3" l="1"/>
  <c r="F3632" i="3"/>
  <c r="J3632" i="3"/>
  <c r="D3632" i="3"/>
  <c r="K3632" i="3"/>
  <c r="E3632" i="3"/>
  <c r="I3631" i="3"/>
  <c r="H3631" i="3" s="1"/>
  <c r="A3633" i="3"/>
  <c r="C3631" i="3"/>
  <c r="B3631" i="3" s="1"/>
  <c r="L3633" i="3" l="1"/>
  <c r="F3633" i="3"/>
  <c r="J3633" i="3"/>
  <c r="D3633" i="3"/>
  <c r="K3633" i="3"/>
  <c r="E3633" i="3"/>
  <c r="C3632" i="3"/>
  <c r="B3632" i="3" s="1"/>
  <c r="I3632" i="3"/>
  <c r="H3632" i="3" s="1"/>
  <c r="A3634" i="3"/>
  <c r="L3634" i="3" l="1"/>
  <c r="F3634" i="3"/>
  <c r="J3634" i="3"/>
  <c r="D3634" i="3"/>
  <c r="K3634" i="3"/>
  <c r="E3634" i="3"/>
  <c r="I3633" i="3"/>
  <c r="H3633" i="3" s="1"/>
  <c r="C3633" i="3"/>
  <c r="B3633" i="3" s="1"/>
  <c r="A3635" i="3"/>
  <c r="L3635" i="3" l="1"/>
  <c r="F3635" i="3"/>
  <c r="J3635" i="3"/>
  <c r="D3635" i="3"/>
  <c r="K3635" i="3"/>
  <c r="E3635" i="3"/>
  <c r="C3634" i="3"/>
  <c r="B3634" i="3" s="1"/>
  <c r="I3634" i="3"/>
  <c r="H3634" i="3" s="1"/>
  <c r="A3636" i="3"/>
  <c r="L3636" i="3" l="1"/>
  <c r="F3636" i="3"/>
  <c r="J3636" i="3"/>
  <c r="D3636" i="3"/>
  <c r="K3636" i="3"/>
  <c r="E3636" i="3"/>
  <c r="I3635" i="3"/>
  <c r="H3635" i="3" s="1"/>
  <c r="C3635" i="3"/>
  <c r="B3635" i="3" s="1"/>
  <c r="A3637" i="3"/>
  <c r="L3637" i="3" l="1"/>
  <c r="F3637" i="3"/>
  <c r="J3637" i="3"/>
  <c r="D3637" i="3"/>
  <c r="K3637" i="3"/>
  <c r="E3637" i="3"/>
  <c r="C3636" i="3"/>
  <c r="B3636" i="3" s="1"/>
  <c r="I3636" i="3"/>
  <c r="H3636" i="3" s="1"/>
  <c r="A3638" i="3"/>
  <c r="L3638" i="3" l="1"/>
  <c r="F3638" i="3"/>
  <c r="J3638" i="3"/>
  <c r="D3638" i="3"/>
  <c r="K3638" i="3"/>
  <c r="E3638" i="3"/>
  <c r="I3637" i="3"/>
  <c r="H3637" i="3" s="1"/>
  <c r="C3637" i="3"/>
  <c r="B3637" i="3" s="1"/>
  <c r="A3639" i="3"/>
  <c r="L3639" i="3" l="1"/>
  <c r="F3639" i="3"/>
  <c r="J3639" i="3"/>
  <c r="D3639" i="3"/>
  <c r="K3639" i="3"/>
  <c r="E3639" i="3"/>
  <c r="C3638" i="3"/>
  <c r="B3638" i="3" s="1"/>
  <c r="I3638" i="3"/>
  <c r="H3638" i="3" s="1"/>
  <c r="A3640" i="3"/>
  <c r="L3640" i="3" l="1"/>
  <c r="F3640" i="3"/>
  <c r="J3640" i="3"/>
  <c r="D3640" i="3"/>
  <c r="K3640" i="3"/>
  <c r="E3640" i="3"/>
  <c r="C3639" i="3"/>
  <c r="B3639" i="3" s="1"/>
  <c r="A3641" i="3"/>
  <c r="I3639" i="3"/>
  <c r="H3639" i="3" s="1"/>
  <c r="L3641" i="3" l="1"/>
  <c r="F3641" i="3"/>
  <c r="J3641" i="3"/>
  <c r="D3641" i="3"/>
  <c r="K3641" i="3"/>
  <c r="E3641" i="3"/>
  <c r="A3642" i="3"/>
  <c r="I3640" i="3"/>
  <c r="H3640" i="3" s="1"/>
  <c r="C3640" i="3"/>
  <c r="B3640" i="3" s="1"/>
  <c r="L3642" i="3" l="1"/>
  <c r="F3642" i="3"/>
  <c r="J3642" i="3"/>
  <c r="D3642" i="3"/>
  <c r="K3642" i="3"/>
  <c r="E3642" i="3"/>
  <c r="I3641" i="3"/>
  <c r="H3641" i="3" s="1"/>
  <c r="C3641" i="3"/>
  <c r="B3641" i="3" s="1"/>
  <c r="A3643" i="3"/>
  <c r="L3643" i="3" l="1"/>
  <c r="F3643" i="3"/>
  <c r="J3643" i="3"/>
  <c r="D3643" i="3"/>
  <c r="K3643" i="3"/>
  <c r="E3643" i="3"/>
  <c r="I3642" i="3"/>
  <c r="H3642" i="3" s="1"/>
  <c r="C3642" i="3"/>
  <c r="B3642" i="3" s="1"/>
  <c r="A3644" i="3"/>
  <c r="L3644" i="3" l="1"/>
  <c r="F3644" i="3"/>
  <c r="J3644" i="3"/>
  <c r="D3644" i="3"/>
  <c r="K3644" i="3"/>
  <c r="E3644" i="3"/>
  <c r="I3643" i="3"/>
  <c r="H3643" i="3" s="1"/>
  <c r="C3643" i="3"/>
  <c r="B3643" i="3" s="1"/>
  <c r="A3645" i="3"/>
  <c r="L3645" i="3" l="1"/>
  <c r="F3645" i="3"/>
  <c r="J3645" i="3"/>
  <c r="D3645" i="3"/>
  <c r="K3645" i="3"/>
  <c r="E3645" i="3"/>
  <c r="C3644" i="3"/>
  <c r="B3644" i="3" s="1"/>
  <c r="A3646" i="3"/>
  <c r="I3644" i="3"/>
  <c r="H3644" i="3" s="1"/>
  <c r="L3646" i="3" l="1"/>
  <c r="F3646" i="3"/>
  <c r="J3646" i="3"/>
  <c r="D3646" i="3"/>
  <c r="K3646" i="3"/>
  <c r="E3646" i="3"/>
  <c r="C3645" i="3"/>
  <c r="B3645" i="3" s="1"/>
  <c r="I3645" i="3"/>
  <c r="H3645" i="3" s="1"/>
  <c r="A3647" i="3"/>
  <c r="L3647" i="3" l="1"/>
  <c r="F3647" i="3"/>
  <c r="J3647" i="3"/>
  <c r="D3647" i="3"/>
  <c r="K3647" i="3"/>
  <c r="E3647" i="3"/>
  <c r="I3646" i="3"/>
  <c r="H3646" i="3" s="1"/>
  <c r="C3646" i="3"/>
  <c r="B3646" i="3" s="1"/>
  <c r="A3648" i="3"/>
  <c r="L3648" i="3" l="1"/>
  <c r="F3648" i="3"/>
  <c r="D3648" i="3"/>
  <c r="E3648" i="3"/>
  <c r="J3648" i="3"/>
  <c r="K3648" i="3"/>
  <c r="I3647" i="3"/>
  <c r="H3647" i="3" s="1"/>
  <c r="A3649" i="3"/>
  <c r="C3647" i="3"/>
  <c r="B3647" i="3" s="1"/>
  <c r="L3649" i="3" l="1"/>
  <c r="F3649" i="3"/>
  <c r="J3649" i="3"/>
  <c r="D3649" i="3"/>
  <c r="K3649" i="3"/>
  <c r="E3649" i="3"/>
  <c r="C3648" i="3"/>
  <c r="B3648" i="3" s="1"/>
  <c r="I3648" i="3"/>
  <c r="H3648" i="3" s="1"/>
  <c r="A3650" i="3"/>
  <c r="L3650" i="3" l="1"/>
  <c r="F3650" i="3"/>
  <c r="J3650" i="3"/>
  <c r="D3650" i="3"/>
  <c r="K3650" i="3"/>
  <c r="E3650" i="3"/>
  <c r="C3649" i="3"/>
  <c r="B3649" i="3" s="1"/>
  <c r="I3649" i="3"/>
  <c r="H3649" i="3" s="1"/>
  <c r="A3651" i="3"/>
  <c r="L3651" i="3" l="1"/>
  <c r="F3651" i="3"/>
  <c r="D3651" i="3"/>
  <c r="J3651" i="3"/>
  <c r="E3651" i="3"/>
  <c r="K3651" i="3"/>
  <c r="C3650" i="3"/>
  <c r="B3650" i="3" s="1"/>
  <c r="I3650" i="3"/>
  <c r="H3650" i="3" s="1"/>
  <c r="A3652" i="3"/>
  <c r="L3652" i="3" l="1"/>
  <c r="F3652" i="3"/>
  <c r="J3652" i="3"/>
  <c r="D3652" i="3"/>
  <c r="K3652" i="3"/>
  <c r="E3652" i="3"/>
  <c r="I3651" i="3"/>
  <c r="H3651" i="3" s="1"/>
  <c r="A3653" i="3"/>
  <c r="C3651" i="3"/>
  <c r="B3651" i="3" s="1"/>
  <c r="L3653" i="3" l="1"/>
  <c r="F3653" i="3"/>
  <c r="J3653" i="3"/>
  <c r="D3653" i="3"/>
  <c r="K3653" i="3"/>
  <c r="E3653" i="3"/>
  <c r="C3652" i="3"/>
  <c r="B3652" i="3" s="1"/>
  <c r="I3652" i="3"/>
  <c r="H3652" i="3" s="1"/>
  <c r="A3654" i="3"/>
  <c r="L3654" i="3" l="1"/>
  <c r="F3654" i="3"/>
  <c r="J3654" i="3"/>
  <c r="D3654" i="3"/>
  <c r="K3654" i="3"/>
  <c r="E3654" i="3"/>
  <c r="C3653" i="3"/>
  <c r="B3653" i="3" s="1"/>
  <c r="I3653" i="3"/>
  <c r="H3653" i="3" s="1"/>
  <c r="A3655" i="3"/>
  <c r="L3655" i="3" l="1"/>
  <c r="F3655" i="3"/>
  <c r="J3655" i="3"/>
  <c r="D3655" i="3"/>
  <c r="K3655" i="3"/>
  <c r="E3655" i="3"/>
  <c r="I3654" i="3"/>
  <c r="H3654" i="3" s="1"/>
  <c r="C3654" i="3"/>
  <c r="B3654" i="3" s="1"/>
  <c r="A3656" i="3"/>
  <c r="L3656" i="3" l="1"/>
  <c r="F3656" i="3"/>
  <c r="J3656" i="3"/>
  <c r="D3656" i="3"/>
  <c r="K3656" i="3"/>
  <c r="E3656" i="3"/>
  <c r="C3655" i="3"/>
  <c r="B3655" i="3" s="1"/>
  <c r="I3655" i="3"/>
  <c r="H3655" i="3" s="1"/>
  <c r="A3657" i="3"/>
  <c r="L3657" i="3" l="1"/>
  <c r="F3657" i="3"/>
  <c r="J3657" i="3"/>
  <c r="D3657" i="3"/>
  <c r="K3657" i="3"/>
  <c r="E3657" i="3"/>
  <c r="I3656" i="3"/>
  <c r="H3656" i="3" s="1"/>
  <c r="C3656" i="3"/>
  <c r="B3656" i="3" s="1"/>
  <c r="A3658" i="3"/>
  <c r="L3658" i="3" l="1"/>
  <c r="F3658" i="3"/>
  <c r="J3658" i="3"/>
  <c r="D3658" i="3"/>
  <c r="K3658" i="3"/>
  <c r="E3658" i="3"/>
  <c r="I3657" i="3"/>
  <c r="H3657" i="3" s="1"/>
  <c r="C3657" i="3"/>
  <c r="B3657" i="3" s="1"/>
  <c r="A3659" i="3"/>
  <c r="L3659" i="3" l="1"/>
  <c r="F3659" i="3"/>
  <c r="J3659" i="3"/>
  <c r="D3659" i="3"/>
  <c r="K3659" i="3"/>
  <c r="E3659" i="3"/>
  <c r="C3658" i="3"/>
  <c r="B3658" i="3" s="1"/>
  <c r="I3658" i="3"/>
  <c r="H3658" i="3" s="1"/>
  <c r="A3660" i="3"/>
  <c r="L3660" i="3" l="1"/>
  <c r="F3660" i="3"/>
  <c r="J3660" i="3"/>
  <c r="D3660" i="3"/>
  <c r="K3660" i="3"/>
  <c r="E3660" i="3"/>
  <c r="I3659" i="3"/>
  <c r="H3659" i="3" s="1"/>
  <c r="C3659" i="3"/>
  <c r="B3659" i="3" s="1"/>
  <c r="A3661" i="3"/>
  <c r="L3661" i="3" l="1"/>
  <c r="F3661" i="3"/>
  <c r="J3661" i="3"/>
  <c r="D3661" i="3"/>
  <c r="K3661" i="3"/>
  <c r="E3661" i="3"/>
  <c r="I3660" i="3"/>
  <c r="H3660" i="3" s="1"/>
  <c r="C3660" i="3"/>
  <c r="B3660" i="3" s="1"/>
  <c r="A3662" i="3"/>
  <c r="L3662" i="3" l="1"/>
  <c r="F3662" i="3"/>
  <c r="J3662" i="3"/>
  <c r="D3662" i="3"/>
  <c r="K3662" i="3"/>
  <c r="E3662" i="3"/>
  <c r="I3661" i="3"/>
  <c r="H3661" i="3" s="1"/>
  <c r="C3661" i="3"/>
  <c r="B3661" i="3" s="1"/>
  <c r="A3663" i="3"/>
  <c r="L3663" i="3" l="1"/>
  <c r="F3663" i="3"/>
  <c r="J3663" i="3"/>
  <c r="D3663" i="3"/>
  <c r="K3663" i="3"/>
  <c r="E3663" i="3"/>
  <c r="I3662" i="3"/>
  <c r="H3662" i="3" s="1"/>
  <c r="A3664" i="3"/>
  <c r="C3662" i="3"/>
  <c r="B3662" i="3" s="1"/>
  <c r="L3664" i="3" l="1"/>
  <c r="F3664" i="3"/>
  <c r="J3664" i="3"/>
  <c r="D3664" i="3"/>
  <c r="K3664" i="3"/>
  <c r="E3664" i="3"/>
  <c r="I3663" i="3"/>
  <c r="H3663" i="3" s="1"/>
  <c r="C3663" i="3"/>
  <c r="B3663" i="3" s="1"/>
  <c r="A3665" i="3"/>
  <c r="L3665" i="3" l="1"/>
  <c r="F3665" i="3"/>
  <c r="J3665" i="3"/>
  <c r="D3665" i="3"/>
  <c r="K3665" i="3"/>
  <c r="E3665" i="3"/>
  <c r="C3664" i="3"/>
  <c r="B3664" i="3" s="1"/>
  <c r="I3664" i="3"/>
  <c r="H3664" i="3" s="1"/>
  <c r="A3666" i="3"/>
  <c r="L3666" i="3" l="1"/>
  <c r="F3666" i="3"/>
  <c r="J3666" i="3"/>
  <c r="D3666" i="3"/>
  <c r="K3666" i="3"/>
  <c r="E3666" i="3"/>
  <c r="I3665" i="3"/>
  <c r="H3665" i="3" s="1"/>
  <c r="C3665" i="3"/>
  <c r="B3665" i="3" s="1"/>
  <c r="A3667" i="3"/>
  <c r="L3667" i="3" l="1"/>
  <c r="F3667" i="3"/>
  <c r="J3667" i="3"/>
  <c r="D3667" i="3"/>
  <c r="K3667" i="3"/>
  <c r="E3667" i="3"/>
  <c r="I3666" i="3"/>
  <c r="H3666" i="3" s="1"/>
  <c r="A3668" i="3"/>
  <c r="C3666" i="3"/>
  <c r="B3666" i="3" s="1"/>
  <c r="L3668" i="3" l="1"/>
  <c r="F3668" i="3"/>
  <c r="J3668" i="3"/>
  <c r="D3668" i="3"/>
  <c r="K3668" i="3"/>
  <c r="E3668" i="3"/>
  <c r="C3667" i="3"/>
  <c r="B3667" i="3" s="1"/>
  <c r="I3667" i="3"/>
  <c r="H3667" i="3" s="1"/>
  <c r="A3669" i="3"/>
  <c r="L3669" i="3" l="1"/>
  <c r="F3669" i="3"/>
  <c r="J3669" i="3"/>
  <c r="D3669" i="3"/>
  <c r="K3669" i="3"/>
  <c r="E3669" i="3"/>
  <c r="C3668" i="3"/>
  <c r="B3668" i="3" s="1"/>
  <c r="I3668" i="3"/>
  <c r="H3668" i="3" s="1"/>
  <c r="A3670" i="3"/>
  <c r="L3670" i="3" l="1"/>
  <c r="F3670" i="3"/>
  <c r="J3670" i="3"/>
  <c r="D3670" i="3"/>
  <c r="K3670" i="3"/>
  <c r="E3670" i="3"/>
  <c r="C3669" i="3"/>
  <c r="B3669" i="3" s="1"/>
  <c r="I3669" i="3"/>
  <c r="H3669" i="3" s="1"/>
  <c r="A3671" i="3"/>
  <c r="L3671" i="3" l="1"/>
  <c r="F3671" i="3"/>
  <c r="J3671" i="3"/>
  <c r="D3671" i="3"/>
  <c r="K3671" i="3"/>
  <c r="E3671" i="3"/>
  <c r="C3670" i="3"/>
  <c r="B3670" i="3" s="1"/>
  <c r="I3670" i="3"/>
  <c r="H3670" i="3" s="1"/>
  <c r="A3672" i="3"/>
  <c r="L3672" i="3" l="1"/>
  <c r="F3672" i="3"/>
  <c r="J3672" i="3"/>
  <c r="D3672" i="3"/>
  <c r="K3672" i="3"/>
  <c r="E3672" i="3"/>
  <c r="I3671" i="3"/>
  <c r="H3671" i="3" s="1"/>
  <c r="C3671" i="3"/>
  <c r="B3671" i="3" s="1"/>
  <c r="A3673" i="3"/>
  <c r="L3673" i="3" l="1"/>
  <c r="F3673" i="3"/>
  <c r="J3673" i="3"/>
  <c r="D3673" i="3"/>
  <c r="K3673" i="3"/>
  <c r="E3673" i="3"/>
  <c r="I3672" i="3"/>
  <c r="H3672" i="3" s="1"/>
  <c r="A3674" i="3"/>
  <c r="C3672" i="3"/>
  <c r="B3672" i="3" s="1"/>
  <c r="L3674" i="3" l="1"/>
  <c r="F3674" i="3"/>
  <c r="J3674" i="3"/>
  <c r="D3674" i="3"/>
  <c r="K3674" i="3"/>
  <c r="E3674" i="3"/>
  <c r="I3673" i="3"/>
  <c r="H3673" i="3" s="1"/>
  <c r="C3673" i="3"/>
  <c r="B3673" i="3" s="1"/>
  <c r="A3675" i="3"/>
  <c r="L3675" i="3" l="1"/>
  <c r="F3675" i="3"/>
  <c r="J3675" i="3"/>
  <c r="D3675" i="3"/>
  <c r="K3675" i="3"/>
  <c r="E3675" i="3"/>
  <c r="I3674" i="3"/>
  <c r="H3674" i="3" s="1"/>
  <c r="A3676" i="3"/>
  <c r="C3674" i="3"/>
  <c r="B3674" i="3" s="1"/>
  <c r="L3676" i="3" l="1"/>
  <c r="F3676" i="3"/>
  <c r="J3676" i="3"/>
  <c r="D3676" i="3"/>
  <c r="K3676" i="3"/>
  <c r="E3676" i="3"/>
  <c r="C3675" i="3"/>
  <c r="B3675" i="3" s="1"/>
  <c r="I3675" i="3"/>
  <c r="H3675" i="3" s="1"/>
  <c r="A3677" i="3"/>
  <c r="L3677" i="3" l="1"/>
  <c r="F3677" i="3"/>
  <c r="J3677" i="3"/>
  <c r="D3677" i="3"/>
  <c r="K3677" i="3"/>
  <c r="E3677" i="3"/>
  <c r="C3676" i="3"/>
  <c r="B3676" i="3" s="1"/>
  <c r="I3676" i="3"/>
  <c r="H3676" i="3" s="1"/>
  <c r="A3678" i="3"/>
  <c r="L3678" i="3" l="1"/>
  <c r="F3678" i="3"/>
  <c r="J3678" i="3"/>
  <c r="D3678" i="3"/>
  <c r="K3678" i="3"/>
  <c r="E3678" i="3"/>
  <c r="I3677" i="3"/>
  <c r="H3677" i="3" s="1"/>
  <c r="C3677" i="3"/>
  <c r="B3677" i="3" s="1"/>
  <c r="A3679" i="3"/>
  <c r="L3679" i="3" l="1"/>
  <c r="F3679" i="3"/>
  <c r="J3679" i="3"/>
  <c r="D3679" i="3"/>
  <c r="K3679" i="3"/>
  <c r="E3679" i="3"/>
  <c r="I3678" i="3"/>
  <c r="H3678" i="3" s="1"/>
  <c r="C3678" i="3"/>
  <c r="B3678" i="3" s="1"/>
  <c r="A3680" i="3"/>
  <c r="L3680" i="3" l="1"/>
  <c r="F3680" i="3"/>
  <c r="J3680" i="3"/>
  <c r="D3680" i="3"/>
  <c r="K3680" i="3"/>
  <c r="E3680" i="3"/>
  <c r="I3679" i="3"/>
  <c r="H3679" i="3" s="1"/>
  <c r="A3681" i="3"/>
  <c r="C3679" i="3"/>
  <c r="B3679" i="3" s="1"/>
  <c r="L3681" i="3" l="1"/>
  <c r="F3681" i="3"/>
  <c r="D3681" i="3"/>
  <c r="E3681" i="3"/>
  <c r="J3681" i="3"/>
  <c r="K3681" i="3"/>
  <c r="I3680" i="3"/>
  <c r="H3680" i="3" s="1"/>
  <c r="A3682" i="3"/>
  <c r="C3680" i="3"/>
  <c r="B3680" i="3" s="1"/>
  <c r="L3682" i="3" l="1"/>
  <c r="F3682" i="3"/>
  <c r="J3682" i="3"/>
  <c r="D3682" i="3"/>
  <c r="K3682" i="3"/>
  <c r="E3682" i="3"/>
  <c r="C3681" i="3"/>
  <c r="B3681" i="3" s="1"/>
  <c r="I3681" i="3"/>
  <c r="H3681" i="3" s="1"/>
  <c r="A3683" i="3"/>
  <c r="L3683" i="3" l="1"/>
  <c r="F3683" i="3"/>
  <c r="D3683" i="3"/>
  <c r="J3683" i="3"/>
  <c r="E3683" i="3"/>
  <c r="K3683" i="3"/>
  <c r="I3682" i="3"/>
  <c r="H3682" i="3" s="1"/>
  <c r="C3682" i="3"/>
  <c r="B3682" i="3" s="1"/>
  <c r="A3684" i="3"/>
  <c r="L3684" i="3" l="1"/>
  <c r="F3684" i="3"/>
  <c r="J3684" i="3"/>
  <c r="D3684" i="3"/>
  <c r="K3684" i="3"/>
  <c r="E3684" i="3"/>
  <c r="I3683" i="3"/>
  <c r="H3683" i="3" s="1"/>
  <c r="A3685" i="3"/>
  <c r="C3683" i="3"/>
  <c r="B3683" i="3" s="1"/>
  <c r="L3685" i="3" l="1"/>
  <c r="F3685" i="3"/>
  <c r="J3685" i="3"/>
  <c r="D3685" i="3"/>
  <c r="K3685" i="3"/>
  <c r="E3685" i="3"/>
  <c r="C3684" i="3"/>
  <c r="B3684" i="3" s="1"/>
  <c r="I3684" i="3"/>
  <c r="H3684" i="3" s="1"/>
  <c r="A3686" i="3"/>
  <c r="L3686" i="3" l="1"/>
  <c r="F3686" i="3"/>
  <c r="J3686" i="3"/>
  <c r="D3686" i="3"/>
  <c r="K3686" i="3"/>
  <c r="E3686" i="3"/>
  <c r="I3685" i="3"/>
  <c r="H3685" i="3" s="1"/>
  <c r="C3685" i="3"/>
  <c r="B3685" i="3" s="1"/>
  <c r="A3687" i="3"/>
  <c r="L3687" i="3" l="1"/>
  <c r="F3687" i="3"/>
  <c r="J3687" i="3"/>
  <c r="D3687" i="3"/>
  <c r="K3687" i="3"/>
  <c r="E3687" i="3"/>
  <c r="I3686" i="3"/>
  <c r="H3686" i="3" s="1"/>
  <c r="C3686" i="3"/>
  <c r="B3686" i="3" s="1"/>
  <c r="A3688" i="3"/>
  <c r="L3688" i="3" l="1"/>
  <c r="F3688" i="3"/>
  <c r="J3688" i="3"/>
  <c r="D3688" i="3"/>
  <c r="K3688" i="3"/>
  <c r="E3688" i="3"/>
  <c r="I3687" i="3"/>
  <c r="H3687" i="3" s="1"/>
  <c r="C3687" i="3"/>
  <c r="B3687" i="3" s="1"/>
  <c r="A3689" i="3"/>
  <c r="L3689" i="3" l="1"/>
  <c r="F3689" i="3"/>
  <c r="J3689" i="3"/>
  <c r="D3689" i="3"/>
  <c r="K3689" i="3"/>
  <c r="E3689" i="3"/>
  <c r="I3688" i="3"/>
  <c r="H3688" i="3" s="1"/>
  <c r="A3690" i="3"/>
  <c r="C3688" i="3"/>
  <c r="B3688" i="3" s="1"/>
  <c r="L3690" i="3" l="1"/>
  <c r="F3690" i="3"/>
  <c r="J3690" i="3"/>
  <c r="D3690" i="3"/>
  <c r="K3690" i="3"/>
  <c r="E3690" i="3"/>
  <c r="C3689" i="3"/>
  <c r="B3689" i="3" s="1"/>
  <c r="I3689" i="3"/>
  <c r="H3689" i="3" s="1"/>
  <c r="A3691" i="3"/>
  <c r="L3691" i="3" l="1"/>
  <c r="F3691" i="3"/>
  <c r="J3691" i="3"/>
  <c r="D3691" i="3"/>
  <c r="K3691" i="3"/>
  <c r="E3691" i="3"/>
  <c r="C3690" i="3"/>
  <c r="B3690" i="3" s="1"/>
  <c r="I3690" i="3"/>
  <c r="H3690" i="3" s="1"/>
  <c r="A3692" i="3"/>
  <c r="L3692" i="3" l="1"/>
  <c r="F3692" i="3"/>
  <c r="J3692" i="3"/>
  <c r="D3692" i="3"/>
  <c r="K3692" i="3"/>
  <c r="E3692" i="3"/>
  <c r="I3691" i="3"/>
  <c r="H3691" i="3" s="1"/>
  <c r="C3691" i="3"/>
  <c r="B3691" i="3" s="1"/>
  <c r="A3693" i="3"/>
  <c r="L3693" i="3" l="1"/>
  <c r="F3693" i="3"/>
  <c r="J3693" i="3"/>
  <c r="D3693" i="3"/>
  <c r="K3693" i="3"/>
  <c r="E3693" i="3"/>
  <c r="C3692" i="3"/>
  <c r="B3692" i="3" s="1"/>
  <c r="I3692" i="3"/>
  <c r="H3692" i="3" s="1"/>
  <c r="A3694" i="3"/>
  <c r="L3694" i="3" l="1"/>
  <c r="F3694" i="3"/>
  <c r="J3694" i="3"/>
  <c r="D3694" i="3"/>
  <c r="K3694" i="3"/>
  <c r="E3694" i="3"/>
  <c r="C3693" i="3"/>
  <c r="B3693" i="3" s="1"/>
  <c r="I3693" i="3"/>
  <c r="H3693" i="3" s="1"/>
  <c r="A3695" i="3"/>
  <c r="L3695" i="3" l="1"/>
  <c r="F3695" i="3"/>
  <c r="J3695" i="3"/>
  <c r="D3695" i="3"/>
  <c r="K3695" i="3"/>
  <c r="E3695" i="3"/>
  <c r="C3694" i="3"/>
  <c r="B3694" i="3" s="1"/>
  <c r="I3694" i="3"/>
  <c r="H3694" i="3" s="1"/>
  <c r="A3696" i="3"/>
  <c r="L3696" i="3" l="1"/>
  <c r="F3696" i="3"/>
  <c r="J3696" i="3"/>
  <c r="D3696" i="3"/>
  <c r="K3696" i="3"/>
  <c r="E3696" i="3"/>
  <c r="C3695" i="3"/>
  <c r="B3695" i="3" s="1"/>
  <c r="I3695" i="3"/>
  <c r="H3695" i="3" s="1"/>
  <c r="A3697" i="3"/>
  <c r="L3697" i="3" l="1"/>
  <c r="F3697" i="3"/>
  <c r="J3697" i="3"/>
  <c r="D3697" i="3"/>
  <c r="K3697" i="3"/>
  <c r="E3697" i="3"/>
  <c r="I3696" i="3"/>
  <c r="H3696" i="3" s="1"/>
  <c r="C3696" i="3"/>
  <c r="B3696" i="3" s="1"/>
  <c r="A3698" i="3"/>
  <c r="L3698" i="3" l="1"/>
  <c r="F3698" i="3"/>
  <c r="J3698" i="3"/>
  <c r="D3698" i="3"/>
  <c r="K3698" i="3"/>
  <c r="E3698" i="3"/>
  <c r="C3697" i="3"/>
  <c r="B3697" i="3" s="1"/>
  <c r="I3697" i="3"/>
  <c r="H3697" i="3" s="1"/>
  <c r="A3699" i="3"/>
  <c r="L3699" i="3" l="1"/>
  <c r="F3699" i="3"/>
  <c r="J3699" i="3"/>
  <c r="D3699" i="3"/>
  <c r="K3699" i="3"/>
  <c r="E3699" i="3"/>
  <c r="I3698" i="3"/>
  <c r="H3698" i="3" s="1"/>
  <c r="C3698" i="3"/>
  <c r="B3698" i="3" s="1"/>
  <c r="A3700" i="3"/>
  <c r="L3700" i="3" l="1"/>
  <c r="F3700" i="3"/>
  <c r="J3700" i="3"/>
  <c r="D3700" i="3"/>
  <c r="K3700" i="3"/>
  <c r="E3700" i="3"/>
  <c r="C3699" i="3"/>
  <c r="B3699" i="3" s="1"/>
  <c r="I3699" i="3"/>
  <c r="H3699" i="3" s="1"/>
  <c r="A3701" i="3"/>
  <c r="L3701" i="3" l="1"/>
  <c r="F3701" i="3"/>
  <c r="J3701" i="3"/>
  <c r="D3701" i="3"/>
  <c r="K3701" i="3"/>
  <c r="E3701" i="3"/>
  <c r="I3700" i="3"/>
  <c r="H3700" i="3" s="1"/>
  <c r="C3700" i="3"/>
  <c r="B3700" i="3" s="1"/>
  <c r="A3702" i="3"/>
  <c r="L3702" i="3" l="1"/>
  <c r="F3702" i="3"/>
  <c r="J3702" i="3"/>
  <c r="D3702" i="3"/>
  <c r="K3702" i="3"/>
  <c r="E3702" i="3"/>
  <c r="I3701" i="3"/>
  <c r="H3701" i="3" s="1"/>
  <c r="A3703" i="3"/>
  <c r="C3701" i="3"/>
  <c r="B3701" i="3" s="1"/>
  <c r="L3703" i="3" l="1"/>
  <c r="F3703" i="3"/>
  <c r="J3703" i="3"/>
  <c r="D3703" i="3"/>
  <c r="K3703" i="3"/>
  <c r="E3703" i="3"/>
  <c r="I3702" i="3"/>
  <c r="H3702" i="3" s="1"/>
  <c r="C3702" i="3"/>
  <c r="B3702" i="3" s="1"/>
  <c r="A3704" i="3"/>
  <c r="L3704" i="3" l="1"/>
  <c r="F3704" i="3"/>
  <c r="J3704" i="3"/>
  <c r="D3704" i="3"/>
  <c r="K3704" i="3"/>
  <c r="E3704" i="3"/>
  <c r="I3703" i="3"/>
  <c r="H3703" i="3" s="1"/>
  <c r="A3705" i="3"/>
  <c r="C3703" i="3"/>
  <c r="B3703" i="3" s="1"/>
  <c r="L3705" i="3" l="1"/>
  <c r="F3705" i="3"/>
  <c r="J3705" i="3"/>
  <c r="D3705" i="3"/>
  <c r="K3705" i="3"/>
  <c r="E3705" i="3"/>
  <c r="C3704" i="3"/>
  <c r="B3704" i="3" s="1"/>
  <c r="I3704" i="3"/>
  <c r="H3704" i="3" s="1"/>
  <c r="A3706" i="3"/>
  <c r="L3706" i="3" l="1"/>
  <c r="F3706" i="3"/>
  <c r="J3706" i="3"/>
  <c r="D3706" i="3"/>
  <c r="K3706" i="3"/>
  <c r="E3706" i="3"/>
  <c r="I3705" i="3"/>
  <c r="H3705" i="3" s="1"/>
  <c r="C3705" i="3"/>
  <c r="B3705" i="3" s="1"/>
  <c r="A3707" i="3"/>
  <c r="L3707" i="3" l="1"/>
  <c r="F3707" i="3"/>
  <c r="J3707" i="3"/>
  <c r="D3707" i="3"/>
  <c r="K3707" i="3"/>
  <c r="E3707" i="3"/>
  <c r="I3706" i="3"/>
  <c r="H3706" i="3" s="1"/>
  <c r="C3706" i="3"/>
  <c r="B3706" i="3" s="1"/>
  <c r="A3708" i="3"/>
  <c r="L3708" i="3" l="1"/>
  <c r="F3708" i="3"/>
  <c r="J3708" i="3"/>
  <c r="D3708" i="3"/>
  <c r="K3708" i="3"/>
  <c r="E3708" i="3"/>
  <c r="I3707" i="3"/>
  <c r="H3707" i="3" s="1"/>
  <c r="C3707" i="3"/>
  <c r="B3707" i="3" s="1"/>
  <c r="A3709" i="3"/>
  <c r="L3709" i="3" l="1"/>
  <c r="F3709" i="3"/>
  <c r="J3709" i="3"/>
  <c r="K3709" i="3"/>
  <c r="D3709" i="3"/>
  <c r="E3709" i="3"/>
  <c r="C3708" i="3"/>
  <c r="B3708" i="3" s="1"/>
  <c r="A3710" i="3"/>
  <c r="I3708" i="3"/>
  <c r="H3708" i="3" s="1"/>
  <c r="L3710" i="3" l="1"/>
  <c r="F3710" i="3"/>
  <c r="J3710" i="3"/>
  <c r="D3710" i="3"/>
  <c r="K3710" i="3"/>
  <c r="E3710" i="3"/>
  <c r="I3709" i="3"/>
  <c r="H3709" i="3" s="1"/>
  <c r="C3709" i="3"/>
  <c r="B3709" i="3" s="1"/>
  <c r="A3711" i="3"/>
  <c r="L3711" i="3" l="1"/>
  <c r="F3711" i="3"/>
  <c r="D3711" i="3"/>
  <c r="J3711" i="3"/>
  <c r="E3711" i="3"/>
  <c r="K3711" i="3"/>
  <c r="C3710" i="3"/>
  <c r="B3710" i="3" s="1"/>
  <c r="I3710" i="3"/>
  <c r="H3710" i="3" s="1"/>
  <c r="A3712" i="3"/>
  <c r="L3712" i="3" l="1"/>
  <c r="F3712" i="3"/>
  <c r="J3712" i="3"/>
  <c r="D3712" i="3"/>
  <c r="K3712" i="3"/>
  <c r="E3712" i="3"/>
  <c r="I3711" i="3"/>
  <c r="H3711" i="3" s="1"/>
  <c r="C3711" i="3"/>
  <c r="B3711" i="3" s="1"/>
  <c r="A3713" i="3"/>
  <c r="L3713" i="3" l="1"/>
  <c r="F3713" i="3"/>
  <c r="J3713" i="3"/>
  <c r="D3713" i="3"/>
  <c r="K3713" i="3"/>
  <c r="E3713" i="3"/>
  <c r="I3712" i="3"/>
  <c r="H3712" i="3" s="1"/>
  <c r="C3712" i="3"/>
  <c r="B3712" i="3" s="1"/>
  <c r="A3714" i="3"/>
  <c r="L3714" i="3" l="1"/>
  <c r="F3714" i="3"/>
  <c r="D3714" i="3"/>
  <c r="E3714" i="3"/>
  <c r="J3714" i="3"/>
  <c r="K3714" i="3"/>
  <c r="C3713" i="3"/>
  <c r="B3713" i="3" s="1"/>
  <c r="I3713" i="3"/>
  <c r="H3713" i="3" s="1"/>
  <c r="A3715" i="3"/>
  <c r="L3715" i="3" l="1"/>
  <c r="F3715" i="3"/>
  <c r="J3715" i="3"/>
  <c r="D3715" i="3"/>
  <c r="K3715" i="3"/>
  <c r="E3715" i="3"/>
  <c r="I3714" i="3"/>
  <c r="H3714" i="3" s="1"/>
  <c r="C3714" i="3"/>
  <c r="B3714" i="3" s="1"/>
  <c r="A3716" i="3"/>
  <c r="L3716" i="3" l="1"/>
  <c r="F3716" i="3"/>
  <c r="J3716" i="3"/>
  <c r="D3716" i="3"/>
  <c r="K3716" i="3"/>
  <c r="E3716" i="3"/>
  <c r="I3715" i="3"/>
  <c r="H3715" i="3" s="1"/>
  <c r="C3715" i="3"/>
  <c r="B3715" i="3" s="1"/>
  <c r="A3717" i="3"/>
  <c r="L3717" i="3" l="1"/>
  <c r="F3717" i="3"/>
  <c r="J3717" i="3"/>
  <c r="D3717" i="3"/>
  <c r="K3717" i="3"/>
  <c r="E3717" i="3"/>
  <c r="I3716" i="3"/>
  <c r="H3716" i="3" s="1"/>
  <c r="C3716" i="3"/>
  <c r="B3716" i="3" s="1"/>
  <c r="A3718" i="3"/>
  <c r="L3718" i="3" l="1"/>
  <c r="F3718" i="3"/>
  <c r="J3718" i="3"/>
  <c r="D3718" i="3"/>
  <c r="K3718" i="3"/>
  <c r="E3718" i="3"/>
  <c r="I3717" i="3"/>
  <c r="H3717" i="3" s="1"/>
  <c r="A3719" i="3"/>
  <c r="C3717" i="3"/>
  <c r="B3717" i="3" s="1"/>
  <c r="L3719" i="3" l="1"/>
  <c r="F3719" i="3"/>
  <c r="J3719" i="3"/>
  <c r="D3719" i="3"/>
  <c r="K3719" i="3"/>
  <c r="E3719" i="3"/>
  <c r="C3718" i="3"/>
  <c r="B3718" i="3" s="1"/>
  <c r="I3718" i="3"/>
  <c r="H3718" i="3" s="1"/>
  <c r="A3720" i="3"/>
  <c r="L3720" i="3" l="1"/>
  <c r="F3720" i="3"/>
  <c r="J3720" i="3"/>
  <c r="D3720" i="3"/>
  <c r="K3720" i="3"/>
  <c r="E3720" i="3"/>
  <c r="I3719" i="3"/>
  <c r="H3719" i="3" s="1"/>
  <c r="C3719" i="3"/>
  <c r="B3719" i="3" s="1"/>
  <c r="A3721" i="3"/>
  <c r="L3721" i="3" l="1"/>
  <c r="F3721" i="3"/>
  <c r="J3721" i="3"/>
  <c r="D3721" i="3"/>
  <c r="K3721" i="3"/>
  <c r="E3721" i="3"/>
  <c r="C3720" i="3"/>
  <c r="B3720" i="3" s="1"/>
  <c r="I3720" i="3"/>
  <c r="H3720" i="3" s="1"/>
  <c r="A3722" i="3"/>
  <c r="L3722" i="3" l="1"/>
  <c r="F3722" i="3"/>
  <c r="J3722" i="3"/>
  <c r="D3722" i="3"/>
  <c r="K3722" i="3"/>
  <c r="E3722" i="3"/>
  <c r="I3721" i="3"/>
  <c r="H3721" i="3" s="1"/>
  <c r="C3721" i="3"/>
  <c r="B3721" i="3" s="1"/>
  <c r="A3723" i="3"/>
  <c r="L3723" i="3" l="1"/>
  <c r="F3723" i="3"/>
  <c r="J3723" i="3"/>
  <c r="D3723" i="3"/>
  <c r="K3723" i="3"/>
  <c r="E3723" i="3"/>
  <c r="A3724" i="3"/>
  <c r="C3722" i="3"/>
  <c r="B3722" i="3" s="1"/>
  <c r="I3722" i="3"/>
  <c r="H3722" i="3" s="1"/>
  <c r="L3724" i="3" l="1"/>
  <c r="F3724" i="3"/>
  <c r="J3724" i="3"/>
  <c r="D3724" i="3"/>
  <c r="K3724" i="3"/>
  <c r="E3724" i="3"/>
  <c r="C3723" i="3"/>
  <c r="B3723" i="3" s="1"/>
  <c r="A3725" i="3"/>
  <c r="I3723" i="3"/>
  <c r="H3723" i="3" s="1"/>
  <c r="L3725" i="3" l="1"/>
  <c r="F3725" i="3"/>
  <c r="J3725" i="3"/>
  <c r="D3725" i="3"/>
  <c r="K3725" i="3"/>
  <c r="E3725" i="3"/>
  <c r="A3726" i="3"/>
  <c r="I3724" i="3"/>
  <c r="H3724" i="3" s="1"/>
  <c r="C3724" i="3"/>
  <c r="B3724" i="3" s="1"/>
  <c r="L3726" i="3" l="1"/>
  <c r="F3726" i="3"/>
  <c r="J3726" i="3"/>
  <c r="D3726" i="3"/>
  <c r="K3726" i="3"/>
  <c r="E3726" i="3"/>
  <c r="I3725" i="3"/>
  <c r="H3725" i="3" s="1"/>
  <c r="C3725" i="3"/>
  <c r="B3725" i="3" s="1"/>
  <c r="A3727" i="3"/>
  <c r="L3727" i="3" l="1"/>
  <c r="F3727" i="3"/>
  <c r="J3727" i="3"/>
  <c r="D3727" i="3"/>
  <c r="K3727" i="3"/>
  <c r="E3727" i="3"/>
  <c r="I3726" i="3"/>
  <c r="H3726" i="3" s="1"/>
  <c r="C3726" i="3"/>
  <c r="B3726" i="3" s="1"/>
  <c r="A3728" i="3"/>
  <c r="L3728" i="3" l="1"/>
  <c r="F3728" i="3"/>
  <c r="J3728" i="3"/>
  <c r="D3728" i="3"/>
  <c r="K3728" i="3"/>
  <c r="E3728" i="3"/>
  <c r="C3727" i="3"/>
  <c r="B3727" i="3" s="1"/>
  <c r="I3727" i="3"/>
  <c r="H3727" i="3" s="1"/>
  <c r="A3729" i="3"/>
  <c r="L3729" i="3" l="1"/>
  <c r="F3729" i="3"/>
  <c r="J3729" i="3"/>
  <c r="D3729" i="3"/>
  <c r="K3729" i="3"/>
  <c r="E3729" i="3"/>
  <c r="I3728" i="3"/>
  <c r="H3728" i="3" s="1"/>
  <c r="C3728" i="3"/>
  <c r="B3728" i="3" s="1"/>
  <c r="A3730" i="3"/>
  <c r="L3730" i="3" l="1"/>
  <c r="F3730" i="3"/>
  <c r="J3730" i="3"/>
  <c r="D3730" i="3"/>
  <c r="K3730" i="3"/>
  <c r="E3730" i="3"/>
  <c r="I3729" i="3"/>
  <c r="H3729" i="3" s="1"/>
  <c r="A3731" i="3"/>
  <c r="C3729" i="3"/>
  <c r="B3729" i="3" s="1"/>
  <c r="L3731" i="3" l="1"/>
  <c r="F3731" i="3"/>
  <c r="J3731" i="3"/>
  <c r="D3731" i="3"/>
  <c r="K3731" i="3"/>
  <c r="E3731" i="3"/>
  <c r="I3730" i="3"/>
  <c r="H3730" i="3" s="1"/>
  <c r="C3730" i="3"/>
  <c r="B3730" i="3" s="1"/>
  <c r="A3732" i="3"/>
  <c r="L3732" i="3" l="1"/>
  <c r="F3732" i="3"/>
  <c r="J3732" i="3"/>
  <c r="D3732" i="3"/>
  <c r="K3732" i="3"/>
  <c r="E3732" i="3"/>
  <c r="C3731" i="3"/>
  <c r="B3731" i="3" s="1"/>
  <c r="I3731" i="3"/>
  <c r="H3731" i="3" s="1"/>
  <c r="A3733" i="3"/>
  <c r="L3733" i="3" l="1"/>
  <c r="F3733" i="3"/>
  <c r="J3733" i="3"/>
  <c r="D3733" i="3"/>
  <c r="K3733" i="3"/>
  <c r="E3733" i="3"/>
  <c r="C3732" i="3"/>
  <c r="B3732" i="3" s="1"/>
  <c r="I3732" i="3"/>
  <c r="H3732" i="3" s="1"/>
  <c r="A3734" i="3"/>
  <c r="L3734" i="3" l="1"/>
  <c r="F3734" i="3"/>
  <c r="J3734" i="3"/>
  <c r="D3734" i="3"/>
  <c r="K3734" i="3"/>
  <c r="E3734" i="3"/>
  <c r="C3733" i="3"/>
  <c r="B3733" i="3" s="1"/>
  <c r="A3735" i="3"/>
  <c r="I3733" i="3"/>
  <c r="H3733" i="3" s="1"/>
  <c r="L3735" i="3" l="1"/>
  <c r="F3735" i="3"/>
  <c r="J3735" i="3"/>
  <c r="D3735" i="3"/>
  <c r="K3735" i="3"/>
  <c r="E3735" i="3"/>
  <c r="C3734" i="3"/>
  <c r="B3734" i="3" s="1"/>
  <c r="I3734" i="3"/>
  <c r="H3734" i="3" s="1"/>
  <c r="A3736" i="3"/>
  <c r="L3736" i="3" l="1"/>
  <c r="F3736" i="3"/>
  <c r="J3736" i="3"/>
  <c r="D3736" i="3"/>
  <c r="K3736" i="3"/>
  <c r="E3736" i="3"/>
  <c r="C3735" i="3"/>
  <c r="B3735" i="3" s="1"/>
  <c r="I3735" i="3"/>
  <c r="H3735" i="3" s="1"/>
  <c r="A3737" i="3"/>
  <c r="L3737" i="3" l="1"/>
  <c r="F3737" i="3"/>
  <c r="J3737" i="3"/>
  <c r="D3737" i="3"/>
  <c r="K3737" i="3"/>
  <c r="E3737" i="3"/>
  <c r="I3736" i="3"/>
  <c r="H3736" i="3" s="1"/>
  <c r="C3736" i="3"/>
  <c r="B3736" i="3" s="1"/>
  <c r="A3738" i="3"/>
  <c r="L3738" i="3" l="1"/>
  <c r="F3738" i="3"/>
  <c r="J3738" i="3"/>
  <c r="D3738" i="3"/>
  <c r="K3738" i="3"/>
  <c r="E3738" i="3"/>
  <c r="I3737" i="3"/>
  <c r="H3737" i="3" s="1"/>
  <c r="C3737" i="3"/>
  <c r="B3737" i="3" s="1"/>
  <c r="A3739" i="3"/>
  <c r="L3739" i="3" l="1"/>
  <c r="F3739" i="3"/>
  <c r="J3739" i="3"/>
  <c r="D3739" i="3"/>
  <c r="K3739" i="3"/>
  <c r="E3739" i="3"/>
  <c r="C3738" i="3"/>
  <c r="B3738" i="3" s="1"/>
  <c r="A3740" i="3"/>
  <c r="I3738" i="3"/>
  <c r="H3738" i="3" s="1"/>
  <c r="L3740" i="3" l="1"/>
  <c r="F3740" i="3"/>
  <c r="D3740" i="3"/>
  <c r="J3740" i="3"/>
  <c r="E3740" i="3"/>
  <c r="K3740" i="3"/>
  <c r="C3739" i="3"/>
  <c r="B3739" i="3" s="1"/>
  <c r="I3739" i="3"/>
  <c r="H3739" i="3" s="1"/>
  <c r="A3741" i="3"/>
  <c r="L3741" i="3" l="1"/>
  <c r="F3741" i="3"/>
  <c r="J3741" i="3"/>
  <c r="D3741" i="3"/>
  <c r="K3741" i="3"/>
  <c r="E3741" i="3"/>
  <c r="I3740" i="3"/>
  <c r="H3740" i="3" s="1"/>
  <c r="C3740" i="3"/>
  <c r="B3740" i="3" s="1"/>
  <c r="A3742" i="3"/>
  <c r="L3742" i="3" l="1"/>
  <c r="F3742" i="3"/>
  <c r="D3742" i="3"/>
  <c r="J3742" i="3"/>
  <c r="E3742" i="3"/>
  <c r="K3742" i="3"/>
  <c r="C3741" i="3"/>
  <c r="B3741" i="3" s="1"/>
  <c r="I3741" i="3"/>
  <c r="H3741" i="3" s="1"/>
  <c r="A3743" i="3"/>
  <c r="L3743" i="3" l="1"/>
  <c r="F3743" i="3"/>
  <c r="J3743" i="3"/>
  <c r="D3743" i="3"/>
  <c r="K3743" i="3"/>
  <c r="E3743" i="3"/>
  <c r="C3742" i="3"/>
  <c r="B3742" i="3" s="1"/>
  <c r="I3742" i="3"/>
  <c r="H3742" i="3" s="1"/>
  <c r="A3744" i="3"/>
  <c r="L3744" i="3" l="1"/>
  <c r="F3744" i="3"/>
  <c r="J3744" i="3"/>
  <c r="D3744" i="3"/>
  <c r="K3744" i="3"/>
  <c r="E3744" i="3"/>
  <c r="I3743" i="3"/>
  <c r="H3743" i="3" s="1"/>
  <c r="C3743" i="3"/>
  <c r="B3743" i="3" s="1"/>
  <c r="A3745" i="3"/>
  <c r="L3745" i="3" l="1"/>
  <c r="F3745" i="3"/>
  <c r="J3745" i="3"/>
  <c r="D3745" i="3"/>
  <c r="K3745" i="3"/>
  <c r="E3745" i="3"/>
  <c r="C3744" i="3"/>
  <c r="B3744" i="3" s="1"/>
  <c r="I3744" i="3"/>
  <c r="H3744" i="3" s="1"/>
  <c r="A3746" i="3"/>
  <c r="L3746" i="3" l="1"/>
  <c r="F3746" i="3"/>
  <c r="J3746" i="3"/>
  <c r="D3746" i="3"/>
  <c r="K3746" i="3"/>
  <c r="E3746" i="3"/>
  <c r="I3745" i="3"/>
  <c r="H3745" i="3" s="1"/>
  <c r="C3745" i="3"/>
  <c r="B3745" i="3" s="1"/>
  <c r="A3747" i="3"/>
  <c r="L3747" i="3" l="1"/>
  <c r="F3747" i="3"/>
  <c r="J3747" i="3"/>
  <c r="D3747" i="3"/>
  <c r="K3747" i="3"/>
  <c r="E3747" i="3"/>
  <c r="I3746" i="3"/>
  <c r="H3746" i="3" s="1"/>
  <c r="C3746" i="3"/>
  <c r="B3746" i="3" s="1"/>
  <c r="A3748" i="3"/>
  <c r="L3748" i="3" l="1"/>
  <c r="F3748" i="3"/>
  <c r="J3748" i="3"/>
  <c r="D3748" i="3"/>
  <c r="K3748" i="3"/>
  <c r="E3748" i="3"/>
  <c r="A3749" i="3"/>
  <c r="I3747" i="3"/>
  <c r="H3747" i="3" s="1"/>
  <c r="C3747" i="3"/>
  <c r="B3747" i="3" s="1"/>
  <c r="L3749" i="3" l="1"/>
  <c r="F3749" i="3"/>
  <c r="J3749" i="3"/>
  <c r="D3749" i="3"/>
  <c r="K3749" i="3"/>
  <c r="E3749" i="3"/>
  <c r="I3748" i="3"/>
  <c r="H3748" i="3" s="1"/>
  <c r="C3748" i="3"/>
  <c r="B3748" i="3" s="1"/>
  <c r="A3750" i="3"/>
  <c r="L3750" i="3" l="1"/>
  <c r="F3750" i="3"/>
  <c r="J3750" i="3"/>
  <c r="D3750" i="3"/>
  <c r="K3750" i="3"/>
  <c r="E3750" i="3"/>
  <c r="I3749" i="3"/>
  <c r="H3749" i="3" s="1"/>
  <c r="C3749" i="3"/>
  <c r="B3749" i="3" s="1"/>
  <c r="A3751" i="3"/>
  <c r="L3751" i="3" l="1"/>
  <c r="F3751" i="3"/>
  <c r="J3751" i="3"/>
  <c r="D3751" i="3"/>
  <c r="K3751" i="3"/>
  <c r="E3751" i="3"/>
  <c r="I3750" i="3"/>
  <c r="H3750" i="3" s="1"/>
  <c r="A3752" i="3"/>
  <c r="C3750" i="3"/>
  <c r="B3750" i="3" s="1"/>
  <c r="L3752" i="3" l="1"/>
  <c r="F3752" i="3"/>
  <c r="J3752" i="3"/>
  <c r="D3752" i="3"/>
  <c r="K3752" i="3"/>
  <c r="E3752" i="3"/>
  <c r="I3751" i="3"/>
  <c r="H3751" i="3" s="1"/>
  <c r="C3751" i="3"/>
  <c r="B3751" i="3" s="1"/>
  <c r="A3753" i="3"/>
  <c r="L3753" i="3" l="1"/>
  <c r="F3753" i="3"/>
  <c r="J3753" i="3"/>
  <c r="D3753" i="3"/>
  <c r="K3753" i="3"/>
  <c r="E3753" i="3"/>
  <c r="I3752" i="3"/>
  <c r="H3752" i="3" s="1"/>
  <c r="A3754" i="3"/>
  <c r="C3752" i="3"/>
  <c r="B3752" i="3" s="1"/>
  <c r="L3754" i="3" l="1"/>
  <c r="F3754" i="3"/>
  <c r="J3754" i="3"/>
  <c r="D3754" i="3"/>
  <c r="K3754" i="3"/>
  <c r="E3754" i="3"/>
  <c r="C3753" i="3"/>
  <c r="B3753" i="3" s="1"/>
  <c r="I3753" i="3"/>
  <c r="H3753" i="3" s="1"/>
  <c r="A3755" i="3"/>
  <c r="L3755" i="3" l="1"/>
  <c r="F3755" i="3"/>
  <c r="J3755" i="3"/>
  <c r="D3755" i="3"/>
  <c r="K3755" i="3"/>
  <c r="E3755" i="3"/>
  <c r="C3754" i="3"/>
  <c r="B3754" i="3" s="1"/>
  <c r="I3754" i="3"/>
  <c r="H3754" i="3" s="1"/>
  <c r="A3756" i="3"/>
  <c r="L3756" i="3" l="1"/>
  <c r="F3756" i="3"/>
  <c r="J3756" i="3"/>
  <c r="D3756" i="3"/>
  <c r="K3756" i="3"/>
  <c r="E3756" i="3"/>
  <c r="I3755" i="3"/>
  <c r="H3755" i="3" s="1"/>
  <c r="C3755" i="3"/>
  <c r="B3755" i="3" s="1"/>
  <c r="A3757" i="3"/>
  <c r="L3757" i="3" l="1"/>
  <c r="F3757" i="3"/>
  <c r="J3757" i="3"/>
  <c r="D3757" i="3"/>
  <c r="K3757" i="3"/>
  <c r="E3757" i="3"/>
  <c r="C3756" i="3"/>
  <c r="B3756" i="3" s="1"/>
  <c r="A3758" i="3"/>
  <c r="I3756" i="3"/>
  <c r="H3756" i="3" s="1"/>
  <c r="L3758" i="3" l="1"/>
  <c r="F3758" i="3"/>
  <c r="J3758" i="3"/>
  <c r="D3758" i="3"/>
  <c r="K3758" i="3"/>
  <c r="E3758" i="3"/>
  <c r="I3757" i="3"/>
  <c r="H3757" i="3" s="1"/>
  <c r="C3757" i="3"/>
  <c r="B3757" i="3" s="1"/>
  <c r="A3759" i="3"/>
  <c r="L3759" i="3" l="1"/>
  <c r="F3759" i="3"/>
  <c r="J3759" i="3"/>
  <c r="D3759" i="3"/>
  <c r="K3759" i="3"/>
  <c r="E3759" i="3"/>
  <c r="I3758" i="3"/>
  <c r="H3758" i="3" s="1"/>
  <c r="A3760" i="3"/>
  <c r="C3758" i="3"/>
  <c r="B3758" i="3" s="1"/>
  <c r="L3760" i="3" l="1"/>
  <c r="F3760" i="3"/>
  <c r="J3760" i="3"/>
  <c r="D3760" i="3"/>
  <c r="K3760" i="3"/>
  <c r="E3760" i="3"/>
  <c r="C3759" i="3"/>
  <c r="B3759" i="3" s="1"/>
  <c r="I3759" i="3"/>
  <c r="H3759" i="3" s="1"/>
  <c r="A3761" i="3"/>
  <c r="L3761" i="3" l="1"/>
  <c r="F3761" i="3"/>
  <c r="J3761" i="3"/>
  <c r="D3761" i="3"/>
  <c r="K3761" i="3"/>
  <c r="E3761" i="3"/>
  <c r="C3760" i="3"/>
  <c r="B3760" i="3" s="1"/>
  <c r="I3760" i="3"/>
  <c r="H3760" i="3" s="1"/>
  <c r="A3762" i="3"/>
  <c r="L3762" i="3" l="1"/>
  <c r="F3762" i="3"/>
  <c r="J3762" i="3"/>
  <c r="D3762" i="3"/>
  <c r="K3762" i="3"/>
  <c r="E3762" i="3"/>
  <c r="I3761" i="3"/>
  <c r="H3761" i="3" s="1"/>
  <c r="C3761" i="3"/>
  <c r="B3761" i="3" s="1"/>
  <c r="A3763" i="3"/>
  <c r="L3763" i="3" l="1"/>
  <c r="F3763" i="3"/>
  <c r="J3763" i="3"/>
  <c r="D3763" i="3"/>
  <c r="K3763" i="3"/>
  <c r="E3763" i="3"/>
  <c r="C3762" i="3"/>
  <c r="B3762" i="3" s="1"/>
  <c r="A3764" i="3"/>
  <c r="I3762" i="3"/>
  <c r="H3762" i="3" s="1"/>
  <c r="L3764" i="3" l="1"/>
  <c r="F3764" i="3"/>
  <c r="J3764" i="3"/>
  <c r="D3764" i="3"/>
  <c r="K3764" i="3"/>
  <c r="E3764" i="3"/>
  <c r="I3763" i="3"/>
  <c r="H3763" i="3" s="1"/>
  <c r="C3763" i="3"/>
  <c r="B3763" i="3" s="1"/>
  <c r="A3765" i="3"/>
  <c r="L3765" i="3" l="1"/>
  <c r="F3765" i="3"/>
  <c r="J3765" i="3"/>
  <c r="D3765" i="3"/>
  <c r="K3765" i="3"/>
  <c r="E3765" i="3"/>
  <c r="I3764" i="3"/>
  <c r="H3764" i="3" s="1"/>
  <c r="C3764" i="3"/>
  <c r="B3764" i="3" s="1"/>
  <c r="A3766" i="3"/>
  <c r="L3766" i="3" l="1"/>
  <c r="F3766" i="3"/>
  <c r="J3766" i="3"/>
  <c r="D3766" i="3"/>
  <c r="K3766" i="3"/>
  <c r="E3766" i="3"/>
  <c r="C3765" i="3"/>
  <c r="B3765" i="3" s="1"/>
  <c r="I3765" i="3"/>
  <c r="H3765" i="3" s="1"/>
  <c r="A3767" i="3"/>
  <c r="L3767" i="3" l="1"/>
  <c r="F3767" i="3"/>
  <c r="J3767" i="3"/>
  <c r="D3767" i="3"/>
  <c r="K3767" i="3"/>
  <c r="E3767" i="3"/>
  <c r="C3766" i="3"/>
  <c r="B3766" i="3" s="1"/>
  <c r="I3766" i="3"/>
  <c r="H3766" i="3" s="1"/>
  <c r="A3768" i="3"/>
  <c r="L3768" i="3" l="1"/>
  <c r="F3768" i="3"/>
  <c r="J3768" i="3"/>
  <c r="D3768" i="3"/>
  <c r="K3768" i="3"/>
  <c r="E3768" i="3"/>
  <c r="I3767" i="3"/>
  <c r="H3767" i="3" s="1"/>
  <c r="C3767" i="3"/>
  <c r="B3767" i="3" s="1"/>
  <c r="A3769" i="3"/>
  <c r="L3769" i="3" l="1"/>
  <c r="F3769" i="3"/>
  <c r="J3769" i="3"/>
  <c r="D3769" i="3"/>
  <c r="K3769" i="3"/>
  <c r="E3769" i="3"/>
  <c r="I3768" i="3"/>
  <c r="H3768" i="3" s="1"/>
  <c r="A3770" i="3"/>
  <c r="C3768" i="3"/>
  <c r="B3768" i="3" s="1"/>
  <c r="L3770" i="3" l="1"/>
  <c r="F3770" i="3"/>
  <c r="J3770" i="3"/>
  <c r="D3770" i="3"/>
  <c r="K3770" i="3"/>
  <c r="E3770" i="3"/>
  <c r="C3769" i="3"/>
  <c r="B3769" i="3" s="1"/>
  <c r="A3771" i="3"/>
  <c r="I3769" i="3"/>
  <c r="H3769" i="3" s="1"/>
  <c r="L3771" i="3" l="1"/>
  <c r="F3771" i="3"/>
  <c r="J3771" i="3"/>
  <c r="D3771" i="3"/>
  <c r="K3771" i="3"/>
  <c r="E3771" i="3"/>
  <c r="C3770" i="3"/>
  <c r="B3770" i="3" s="1"/>
  <c r="I3770" i="3"/>
  <c r="H3770" i="3" s="1"/>
  <c r="A3772" i="3"/>
  <c r="L3772" i="3" l="1"/>
  <c r="F3772" i="3"/>
  <c r="J3772" i="3"/>
  <c r="D3772" i="3"/>
  <c r="K3772" i="3"/>
  <c r="E3772" i="3"/>
  <c r="I3771" i="3"/>
  <c r="H3771" i="3" s="1"/>
  <c r="C3771" i="3"/>
  <c r="B3771" i="3" s="1"/>
  <c r="A3773" i="3"/>
  <c r="L3773" i="3" l="1"/>
  <c r="F3773" i="3"/>
  <c r="D3773" i="3"/>
  <c r="J3773" i="3"/>
  <c r="E3773" i="3"/>
  <c r="K3773" i="3"/>
  <c r="I3772" i="3"/>
  <c r="H3772" i="3" s="1"/>
  <c r="A3774" i="3"/>
  <c r="C3772" i="3"/>
  <c r="B3772" i="3" s="1"/>
  <c r="L3774" i="3" l="1"/>
  <c r="F3774" i="3"/>
  <c r="J3774" i="3"/>
  <c r="D3774" i="3"/>
  <c r="K3774" i="3"/>
  <c r="E3774" i="3"/>
  <c r="C3773" i="3"/>
  <c r="B3773" i="3" s="1"/>
  <c r="I3773" i="3"/>
  <c r="H3773" i="3" s="1"/>
  <c r="A3775" i="3"/>
  <c r="L3775" i="3" l="1"/>
  <c r="F3775" i="3"/>
  <c r="J3775" i="3"/>
  <c r="D3775" i="3"/>
  <c r="K3775" i="3"/>
  <c r="E3775" i="3"/>
  <c r="C3774" i="3"/>
  <c r="B3774" i="3" s="1"/>
  <c r="A3776" i="3"/>
  <c r="I3774" i="3"/>
  <c r="H3774" i="3" s="1"/>
  <c r="L3776" i="3" l="1"/>
  <c r="F3776" i="3"/>
  <c r="J3776" i="3"/>
  <c r="D3776" i="3"/>
  <c r="K3776" i="3"/>
  <c r="E3776" i="3"/>
  <c r="C3775" i="3"/>
  <c r="B3775" i="3" s="1"/>
  <c r="I3775" i="3"/>
  <c r="H3775" i="3" s="1"/>
  <c r="A3777" i="3"/>
  <c r="L3777" i="3" l="1"/>
  <c r="F3777" i="3"/>
  <c r="J3777" i="3"/>
  <c r="D3777" i="3"/>
  <c r="K3777" i="3"/>
  <c r="E3777" i="3"/>
  <c r="A3778" i="3"/>
  <c r="C3776" i="3"/>
  <c r="B3776" i="3" s="1"/>
  <c r="I3776" i="3"/>
  <c r="H3776" i="3" s="1"/>
  <c r="L3778" i="3" l="1"/>
  <c r="F3778" i="3"/>
  <c r="J3778" i="3"/>
  <c r="D3778" i="3"/>
  <c r="K3778" i="3"/>
  <c r="E3778" i="3"/>
  <c r="I3777" i="3"/>
  <c r="H3777" i="3" s="1"/>
  <c r="C3777" i="3"/>
  <c r="B3777" i="3" s="1"/>
  <c r="A3779" i="3"/>
  <c r="L3779" i="3" l="1"/>
  <c r="F3779" i="3"/>
  <c r="J3779" i="3"/>
  <c r="D3779" i="3"/>
  <c r="K3779" i="3"/>
  <c r="E3779" i="3"/>
  <c r="C3778" i="3"/>
  <c r="B3778" i="3" s="1"/>
  <c r="I3778" i="3"/>
  <c r="H3778" i="3" s="1"/>
  <c r="A3780" i="3"/>
  <c r="L3780" i="3" l="1"/>
  <c r="F3780" i="3"/>
  <c r="J3780" i="3"/>
  <c r="D3780" i="3"/>
  <c r="K3780" i="3"/>
  <c r="E3780" i="3"/>
  <c r="I3779" i="3"/>
  <c r="H3779" i="3" s="1"/>
  <c r="C3779" i="3"/>
  <c r="B3779" i="3" s="1"/>
  <c r="A3781" i="3"/>
  <c r="L3781" i="3" l="1"/>
  <c r="F3781" i="3"/>
  <c r="J3781" i="3"/>
  <c r="D3781" i="3"/>
  <c r="K3781" i="3"/>
  <c r="E3781" i="3"/>
  <c r="I3780" i="3"/>
  <c r="H3780" i="3" s="1"/>
  <c r="C3780" i="3"/>
  <c r="B3780" i="3" s="1"/>
  <c r="A3782" i="3"/>
  <c r="L3782" i="3" l="1"/>
  <c r="F3782" i="3"/>
  <c r="J3782" i="3"/>
  <c r="D3782" i="3"/>
  <c r="K3782" i="3"/>
  <c r="E3782" i="3"/>
  <c r="C3781" i="3"/>
  <c r="B3781" i="3" s="1"/>
  <c r="I3781" i="3"/>
  <c r="H3781" i="3" s="1"/>
  <c r="A3783" i="3"/>
  <c r="L3783" i="3" l="1"/>
  <c r="F3783" i="3"/>
  <c r="J3783" i="3"/>
  <c r="D3783" i="3"/>
  <c r="K3783" i="3"/>
  <c r="E3783" i="3"/>
  <c r="I3782" i="3"/>
  <c r="H3782" i="3" s="1"/>
  <c r="A3784" i="3"/>
  <c r="C3782" i="3"/>
  <c r="B3782" i="3" s="1"/>
  <c r="L3784" i="3" l="1"/>
  <c r="F3784" i="3"/>
  <c r="J3784" i="3"/>
  <c r="D3784" i="3"/>
  <c r="K3784" i="3"/>
  <c r="E3784" i="3"/>
  <c r="I3783" i="3"/>
  <c r="H3783" i="3" s="1"/>
  <c r="C3783" i="3"/>
  <c r="B3783" i="3" s="1"/>
  <c r="A3785" i="3"/>
  <c r="L3785" i="3" l="1"/>
  <c r="F3785" i="3"/>
  <c r="J3785" i="3"/>
  <c r="D3785" i="3"/>
  <c r="K3785" i="3"/>
  <c r="E3785" i="3"/>
  <c r="I3784" i="3"/>
  <c r="H3784" i="3" s="1"/>
  <c r="A3786" i="3"/>
  <c r="C3784" i="3"/>
  <c r="B3784" i="3" s="1"/>
  <c r="L3786" i="3" l="1"/>
  <c r="F3786" i="3"/>
  <c r="J3786" i="3"/>
  <c r="D3786" i="3"/>
  <c r="K3786" i="3"/>
  <c r="E3786" i="3"/>
  <c r="I3785" i="3"/>
  <c r="H3785" i="3" s="1"/>
  <c r="C3785" i="3"/>
  <c r="B3785" i="3" s="1"/>
  <c r="A3787" i="3"/>
  <c r="L3787" i="3" l="1"/>
  <c r="F3787" i="3"/>
  <c r="J3787" i="3"/>
  <c r="D3787" i="3"/>
  <c r="K3787" i="3"/>
  <c r="E3787" i="3"/>
  <c r="I3786" i="3"/>
  <c r="H3786" i="3" s="1"/>
  <c r="A3788" i="3"/>
  <c r="C3786" i="3"/>
  <c r="B3786" i="3" s="1"/>
  <c r="L3788" i="3" l="1"/>
  <c r="F3788" i="3"/>
  <c r="J3788" i="3"/>
  <c r="D3788" i="3"/>
  <c r="K3788" i="3"/>
  <c r="E3788" i="3"/>
  <c r="C3787" i="3"/>
  <c r="B3787" i="3" s="1"/>
  <c r="A3789" i="3"/>
  <c r="I3787" i="3"/>
  <c r="H3787" i="3" s="1"/>
  <c r="L3789" i="3" l="1"/>
  <c r="F3789" i="3"/>
  <c r="J3789" i="3"/>
  <c r="D3789" i="3"/>
  <c r="K3789" i="3"/>
  <c r="E3789" i="3"/>
  <c r="I3788" i="3"/>
  <c r="H3788" i="3" s="1"/>
  <c r="C3788" i="3"/>
  <c r="B3788" i="3" s="1"/>
  <c r="A3790" i="3"/>
  <c r="L3790" i="3" l="1"/>
  <c r="F3790" i="3"/>
  <c r="J3790" i="3"/>
  <c r="D3790" i="3"/>
  <c r="K3790" i="3"/>
  <c r="E3790" i="3"/>
  <c r="I3789" i="3"/>
  <c r="H3789" i="3" s="1"/>
  <c r="C3789" i="3"/>
  <c r="B3789" i="3" s="1"/>
  <c r="A3791" i="3"/>
  <c r="L3791" i="3" l="1"/>
  <c r="F3791" i="3"/>
  <c r="J3791" i="3"/>
  <c r="D3791" i="3"/>
  <c r="K3791" i="3"/>
  <c r="E3791" i="3"/>
  <c r="I3790" i="3"/>
  <c r="H3790" i="3" s="1"/>
  <c r="A3792" i="3"/>
  <c r="C3790" i="3"/>
  <c r="B3790" i="3" s="1"/>
  <c r="L3792" i="3" l="1"/>
  <c r="F3792" i="3"/>
  <c r="J3792" i="3"/>
  <c r="D3792" i="3"/>
  <c r="K3792" i="3"/>
  <c r="E3792" i="3"/>
  <c r="C3791" i="3"/>
  <c r="B3791" i="3" s="1"/>
  <c r="I3791" i="3"/>
  <c r="H3791" i="3" s="1"/>
  <c r="A3793" i="3"/>
  <c r="L3793" i="3" l="1"/>
  <c r="F3793" i="3"/>
  <c r="J3793" i="3"/>
  <c r="D3793" i="3"/>
  <c r="K3793" i="3"/>
  <c r="E3793" i="3"/>
  <c r="I3792" i="3"/>
  <c r="H3792" i="3" s="1"/>
  <c r="C3792" i="3"/>
  <c r="B3792" i="3" s="1"/>
  <c r="A3794" i="3"/>
  <c r="L3794" i="3" l="1"/>
  <c r="F3794" i="3"/>
  <c r="J3794" i="3"/>
  <c r="D3794" i="3"/>
  <c r="K3794" i="3"/>
  <c r="E3794" i="3"/>
  <c r="I3793" i="3"/>
  <c r="H3793" i="3" s="1"/>
  <c r="A3795" i="3"/>
  <c r="C3793" i="3"/>
  <c r="B3793" i="3" s="1"/>
  <c r="L3795" i="3" l="1"/>
  <c r="F3795" i="3"/>
  <c r="J3795" i="3"/>
  <c r="D3795" i="3"/>
  <c r="K3795" i="3"/>
  <c r="E3795" i="3"/>
  <c r="C3794" i="3"/>
  <c r="B3794" i="3" s="1"/>
  <c r="I3794" i="3"/>
  <c r="H3794" i="3" s="1"/>
  <c r="A3796" i="3"/>
  <c r="L3796" i="3" l="1"/>
  <c r="F3796" i="3"/>
  <c r="J3796" i="3"/>
  <c r="D3796" i="3"/>
  <c r="K3796" i="3"/>
  <c r="E3796" i="3"/>
  <c r="C3795" i="3"/>
  <c r="B3795" i="3" s="1"/>
  <c r="I3795" i="3"/>
  <c r="H3795" i="3" s="1"/>
  <c r="A3797" i="3"/>
  <c r="L3797" i="3" l="1"/>
  <c r="F3797" i="3"/>
  <c r="J3797" i="3"/>
  <c r="D3797" i="3"/>
  <c r="K3797" i="3"/>
  <c r="E3797" i="3"/>
  <c r="C3796" i="3"/>
  <c r="B3796" i="3" s="1"/>
  <c r="A3798" i="3"/>
  <c r="I3796" i="3"/>
  <c r="H3796" i="3" s="1"/>
  <c r="L3798" i="3" l="1"/>
  <c r="F3798" i="3"/>
  <c r="J3798" i="3"/>
  <c r="D3798" i="3"/>
  <c r="K3798" i="3"/>
  <c r="E3798" i="3"/>
  <c r="I3797" i="3"/>
  <c r="H3797" i="3" s="1"/>
  <c r="C3797" i="3"/>
  <c r="B3797" i="3" s="1"/>
  <c r="A3799" i="3"/>
  <c r="L3799" i="3" l="1"/>
  <c r="F3799" i="3"/>
  <c r="J3799" i="3"/>
  <c r="D3799" i="3"/>
  <c r="K3799" i="3"/>
  <c r="E3799" i="3"/>
  <c r="C3798" i="3"/>
  <c r="B3798" i="3" s="1"/>
  <c r="I3798" i="3"/>
  <c r="H3798" i="3" s="1"/>
  <c r="A3800" i="3"/>
  <c r="L3800" i="3" l="1"/>
  <c r="F3800" i="3"/>
  <c r="J3800" i="3"/>
  <c r="D3800" i="3"/>
  <c r="K3800" i="3"/>
  <c r="E3800" i="3"/>
  <c r="I3799" i="3"/>
  <c r="H3799" i="3" s="1"/>
  <c r="C3799" i="3"/>
  <c r="B3799" i="3" s="1"/>
  <c r="A3801" i="3"/>
  <c r="L3801" i="3" l="1"/>
  <c r="F3801" i="3"/>
  <c r="D3801" i="3"/>
  <c r="E3801" i="3"/>
  <c r="J3801" i="3"/>
  <c r="K3801" i="3"/>
  <c r="C3800" i="3"/>
  <c r="B3800" i="3" s="1"/>
  <c r="I3800" i="3"/>
  <c r="H3800" i="3" s="1"/>
  <c r="A3802" i="3"/>
  <c r="L3802" i="3" l="1"/>
  <c r="F3802" i="3"/>
  <c r="J3802" i="3"/>
  <c r="D3802" i="3"/>
  <c r="K3802" i="3"/>
  <c r="E3802" i="3"/>
  <c r="A3803" i="3"/>
  <c r="I3801" i="3"/>
  <c r="H3801" i="3" s="1"/>
  <c r="C3801" i="3"/>
  <c r="B3801" i="3" s="1"/>
  <c r="L3803" i="3" l="1"/>
  <c r="F3803" i="3"/>
  <c r="J3803" i="3"/>
  <c r="D3803" i="3"/>
  <c r="K3803" i="3"/>
  <c r="E3803" i="3"/>
  <c r="C3802" i="3"/>
  <c r="B3802" i="3" s="1"/>
  <c r="I3802" i="3"/>
  <c r="H3802" i="3" s="1"/>
  <c r="A3804" i="3"/>
  <c r="L3804" i="3" l="1"/>
  <c r="F3804" i="3"/>
  <c r="J3804" i="3"/>
  <c r="D3804" i="3"/>
  <c r="K3804" i="3"/>
  <c r="E3804" i="3"/>
  <c r="C3803" i="3"/>
  <c r="B3803" i="3" s="1"/>
  <c r="I3803" i="3"/>
  <c r="H3803" i="3" s="1"/>
  <c r="A3805" i="3"/>
  <c r="L3805" i="3" l="1"/>
  <c r="F3805" i="3"/>
  <c r="D3805" i="3"/>
  <c r="J3805" i="3"/>
  <c r="E3805" i="3"/>
  <c r="K3805" i="3"/>
  <c r="I3804" i="3"/>
  <c r="H3804" i="3" s="1"/>
  <c r="A3806" i="3"/>
  <c r="C3804" i="3"/>
  <c r="B3804" i="3" s="1"/>
  <c r="L3806" i="3" l="1"/>
  <c r="F3806" i="3"/>
  <c r="J3806" i="3"/>
  <c r="D3806" i="3"/>
  <c r="K3806" i="3"/>
  <c r="E3806" i="3"/>
  <c r="I3805" i="3"/>
  <c r="H3805" i="3" s="1"/>
  <c r="C3805" i="3"/>
  <c r="B3805" i="3" s="1"/>
  <c r="A3807" i="3"/>
  <c r="L3807" i="3" l="1"/>
  <c r="F3807" i="3"/>
  <c r="J3807" i="3"/>
  <c r="D3807" i="3"/>
  <c r="K3807" i="3"/>
  <c r="E3807" i="3"/>
  <c r="I3806" i="3"/>
  <c r="H3806" i="3" s="1"/>
  <c r="C3806" i="3"/>
  <c r="B3806" i="3" s="1"/>
  <c r="A3808" i="3"/>
  <c r="L3808" i="3" l="1"/>
  <c r="F3808" i="3"/>
  <c r="J3808" i="3"/>
  <c r="D3808" i="3"/>
  <c r="K3808" i="3"/>
  <c r="E3808" i="3"/>
  <c r="C3807" i="3"/>
  <c r="B3807" i="3" s="1"/>
  <c r="I3807" i="3"/>
  <c r="H3807" i="3" s="1"/>
  <c r="A3809" i="3"/>
  <c r="L3809" i="3" l="1"/>
  <c r="F3809" i="3"/>
  <c r="J3809" i="3"/>
  <c r="D3809" i="3"/>
  <c r="K3809" i="3"/>
  <c r="E3809" i="3"/>
  <c r="A3810" i="3"/>
  <c r="I3808" i="3"/>
  <c r="H3808" i="3" s="1"/>
  <c r="C3808" i="3"/>
  <c r="B3808" i="3" s="1"/>
  <c r="L3810" i="3" l="1"/>
  <c r="F3810" i="3"/>
  <c r="J3810" i="3"/>
  <c r="D3810" i="3"/>
  <c r="K3810" i="3"/>
  <c r="E3810" i="3"/>
  <c r="I3809" i="3"/>
  <c r="H3809" i="3" s="1"/>
  <c r="C3809" i="3"/>
  <c r="B3809" i="3" s="1"/>
  <c r="A3811" i="3"/>
  <c r="L3811" i="3" l="1"/>
  <c r="F3811" i="3"/>
  <c r="J3811" i="3"/>
  <c r="D3811" i="3"/>
  <c r="K3811" i="3"/>
  <c r="E3811" i="3"/>
  <c r="C3810" i="3"/>
  <c r="B3810" i="3" s="1"/>
  <c r="I3810" i="3"/>
  <c r="H3810" i="3" s="1"/>
  <c r="A3812" i="3"/>
  <c r="L3812" i="3" l="1"/>
  <c r="F3812" i="3"/>
  <c r="J3812" i="3"/>
  <c r="D3812" i="3"/>
  <c r="K3812" i="3"/>
  <c r="E3812" i="3"/>
  <c r="C3811" i="3"/>
  <c r="B3811" i="3" s="1"/>
  <c r="I3811" i="3"/>
  <c r="H3811" i="3" s="1"/>
  <c r="A3813" i="3"/>
  <c r="L3813" i="3" l="1"/>
  <c r="F3813" i="3"/>
  <c r="J3813" i="3"/>
  <c r="D3813" i="3"/>
  <c r="K3813" i="3"/>
  <c r="E3813" i="3"/>
  <c r="I3812" i="3"/>
  <c r="H3812" i="3" s="1"/>
  <c r="C3812" i="3"/>
  <c r="B3812" i="3" s="1"/>
  <c r="A3814" i="3"/>
  <c r="L3814" i="3" l="1"/>
  <c r="F3814" i="3"/>
  <c r="J3814" i="3"/>
  <c r="D3814" i="3"/>
  <c r="K3814" i="3"/>
  <c r="E3814" i="3"/>
  <c r="I3813" i="3"/>
  <c r="H3813" i="3" s="1"/>
  <c r="C3813" i="3"/>
  <c r="B3813" i="3" s="1"/>
  <c r="A3815" i="3"/>
  <c r="L3815" i="3" l="1"/>
  <c r="F3815" i="3"/>
  <c r="J3815" i="3"/>
  <c r="D3815" i="3"/>
  <c r="K3815" i="3"/>
  <c r="E3815" i="3"/>
  <c r="C3814" i="3"/>
  <c r="B3814" i="3" s="1"/>
  <c r="A3816" i="3"/>
  <c r="I3814" i="3"/>
  <c r="H3814" i="3" s="1"/>
  <c r="L3816" i="3" l="1"/>
  <c r="F3816" i="3"/>
  <c r="J3816" i="3"/>
  <c r="D3816" i="3"/>
  <c r="K3816" i="3"/>
  <c r="E3816" i="3"/>
  <c r="I3815" i="3"/>
  <c r="H3815" i="3" s="1"/>
  <c r="C3815" i="3"/>
  <c r="B3815" i="3" s="1"/>
  <c r="A3817" i="3"/>
  <c r="L3817" i="3" l="1"/>
  <c r="F3817" i="3"/>
  <c r="J3817" i="3"/>
  <c r="D3817" i="3"/>
  <c r="K3817" i="3"/>
  <c r="E3817" i="3"/>
  <c r="I3816" i="3"/>
  <c r="H3816" i="3" s="1"/>
  <c r="C3816" i="3"/>
  <c r="B3816" i="3" s="1"/>
  <c r="A3818" i="3"/>
  <c r="L3818" i="3" l="1"/>
  <c r="F3818" i="3"/>
  <c r="J3818" i="3"/>
  <c r="D3818" i="3"/>
  <c r="K3818" i="3"/>
  <c r="E3818" i="3"/>
  <c r="C3817" i="3"/>
  <c r="B3817" i="3" s="1"/>
  <c r="I3817" i="3"/>
  <c r="H3817" i="3" s="1"/>
  <c r="A3819" i="3"/>
  <c r="L3819" i="3" l="1"/>
  <c r="F3819" i="3"/>
  <c r="J3819" i="3"/>
  <c r="D3819" i="3"/>
  <c r="K3819" i="3"/>
  <c r="E3819" i="3"/>
  <c r="I3818" i="3"/>
  <c r="H3818" i="3" s="1"/>
  <c r="C3818" i="3"/>
  <c r="B3818" i="3" s="1"/>
  <c r="A3820" i="3"/>
  <c r="L3820" i="3" l="1"/>
  <c r="F3820" i="3"/>
  <c r="J3820" i="3"/>
  <c r="D3820" i="3"/>
  <c r="K3820" i="3"/>
  <c r="E3820" i="3"/>
  <c r="I3819" i="3"/>
  <c r="H3819" i="3" s="1"/>
  <c r="A3821" i="3"/>
  <c r="C3819" i="3"/>
  <c r="B3819" i="3" s="1"/>
  <c r="L3821" i="3" l="1"/>
  <c r="F3821" i="3"/>
  <c r="J3821" i="3"/>
  <c r="D3821" i="3"/>
  <c r="K3821" i="3"/>
  <c r="E3821" i="3"/>
  <c r="I3820" i="3"/>
  <c r="H3820" i="3" s="1"/>
  <c r="C3820" i="3"/>
  <c r="B3820" i="3" s="1"/>
  <c r="A3822" i="3"/>
  <c r="L3822" i="3" l="1"/>
  <c r="F3822" i="3"/>
  <c r="J3822" i="3"/>
  <c r="D3822" i="3"/>
  <c r="K3822" i="3"/>
  <c r="E3822" i="3"/>
  <c r="C3821" i="3"/>
  <c r="B3821" i="3" s="1"/>
  <c r="I3821" i="3"/>
  <c r="H3821" i="3" s="1"/>
  <c r="A3823" i="3"/>
  <c r="L3823" i="3" l="1"/>
  <c r="F3823" i="3"/>
  <c r="J3823" i="3"/>
  <c r="D3823" i="3"/>
  <c r="K3823" i="3"/>
  <c r="E3823" i="3"/>
  <c r="I3822" i="3"/>
  <c r="H3822" i="3" s="1"/>
  <c r="A3824" i="3"/>
  <c r="C3822" i="3"/>
  <c r="B3822" i="3" s="1"/>
  <c r="L3824" i="3" l="1"/>
  <c r="F3824" i="3"/>
  <c r="J3824" i="3"/>
  <c r="D3824" i="3"/>
  <c r="K3824" i="3"/>
  <c r="E3824" i="3"/>
  <c r="C3823" i="3"/>
  <c r="B3823" i="3" s="1"/>
  <c r="I3823" i="3"/>
  <c r="H3823" i="3" s="1"/>
  <c r="A3825" i="3"/>
  <c r="L3825" i="3" l="1"/>
  <c r="F3825" i="3"/>
  <c r="J3825" i="3"/>
  <c r="D3825" i="3"/>
  <c r="K3825" i="3"/>
  <c r="E3825" i="3"/>
  <c r="C3824" i="3"/>
  <c r="B3824" i="3" s="1"/>
  <c r="I3824" i="3"/>
  <c r="H3824" i="3" s="1"/>
  <c r="A3826" i="3"/>
  <c r="L3826" i="3" l="1"/>
  <c r="F3826" i="3"/>
  <c r="J3826" i="3"/>
  <c r="D3826" i="3"/>
  <c r="K3826" i="3"/>
  <c r="E3826" i="3"/>
  <c r="C3825" i="3"/>
  <c r="B3825" i="3" s="1"/>
  <c r="I3825" i="3"/>
  <c r="H3825" i="3" s="1"/>
  <c r="A3827" i="3"/>
  <c r="L3827" i="3" l="1"/>
  <c r="F3827" i="3"/>
  <c r="J3827" i="3"/>
  <c r="D3827" i="3"/>
  <c r="K3827" i="3"/>
  <c r="E3827" i="3"/>
  <c r="C3826" i="3"/>
  <c r="B3826" i="3" s="1"/>
  <c r="I3826" i="3"/>
  <c r="H3826" i="3" s="1"/>
  <c r="A3828" i="3"/>
  <c r="L3828" i="3" l="1"/>
  <c r="F3828" i="3"/>
  <c r="J3828" i="3"/>
  <c r="D3828" i="3"/>
  <c r="K3828" i="3"/>
  <c r="E3828" i="3"/>
  <c r="I3827" i="3"/>
  <c r="H3827" i="3" s="1"/>
  <c r="C3827" i="3"/>
  <c r="B3827" i="3" s="1"/>
  <c r="A3829" i="3"/>
  <c r="L3829" i="3" l="1"/>
  <c r="F3829" i="3"/>
  <c r="J3829" i="3"/>
  <c r="D3829" i="3"/>
  <c r="K3829" i="3"/>
  <c r="E3829" i="3"/>
  <c r="C3828" i="3"/>
  <c r="B3828" i="3" s="1"/>
  <c r="I3828" i="3"/>
  <c r="H3828" i="3" s="1"/>
  <c r="A3830" i="3"/>
  <c r="L3830" i="3" l="1"/>
  <c r="F3830" i="3"/>
  <c r="J3830" i="3"/>
  <c r="D3830" i="3"/>
  <c r="K3830" i="3"/>
  <c r="E3830" i="3"/>
  <c r="I3829" i="3"/>
  <c r="H3829" i="3" s="1"/>
  <c r="C3829" i="3"/>
  <c r="B3829" i="3" s="1"/>
  <c r="A3831" i="3"/>
  <c r="L3831" i="3" l="1"/>
  <c r="F3831" i="3"/>
  <c r="J3831" i="3"/>
  <c r="D3831" i="3"/>
  <c r="K3831" i="3"/>
  <c r="E3831" i="3"/>
  <c r="I3830" i="3"/>
  <c r="H3830" i="3" s="1"/>
  <c r="A3832" i="3"/>
  <c r="C3830" i="3"/>
  <c r="B3830" i="3" s="1"/>
  <c r="L3832" i="3" l="1"/>
  <c r="F3832" i="3"/>
  <c r="J3832" i="3"/>
  <c r="D3832" i="3"/>
  <c r="K3832" i="3"/>
  <c r="E3832" i="3"/>
  <c r="C3831" i="3"/>
  <c r="B3831" i="3" s="1"/>
  <c r="I3831" i="3"/>
  <c r="H3831" i="3" s="1"/>
  <c r="A3833" i="3"/>
  <c r="L3833" i="3" l="1"/>
  <c r="F3833" i="3"/>
  <c r="J3833" i="3"/>
  <c r="D3833" i="3"/>
  <c r="K3833" i="3"/>
  <c r="E3833" i="3"/>
  <c r="I3832" i="3"/>
  <c r="H3832" i="3" s="1"/>
  <c r="C3832" i="3"/>
  <c r="B3832" i="3" s="1"/>
  <c r="A3834" i="3"/>
  <c r="L3834" i="3" l="1"/>
  <c r="F3834" i="3"/>
  <c r="D3834" i="3"/>
  <c r="J3834" i="3"/>
  <c r="E3834" i="3"/>
  <c r="K3834" i="3"/>
  <c r="C3833" i="3"/>
  <c r="B3833" i="3" s="1"/>
  <c r="I3833" i="3"/>
  <c r="H3833" i="3" s="1"/>
  <c r="A3835" i="3"/>
  <c r="L3835" i="3" l="1"/>
  <c r="F3835" i="3"/>
  <c r="D3835" i="3"/>
  <c r="E3835" i="3"/>
  <c r="J3835" i="3"/>
  <c r="K3835" i="3"/>
  <c r="C3834" i="3"/>
  <c r="B3834" i="3" s="1"/>
  <c r="I3834" i="3"/>
  <c r="H3834" i="3" s="1"/>
  <c r="A3836" i="3"/>
  <c r="L3836" i="3" l="1"/>
  <c r="F3836" i="3"/>
  <c r="J3836" i="3"/>
  <c r="D3836" i="3"/>
  <c r="K3836" i="3"/>
  <c r="E3836" i="3"/>
  <c r="I3835" i="3"/>
  <c r="H3835" i="3" s="1"/>
  <c r="C3835" i="3"/>
  <c r="B3835" i="3" s="1"/>
  <c r="A3837" i="3"/>
  <c r="L3837" i="3" l="1"/>
  <c r="F3837" i="3"/>
  <c r="J3837" i="3"/>
  <c r="D3837" i="3"/>
  <c r="K3837" i="3"/>
  <c r="E3837" i="3"/>
  <c r="I3836" i="3"/>
  <c r="H3836" i="3" s="1"/>
  <c r="C3836" i="3"/>
  <c r="B3836" i="3" s="1"/>
  <c r="A3838" i="3"/>
  <c r="L3838" i="3" l="1"/>
  <c r="F3838" i="3"/>
  <c r="J3838" i="3"/>
  <c r="D3838" i="3"/>
  <c r="K3838" i="3"/>
  <c r="E3838" i="3"/>
  <c r="I3837" i="3"/>
  <c r="H3837" i="3" s="1"/>
  <c r="C3837" i="3"/>
  <c r="B3837" i="3" s="1"/>
  <c r="A3839" i="3"/>
  <c r="L3839" i="3" l="1"/>
  <c r="F3839" i="3"/>
  <c r="J3839" i="3"/>
  <c r="D3839" i="3"/>
  <c r="K3839" i="3"/>
  <c r="E3839" i="3"/>
  <c r="I3838" i="3"/>
  <c r="H3838" i="3" s="1"/>
  <c r="C3838" i="3"/>
  <c r="B3838" i="3" s="1"/>
  <c r="A3840" i="3"/>
  <c r="L3840" i="3" l="1"/>
  <c r="F3840" i="3"/>
  <c r="J3840" i="3"/>
  <c r="D3840" i="3"/>
  <c r="K3840" i="3"/>
  <c r="E3840" i="3"/>
  <c r="C3839" i="3"/>
  <c r="B3839" i="3" s="1"/>
  <c r="A3841" i="3"/>
  <c r="I3839" i="3"/>
  <c r="H3839" i="3" s="1"/>
  <c r="L3841" i="3" l="1"/>
  <c r="F3841" i="3"/>
  <c r="J3841" i="3"/>
  <c r="D3841" i="3"/>
  <c r="K3841" i="3"/>
  <c r="E3841" i="3"/>
  <c r="I3840" i="3"/>
  <c r="H3840" i="3" s="1"/>
  <c r="C3840" i="3"/>
  <c r="B3840" i="3" s="1"/>
  <c r="A3842" i="3"/>
  <c r="L3842" i="3" l="1"/>
  <c r="F3842" i="3"/>
  <c r="J3842" i="3"/>
  <c r="D3842" i="3"/>
  <c r="K3842" i="3"/>
  <c r="E3842" i="3"/>
  <c r="C3841" i="3"/>
  <c r="B3841" i="3" s="1"/>
  <c r="I3841" i="3"/>
  <c r="H3841" i="3" s="1"/>
  <c r="A3843" i="3"/>
  <c r="L3843" i="3" l="1"/>
  <c r="F3843" i="3"/>
  <c r="J3843" i="3"/>
  <c r="D3843" i="3"/>
  <c r="K3843" i="3"/>
  <c r="E3843" i="3"/>
  <c r="I3842" i="3"/>
  <c r="H3842" i="3" s="1"/>
  <c r="A3844" i="3"/>
  <c r="C3842" i="3"/>
  <c r="B3842" i="3" s="1"/>
  <c r="L3844" i="3" l="1"/>
  <c r="F3844" i="3"/>
  <c r="J3844" i="3"/>
  <c r="D3844" i="3"/>
  <c r="K3844" i="3"/>
  <c r="E3844" i="3"/>
  <c r="I3843" i="3"/>
  <c r="H3843" i="3" s="1"/>
  <c r="C3843" i="3"/>
  <c r="B3843" i="3" s="1"/>
  <c r="A3845" i="3"/>
  <c r="L3845" i="3" l="1"/>
  <c r="F3845" i="3"/>
  <c r="J3845" i="3"/>
  <c r="D3845" i="3"/>
  <c r="K3845" i="3"/>
  <c r="E3845" i="3"/>
  <c r="I3844" i="3"/>
  <c r="H3844" i="3" s="1"/>
  <c r="A3846" i="3"/>
  <c r="C3844" i="3"/>
  <c r="B3844" i="3" s="1"/>
  <c r="L3846" i="3" l="1"/>
  <c r="F3846" i="3"/>
  <c r="J3846" i="3"/>
  <c r="D3846" i="3"/>
  <c r="K3846" i="3"/>
  <c r="E3846" i="3"/>
  <c r="I3845" i="3"/>
  <c r="H3845" i="3" s="1"/>
  <c r="C3845" i="3"/>
  <c r="B3845" i="3" s="1"/>
  <c r="A3847" i="3"/>
  <c r="L3847" i="3" l="1"/>
  <c r="F3847" i="3"/>
  <c r="J3847" i="3"/>
  <c r="D3847" i="3"/>
  <c r="K3847" i="3"/>
  <c r="E3847" i="3"/>
  <c r="I3846" i="3"/>
  <c r="H3846" i="3" s="1"/>
  <c r="C3846" i="3"/>
  <c r="B3846" i="3" s="1"/>
  <c r="A3848" i="3"/>
  <c r="L3848" i="3" l="1"/>
  <c r="F3848" i="3"/>
  <c r="J3848" i="3"/>
  <c r="D3848" i="3"/>
  <c r="K3848" i="3"/>
  <c r="E3848" i="3"/>
  <c r="I3847" i="3"/>
  <c r="H3847" i="3" s="1"/>
  <c r="C3847" i="3"/>
  <c r="B3847" i="3" s="1"/>
  <c r="A3849" i="3"/>
  <c r="L3849" i="3" l="1"/>
  <c r="F3849" i="3"/>
  <c r="J3849" i="3"/>
  <c r="D3849" i="3"/>
  <c r="K3849" i="3"/>
  <c r="E3849" i="3"/>
  <c r="C3848" i="3"/>
  <c r="B3848" i="3" s="1"/>
  <c r="I3848" i="3"/>
  <c r="H3848" i="3" s="1"/>
  <c r="A3850" i="3"/>
  <c r="L3850" i="3" l="1"/>
  <c r="F3850" i="3"/>
  <c r="J3850" i="3"/>
  <c r="D3850" i="3"/>
  <c r="K3850" i="3"/>
  <c r="E3850" i="3"/>
  <c r="C3849" i="3"/>
  <c r="B3849" i="3" s="1"/>
  <c r="I3849" i="3"/>
  <c r="H3849" i="3" s="1"/>
  <c r="A3851" i="3"/>
  <c r="L3851" i="3" l="1"/>
  <c r="F3851" i="3"/>
  <c r="J3851" i="3"/>
  <c r="D3851" i="3"/>
  <c r="K3851" i="3"/>
  <c r="E3851" i="3"/>
  <c r="I3850" i="3"/>
  <c r="H3850" i="3" s="1"/>
  <c r="C3850" i="3"/>
  <c r="B3850" i="3" s="1"/>
  <c r="A3852" i="3"/>
  <c r="L3852" i="3" l="1"/>
  <c r="F3852" i="3"/>
  <c r="J3852" i="3"/>
  <c r="D3852" i="3"/>
  <c r="K3852" i="3"/>
  <c r="E3852" i="3"/>
  <c r="I3851" i="3"/>
  <c r="H3851" i="3" s="1"/>
  <c r="A3853" i="3"/>
  <c r="C3851" i="3"/>
  <c r="B3851" i="3" s="1"/>
  <c r="L3853" i="3" l="1"/>
  <c r="F3853" i="3"/>
  <c r="J3853" i="3"/>
  <c r="D3853" i="3"/>
  <c r="K3853" i="3"/>
  <c r="E3853" i="3"/>
  <c r="I3852" i="3"/>
  <c r="H3852" i="3" s="1"/>
  <c r="A3854" i="3"/>
  <c r="C3852" i="3"/>
  <c r="B3852" i="3" s="1"/>
  <c r="L3854" i="3" l="1"/>
  <c r="F3854" i="3"/>
  <c r="J3854" i="3"/>
  <c r="D3854" i="3"/>
  <c r="K3854" i="3"/>
  <c r="E3854" i="3"/>
  <c r="I3853" i="3"/>
  <c r="H3853" i="3" s="1"/>
  <c r="C3853" i="3"/>
  <c r="B3853" i="3" s="1"/>
  <c r="A3855" i="3"/>
  <c r="L3855" i="3" l="1"/>
  <c r="F3855" i="3"/>
  <c r="J3855" i="3"/>
  <c r="D3855" i="3"/>
  <c r="K3855" i="3"/>
  <c r="E3855" i="3"/>
  <c r="I3854" i="3"/>
  <c r="H3854" i="3" s="1"/>
  <c r="A3856" i="3"/>
  <c r="C3854" i="3"/>
  <c r="B3854" i="3" s="1"/>
  <c r="L3856" i="3" l="1"/>
  <c r="F3856" i="3"/>
  <c r="J3856" i="3"/>
  <c r="D3856" i="3"/>
  <c r="K3856" i="3"/>
  <c r="E3856" i="3"/>
  <c r="C3855" i="3"/>
  <c r="B3855" i="3" s="1"/>
  <c r="I3855" i="3"/>
  <c r="H3855" i="3" s="1"/>
  <c r="A3857" i="3"/>
  <c r="L3857" i="3" l="1"/>
  <c r="F3857" i="3"/>
  <c r="J3857" i="3"/>
  <c r="D3857" i="3"/>
  <c r="K3857" i="3"/>
  <c r="E3857" i="3"/>
  <c r="I3856" i="3"/>
  <c r="H3856" i="3" s="1"/>
  <c r="C3856" i="3"/>
  <c r="B3856" i="3" s="1"/>
  <c r="A3858" i="3"/>
  <c r="L3858" i="3" l="1"/>
  <c r="F3858" i="3"/>
  <c r="J3858" i="3"/>
  <c r="D3858" i="3"/>
  <c r="K3858" i="3"/>
  <c r="E3858" i="3"/>
  <c r="I3857" i="3"/>
  <c r="H3857" i="3" s="1"/>
  <c r="C3857" i="3"/>
  <c r="B3857" i="3" s="1"/>
  <c r="A3859" i="3"/>
  <c r="L3859" i="3" l="1"/>
  <c r="F3859" i="3"/>
  <c r="J3859" i="3"/>
  <c r="D3859" i="3"/>
  <c r="K3859" i="3"/>
  <c r="E3859" i="3"/>
  <c r="C3858" i="3"/>
  <c r="B3858" i="3" s="1"/>
  <c r="I3858" i="3"/>
  <c r="H3858" i="3" s="1"/>
  <c r="A3860" i="3"/>
  <c r="L3860" i="3" l="1"/>
  <c r="F3860" i="3"/>
  <c r="J3860" i="3"/>
  <c r="D3860" i="3"/>
  <c r="K3860" i="3"/>
  <c r="E3860" i="3"/>
  <c r="C3859" i="3"/>
  <c r="B3859" i="3" s="1"/>
  <c r="A3861" i="3"/>
  <c r="I3859" i="3"/>
  <c r="H3859" i="3" s="1"/>
  <c r="L3861" i="3" l="1"/>
  <c r="F3861" i="3"/>
  <c r="J3861" i="3"/>
  <c r="D3861" i="3"/>
  <c r="K3861" i="3"/>
  <c r="E3861" i="3"/>
  <c r="I3860" i="3"/>
  <c r="H3860" i="3" s="1"/>
  <c r="C3860" i="3"/>
  <c r="B3860" i="3" s="1"/>
  <c r="A3862" i="3"/>
  <c r="L3862" i="3" l="1"/>
  <c r="F3862" i="3"/>
  <c r="J3862" i="3"/>
  <c r="D3862" i="3"/>
  <c r="K3862" i="3"/>
  <c r="E3862" i="3"/>
  <c r="I3861" i="3"/>
  <c r="H3861" i="3" s="1"/>
  <c r="C3861" i="3"/>
  <c r="B3861" i="3" s="1"/>
  <c r="A3863" i="3"/>
  <c r="L3863" i="3" l="1"/>
  <c r="F3863" i="3"/>
  <c r="D3863" i="3"/>
  <c r="J3863" i="3"/>
  <c r="E3863" i="3"/>
  <c r="K3863" i="3"/>
  <c r="I3862" i="3"/>
  <c r="H3862" i="3" s="1"/>
  <c r="C3862" i="3"/>
  <c r="B3862" i="3" s="1"/>
  <c r="A3864" i="3"/>
  <c r="L3864" i="3" l="1"/>
  <c r="F3864" i="3"/>
  <c r="J3864" i="3"/>
  <c r="D3864" i="3"/>
  <c r="K3864" i="3"/>
  <c r="E3864" i="3"/>
  <c r="A3865" i="3"/>
  <c r="I3863" i="3"/>
  <c r="H3863" i="3" s="1"/>
  <c r="C3863" i="3"/>
  <c r="B3863" i="3" s="1"/>
  <c r="L3865" i="3" l="1"/>
  <c r="F3865" i="3"/>
  <c r="D3865" i="3"/>
  <c r="E3865" i="3"/>
  <c r="J3865" i="3"/>
  <c r="K3865" i="3"/>
  <c r="I3864" i="3"/>
  <c r="H3864" i="3" s="1"/>
  <c r="C3864" i="3"/>
  <c r="B3864" i="3" s="1"/>
  <c r="A3866" i="3"/>
  <c r="L3866" i="3" l="1"/>
  <c r="F3866" i="3"/>
  <c r="J3866" i="3"/>
  <c r="D3866" i="3"/>
  <c r="K3866" i="3"/>
  <c r="E3866" i="3"/>
  <c r="C3865" i="3"/>
  <c r="B3865" i="3" s="1"/>
  <c r="I3865" i="3"/>
  <c r="H3865" i="3" s="1"/>
  <c r="A3867" i="3"/>
  <c r="L3867" i="3" l="1"/>
  <c r="F3867" i="3"/>
  <c r="J3867" i="3"/>
  <c r="D3867" i="3"/>
  <c r="K3867" i="3"/>
  <c r="E3867" i="3"/>
  <c r="C3866" i="3"/>
  <c r="B3866" i="3" s="1"/>
  <c r="I3866" i="3"/>
  <c r="H3866" i="3" s="1"/>
  <c r="A3868" i="3"/>
  <c r="L3868" i="3" l="1"/>
  <c r="F3868" i="3"/>
  <c r="J3868" i="3"/>
  <c r="D3868" i="3"/>
  <c r="K3868" i="3"/>
  <c r="E3868" i="3"/>
  <c r="C3867" i="3"/>
  <c r="B3867" i="3" s="1"/>
  <c r="I3867" i="3"/>
  <c r="H3867" i="3" s="1"/>
  <c r="A3869" i="3"/>
  <c r="L3869" i="3" l="1"/>
  <c r="F3869" i="3"/>
  <c r="J3869" i="3"/>
  <c r="D3869" i="3"/>
  <c r="K3869" i="3"/>
  <c r="E3869" i="3"/>
  <c r="I3868" i="3"/>
  <c r="H3868" i="3" s="1"/>
  <c r="C3868" i="3"/>
  <c r="B3868" i="3" s="1"/>
  <c r="A3870" i="3"/>
  <c r="L3870" i="3" l="1"/>
  <c r="F3870" i="3"/>
  <c r="J3870" i="3"/>
  <c r="D3870" i="3"/>
  <c r="K3870" i="3"/>
  <c r="E3870" i="3"/>
  <c r="I3869" i="3"/>
  <c r="H3869" i="3" s="1"/>
  <c r="A3871" i="3"/>
  <c r="C3869" i="3"/>
  <c r="B3869" i="3" s="1"/>
  <c r="L3871" i="3" l="1"/>
  <c r="F3871" i="3"/>
  <c r="J3871" i="3"/>
  <c r="D3871" i="3"/>
  <c r="K3871" i="3"/>
  <c r="E3871" i="3"/>
  <c r="C3870" i="3"/>
  <c r="B3870" i="3" s="1"/>
  <c r="I3870" i="3"/>
  <c r="H3870" i="3" s="1"/>
  <c r="A3872" i="3"/>
  <c r="L3872" i="3" l="1"/>
  <c r="F3872" i="3"/>
  <c r="J3872" i="3"/>
  <c r="D3872" i="3"/>
  <c r="K3872" i="3"/>
  <c r="E3872" i="3"/>
  <c r="C3871" i="3"/>
  <c r="B3871" i="3" s="1"/>
  <c r="I3871" i="3"/>
  <c r="H3871" i="3" s="1"/>
  <c r="A3873" i="3"/>
  <c r="L3873" i="3" l="1"/>
  <c r="F3873" i="3"/>
  <c r="J3873" i="3"/>
  <c r="D3873" i="3"/>
  <c r="K3873" i="3"/>
  <c r="E3873" i="3"/>
  <c r="I3872" i="3"/>
  <c r="H3872" i="3" s="1"/>
  <c r="C3872" i="3"/>
  <c r="B3872" i="3" s="1"/>
  <c r="A3874" i="3"/>
  <c r="L3874" i="3" l="1"/>
  <c r="F3874" i="3"/>
  <c r="J3874" i="3"/>
  <c r="D3874" i="3"/>
  <c r="K3874" i="3"/>
  <c r="E3874" i="3"/>
  <c r="A3875" i="3"/>
  <c r="I3873" i="3"/>
  <c r="H3873" i="3" s="1"/>
  <c r="C3873" i="3"/>
  <c r="B3873" i="3" s="1"/>
  <c r="L3875" i="3" l="1"/>
  <c r="F3875" i="3"/>
  <c r="J3875" i="3"/>
  <c r="D3875" i="3"/>
  <c r="K3875" i="3"/>
  <c r="E3875" i="3"/>
  <c r="I3874" i="3"/>
  <c r="H3874" i="3" s="1"/>
  <c r="C3874" i="3"/>
  <c r="B3874" i="3" s="1"/>
  <c r="A3876" i="3"/>
  <c r="L3876" i="3" l="1"/>
  <c r="F3876" i="3"/>
  <c r="J3876" i="3"/>
  <c r="D3876" i="3"/>
  <c r="K3876" i="3"/>
  <c r="E3876" i="3"/>
  <c r="I3875" i="3"/>
  <c r="H3875" i="3" s="1"/>
  <c r="C3875" i="3"/>
  <c r="B3875" i="3" s="1"/>
  <c r="A3877" i="3"/>
  <c r="L3877" i="3" l="1"/>
  <c r="F3877" i="3"/>
  <c r="J3877" i="3"/>
  <c r="D3877" i="3"/>
  <c r="K3877" i="3"/>
  <c r="E3877" i="3"/>
  <c r="I3876" i="3"/>
  <c r="H3876" i="3" s="1"/>
  <c r="A3878" i="3"/>
  <c r="C3876" i="3"/>
  <c r="B3876" i="3" s="1"/>
  <c r="L3878" i="3" l="1"/>
  <c r="F3878" i="3"/>
  <c r="J3878" i="3"/>
  <c r="D3878" i="3"/>
  <c r="K3878" i="3"/>
  <c r="E3878" i="3"/>
  <c r="I3877" i="3"/>
  <c r="H3877" i="3" s="1"/>
  <c r="C3877" i="3"/>
  <c r="B3877" i="3" s="1"/>
  <c r="A3879" i="3"/>
  <c r="I3878" i="3" l="1"/>
  <c r="H3878" i="3" s="1"/>
  <c r="L3879" i="3"/>
  <c r="F3879" i="3"/>
  <c r="J3879" i="3"/>
  <c r="D3879" i="3"/>
  <c r="K3879" i="3"/>
  <c r="E3879" i="3"/>
  <c r="C3878" i="3"/>
  <c r="B3878" i="3" s="1"/>
  <c r="A3880" i="3"/>
  <c r="L3880" i="3" l="1"/>
  <c r="F3880" i="3"/>
  <c r="J3880" i="3"/>
  <c r="D3880" i="3"/>
  <c r="K3880" i="3"/>
  <c r="E3880" i="3"/>
  <c r="I3879" i="3"/>
  <c r="H3879" i="3" s="1"/>
  <c r="C3879" i="3"/>
  <c r="B3879" i="3" s="1"/>
  <c r="A3881" i="3"/>
  <c r="L3881" i="3" l="1"/>
  <c r="F3881" i="3"/>
  <c r="J3881" i="3"/>
  <c r="D3881" i="3"/>
  <c r="K3881" i="3"/>
  <c r="E3881" i="3"/>
  <c r="C3880" i="3"/>
  <c r="B3880" i="3" s="1"/>
  <c r="I3880" i="3"/>
  <c r="H3880" i="3" s="1"/>
  <c r="A3882" i="3"/>
  <c r="L3882" i="3" l="1"/>
  <c r="F3882" i="3"/>
  <c r="J3882" i="3"/>
  <c r="D3882" i="3"/>
  <c r="K3882" i="3"/>
  <c r="E3882" i="3"/>
  <c r="I3881" i="3"/>
  <c r="H3881" i="3" s="1"/>
  <c r="C3881" i="3"/>
  <c r="B3881" i="3" s="1"/>
  <c r="A3883" i="3"/>
  <c r="L3883" i="3" l="1"/>
  <c r="F3883" i="3"/>
  <c r="J3883" i="3"/>
  <c r="D3883" i="3"/>
  <c r="K3883" i="3"/>
  <c r="E3883" i="3"/>
  <c r="I3882" i="3"/>
  <c r="H3882" i="3" s="1"/>
  <c r="A3884" i="3"/>
  <c r="C3882" i="3"/>
  <c r="B3882" i="3" s="1"/>
  <c r="L3884" i="3" l="1"/>
  <c r="F3884" i="3"/>
  <c r="J3884" i="3"/>
  <c r="D3884" i="3"/>
  <c r="K3884" i="3"/>
  <c r="E3884" i="3"/>
  <c r="C3883" i="3"/>
  <c r="B3883" i="3" s="1"/>
  <c r="I3883" i="3"/>
  <c r="H3883" i="3" s="1"/>
  <c r="A3885" i="3"/>
  <c r="L3885" i="3" l="1"/>
  <c r="F3885" i="3"/>
  <c r="J3885" i="3"/>
  <c r="D3885" i="3"/>
  <c r="K3885" i="3"/>
  <c r="E3885" i="3"/>
  <c r="C3884" i="3"/>
  <c r="B3884" i="3" s="1"/>
  <c r="I3884" i="3"/>
  <c r="H3884" i="3" s="1"/>
  <c r="A3886" i="3"/>
  <c r="L3886" i="3" l="1"/>
  <c r="F3886" i="3"/>
  <c r="J3886" i="3"/>
  <c r="D3886" i="3"/>
  <c r="K3886" i="3"/>
  <c r="E3886" i="3"/>
  <c r="I3885" i="3"/>
  <c r="H3885" i="3" s="1"/>
  <c r="C3885" i="3"/>
  <c r="B3885" i="3" s="1"/>
  <c r="A3887" i="3"/>
  <c r="L3887" i="3" l="1"/>
  <c r="F3887" i="3"/>
  <c r="J3887" i="3"/>
  <c r="D3887" i="3"/>
  <c r="K3887" i="3"/>
  <c r="E3887" i="3"/>
  <c r="C3886" i="3"/>
  <c r="B3886" i="3" s="1"/>
  <c r="A3888" i="3"/>
  <c r="I3886" i="3"/>
  <c r="H3886" i="3" s="1"/>
  <c r="L3888" i="3" l="1"/>
  <c r="F3888" i="3"/>
  <c r="J3888" i="3"/>
  <c r="D3888" i="3"/>
  <c r="K3888" i="3"/>
  <c r="E3888" i="3"/>
  <c r="I3887" i="3"/>
  <c r="H3887" i="3" s="1"/>
  <c r="C3887" i="3"/>
  <c r="B3887" i="3" s="1"/>
  <c r="A3889" i="3"/>
  <c r="L3889" i="3" l="1"/>
  <c r="F3889" i="3"/>
  <c r="J3889" i="3"/>
  <c r="D3889" i="3"/>
  <c r="K3889" i="3"/>
  <c r="E3889" i="3"/>
  <c r="C3888" i="3"/>
  <c r="B3888" i="3" s="1"/>
  <c r="I3888" i="3"/>
  <c r="H3888" i="3" s="1"/>
  <c r="A3890" i="3"/>
  <c r="L3890" i="3" l="1"/>
  <c r="F3890" i="3"/>
  <c r="J3890" i="3"/>
  <c r="D3890" i="3"/>
  <c r="K3890" i="3"/>
  <c r="E3890" i="3"/>
  <c r="A3891" i="3"/>
  <c r="I3889" i="3"/>
  <c r="H3889" i="3" s="1"/>
  <c r="C3889" i="3"/>
  <c r="B3889" i="3" s="1"/>
  <c r="L3891" i="3" l="1"/>
  <c r="F3891" i="3"/>
  <c r="D3891" i="3"/>
  <c r="E3891" i="3"/>
  <c r="J3891" i="3"/>
  <c r="K3891" i="3"/>
  <c r="I3890" i="3"/>
  <c r="H3890" i="3" s="1"/>
  <c r="A3892" i="3"/>
  <c r="C3890" i="3"/>
  <c r="B3890" i="3" s="1"/>
  <c r="L3892" i="3" l="1"/>
  <c r="F3892" i="3"/>
  <c r="J3892" i="3"/>
  <c r="D3892" i="3"/>
  <c r="K3892" i="3"/>
  <c r="E3892" i="3"/>
  <c r="C3891" i="3"/>
  <c r="B3891" i="3" s="1"/>
  <c r="I3891" i="3"/>
  <c r="H3891" i="3" s="1"/>
  <c r="A3893" i="3"/>
  <c r="L3893" i="3" l="1"/>
  <c r="F3893" i="3"/>
  <c r="J3893" i="3"/>
  <c r="D3893" i="3"/>
  <c r="K3893" i="3"/>
  <c r="E3893" i="3"/>
  <c r="I3892" i="3"/>
  <c r="H3892" i="3" s="1"/>
  <c r="C3892" i="3"/>
  <c r="B3892" i="3" s="1"/>
  <c r="A3894" i="3"/>
  <c r="L3894" i="3" l="1"/>
  <c r="F3894" i="3"/>
  <c r="J3894" i="3"/>
  <c r="D3894" i="3"/>
  <c r="K3894" i="3"/>
  <c r="E3894" i="3"/>
  <c r="I3893" i="3"/>
  <c r="H3893" i="3" s="1"/>
  <c r="C3893" i="3"/>
  <c r="B3893" i="3" s="1"/>
  <c r="A3895" i="3"/>
  <c r="L3895" i="3" l="1"/>
  <c r="F3895" i="3"/>
  <c r="J3895" i="3"/>
  <c r="D3895" i="3"/>
  <c r="K3895" i="3"/>
  <c r="E3895" i="3"/>
  <c r="C3894" i="3"/>
  <c r="B3894" i="3" s="1"/>
  <c r="A3896" i="3"/>
  <c r="I3894" i="3"/>
  <c r="H3894" i="3" s="1"/>
  <c r="L3896" i="3" l="1"/>
  <c r="F3896" i="3"/>
  <c r="D3896" i="3"/>
  <c r="J3896" i="3"/>
  <c r="E3896" i="3"/>
  <c r="K3896" i="3"/>
  <c r="I3895" i="3"/>
  <c r="H3895" i="3" s="1"/>
  <c r="C3895" i="3"/>
  <c r="B3895" i="3" s="1"/>
  <c r="A3897" i="3"/>
  <c r="L3897" i="3" l="1"/>
  <c r="F3897" i="3"/>
  <c r="J3897" i="3"/>
  <c r="D3897" i="3"/>
  <c r="K3897" i="3"/>
  <c r="E3897" i="3"/>
  <c r="I3896" i="3"/>
  <c r="H3896" i="3" s="1"/>
  <c r="C3896" i="3"/>
  <c r="B3896" i="3" s="1"/>
  <c r="A3898" i="3"/>
  <c r="L3898" i="3" l="1"/>
  <c r="F3898" i="3"/>
  <c r="J3898" i="3"/>
  <c r="D3898" i="3"/>
  <c r="K3898" i="3"/>
  <c r="E3898" i="3"/>
  <c r="C3897" i="3"/>
  <c r="B3897" i="3" s="1"/>
  <c r="I3897" i="3"/>
  <c r="H3897" i="3" s="1"/>
  <c r="A3899" i="3"/>
  <c r="L3899" i="3" l="1"/>
  <c r="F3899" i="3"/>
  <c r="J3899" i="3"/>
  <c r="D3899" i="3"/>
  <c r="K3899" i="3"/>
  <c r="E3899" i="3"/>
  <c r="C3898" i="3"/>
  <c r="B3898" i="3" s="1"/>
  <c r="I3898" i="3"/>
  <c r="H3898" i="3" s="1"/>
  <c r="A3900" i="3"/>
  <c r="L3900" i="3" l="1"/>
  <c r="F3900" i="3"/>
  <c r="J3900" i="3"/>
  <c r="D3900" i="3"/>
  <c r="K3900" i="3"/>
  <c r="E3900" i="3"/>
  <c r="C3899" i="3"/>
  <c r="B3899" i="3" s="1"/>
  <c r="I3899" i="3"/>
  <c r="H3899" i="3" s="1"/>
  <c r="A3901" i="3"/>
  <c r="L3901" i="3" l="1"/>
  <c r="F3901" i="3"/>
  <c r="J3901" i="3"/>
  <c r="D3901" i="3"/>
  <c r="K3901" i="3"/>
  <c r="E3901" i="3"/>
  <c r="I3900" i="3"/>
  <c r="H3900" i="3" s="1"/>
  <c r="C3900" i="3"/>
  <c r="B3900" i="3" s="1"/>
  <c r="A3902" i="3"/>
  <c r="L3902" i="3" l="1"/>
  <c r="F3902" i="3"/>
  <c r="J3902" i="3"/>
  <c r="D3902" i="3"/>
  <c r="K3902" i="3"/>
  <c r="E3902" i="3"/>
  <c r="I3901" i="3"/>
  <c r="H3901" i="3" s="1"/>
  <c r="C3901" i="3"/>
  <c r="B3901" i="3" s="1"/>
  <c r="A3903" i="3"/>
  <c r="L3903" i="3" l="1"/>
  <c r="F3903" i="3"/>
  <c r="J3903" i="3"/>
  <c r="D3903" i="3"/>
  <c r="K3903" i="3"/>
  <c r="E3903" i="3"/>
  <c r="I3902" i="3"/>
  <c r="H3902" i="3" s="1"/>
  <c r="A3904" i="3"/>
  <c r="C3902" i="3"/>
  <c r="B3902" i="3" s="1"/>
  <c r="L3904" i="3" l="1"/>
  <c r="F3904" i="3"/>
  <c r="J3904" i="3"/>
  <c r="D3904" i="3"/>
  <c r="K3904" i="3"/>
  <c r="E3904" i="3"/>
  <c r="I3903" i="3"/>
  <c r="H3903" i="3" s="1"/>
  <c r="C3903" i="3"/>
  <c r="B3903" i="3" s="1"/>
  <c r="A3905" i="3"/>
  <c r="L3905" i="3" l="1"/>
  <c r="F3905" i="3"/>
  <c r="J3905" i="3"/>
  <c r="D3905" i="3"/>
  <c r="K3905" i="3"/>
  <c r="E3905" i="3"/>
  <c r="I3904" i="3"/>
  <c r="H3904" i="3" s="1"/>
  <c r="A3906" i="3"/>
  <c r="C3904" i="3"/>
  <c r="B3904" i="3" s="1"/>
  <c r="L3906" i="3" l="1"/>
  <c r="F3906" i="3"/>
  <c r="J3906" i="3"/>
  <c r="D3906" i="3"/>
  <c r="K3906" i="3"/>
  <c r="E3906" i="3"/>
  <c r="I3905" i="3"/>
  <c r="H3905" i="3" s="1"/>
  <c r="C3905" i="3"/>
  <c r="B3905" i="3" s="1"/>
  <c r="A3907" i="3"/>
  <c r="L3907" i="3" l="1"/>
  <c r="F3907" i="3"/>
  <c r="J3907" i="3"/>
  <c r="D3907" i="3"/>
  <c r="K3907" i="3"/>
  <c r="E3907" i="3"/>
  <c r="I3906" i="3"/>
  <c r="H3906" i="3" s="1"/>
  <c r="C3906" i="3"/>
  <c r="B3906" i="3" s="1"/>
  <c r="A3908" i="3"/>
  <c r="L3908" i="3" l="1"/>
  <c r="F3908" i="3"/>
  <c r="J3908" i="3"/>
  <c r="K3908" i="3"/>
  <c r="D3908" i="3"/>
  <c r="E3908" i="3"/>
  <c r="I3907" i="3"/>
  <c r="H3907" i="3" s="1"/>
  <c r="A3909" i="3"/>
  <c r="C3907" i="3"/>
  <c r="B3907" i="3" s="1"/>
  <c r="L3909" i="3" l="1"/>
  <c r="F3909" i="3"/>
  <c r="J3909" i="3"/>
  <c r="D3909" i="3"/>
  <c r="K3909" i="3"/>
  <c r="E3909" i="3"/>
  <c r="I3908" i="3"/>
  <c r="H3908" i="3" s="1"/>
  <c r="C3908" i="3"/>
  <c r="B3908" i="3" s="1"/>
  <c r="A3910" i="3"/>
  <c r="L3910" i="3" l="1"/>
  <c r="F3910" i="3"/>
  <c r="J3910" i="3"/>
  <c r="D3910" i="3"/>
  <c r="K3910" i="3"/>
  <c r="E3910" i="3"/>
  <c r="C3909" i="3"/>
  <c r="B3909" i="3" s="1"/>
  <c r="I3909" i="3"/>
  <c r="H3909" i="3" s="1"/>
  <c r="A3911" i="3"/>
  <c r="L3911" i="3" l="1"/>
  <c r="F3911" i="3"/>
  <c r="J3911" i="3"/>
  <c r="D3911" i="3"/>
  <c r="K3911" i="3"/>
  <c r="E3911" i="3"/>
  <c r="I3910" i="3"/>
  <c r="H3910" i="3" s="1"/>
  <c r="C3910" i="3"/>
  <c r="B3910" i="3" s="1"/>
  <c r="A3912" i="3"/>
  <c r="L3912" i="3" l="1"/>
  <c r="F3912" i="3"/>
  <c r="J3912" i="3"/>
  <c r="D3912" i="3"/>
  <c r="K3912" i="3"/>
  <c r="E3912" i="3"/>
  <c r="C3911" i="3"/>
  <c r="B3911" i="3" s="1"/>
  <c r="I3911" i="3"/>
  <c r="H3911" i="3" s="1"/>
  <c r="A3913" i="3"/>
  <c r="L3913" i="3" l="1"/>
  <c r="F3913" i="3"/>
  <c r="J3913" i="3"/>
  <c r="D3913" i="3"/>
  <c r="K3913" i="3"/>
  <c r="E3913" i="3"/>
  <c r="I3912" i="3"/>
  <c r="H3912" i="3" s="1"/>
  <c r="C3912" i="3"/>
  <c r="B3912" i="3" s="1"/>
  <c r="A3914" i="3"/>
  <c r="L3914" i="3" l="1"/>
  <c r="F3914" i="3"/>
  <c r="J3914" i="3"/>
  <c r="D3914" i="3"/>
  <c r="K3914" i="3"/>
  <c r="E3914" i="3"/>
  <c r="I3913" i="3"/>
  <c r="H3913" i="3" s="1"/>
  <c r="A3915" i="3"/>
  <c r="C3913" i="3"/>
  <c r="B3913" i="3" s="1"/>
  <c r="L3915" i="3" l="1"/>
  <c r="F3915" i="3"/>
  <c r="J3915" i="3"/>
  <c r="D3915" i="3"/>
  <c r="K3915" i="3"/>
  <c r="E3915" i="3"/>
  <c r="I3914" i="3"/>
  <c r="H3914" i="3" s="1"/>
  <c r="C3914" i="3"/>
  <c r="B3914" i="3" s="1"/>
  <c r="A3916" i="3"/>
  <c r="L3916" i="3" l="1"/>
  <c r="F3916" i="3"/>
  <c r="J3916" i="3"/>
  <c r="D3916" i="3"/>
  <c r="K3916" i="3"/>
  <c r="E3916" i="3"/>
  <c r="I3915" i="3"/>
  <c r="H3915" i="3" s="1"/>
  <c r="A3917" i="3"/>
  <c r="C3915" i="3"/>
  <c r="B3915" i="3" s="1"/>
  <c r="L3917" i="3" l="1"/>
  <c r="F3917" i="3"/>
  <c r="J3917" i="3"/>
  <c r="D3917" i="3"/>
  <c r="K3917" i="3"/>
  <c r="E3917" i="3"/>
  <c r="C3916" i="3"/>
  <c r="B3916" i="3" s="1"/>
  <c r="I3916" i="3"/>
  <c r="H3916" i="3" s="1"/>
  <c r="A3918" i="3"/>
  <c r="L3918" i="3" l="1"/>
  <c r="F3918" i="3"/>
  <c r="J3918" i="3"/>
  <c r="D3918" i="3"/>
  <c r="K3918" i="3"/>
  <c r="E3918" i="3"/>
  <c r="I3917" i="3"/>
  <c r="H3917" i="3" s="1"/>
  <c r="C3917" i="3"/>
  <c r="B3917" i="3" s="1"/>
  <c r="A3919" i="3"/>
  <c r="L3919" i="3" l="1"/>
  <c r="F3919" i="3"/>
  <c r="J3919" i="3"/>
  <c r="D3919" i="3"/>
  <c r="K3919" i="3"/>
  <c r="E3919" i="3"/>
  <c r="I3918" i="3"/>
  <c r="H3918" i="3" s="1"/>
  <c r="C3918" i="3"/>
  <c r="B3918" i="3" s="1"/>
  <c r="A3920" i="3"/>
  <c r="L3920" i="3" l="1"/>
  <c r="F3920" i="3"/>
  <c r="J3920" i="3"/>
  <c r="D3920" i="3"/>
  <c r="K3920" i="3"/>
  <c r="E3920" i="3"/>
  <c r="I3919" i="3"/>
  <c r="H3919" i="3" s="1"/>
  <c r="A3921" i="3"/>
  <c r="C3919" i="3"/>
  <c r="B3919" i="3" s="1"/>
  <c r="L3921" i="3" l="1"/>
  <c r="F3921" i="3"/>
  <c r="J3921" i="3"/>
  <c r="D3921" i="3"/>
  <c r="K3921" i="3"/>
  <c r="E3921" i="3"/>
  <c r="C3920" i="3"/>
  <c r="B3920" i="3" s="1"/>
  <c r="I3920" i="3"/>
  <c r="H3920" i="3" s="1"/>
  <c r="A3922" i="3"/>
  <c r="L3922" i="3" l="1"/>
  <c r="F3922" i="3"/>
  <c r="D3922" i="3"/>
  <c r="J3922" i="3"/>
  <c r="E3922" i="3"/>
  <c r="K3922" i="3"/>
  <c r="C3921" i="3"/>
  <c r="B3921" i="3" s="1"/>
  <c r="I3921" i="3"/>
  <c r="H3921" i="3" s="1"/>
  <c r="A3923" i="3"/>
  <c r="L3923" i="3" l="1"/>
  <c r="F3923" i="3"/>
  <c r="J3923" i="3"/>
  <c r="D3923" i="3"/>
  <c r="K3923" i="3"/>
  <c r="E3923" i="3"/>
  <c r="C3922" i="3"/>
  <c r="B3922" i="3" s="1"/>
  <c r="A3924" i="3"/>
  <c r="I3922" i="3"/>
  <c r="H3922" i="3" s="1"/>
  <c r="L3924" i="3" l="1"/>
  <c r="F3924" i="3"/>
  <c r="J3924" i="3"/>
  <c r="D3924" i="3"/>
  <c r="K3924" i="3"/>
  <c r="E3924" i="3"/>
  <c r="I3923" i="3"/>
  <c r="H3923" i="3" s="1"/>
  <c r="C3923" i="3"/>
  <c r="B3923" i="3" s="1"/>
  <c r="A3925" i="3"/>
  <c r="L3925" i="3" l="1"/>
  <c r="F3925" i="3"/>
  <c r="J3925" i="3"/>
  <c r="D3925" i="3"/>
  <c r="K3925" i="3"/>
  <c r="E3925" i="3"/>
  <c r="C3924" i="3"/>
  <c r="B3924" i="3" s="1"/>
  <c r="I3924" i="3"/>
  <c r="H3924" i="3" s="1"/>
  <c r="A3926" i="3"/>
  <c r="L3926" i="3" l="1"/>
  <c r="F3926" i="3"/>
  <c r="D3926" i="3"/>
  <c r="E3926" i="3"/>
  <c r="J3926" i="3"/>
  <c r="K3926" i="3"/>
  <c r="C3925" i="3"/>
  <c r="B3925" i="3" s="1"/>
  <c r="I3925" i="3"/>
  <c r="H3925" i="3" s="1"/>
  <c r="A3927" i="3"/>
  <c r="L3927" i="3" l="1"/>
  <c r="F3927" i="3"/>
  <c r="J3927" i="3"/>
  <c r="D3927" i="3"/>
  <c r="K3927" i="3"/>
  <c r="E3927" i="3"/>
  <c r="I3926" i="3"/>
  <c r="H3926" i="3" s="1"/>
  <c r="C3926" i="3"/>
  <c r="B3926" i="3" s="1"/>
  <c r="A3928" i="3"/>
  <c r="L3928" i="3" l="1"/>
  <c r="F3928" i="3"/>
  <c r="J3928" i="3"/>
  <c r="D3928" i="3"/>
  <c r="K3928" i="3"/>
  <c r="E3928" i="3"/>
  <c r="C3927" i="3"/>
  <c r="B3927" i="3" s="1"/>
  <c r="I3927" i="3"/>
  <c r="H3927" i="3" s="1"/>
  <c r="A3929" i="3"/>
  <c r="L3929" i="3" l="1"/>
  <c r="F3929" i="3"/>
  <c r="J3929" i="3"/>
  <c r="D3929" i="3"/>
  <c r="K3929" i="3"/>
  <c r="E3929" i="3"/>
  <c r="C3928" i="3"/>
  <c r="B3928" i="3" s="1"/>
  <c r="I3928" i="3"/>
  <c r="H3928" i="3" s="1"/>
  <c r="A3930" i="3"/>
  <c r="L3930" i="3" l="1"/>
  <c r="F3930" i="3"/>
  <c r="J3930" i="3"/>
  <c r="D3930" i="3"/>
  <c r="K3930" i="3"/>
  <c r="E3930" i="3"/>
  <c r="I3929" i="3"/>
  <c r="H3929" i="3" s="1"/>
  <c r="C3929" i="3"/>
  <c r="B3929" i="3" s="1"/>
  <c r="A3931" i="3"/>
  <c r="L3931" i="3" l="1"/>
  <c r="F3931" i="3"/>
  <c r="J3931" i="3"/>
  <c r="D3931" i="3"/>
  <c r="K3931" i="3"/>
  <c r="E3931" i="3"/>
  <c r="I3930" i="3"/>
  <c r="H3930" i="3" s="1"/>
  <c r="C3930" i="3"/>
  <c r="B3930" i="3" s="1"/>
  <c r="A3932" i="3"/>
  <c r="L3932" i="3" l="1"/>
  <c r="F3932" i="3"/>
  <c r="J3932" i="3"/>
  <c r="D3932" i="3"/>
  <c r="K3932" i="3"/>
  <c r="E3932" i="3"/>
  <c r="C3931" i="3"/>
  <c r="B3931" i="3" s="1"/>
  <c r="I3931" i="3"/>
  <c r="H3931" i="3" s="1"/>
  <c r="A3933" i="3"/>
  <c r="L3933" i="3" l="1"/>
  <c r="F3933" i="3"/>
  <c r="J3933" i="3"/>
  <c r="D3933" i="3"/>
  <c r="K3933" i="3"/>
  <c r="E3933" i="3"/>
  <c r="I3932" i="3"/>
  <c r="H3932" i="3" s="1"/>
  <c r="C3932" i="3"/>
  <c r="B3932" i="3" s="1"/>
  <c r="A3934" i="3"/>
  <c r="L3934" i="3" l="1"/>
  <c r="F3934" i="3"/>
  <c r="J3934" i="3"/>
  <c r="D3934" i="3"/>
  <c r="K3934" i="3"/>
  <c r="E3934" i="3"/>
  <c r="I3933" i="3"/>
  <c r="H3933" i="3" s="1"/>
  <c r="C3933" i="3"/>
  <c r="B3933" i="3" s="1"/>
  <c r="A3935" i="3"/>
  <c r="L3935" i="3" l="1"/>
  <c r="F3935" i="3"/>
  <c r="J3935" i="3"/>
  <c r="D3935" i="3"/>
  <c r="K3935" i="3"/>
  <c r="E3935" i="3"/>
  <c r="C3934" i="3"/>
  <c r="B3934" i="3" s="1"/>
  <c r="I3934" i="3"/>
  <c r="H3934" i="3" s="1"/>
  <c r="A3936" i="3"/>
  <c r="L3936" i="3" l="1"/>
  <c r="F3936" i="3"/>
  <c r="J3936" i="3"/>
  <c r="D3936" i="3"/>
  <c r="K3936" i="3"/>
  <c r="E3936" i="3"/>
  <c r="C3935" i="3"/>
  <c r="B3935" i="3" s="1"/>
  <c r="I3935" i="3"/>
  <c r="H3935" i="3" s="1"/>
  <c r="A3937" i="3"/>
  <c r="L3937" i="3" l="1"/>
  <c r="F3937" i="3"/>
  <c r="J3937" i="3"/>
  <c r="D3937" i="3"/>
  <c r="K3937" i="3"/>
  <c r="E3937" i="3"/>
  <c r="I3936" i="3"/>
  <c r="H3936" i="3" s="1"/>
  <c r="C3936" i="3"/>
  <c r="B3936" i="3" s="1"/>
  <c r="A3938" i="3"/>
  <c r="L3938" i="3" l="1"/>
  <c r="F3938" i="3"/>
  <c r="J3938" i="3"/>
  <c r="D3938" i="3"/>
  <c r="K3938" i="3"/>
  <c r="E3938" i="3"/>
  <c r="C3937" i="3"/>
  <c r="B3937" i="3" s="1"/>
  <c r="I3937" i="3"/>
  <c r="H3937" i="3" s="1"/>
  <c r="A3939" i="3"/>
  <c r="L3939" i="3" l="1"/>
  <c r="F3939" i="3"/>
  <c r="J3939" i="3"/>
  <c r="D3939" i="3"/>
  <c r="K3939" i="3"/>
  <c r="E3939" i="3"/>
  <c r="C3938" i="3"/>
  <c r="B3938" i="3" s="1"/>
  <c r="I3938" i="3"/>
  <c r="H3938" i="3" s="1"/>
  <c r="A3940" i="3"/>
  <c r="L3940" i="3" l="1"/>
  <c r="F3940" i="3"/>
  <c r="J3940" i="3"/>
  <c r="D3940" i="3"/>
  <c r="K3940" i="3"/>
  <c r="E3940" i="3"/>
  <c r="C3939" i="3"/>
  <c r="B3939" i="3" s="1"/>
  <c r="I3939" i="3"/>
  <c r="H3939" i="3" s="1"/>
  <c r="A3941" i="3"/>
  <c r="L3941" i="3" l="1"/>
  <c r="F3941" i="3"/>
  <c r="J3941" i="3"/>
  <c r="D3941" i="3"/>
  <c r="K3941" i="3"/>
  <c r="E3941" i="3"/>
  <c r="I3940" i="3"/>
  <c r="H3940" i="3" s="1"/>
  <c r="C3940" i="3"/>
  <c r="B3940" i="3" s="1"/>
  <c r="A3942" i="3"/>
  <c r="L3942" i="3" l="1"/>
  <c r="F3942" i="3"/>
  <c r="J3942" i="3"/>
  <c r="D3942" i="3"/>
  <c r="K3942" i="3"/>
  <c r="E3942" i="3"/>
  <c r="I3941" i="3"/>
  <c r="H3941" i="3" s="1"/>
  <c r="C3941" i="3"/>
  <c r="B3941" i="3" s="1"/>
  <c r="A3943" i="3"/>
  <c r="L3943" i="3" l="1"/>
  <c r="F3943" i="3"/>
  <c r="J3943" i="3"/>
  <c r="D3943" i="3"/>
  <c r="K3943" i="3"/>
  <c r="E3943" i="3"/>
  <c r="A3944" i="3"/>
  <c r="I3942" i="3"/>
  <c r="H3942" i="3" s="1"/>
  <c r="C3942" i="3"/>
  <c r="B3942" i="3" s="1"/>
  <c r="L3944" i="3" l="1"/>
  <c r="F3944" i="3"/>
  <c r="J3944" i="3"/>
  <c r="D3944" i="3"/>
  <c r="K3944" i="3"/>
  <c r="E3944" i="3"/>
  <c r="I3943" i="3"/>
  <c r="H3943" i="3" s="1"/>
  <c r="C3943" i="3"/>
  <c r="B3943" i="3" s="1"/>
  <c r="A3945" i="3"/>
  <c r="L3945" i="3" l="1"/>
  <c r="F3945" i="3"/>
  <c r="J3945" i="3"/>
  <c r="D3945" i="3"/>
  <c r="K3945" i="3"/>
  <c r="E3945" i="3"/>
  <c r="C3944" i="3"/>
  <c r="B3944" i="3" s="1"/>
  <c r="I3944" i="3"/>
  <c r="H3944" i="3" s="1"/>
  <c r="A3946" i="3"/>
  <c r="L3946" i="3" l="1"/>
  <c r="F3946" i="3"/>
  <c r="J3946" i="3"/>
  <c r="D3946" i="3"/>
  <c r="K3946" i="3"/>
  <c r="E3946" i="3"/>
  <c r="C3945" i="3"/>
  <c r="B3945" i="3" s="1"/>
  <c r="I3945" i="3"/>
  <c r="H3945" i="3" s="1"/>
  <c r="A3947" i="3"/>
  <c r="L3947" i="3" l="1"/>
  <c r="F3947" i="3"/>
  <c r="J3947" i="3"/>
  <c r="D3947" i="3"/>
  <c r="K3947" i="3"/>
  <c r="E3947" i="3"/>
  <c r="C3946" i="3"/>
  <c r="B3946" i="3" s="1"/>
  <c r="I3946" i="3"/>
  <c r="H3946" i="3" s="1"/>
  <c r="A3948" i="3"/>
  <c r="L3948" i="3" l="1"/>
  <c r="F3948" i="3"/>
  <c r="J3948" i="3"/>
  <c r="D3948" i="3"/>
  <c r="K3948" i="3"/>
  <c r="E3948" i="3"/>
  <c r="C3947" i="3"/>
  <c r="B3947" i="3" s="1"/>
  <c r="I3947" i="3"/>
  <c r="H3947" i="3" s="1"/>
  <c r="A3949" i="3"/>
  <c r="L3949" i="3" l="1"/>
  <c r="F3949" i="3"/>
  <c r="J3949" i="3"/>
  <c r="D3949" i="3"/>
  <c r="K3949" i="3"/>
  <c r="E3949" i="3"/>
  <c r="I3948" i="3"/>
  <c r="H3948" i="3" s="1"/>
  <c r="C3948" i="3"/>
  <c r="B3948" i="3" s="1"/>
  <c r="A3950" i="3"/>
  <c r="L3950" i="3" l="1"/>
  <c r="F3950" i="3"/>
  <c r="J3950" i="3"/>
  <c r="D3950" i="3"/>
  <c r="K3950" i="3"/>
  <c r="E3950" i="3"/>
  <c r="I3949" i="3"/>
  <c r="H3949" i="3" s="1"/>
  <c r="A3951" i="3"/>
  <c r="C3949" i="3"/>
  <c r="B3949" i="3" s="1"/>
  <c r="L3951" i="3" l="1"/>
  <c r="F3951" i="3"/>
  <c r="J3951" i="3"/>
  <c r="D3951" i="3"/>
  <c r="K3951" i="3"/>
  <c r="E3951" i="3"/>
  <c r="I3950" i="3"/>
  <c r="H3950" i="3" s="1"/>
  <c r="C3950" i="3"/>
  <c r="B3950" i="3" s="1"/>
  <c r="A3952" i="3"/>
  <c r="L3952" i="3" l="1"/>
  <c r="F3952" i="3"/>
  <c r="J3952" i="3"/>
  <c r="D3952" i="3"/>
  <c r="K3952" i="3"/>
  <c r="E3952" i="3"/>
  <c r="C3951" i="3"/>
  <c r="B3951" i="3" s="1"/>
  <c r="I3951" i="3"/>
  <c r="H3951" i="3" s="1"/>
  <c r="A3953" i="3"/>
  <c r="L3953" i="3" l="1"/>
  <c r="F3953" i="3"/>
  <c r="J3953" i="3"/>
  <c r="D3953" i="3"/>
  <c r="K3953" i="3"/>
  <c r="E3953" i="3"/>
  <c r="I3952" i="3"/>
  <c r="H3952" i="3" s="1"/>
  <c r="C3952" i="3"/>
  <c r="B3952" i="3" s="1"/>
  <c r="A3954" i="3"/>
  <c r="L3954" i="3" l="1"/>
  <c r="F3954" i="3"/>
  <c r="D3954" i="3"/>
  <c r="E3954" i="3"/>
  <c r="J3954" i="3"/>
  <c r="K3954" i="3"/>
  <c r="A3955" i="3"/>
  <c r="I3953" i="3"/>
  <c r="H3953" i="3" s="1"/>
  <c r="C3953" i="3"/>
  <c r="B3953" i="3" s="1"/>
  <c r="L3955" i="3" l="1"/>
  <c r="F3955" i="3"/>
  <c r="D3955" i="3"/>
  <c r="E3955" i="3"/>
  <c r="J3955" i="3"/>
  <c r="K3955" i="3"/>
  <c r="C3954" i="3"/>
  <c r="B3954" i="3" s="1"/>
  <c r="I3954" i="3"/>
  <c r="H3954" i="3" s="1"/>
  <c r="A3956" i="3"/>
  <c r="L3956" i="3" l="1"/>
  <c r="F3956" i="3"/>
  <c r="J3956" i="3"/>
  <c r="D3956" i="3"/>
  <c r="K3956" i="3"/>
  <c r="E3956" i="3"/>
  <c r="I3955" i="3"/>
  <c r="H3955" i="3" s="1"/>
  <c r="C3955" i="3"/>
  <c r="B3955" i="3" s="1"/>
  <c r="A3957" i="3"/>
  <c r="L3957" i="3" l="1"/>
  <c r="F3957" i="3"/>
  <c r="J3957" i="3"/>
  <c r="D3957" i="3"/>
  <c r="K3957" i="3"/>
  <c r="E3957" i="3"/>
  <c r="I3956" i="3"/>
  <c r="H3956" i="3" s="1"/>
  <c r="C3956" i="3"/>
  <c r="B3956" i="3" s="1"/>
  <c r="A3958" i="3"/>
  <c r="L3958" i="3" l="1"/>
  <c r="F3958" i="3"/>
  <c r="J3958" i="3"/>
  <c r="D3958" i="3"/>
  <c r="K3958" i="3"/>
  <c r="E3958" i="3"/>
  <c r="I3957" i="3"/>
  <c r="H3957" i="3" s="1"/>
  <c r="C3957" i="3"/>
  <c r="B3957" i="3" s="1"/>
  <c r="A3959" i="3"/>
  <c r="L3959" i="3" l="1"/>
  <c r="F3959" i="3"/>
  <c r="J3959" i="3"/>
  <c r="D3959" i="3"/>
  <c r="K3959" i="3"/>
  <c r="E3959" i="3"/>
  <c r="I3958" i="3"/>
  <c r="H3958" i="3" s="1"/>
  <c r="A3960" i="3"/>
  <c r="C3958" i="3"/>
  <c r="B3958" i="3" s="1"/>
  <c r="L3960" i="3" l="1"/>
  <c r="F3960" i="3"/>
  <c r="J3960" i="3"/>
  <c r="D3960" i="3"/>
  <c r="K3960" i="3"/>
  <c r="E3960" i="3"/>
  <c r="I3959" i="3"/>
  <c r="H3959" i="3" s="1"/>
  <c r="A3961" i="3"/>
  <c r="C3959" i="3"/>
  <c r="B3959" i="3" s="1"/>
  <c r="L3961" i="3" l="1"/>
  <c r="F3961" i="3"/>
  <c r="J3961" i="3"/>
  <c r="D3961" i="3"/>
  <c r="K3961" i="3"/>
  <c r="E3961" i="3"/>
  <c r="I3960" i="3"/>
  <c r="H3960" i="3" s="1"/>
  <c r="C3960" i="3"/>
  <c r="B3960" i="3" s="1"/>
  <c r="A3962" i="3"/>
  <c r="L3962" i="3" l="1"/>
  <c r="F3962" i="3"/>
  <c r="J3962" i="3"/>
  <c r="D3962" i="3"/>
  <c r="K3962" i="3"/>
  <c r="E3962" i="3"/>
  <c r="C3961" i="3"/>
  <c r="B3961" i="3" s="1"/>
  <c r="I3961" i="3"/>
  <c r="H3961" i="3" s="1"/>
  <c r="A3963" i="3"/>
  <c r="L3963" i="3" l="1"/>
  <c r="F3963" i="3"/>
  <c r="J3963" i="3"/>
  <c r="D3963" i="3"/>
  <c r="K3963" i="3"/>
  <c r="E3963" i="3"/>
  <c r="C3962" i="3"/>
  <c r="B3962" i="3" s="1"/>
  <c r="I3962" i="3"/>
  <c r="H3962" i="3" s="1"/>
  <c r="A3964" i="3"/>
  <c r="L3964" i="3" l="1"/>
  <c r="F3964" i="3"/>
  <c r="J3964" i="3"/>
  <c r="D3964" i="3"/>
  <c r="K3964" i="3"/>
  <c r="E3964" i="3"/>
  <c r="I3963" i="3"/>
  <c r="H3963" i="3" s="1"/>
  <c r="C3963" i="3"/>
  <c r="B3963" i="3" s="1"/>
  <c r="A3965" i="3"/>
  <c r="L3965" i="3" l="1"/>
  <c r="F3965" i="3"/>
  <c r="J3965" i="3"/>
  <c r="D3965" i="3"/>
  <c r="K3965" i="3"/>
  <c r="E3965" i="3"/>
  <c r="I3964" i="3"/>
  <c r="H3964" i="3" s="1"/>
  <c r="A3966" i="3"/>
  <c r="C3964" i="3"/>
  <c r="B3964" i="3" s="1"/>
  <c r="L3966" i="3" l="1"/>
  <c r="F3966" i="3"/>
  <c r="J3966" i="3"/>
  <c r="D3966" i="3"/>
  <c r="K3966" i="3"/>
  <c r="E3966" i="3"/>
  <c r="I3965" i="3"/>
  <c r="H3965" i="3" s="1"/>
  <c r="C3965" i="3"/>
  <c r="B3965" i="3" s="1"/>
  <c r="A3967" i="3"/>
  <c r="L3967" i="3" l="1"/>
  <c r="F3967" i="3"/>
  <c r="J3967" i="3"/>
  <c r="D3967" i="3"/>
  <c r="K3967" i="3"/>
  <c r="E3967" i="3"/>
  <c r="I3966" i="3"/>
  <c r="H3966" i="3" s="1"/>
  <c r="C3966" i="3"/>
  <c r="B3966" i="3" s="1"/>
  <c r="A3968" i="3"/>
  <c r="L3968" i="3" l="1"/>
  <c r="F3968" i="3"/>
  <c r="J3968" i="3"/>
  <c r="D3968" i="3"/>
  <c r="K3968" i="3"/>
  <c r="E3968" i="3"/>
  <c r="C3967" i="3"/>
  <c r="B3967" i="3" s="1"/>
  <c r="A3969" i="3"/>
  <c r="I3967" i="3"/>
  <c r="H3967" i="3" s="1"/>
  <c r="L3969" i="3" l="1"/>
  <c r="F3969" i="3"/>
  <c r="J3969" i="3"/>
  <c r="D3969" i="3"/>
  <c r="K3969" i="3"/>
  <c r="E3969" i="3"/>
  <c r="I3968" i="3"/>
  <c r="H3968" i="3" s="1"/>
  <c r="A3970" i="3"/>
  <c r="C3968" i="3"/>
  <c r="B3968" i="3" s="1"/>
  <c r="L3970" i="3" l="1"/>
  <c r="F3970" i="3"/>
  <c r="J3970" i="3"/>
  <c r="D3970" i="3"/>
  <c r="K3970" i="3"/>
  <c r="E3970" i="3"/>
  <c r="C3969" i="3"/>
  <c r="B3969" i="3" s="1"/>
  <c r="I3969" i="3"/>
  <c r="H3969" i="3" s="1"/>
  <c r="A3971" i="3"/>
  <c r="L3971" i="3" l="1"/>
  <c r="F3971" i="3"/>
  <c r="J3971" i="3"/>
  <c r="D3971" i="3"/>
  <c r="K3971" i="3"/>
  <c r="E3971" i="3"/>
  <c r="I3970" i="3"/>
  <c r="H3970" i="3" s="1"/>
  <c r="A3972" i="3"/>
  <c r="C3970" i="3"/>
  <c r="B3970" i="3" s="1"/>
  <c r="L3972" i="3" l="1"/>
  <c r="F3972" i="3"/>
  <c r="J3972" i="3"/>
  <c r="D3972" i="3"/>
  <c r="K3972" i="3"/>
  <c r="E3972" i="3"/>
  <c r="C3971" i="3"/>
  <c r="B3971" i="3" s="1"/>
  <c r="I3971" i="3"/>
  <c r="H3971" i="3" s="1"/>
  <c r="A3973" i="3"/>
  <c r="L3973" i="3" l="1"/>
  <c r="F3973" i="3"/>
  <c r="J3973" i="3"/>
  <c r="D3973" i="3"/>
  <c r="K3973" i="3"/>
  <c r="E3973" i="3"/>
  <c r="C3972" i="3"/>
  <c r="B3972" i="3" s="1"/>
  <c r="I3972" i="3"/>
  <c r="H3972" i="3" s="1"/>
  <c r="A3974" i="3"/>
  <c r="L3974" i="3" l="1"/>
  <c r="F3974" i="3"/>
  <c r="J3974" i="3"/>
  <c r="D3974" i="3"/>
  <c r="K3974" i="3"/>
  <c r="E3974" i="3"/>
  <c r="I3973" i="3"/>
  <c r="H3973" i="3" s="1"/>
  <c r="C3973" i="3"/>
  <c r="B3973" i="3" s="1"/>
  <c r="A3975" i="3"/>
  <c r="L3975" i="3" l="1"/>
  <c r="F3975" i="3"/>
  <c r="J3975" i="3"/>
  <c r="D3975" i="3"/>
  <c r="K3975" i="3"/>
  <c r="E3975" i="3"/>
  <c r="C3974" i="3"/>
  <c r="B3974" i="3" s="1"/>
  <c r="A3976" i="3"/>
  <c r="I3974" i="3"/>
  <c r="H3974" i="3" s="1"/>
  <c r="L3976" i="3" l="1"/>
  <c r="F3976" i="3"/>
  <c r="J3976" i="3"/>
  <c r="D3976" i="3"/>
  <c r="K3976" i="3"/>
  <c r="E3976" i="3"/>
  <c r="C3975" i="3"/>
  <c r="B3975" i="3" s="1"/>
  <c r="I3975" i="3"/>
  <c r="H3975" i="3" s="1"/>
  <c r="A3977" i="3"/>
  <c r="L3977" i="3" l="1"/>
  <c r="F3977" i="3"/>
  <c r="J3977" i="3"/>
  <c r="D3977" i="3"/>
  <c r="K3977" i="3"/>
  <c r="E3977" i="3"/>
  <c r="C3976" i="3"/>
  <c r="B3976" i="3" s="1"/>
  <c r="I3976" i="3"/>
  <c r="H3976" i="3" s="1"/>
  <c r="A3978" i="3"/>
  <c r="L3978" i="3" l="1"/>
  <c r="F3978" i="3"/>
  <c r="J3978" i="3"/>
  <c r="D3978" i="3"/>
  <c r="K3978" i="3"/>
  <c r="E3978" i="3"/>
  <c r="I3977" i="3"/>
  <c r="H3977" i="3" s="1"/>
  <c r="C3977" i="3"/>
  <c r="B3977" i="3" s="1"/>
  <c r="A3979" i="3"/>
  <c r="L3979" i="3" l="1"/>
  <c r="F3979" i="3"/>
  <c r="J3979" i="3"/>
  <c r="D3979" i="3"/>
  <c r="K3979" i="3"/>
  <c r="E3979" i="3"/>
  <c r="I3978" i="3"/>
  <c r="H3978" i="3" s="1"/>
  <c r="A3980" i="3"/>
  <c r="C3978" i="3"/>
  <c r="B3978" i="3" s="1"/>
  <c r="L3980" i="3" l="1"/>
  <c r="F3980" i="3"/>
  <c r="J3980" i="3"/>
  <c r="D3980" i="3"/>
  <c r="K3980" i="3"/>
  <c r="E3980" i="3"/>
  <c r="C3979" i="3"/>
  <c r="B3979" i="3" s="1"/>
  <c r="I3979" i="3"/>
  <c r="H3979" i="3" s="1"/>
  <c r="A3981" i="3"/>
  <c r="L3981" i="3" l="1"/>
  <c r="F3981" i="3"/>
  <c r="J3981" i="3"/>
  <c r="D3981" i="3"/>
  <c r="K3981" i="3"/>
  <c r="E3981" i="3"/>
  <c r="C3980" i="3"/>
  <c r="B3980" i="3" s="1"/>
  <c r="I3980" i="3"/>
  <c r="H3980" i="3" s="1"/>
  <c r="A3982" i="3"/>
  <c r="L3982" i="3" l="1"/>
  <c r="F3982" i="3"/>
  <c r="J3982" i="3"/>
  <c r="D3982" i="3"/>
  <c r="K3982" i="3"/>
  <c r="E3982" i="3"/>
  <c r="I3981" i="3"/>
  <c r="H3981" i="3" s="1"/>
  <c r="C3981" i="3"/>
  <c r="B3981" i="3" s="1"/>
  <c r="A3983" i="3"/>
  <c r="L3983" i="3" l="1"/>
  <c r="F3983" i="3"/>
  <c r="D3983" i="3"/>
  <c r="J3983" i="3"/>
  <c r="E3983" i="3"/>
  <c r="K3983" i="3"/>
  <c r="C3982" i="3"/>
  <c r="B3982" i="3" s="1"/>
  <c r="I3982" i="3"/>
  <c r="H3982" i="3" s="1"/>
  <c r="A3984" i="3"/>
  <c r="L3984" i="3" l="1"/>
  <c r="F3984" i="3"/>
  <c r="J3984" i="3"/>
  <c r="D3984" i="3"/>
  <c r="K3984" i="3"/>
  <c r="E3984" i="3"/>
  <c r="I3983" i="3"/>
  <c r="H3983" i="3" s="1"/>
  <c r="C3983" i="3"/>
  <c r="B3983" i="3" s="1"/>
  <c r="A3985" i="3"/>
  <c r="L3985" i="3" l="1"/>
  <c r="F3985" i="3"/>
  <c r="J3985" i="3"/>
  <c r="D3985" i="3"/>
  <c r="K3985" i="3"/>
  <c r="E3985" i="3"/>
  <c r="I3984" i="3"/>
  <c r="H3984" i="3" s="1"/>
  <c r="C3984" i="3"/>
  <c r="B3984" i="3" s="1"/>
  <c r="A3986" i="3"/>
  <c r="L3986" i="3" l="1"/>
  <c r="F3986" i="3"/>
  <c r="J3986" i="3"/>
  <c r="D3986" i="3"/>
  <c r="K3986" i="3"/>
  <c r="E3986" i="3"/>
  <c r="I3985" i="3"/>
  <c r="H3985" i="3" s="1"/>
  <c r="C3985" i="3"/>
  <c r="B3985" i="3" s="1"/>
  <c r="A3987" i="3"/>
  <c r="L3987" i="3" l="1"/>
  <c r="F3987" i="3"/>
  <c r="J3987" i="3"/>
  <c r="D3987" i="3"/>
  <c r="K3987" i="3"/>
  <c r="E3987" i="3"/>
  <c r="I3986" i="3"/>
  <c r="H3986" i="3" s="1"/>
  <c r="C3986" i="3"/>
  <c r="B3986" i="3" s="1"/>
  <c r="A3988" i="3"/>
  <c r="L3988" i="3" l="1"/>
  <c r="F3988" i="3"/>
  <c r="D3988" i="3"/>
  <c r="J3988" i="3"/>
  <c r="E3988" i="3"/>
  <c r="K3988" i="3"/>
  <c r="I3987" i="3"/>
  <c r="H3987" i="3" s="1"/>
  <c r="C3987" i="3"/>
  <c r="B3987" i="3" s="1"/>
  <c r="A3989" i="3"/>
  <c r="L3989" i="3" l="1"/>
  <c r="F3989" i="3"/>
  <c r="J3989" i="3"/>
  <c r="D3989" i="3"/>
  <c r="K3989" i="3"/>
  <c r="E3989" i="3"/>
  <c r="I3988" i="3"/>
  <c r="H3988" i="3" s="1"/>
  <c r="C3988" i="3"/>
  <c r="B3988" i="3" s="1"/>
  <c r="A3990" i="3"/>
  <c r="L3990" i="3" l="1"/>
  <c r="F3990" i="3"/>
  <c r="J3990" i="3"/>
  <c r="D3990" i="3"/>
  <c r="K3990" i="3"/>
  <c r="E3990" i="3"/>
  <c r="C3989" i="3"/>
  <c r="B3989" i="3" s="1"/>
  <c r="I3989" i="3"/>
  <c r="H3989" i="3" s="1"/>
  <c r="A3991" i="3"/>
  <c r="L3991" i="3" l="1"/>
  <c r="F3991" i="3"/>
  <c r="J3991" i="3"/>
  <c r="D3991" i="3"/>
  <c r="K3991" i="3"/>
  <c r="E3991" i="3"/>
  <c r="I3990" i="3"/>
  <c r="H3990" i="3" s="1"/>
  <c r="C3990" i="3"/>
  <c r="B3990" i="3" s="1"/>
  <c r="A3992" i="3"/>
  <c r="L3992" i="3" l="1"/>
  <c r="F3992" i="3"/>
  <c r="J3992" i="3"/>
  <c r="D3992" i="3"/>
  <c r="K3992" i="3"/>
  <c r="E3992" i="3"/>
  <c r="C3991" i="3"/>
  <c r="B3991" i="3" s="1"/>
  <c r="I3991" i="3"/>
  <c r="H3991" i="3" s="1"/>
  <c r="A3993" i="3"/>
  <c r="L3993" i="3" l="1"/>
  <c r="F3993" i="3"/>
  <c r="J3993" i="3"/>
  <c r="K3993" i="3"/>
  <c r="D3993" i="3"/>
  <c r="E3993" i="3"/>
  <c r="I3992" i="3"/>
  <c r="H3992" i="3" s="1"/>
  <c r="A3994" i="3"/>
  <c r="C3992" i="3"/>
  <c r="B3992" i="3" s="1"/>
  <c r="L3994" i="3" l="1"/>
  <c r="F3994" i="3"/>
  <c r="J3994" i="3"/>
  <c r="D3994" i="3"/>
  <c r="K3994" i="3"/>
  <c r="E3994" i="3"/>
  <c r="C3993" i="3"/>
  <c r="B3993" i="3" s="1"/>
  <c r="I3993" i="3"/>
  <c r="H3993" i="3" s="1"/>
  <c r="A3995" i="3"/>
  <c r="L3995" i="3" l="1"/>
  <c r="F3995" i="3"/>
  <c r="J3995" i="3"/>
  <c r="D3995" i="3"/>
  <c r="K3995" i="3"/>
  <c r="E3995" i="3"/>
  <c r="I3994" i="3"/>
  <c r="H3994" i="3" s="1"/>
  <c r="C3994" i="3"/>
  <c r="B3994" i="3" s="1"/>
  <c r="A3996" i="3"/>
  <c r="L3996" i="3" l="1"/>
  <c r="F3996" i="3"/>
  <c r="J3996" i="3"/>
  <c r="D3996" i="3"/>
  <c r="K3996" i="3"/>
  <c r="E3996" i="3"/>
  <c r="C3995" i="3"/>
  <c r="B3995" i="3" s="1"/>
  <c r="I3995" i="3"/>
  <c r="H3995" i="3" s="1"/>
  <c r="A3997" i="3"/>
  <c r="L3997" i="3" l="1"/>
  <c r="F3997" i="3"/>
  <c r="J3997" i="3"/>
  <c r="D3997" i="3"/>
  <c r="K3997" i="3"/>
  <c r="E3997" i="3"/>
  <c r="I3996" i="3"/>
  <c r="H3996" i="3" s="1"/>
  <c r="C3996" i="3"/>
  <c r="B3996" i="3" s="1"/>
  <c r="A3998" i="3"/>
  <c r="L3998" i="3" l="1"/>
  <c r="F3998" i="3"/>
  <c r="J3998" i="3"/>
  <c r="D3998" i="3"/>
  <c r="K3998" i="3"/>
  <c r="E3998" i="3"/>
  <c r="I3997" i="3"/>
  <c r="H3997" i="3" s="1"/>
  <c r="C3997" i="3"/>
  <c r="B3997" i="3" s="1"/>
  <c r="A3999" i="3"/>
  <c r="L3999" i="3" l="1"/>
  <c r="F3999" i="3"/>
  <c r="J3999" i="3"/>
  <c r="D3999" i="3"/>
  <c r="K3999" i="3"/>
  <c r="E3999" i="3"/>
  <c r="C3998" i="3"/>
  <c r="B3998" i="3" s="1"/>
  <c r="I3998" i="3"/>
  <c r="H3998" i="3" s="1"/>
  <c r="A4000" i="3"/>
  <c r="L4000" i="3" l="1"/>
  <c r="F4000" i="3"/>
  <c r="J4000" i="3"/>
  <c r="D4000" i="3"/>
  <c r="K4000" i="3"/>
  <c r="E4000" i="3"/>
  <c r="I3999" i="3"/>
  <c r="H3999" i="3" s="1"/>
  <c r="C3999" i="3"/>
  <c r="B3999" i="3" s="1"/>
  <c r="A4001" i="3"/>
  <c r="L4001" i="3" l="1"/>
  <c r="F4001" i="3"/>
  <c r="J4001" i="3"/>
  <c r="D4001" i="3"/>
  <c r="K4001" i="3"/>
  <c r="E4001" i="3"/>
  <c r="C4000" i="3"/>
  <c r="B4000" i="3" s="1"/>
  <c r="I4000" i="3"/>
  <c r="H4000" i="3" s="1"/>
  <c r="A4002" i="3"/>
  <c r="L4002" i="3" l="1"/>
  <c r="F4002" i="3"/>
  <c r="J4002" i="3"/>
  <c r="D4002" i="3"/>
  <c r="K4002" i="3"/>
  <c r="E4002" i="3"/>
  <c r="C4001" i="3"/>
  <c r="B4001" i="3" s="1"/>
  <c r="I4001" i="3"/>
  <c r="H4001" i="3" s="1"/>
  <c r="A4003" i="3"/>
  <c r="L4003" i="3" l="1"/>
  <c r="F4003" i="3"/>
  <c r="J4003" i="3"/>
  <c r="D4003" i="3"/>
  <c r="K4003" i="3"/>
  <c r="E4003" i="3"/>
  <c r="I4002" i="3"/>
  <c r="H4002" i="3" s="1"/>
  <c r="A4004" i="3"/>
  <c r="C4002" i="3"/>
  <c r="B4002" i="3" s="1"/>
  <c r="L4004" i="3" l="1"/>
  <c r="F4004" i="3"/>
  <c r="J4004" i="3"/>
  <c r="D4004" i="3"/>
  <c r="K4004" i="3"/>
  <c r="E4004" i="3"/>
  <c r="I4003" i="3"/>
  <c r="H4003" i="3" s="1"/>
  <c r="C4003" i="3"/>
  <c r="B4003" i="3" s="1"/>
  <c r="A4005" i="3"/>
  <c r="L4005" i="3" l="1"/>
  <c r="F4005" i="3"/>
  <c r="J4005" i="3"/>
  <c r="D4005" i="3"/>
  <c r="K4005" i="3"/>
  <c r="E4005" i="3"/>
  <c r="I4004" i="3"/>
  <c r="H4004" i="3" s="1"/>
  <c r="C4004" i="3"/>
  <c r="B4004" i="3" s="1"/>
  <c r="A4006" i="3"/>
  <c r="L4006" i="3" l="1"/>
  <c r="F4006" i="3"/>
  <c r="J4006" i="3"/>
  <c r="D4006" i="3"/>
  <c r="K4006" i="3"/>
  <c r="E4006" i="3"/>
  <c r="C4005" i="3"/>
  <c r="B4005" i="3" s="1"/>
  <c r="I4005" i="3"/>
  <c r="H4005" i="3" s="1"/>
  <c r="A4007" i="3"/>
  <c r="L4007" i="3" l="1"/>
  <c r="F4007" i="3"/>
  <c r="J4007" i="3"/>
  <c r="D4007" i="3"/>
  <c r="K4007" i="3"/>
  <c r="E4007" i="3"/>
  <c r="C4006" i="3"/>
  <c r="B4006" i="3" s="1"/>
  <c r="I4006" i="3"/>
  <c r="H4006" i="3" s="1"/>
  <c r="A4008" i="3"/>
  <c r="L4008" i="3" l="1"/>
  <c r="F4008" i="3"/>
  <c r="J4008" i="3"/>
  <c r="D4008" i="3"/>
  <c r="K4008" i="3"/>
  <c r="E4008" i="3"/>
  <c r="I4007" i="3"/>
  <c r="H4007" i="3" s="1"/>
  <c r="A4009" i="3"/>
  <c r="C4007" i="3"/>
  <c r="B4007" i="3" s="1"/>
  <c r="L4009" i="3" l="1"/>
  <c r="F4009" i="3"/>
  <c r="J4009" i="3"/>
  <c r="D4009" i="3"/>
  <c r="K4009" i="3"/>
  <c r="E4009" i="3"/>
  <c r="I4008" i="3"/>
  <c r="H4008" i="3" s="1"/>
  <c r="C4008" i="3"/>
  <c r="B4008" i="3" s="1"/>
  <c r="A4010" i="3"/>
  <c r="L4010" i="3" l="1"/>
  <c r="F4010" i="3"/>
  <c r="J4010" i="3"/>
  <c r="D4010" i="3"/>
  <c r="K4010" i="3"/>
  <c r="E4010" i="3"/>
  <c r="I4009" i="3"/>
  <c r="H4009" i="3" s="1"/>
  <c r="C4009" i="3"/>
  <c r="B4009" i="3" s="1"/>
  <c r="A4011" i="3"/>
  <c r="L4011" i="3" l="1"/>
  <c r="F4011" i="3"/>
  <c r="J4011" i="3"/>
  <c r="D4011" i="3"/>
  <c r="K4011" i="3"/>
  <c r="E4011" i="3"/>
  <c r="I4010" i="3"/>
  <c r="H4010" i="3" s="1"/>
  <c r="C4010" i="3"/>
  <c r="B4010" i="3" s="1"/>
  <c r="A4012" i="3"/>
  <c r="L4012" i="3" l="1"/>
  <c r="F4012" i="3"/>
  <c r="J4012" i="3"/>
  <c r="D4012" i="3"/>
  <c r="K4012" i="3"/>
  <c r="E4012" i="3"/>
  <c r="I4011" i="3"/>
  <c r="H4011" i="3" s="1"/>
  <c r="C4011" i="3"/>
  <c r="B4011" i="3" s="1"/>
  <c r="A4013" i="3"/>
  <c r="L4013" i="3" l="1"/>
  <c r="F4013" i="3"/>
  <c r="D4013" i="3"/>
  <c r="J4013" i="3"/>
  <c r="E4013" i="3"/>
  <c r="K4013" i="3"/>
  <c r="I4012" i="3"/>
  <c r="H4012" i="3" s="1"/>
  <c r="C4012" i="3"/>
  <c r="B4012" i="3" s="1"/>
  <c r="A4014" i="3"/>
  <c r="L4014" i="3" l="1"/>
  <c r="F4014" i="3"/>
  <c r="J4014" i="3"/>
  <c r="D4014" i="3"/>
  <c r="K4014" i="3"/>
  <c r="E4014" i="3"/>
  <c r="I4013" i="3"/>
  <c r="H4013" i="3" s="1"/>
  <c r="C4013" i="3"/>
  <c r="B4013" i="3" s="1"/>
  <c r="A4015" i="3"/>
  <c r="L4015" i="3" l="1"/>
  <c r="F4015" i="3"/>
  <c r="J4015" i="3"/>
  <c r="D4015" i="3"/>
  <c r="K4015" i="3"/>
  <c r="E4015" i="3"/>
  <c r="I4014" i="3"/>
  <c r="H4014" i="3" s="1"/>
  <c r="C4014" i="3"/>
  <c r="B4014" i="3" s="1"/>
  <c r="A4016" i="3"/>
  <c r="L4016" i="3" l="1"/>
  <c r="F4016" i="3"/>
  <c r="D4016" i="3"/>
  <c r="J4016" i="3"/>
  <c r="E4016" i="3"/>
  <c r="K4016" i="3"/>
  <c r="I4015" i="3"/>
  <c r="H4015" i="3" s="1"/>
  <c r="A4017" i="3"/>
  <c r="C4015" i="3"/>
  <c r="B4015" i="3" s="1"/>
  <c r="L4017" i="3" l="1"/>
  <c r="F4017" i="3"/>
  <c r="J4017" i="3"/>
  <c r="D4017" i="3"/>
  <c r="K4017" i="3"/>
  <c r="E4017" i="3"/>
  <c r="I4016" i="3"/>
  <c r="H4016" i="3" s="1"/>
  <c r="C4016" i="3"/>
  <c r="B4016" i="3" s="1"/>
  <c r="A4018" i="3"/>
  <c r="L4018" i="3" l="1"/>
  <c r="F4018" i="3"/>
  <c r="J4018" i="3"/>
  <c r="D4018" i="3"/>
  <c r="K4018" i="3"/>
  <c r="E4018" i="3"/>
  <c r="I4017" i="3"/>
  <c r="H4017" i="3" s="1"/>
  <c r="A4019" i="3"/>
  <c r="C4017" i="3"/>
  <c r="B4017" i="3" s="1"/>
  <c r="L4019" i="3" l="1"/>
  <c r="F4019" i="3"/>
  <c r="J4019" i="3"/>
  <c r="D4019" i="3"/>
  <c r="K4019" i="3"/>
  <c r="E4019" i="3"/>
  <c r="C4018" i="3"/>
  <c r="B4018" i="3" s="1"/>
  <c r="I4018" i="3"/>
  <c r="H4018" i="3" s="1"/>
  <c r="A4020" i="3"/>
  <c r="L4020" i="3" l="1"/>
  <c r="F4020" i="3"/>
  <c r="J4020" i="3"/>
  <c r="D4020" i="3"/>
  <c r="K4020" i="3"/>
  <c r="E4020" i="3"/>
  <c r="C4019" i="3"/>
  <c r="B4019" i="3" s="1"/>
  <c r="I4019" i="3"/>
  <c r="H4019" i="3" s="1"/>
  <c r="A4021" i="3"/>
  <c r="L4021" i="3" l="1"/>
  <c r="F4021" i="3"/>
  <c r="J4021" i="3"/>
  <c r="D4021" i="3"/>
  <c r="K4021" i="3"/>
  <c r="E4021" i="3"/>
  <c r="I4020" i="3"/>
  <c r="H4020" i="3" s="1"/>
  <c r="C4020" i="3"/>
  <c r="B4020" i="3" s="1"/>
  <c r="A4022" i="3"/>
  <c r="L4022" i="3" l="1"/>
  <c r="F4022" i="3"/>
  <c r="J4022" i="3"/>
  <c r="D4022" i="3"/>
  <c r="K4022" i="3"/>
  <c r="E4022" i="3"/>
  <c r="C4021" i="3"/>
  <c r="B4021" i="3" s="1"/>
  <c r="A4023" i="3"/>
  <c r="I4021" i="3"/>
  <c r="H4021" i="3" s="1"/>
  <c r="L4023" i="3" l="1"/>
  <c r="F4023" i="3"/>
  <c r="J4023" i="3"/>
  <c r="D4023" i="3"/>
  <c r="K4023" i="3"/>
  <c r="E4023" i="3"/>
  <c r="I4022" i="3"/>
  <c r="H4022" i="3" s="1"/>
  <c r="C4022" i="3"/>
  <c r="B4022" i="3" s="1"/>
  <c r="A4024" i="3"/>
  <c r="L4024" i="3" l="1"/>
  <c r="F4024" i="3"/>
  <c r="J4024" i="3"/>
  <c r="D4024" i="3"/>
  <c r="K4024" i="3"/>
  <c r="E4024" i="3"/>
  <c r="I4023" i="3"/>
  <c r="H4023" i="3" s="1"/>
  <c r="C4023" i="3"/>
  <c r="B4023" i="3" s="1"/>
  <c r="A4025" i="3"/>
  <c r="L4025" i="3" l="1"/>
  <c r="F4025" i="3"/>
  <c r="J4025" i="3"/>
  <c r="D4025" i="3"/>
  <c r="K4025" i="3"/>
  <c r="E4025" i="3"/>
  <c r="C4024" i="3"/>
  <c r="B4024" i="3" s="1"/>
  <c r="I4024" i="3"/>
  <c r="H4024" i="3" s="1"/>
  <c r="A4026" i="3"/>
  <c r="L4026" i="3" l="1"/>
  <c r="F4026" i="3"/>
  <c r="J4026" i="3"/>
  <c r="D4026" i="3"/>
  <c r="K4026" i="3"/>
  <c r="E4026" i="3"/>
  <c r="C4025" i="3"/>
  <c r="B4025" i="3" s="1"/>
  <c r="I4025" i="3"/>
  <c r="H4025" i="3" s="1"/>
  <c r="A4027" i="3"/>
  <c r="L4027" i="3" l="1"/>
  <c r="F4027" i="3"/>
  <c r="J4027" i="3"/>
  <c r="D4027" i="3"/>
  <c r="K4027" i="3"/>
  <c r="E4027" i="3"/>
  <c r="I4026" i="3"/>
  <c r="H4026" i="3" s="1"/>
  <c r="C4026" i="3"/>
  <c r="B4026" i="3" s="1"/>
  <c r="A4028" i="3"/>
  <c r="L4028" i="3" l="1"/>
  <c r="F4028" i="3"/>
  <c r="J4028" i="3"/>
  <c r="D4028" i="3"/>
  <c r="K4028" i="3"/>
  <c r="E4028" i="3"/>
  <c r="I4027" i="3"/>
  <c r="H4027" i="3" s="1"/>
  <c r="A4029" i="3"/>
  <c r="C4027" i="3"/>
  <c r="B4027" i="3" s="1"/>
  <c r="L4029" i="3" l="1"/>
  <c r="F4029" i="3"/>
  <c r="J4029" i="3"/>
  <c r="D4029" i="3"/>
  <c r="K4029" i="3"/>
  <c r="E4029" i="3"/>
  <c r="C4028" i="3"/>
  <c r="B4028" i="3" s="1"/>
  <c r="I4028" i="3"/>
  <c r="H4028" i="3" s="1"/>
  <c r="A4030" i="3"/>
  <c r="L4030" i="3" l="1"/>
  <c r="F4030" i="3"/>
  <c r="J4030" i="3"/>
  <c r="D4030" i="3"/>
  <c r="K4030" i="3"/>
  <c r="E4030" i="3"/>
  <c r="I4029" i="3"/>
  <c r="H4029" i="3" s="1"/>
  <c r="C4029" i="3"/>
  <c r="B4029" i="3" s="1"/>
  <c r="A4031" i="3"/>
  <c r="L4031" i="3" l="1"/>
  <c r="F4031" i="3"/>
  <c r="J4031" i="3"/>
  <c r="D4031" i="3"/>
  <c r="K4031" i="3"/>
  <c r="E4031" i="3"/>
  <c r="I4030" i="3"/>
  <c r="H4030" i="3" s="1"/>
  <c r="A4032" i="3"/>
  <c r="C4030" i="3"/>
  <c r="B4030" i="3" s="1"/>
  <c r="L4032" i="3" l="1"/>
  <c r="F4032" i="3"/>
  <c r="J4032" i="3"/>
  <c r="D4032" i="3"/>
  <c r="K4032" i="3"/>
  <c r="E4032" i="3"/>
  <c r="I4031" i="3"/>
  <c r="H4031" i="3" s="1"/>
  <c r="C4031" i="3"/>
  <c r="B4031" i="3" s="1"/>
  <c r="A4033" i="3"/>
  <c r="L4033" i="3" l="1"/>
  <c r="F4033" i="3"/>
  <c r="J4033" i="3"/>
  <c r="D4033" i="3"/>
  <c r="K4033" i="3"/>
  <c r="E4033" i="3"/>
  <c r="I4032" i="3"/>
  <c r="H4032" i="3" s="1"/>
  <c r="C4032" i="3"/>
  <c r="B4032" i="3" s="1"/>
  <c r="A4034" i="3"/>
  <c r="L4034" i="3" l="1"/>
  <c r="F4034" i="3"/>
  <c r="J4034" i="3"/>
  <c r="D4034" i="3"/>
  <c r="K4034" i="3"/>
  <c r="E4034" i="3"/>
  <c r="C4033" i="3"/>
  <c r="B4033" i="3" s="1"/>
  <c r="I4033" i="3"/>
  <c r="H4033" i="3" s="1"/>
  <c r="A4035" i="3"/>
  <c r="L4035" i="3" l="1"/>
  <c r="F4035" i="3"/>
  <c r="J4035" i="3"/>
  <c r="D4035" i="3"/>
  <c r="K4035" i="3"/>
  <c r="E4035" i="3"/>
  <c r="I4034" i="3"/>
  <c r="H4034" i="3" s="1"/>
  <c r="C4034" i="3"/>
  <c r="B4034" i="3" s="1"/>
  <c r="A4036" i="3"/>
  <c r="L4036" i="3" l="1"/>
  <c r="F4036" i="3"/>
  <c r="J4036" i="3"/>
  <c r="D4036" i="3"/>
  <c r="K4036" i="3"/>
  <c r="E4036" i="3"/>
  <c r="C4035" i="3"/>
  <c r="B4035" i="3" s="1"/>
  <c r="I4035" i="3"/>
  <c r="H4035" i="3" s="1"/>
  <c r="A4037" i="3"/>
  <c r="L4037" i="3" l="1"/>
  <c r="F4037" i="3"/>
  <c r="J4037" i="3"/>
  <c r="D4037" i="3"/>
  <c r="K4037" i="3"/>
  <c r="E4037" i="3"/>
  <c r="I4036" i="3"/>
  <c r="H4036" i="3" s="1"/>
  <c r="C4036" i="3"/>
  <c r="B4036" i="3" s="1"/>
  <c r="A4038" i="3"/>
  <c r="L4038" i="3" l="1"/>
  <c r="F4038" i="3"/>
  <c r="J4038" i="3"/>
  <c r="D4038" i="3"/>
  <c r="K4038" i="3"/>
  <c r="E4038" i="3"/>
  <c r="I4037" i="3"/>
  <c r="H4037" i="3" s="1"/>
  <c r="C4037" i="3"/>
  <c r="B4037" i="3" s="1"/>
  <c r="A4039" i="3"/>
  <c r="L4039" i="3" l="1"/>
  <c r="F4039" i="3"/>
  <c r="J4039" i="3"/>
  <c r="D4039" i="3"/>
  <c r="K4039" i="3"/>
  <c r="E4039" i="3"/>
  <c r="C4038" i="3"/>
  <c r="B4038" i="3" s="1"/>
  <c r="I4038" i="3"/>
  <c r="H4038" i="3" s="1"/>
  <c r="A4040" i="3"/>
  <c r="L4040" i="3" l="1"/>
  <c r="F4040" i="3"/>
  <c r="J4040" i="3"/>
  <c r="D4040" i="3"/>
  <c r="K4040" i="3"/>
  <c r="E4040" i="3"/>
  <c r="I4039" i="3"/>
  <c r="H4039" i="3" s="1"/>
  <c r="C4039" i="3"/>
  <c r="B4039" i="3" s="1"/>
  <c r="A4041" i="3"/>
  <c r="L4041" i="3" l="1"/>
  <c r="F4041" i="3"/>
  <c r="J4041" i="3"/>
  <c r="D4041" i="3"/>
  <c r="K4041" i="3"/>
  <c r="E4041" i="3"/>
  <c r="I4040" i="3"/>
  <c r="H4040" i="3" s="1"/>
  <c r="C4040" i="3"/>
  <c r="B4040" i="3" s="1"/>
  <c r="A4042" i="3"/>
  <c r="L4042" i="3" l="1"/>
  <c r="F4042" i="3"/>
  <c r="J4042" i="3"/>
  <c r="D4042" i="3"/>
  <c r="K4042" i="3"/>
  <c r="E4042" i="3"/>
  <c r="C4041" i="3"/>
  <c r="B4041" i="3" s="1"/>
  <c r="I4041" i="3"/>
  <c r="H4041" i="3" s="1"/>
  <c r="A4043" i="3"/>
  <c r="L4043" i="3" l="1"/>
  <c r="F4043" i="3"/>
  <c r="J4043" i="3"/>
  <c r="D4043" i="3"/>
  <c r="K4043" i="3"/>
  <c r="E4043" i="3"/>
  <c r="I4042" i="3"/>
  <c r="H4042" i="3" s="1"/>
  <c r="C4042" i="3"/>
  <c r="B4042" i="3" s="1"/>
  <c r="A4044" i="3"/>
  <c r="L4044" i="3" l="1"/>
  <c r="F4044" i="3"/>
  <c r="J4044" i="3"/>
  <c r="D4044" i="3"/>
  <c r="K4044" i="3"/>
  <c r="E4044" i="3"/>
  <c r="I4043" i="3"/>
  <c r="H4043" i="3" s="1"/>
  <c r="C4043" i="3"/>
  <c r="B4043" i="3" s="1"/>
  <c r="A4045" i="3"/>
  <c r="L4045" i="3" l="1"/>
  <c r="F4045" i="3"/>
  <c r="D4045" i="3"/>
  <c r="J4045" i="3"/>
  <c r="E4045" i="3"/>
  <c r="K4045" i="3"/>
  <c r="C4044" i="3"/>
  <c r="B4044" i="3" s="1"/>
  <c r="I4044" i="3"/>
  <c r="H4044" i="3" s="1"/>
  <c r="A4046" i="3"/>
  <c r="L4046" i="3" l="1"/>
  <c r="F4046" i="3"/>
  <c r="J4046" i="3"/>
  <c r="D4046" i="3"/>
  <c r="K4046" i="3"/>
  <c r="E4046" i="3"/>
  <c r="C4045" i="3"/>
  <c r="B4045" i="3" s="1"/>
  <c r="I4045" i="3"/>
  <c r="H4045" i="3" s="1"/>
  <c r="A4047" i="3"/>
  <c r="L4047" i="3" l="1"/>
  <c r="F4047" i="3"/>
  <c r="J4047" i="3"/>
  <c r="D4047" i="3"/>
  <c r="K4047" i="3"/>
  <c r="E4047" i="3"/>
  <c r="I4046" i="3"/>
  <c r="H4046" i="3" s="1"/>
  <c r="C4046" i="3"/>
  <c r="B4046" i="3" s="1"/>
  <c r="A4048" i="3"/>
  <c r="L4048" i="3" l="1"/>
  <c r="F4048" i="3"/>
  <c r="J4048" i="3"/>
  <c r="D4048" i="3"/>
  <c r="K4048" i="3"/>
  <c r="E4048" i="3"/>
  <c r="I4047" i="3"/>
  <c r="H4047" i="3" s="1"/>
  <c r="C4047" i="3"/>
  <c r="B4047" i="3" s="1"/>
  <c r="A4049" i="3"/>
  <c r="L4049" i="3" l="1"/>
  <c r="F4049" i="3"/>
  <c r="J4049" i="3"/>
  <c r="D4049" i="3"/>
  <c r="K4049" i="3"/>
  <c r="E4049" i="3"/>
  <c r="I4048" i="3"/>
  <c r="H4048" i="3" s="1"/>
  <c r="C4048" i="3"/>
  <c r="B4048" i="3" s="1"/>
  <c r="A4050" i="3"/>
  <c r="L4050" i="3" l="1"/>
  <c r="F4050" i="3"/>
  <c r="D4050" i="3"/>
  <c r="J4050" i="3"/>
  <c r="E4050" i="3"/>
  <c r="K4050" i="3"/>
  <c r="C4049" i="3"/>
  <c r="B4049" i="3" s="1"/>
  <c r="I4049" i="3"/>
  <c r="H4049" i="3" s="1"/>
  <c r="A4051" i="3"/>
  <c r="L4051" i="3" l="1"/>
  <c r="F4051" i="3"/>
  <c r="J4051" i="3"/>
  <c r="D4051" i="3"/>
  <c r="K4051" i="3"/>
  <c r="E4051" i="3"/>
  <c r="I4050" i="3"/>
  <c r="H4050" i="3" s="1"/>
  <c r="A4052" i="3"/>
  <c r="C4050" i="3"/>
  <c r="B4050" i="3" s="1"/>
  <c r="L4052" i="3" l="1"/>
  <c r="F4052" i="3"/>
  <c r="J4052" i="3"/>
  <c r="D4052" i="3"/>
  <c r="K4052" i="3"/>
  <c r="E4052" i="3"/>
  <c r="I4051" i="3"/>
  <c r="H4051" i="3" s="1"/>
  <c r="C4051" i="3"/>
  <c r="B4051" i="3" s="1"/>
  <c r="A4053" i="3"/>
  <c r="L4053" i="3" l="1"/>
  <c r="F4053" i="3"/>
  <c r="J4053" i="3"/>
  <c r="D4053" i="3"/>
  <c r="K4053" i="3"/>
  <c r="E4053" i="3"/>
  <c r="I4052" i="3"/>
  <c r="H4052" i="3" s="1"/>
  <c r="C4052" i="3"/>
  <c r="B4052" i="3" s="1"/>
  <c r="A4054" i="3"/>
  <c r="L4054" i="3" l="1"/>
  <c r="F4054" i="3"/>
  <c r="J4054" i="3"/>
  <c r="D4054" i="3"/>
  <c r="K4054" i="3"/>
  <c r="E4054" i="3"/>
  <c r="C4053" i="3"/>
  <c r="B4053" i="3" s="1"/>
  <c r="I4053" i="3"/>
  <c r="H4053" i="3" s="1"/>
  <c r="A4055" i="3"/>
  <c r="L4055" i="3" l="1"/>
  <c r="F4055" i="3"/>
  <c r="J4055" i="3"/>
  <c r="D4055" i="3"/>
  <c r="K4055" i="3"/>
  <c r="E4055" i="3"/>
  <c r="I4054" i="3"/>
  <c r="H4054" i="3" s="1"/>
  <c r="C4054" i="3"/>
  <c r="B4054" i="3" s="1"/>
  <c r="A4056" i="3"/>
  <c r="L4056" i="3" l="1"/>
  <c r="F4056" i="3"/>
  <c r="J4056" i="3"/>
  <c r="D4056" i="3"/>
  <c r="K4056" i="3"/>
  <c r="E4056" i="3"/>
  <c r="I4055" i="3"/>
  <c r="H4055" i="3" s="1"/>
  <c r="A4057" i="3"/>
  <c r="C4055" i="3"/>
  <c r="B4055" i="3" s="1"/>
  <c r="L4057" i="3" l="1"/>
  <c r="F4057" i="3"/>
  <c r="J4057" i="3"/>
  <c r="D4057" i="3"/>
  <c r="K4057" i="3"/>
  <c r="E4057" i="3"/>
  <c r="C4056" i="3"/>
  <c r="B4056" i="3" s="1"/>
  <c r="I4056" i="3"/>
  <c r="H4056" i="3" s="1"/>
  <c r="A4058" i="3"/>
  <c r="L4058" i="3" l="1"/>
  <c r="F4058" i="3"/>
  <c r="J4058" i="3"/>
  <c r="D4058" i="3"/>
  <c r="K4058" i="3"/>
  <c r="E4058" i="3"/>
  <c r="C4057" i="3"/>
  <c r="B4057" i="3" s="1"/>
  <c r="I4057" i="3"/>
  <c r="H4057" i="3" s="1"/>
  <c r="A4059" i="3"/>
  <c r="L4059" i="3" l="1"/>
  <c r="F4059" i="3"/>
  <c r="J4059" i="3"/>
  <c r="D4059" i="3"/>
  <c r="K4059" i="3"/>
  <c r="E4059" i="3"/>
  <c r="I4058" i="3"/>
  <c r="H4058" i="3" s="1"/>
  <c r="C4058" i="3"/>
  <c r="B4058" i="3" s="1"/>
  <c r="A4060" i="3"/>
  <c r="L4060" i="3" l="1"/>
  <c r="F4060" i="3"/>
  <c r="J4060" i="3"/>
  <c r="D4060" i="3"/>
  <c r="K4060" i="3"/>
  <c r="E4060" i="3"/>
  <c r="I4059" i="3"/>
  <c r="H4059" i="3" s="1"/>
  <c r="C4059" i="3"/>
  <c r="B4059" i="3" s="1"/>
  <c r="A4061" i="3"/>
  <c r="L4061" i="3" l="1"/>
  <c r="F4061" i="3"/>
  <c r="J4061" i="3"/>
  <c r="D4061" i="3"/>
  <c r="K4061" i="3"/>
  <c r="E4061" i="3"/>
  <c r="I4060" i="3"/>
  <c r="H4060" i="3" s="1"/>
  <c r="C4060" i="3"/>
  <c r="B4060" i="3" s="1"/>
  <c r="A4062" i="3"/>
  <c r="L4062" i="3" l="1"/>
  <c r="F4062" i="3"/>
  <c r="J4062" i="3"/>
  <c r="D4062" i="3"/>
  <c r="K4062" i="3"/>
  <c r="E4062" i="3"/>
  <c r="I4061" i="3"/>
  <c r="H4061" i="3" s="1"/>
  <c r="C4061" i="3"/>
  <c r="B4061" i="3" s="1"/>
  <c r="A4063" i="3"/>
  <c r="L4063" i="3" l="1"/>
  <c r="F4063" i="3"/>
  <c r="J4063" i="3"/>
  <c r="D4063" i="3"/>
  <c r="K4063" i="3"/>
  <c r="E4063" i="3"/>
  <c r="I4062" i="3"/>
  <c r="H4062" i="3" s="1"/>
  <c r="C4062" i="3"/>
  <c r="B4062" i="3" s="1"/>
  <c r="A4064" i="3"/>
  <c r="L4064" i="3" l="1"/>
  <c r="F4064" i="3"/>
  <c r="J4064" i="3"/>
  <c r="D4064" i="3"/>
  <c r="K4064" i="3"/>
  <c r="E4064" i="3"/>
  <c r="I4063" i="3"/>
  <c r="H4063" i="3" s="1"/>
  <c r="C4063" i="3"/>
  <c r="B4063" i="3" s="1"/>
  <c r="A4065" i="3"/>
  <c r="L4065" i="3" l="1"/>
  <c r="F4065" i="3"/>
  <c r="J4065" i="3"/>
  <c r="D4065" i="3"/>
  <c r="K4065" i="3"/>
  <c r="E4065" i="3"/>
  <c r="C4064" i="3"/>
  <c r="B4064" i="3" s="1"/>
  <c r="I4064" i="3"/>
  <c r="H4064" i="3" s="1"/>
  <c r="A4066" i="3"/>
  <c r="L4066" i="3" l="1"/>
  <c r="F4066" i="3"/>
  <c r="J4066" i="3"/>
  <c r="D4066" i="3"/>
  <c r="K4066" i="3"/>
  <c r="E4066" i="3"/>
  <c r="A4067" i="3"/>
  <c r="I4065" i="3"/>
  <c r="H4065" i="3" s="1"/>
  <c r="C4065" i="3"/>
  <c r="B4065" i="3" s="1"/>
  <c r="L4067" i="3" l="1"/>
  <c r="F4067" i="3"/>
  <c r="J4067" i="3"/>
  <c r="D4067" i="3"/>
  <c r="K4067" i="3"/>
  <c r="E4067" i="3"/>
  <c r="C4066" i="3"/>
  <c r="B4066" i="3" s="1"/>
  <c r="I4066" i="3"/>
  <c r="H4066" i="3" s="1"/>
  <c r="A4068" i="3"/>
  <c r="L4068" i="3" l="1"/>
  <c r="F4068" i="3"/>
  <c r="J4068" i="3"/>
  <c r="D4068" i="3"/>
  <c r="K4068" i="3"/>
  <c r="E4068" i="3"/>
  <c r="C4067" i="3"/>
  <c r="B4067" i="3" s="1"/>
  <c r="I4067" i="3"/>
  <c r="H4067" i="3" s="1"/>
  <c r="A4069" i="3"/>
  <c r="L4069" i="3" l="1"/>
  <c r="F4069" i="3"/>
  <c r="J4069" i="3"/>
  <c r="D4069" i="3"/>
  <c r="K4069" i="3"/>
  <c r="E4069" i="3"/>
  <c r="I4068" i="3"/>
  <c r="H4068" i="3" s="1"/>
  <c r="C4068" i="3"/>
  <c r="B4068" i="3" s="1"/>
  <c r="A4070" i="3"/>
  <c r="L4070" i="3" l="1"/>
  <c r="F4070" i="3"/>
  <c r="J4070" i="3"/>
  <c r="D4070" i="3"/>
  <c r="K4070" i="3"/>
  <c r="E4070" i="3"/>
  <c r="I4069" i="3"/>
  <c r="H4069" i="3" s="1"/>
  <c r="C4069" i="3"/>
  <c r="B4069" i="3" s="1"/>
  <c r="A4071" i="3"/>
  <c r="L4071" i="3" l="1"/>
  <c r="F4071" i="3"/>
  <c r="J4071" i="3"/>
  <c r="D4071" i="3"/>
  <c r="K4071" i="3"/>
  <c r="E4071" i="3"/>
  <c r="C4070" i="3"/>
  <c r="B4070" i="3" s="1"/>
  <c r="I4070" i="3"/>
  <c r="H4070" i="3" s="1"/>
  <c r="A4072" i="3"/>
  <c r="L4072" i="3" l="1"/>
  <c r="F4072" i="3"/>
  <c r="J4072" i="3"/>
  <c r="D4072" i="3"/>
  <c r="K4072" i="3"/>
  <c r="E4072" i="3"/>
  <c r="C4071" i="3"/>
  <c r="B4071" i="3" s="1"/>
  <c r="I4071" i="3"/>
  <c r="H4071" i="3" s="1"/>
  <c r="A4073" i="3"/>
  <c r="L4073" i="3" l="1"/>
  <c r="F4073" i="3"/>
  <c r="J4073" i="3"/>
  <c r="D4073" i="3"/>
  <c r="K4073" i="3"/>
  <c r="E4073" i="3"/>
  <c r="I4072" i="3"/>
  <c r="H4072" i="3" s="1"/>
  <c r="C4072" i="3"/>
  <c r="B4072" i="3" s="1"/>
  <c r="A4074" i="3"/>
  <c r="L4074" i="3" l="1"/>
  <c r="F4074" i="3"/>
  <c r="J4074" i="3"/>
  <c r="K4074" i="3"/>
  <c r="D4074" i="3"/>
  <c r="E4074" i="3"/>
  <c r="I4073" i="3"/>
  <c r="H4073" i="3" s="1"/>
  <c r="A4075" i="3"/>
  <c r="C4073" i="3"/>
  <c r="B4073" i="3" s="1"/>
  <c r="L4075" i="3" l="1"/>
  <c r="F4075" i="3"/>
  <c r="J4075" i="3"/>
  <c r="D4075" i="3"/>
  <c r="K4075" i="3"/>
  <c r="E4075" i="3"/>
  <c r="C4074" i="3"/>
  <c r="B4074" i="3" s="1"/>
  <c r="I4074" i="3"/>
  <c r="H4074" i="3" s="1"/>
  <c r="A4076" i="3"/>
  <c r="L4076" i="3" l="1"/>
  <c r="F4076" i="3"/>
  <c r="D4076" i="3"/>
  <c r="E4076" i="3"/>
  <c r="J4076" i="3"/>
  <c r="K4076" i="3"/>
  <c r="I4075" i="3"/>
  <c r="H4075" i="3" s="1"/>
  <c r="C4075" i="3"/>
  <c r="B4075" i="3" s="1"/>
  <c r="A4077" i="3"/>
  <c r="L4077" i="3" l="1"/>
  <c r="F4077" i="3"/>
  <c r="J4077" i="3"/>
  <c r="D4077" i="3"/>
  <c r="K4077" i="3"/>
  <c r="E4077" i="3"/>
  <c r="I4076" i="3"/>
  <c r="H4076" i="3" s="1"/>
  <c r="C4076" i="3"/>
  <c r="B4076" i="3" s="1"/>
  <c r="A4078" i="3"/>
  <c r="L4078" i="3" l="1"/>
  <c r="F4078" i="3"/>
  <c r="J4078" i="3"/>
  <c r="D4078" i="3"/>
  <c r="K4078" i="3"/>
  <c r="E4078" i="3"/>
  <c r="I4077" i="3"/>
  <c r="H4077" i="3" s="1"/>
  <c r="A4079" i="3"/>
  <c r="C4077" i="3"/>
  <c r="B4077" i="3" s="1"/>
  <c r="L4079" i="3" l="1"/>
  <c r="F4079" i="3"/>
  <c r="J4079" i="3"/>
  <c r="D4079" i="3"/>
  <c r="K4079" i="3"/>
  <c r="E4079" i="3"/>
  <c r="I4078" i="3"/>
  <c r="H4078" i="3" s="1"/>
  <c r="C4078" i="3"/>
  <c r="B4078" i="3" s="1"/>
  <c r="A4080" i="3"/>
  <c r="L4080" i="3" l="1"/>
  <c r="F4080" i="3"/>
  <c r="D4080" i="3"/>
  <c r="E4080" i="3"/>
  <c r="J4080" i="3"/>
  <c r="K4080" i="3"/>
  <c r="I4079" i="3"/>
  <c r="H4079" i="3" s="1"/>
  <c r="C4079" i="3"/>
  <c r="B4079" i="3" s="1"/>
  <c r="A4081" i="3"/>
  <c r="L4081" i="3" l="1"/>
  <c r="F4081" i="3"/>
  <c r="J4081" i="3"/>
  <c r="D4081" i="3"/>
  <c r="K4081" i="3"/>
  <c r="E4081" i="3"/>
  <c r="I4080" i="3"/>
  <c r="H4080" i="3" s="1"/>
  <c r="A4082" i="3"/>
  <c r="C4080" i="3"/>
  <c r="B4080" i="3" s="1"/>
  <c r="L4082" i="3" l="1"/>
  <c r="F4082" i="3"/>
  <c r="J4082" i="3"/>
  <c r="D4082" i="3"/>
  <c r="K4082" i="3"/>
  <c r="E4082" i="3"/>
  <c r="I4081" i="3"/>
  <c r="H4081" i="3" s="1"/>
  <c r="C4081" i="3"/>
  <c r="B4081" i="3" s="1"/>
  <c r="A4083" i="3"/>
  <c r="L4083" i="3" l="1"/>
  <c r="F4083" i="3"/>
  <c r="J4083" i="3"/>
  <c r="D4083" i="3"/>
  <c r="K4083" i="3"/>
  <c r="E4083" i="3"/>
  <c r="I4082" i="3"/>
  <c r="H4082" i="3" s="1"/>
  <c r="C4082" i="3"/>
  <c r="B4082" i="3" s="1"/>
  <c r="A4084" i="3"/>
  <c r="L4084" i="3" l="1"/>
  <c r="F4084" i="3"/>
  <c r="J4084" i="3"/>
  <c r="D4084" i="3"/>
  <c r="K4084" i="3"/>
  <c r="E4084" i="3"/>
  <c r="A4085" i="3"/>
  <c r="I4083" i="3"/>
  <c r="H4083" i="3" s="1"/>
  <c r="C4083" i="3"/>
  <c r="B4083" i="3" s="1"/>
  <c r="L4085" i="3" l="1"/>
  <c r="F4085" i="3"/>
  <c r="J4085" i="3"/>
  <c r="D4085" i="3"/>
  <c r="K4085" i="3"/>
  <c r="E4085" i="3"/>
  <c r="I4084" i="3"/>
  <c r="H4084" i="3" s="1"/>
  <c r="C4084" i="3"/>
  <c r="B4084" i="3" s="1"/>
  <c r="A4086" i="3"/>
  <c r="L4086" i="3" l="1"/>
  <c r="F4086" i="3"/>
  <c r="J4086" i="3"/>
  <c r="D4086" i="3"/>
  <c r="K4086" i="3"/>
  <c r="E4086" i="3"/>
  <c r="I4085" i="3"/>
  <c r="H4085" i="3" s="1"/>
  <c r="C4085" i="3"/>
  <c r="B4085" i="3" s="1"/>
  <c r="A4087" i="3"/>
  <c r="L4087" i="3" l="1"/>
  <c r="F4087" i="3"/>
  <c r="J4087" i="3"/>
  <c r="D4087" i="3"/>
  <c r="K4087" i="3"/>
  <c r="E4087" i="3"/>
  <c r="C4086" i="3"/>
  <c r="B4086" i="3" s="1"/>
  <c r="I4086" i="3"/>
  <c r="H4086" i="3" s="1"/>
  <c r="A4088" i="3"/>
  <c r="L4088" i="3" l="1"/>
  <c r="F4088" i="3"/>
  <c r="J4088" i="3"/>
  <c r="D4088" i="3"/>
  <c r="K4088" i="3"/>
  <c r="E4088" i="3"/>
  <c r="C4087" i="3"/>
  <c r="B4087" i="3" s="1"/>
  <c r="I4087" i="3"/>
  <c r="H4087" i="3" s="1"/>
  <c r="A4089" i="3"/>
  <c r="L4089" i="3" l="1"/>
  <c r="F4089" i="3"/>
  <c r="J4089" i="3"/>
  <c r="D4089" i="3"/>
  <c r="K4089" i="3"/>
  <c r="E4089" i="3"/>
  <c r="I4088" i="3"/>
  <c r="H4088" i="3" s="1"/>
  <c r="C4088" i="3"/>
  <c r="B4088" i="3" s="1"/>
  <c r="A4090" i="3"/>
  <c r="L4090" i="3" l="1"/>
  <c r="F4090" i="3"/>
  <c r="J4090" i="3"/>
  <c r="D4090" i="3"/>
  <c r="K4090" i="3"/>
  <c r="E4090" i="3"/>
  <c r="C4089" i="3"/>
  <c r="B4089" i="3" s="1"/>
  <c r="A4091" i="3"/>
  <c r="I4089" i="3"/>
  <c r="H4089" i="3" s="1"/>
  <c r="L4091" i="3" l="1"/>
  <c r="F4091" i="3"/>
  <c r="J4091" i="3"/>
  <c r="D4091" i="3"/>
  <c r="K4091" i="3"/>
  <c r="E4091" i="3"/>
  <c r="C4090" i="3"/>
  <c r="B4090" i="3" s="1"/>
  <c r="A4092" i="3"/>
  <c r="I4090" i="3"/>
  <c r="H4090" i="3" s="1"/>
  <c r="L4092" i="3" l="1"/>
  <c r="F4092" i="3"/>
  <c r="J4092" i="3"/>
  <c r="D4092" i="3"/>
  <c r="K4092" i="3"/>
  <c r="E4092" i="3"/>
  <c r="I4091" i="3"/>
  <c r="H4091" i="3" s="1"/>
  <c r="A4093" i="3"/>
  <c r="C4091" i="3"/>
  <c r="B4091" i="3" s="1"/>
  <c r="L4093" i="3" l="1"/>
  <c r="F4093" i="3"/>
  <c r="J4093" i="3"/>
  <c r="D4093" i="3"/>
  <c r="K4093" i="3"/>
  <c r="E4093" i="3"/>
  <c r="A4094" i="3"/>
  <c r="I4092" i="3"/>
  <c r="H4092" i="3" s="1"/>
  <c r="C4092" i="3"/>
  <c r="B4092" i="3" s="1"/>
  <c r="L4094" i="3" l="1"/>
  <c r="F4094" i="3"/>
  <c r="J4094" i="3"/>
  <c r="D4094" i="3"/>
  <c r="K4094" i="3"/>
  <c r="E4094" i="3"/>
  <c r="I4093" i="3"/>
  <c r="H4093" i="3" s="1"/>
  <c r="C4093" i="3"/>
  <c r="B4093" i="3" s="1"/>
  <c r="A4095" i="3"/>
  <c r="L4095" i="3" l="1"/>
  <c r="F4095" i="3"/>
  <c r="J4095" i="3"/>
  <c r="D4095" i="3"/>
  <c r="K4095" i="3"/>
  <c r="E4095" i="3"/>
  <c r="I4094" i="3"/>
  <c r="H4094" i="3" s="1"/>
  <c r="C4094" i="3"/>
  <c r="B4094" i="3" s="1"/>
  <c r="A4096" i="3"/>
  <c r="L4096" i="3" l="1"/>
  <c r="F4096" i="3"/>
  <c r="J4096" i="3"/>
  <c r="D4096" i="3"/>
  <c r="K4096" i="3"/>
  <c r="E4096" i="3"/>
  <c r="I4095" i="3"/>
  <c r="H4095" i="3" s="1"/>
  <c r="A4097" i="3"/>
  <c r="C4095" i="3"/>
  <c r="B4095" i="3" s="1"/>
  <c r="L4097" i="3" l="1"/>
  <c r="F4097" i="3"/>
  <c r="J4097" i="3"/>
  <c r="D4097" i="3"/>
  <c r="K4097" i="3"/>
  <c r="E4097" i="3"/>
  <c r="C4096" i="3"/>
  <c r="B4096" i="3" s="1"/>
  <c r="I4096" i="3"/>
  <c r="H4096" i="3" s="1"/>
  <c r="A4098" i="3"/>
  <c r="L4098" i="3" l="1"/>
  <c r="F4098" i="3"/>
  <c r="J4098" i="3"/>
  <c r="D4098" i="3"/>
  <c r="K4098" i="3"/>
  <c r="E4098" i="3"/>
  <c r="C4097" i="3"/>
  <c r="B4097" i="3" s="1"/>
  <c r="I4097" i="3"/>
  <c r="H4097" i="3" s="1"/>
  <c r="A4099" i="3"/>
  <c r="L4099" i="3" l="1"/>
  <c r="F4099" i="3"/>
  <c r="J4099" i="3"/>
  <c r="D4099" i="3"/>
  <c r="K4099" i="3"/>
  <c r="E4099" i="3"/>
  <c r="I4098" i="3"/>
  <c r="H4098" i="3" s="1"/>
  <c r="C4098" i="3"/>
  <c r="B4098" i="3" s="1"/>
  <c r="A4100" i="3"/>
  <c r="L4100" i="3" l="1"/>
  <c r="F4100" i="3"/>
  <c r="J4100" i="3"/>
  <c r="D4100" i="3"/>
  <c r="K4100" i="3"/>
  <c r="E4100" i="3"/>
  <c r="C4099" i="3"/>
  <c r="B4099" i="3" s="1"/>
  <c r="I4099" i="3"/>
  <c r="H4099" i="3" s="1"/>
  <c r="A4101" i="3"/>
  <c r="L4101" i="3" l="1"/>
  <c r="F4101" i="3"/>
  <c r="J4101" i="3"/>
  <c r="D4101" i="3"/>
  <c r="K4101" i="3"/>
  <c r="E4101" i="3"/>
  <c r="I4100" i="3"/>
  <c r="H4100" i="3" s="1"/>
  <c r="C4100" i="3"/>
  <c r="B4100" i="3" s="1"/>
  <c r="A4102" i="3"/>
  <c r="L4102" i="3" l="1"/>
  <c r="F4102" i="3"/>
  <c r="J4102" i="3"/>
  <c r="D4102" i="3"/>
  <c r="K4102" i="3"/>
  <c r="E4102" i="3"/>
  <c r="C4101" i="3"/>
  <c r="B4101" i="3" s="1"/>
  <c r="I4101" i="3"/>
  <c r="H4101" i="3" s="1"/>
  <c r="A4103" i="3"/>
  <c r="L4103" i="3" l="1"/>
  <c r="F4103" i="3"/>
  <c r="J4103" i="3"/>
  <c r="D4103" i="3"/>
  <c r="K4103" i="3"/>
  <c r="E4103" i="3"/>
  <c r="I4102" i="3"/>
  <c r="H4102" i="3" s="1"/>
  <c r="C4102" i="3"/>
  <c r="B4102" i="3" s="1"/>
  <c r="A4104" i="3"/>
  <c r="L4104" i="3" l="1"/>
  <c r="F4104" i="3"/>
  <c r="J4104" i="3"/>
  <c r="D4104" i="3"/>
  <c r="K4104" i="3"/>
  <c r="E4104" i="3"/>
  <c r="I4103" i="3"/>
  <c r="H4103" i="3" s="1"/>
  <c r="C4103" i="3"/>
  <c r="B4103" i="3" s="1"/>
  <c r="A4105" i="3"/>
  <c r="L4105" i="3" l="1"/>
  <c r="F4105" i="3"/>
  <c r="D4105" i="3"/>
  <c r="J4105" i="3"/>
  <c r="E4105" i="3"/>
  <c r="K4105" i="3"/>
  <c r="C4104" i="3"/>
  <c r="B4104" i="3" s="1"/>
  <c r="I4104" i="3"/>
  <c r="H4104" i="3" s="1"/>
  <c r="A4106" i="3"/>
  <c r="L4106" i="3" l="1"/>
  <c r="F4106" i="3"/>
  <c r="D4106" i="3"/>
  <c r="E4106" i="3"/>
  <c r="J4106" i="3"/>
  <c r="K4106" i="3"/>
  <c r="I4105" i="3"/>
  <c r="H4105" i="3" s="1"/>
  <c r="C4105" i="3"/>
  <c r="B4105" i="3" s="1"/>
  <c r="A4107" i="3"/>
  <c r="L4107" i="3" l="1"/>
  <c r="F4107" i="3"/>
  <c r="J4107" i="3"/>
  <c r="D4107" i="3"/>
  <c r="K4107" i="3"/>
  <c r="E4107" i="3"/>
  <c r="I4106" i="3"/>
  <c r="H4106" i="3" s="1"/>
  <c r="C4106" i="3"/>
  <c r="B4106" i="3" s="1"/>
  <c r="A4108" i="3"/>
  <c r="L4108" i="3" l="1"/>
  <c r="F4108" i="3"/>
  <c r="J4108" i="3"/>
  <c r="D4108" i="3"/>
  <c r="K4108" i="3"/>
  <c r="E4108" i="3"/>
  <c r="C4107" i="3"/>
  <c r="B4107" i="3" s="1"/>
  <c r="I4107" i="3"/>
  <c r="H4107" i="3" s="1"/>
  <c r="A4109" i="3"/>
  <c r="L4109" i="3" l="1"/>
  <c r="F4109" i="3"/>
  <c r="J4109" i="3"/>
  <c r="D4109" i="3"/>
  <c r="K4109" i="3"/>
  <c r="E4109" i="3"/>
  <c r="I4108" i="3"/>
  <c r="H4108" i="3" s="1"/>
  <c r="C4108" i="3"/>
  <c r="B4108" i="3" s="1"/>
  <c r="A4110" i="3"/>
  <c r="L4110" i="3" l="1"/>
  <c r="F4110" i="3"/>
  <c r="J4110" i="3"/>
  <c r="D4110" i="3"/>
  <c r="K4110" i="3"/>
  <c r="E4110" i="3"/>
  <c r="C4109" i="3"/>
  <c r="B4109" i="3" s="1"/>
  <c r="I4109" i="3"/>
  <c r="H4109" i="3" s="1"/>
  <c r="A4111" i="3"/>
  <c r="L4111" i="3" l="1"/>
  <c r="F4111" i="3"/>
  <c r="J4111" i="3"/>
  <c r="D4111" i="3"/>
  <c r="K4111" i="3"/>
  <c r="E4111" i="3"/>
  <c r="I4110" i="3"/>
  <c r="H4110" i="3" s="1"/>
  <c r="A4112" i="3"/>
  <c r="C4110" i="3"/>
  <c r="B4110" i="3" s="1"/>
  <c r="L4112" i="3" l="1"/>
  <c r="F4112" i="3"/>
  <c r="J4112" i="3"/>
  <c r="D4112" i="3"/>
  <c r="K4112" i="3"/>
  <c r="E4112" i="3"/>
  <c r="I4111" i="3"/>
  <c r="H4111" i="3" s="1"/>
  <c r="C4111" i="3"/>
  <c r="B4111" i="3" s="1"/>
  <c r="A4113" i="3"/>
  <c r="L4113" i="3" l="1"/>
  <c r="F4113" i="3"/>
  <c r="J4113" i="3"/>
  <c r="D4113" i="3"/>
  <c r="K4113" i="3"/>
  <c r="E4113" i="3"/>
  <c r="I4112" i="3"/>
  <c r="H4112" i="3" s="1"/>
  <c r="C4112" i="3"/>
  <c r="B4112" i="3" s="1"/>
  <c r="A4114" i="3"/>
  <c r="L4114" i="3" l="1"/>
  <c r="F4114" i="3"/>
  <c r="J4114" i="3"/>
  <c r="D4114" i="3"/>
  <c r="K4114" i="3"/>
  <c r="E4114" i="3"/>
  <c r="I4113" i="3"/>
  <c r="H4113" i="3" s="1"/>
  <c r="C4113" i="3"/>
  <c r="B4113" i="3" s="1"/>
  <c r="A4115" i="3"/>
  <c r="L4115" i="3" l="1"/>
  <c r="F4115" i="3"/>
  <c r="J4115" i="3"/>
  <c r="D4115" i="3"/>
  <c r="K4115" i="3"/>
  <c r="E4115" i="3"/>
  <c r="I4114" i="3"/>
  <c r="H4114" i="3" s="1"/>
  <c r="A4116" i="3"/>
  <c r="C4114" i="3"/>
  <c r="B4114" i="3" s="1"/>
  <c r="L4116" i="3" l="1"/>
  <c r="F4116" i="3"/>
  <c r="J4116" i="3"/>
  <c r="D4116" i="3"/>
  <c r="K4116" i="3"/>
  <c r="E4116" i="3"/>
  <c r="C4115" i="3"/>
  <c r="B4115" i="3" s="1"/>
  <c r="I4115" i="3"/>
  <c r="H4115" i="3" s="1"/>
  <c r="A4117" i="3"/>
  <c r="L4117" i="3" l="1"/>
  <c r="F4117" i="3"/>
  <c r="J4117" i="3"/>
  <c r="D4117" i="3"/>
  <c r="K4117" i="3"/>
  <c r="E4117" i="3"/>
  <c r="C4116" i="3"/>
  <c r="B4116" i="3" s="1"/>
  <c r="I4116" i="3"/>
  <c r="H4116" i="3" s="1"/>
  <c r="A4118" i="3"/>
  <c r="L4118" i="3" l="1"/>
  <c r="F4118" i="3"/>
  <c r="J4118" i="3"/>
  <c r="D4118" i="3"/>
  <c r="K4118" i="3"/>
  <c r="E4118" i="3"/>
  <c r="I4117" i="3"/>
  <c r="H4117" i="3" s="1"/>
  <c r="C4117" i="3"/>
  <c r="B4117" i="3" s="1"/>
  <c r="A4119" i="3"/>
  <c r="L4119" i="3" l="1"/>
  <c r="F4119" i="3"/>
  <c r="J4119" i="3"/>
  <c r="D4119" i="3"/>
  <c r="K4119" i="3"/>
  <c r="E4119" i="3"/>
  <c r="I4118" i="3"/>
  <c r="H4118" i="3" s="1"/>
  <c r="A4120" i="3"/>
  <c r="C4118" i="3"/>
  <c r="B4118" i="3" s="1"/>
  <c r="L4120" i="3" l="1"/>
  <c r="F4120" i="3"/>
  <c r="J4120" i="3"/>
  <c r="D4120" i="3"/>
  <c r="K4120" i="3"/>
  <c r="E4120" i="3"/>
  <c r="C4119" i="3"/>
  <c r="B4119" i="3" s="1"/>
  <c r="I4119" i="3"/>
  <c r="H4119" i="3" s="1"/>
  <c r="A4121" i="3"/>
  <c r="L4121" i="3" l="1"/>
  <c r="F4121" i="3"/>
  <c r="J4121" i="3"/>
  <c r="D4121" i="3"/>
  <c r="K4121" i="3"/>
  <c r="E4121" i="3"/>
  <c r="I4120" i="3"/>
  <c r="H4120" i="3" s="1"/>
  <c r="C4120" i="3"/>
  <c r="B4120" i="3" s="1"/>
  <c r="A4122" i="3"/>
  <c r="L4122" i="3" l="1"/>
  <c r="F4122" i="3"/>
  <c r="J4122" i="3"/>
  <c r="D4122" i="3"/>
  <c r="K4122" i="3"/>
  <c r="E4122" i="3"/>
  <c r="C4121" i="3"/>
  <c r="B4121" i="3" s="1"/>
  <c r="I4121" i="3"/>
  <c r="H4121" i="3" s="1"/>
  <c r="A4123" i="3"/>
  <c r="L4123" i="3" l="1"/>
  <c r="F4123" i="3"/>
  <c r="J4123" i="3"/>
  <c r="D4123" i="3"/>
  <c r="K4123" i="3"/>
  <c r="E4123" i="3"/>
  <c r="I4122" i="3"/>
  <c r="H4122" i="3" s="1"/>
  <c r="C4122" i="3"/>
  <c r="B4122" i="3" s="1"/>
  <c r="A4124" i="3"/>
  <c r="L4124" i="3" l="1"/>
  <c r="F4124" i="3"/>
  <c r="J4124" i="3"/>
  <c r="D4124" i="3"/>
  <c r="K4124" i="3"/>
  <c r="E4124" i="3"/>
  <c r="I4123" i="3"/>
  <c r="H4123" i="3" s="1"/>
  <c r="C4123" i="3"/>
  <c r="B4123" i="3" s="1"/>
  <c r="A4125" i="3"/>
  <c r="L4125" i="3" l="1"/>
  <c r="F4125" i="3"/>
  <c r="J4125" i="3"/>
  <c r="D4125" i="3"/>
  <c r="K4125" i="3"/>
  <c r="E4125" i="3"/>
  <c r="I4124" i="3"/>
  <c r="H4124" i="3" s="1"/>
  <c r="C4124" i="3"/>
  <c r="B4124" i="3" s="1"/>
  <c r="A4126" i="3"/>
  <c r="L4126" i="3" l="1"/>
  <c r="F4126" i="3"/>
  <c r="J4126" i="3"/>
  <c r="D4126" i="3"/>
  <c r="K4126" i="3"/>
  <c r="E4126" i="3"/>
  <c r="C4125" i="3"/>
  <c r="B4125" i="3" s="1"/>
  <c r="I4125" i="3"/>
  <c r="H4125" i="3" s="1"/>
  <c r="A4127" i="3"/>
  <c r="L4127" i="3" l="1"/>
  <c r="F4127" i="3"/>
  <c r="J4127" i="3"/>
  <c r="D4127" i="3"/>
  <c r="K4127" i="3"/>
  <c r="E4127" i="3"/>
  <c r="C4126" i="3"/>
  <c r="B4126" i="3" s="1"/>
  <c r="I4126" i="3"/>
  <c r="H4126" i="3" s="1"/>
  <c r="A4128" i="3"/>
  <c r="L4128" i="3" l="1"/>
  <c r="F4128" i="3"/>
  <c r="J4128" i="3"/>
  <c r="D4128" i="3"/>
  <c r="K4128" i="3"/>
  <c r="E4128" i="3"/>
  <c r="I4127" i="3"/>
  <c r="H4127" i="3" s="1"/>
  <c r="C4127" i="3"/>
  <c r="B4127" i="3" s="1"/>
  <c r="A4129" i="3"/>
  <c r="L4129" i="3" l="1"/>
  <c r="F4129" i="3"/>
  <c r="J4129" i="3"/>
  <c r="D4129" i="3"/>
  <c r="K4129" i="3"/>
  <c r="E4129" i="3"/>
  <c r="I4128" i="3"/>
  <c r="H4128" i="3" s="1"/>
  <c r="C4128" i="3"/>
  <c r="B4128" i="3" s="1"/>
  <c r="A4130" i="3"/>
  <c r="L4130" i="3" l="1"/>
  <c r="F4130" i="3"/>
  <c r="J4130" i="3"/>
  <c r="D4130" i="3"/>
  <c r="K4130" i="3"/>
  <c r="E4130" i="3"/>
  <c r="C4129" i="3"/>
  <c r="B4129" i="3" s="1"/>
  <c r="I4129" i="3"/>
  <c r="H4129" i="3" s="1"/>
  <c r="A4131" i="3"/>
  <c r="L4131" i="3" l="1"/>
  <c r="F4131" i="3"/>
  <c r="J4131" i="3"/>
  <c r="D4131" i="3"/>
  <c r="K4131" i="3"/>
  <c r="E4131" i="3"/>
  <c r="C4130" i="3"/>
  <c r="B4130" i="3" s="1"/>
  <c r="I4130" i="3"/>
  <c r="H4130" i="3" s="1"/>
  <c r="A4132" i="3"/>
  <c r="L4132" i="3" l="1"/>
  <c r="F4132" i="3"/>
  <c r="J4132" i="3"/>
  <c r="D4132" i="3"/>
  <c r="K4132" i="3"/>
  <c r="E4132" i="3"/>
  <c r="I4131" i="3"/>
  <c r="H4131" i="3" s="1"/>
  <c r="C4131" i="3"/>
  <c r="B4131" i="3" s="1"/>
  <c r="A4133" i="3"/>
  <c r="L4133" i="3" l="1"/>
  <c r="F4133" i="3"/>
  <c r="J4133" i="3"/>
  <c r="D4133" i="3"/>
  <c r="K4133" i="3"/>
  <c r="E4133" i="3"/>
  <c r="I4132" i="3"/>
  <c r="H4132" i="3" s="1"/>
  <c r="C4132" i="3"/>
  <c r="B4132" i="3" s="1"/>
  <c r="A4134" i="3"/>
  <c r="L4134" i="3" l="1"/>
  <c r="F4134" i="3"/>
  <c r="J4134" i="3"/>
  <c r="D4134" i="3"/>
  <c r="K4134" i="3"/>
  <c r="E4134" i="3"/>
  <c r="I4133" i="3"/>
  <c r="H4133" i="3" s="1"/>
  <c r="C4133" i="3"/>
  <c r="B4133" i="3" s="1"/>
  <c r="A4135" i="3"/>
  <c r="L4135" i="3" l="1"/>
  <c r="F4135" i="3"/>
  <c r="J4135" i="3"/>
  <c r="D4135" i="3"/>
  <c r="K4135" i="3"/>
  <c r="E4135" i="3"/>
  <c r="I4134" i="3"/>
  <c r="H4134" i="3" s="1"/>
  <c r="A4136" i="3"/>
  <c r="C4134" i="3"/>
  <c r="B4134" i="3" s="1"/>
  <c r="L4136" i="3" l="1"/>
  <c r="F4136" i="3"/>
  <c r="J4136" i="3"/>
  <c r="D4136" i="3"/>
  <c r="K4136" i="3"/>
  <c r="E4136" i="3"/>
  <c r="I4135" i="3"/>
  <c r="H4135" i="3" s="1"/>
  <c r="C4135" i="3"/>
  <c r="B4135" i="3" s="1"/>
  <c r="A4137" i="3"/>
  <c r="L4137" i="3" l="1"/>
  <c r="F4137" i="3"/>
  <c r="D4137" i="3"/>
  <c r="J4137" i="3"/>
  <c r="E4137" i="3"/>
  <c r="K4137" i="3"/>
  <c r="I4136" i="3"/>
  <c r="H4136" i="3" s="1"/>
  <c r="C4136" i="3"/>
  <c r="B4136" i="3" s="1"/>
  <c r="A4138" i="3"/>
  <c r="L4138" i="3" l="1"/>
  <c r="F4138" i="3"/>
  <c r="J4138" i="3"/>
  <c r="D4138" i="3"/>
  <c r="K4138" i="3"/>
  <c r="E4138" i="3"/>
  <c r="C4137" i="3"/>
  <c r="B4137" i="3" s="1"/>
  <c r="I4137" i="3"/>
  <c r="H4137" i="3" s="1"/>
  <c r="A4139" i="3"/>
  <c r="L4139" i="3" l="1"/>
  <c r="F4139" i="3"/>
  <c r="J4139" i="3"/>
  <c r="D4139" i="3"/>
  <c r="K4139" i="3"/>
  <c r="E4139" i="3"/>
  <c r="C4138" i="3"/>
  <c r="B4138" i="3" s="1"/>
  <c r="I4138" i="3"/>
  <c r="H4138" i="3" s="1"/>
  <c r="A4140" i="3"/>
  <c r="L4140" i="3" l="1"/>
  <c r="F4140" i="3"/>
  <c r="J4140" i="3"/>
  <c r="D4140" i="3"/>
  <c r="K4140" i="3"/>
  <c r="E4140" i="3"/>
  <c r="I4139" i="3"/>
  <c r="H4139" i="3" s="1"/>
  <c r="C4139" i="3"/>
  <c r="B4139" i="3" s="1"/>
  <c r="A4141" i="3"/>
  <c r="L4141" i="3" l="1"/>
  <c r="F4141" i="3"/>
  <c r="J4141" i="3"/>
  <c r="D4141" i="3"/>
  <c r="K4141" i="3"/>
  <c r="E4141" i="3"/>
  <c r="C4140" i="3"/>
  <c r="B4140" i="3" s="1"/>
  <c r="I4140" i="3"/>
  <c r="H4140" i="3" s="1"/>
  <c r="A4142" i="3"/>
  <c r="L4142" i="3" l="1"/>
  <c r="F4142" i="3"/>
  <c r="J4142" i="3"/>
  <c r="D4142" i="3"/>
  <c r="K4142" i="3"/>
  <c r="E4142" i="3"/>
  <c r="C4141" i="3"/>
  <c r="B4141" i="3" s="1"/>
  <c r="I4141" i="3"/>
  <c r="H4141" i="3" s="1"/>
  <c r="A4143" i="3"/>
  <c r="L4143" i="3" l="1"/>
  <c r="F4143" i="3"/>
  <c r="J4143" i="3"/>
  <c r="D4143" i="3"/>
  <c r="K4143" i="3"/>
  <c r="E4143" i="3"/>
  <c r="I4142" i="3"/>
  <c r="H4142" i="3" s="1"/>
  <c r="C4142" i="3"/>
  <c r="B4142" i="3" s="1"/>
  <c r="A4144" i="3"/>
  <c r="L4144" i="3" l="1"/>
  <c r="F4144" i="3"/>
  <c r="J4144" i="3"/>
  <c r="D4144" i="3"/>
  <c r="K4144" i="3"/>
  <c r="E4144" i="3"/>
  <c r="I4143" i="3"/>
  <c r="H4143" i="3" s="1"/>
  <c r="C4143" i="3"/>
  <c r="B4143" i="3" s="1"/>
  <c r="A4145" i="3"/>
  <c r="L4145" i="3" l="1"/>
  <c r="F4145" i="3"/>
  <c r="J4145" i="3"/>
  <c r="D4145" i="3"/>
  <c r="K4145" i="3"/>
  <c r="E4145" i="3"/>
  <c r="C4144" i="3"/>
  <c r="B4144" i="3" s="1"/>
  <c r="I4144" i="3"/>
  <c r="H4144" i="3" s="1"/>
  <c r="A4146" i="3"/>
  <c r="L4146" i="3" l="1"/>
  <c r="F4146" i="3"/>
  <c r="J4146" i="3"/>
  <c r="D4146" i="3"/>
  <c r="K4146" i="3"/>
  <c r="E4146" i="3"/>
  <c r="C4145" i="3"/>
  <c r="B4145" i="3" s="1"/>
  <c r="I4145" i="3"/>
  <c r="H4145" i="3" s="1"/>
  <c r="A4147" i="3"/>
  <c r="L4147" i="3" l="1"/>
  <c r="F4147" i="3"/>
  <c r="J4147" i="3"/>
  <c r="D4147" i="3"/>
  <c r="K4147" i="3"/>
  <c r="E4147" i="3"/>
  <c r="I4146" i="3"/>
  <c r="H4146" i="3" s="1"/>
  <c r="C4146" i="3"/>
  <c r="B4146" i="3" s="1"/>
  <c r="A4148" i="3"/>
  <c r="L4148" i="3" l="1"/>
  <c r="F4148" i="3"/>
  <c r="J4148" i="3"/>
  <c r="D4148" i="3"/>
  <c r="K4148" i="3"/>
  <c r="E4148" i="3"/>
  <c r="A4149" i="3"/>
  <c r="I4147" i="3"/>
  <c r="H4147" i="3" s="1"/>
  <c r="C4147" i="3"/>
  <c r="B4147" i="3" s="1"/>
  <c r="L4149" i="3" l="1"/>
  <c r="F4149" i="3"/>
  <c r="J4149" i="3"/>
  <c r="K4149" i="3"/>
  <c r="D4149" i="3"/>
  <c r="E4149" i="3"/>
  <c r="I4148" i="3"/>
  <c r="H4148" i="3" s="1"/>
  <c r="C4148" i="3"/>
  <c r="B4148" i="3" s="1"/>
  <c r="A4150" i="3"/>
  <c r="L4150" i="3" l="1"/>
  <c r="F4150" i="3"/>
  <c r="J4150" i="3"/>
  <c r="D4150" i="3"/>
  <c r="K4150" i="3"/>
  <c r="E4150" i="3"/>
  <c r="C4149" i="3"/>
  <c r="B4149" i="3" s="1"/>
  <c r="I4149" i="3"/>
  <c r="H4149" i="3" s="1"/>
  <c r="A4151" i="3"/>
  <c r="L4151" i="3" l="1"/>
  <c r="F4151" i="3"/>
  <c r="J4151" i="3"/>
  <c r="D4151" i="3"/>
  <c r="K4151" i="3"/>
  <c r="E4151" i="3"/>
  <c r="I4150" i="3"/>
  <c r="H4150" i="3" s="1"/>
  <c r="C4150" i="3"/>
  <c r="B4150" i="3" s="1"/>
  <c r="A4152" i="3"/>
  <c r="L4152" i="3" l="1"/>
  <c r="F4152" i="3"/>
  <c r="J4152" i="3"/>
  <c r="D4152" i="3"/>
  <c r="K4152" i="3"/>
  <c r="E4152" i="3"/>
  <c r="I4151" i="3"/>
  <c r="H4151" i="3" s="1"/>
  <c r="C4151" i="3"/>
  <c r="B4151" i="3" s="1"/>
  <c r="A4153" i="3"/>
  <c r="L4153" i="3" l="1"/>
  <c r="F4153" i="3"/>
  <c r="J4153" i="3"/>
  <c r="D4153" i="3"/>
  <c r="K4153" i="3"/>
  <c r="E4153" i="3"/>
  <c r="C4152" i="3"/>
  <c r="B4152" i="3" s="1"/>
  <c r="I4152" i="3"/>
  <c r="H4152" i="3" s="1"/>
  <c r="A4154" i="3"/>
  <c r="L4154" i="3" l="1"/>
  <c r="F4154" i="3"/>
  <c r="J4154" i="3"/>
  <c r="D4154" i="3"/>
  <c r="K4154" i="3"/>
  <c r="E4154" i="3"/>
  <c r="C4153" i="3"/>
  <c r="B4153" i="3" s="1"/>
  <c r="I4153" i="3"/>
  <c r="H4153" i="3" s="1"/>
  <c r="A4155" i="3"/>
  <c r="L4155" i="3" l="1"/>
  <c r="F4155" i="3"/>
  <c r="J4155" i="3"/>
  <c r="D4155" i="3"/>
  <c r="K4155" i="3"/>
  <c r="E4155" i="3"/>
  <c r="I4154" i="3"/>
  <c r="H4154" i="3" s="1"/>
  <c r="C4154" i="3"/>
  <c r="B4154" i="3" s="1"/>
  <c r="A4156" i="3"/>
  <c r="L4156" i="3" l="1"/>
  <c r="F4156" i="3"/>
  <c r="J4156" i="3"/>
  <c r="D4156" i="3"/>
  <c r="K4156" i="3"/>
  <c r="E4156" i="3"/>
  <c r="I4155" i="3"/>
  <c r="H4155" i="3" s="1"/>
  <c r="A4157" i="3"/>
  <c r="C4155" i="3"/>
  <c r="B4155" i="3" s="1"/>
  <c r="L4157" i="3" l="1"/>
  <c r="F4157" i="3"/>
  <c r="J4157" i="3"/>
  <c r="D4157" i="3"/>
  <c r="K4157" i="3"/>
  <c r="E4157" i="3"/>
  <c r="C4156" i="3"/>
  <c r="B4156" i="3" s="1"/>
  <c r="I4156" i="3"/>
  <c r="H4156" i="3" s="1"/>
  <c r="A4158" i="3"/>
  <c r="L4158" i="3" l="1"/>
  <c r="F4158" i="3"/>
  <c r="J4158" i="3"/>
  <c r="D4158" i="3"/>
  <c r="K4158" i="3"/>
  <c r="E4158" i="3"/>
  <c r="C4157" i="3"/>
  <c r="B4157" i="3" s="1"/>
  <c r="I4157" i="3"/>
  <c r="H4157" i="3" s="1"/>
  <c r="A4159" i="3"/>
  <c r="L4159" i="3" l="1"/>
  <c r="F4159" i="3"/>
  <c r="J4159" i="3"/>
  <c r="D4159" i="3"/>
  <c r="K4159" i="3"/>
  <c r="E4159" i="3"/>
  <c r="I4158" i="3"/>
  <c r="H4158" i="3" s="1"/>
  <c r="C4158" i="3"/>
  <c r="B4158" i="3" s="1"/>
  <c r="A4160" i="3"/>
  <c r="L4160" i="3" l="1"/>
  <c r="F4160" i="3"/>
  <c r="J4160" i="3"/>
  <c r="D4160" i="3"/>
  <c r="K4160" i="3"/>
  <c r="E4160" i="3"/>
  <c r="I4159" i="3"/>
  <c r="H4159" i="3" s="1"/>
  <c r="A4161" i="3"/>
  <c r="C4159" i="3"/>
  <c r="B4159" i="3" s="1"/>
  <c r="L4161" i="3" l="1"/>
  <c r="F4161" i="3"/>
  <c r="J4161" i="3"/>
  <c r="D4161" i="3"/>
  <c r="K4161" i="3"/>
  <c r="E4161" i="3"/>
  <c r="C4160" i="3"/>
  <c r="B4160" i="3" s="1"/>
  <c r="I4160" i="3"/>
  <c r="H4160" i="3" s="1"/>
  <c r="A4162" i="3"/>
  <c r="L4162" i="3" l="1"/>
  <c r="F4162" i="3"/>
  <c r="J4162" i="3"/>
  <c r="D4162" i="3"/>
  <c r="K4162" i="3"/>
  <c r="E4162" i="3"/>
  <c r="I4161" i="3"/>
  <c r="H4161" i="3" s="1"/>
  <c r="C4161" i="3"/>
  <c r="B4161" i="3" s="1"/>
  <c r="A4163" i="3"/>
  <c r="L4163" i="3" l="1"/>
  <c r="F4163" i="3"/>
  <c r="J4163" i="3"/>
  <c r="D4163" i="3"/>
  <c r="K4163" i="3"/>
  <c r="E4163" i="3"/>
  <c r="I4162" i="3"/>
  <c r="H4162" i="3" s="1"/>
  <c r="C4162" i="3"/>
  <c r="B4162" i="3" s="1"/>
  <c r="A4164" i="3"/>
  <c r="L4164" i="3" l="1"/>
  <c r="F4164" i="3"/>
  <c r="J4164" i="3"/>
  <c r="D4164" i="3"/>
  <c r="K4164" i="3"/>
  <c r="E4164" i="3"/>
  <c r="I4163" i="3"/>
  <c r="H4163" i="3" s="1"/>
  <c r="A4165" i="3"/>
  <c r="C4163" i="3"/>
  <c r="B4163" i="3" s="1"/>
  <c r="L4165" i="3" l="1"/>
  <c r="F4165" i="3"/>
  <c r="J4165" i="3"/>
  <c r="D4165" i="3"/>
  <c r="K4165" i="3"/>
  <c r="E4165" i="3"/>
  <c r="I4164" i="3"/>
  <c r="H4164" i="3" s="1"/>
  <c r="C4164" i="3"/>
  <c r="B4164" i="3" s="1"/>
  <c r="A4166" i="3"/>
  <c r="F4166" i="3" l="1"/>
  <c r="L4166" i="3"/>
  <c r="D4166" i="3"/>
  <c r="J4166" i="3"/>
  <c r="E4166" i="3"/>
  <c r="K4166" i="3"/>
  <c r="I4165" i="3"/>
  <c r="H4165" i="3" s="1"/>
  <c r="A4167" i="3"/>
  <c r="C4165" i="3"/>
  <c r="B4165" i="3" s="1"/>
  <c r="L4167" i="3" l="1"/>
  <c r="F4167" i="3"/>
  <c r="J4167" i="3"/>
  <c r="D4167" i="3"/>
  <c r="K4167" i="3"/>
  <c r="E4167" i="3"/>
  <c r="I4166" i="3"/>
  <c r="H4166" i="3" s="1"/>
  <c r="C4166" i="3"/>
  <c r="B4166" i="3" s="1"/>
  <c r="A4168" i="3"/>
  <c r="L4168" i="3" l="1"/>
  <c r="F4168" i="3"/>
  <c r="J4168" i="3"/>
  <c r="D4168" i="3"/>
  <c r="K4168" i="3"/>
  <c r="E4168" i="3"/>
  <c r="C4167" i="3"/>
  <c r="B4167" i="3" s="1"/>
  <c r="I4167" i="3"/>
  <c r="H4167" i="3" s="1"/>
  <c r="A4169" i="3"/>
  <c r="L4169" i="3" l="1"/>
  <c r="F4169" i="3"/>
  <c r="D4169" i="3"/>
  <c r="J4169" i="3"/>
  <c r="E4169" i="3"/>
  <c r="K4169" i="3"/>
  <c r="I4168" i="3"/>
  <c r="H4168" i="3" s="1"/>
  <c r="C4168" i="3"/>
  <c r="B4168" i="3" s="1"/>
  <c r="A4170" i="3"/>
  <c r="L4170" i="3" l="1"/>
  <c r="F4170" i="3"/>
  <c r="J4170" i="3"/>
  <c r="D4170" i="3"/>
  <c r="K4170" i="3"/>
  <c r="E4170" i="3"/>
  <c r="C4169" i="3"/>
  <c r="B4169" i="3" s="1"/>
  <c r="I4169" i="3"/>
  <c r="H4169" i="3" s="1"/>
  <c r="A4171" i="3"/>
  <c r="L4171" i="3" l="1"/>
  <c r="F4171" i="3"/>
  <c r="J4171" i="3"/>
  <c r="D4171" i="3"/>
  <c r="K4171" i="3"/>
  <c r="E4171" i="3"/>
  <c r="I4170" i="3"/>
  <c r="H4170" i="3" s="1"/>
  <c r="A4172" i="3"/>
  <c r="C4170" i="3"/>
  <c r="B4170" i="3" s="1"/>
  <c r="L4172" i="3" l="1"/>
  <c r="F4172" i="3"/>
  <c r="J4172" i="3"/>
  <c r="D4172" i="3"/>
  <c r="K4172" i="3"/>
  <c r="E4172" i="3"/>
  <c r="I4171" i="3"/>
  <c r="H4171" i="3" s="1"/>
  <c r="C4171" i="3"/>
  <c r="B4171" i="3" s="1"/>
  <c r="A4173" i="3"/>
  <c r="L4173" i="3" l="1"/>
  <c r="F4173" i="3"/>
  <c r="J4173" i="3"/>
  <c r="D4173" i="3"/>
  <c r="K4173" i="3"/>
  <c r="E4173" i="3"/>
  <c r="I4172" i="3"/>
  <c r="H4172" i="3" s="1"/>
  <c r="C4172" i="3"/>
  <c r="B4172" i="3" s="1"/>
  <c r="A4174" i="3"/>
  <c r="L4174" i="3" l="1"/>
  <c r="F4174" i="3"/>
  <c r="J4174" i="3"/>
  <c r="D4174" i="3"/>
  <c r="K4174" i="3"/>
  <c r="E4174" i="3"/>
  <c r="I4173" i="3"/>
  <c r="H4173" i="3" s="1"/>
  <c r="A4175" i="3"/>
  <c r="C4173" i="3"/>
  <c r="B4173" i="3" s="1"/>
  <c r="L4175" i="3" l="1"/>
  <c r="F4175" i="3"/>
  <c r="J4175" i="3"/>
  <c r="D4175" i="3"/>
  <c r="K4175" i="3"/>
  <c r="E4175" i="3"/>
  <c r="I4174" i="3"/>
  <c r="H4174" i="3" s="1"/>
  <c r="C4174" i="3"/>
  <c r="B4174" i="3" s="1"/>
  <c r="A4176" i="3"/>
  <c r="L4176" i="3" l="1"/>
  <c r="F4176" i="3"/>
  <c r="J4176" i="3"/>
  <c r="D4176" i="3"/>
  <c r="K4176" i="3"/>
  <c r="E4176" i="3"/>
  <c r="C4175" i="3"/>
  <c r="B4175" i="3" s="1"/>
  <c r="I4175" i="3"/>
  <c r="H4175" i="3" s="1"/>
  <c r="A4177" i="3"/>
  <c r="L4177" i="3" l="1"/>
  <c r="F4177" i="3"/>
  <c r="J4177" i="3"/>
  <c r="D4177" i="3"/>
  <c r="K4177" i="3"/>
  <c r="E4177" i="3"/>
  <c r="I4176" i="3"/>
  <c r="H4176" i="3" s="1"/>
  <c r="C4176" i="3"/>
  <c r="B4176" i="3" s="1"/>
  <c r="A4178" i="3"/>
  <c r="L4178" i="3" l="1"/>
  <c r="F4178" i="3"/>
  <c r="J4178" i="3"/>
  <c r="D4178" i="3"/>
  <c r="K4178" i="3"/>
  <c r="E4178" i="3"/>
  <c r="I4177" i="3"/>
  <c r="H4177" i="3" s="1"/>
  <c r="A4179" i="3"/>
  <c r="C4177" i="3"/>
  <c r="B4177" i="3" s="1"/>
  <c r="L4179" i="3" l="1"/>
  <c r="F4179" i="3"/>
  <c r="J4179" i="3"/>
  <c r="D4179" i="3"/>
  <c r="K4179" i="3"/>
  <c r="E4179" i="3"/>
  <c r="I4178" i="3"/>
  <c r="H4178" i="3" s="1"/>
  <c r="C4178" i="3"/>
  <c r="B4178" i="3" s="1"/>
  <c r="A4180" i="3"/>
  <c r="L4180" i="3" l="1"/>
  <c r="F4180" i="3"/>
  <c r="J4180" i="3"/>
  <c r="D4180" i="3"/>
  <c r="K4180" i="3"/>
  <c r="E4180" i="3"/>
  <c r="I4179" i="3"/>
  <c r="H4179" i="3" s="1"/>
  <c r="A4181" i="3"/>
  <c r="C4179" i="3"/>
  <c r="B4179" i="3" s="1"/>
  <c r="L4181" i="3" l="1"/>
  <c r="F4181" i="3"/>
  <c r="J4181" i="3"/>
  <c r="D4181" i="3"/>
  <c r="K4181" i="3"/>
  <c r="E4181" i="3"/>
  <c r="I4180" i="3"/>
  <c r="H4180" i="3" s="1"/>
  <c r="C4180" i="3"/>
  <c r="B4180" i="3" s="1"/>
  <c r="A4182" i="3"/>
  <c r="L4182" i="3" l="1"/>
  <c r="F4182" i="3"/>
  <c r="J4182" i="3"/>
  <c r="D4182" i="3"/>
  <c r="K4182" i="3"/>
  <c r="E4182" i="3"/>
  <c r="I4181" i="3"/>
  <c r="H4181" i="3" s="1"/>
  <c r="C4181" i="3"/>
  <c r="B4181" i="3" s="1"/>
  <c r="A4183" i="3"/>
  <c r="L4183" i="3" l="1"/>
  <c r="F4183" i="3"/>
  <c r="J4183" i="3"/>
  <c r="D4183" i="3"/>
  <c r="K4183" i="3"/>
  <c r="E4183" i="3"/>
  <c r="C4182" i="3"/>
  <c r="B4182" i="3" s="1"/>
  <c r="I4182" i="3"/>
  <c r="H4182" i="3" s="1"/>
  <c r="A4184" i="3"/>
  <c r="L4184" i="3" l="1"/>
  <c r="F4184" i="3"/>
  <c r="J4184" i="3"/>
  <c r="D4184" i="3"/>
  <c r="K4184" i="3"/>
  <c r="E4184" i="3"/>
  <c r="C4183" i="3"/>
  <c r="B4183" i="3" s="1"/>
  <c r="I4183" i="3"/>
  <c r="H4183" i="3" s="1"/>
  <c r="A4185" i="3"/>
  <c r="L4185" i="3" l="1"/>
  <c r="F4185" i="3"/>
  <c r="J4185" i="3"/>
  <c r="D4185" i="3"/>
  <c r="K4185" i="3"/>
  <c r="E4185" i="3"/>
  <c r="I4184" i="3"/>
  <c r="H4184" i="3" s="1"/>
  <c r="C4184" i="3"/>
  <c r="B4184" i="3" s="1"/>
  <c r="A4186" i="3"/>
  <c r="L4186" i="3" l="1"/>
  <c r="F4186" i="3"/>
  <c r="J4186" i="3"/>
  <c r="D4186" i="3"/>
  <c r="K4186" i="3"/>
  <c r="E4186" i="3"/>
  <c r="I4185" i="3"/>
  <c r="H4185" i="3" s="1"/>
  <c r="A4187" i="3"/>
  <c r="C4185" i="3"/>
  <c r="B4185" i="3" s="1"/>
  <c r="L4187" i="3" l="1"/>
  <c r="F4187" i="3"/>
  <c r="J4187" i="3"/>
  <c r="D4187" i="3"/>
  <c r="K4187" i="3"/>
  <c r="E4187" i="3"/>
  <c r="I4186" i="3"/>
  <c r="H4186" i="3" s="1"/>
  <c r="C4186" i="3"/>
  <c r="B4186" i="3" s="1"/>
  <c r="A4188" i="3"/>
  <c r="L4188" i="3" l="1"/>
  <c r="F4188" i="3"/>
  <c r="J4188" i="3"/>
  <c r="D4188" i="3"/>
  <c r="K4188" i="3"/>
  <c r="E4188" i="3"/>
  <c r="I4187" i="3"/>
  <c r="H4187" i="3" s="1"/>
  <c r="A4189" i="3"/>
  <c r="C4187" i="3"/>
  <c r="B4187" i="3" s="1"/>
  <c r="L4189" i="3" l="1"/>
  <c r="F4189" i="3"/>
  <c r="J4189" i="3"/>
  <c r="D4189" i="3"/>
  <c r="K4189" i="3"/>
  <c r="E4189" i="3"/>
  <c r="C4188" i="3"/>
  <c r="B4188" i="3" s="1"/>
  <c r="I4188" i="3"/>
  <c r="H4188" i="3" s="1"/>
  <c r="A4190" i="3"/>
  <c r="L4190" i="3" l="1"/>
  <c r="F4190" i="3"/>
  <c r="J4190" i="3"/>
  <c r="D4190" i="3"/>
  <c r="K4190" i="3"/>
  <c r="E4190" i="3"/>
  <c r="I4189" i="3"/>
  <c r="H4189" i="3" s="1"/>
  <c r="C4189" i="3"/>
  <c r="B4189" i="3" s="1"/>
  <c r="A4191" i="3"/>
  <c r="L4191" i="3" l="1"/>
  <c r="F4191" i="3"/>
  <c r="J4191" i="3"/>
  <c r="D4191" i="3"/>
  <c r="K4191" i="3"/>
  <c r="E4191" i="3"/>
  <c r="I4190" i="3"/>
  <c r="H4190" i="3" s="1"/>
  <c r="C4190" i="3"/>
  <c r="B4190" i="3" s="1"/>
  <c r="A4192" i="3"/>
  <c r="L4192" i="3" l="1"/>
  <c r="F4192" i="3"/>
  <c r="J4192" i="3"/>
  <c r="D4192" i="3"/>
  <c r="K4192" i="3"/>
  <c r="E4192" i="3"/>
  <c r="I4191" i="3"/>
  <c r="H4191" i="3" s="1"/>
  <c r="C4191" i="3"/>
  <c r="B4191" i="3" s="1"/>
  <c r="A4193" i="3"/>
  <c r="L4193" i="3" l="1"/>
  <c r="F4193" i="3"/>
  <c r="J4193" i="3"/>
  <c r="D4193" i="3"/>
  <c r="K4193" i="3"/>
  <c r="E4193" i="3"/>
  <c r="I4192" i="3"/>
  <c r="H4192" i="3" s="1"/>
  <c r="C4192" i="3"/>
  <c r="B4192" i="3" s="1"/>
  <c r="A4194" i="3"/>
  <c r="L4194" i="3" l="1"/>
  <c r="F4194" i="3"/>
  <c r="J4194" i="3"/>
  <c r="D4194" i="3"/>
  <c r="K4194" i="3"/>
  <c r="E4194" i="3"/>
  <c r="I4193" i="3"/>
  <c r="H4193" i="3" s="1"/>
  <c r="C4193" i="3"/>
  <c r="B4193" i="3" s="1"/>
  <c r="A4195" i="3"/>
  <c r="L4195" i="3" l="1"/>
  <c r="F4195" i="3"/>
  <c r="J4195" i="3"/>
  <c r="D4195" i="3"/>
  <c r="K4195" i="3"/>
  <c r="E4195" i="3"/>
  <c r="I4194" i="3"/>
  <c r="H4194" i="3" s="1"/>
  <c r="C4194" i="3"/>
  <c r="B4194" i="3" s="1"/>
  <c r="A4196" i="3"/>
  <c r="L4196" i="3" l="1"/>
  <c r="F4196" i="3"/>
  <c r="J4196" i="3"/>
  <c r="D4196" i="3"/>
  <c r="K4196" i="3"/>
  <c r="E4196" i="3"/>
  <c r="C4195" i="3"/>
  <c r="B4195" i="3" s="1"/>
  <c r="I4195" i="3"/>
  <c r="H4195" i="3" s="1"/>
  <c r="A4197" i="3"/>
  <c r="L4197" i="3" l="1"/>
  <c r="F4197" i="3"/>
  <c r="J4197" i="3"/>
  <c r="D4197" i="3"/>
  <c r="K4197" i="3"/>
  <c r="E4197" i="3"/>
  <c r="C4196" i="3"/>
  <c r="B4196" i="3" s="1"/>
  <c r="I4196" i="3"/>
  <c r="H4196" i="3" s="1"/>
  <c r="A4198" i="3"/>
  <c r="L4198" i="3" l="1"/>
  <c r="F4198" i="3"/>
  <c r="D4198" i="3"/>
  <c r="J4198" i="3"/>
  <c r="E4198" i="3"/>
  <c r="K4198" i="3"/>
  <c r="I4197" i="3"/>
  <c r="H4197" i="3" s="1"/>
  <c r="C4197" i="3"/>
  <c r="B4197" i="3" s="1"/>
  <c r="A4199" i="3"/>
  <c r="L4199" i="3" l="1"/>
  <c r="F4199" i="3"/>
  <c r="J4199" i="3"/>
  <c r="D4199" i="3"/>
  <c r="K4199" i="3"/>
  <c r="E4199" i="3"/>
  <c r="C4198" i="3"/>
  <c r="B4198" i="3" s="1"/>
  <c r="I4198" i="3"/>
  <c r="H4198" i="3" s="1"/>
  <c r="A4200" i="3"/>
  <c r="L4200" i="3" l="1"/>
  <c r="F4200" i="3"/>
  <c r="J4200" i="3"/>
  <c r="D4200" i="3"/>
  <c r="K4200" i="3"/>
  <c r="E4200" i="3"/>
  <c r="I4199" i="3"/>
  <c r="H4199" i="3" s="1"/>
  <c r="C4199" i="3"/>
  <c r="B4199" i="3" s="1"/>
  <c r="A4201" i="3"/>
  <c r="L4201" i="3" l="1"/>
  <c r="F4201" i="3"/>
  <c r="J4201" i="3"/>
  <c r="D4201" i="3"/>
  <c r="K4201" i="3"/>
  <c r="E4201" i="3"/>
  <c r="C4200" i="3"/>
  <c r="B4200" i="3" s="1"/>
  <c r="I4200" i="3"/>
  <c r="H4200" i="3" s="1"/>
  <c r="A4202" i="3"/>
  <c r="L4202" i="3" l="1"/>
  <c r="F4202" i="3"/>
  <c r="J4202" i="3"/>
  <c r="D4202" i="3"/>
  <c r="K4202" i="3"/>
  <c r="E4202" i="3"/>
  <c r="I4201" i="3"/>
  <c r="H4201" i="3" s="1"/>
  <c r="C4201" i="3"/>
  <c r="B4201" i="3" s="1"/>
  <c r="A4203" i="3"/>
  <c r="L4203" i="3" l="1"/>
  <c r="F4203" i="3"/>
  <c r="J4203" i="3"/>
  <c r="D4203" i="3"/>
  <c r="K4203" i="3"/>
  <c r="E4203" i="3"/>
  <c r="I4202" i="3"/>
  <c r="H4202" i="3" s="1"/>
  <c r="C4202" i="3"/>
  <c r="B4202" i="3" s="1"/>
  <c r="A4204" i="3"/>
  <c r="L4204" i="3" l="1"/>
  <c r="F4204" i="3"/>
  <c r="J4204" i="3"/>
  <c r="D4204" i="3"/>
  <c r="K4204" i="3"/>
  <c r="E4204" i="3"/>
  <c r="C4203" i="3"/>
  <c r="B4203" i="3" s="1"/>
  <c r="I4203" i="3"/>
  <c r="H4203" i="3" s="1"/>
  <c r="A4205" i="3"/>
  <c r="L4205" i="3" l="1"/>
  <c r="F4205" i="3"/>
  <c r="J4205" i="3"/>
  <c r="D4205" i="3"/>
  <c r="K4205" i="3"/>
  <c r="E4205" i="3"/>
  <c r="I4204" i="3"/>
  <c r="H4204" i="3" s="1"/>
  <c r="C4204" i="3"/>
  <c r="B4204" i="3" s="1"/>
  <c r="A4206" i="3"/>
  <c r="L4206" i="3" l="1"/>
  <c r="F4206" i="3"/>
  <c r="J4206" i="3"/>
  <c r="D4206" i="3"/>
  <c r="K4206" i="3"/>
  <c r="E4206" i="3"/>
  <c r="I4205" i="3"/>
  <c r="H4205" i="3" s="1"/>
  <c r="C4205" i="3"/>
  <c r="B4205" i="3" s="1"/>
  <c r="A4207" i="3"/>
  <c r="L4207" i="3" l="1"/>
  <c r="F4207" i="3"/>
  <c r="J4207" i="3"/>
  <c r="K4207" i="3"/>
  <c r="D4207" i="3"/>
  <c r="E4207" i="3"/>
  <c r="I4206" i="3"/>
  <c r="H4206" i="3" s="1"/>
  <c r="A4208" i="3"/>
  <c r="C4206" i="3"/>
  <c r="B4206" i="3" s="1"/>
  <c r="L4208" i="3" l="1"/>
  <c r="F4208" i="3"/>
  <c r="J4208" i="3"/>
  <c r="D4208" i="3"/>
  <c r="K4208" i="3"/>
  <c r="E4208" i="3"/>
  <c r="C4207" i="3"/>
  <c r="B4207" i="3" s="1"/>
  <c r="I4207" i="3"/>
  <c r="H4207" i="3" s="1"/>
  <c r="A4209" i="3"/>
  <c r="L4209" i="3" l="1"/>
  <c r="F4209" i="3"/>
  <c r="J4209" i="3"/>
  <c r="D4209" i="3"/>
  <c r="K4209" i="3"/>
  <c r="E4209" i="3"/>
  <c r="I4208" i="3"/>
  <c r="H4208" i="3" s="1"/>
  <c r="C4208" i="3"/>
  <c r="B4208" i="3" s="1"/>
  <c r="A4210" i="3"/>
  <c r="L4210" i="3" l="1"/>
  <c r="F4210" i="3"/>
  <c r="J4210" i="3"/>
  <c r="D4210" i="3"/>
  <c r="K4210" i="3"/>
  <c r="E4210" i="3"/>
  <c r="C4209" i="3"/>
  <c r="B4209" i="3" s="1"/>
  <c r="I4209" i="3"/>
  <c r="H4209" i="3" s="1"/>
  <c r="A4211" i="3"/>
  <c r="L4211" i="3" l="1"/>
  <c r="F4211" i="3"/>
  <c r="J4211" i="3"/>
  <c r="D4211" i="3"/>
  <c r="K4211" i="3"/>
  <c r="E4211" i="3"/>
  <c r="C4210" i="3"/>
  <c r="B4210" i="3" s="1"/>
  <c r="A4212" i="3"/>
  <c r="I4210" i="3"/>
  <c r="H4210" i="3" s="1"/>
  <c r="L4212" i="3" l="1"/>
  <c r="F4212" i="3"/>
  <c r="J4212" i="3"/>
  <c r="D4212" i="3"/>
  <c r="K4212" i="3"/>
  <c r="E4212" i="3"/>
  <c r="I4211" i="3"/>
  <c r="H4211" i="3" s="1"/>
  <c r="C4211" i="3"/>
  <c r="B4211" i="3" s="1"/>
  <c r="A4213" i="3"/>
  <c r="L4213" i="3" l="1"/>
  <c r="F4213" i="3"/>
  <c r="J4213" i="3"/>
  <c r="D4213" i="3"/>
  <c r="K4213" i="3"/>
  <c r="E4213" i="3"/>
  <c r="I4212" i="3"/>
  <c r="H4212" i="3" s="1"/>
  <c r="C4212" i="3"/>
  <c r="B4212" i="3" s="1"/>
  <c r="A4214" i="3"/>
  <c r="L4214" i="3" l="1"/>
  <c r="F4214" i="3"/>
  <c r="J4214" i="3"/>
  <c r="D4214" i="3"/>
  <c r="K4214" i="3"/>
  <c r="E4214" i="3"/>
  <c r="I4213" i="3"/>
  <c r="H4213" i="3" s="1"/>
  <c r="A4215" i="3"/>
  <c r="C4213" i="3"/>
  <c r="B4213" i="3" s="1"/>
  <c r="L4215" i="3" l="1"/>
  <c r="F4215" i="3"/>
  <c r="J4215" i="3"/>
  <c r="D4215" i="3"/>
  <c r="K4215" i="3"/>
  <c r="E4215" i="3"/>
  <c r="I4214" i="3"/>
  <c r="H4214" i="3" s="1"/>
  <c r="C4214" i="3"/>
  <c r="B4214" i="3" s="1"/>
  <c r="A4216" i="3"/>
  <c r="L4216" i="3" l="1"/>
  <c r="F4216" i="3"/>
  <c r="J4216" i="3"/>
  <c r="D4216" i="3"/>
  <c r="K4216" i="3"/>
  <c r="E4216" i="3"/>
  <c r="C4215" i="3"/>
  <c r="B4215" i="3" s="1"/>
  <c r="I4215" i="3"/>
  <c r="H4215" i="3" s="1"/>
  <c r="A4217" i="3"/>
  <c r="L4217" i="3" l="1"/>
  <c r="F4217" i="3"/>
  <c r="J4217" i="3"/>
  <c r="D4217" i="3"/>
  <c r="K4217" i="3"/>
  <c r="E4217" i="3"/>
  <c r="I4216" i="3"/>
  <c r="H4216" i="3" s="1"/>
  <c r="C4216" i="3"/>
  <c r="B4216" i="3" s="1"/>
  <c r="A4218" i="3"/>
  <c r="L4218" i="3" l="1"/>
  <c r="F4218" i="3"/>
  <c r="J4218" i="3"/>
  <c r="D4218" i="3"/>
  <c r="K4218" i="3"/>
  <c r="E4218" i="3"/>
  <c r="I4217" i="3"/>
  <c r="H4217" i="3" s="1"/>
  <c r="A4219" i="3"/>
  <c r="C4217" i="3"/>
  <c r="B4217" i="3" s="1"/>
  <c r="L4219" i="3" l="1"/>
  <c r="F4219" i="3"/>
  <c r="J4219" i="3"/>
  <c r="D4219" i="3"/>
  <c r="K4219" i="3"/>
  <c r="E4219" i="3"/>
  <c r="C4218" i="3"/>
  <c r="B4218" i="3" s="1"/>
  <c r="I4218" i="3"/>
  <c r="H4218" i="3" s="1"/>
  <c r="A4220" i="3"/>
  <c r="L4220" i="3" l="1"/>
  <c r="F4220" i="3"/>
  <c r="J4220" i="3"/>
  <c r="K4220" i="3"/>
  <c r="D4220" i="3"/>
  <c r="E4220" i="3"/>
  <c r="I4219" i="3"/>
  <c r="H4219" i="3" s="1"/>
  <c r="C4219" i="3"/>
  <c r="B4219" i="3" s="1"/>
  <c r="A4221" i="3"/>
  <c r="L4221" i="3" l="1"/>
  <c r="F4221" i="3"/>
  <c r="J4221" i="3"/>
  <c r="D4221" i="3"/>
  <c r="K4221" i="3"/>
  <c r="E4221" i="3"/>
  <c r="I4220" i="3"/>
  <c r="H4220" i="3" s="1"/>
  <c r="C4220" i="3"/>
  <c r="B4220" i="3" s="1"/>
  <c r="A4222" i="3"/>
  <c r="L4222" i="3" l="1"/>
  <c r="F4222" i="3"/>
  <c r="J4222" i="3"/>
  <c r="D4222" i="3"/>
  <c r="K4222" i="3"/>
  <c r="E4222" i="3"/>
  <c r="C4221" i="3"/>
  <c r="B4221" i="3" s="1"/>
  <c r="I4221" i="3"/>
  <c r="H4221" i="3" s="1"/>
  <c r="A4223" i="3"/>
  <c r="L4223" i="3" l="1"/>
  <c r="F4223" i="3"/>
  <c r="J4223" i="3"/>
  <c r="D4223" i="3"/>
  <c r="K4223" i="3"/>
  <c r="E4223" i="3"/>
  <c r="I4222" i="3"/>
  <c r="H4222" i="3" s="1"/>
  <c r="A4224" i="3"/>
  <c r="C4222" i="3"/>
  <c r="B4222" i="3" s="1"/>
  <c r="L4224" i="3" l="1"/>
  <c r="F4224" i="3"/>
  <c r="J4224" i="3"/>
  <c r="K4224" i="3"/>
  <c r="D4224" i="3"/>
  <c r="E4224" i="3"/>
  <c r="I4223" i="3"/>
  <c r="H4223" i="3" s="1"/>
  <c r="C4223" i="3"/>
  <c r="B4223" i="3" s="1"/>
  <c r="A4225" i="3"/>
  <c r="L4225" i="3" l="1"/>
  <c r="F4225" i="3"/>
  <c r="J4225" i="3"/>
  <c r="D4225" i="3"/>
  <c r="K4225" i="3"/>
  <c r="E4225" i="3"/>
  <c r="I4224" i="3"/>
  <c r="H4224" i="3" s="1"/>
  <c r="C4224" i="3"/>
  <c r="B4224" i="3" s="1"/>
  <c r="A4226" i="3"/>
  <c r="L4226" i="3" l="1"/>
  <c r="F4226" i="3"/>
  <c r="J4226" i="3"/>
  <c r="D4226" i="3"/>
  <c r="K4226" i="3"/>
  <c r="E4226" i="3"/>
  <c r="C4225" i="3"/>
  <c r="B4225" i="3" s="1"/>
  <c r="I4225" i="3"/>
  <c r="H4225" i="3" s="1"/>
  <c r="A4227" i="3"/>
  <c r="L4227" i="3" l="1"/>
  <c r="F4227" i="3"/>
  <c r="J4227" i="3"/>
  <c r="D4227" i="3"/>
  <c r="K4227" i="3"/>
  <c r="E4227" i="3"/>
  <c r="I4226" i="3"/>
  <c r="H4226" i="3" s="1"/>
  <c r="C4226" i="3"/>
  <c r="B4226" i="3" s="1"/>
  <c r="A4228" i="3"/>
  <c r="L4228" i="3" l="1"/>
  <c r="F4228" i="3"/>
  <c r="D4228" i="3"/>
  <c r="J4228" i="3"/>
  <c r="E4228" i="3"/>
  <c r="K4228" i="3"/>
  <c r="I4227" i="3"/>
  <c r="H4227" i="3" s="1"/>
  <c r="A4229" i="3"/>
  <c r="C4227" i="3"/>
  <c r="B4227" i="3" s="1"/>
  <c r="L4229" i="3" l="1"/>
  <c r="F4229" i="3"/>
  <c r="J4229" i="3"/>
  <c r="K4229" i="3"/>
  <c r="D4229" i="3"/>
  <c r="E4229" i="3"/>
  <c r="I4228" i="3"/>
  <c r="H4228" i="3" s="1"/>
  <c r="C4228" i="3"/>
  <c r="B4228" i="3" s="1"/>
  <c r="A4230" i="3"/>
  <c r="L4230" i="3" l="1"/>
  <c r="F4230" i="3"/>
  <c r="J4230" i="3"/>
  <c r="D4230" i="3"/>
  <c r="K4230" i="3"/>
  <c r="E4230" i="3"/>
  <c r="I4229" i="3"/>
  <c r="H4229" i="3" s="1"/>
  <c r="C4229" i="3"/>
  <c r="B4229" i="3" s="1"/>
  <c r="A4231" i="3"/>
  <c r="L4231" i="3" l="1"/>
  <c r="F4231" i="3"/>
  <c r="J4231" i="3"/>
  <c r="D4231" i="3"/>
  <c r="K4231" i="3"/>
  <c r="E4231" i="3"/>
  <c r="C4230" i="3"/>
  <c r="B4230" i="3" s="1"/>
  <c r="I4230" i="3"/>
  <c r="H4230" i="3" s="1"/>
  <c r="A4232" i="3"/>
  <c r="L4232" i="3" l="1"/>
  <c r="F4232" i="3"/>
  <c r="J4232" i="3"/>
  <c r="D4232" i="3"/>
  <c r="K4232" i="3"/>
  <c r="E4232" i="3"/>
  <c r="C4231" i="3"/>
  <c r="B4231" i="3" s="1"/>
  <c r="I4231" i="3"/>
  <c r="H4231" i="3" s="1"/>
  <c r="A4233" i="3"/>
  <c r="L4233" i="3" l="1"/>
  <c r="F4233" i="3"/>
  <c r="J4233" i="3"/>
  <c r="D4233" i="3"/>
  <c r="K4233" i="3"/>
  <c r="E4233" i="3"/>
  <c r="I4232" i="3"/>
  <c r="H4232" i="3" s="1"/>
  <c r="C4232" i="3"/>
  <c r="B4232" i="3" s="1"/>
  <c r="A4234" i="3"/>
  <c r="L4234" i="3" l="1"/>
  <c r="F4234" i="3"/>
  <c r="J4234" i="3"/>
  <c r="D4234" i="3"/>
  <c r="K4234" i="3"/>
  <c r="E4234" i="3"/>
  <c r="A4235" i="3"/>
  <c r="I4233" i="3"/>
  <c r="H4233" i="3" s="1"/>
  <c r="C4233" i="3"/>
  <c r="B4233" i="3" s="1"/>
  <c r="L4235" i="3" l="1"/>
  <c r="F4235" i="3"/>
  <c r="J4235" i="3"/>
  <c r="K4235" i="3"/>
  <c r="D4235" i="3"/>
  <c r="E4235" i="3"/>
  <c r="I4234" i="3"/>
  <c r="H4234" i="3" s="1"/>
  <c r="C4234" i="3"/>
  <c r="B4234" i="3" s="1"/>
  <c r="A4236" i="3"/>
  <c r="L4236" i="3" l="1"/>
  <c r="F4236" i="3"/>
  <c r="J4236" i="3"/>
  <c r="D4236" i="3"/>
  <c r="K4236" i="3"/>
  <c r="E4236" i="3"/>
  <c r="C4235" i="3"/>
  <c r="B4235" i="3" s="1"/>
  <c r="I4235" i="3"/>
  <c r="H4235" i="3" s="1"/>
  <c r="A4237" i="3"/>
  <c r="L4237" i="3" l="1"/>
  <c r="F4237" i="3"/>
  <c r="J4237" i="3"/>
  <c r="D4237" i="3"/>
  <c r="K4237" i="3"/>
  <c r="E4237" i="3"/>
  <c r="I4236" i="3"/>
  <c r="H4236" i="3" s="1"/>
  <c r="C4236" i="3"/>
  <c r="B4236" i="3" s="1"/>
  <c r="A4238" i="3"/>
  <c r="L4238" i="3" l="1"/>
  <c r="F4238" i="3"/>
  <c r="J4238" i="3"/>
  <c r="D4238" i="3"/>
  <c r="K4238" i="3"/>
  <c r="E4238" i="3"/>
  <c r="C4237" i="3"/>
  <c r="B4237" i="3" s="1"/>
  <c r="A4239" i="3"/>
  <c r="I4237" i="3"/>
  <c r="H4237" i="3" s="1"/>
  <c r="L4239" i="3" l="1"/>
  <c r="F4239" i="3"/>
  <c r="J4239" i="3"/>
  <c r="D4239" i="3"/>
  <c r="K4239" i="3"/>
  <c r="E4239" i="3"/>
  <c r="I4238" i="3"/>
  <c r="H4238" i="3" s="1"/>
  <c r="C4238" i="3"/>
  <c r="B4238" i="3" s="1"/>
  <c r="A4240" i="3"/>
  <c r="L4240" i="3" l="1"/>
  <c r="F4240" i="3"/>
  <c r="J4240" i="3"/>
  <c r="D4240" i="3"/>
  <c r="K4240" i="3"/>
  <c r="E4240" i="3"/>
  <c r="I4239" i="3"/>
  <c r="H4239" i="3" s="1"/>
  <c r="C4239" i="3"/>
  <c r="B4239" i="3" s="1"/>
  <c r="A4241" i="3"/>
  <c r="L4241" i="3" l="1"/>
  <c r="F4241" i="3"/>
  <c r="J4241" i="3"/>
  <c r="D4241" i="3"/>
  <c r="K4241" i="3"/>
  <c r="E4241" i="3"/>
  <c r="I4240" i="3"/>
  <c r="H4240" i="3" s="1"/>
  <c r="A4242" i="3"/>
  <c r="C4240" i="3"/>
  <c r="B4240" i="3" s="1"/>
  <c r="L4242" i="3" l="1"/>
  <c r="F4242" i="3"/>
  <c r="J4242" i="3"/>
  <c r="D4242" i="3"/>
  <c r="K4242" i="3"/>
  <c r="E4242" i="3"/>
  <c r="I4241" i="3"/>
  <c r="H4241" i="3" s="1"/>
  <c r="C4241" i="3"/>
  <c r="B4241" i="3" s="1"/>
  <c r="A4243" i="3"/>
  <c r="L4243" i="3" l="1"/>
  <c r="F4243" i="3"/>
  <c r="J4243" i="3"/>
  <c r="D4243" i="3"/>
  <c r="K4243" i="3"/>
  <c r="E4243" i="3"/>
  <c r="A4244" i="3"/>
  <c r="I4242" i="3"/>
  <c r="H4242" i="3" s="1"/>
  <c r="C4242" i="3"/>
  <c r="B4242" i="3" s="1"/>
  <c r="L4244" i="3" l="1"/>
  <c r="F4244" i="3"/>
  <c r="J4244" i="3"/>
  <c r="D4244" i="3"/>
  <c r="K4244" i="3"/>
  <c r="E4244" i="3"/>
  <c r="I4243" i="3"/>
  <c r="H4243" i="3" s="1"/>
  <c r="C4243" i="3"/>
  <c r="B4243" i="3" s="1"/>
  <c r="A4245" i="3"/>
  <c r="L4245" i="3" l="1"/>
  <c r="F4245" i="3"/>
  <c r="J4245" i="3"/>
  <c r="D4245" i="3"/>
  <c r="K4245" i="3"/>
  <c r="E4245" i="3"/>
  <c r="I4244" i="3"/>
  <c r="H4244" i="3" s="1"/>
  <c r="C4244" i="3"/>
  <c r="B4244" i="3" s="1"/>
  <c r="A4246" i="3"/>
  <c r="L4246" i="3" l="1"/>
  <c r="F4246" i="3"/>
  <c r="J4246" i="3"/>
  <c r="D4246" i="3"/>
  <c r="K4246" i="3"/>
  <c r="E4246" i="3"/>
  <c r="I4245" i="3"/>
  <c r="H4245" i="3" s="1"/>
  <c r="C4245" i="3"/>
  <c r="B4245" i="3" s="1"/>
  <c r="A4247" i="3"/>
  <c r="L4247" i="3" l="1"/>
  <c r="F4247" i="3"/>
  <c r="J4247" i="3"/>
  <c r="D4247" i="3"/>
  <c r="K4247" i="3"/>
  <c r="E4247" i="3"/>
  <c r="C4246" i="3"/>
  <c r="B4246" i="3" s="1"/>
  <c r="I4246" i="3"/>
  <c r="H4246" i="3" s="1"/>
  <c r="A4248" i="3"/>
  <c r="L4248" i="3" l="1"/>
  <c r="F4248" i="3"/>
  <c r="J4248" i="3"/>
  <c r="D4248" i="3"/>
  <c r="K4248" i="3"/>
  <c r="E4248" i="3"/>
  <c r="C4247" i="3"/>
  <c r="B4247" i="3" s="1"/>
  <c r="I4247" i="3"/>
  <c r="H4247" i="3" s="1"/>
  <c r="A4249" i="3"/>
  <c r="L4249" i="3" l="1"/>
  <c r="F4249" i="3"/>
  <c r="J4249" i="3"/>
  <c r="D4249" i="3"/>
  <c r="K4249" i="3"/>
  <c r="E4249" i="3"/>
  <c r="C4248" i="3"/>
  <c r="B4248" i="3" s="1"/>
  <c r="I4248" i="3"/>
  <c r="H4248" i="3" s="1"/>
  <c r="A4250" i="3"/>
  <c r="L4250" i="3" l="1"/>
  <c r="F4250" i="3"/>
  <c r="J4250" i="3"/>
  <c r="D4250" i="3"/>
  <c r="K4250" i="3"/>
  <c r="E4250" i="3"/>
  <c r="I4249" i="3"/>
  <c r="H4249" i="3" s="1"/>
  <c r="C4249" i="3"/>
  <c r="B4249" i="3" s="1"/>
  <c r="A4251" i="3"/>
  <c r="L4251" i="3" l="1"/>
  <c r="F4251" i="3"/>
  <c r="J4251" i="3"/>
  <c r="D4251" i="3"/>
  <c r="K4251" i="3"/>
  <c r="E4251" i="3"/>
  <c r="I4250" i="3"/>
  <c r="H4250" i="3" s="1"/>
  <c r="C4250" i="3"/>
  <c r="B4250" i="3" s="1"/>
  <c r="A4252" i="3"/>
  <c r="L4252" i="3" l="1"/>
  <c r="F4252" i="3"/>
  <c r="J4252" i="3"/>
  <c r="D4252" i="3"/>
  <c r="K4252" i="3"/>
  <c r="E4252" i="3"/>
  <c r="C4251" i="3"/>
  <c r="B4251" i="3" s="1"/>
  <c r="I4251" i="3"/>
  <c r="H4251" i="3" s="1"/>
  <c r="A4253" i="3"/>
  <c r="L4253" i="3" l="1"/>
  <c r="F4253" i="3"/>
  <c r="J4253" i="3"/>
  <c r="D4253" i="3"/>
  <c r="K4253" i="3"/>
  <c r="E4253" i="3"/>
  <c r="C4252" i="3"/>
  <c r="B4252" i="3" s="1"/>
  <c r="I4252" i="3"/>
  <c r="H4252" i="3" s="1"/>
  <c r="A4254" i="3"/>
  <c r="L4254" i="3" l="1"/>
  <c r="F4254" i="3"/>
  <c r="J4254" i="3"/>
  <c r="D4254" i="3"/>
  <c r="K4254" i="3"/>
  <c r="E4254" i="3"/>
  <c r="I4253" i="3"/>
  <c r="H4253" i="3" s="1"/>
  <c r="C4253" i="3"/>
  <c r="B4253" i="3" s="1"/>
  <c r="A4255" i="3"/>
  <c r="L4255" i="3" l="1"/>
  <c r="F4255" i="3"/>
  <c r="J4255" i="3"/>
  <c r="D4255" i="3"/>
  <c r="K4255" i="3"/>
  <c r="E4255" i="3"/>
  <c r="I4254" i="3"/>
  <c r="H4254" i="3" s="1"/>
  <c r="C4254" i="3"/>
  <c r="B4254" i="3" s="1"/>
  <c r="A4256" i="3"/>
  <c r="L4256" i="3" l="1"/>
  <c r="F4256" i="3"/>
  <c r="J4256" i="3"/>
  <c r="D4256" i="3"/>
  <c r="K4256" i="3"/>
  <c r="E4256" i="3"/>
  <c r="A4257" i="3"/>
  <c r="I4255" i="3"/>
  <c r="H4255" i="3" s="1"/>
  <c r="C4255" i="3"/>
  <c r="B4255" i="3" s="1"/>
  <c r="L4257" i="3" l="1"/>
  <c r="F4257" i="3"/>
  <c r="J4257" i="3"/>
  <c r="D4257" i="3"/>
  <c r="K4257" i="3"/>
  <c r="E4257" i="3"/>
  <c r="I4256" i="3"/>
  <c r="H4256" i="3" s="1"/>
  <c r="C4256" i="3"/>
  <c r="B4256" i="3" s="1"/>
  <c r="A4258" i="3"/>
  <c r="L4258" i="3" l="1"/>
  <c r="F4258" i="3"/>
  <c r="J4258" i="3"/>
  <c r="D4258" i="3"/>
  <c r="K4258" i="3"/>
  <c r="E4258" i="3"/>
  <c r="I4257" i="3"/>
  <c r="H4257" i="3" s="1"/>
  <c r="C4257" i="3"/>
  <c r="B4257" i="3" s="1"/>
  <c r="A4259" i="3"/>
  <c r="L4259" i="3" l="1"/>
  <c r="F4259" i="3"/>
  <c r="J4259" i="3"/>
  <c r="D4259" i="3"/>
  <c r="K4259" i="3"/>
  <c r="E4259" i="3"/>
  <c r="C4258" i="3"/>
  <c r="B4258" i="3" s="1"/>
  <c r="I4258" i="3"/>
  <c r="H4258" i="3" s="1"/>
  <c r="A4260" i="3"/>
  <c r="L4260" i="3" l="1"/>
  <c r="F4260" i="3"/>
  <c r="D4260" i="3"/>
  <c r="J4260" i="3"/>
  <c r="E4260" i="3"/>
  <c r="K4260" i="3"/>
  <c r="I4259" i="3"/>
  <c r="H4259" i="3" s="1"/>
  <c r="C4259" i="3"/>
  <c r="B4259" i="3" s="1"/>
  <c r="A4261" i="3"/>
  <c r="L4261" i="3" l="1"/>
  <c r="F4261" i="3"/>
  <c r="J4261" i="3"/>
  <c r="D4261" i="3"/>
  <c r="K4261" i="3"/>
  <c r="E4261" i="3"/>
  <c r="C4260" i="3"/>
  <c r="B4260" i="3" s="1"/>
  <c r="I4260" i="3"/>
  <c r="H4260" i="3" s="1"/>
  <c r="A4262" i="3"/>
  <c r="L4262" i="3" l="1"/>
  <c r="F4262" i="3"/>
  <c r="J4262" i="3"/>
  <c r="D4262" i="3"/>
  <c r="K4262" i="3"/>
  <c r="E4262" i="3"/>
  <c r="C4261" i="3"/>
  <c r="B4261" i="3" s="1"/>
  <c r="I4261" i="3"/>
  <c r="H4261" i="3" s="1"/>
  <c r="A4263" i="3"/>
  <c r="L4263" i="3" l="1"/>
  <c r="F4263" i="3"/>
  <c r="J4263" i="3"/>
  <c r="D4263" i="3"/>
  <c r="K4263" i="3"/>
  <c r="E4263" i="3"/>
  <c r="I4262" i="3"/>
  <c r="H4262" i="3" s="1"/>
  <c r="C4262" i="3"/>
  <c r="B4262" i="3" s="1"/>
  <c r="A4264" i="3"/>
  <c r="L4264" i="3" l="1"/>
  <c r="F4264" i="3"/>
  <c r="J4264" i="3"/>
  <c r="D4264" i="3"/>
  <c r="K4264" i="3"/>
  <c r="E4264" i="3"/>
  <c r="I4263" i="3"/>
  <c r="H4263" i="3" s="1"/>
  <c r="C4263" i="3"/>
  <c r="B4263" i="3" s="1"/>
  <c r="A4265" i="3"/>
  <c r="L4265" i="3" l="1"/>
  <c r="F4265" i="3"/>
  <c r="J4265" i="3"/>
  <c r="D4265" i="3"/>
  <c r="K4265" i="3"/>
  <c r="E4265" i="3"/>
  <c r="I4264" i="3"/>
  <c r="H4264" i="3" s="1"/>
  <c r="C4264" i="3"/>
  <c r="B4264" i="3" s="1"/>
  <c r="A4266" i="3"/>
  <c r="L4266" i="3" l="1"/>
  <c r="F4266" i="3"/>
  <c r="J4266" i="3"/>
  <c r="D4266" i="3"/>
  <c r="K4266" i="3"/>
  <c r="E4266" i="3"/>
  <c r="A4267" i="3"/>
  <c r="I4265" i="3"/>
  <c r="H4265" i="3" s="1"/>
  <c r="C4265" i="3"/>
  <c r="B4265" i="3" s="1"/>
  <c r="L4267" i="3" l="1"/>
  <c r="F4267" i="3"/>
  <c r="J4267" i="3"/>
  <c r="D4267" i="3"/>
  <c r="K4267" i="3"/>
  <c r="E4267" i="3"/>
  <c r="I4266" i="3"/>
  <c r="H4266" i="3" s="1"/>
  <c r="A4268" i="3"/>
  <c r="C4266" i="3"/>
  <c r="B4266" i="3" s="1"/>
  <c r="L4268" i="3" l="1"/>
  <c r="F4268" i="3"/>
  <c r="J4268" i="3"/>
  <c r="D4268" i="3"/>
  <c r="K4268" i="3"/>
  <c r="E4268" i="3"/>
  <c r="I4267" i="3"/>
  <c r="H4267" i="3" s="1"/>
  <c r="C4267" i="3"/>
  <c r="B4267" i="3" s="1"/>
  <c r="A4269" i="3"/>
  <c r="L4269" i="3" l="1"/>
  <c r="F4269" i="3"/>
  <c r="J4269" i="3"/>
  <c r="D4269" i="3"/>
  <c r="K4269" i="3"/>
  <c r="E4269" i="3"/>
  <c r="I4268" i="3"/>
  <c r="H4268" i="3" s="1"/>
  <c r="A4270" i="3"/>
  <c r="C4268" i="3"/>
  <c r="B4268" i="3" s="1"/>
  <c r="L4270" i="3" l="1"/>
  <c r="F4270" i="3"/>
  <c r="J4270" i="3"/>
  <c r="D4270" i="3"/>
  <c r="K4270" i="3"/>
  <c r="E4270" i="3"/>
  <c r="C4269" i="3"/>
  <c r="B4269" i="3" s="1"/>
  <c r="I4269" i="3"/>
  <c r="H4269" i="3" s="1"/>
  <c r="A4271" i="3"/>
  <c r="L4271" i="3" l="1"/>
  <c r="F4271" i="3"/>
  <c r="J4271" i="3"/>
  <c r="D4271" i="3"/>
  <c r="K4271" i="3"/>
  <c r="E4271" i="3"/>
  <c r="C4270" i="3"/>
  <c r="B4270" i="3" s="1"/>
  <c r="I4270" i="3"/>
  <c r="H4270" i="3" s="1"/>
  <c r="A4272" i="3"/>
  <c r="L4272" i="3" l="1"/>
  <c r="F4272" i="3"/>
  <c r="J4272" i="3"/>
  <c r="D4272" i="3"/>
  <c r="K4272" i="3"/>
  <c r="E4272" i="3"/>
  <c r="C4271" i="3"/>
  <c r="B4271" i="3" s="1"/>
  <c r="I4271" i="3"/>
  <c r="H4271" i="3" s="1"/>
  <c r="A4273" i="3"/>
  <c r="L4273" i="3" l="1"/>
  <c r="F4273" i="3"/>
  <c r="J4273" i="3"/>
  <c r="D4273" i="3"/>
  <c r="K4273" i="3"/>
  <c r="E4273" i="3"/>
  <c r="I4272" i="3"/>
  <c r="H4272" i="3" s="1"/>
  <c r="A4274" i="3"/>
  <c r="C4272" i="3"/>
  <c r="B4272" i="3" s="1"/>
  <c r="L4274" i="3" l="1"/>
  <c r="F4274" i="3"/>
  <c r="J4274" i="3"/>
  <c r="D4274" i="3"/>
  <c r="K4274" i="3"/>
  <c r="E4274" i="3"/>
  <c r="I4273" i="3"/>
  <c r="H4273" i="3" s="1"/>
  <c r="A4275" i="3"/>
  <c r="C4273" i="3"/>
  <c r="B4273" i="3" s="1"/>
  <c r="L4275" i="3" l="1"/>
  <c r="F4275" i="3"/>
  <c r="J4275" i="3"/>
  <c r="D4275" i="3"/>
  <c r="K4275" i="3"/>
  <c r="E4275" i="3"/>
  <c r="I4274" i="3"/>
  <c r="H4274" i="3" s="1"/>
  <c r="A4276" i="3"/>
  <c r="C4274" i="3"/>
  <c r="B4274" i="3" s="1"/>
  <c r="L4276" i="3" l="1"/>
  <c r="F4276" i="3"/>
  <c r="J4276" i="3"/>
  <c r="D4276" i="3"/>
  <c r="K4276" i="3"/>
  <c r="E4276" i="3"/>
  <c r="C4275" i="3"/>
  <c r="B4275" i="3" s="1"/>
  <c r="I4275" i="3"/>
  <c r="H4275" i="3" s="1"/>
  <c r="A4277" i="3"/>
  <c r="L4277" i="3" l="1"/>
  <c r="F4277" i="3"/>
  <c r="J4277" i="3"/>
  <c r="K4277" i="3"/>
  <c r="D4277" i="3"/>
  <c r="E4277" i="3"/>
  <c r="I4276" i="3"/>
  <c r="H4276" i="3" s="1"/>
  <c r="C4276" i="3"/>
  <c r="B4276" i="3" s="1"/>
  <c r="A4278" i="3"/>
  <c r="L4278" i="3" l="1"/>
  <c r="F4278" i="3"/>
  <c r="J4278" i="3"/>
  <c r="D4278" i="3"/>
  <c r="K4278" i="3"/>
  <c r="E4278" i="3"/>
  <c r="C4277" i="3"/>
  <c r="B4277" i="3" s="1"/>
  <c r="A4279" i="3"/>
  <c r="I4277" i="3"/>
  <c r="H4277" i="3" s="1"/>
  <c r="L4279" i="3" l="1"/>
  <c r="F4279" i="3"/>
  <c r="J4279" i="3"/>
  <c r="D4279" i="3"/>
  <c r="K4279" i="3"/>
  <c r="E4279" i="3"/>
  <c r="C4278" i="3"/>
  <c r="B4278" i="3" s="1"/>
  <c r="I4278" i="3"/>
  <c r="H4278" i="3" s="1"/>
  <c r="A4280" i="3"/>
  <c r="L4280" i="3" l="1"/>
  <c r="F4280" i="3"/>
  <c r="J4280" i="3"/>
  <c r="D4280" i="3"/>
  <c r="K4280" i="3"/>
  <c r="E4280" i="3"/>
  <c r="I4279" i="3"/>
  <c r="H4279" i="3" s="1"/>
  <c r="C4279" i="3"/>
  <c r="B4279" i="3" s="1"/>
  <c r="A4281" i="3"/>
  <c r="L4281" i="3" l="1"/>
  <c r="F4281" i="3"/>
  <c r="J4281" i="3"/>
  <c r="D4281" i="3"/>
  <c r="K4281" i="3"/>
  <c r="E4281" i="3"/>
  <c r="C4280" i="3"/>
  <c r="B4280" i="3" s="1"/>
  <c r="I4280" i="3"/>
  <c r="H4280" i="3" s="1"/>
  <c r="A4282" i="3"/>
  <c r="L4282" i="3" l="1"/>
  <c r="F4282" i="3"/>
  <c r="J4282" i="3"/>
  <c r="D4282" i="3"/>
  <c r="K4282" i="3"/>
  <c r="E4282" i="3"/>
  <c r="I4281" i="3"/>
  <c r="H4281" i="3" s="1"/>
  <c r="C4281" i="3"/>
  <c r="B4281" i="3" s="1"/>
  <c r="A4283" i="3"/>
  <c r="L4283" i="3" l="1"/>
  <c r="F4283" i="3"/>
  <c r="J4283" i="3"/>
  <c r="D4283" i="3"/>
  <c r="K4283" i="3"/>
  <c r="E4283" i="3"/>
  <c r="I4282" i="3"/>
  <c r="H4282" i="3" s="1"/>
  <c r="C4282" i="3"/>
  <c r="B4282" i="3" s="1"/>
  <c r="A4284" i="3"/>
  <c r="L4284" i="3" l="1"/>
  <c r="F4284" i="3"/>
  <c r="J4284" i="3"/>
  <c r="D4284" i="3"/>
  <c r="K4284" i="3"/>
  <c r="E4284" i="3"/>
  <c r="I4283" i="3"/>
  <c r="H4283" i="3" s="1"/>
  <c r="C4283" i="3"/>
  <c r="B4283" i="3" s="1"/>
  <c r="A4285" i="3"/>
  <c r="L4285" i="3" l="1"/>
  <c r="F4285" i="3"/>
  <c r="J4285" i="3"/>
  <c r="D4285" i="3"/>
  <c r="K4285" i="3"/>
  <c r="E4285" i="3"/>
  <c r="C4284" i="3"/>
  <c r="B4284" i="3" s="1"/>
  <c r="I4284" i="3"/>
  <c r="H4284" i="3" s="1"/>
  <c r="A4286" i="3"/>
  <c r="L4286" i="3" l="1"/>
  <c r="F4286" i="3"/>
  <c r="J4286" i="3"/>
  <c r="D4286" i="3"/>
  <c r="K4286" i="3"/>
  <c r="E4286" i="3"/>
  <c r="C4285" i="3"/>
  <c r="B4285" i="3" s="1"/>
  <c r="I4285" i="3"/>
  <c r="H4285" i="3" s="1"/>
  <c r="A4287" i="3"/>
  <c r="L4287" i="3" l="1"/>
  <c r="F4287" i="3"/>
  <c r="J4287" i="3"/>
  <c r="D4287" i="3"/>
  <c r="K4287" i="3"/>
  <c r="E4287" i="3"/>
  <c r="I4286" i="3"/>
  <c r="H4286" i="3" s="1"/>
  <c r="C4286" i="3"/>
  <c r="B4286" i="3" s="1"/>
  <c r="A4288" i="3"/>
  <c r="L4288" i="3" l="1"/>
  <c r="F4288" i="3"/>
  <c r="J4288" i="3"/>
  <c r="D4288" i="3"/>
  <c r="K4288" i="3"/>
  <c r="E4288" i="3"/>
  <c r="I4287" i="3"/>
  <c r="H4287" i="3" s="1"/>
  <c r="C4287" i="3"/>
  <c r="B4287" i="3" s="1"/>
  <c r="A4289" i="3"/>
  <c r="L4289" i="3" l="1"/>
  <c r="F4289" i="3"/>
  <c r="J4289" i="3"/>
  <c r="D4289" i="3"/>
  <c r="K4289" i="3"/>
  <c r="E4289" i="3"/>
  <c r="C4288" i="3"/>
  <c r="B4288" i="3" s="1"/>
  <c r="I4288" i="3"/>
  <c r="H4288" i="3" s="1"/>
  <c r="A4290" i="3"/>
  <c r="L4290" i="3" l="1"/>
  <c r="F4290" i="3"/>
  <c r="J4290" i="3"/>
  <c r="D4290" i="3"/>
  <c r="K4290" i="3"/>
  <c r="E4290" i="3"/>
  <c r="C4289" i="3"/>
  <c r="B4289" i="3" s="1"/>
  <c r="I4289" i="3"/>
  <c r="H4289" i="3" s="1"/>
  <c r="A4291" i="3"/>
  <c r="L4291" i="3" l="1"/>
  <c r="F4291" i="3"/>
  <c r="D4291" i="3"/>
  <c r="J4291" i="3"/>
  <c r="E4291" i="3"/>
  <c r="K4291" i="3"/>
  <c r="I4290" i="3"/>
  <c r="H4290" i="3" s="1"/>
  <c r="C4290" i="3"/>
  <c r="B4290" i="3" s="1"/>
  <c r="A4292" i="3"/>
  <c r="L4292" i="3" l="1"/>
  <c r="F4292" i="3"/>
  <c r="J4292" i="3"/>
  <c r="D4292" i="3"/>
  <c r="K4292" i="3"/>
  <c r="E4292" i="3"/>
  <c r="I4291" i="3"/>
  <c r="H4291" i="3" s="1"/>
  <c r="A4293" i="3"/>
  <c r="C4291" i="3"/>
  <c r="B4291" i="3" s="1"/>
  <c r="L4293" i="3" l="1"/>
  <c r="F4293" i="3"/>
  <c r="J4293" i="3"/>
  <c r="D4293" i="3"/>
  <c r="K4293" i="3"/>
  <c r="E4293" i="3"/>
  <c r="I4292" i="3"/>
  <c r="H4292" i="3" s="1"/>
  <c r="C4292" i="3"/>
  <c r="B4292" i="3" s="1"/>
  <c r="A4294" i="3"/>
  <c r="L4294" i="3" l="1"/>
  <c r="F4294" i="3"/>
  <c r="J4294" i="3"/>
  <c r="D4294" i="3"/>
  <c r="K4294" i="3"/>
  <c r="E4294" i="3"/>
  <c r="I4293" i="3"/>
  <c r="H4293" i="3" s="1"/>
  <c r="A4295" i="3"/>
  <c r="C4293" i="3"/>
  <c r="B4293" i="3" s="1"/>
  <c r="L4295" i="3" l="1"/>
  <c r="F4295" i="3"/>
  <c r="J4295" i="3"/>
  <c r="D4295" i="3"/>
  <c r="K4295" i="3"/>
  <c r="E4295" i="3"/>
  <c r="I4294" i="3"/>
  <c r="H4294" i="3" s="1"/>
  <c r="C4294" i="3"/>
  <c r="B4294" i="3" s="1"/>
  <c r="A4296" i="3"/>
  <c r="L4296" i="3" l="1"/>
  <c r="F4296" i="3"/>
  <c r="J4296" i="3"/>
  <c r="D4296" i="3"/>
  <c r="K4296" i="3"/>
  <c r="E4296" i="3"/>
  <c r="C4295" i="3"/>
  <c r="B4295" i="3" s="1"/>
  <c r="I4295" i="3"/>
  <c r="H4295" i="3" s="1"/>
  <c r="A4297" i="3"/>
  <c r="L4297" i="3" l="1"/>
  <c r="F4297" i="3"/>
  <c r="J4297" i="3"/>
  <c r="D4297" i="3"/>
  <c r="K4297" i="3"/>
  <c r="E4297" i="3"/>
  <c r="I4296" i="3"/>
  <c r="H4296" i="3" s="1"/>
  <c r="A4298" i="3"/>
  <c r="C4296" i="3"/>
  <c r="B4296" i="3" s="1"/>
  <c r="L4298" i="3" l="1"/>
  <c r="F4298" i="3"/>
  <c r="J4298" i="3"/>
  <c r="D4298" i="3"/>
  <c r="K4298" i="3"/>
  <c r="E4298" i="3"/>
  <c r="C4297" i="3"/>
  <c r="B4297" i="3" s="1"/>
  <c r="I4297" i="3"/>
  <c r="H4297" i="3" s="1"/>
  <c r="A4299" i="3"/>
  <c r="L4299" i="3" l="1"/>
  <c r="F4299" i="3"/>
  <c r="J4299" i="3"/>
  <c r="D4299" i="3"/>
  <c r="K4299" i="3"/>
  <c r="E4299" i="3"/>
  <c r="I4298" i="3"/>
  <c r="H4298" i="3" s="1"/>
  <c r="C4298" i="3"/>
  <c r="B4298" i="3" s="1"/>
  <c r="A4300" i="3"/>
  <c r="L4300" i="3" l="1"/>
  <c r="F4300" i="3"/>
  <c r="J4300" i="3"/>
  <c r="D4300" i="3"/>
  <c r="K4300" i="3"/>
  <c r="E4300" i="3"/>
  <c r="C4299" i="3"/>
  <c r="B4299" i="3" s="1"/>
  <c r="I4299" i="3"/>
  <c r="H4299" i="3" s="1"/>
  <c r="A4301" i="3"/>
  <c r="L4301" i="3" l="1"/>
  <c r="F4301" i="3"/>
  <c r="J4301" i="3"/>
  <c r="D4301" i="3"/>
  <c r="K4301" i="3"/>
  <c r="E4301" i="3"/>
  <c r="C4300" i="3"/>
  <c r="B4300" i="3" s="1"/>
  <c r="A4302" i="3"/>
  <c r="I4300" i="3"/>
  <c r="H4300" i="3" s="1"/>
  <c r="L4302" i="3" l="1"/>
  <c r="F4302" i="3"/>
  <c r="J4302" i="3"/>
  <c r="D4302" i="3"/>
  <c r="K4302" i="3"/>
  <c r="E4302" i="3"/>
  <c r="I4301" i="3"/>
  <c r="H4301" i="3" s="1"/>
  <c r="A4303" i="3"/>
  <c r="C4301" i="3"/>
  <c r="B4301" i="3" s="1"/>
  <c r="L4303" i="3" l="1"/>
  <c r="F4303" i="3"/>
  <c r="J4303" i="3"/>
  <c r="D4303" i="3"/>
  <c r="K4303" i="3"/>
  <c r="E4303" i="3"/>
  <c r="I4302" i="3"/>
  <c r="H4302" i="3" s="1"/>
  <c r="C4302" i="3"/>
  <c r="B4302" i="3" s="1"/>
  <c r="A4304" i="3"/>
  <c r="L4304" i="3" l="1"/>
  <c r="F4304" i="3"/>
  <c r="J4304" i="3"/>
  <c r="D4304" i="3"/>
  <c r="K4304" i="3"/>
  <c r="E4304" i="3"/>
  <c r="I4303" i="3"/>
  <c r="H4303" i="3" s="1"/>
  <c r="A4305" i="3"/>
  <c r="C4303" i="3"/>
  <c r="B4303" i="3" s="1"/>
  <c r="L4305" i="3" l="1"/>
  <c r="F4305" i="3"/>
  <c r="J4305" i="3"/>
  <c r="D4305" i="3"/>
  <c r="K4305" i="3"/>
  <c r="E4305" i="3"/>
  <c r="C4304" i="3"/>
  <c r="B4304" i="3" s="1"/>
  <c r="I4304" i="3"/>
  <c r="H4304" i="3" s="1"/>
  <c r="A4306" i="3"/>
  <c r="L4306" i="3" l="1"/>
  <c r="F4306" i="3"/>
  <c r="J4306" i="3"/>
  <c r="D4306" i="3"/>
  <c r="K4306" i="3"/>
  <c r="E4306" i="3"/>
  <c r="I4305" i="3"/>
  <c r="H4305" i="3" s="1"/>
  <c r="C4305" i="3"/>
  <c r="B4305" i="3" s="1"/>
  <c r="A4307" i="3"/>
  <c r="L4307" i="3" l="1"/>
  <c r="F4307" i="3"/>
  <c r="J4307" i="3"/>
  <c r="D4307" i="3"/>
  <c r="K4307" i="3"/>
  <c r="E4307" i="3"/>
  <c r="C4306" i="3"/>
  <c r="B4306" i="3" s="1"/>
  <c r="I4306" i="3"/>
  <c r="H4306" i="3" s="1"/>
  <c r="A4308" i="3"/>
  <c r="L4308" i="3" l="1"/>
  <c r="F4308" i="3"/>
  <c r="J4308" i="3"/>
  <c r="D4308" i="3"/>
  <c r="K4308" i="3"/>
  <c r="E4308" i="3"/>
  <c r="C4307" i="3"/>
  <c r="B4307" i="3" s="1"/>
  <c r="I4307" i="3"/>
  <c r="H4307" i="3" s="1"/>
  <c r="A4309" i="3"/>
  <c r="L4309" i="3" l="1"/>
  <c r="F4309" i="3"/>
  <c r="J4309" i="3"/>
  <c r="D4309" i="3"/>
  <c r="K4309" i="3"/>
  <c r="E4309" i="3"/>
  <c r="I4308" i="3"/>
  <c r="H4308" i="3" s="1"/>
  <c r="C4308" i="3"/>
  <c r="B4308" i="3" s="1"/>
  <c r="A4310" i="3"/>
  <c r="L4310" i="3" l="1"/>
  <c r="F4310" i="3"/>
  <c r="J4310" i="3"/>
  <c r="D4310" i="3"/>
  <c r="K4310" i="3"/>
  <c r="E4310" i="3"/>
  <c r="C4309" i="3"/>
  <c r="B4309" i="3" s="1"/>
  <c r="I4309" i="3"/>
  <c r="H4309" i="3" s="1"/>
  <c r="A4311" i="3"/>
  <c r="L4311" i="3" l="1"/>
  <c r="F4311" i="3"/>
  <c r="J4311" i="3"/>
  <c r="D4311" i="3"/>
  <c r="K4311" i="3"/>
  <c r="E4311" i="3"/>
  <c r="I4310" i="3"/>
  <c r="H4310" i="3" s="1"/>
  <c r="C4310" i="3"/>
  <c r="B4310" i="3" s="1"/>
  <c r="A4312" i="3"/>
  <c r="L4312" i="3" l="1"/>
  <c r="F4312" i="3"/>
  <c r="J4312" i="3"/>
  <c r="D4312" i="3"/>
  <c r="K4312" i="3"/>
  <c r="E4312" i="3"/>
  <c r="C4311" i="3"/>
  <c r="B4311" i="3" s="1"/>
  <c r="I4311" i="3"/>
  <c r="H4311" i="3" s="1"/>
  <c r="A4313" i="3"/>
  <c r="L4313" i="3" l="1"/>
  <c r="F4313" i="3"/>
  <c r="J4313" i="3"/>
  <c r="D4313" i="3"/>
  <c r="K4313" i="3"/>
  <c r="E4313" i="3"/>
  <c r="I4312" i="3"/>
  <c r="H4312" i="3" s="1"/>
  <c r="C4312" i="3"/>
  <c r="B4312" i="3" s="1"/>
  <c r="A4314" i="3"/>
  <c r="L4314" i="3" l="1"/>
  <c r="F4314" i="3"/>
  <c r="J4314" i="3"/>
  <c r="D4314" i="3"/>
  <c r="K4314" i="3"/>
  <c r="E4314" i="3"/>
  <c r="C4313" i="3"/>
  <c r="B4313" i="3" s="1"/>
  <c r="I4313" i="3"/>
  <c r="H4313" i="3" s="1"/>
  <c r="A4315" i="3"/>
  <c r="L4315" i="3" l="1"/>
  <c r="F4315" i="3"/>
  <c r="J4315" i="3"/>
  <c r="D4315" i="3"/>
  <c r="K4315" i="3"/>
  <c r="E4315" i="3"/>
  <c r="C4314" i="3"/>
  <c r="B4314" i="3" s="1"/>
  <c r="I4314" i="3"/>
  <c r="H4314" i="3" s="1"/>
  <c r="A4316" i="3"/>
  <c r="L4316" i="3" l="1"/>
  <c r="F4316" i="3"/>
  <c r="J4316" i="3"/>
  <c r="D4316" i="3"/>
  <c r="K4316" i="3"/>
  <c r="E4316" i="3"/>
  <c r="I4315" i="3"/>
  <c r="H4315" i="3" s="1"/>
  <c r="C4315" i="3"/>
  <c r="B4315" i="3" s="1"/>
  <c r="A4317" i="3"/>
  <c r="L4317" i="3" l="1"/>
  <c r="F4317" i="3"/>
  <c r="J4317" i="3"/>
  <c r="D4317" i="3"/>
  <c r="K4317" i="3"/>
  <c r="E4317" i="3"/>
  <c r="C4316" i="3"/>
  <c r="B4316" i="3" s="1"/>
  <c r="I4316" i="3"/>
  <c r="H4316" i="3" s="1"/>
  <c r="A4318" i="3"/>
  <c r="L4318" i="3" l="1"/>
  <c r="F4318" i="3"/>
  <c r="J4318" i="3"/>
  <c r="D4318" i="3"/>
  <c r="K4318" i="3"/>
  <c r="E4318" i="3"/>
  <c r="I4317" i="3"/>
  <c r="H4317" i="3" s="1"/>
  <c r="A4319" i="3"/>
  <c r="C4317" i="3"/>
  <c r="B4317" i="3" s="1"/>
  <c r="L4319" i="3" l="1"/>
  <c r="F4319" i="3"/>
  <c r="J4319" i="3"/>
  <c r="D4319" i="3"/>
  <c r="K4319" i="3"/>
  <c r="E4319" i="3"/>
  <c r="C4318" i="3"/>
  <c r="B4318" i="3" s="1"/>
  <c r="A4320" i="3"/>
  <c r="I4318" i="3"/>
  <c r="H4318" i="3" s="1"/>
  <c r="L4320" i="3" l="1"/>
  <c r="F4320" i="3"/>
  <c r="D4320" i="3"/>
  <c r="J4320" i="3"/>
  <c r="E4320" i="3"/>
  <c r="K4320" i="3"/>
  <c r="I4319" i="3"/>
  <c r="H4319" i="3" s="1"/>
  <c r="C4319" i="3"/>
  <c r="B4319" i="3" s="1"/>
  <c r="A4321" i="3"/>
  <c r="L4321" i="3" l="1"/>
  <c r="F4321" i="3"/>
  <c r="J4321" i="3"/>
  <c r="K4321" i="3"/>
  <c r="D4321" i="3"/>
  <c r="E4321" i="3"/>
  <c r="C4320" i="3"/>
  <c r="B4320" i="3" s="1"/>
  <c r="I4320" i="3"/>
  <c r="H4320" i="3" s="1"/>
  <c r="A4322" i="3"/>
  <c r="L4322" i="3" l="1"/>
  <c r="F4322" i="3"/>
  <c r="J4322" i="3"/>
  <c r="D4322" i="3"/>
  <c r="K4322" i="3"/>
  <c r="E4322" i="3"/>
  <c r="C4321" i="3"/>
  <c r="B4321" i="3" s="1"/>
  <c r="I4321" i="3"/>
  <c r="H4321" i="3" s="1"/>
  <c r="A4323" i="3"/>
  <c r="L4323" i="3" l="1"/>
  <c r="F4323" i="3"/>
  <c r="J4323" i="3"/>
  <c r="D4323" i="3"/>
  <c r="K4323" i="3"/>
  <c r="E4323" i="3"/>
  <c r="I4322" i="3"/>
  <c r="H4322" i="3" s="1"/>
  <c r="C4322" i="3"/>
  <c r="B4322" i="3" s="1"/>
  <c r="A4324" i="3"/>
  <c r="L4324" i="3" l="1"/>
  <c r="F4324" i="3"/>
  <c r="J4324" i="3"/>
  <c r="D4324" i="3"/>
  <c r="K4324" i="3"/>
  <c r="E4324" i="3"/>
  <c r="C4323" i="3"/>
  <c r="B4323" i="3" s="1"/>
  <c r="I4323" i="3"/>
  <c r="H4323" i="3" s="1"/>
  <c r="A4325" i="3"/>
  <c r="L4325" i="3" l="1"/>
  <c r="F4325" i="3"/>
  <c r="J4325" i="3"/>
  <c r="D4325" i="3"/>
  <c r="K4325" i="3"/>
  <c r="E4325" i="3"/>
  <c r="I4324" i="3"/>
  <c r="H4324" i="3" s="1"/>
  <c r="C4324" i="3"/>
  <c r="B4324" i="3" s="1"/>
  <c r="A4326" i="3"/>
  <c r="L4326" i="3" l="1"/>
  <c r="F4326" i="3"/>
  <c r="J4326" i="3"/>
  <c r="D4326" i="3"/>
  <c r="K4326" i="3"/>
  <c r="E4326" i="3"/>
  <c r="I4325" i="3"/>
  <c r="H4325" i="3" s="1"/>
  <c r="A4327" i="3"/>
  <c r="C4325" i="3"/>
  <c r="B4325" i="3" s="1"/>
  <c r="L4327" i="3" l="1"/>
  <c r="F4327" i="3"/>
  <c r="J4327" i="3"/>
  <c r="D4327" i="3"/>
  <c r="K4327" i="3"/>
  <c r="E4327" i="3"/>
  <c r="I4326" i="3"/>
  <c r="H4326" i="3" s="1"/>
  <c r="C4326" i="3"/>
  <c r="B4326" i="3" s="1"/>
  <c r="A4328" i="3"/>
  <c r="L4328" i="3" l="1"/>
  <c r="F4328" i="3"/>
  <c r="J4328" i="3"/>
  <c r="D4328" i="3"/>
  <c r="K4328" i="3"/>
  <c r="E4328" i="3"/>
  <c r="C4327" i="3"/>
  <c r="B4327" i="3" s="1"/>
  <c r="I4327" i="3"/>
  <c r="H4327" i="3" s="1"/>
  <c r="A4329" i="3"/>
  <c r="L4329" i="3" l="1"/>
  <c r="F4329" i="3"/>
  <c r="J4329" i="3"/>
  <c r="D4329" i="3"/>
  <c r="K4329" i="3"/>
  <c r="E4329" i="3"/>
  <c r="I4328" i="3"/>
  <c r="H4328" i="3" s="1"/>
  <c r="C4328" i="3"/>
  <c r="B4328" i="3" s="1"/>
  <c r="A4330" i="3"/>
  <c r="L4330" i="3" l="1"/>
  <c r="F4330" i="3"/>
  <c r="J4330" i="3"/>
  <c r="D4330" i="3"/>
  <c r="K4330" i="3"/>
  <c r="E4330" i="3"/>
  <c r="I4329" i="3"/>
  <c r="H4329" i="3" s="1"/>
  <c r="A4331" i="3"/>
  <c r="C4329" i="3"/>
  <c r="B4329" i="3" s="1"/>
  <c r="L4331" i="3" l="1"/>
  <c r="F4331" i="3"/>
  <c r="J4331" i="3"/>
  <c r="D4331" i="3"/>
  <c r="K4331" i="3"/>
  <c r="E4331" i="3"/>
  <c r="I4330" i="3"/>
  <c r="H4330" i="3" s="1"/>
  <c r="C4330" i="3"/>
  <c r="B4330" i="3" s="1"/>
  <c r="A4332" i="3"/>
  <c r="L4332" i="3" l="1"/>
  <c r="F4332" i="3"/>
  <c r="J4332" i="3"/>
  <c r="D4332" i="3"/>
  <c r="K4332" i="3"/>
  <c r="E4332" i="3"/>
  <c r="C4331" i="3"/>
  <c r="B4331" i="3" s="1"/>
  <c r="I4331" i="3"/>
  <c r="H4331" i="3" s="1"/>
  <c r="A4333" i="3"/>
  <c r="L4333" i="3" l="1"/>
  <c r="F4333" i="3"/>
  <c r="J4333" i="3"/>
  <c r="D4333" i="3"/>
  <c r="K4333" i="3"/>
  <c r="E4333" i="3"/>
  <c r="I4332" i="3"/>
  <c r="H4332" i="3" s="1"/>
  <c r="C4332" i="3"/>
  <c r="B4332" i="3" s="1"/>
  <c r="A4334" i="3"/>
  <c r="L4334" i="3" l="1"/>
  <c r="F4334" i="3"/>
  <c r="J4334" i="3"/>
  <c r="D4334" i="3"/>
  <c r="K4334" i="3"/>
  <c r="E4334" i="3"/>
  <c r="C4333" i="3"/>
  <c r="B4333" i="3" s="1"/>
  <c r="I4333" i="3"/>
  <c r="H4333" i="3" s="1"/>
  <c r="A4335" i="3"/>
  <c r="L4335" i="3" l="1"/>
  <c r="F4335" i="3"/>
  <c r="J4335" i="3"/>
  <c r="D4335" i="3"/>
  <c r="K4335" i="3"/>
  <c r="E4335" i="3"/>
  <c r="C4334" i="3"/>
  <c r="B4334" i="3" s="1"/>
  <c r="I4334" i="3"/>
  <c r="H4334" i="3" s="1"/>
  <c r="A4336" i="3"/>
  <c r="L4336" i="3" l="1"/>
  <c r="F4336" i="3"/>
  <c r="J4336" i="3"/>
  <c r="D4336" i="3"/>
  <c r="K4336" i="3"/>
  <c r="E4336" i="3"/>
  <c r="C4335" i="3"/>
  <c r="B4335" i="3" s="1"/>
  <c r="I4335" i="3"/>
  <c r="H4335" i="3" s="1"/>
  <c r="A4337" i="3"/>
  <c r="L4337" i="3" l="1"/>
  <c r="F4337" i="3"/>
  <c r="J4337" i="3"/>
  <c r="D4337" i="3"/>
  <c r="K4337" i="3"/>
  <c r="E4337" i="3"/>
  <c r="I4336" i="3"/>
  <c r="H4336" i="3" s="1"/>
  <c r="C4336" i="3"/>
  <c r="B4336" i="3" s="1"/>
  <c r="A4338" i="3"/>
  <c r="L4338" i="3" l="1"/>
  <c r="F4338" i="3"/>
  <c r="J4338" i="3"/>
  <c r="D4338" i="3"/>
  <c r="K4338" i="3"/>
  <c r="E4338" i="3"/>
  <c r="I4337" i="3"/>
  <c r="H4337" i="3" s="1"/>
  <c r="A4339" i="3"/>
  <c r="C4337" i="3"/>
  <c r="B4337" i="3" s="1"/>
  <c r="L4339" i="3" l="1"/>
  <c r="F4339" i="3"/>
  <c r="J4339" i="3"/>
  <c r="D4339" i="3"/>
  <c r="K4339" i="3"/>
  <c r="E4339" i="3"/>
  <c r="I4338" i="3"/>
  <c r="H4338" i="3" s="1"/>
  <c r="C4338" i="3"/>
  <c r="B4338" i="3" s="1"/>
  <c r="A4340" i="3"/>
  <c r="L4340" i="3" l="1"/>
  <c r="F4340" i="3"/>
  <c r="J4340" i="3"/>
  <c r="D4340" i="3"/>
  <c r="K4340" i="3"/>
  <c r="E4340" i="3"/>
  <c r="C4339" i="3"/>
  <c r="B4339" i="3" s="1"/>
  <c r="I4339" i="3"/>
  <c r="H4339" i="3" s="1"/>
  <c r="A4341" i="3"/>
  <c r="L4341" i="3" l="1"/>
  <c r="F4341" i="3"/>
  <c r="J4341" i="3"/>
  <c r="D4341" i="3"/>
  <c r="K4341" i="3"/>
  <c r="E4341" i="3"/>
  <c r="I4340" i="3"/>
  <c r="H4340" i="3" s="1"/>
  <c r="C4340" i="3"/>
  <c r="B4340" i="3" s="1"/>
  <c r="A4342" i="3"/>
  <c r="L4342" i="3" l="1"/>
  <c r="F4342" i="3"/>
  <c r="J4342" i="3"/>
  <c r="D4342" i="3"/>
  <c r="K4342" i="3"/>
  <c r="E4342" i="3"/>
  <c r="I4341" i="3"/>
  <c r="H4341" i="3" s="1"/>
  <c r="A4343" i="3"/>
  <c r="C4341" i="3"/>
  <c r="B4341" i="3" s="1"/>
  <c r="L4343" i="3" l="1"/>
  <c r="F4343" i="3"/>
  <c r="J4343" i="3"/>
  <c r="D4343" i="3"/>
  <c r="K4343" i="3"/>
  <c r="E4343" i="3"/>
  <c r="I4342" i="3"/>
  <c r="H4342" i="3" s="1"/>
  <c r="C4342" i="3"/>
  <c r="B4342" i="3" s="1"/>
  <c r="A4344" i="3"/>
  <c r="L4344" i="3" l="1"/>
  <c r="F4344" i="3"/>
  <c r="J4344" i="3"/>
  <c r="D4344" i="3"/>
  <c r="K4344" i="3"/>
  <c r="E4344" i="3"/>
  <c r="I4343" i="3"/>
  <c r="H4343" i="3" s="1"/>
  <c r="C4343" i="3"/>
  <c r="B4343" i="3" s="1"/>
  <c r="A4345" i="3"/>
  <c r="L4345" i="3" l="1"/>
  <c r="F4345" i="3"/>
  <c r="J4345" i="3"/>
  <c r="D4345" i="3"/>
  <c r="K4345" i="3"/>
  <c r="E4345" i="3"/>
  <c r="I4344" i="3"/>
  <c r="H4344" i="3" s="1"/>
  <c r="A4346" i="3"/>
  <c r="C4344" i="3"/>
  <c r="B4344" i="3" s="1"/>
  <c r="L4346" i="3" l="1"/>
  <c r="F4346" i="3"/>
  <c r="J4346" i="3"/>
  <c r="D4346" i="3"/>
  <c r="K4346" i="3"/>
  <c r="E4346" i="3"/>
  <c r="C4345" i="3"/>
  <c r="B4345" i="3" s="1"/>
  <c r="I4345" i="3"/>
  <c r="H4345" i="3" s="1"/>
  <c r="A4347" i="3"/>
  <c r="L4347" i="3" l="1"/>
  <c r="F4347" i="3"/>
  <c r="J4347" i="3"/>
  <c r="D4347" i="3"/>
  <c r="K4347" i="3"/>
  <c r="E4347" i="3"/>
  <c r="C4346" i="3"/>
  <c r="B4346" i="3" s="1"/>
  <c r="I4346" i="3"/>
  <c r="H4346" i="3" s="1"/>
  <c r="A4348" i="3"/>
  <c r="L4348" i="3" l="1"/>
  <c r="F4348" i="3"/>
  <c r="J4348" i="3"/>
  <c r="D4348" i="3"/>
  <c r="K4348" i="3"/>
  <c r="E4348" i="3"/>
  <c r="C4347" i="3"/>
  <c r="B4347" i="3" s="1"/>
  <c r="I4347" i="3"/>
  <c r="H4347" i="3" s="1"/>
  <c r="A4349" i="3"/>
  <c r="L4349" i="3" l="1"/>
  <c r="F4349" i="3"/>
  <c r="J4349" i="3"/>
  <c r="D4349" i="3"/>
  <c r="K4349" i="3"/>
  <c r="E4349" i="3"/>
  <c r="I4348" i="3"/>
  <c r="H4348" i="3" s="1"/>
  <c r="C4348" i="3"/>
  <c r="B4348" i="3" s="1"/>
  <c r="A4350" i="3"/>
  <c r="L4350" i="3" l="1"/>
  <c r="F4350" i="3"/>
  <c r="J4350" i="3"/>
  <c r="D4350" i="3"/>
  <c r="K4350" i="3"/>
  <c r="E4350" i="3"/>
  <c r="I4349" i="3"/>
  <c r="H4349" i="3" s="1"/>
  <c r="A4351" i="3"/>
  <c r="C4349" i="3"/>
  <c r="B4349" i="3" s="1"/>
  <c r="L4351" i="3" l="1"/>
  <c r="F4351" i="3"/>
  <c r="J4351" i="3"/>
  <c r="D4351" i="3"/>
  <c r="K4351" i="3"/>
  <c r="E4351" i="3"/>
  <c r="C4350" i="3"/>
  <c r="B4350" i="3" s="1"/>
  <c r="I4350" i="3"/>
  <c r="H4350" i="3" s="1"/>
  <c r="A4352" i="3"/>
  <c r="L4352" i="3" l="1"/>
  <c r="F4352" i="3"/>
  <c r="D4352" i="3"/>
  <c r="J4352" i="3"/>
  <c r="E4352" i="3"/>
  <c r="K4352" i="3"/>
  <c r="C4351" i="3"/>
  <c r="B4351" i="3" s="1"/>
  <c r="I4351" i="3"/>
  <c r="H4351" i="3" s="1"/>
  <c r="A4353" i="3"/>
  <c r="L4353" i="3" l="1"/>
  <c r="F4353" i="3"/>
  <c r="J4353" i="3"/>
  <c r="D4353" i="3"/>
  <c r="K4353" i="3"/>
  <c r="E4353" i="3"/>
  <c r="I4352" i="3"/>
  <c r="H4352" i="3" s="1"/>
  <c r="C4352" i="3"/>
  <c r="B4352" i="3" s="1"/>
  <c r="A4354" i="3"/>
  <c r="L4354" i="3" l="1"/>
  <c r="F4354" i="3"/>
  <c r="J4354" i="3"/>
  <c r="D4354" i="3"/>
  <c r="K4354" i="3"/>
  <c r="E4354" i="3"/>
  <c r="I4353" i="3"/>
  <c r="H4353" i="3" s="1"/>
  <c r="C4353" i="3"/>
  <c r="B4353" i="3" s="1"/>
  <c r="A4355" i="3"/>
  <c r="L4355" i="3" l="1"/>
  <c r="F4355" i="3"/>
  <c r="J4355" i="3"/>
  <c r="D4355" i="3"/>
  <c r="K4355" i="3"/>
  <c r="E4355" i="3"/>
  <c r="I4354" i="3"/>
  <c r="H4354" i="3" s="1"/>
  <c r="C4354" i="3"/>
  <c r="B4354" i="3" s="1"/>
  <c r="A4356" i="3"/>
  <c r="L4356" i="3" l="1"/>
  <c r="F4356" i="3"/>
  <c r="J4356" i="3"/>
  <c r="D4356" i="3"/>
  <c r="K4356" i="3"/>
  <c r="E4356" i="3"/>
  <c r="I4355" i="3"/>
  <c r="H4355" i="3" s="1"/>
  <c r="A4357" i="3"/>
  <c r="C4355" i="3"/>
  <c r="B4355" i="3" s="1"/>
  <c r="L4357" i="3" l="1"/>
  <c r="F4357" i="3"/>
  <c r="J4357" i="3"/>
  <c r="D4357" i="3"/>
  <c r="K4357" i="3"/>
  <c r="E4357" i="3"/>
  <c r="I4356" i="3"/>
  <c r="H4356" i="3" s="1"/>
  <c r="C4356" i="3"/>
  <c r="B4356" i="3" s="1"/>
  <c r="A4358" i="3"/>
  <c r="L4358" i="3" l="1"/>
  <c r="F4358" i="3"/>
  <c r="J4358" i="3"/>
  <c r="D4358" i="3"/>
  <c r="K4358" i="3"/>
  <c r="E4358" i="3"/>
  <c r="I4357" i="3"/>
  <c r="H4357" i="3" s="1"/>
  <c r="A4359" i="3"/>
  <c r="C4357" i="3"/>
  <c r="B4357" i="3" s="1"/>
  <c r="L4359" i="3" l="1"/>
  <c r="F4359" i="3"/>
  <c r="J4359" i="3"/>
  <c r="D4359" i="3"/>
  <c r="K4359" i="3"/>
  <c r="E4359" i="3"/>
  <c r="I4358" i="3"/>
  <c r="H4358" i="3" s="1"/>
  <c r="A4360" i="3"/>
  <c r="C4358" i="3"/>
  <c r="B4358" i="3" s="1"/>
  <c r="L4360" i="3" l="1"/>
  <c r="F4360" i="3"/>
  <c r="J4360" i="3"/>
  <c r="D4360" i="3"/>
  <c r="K4360" i="3"/>
  <c r="E4360" i="3"/>
  <c r="C4359" i="3"/>
  <c r="B4359" i="3" s="1"/>
  <c r="I4359" i="3"/>
  <c r="H4359" i="3" s="1"/>
  <c r="A4361" i="3"/>
  <c r="L4361" i="3" l="1"/>
  <c r="F4361" i="3"/>
  <c r="J4361" i="3"/>
  <c r="D4361" i="3"/>
  <c r="K4361" i="3"/>
  <c r="E4361" i="3"/>
  <c r="I4360" i="3"/>
  <c r="H4360" i="3" s="1"/>
  <c r="C4360" i="3"/>
  <c r="B4360" i="3" s="1"/>
  <c r="A4362" i="3"/>
  <c r="L4362" i="3" l="1"/>
  <c r="F4362" i="3"/>
  <c r="J4362" i="3"/>
  <c r="D4362" i="3"/>
  <c r="K4362" i="3"/>
  <c r="E4362" i="3"/>
  <c r="I4361" i="3"/>
  <c r="H4361" i="3" s="1"/>
  <c r="A4363" i="3"/>
  <c r="C4361" i="3"/>
  <c r="B4361" i="3" s="1"/>
  <c r="L4363" i="3" l="1"/>
  <c r="F4363" i="3"/>
  <c r="J4363" i="3"/>
  <c r="D4363" i="3"/>
  <c r="K4363" i="3"/>
  <c r="E4363" i="3"/>
  <c r="I4362" i="3"/>
  <c r="H4362" i="3" s="1"/>
  <c r="C4362" i="3"/>
  <c r="B4362" i="3" s="1"/>
  <c r="A4364" i="3"/>
  <c r="L4364" i="3" l="1"/>
  <c r="F4364" i="3"/>
  <c r="J4364" i="3"/>
  <c r="D4364" i="3"/>
  <c r="K4364" i="3"/>
  <c r="E4364" i="3"/>
  <c r="C4363" i="3"/>
  <c r="B4363" i="3" s="1"/>
  <c r="A4365" i="3"/>
  <c r="I4363" i="3"/>
  <c r="H4363" i="3" s="1"/>
  <c r="L4365" i="3" l="1"/>
  <c r="F4365" i="3"/>
  <c r="J4365" i="3"/>
  <c r="D4365" i="3"/>
  <c r="K4365" i="3"/>
  <c r="E4365" i="3"/>
  <c r="I4364" i="3"/>
  <c r="H4364" i="3" s="1"/>
  <c r="C4364" i="3"/>
  <c r="B4364" i="3" s="1"/>
  <c r="A4366" i="3"/>
  <c r="L4366" i="3" l="1"/>
  <c r="F4366" i="3"/>
  <c r="J4366" i="3"/>
  <c r="D4366" i="3"/>
  <c r="K4366" i="3"/>
  <c r="E4366" i="3"/>
  <c r="I4365" i="3"/>
  <c r="H4365" i="3" s="1"/>
  <c r="C4365" i="3"/>
  <c r="B4365" i="3" s="1"/>
  <c r="A4367" i="3"/>
  <c r="L4367" i="3" l="1"/>
  <c r="F4367" i="3"/>
  <c r="J4367" i="3"/>
  <c r="D4367" i="3"/>
  <c r="K4367" i="3"/>
  <c r="E4367" i="3"/>
  <c r="I4366" i="3"/>
  <c r="H4366" i="3" s="1"/>
  <c r="A4368" i="3"/>
  <c r="C4366" i="3"/>
  <c r="B4366" i="3" s="1"/>
  <c r="L4368" i="3" l="1"/>
  <c r="F4368" i="3"/>
  <c r="J4368" i="3"/>
  <c r="D4368" i="3"/>
  <c r="K4368" i="3"/>
  <c r="E4368" i="3"/>
  <c r="I4367" i="3"/>
  <c r="H4367" i="3" s="1"/>
  <c r="C4367" i="3"/>
  <c r="B4367" i="3" s="1"/>
  <c r="A4369" i="3"/>
  <c r="L4369" i="3" l="1"/>
  <c r="F4369" i="3"/>
  <c r="J4369" i="3"/>
  <c r="D4369" i="3"/>
  <c r="K4369" i="3"/>
  <c r="E4369" i="3"/>
  <c r="C4368" i="3"/>
  <c r="B4368" i="3" s="1"/>
  <c r="I4368" i="3"/>
  <c r="H4368" i="3" s="1"/>
  <c r="A4370" i="3"/>
  <c r="L4370" i="3" l="1"/>
  <c r="F4370" i="3"/>
  <c r="J4370" i="3"/>
  <c r="D4370" i="3"/>
  <c r="K4370" i="3"/>
  <c r="E4370" i="3"/>
  <c r="C4369" i="3"/>
  <c r="B4369" i="3" s="1"/>
  <c r="I4369" i="3"/>
  <c r="H4369" i="3" s="1"/>
  <c r="A4371" i="3"/>
  <c r="L4371" i="3" l="1"/>
  <c r="F4371" i="3"/>
  <c r="J4371" i="3"/>
  <c r="D4371" i="3"/>
  <c r="K4371" i="3"/>
  <c r="E4371" i="3"/>
  <c r="I4370" i="3"/>
  <c r="H4370" i="3" s="1"/>
  <c r="C4370" i="3"/>
  <c r="B4370" i="3" s="1"/>
  <c r="A4372" i="3"/>
  <c r="L4372" i="3" l="1"/>
  <c r="F4372" i="3"/>
  <c r="J4372" i="3"/>
  <c r="D4372" i="3"/>
  <c r="K4372" i="3"/>
  <c r="E4372" i="3"/>
  <c r="C4371" i="3"/>
  <c r="B4371" i="3" s="1"/>
  <c r="I4371" i="3"/>
  <c r="H4371" i="3" s="1"/>
  <c r="A4373" i="3"/>
  <c r="L4373" i="3" l="1"/>
  <c r="F4373" i="3"/>
  <c r="J4373" i="3"/>
  <c r="D4373" i="3"/>
  <c r="K4373" i="3"/>
  <c r="E4373" i="3"/>
  <c r="C4372" i="3"/>
  <c r="B4372" i="3" s="1"/>
  <c r="I4372" i="3"/>
  <c r="H4372" i="3" s="1"/>
  <c r="A4374" i="3"/>
  <c r="L4374" i="3" l="1"/>
  <c r="F4374" i="3"/>
  <c r="J4374" i="3"/>
  <c r="D4374" i="3"/>
  <c r="K4374" i="3"/>
  <c r="E4374" i="3"/>
  <c r="C4373" i="3"/>
  <c r="B4373" i="3" s="1"/>
  <c r="I4373" i="3"/>
  <c r="H4373" i="3" s="1"/>
  <c r="A4375" i="3"/>
  <c r="L4375" i="3" l="1"/>
  <c r="F4375" i="3"/>
  <c r="J4375" i="3"/>
  <c r="D4375" i="3"/>
  <c r="K4375" i="3"/>
  <c r="E4375" i="3"/>
  <c r="I4374" i="3"/>
  <c r="H4374" i="3" s="1"/>
  <c r="C4374" i="3"/>
  <c r="B4374" i="3" s="1"/>
  <c r="A4376" i="3"/>
  <c r="L4376" i="3" l="1"/>
  <c r="F4376" i="3"/>
  <c r="J4376" i="3"/>
  <c r="D4376" i="3"/>
  <c r="K4376" i="3"/>
  <c r="E4376" i="3"/>
  <c r="C4375" i="3"/>
  <c r="B4375" i="3" s="1"/>
  <c r="I4375" i="3"/>
  <c r="H4375" i="3" s="1"/>
  <c r="A4377" i="3"/>
  <c r="L4377" i="3" l="1"/>
  <c r="F4377" i="3"/>
  <c r="J4377" i="3"/>
  <c r="D4377" i="3"/>
  <c r="K4377" i="3"/>
  <c r="E4377" i="3"/>
  <c r="I4376" i="3"/>
  <c r="H4376" i="3" s="1"/>
  <c r="C4376" i="3"/>
  <c r="B4376" i="3" s="1"/>
  <c r="A4378" i="3"/>
  <c r="L4378" i="3" l="1"/>
  <c r="F4378" i="3"/>
  <c r="J4378" i="3"/>
  <c r="D4378" i="3"/>
  <c r="K4378" i="3"/>
  <c r="E4378" i="3"/>
  <c r="I4377" i="3"/>
  <c r="H4377" i="3" s="1"/>
  <c r="A4379" i="3"/>
  <c r="C4377" i="3"/>
  <c r="B4377" i="3" s="1"/>
  <c r="L4379" i="3" l="1"/>
  <c r="F4379" i="3"/>
  <c r="J4379" i="3"/>
  <c r="D4379" i="3"/>
  <c r="K4379" i="3"/>
  <c r="E4379" i="3"/>
  <c r="C4378" i="3"/>
  <c r="B4378" i="3" s="1"/>
  <c r="I4378" i="3"/>
  <c r="H4378" i="3" s="1"/>
  <c r="A4380" i="3"/>
  <c r="L4380" i="3" l="1"/>
  <c r="F4380" i="3"/>
  <c r="J4380" i="3"/>
  <c r="D4380" i="3"/>
  <c r="K4380" i="3"/>
  <c r="E4380" i="3"/>
  <c r="C4379" i="3"/>
  <c r="B4379" i="3" s="1"/>
  <c r="I4379" i="3"/>
  <c r="H4379" i="3" s="1"/>
  <c r="A4381" i="3"/>
  <c r="F4381" i="3" l="1"/>
  <c r="L4381" i="3"/>
  <c r="D4381" i="3"/>
  <c r="J4381" i="3"/>
  <c r="E4381" i="3"/>
  <c r="K4381" i="3"/>
  <c r="I4380" i="3"/>
  <c r="H4380" i="3" s="1"/>
  <c r="C4380" i="3"/>
  <c r="B4380" i="3" s="1"/>
  <c r="A4382" i="3"/>
  <c r="L4382" i="3" l="1"/>
  <c r="F4382" i="3"/>
  <c r="J4382" i="3"/>
  <c r="D4382" i="3"/>
  <c r="K4382" i="3"/>
  <c r="E4382" i="3"/>
  <c r="I4381" i="3"/>
  <c r="H4381" i="3" s="1"/>
  <c r="A4383" i="3"/>
  <c r="C4381" i="3"/>
  <c r="B4381" i="3" s="1"/>
  <c r="L4383" i="3" l="1"/>
  <c r="F4383" i="3"/>
  <c r="J4383" i="3"/>
  <c r="D4383" i="3"/>
  <c r="K4383" i="3"/>
  <c r="E4383" i="3"/>
  <c r="I4382" i="3"/>
  <c r="H4382" i="3" s="1"/>
  <c r="C4382" i="3"/>
  <c r="B4382" i="3" s="1"/>
  <c r="A4384" i="3"/>
  <c r="L4384" i="3" l="1"/>
  <c r="F4384" i="3"/>
  <c r="J4384" i="3"/>
  <c r="D4384" i="3"/>
  <c r="K4384" i="3"/>
  <c r="E4384" i="3"/>
  <c r="I4383" i="3"/>
  <c r="H4383" i="3" s="1"/>
  <c r="C4383" i="3"/>
  <c r="B4383" i="3" s="1"/>
  <c r="A4385" i="3"/>
  <c r="L4385" i="3" l="1"/>
  <c r="F4385" i="3"/>
  <c r="J4385" i="3"/>
  <c r="D4385" i="3"/>
  <c r="K4385" i="3"/>
  <c r="E4385" i="3"/>
  <c r="A4386" i="3"/>
  <c r="I4384" i="3"/>
  <c r="H4384" i="3" s="1"/>
  <c r="C4384" i="3"/>
  <c r="B4384" i="3" s="1"/>
  <c r="L4386" i="3" l="1"/>
  <c r="F4386" i="3"/>
  <c r="J4386" i="3"/>
  <c r="D4386" i="3"/>
  <c r="K4386" i="3"/>
  <c r="E4386" i="3"/>
  <c r="I4385" i="3"/>
  <c r="H4385" i="3" s="1"/>
  <c r="C4385" i="3"/>
  <c r="B4385" i="3" s="1"/>
  <c r="A4387" i="3"/>
  <c r="L4387" i="3" l="1"/>
  <c r="F4387" i="3"/>
  <c r="J4387" i="3"/>
  <c r="D4387" i="3"/>
  <c r="K4387" i="3"/>
  <c r="E4387" i="3"/>
  <c r="I4386" i="3"/>
  <c r="H4386" i="3" s="1"/>
  <c r="C4386" i="3"/>
  <c r="B4386" i="3" s="1"/>
  <c r="A4388" i="3"/>
  <c r="L4388" i="3" l="1"/>
  <c r="F4388" i="3"/>
  <c r="J4388" i="3"/>
  <c r="D4388" i="3"/>
  <c r="K4388" i="3"/>
  <c r="E4388" i="3"/>
  <c r="I4387" i="3"/>
  <c r="H4387" i="3" s="1"/>
  <c r="A4389" i="3"/>
  <c r="C4387" i="3"/>
  <c r="B4387" i="3" s="1"/>
  <c r="L4389" i="3" l="1"/>
  <c r="F4389" i="3"/>
  <c r="J4389" i="3"/>
  <c r="D4389" i="3"/>
  <c r="K4389" i="3"/>
  <c r="E4389" i="3"/>
  <c r="C4388" i="3"/>
  <c r="B4388" i="3" s="1"/>
  <c r="I4388" i="3"/>
  <c r="H4388" i="3" s="1"/>
  <c r="A4390" i="3"/>
  <c r="L4390" i="3" l="1"/>
  <c r="F4390" i="3"/>
  <c r="J4390" i="3"/>
  <c r="K4390" i="3"/>
  <c r="D4390" i="3"/>
  <c r="E4390" i="3"/>
  <c r="I4389" i="3"/>
  <c r="H4389" i="3" s="1"/>
  <c r="C4389" i="3"/>
  <c r="B4389" i="3" s="1"/>
  <c r="A4391" i="3"/>
  <c r="L4391" i="3" l="1"/>
  <c r="F4391" i="3"/>
  <c r="J4391" i="3"/>
  <c r="D4391" i="3"/>
  <c r="K4391" i="3"/>
  <c r="E4391" i="3"/>
  <c r="I4390" i="3"/>
  <c r="H4390" i="3" s="1"/>
  <c r="C4390" i="3"/>
  <c r="B4390" i="3" s="1"/>
  <c r="A4392" i="3"/>
  <c r="L4392" i="3" l="1"/>
  <c r="F4392" i="3"/>
  <c r="J4392" i="3"/>
  <c r="D4392" i="3"/>
  <c r="K4392" i="3"/>
  <c r="E4392" i="3"/>
  <c r="I4391" i="3"/>
  <c r="H4391" i="3" s="1"/>
  <c r="A4393" i="3"/>
  <c r="C4391" i="3"/>
  <c r="B4391" i="3" s="1"/>
  <c r="L4393" i="3" l="1"/>
  <c r="F4393" i="3"/>
  <c r="J4393" i="3"/>
  <c r="D4393" i="3"/>
  <c r="K4393" i="3"/>
  <c r="E4393" i="3"/>
  <c r="C4392" i="3"/>
  <c r="B4392" i="3" s="1"/>
  <c r="I4392" i="3"/>
  <c r="H4392" i="3" s="1"/>
  <c r="A4394" i="3"/>
  <c r="L4394" i="3" l="1"/>
  <c r="F4394" i="3"/>
  <c r="J4394" i="3"/>
  <c r="D4394" i="3"/>
  <c r="K4394" i="3"/>
  <c r="E4394" i="3"/>
  <c r="I4393" i="3"/>
  <c r="H4393" i="3" s="1"/>
  <c r="A4395" i="3"/>
  <c r="C4393" i="3"/>
  <c r="B4393" i="3" s="1"/>
  <c r="L4395" i="3" l="1"/>
  <c r="F4395" i="3"/>
  <c r="J4395" i="3"/>
  <c r="D4395" i="3"/>
  <c r="K4395" i="3"/>
  <c r="E4395" i="3"/>
  <c r="I4394" i="3"/>
  <c r="H4394" i="3" s="1"/>
  <c r="C4394" i="3"/>
  <c r="B4394" i="3" s="1"/>
  <c r="A4396" i="3"/>
  <c r="L4396" i="3" l="1"/>
  <c r="F4396" i="3"/>
  <c r="J4396" i="3"/>
  <c r="D4396" i="3"/>
  <c r="K4396" i="3"/>
  <c r="E4396" i="3"/>
  <c r="C4395" i="3"/>
  <c r="B4395" i="3" s="1"/>
  <c r="I4395" i="3"/>
  <c r="H4395" i="3" s="1"/>
  <c r="A4397" i="3"/>
  <c r="L4397" i="3" l="1"/>
  <c r="F4397" i="3"/>
  <c r="J4397" i="3"/>
  <c r="D4397" i="3"/>
  <c r="K4397" i="3"/>
  <c r="E4397" i="3"/>
  <c r="I4396" i="3"/>
  <c r="H4396" i="3" s="1"/>
  <c r="C4396" i="3"/>
  <c r="B4396" i="3" s="1"/>
  <c r="A4398" i="3"/>
  <c r="L4398" i="3" l="1"/>
  <c r="F4398" i="3"/>
  <c r="J4398" i="3"/>
  <c r="D4398" i="3"/>
  <c r="K4398" i="3"/>
  <c r="E4398" i="3"/>
  <c r="I4397" i="3"/>
  <c r="H4397" i="3" s="1"/>
  <c r="C4397" i="3"/>
  <c r="B4397" i="3" s="1"/>
  <c r="A4399" i="3"/>
  <c r="L4399" i="3" l="1"/>
  <c r="F4399" i="3"/>
  <c r="J4399" i="3"/>
  <c r="D4399" i="3"/>
  <c r="K4399" i="3"/>
  <c r="E4399" i="3"/>
  <c r="A4400" i="3"/>
  <c r="I4398" i="3"/>
  <c r="H4398" i="3" s="1"/>
  <c r="C4398" i="3"/>
  <c r="B4398" i="3" s="1"/>
  <c r="L4400" i="3" l="1"/>
  <c r="F4400" i="3"/>
  <c r="J4400" i="3"/>
  <c r="K4400" i="3"/>
  <c r="D4400" i="3"/>
  <c r="E4400" i="3"/>
  <c r="I4399" i="3"/>
  <c r="H4399" i="3" s="1"/>
  <c r="C4399" i="3"/>
  <c r="B4399" i="3" s="1"/>
  <c r="A4401" i="3"/>
  <c r="L4401" i="3" l="1"/>
  <c r="F4401" i="3"/>
  <c r="J4401" i="3"/>
  <c r="D4401" i="3"/>
  <c r="K4401" i="3"/>
  <c r="E4401" i="3"/>
  <c r="I4400" i="3"/>
  <c r="H4400" i="3" s="1"/>
  <c r="A4402" i="3"/>
  <c r="C4400" i="3"/>
  <c r="B4400" i="3" s="1"/>
  <c r="L4402" i="3" l="1"/>
  <c r="F4402" i="3"/>
  <c r="J4402" i="3"/>
  <c r="D4402" i="3"/>
  <c r="K4402" i="3"/>
  <c r="E4402" i="3"/>
  <c r="I4401" i="3"/>
  <c r="H4401" i="3" s="1"/>
  <c r="C4401" i="3"/>
  <c r="B4401" i="3" s="1"/>
  <c r="A4403" i="3"/>
  <c r="L4403" i="3" l="1"/>
  <c r="F4403" i="3"/>
  <c r="J4403" i="3"/>
  <c r="D4403" i="3"/>
  <c r="K4403" i="3"/>
  <c r="E4403" i="3"/>
  <c r="I4402" i="3"/>
  <c r="H4402" i="3" s="1"/>
  <c r="A4404" i="3"/>
  <c r="C4402" i="3"/>
  <c r="B4402" i="3" s="1"/>
  <c r="L4404" i="3" l="1"/>
  <c r="F4404" i="3"/>
  <c r="J4404" i="3"/>
  <c r="D4404" i="3"/>
  <c r="K4404" i="3"/>
  <c r="E4404" i="3"/>
  <c r="C4403" i="3"/>
  <c r="B4403" i="3" s="1"/>
  <c r="I4403" i="3"/>
  <c r="H4403" i="3" s="1"/>
  <c r="A4405" i="3"/>
  <c r="L4405" i="3" l="1"/>
  <c r="F4405" i="3"/>
  <c r="J4405" i="3"/>
  <c r="D4405" i="3"/>
  <c r="K4405" i="3"/>
  <c r="E4405" i="3"/>
  <c r="I4404" i="3"/>
  <c r="H4404" i="3" s="1"/>
  <c r="C4404" i="3"/>
  <c r="B4404" i="3" s="1"/>
  <c r="A4406" i="3"/>
  <c r="L4406" i="3" l="1"/>
  <c r="F4406" i="3"/>
  <c r="J4406" i="3"/>
  <c r="D4406" i="3"/>
  <c r="K4406" i="3"/>
  <c r="E4406" i="3"/>
  <c r="C4405" i="3"/>
  <c r="B4405" i="3" s="1"/>
  <c r="I4405" i="3"/>
  <c r="H4405" i="3" s="1"/>
  <c r="A4407" i="3"/>
  <c r="L4407" i="3" l="1"/>
  <c r="F4407" i="3"/>
  <c r="J4407" i="3"/>
  <c r="D4407" i="3"/>
  <c r="K4407" i="3"/>
  <c r="E4407" i="3"/>
  <c r="I4406" i="3"/>
  <c r="H4406" i="3" s="1"/>
  <c r="C4406" i="3"/>
  <c r="B4406" i="3" s="1"/>
  <c r="A4408" i="3"/>
  <c r="L4408" i="3" l="1"/>
  <c r="F4408" i="3"/>
  <c r="J4408" i="3"/>
  <c r="D4408" i="3"/>
  <c r="K4408" i="3"/>
  <c r="E4408" i="3"/>
  <c r="I4407" i="3"/>
  <c r="H4407" i="3" s="1"/>
  <c r="C4407" i="3"/>
  <c r="B4407" i="3" s="1"/>
  <c r="A4409" i="3"/>
  <c r="L4409" i="3" l="1"/>
  <c r="F4409" i="3"/>
  <c r="J4409" i="3"/>
  <c r="D4409" i="3"/>
  <c r="K4409" i="3"/>
  <c r="E4409" i="3"/>
  <c r="C4408" i="3"/>
  <c r="B4408" i="3" s="1"/>
  <c r="I4408" i="3"/>
  <c r="H4408" i="3" s="1"/>
  <c r="A4410" i="3"/>
  <c r="L4410" i="3" l="1"/>
  <c r="F4410" i="3"/>
  <c r="J4410" i="3"/>
  <c r="D4410" i="3"/>
  <c r="K4410" i="3"/>
  <c r="E4410" i="3"/>
  <c r="I4409" i="3"/>
  <c r="H4409" i="3" s="1"/>
  <c r="C4409" i="3"/>
  <c r="B4409" i="3" s="1"/>
  <c r="A4411" i="3"/>
  <c r="L4411" i="3" l="1"/>
  <c r="F4411" i="3"/>
  <c r="J4411" i="3"/>
  <c r="D4411" i="3"/>
  <c r="K4411" i="3"/>
  <c r="E4411" i="3"/>
  <c r="I4410" i="3"/>
  <c r="H4410" i="3" s="1"/>
  <c r="C4410" i="3"/>
  <c r="B4410" i="3" s="1"/>
  <c r="A4412" i="3"/>
  <c r="L4412" i="3" l="1"/>
  <c r="F4412" i="3"/>
  <c r="J4412" i="3"/>
  <c r="D4412" i="3"/>
  <c r="K4412" i="3"/>
  <c r="E4412" i="3"/>
  <c r="I4411" i="3"/>
  <c r="H4411" i="3" s="1"/>
  <c r="C4411" i="3"/>
  <c r="B4411" i="3" s="1"/>
  <c r="A4413" i="3"/>
  <c r="L4413" i="3" l="1"/>
  <c r="F4413" i="3"/>
  <c r="J4413" i="3"/>
  <c r="D4413" i="3"/>
  <c r="K4413" i="3"/>
  <c r="E4413" i="3"/>
  <c r="I4412" i="3"/>
  <c r="H4412" i="3" s="1"/>
  <c r="A4414" i="3"/>
  <c r="C4412" i="3"/>
  <c r="B4412" i="3" s="1"/>
  <c r="L4414" i="3" l="1"/>
  <c r="F4414" i="3"/>
  <c r="J4414" i="3"/>
  <c r="D4414" i="3"/>
  <c r="K4414" i="3"/>
  <c r="E4414" i="3"/>
  <c r="C4413" i="3"/>
  <c r="B4413" i="3" s="1"/>
  <c r="I4413" i="3"/>
  <c r="H4413" i="3" s="1"/>
  <c r="A4415" i="3"/>
  <c r="L4415" i="3" l="1"/>
  <c r="F4415" i="3"/>
  <c r="J4415" i="3"/>
  <c r="D4415" i="3"/>
  <c r="K4415" i="3"/>
  <c r="E4415" i="3"/>
  <c r="C4414" i="3"/>
  <c r="B4414" i="3" s="1"/>
  <c r="I4414" i="3"/>
  <c r="H4414" i="3" s="1"/>
  <c r="A4416" i="3"/>
  <c r="L4416" i="3" l="1"/>
  <c r="F4416" i="3"/>
  <c r="J4416" i="3"/>
  <c r="D4416" i="3"/>
  <c r="K4416" i="3"/>
  <c r="E4416" i="3"/>
  <c r="C4415" i="3"/>
  <c r="B4415" i="3" s="1"/>
  <c r="I4415" i="3"/>
  <c r="H4415" i="3" s="1"/>
  <c r="A4417" i="3"/>
  <c r="L4417" i="3" l="1"/>
  <c r="F4417" i="3"/>
  <c r="J4417" i="3"/>
  <c r="D4417" i="3"/>
  <c r="K4417" i="3"/>
  <c r="E4417" i="3"/>
  <c r="I4416" i="3"/>
  <c r="H4416" i="3" s="1"/>
  <c r="C4416" i="3"/>
  <c r="B4416" i="3" s="1"/>
  <c r="A4418" i="3"/>
  <c r="L4418" i="3" l="1"/>
  <c r="F4418" i="3"/>
  <c r="J4418" i="3"/>
  <c r="D4418" i="3"/>
  <c r="K4418" i="3"/>
  <c r="E4418" i="3"/>
  <c r="C4417" i="3"/>
  <c r="B4417" i="3" s="1"/>
  <c r="I4417" i="3"/>
  <c r="H4417" i="3" s="1"/>
  <c r="A4419" i="3"/>
  <c r="L4419" i="3" l="1"/>
  <c r="F4419" i="3"/>
  <c r="J4419" i="3"/>
  <c r="K4419" i="3"/>
  <c r="D4419" i="3"/>
  <c r="E4419" i="3"/>
  <c r="C4418" i="3"/>
  <c r="B4418" i="3" s="1"/>
  <c r="I4418" i="3"/>
  <c r="H4418" i="3" s="1"/>
  <c r="A4420" i="3"/>
  <c r="L4420" i="3" l="1"/>
  <c r="F4420" i="3"/>
  <c r="J4420" i="3"/>
  <c r="D4420" i="3"/>
  <c r="K4420" i="3"/>
  <c r="E4420" i="3"/>
  <c r="C4419" i="3"/>
  <c r="B4419" i="3" s="1"/>
  <c r="I4419" i="3"/>
  <c r="H4419" i="3" s="1"/>
  <c r="A4421" i="3"/>
  <c r="L4421" i="3" l="1"/>
  <c r="F4421" i="3"/>
  <c r="J4421" i="3"/>
  <c r="D4421" i="3"/>
  <c r="K4421" i="3"/>
  <c r="E4421" i="3"/>
  <c r="C4420" i="3"/>
  <c r="B4420" i="3" s="1"/>
  <c r="I4420" i="3"/>
  <c r="H4420" i="3" s="1"/>
  <c r="A4422" i="3"/>
  <c r="L4422" i="3" l="1"/>
  <c r="F4422" i="3"/>
  <c r="J4422" i="3"/>
  <c r="D4422" i="3"/>
  <c r="K4422" i="3"/>
  <c r="E4422" i="3"/>
  <c r="I4421" i="3"/>
  <c r="H4421" i="3" s="1"/>
  <c r="C4421" i="3"/>
  <c r="B4421" i="3" s="1"/>
  <c r="A4423" i="3"/>
  <c r="L4423" i="3" l="1"/>
  <c r="F4423" i="3"/>
  <c r="J4423" i="3"/>
  <c r="D4423" i="3"/>
  <c r="K4423" i="3"/>
  <c r="E4423" i="3"/>
  <c r="C4422" i="3"/>
  <c r="B4422" i="3" s="1"/>
  <c r="I4422" i="3"/>
  <c r="H4422" i="3" s="1"/>
  <c r="A4424" i="3"/>
  <c r="L4424" i="3" l="1"/>
  <c r="F4424" i="3"/>
  <c r="J4424" i="3"/>
  <c r="D4424" i="3"/>
  <c r="K4424" i="3"/>
  <c r="E4424" i="3"/>
  <c r="C4423" i="3"/>
  <c r="B4423" i="3" s="1"/>
  <c r="I4423" i="3"/>
  <c r="H4423" i="3" s="1"/>
  <c r="A4425" i="3"/>
  <c r="L4425" i="3" l="1"/>
  <c r="F4425" i="3"/>
  <c r="J4425" i="3"/>
  <c r="D4425" i="3"/>
  <c r="K4425" i="3"/>
  <c r="E4425" i="3"/>
  <c r="I4424" i="3"/>
  <c r="H4424" i="3" s="1"/>
  <c r="C4424" i="3"/>
  <c r="B4424" i="3" s="1"/>
  <c r="A4426" i="3"/>
  <c r="L4426" i="3" l="1"/>
  <c r="F4426" i="3"/>
  <c r="J4426" i="3"/>
  <c r="D4426" i="3"/>
  <c r="K4426" i="3"/>
  <c r="E4426" i="3"/>
  <c r="I4425" i="3"/>
  <c r="H4425" i="3" s="1"/>
  <c r="A4427" i="3"/>
  <c r="C4425" i="3"/>
  <c r="B4425" i="3" s="1"/>
  <c r="L4427" i="3" l="1"/>
  <c r="F4427" i="3"/>
  <c r="J4427" i="3"/>
  <c r="D4427" i="3"/>
  <c r="K4427" i="3"/>
  <c r="E4427" i="3"/>
  <c r="C4426" i="3"/>
  <c r="B4426" i="3" s="1"/>
  <c r="A4428" i="3"/>
  <c r="I4426" i="3"/>
  <c r="H4426" i="3" s="1"/>
  <c r="L4428" i="3" l="1"/>
  <c r="F4428" i="3"/>
  <c r="J4428" i="3"/>
  <c r="D4428" i="3"/>
  <c r="K4428" i="3"/>
  <c r="E4428" i="3"/>
  <c r="C4427" i="3"/>
  <c r="B4427" i="3" s="1"/>
  <c r="I4427" i="3"/>
  <c r="H4427" i="3" s="1"/>
  <c r="A4429" i="3"/>
  <c r="L4429" i="3" l="1"/>
  <c r="F4429" i="3"/>
  <c r="J4429" i="3"/>
  <c r="D4429" i="3"/>
  <c r="K4429" i="3"/>
  <c r="E4429" i="3"/>
  <c r="I4428" i="3"/>
  <c r="H4428" i="3" s="1"/>
  <c r="A4430" i="3"/>
  <c r="C4428" i="3"/>
  <c r="B4428" i="3" s="1"/>
  <c r="L4430" i="3" l="1"/>
  <c r="F4430" i="3"/>
  <c r="J4430" i="3"/>
  <c r="D4430" i="3"/>
  <c r="K4430" i="3"/>
  <c r="E4430" i="3"/>
  <c r="I4429" i="3"/>
  <c r="H4429" i="3" s="1"/>
  <c r="C4429" i="3"/>
  <c r="B4429" i="3" s="1"/>
  <c r="A4431" i="3"/>
  <c r="L4431" i="3" l="1"/>
  <c r="F4431" i="3"/>
  <c r="J4431" i="3"/>
  <c r="D4431" i="3"/>
  <c r="K4431" i="3"/>
  <c r="E4431" i="3"/>
  <c r="I4430" i="3"/>
  <c r="H4430" i="3" s="1"/>
  <c r="C4430" i="3"/>
  <c r="B4430" i="3" s="1"/>
  <c r="A4432" i="3"/>
  <c r="L4432" i="3" l="1"/>
  <c r="F4432" i="3"/>
  <c r="J4432" i="3"/>
  <c r="D4432" i="3"/>
  <c r="K4432" i="3"/>
  <c r="E4432" i="3"/>
  <c r="I4431" i="3"/>
  <c r="H4431" i="3" s="1"/>
  <c r="A4433" i="3"/>
  <c r="C4431" i="3"/>
  <c r="B4431" i="3" s="1"/>
  <c r="L4433" i="3" l="1"/>
  <c r="F4433" i="3"/>
  <c r="J4433" i="3"/>
  <c r="D4433" i="3"/>
  <c r="K4433" i="3"/>
  <c r="E4433" i="3"/>
  <c r="C4432" i="3"/>
  <c r="B4432" i="3" s="1"/>
  <c r="I4432" i="3"/>
  <c r="H4432" i="3" s="1"/>
  <c r="A4434" i="3"/>
  <c r="L4434" i="3" l="1"/>
  <c r="F4434" i="3"/>
  <c r="J4434" i="3"/>
  <c r="D4434" i="3"/>
  <c r="K4434" i="3"/>
  <c r="E4434" i="3"/>
  <c r="I4433" i="3"/>
  <c r="H4433" i="3" s="1"/>
  <c r="C4433" i="3"/>
  <c r="B4433" i="3" s="1"/>
  <c r="A4435" i="3"/>
  <c r="L4435" i="3" l="1"/>
  <c r="F4435" i="3"/>
  <c r="J4435" i="3"/>
  <c r="D4435" i="3"/>
  <c r="K4435" i="3"/>
  <c r="E4435" i="3"/>
  <c r="C4434" i="3"/>
  <c r="B4434" i="3" s="1"/>
  <c r="I4434" i="3"/>
  <c r="H4434" i="3" s="1"/>
  <c r="A4436" i="3"/>
  <c r="L4436" i="3" l="1"/>
  <c r="F4436" i="3"/>
  <c r="J4436" i="3"/>
  <c r="D4436" i="3"/>
  <c r="K4436" i="3"/>
  <c r="E4436" i="3"/>
  <c r="C4435" i="3"/>
  <c r="B4435" i="3" s="1"/>
  <c r="I4435" i="3"/>
  <c r="H4435" i="3" s="1"/>
  <c r="A4437" i="3"/>
  <c r="L4437" i="3" l="1"/>
  <c r="F4437" i="3"/>
  <c r="J4437" i="3"/>
  <c r="D4437" i="3"/>
  <c r="K4437" i="3"/>
  <c r="E4437" i="3"/>
  <c r="I4436" i="3"/>
  <c r="H4436" i="3" s="1"/>
  <c r="C4436" i="3"/>
  <c r="B4436" i="3" s="1"/>
  <c r="A4438" i="3"/>
  <c r="L4438" i="3" l="1"/>
  <c r="F4438" i="3"/>
  <c r="J4438" i="3"/>
  <c r="D4438" i="3"/>
  <c r="K4438" i="3"/>
  <c r="E4438" i="3"/>
  <c r="C4437" i="3"/>
  <c r="B4437" i="3" s="1"/>
  <c r="I4437" i="3"/>
  <c r="H4437" i="3" s="1"/>
  <c r="A4439" i="3"/>
  <c r="L4439" i="3" l="1"/>
  <c r="F4439" i="3"/>
  <c r="J4439" i="3"/>
  <c r="D4439" i="3"/>
  <c r="K4439" i="3"/>
  <c r="E4439" i="3"/>
  <c r="I4438" i="3"/>
  <c r="H4438" i="3" s="1"/>
  <c r="C4438" i="3"/>
  <c r="B4438" i="3" s="1"/>
  <c r="A4440" i="3"/>
  <c r="L4440" i="3" l="1"/>
  <c r="F4440" i="3"/>
  <c r="J4440" i="3"/>
  <c r="D4440" i="3"/>
  <c r="K4440" i="3"/>
  <c r="E4440" i="3"/>
  <c r="I4439" i="3"/>
  <c r="H4439" i="3" s="1"/>
  <c r="C4439" i="3"/>
  <c r="B4439" i="3" s="1"/>
  <c r="A4441" i="3"/>
  <c r="L4441" i="3" l="1"/>
  <c r="F4441" i="3"/>
  <c r="J4441" i="3"/>
  <c r="D4441" i="3"/>
  <c r="K4441" i="3"/>
  <c r="E4441" i="3"/>
  <c r="A4442" i="3"/>
  <c r="I4440" i="3"/>
  <c r="H4440" i="3" s="1"/>
  <c r="C4440" i="3"/>
  <c r="B4440" i="3" s="1"/>
  <c r="L4442" i="3" l="1"/>
  <c r="F4442" i="3"/>
  <c r="J4442" i="3"/>
  <c r="D4442" i="3"/>
  <c r="K4442" i="3"/>
  <c r="E4442" i="3"/>
  <c r="C4441" i="3"/>
  <c r="B4441" i="3" s="1"/>
  <c r="I4441" i="3"/>
  <c r="H4441" i="3" s="1"/>
  <c r="A4443" i="3"/>
  <c r="L4443" i="3" l="1"/>
  <c r="F4443" i="3"/>
  <c r="J4443" i="3"/>
  <c r="D4443" i="3"/>
  <c r="K4443" i="3"/>
  <c r="E4443" i="3"/>
  <c r="C4442" i="3"/>
  <c r="B4442" i="3" s="1"/>
  <c r="I4442" i="3"/>
  <c r="H4442" i="3" s="1"/>
  <c r="A4444" i="3"/>
  <c r="L4444" i="3" l="1"/>
  <c r="F4444" i="3"/>
  <c r="J4444" i="3"/>
  <c r="D4444" i="3"/>
  <c r="K4444" i="3"/>
  <c r="E4444" i="3"/>
  <c r="I4443" i="3"/>
  <c r="H4443" i="3" s="1"/>
  <c r="C4443" i="3"/>
  <c r="B4443" i="3" s="1"/>
  <c r="A4445" i="3"/>
  <c r="L4445" i="3" l="1"/>
  <c r="F4445" i="3"/>
  <c r="J4445" i="3"/>
  <c r="D4445" i="3"/>
  <c r="K4445" i="3"/>
  <c r="E4445" i="3"/>
  <c r="I4444" i="3"/>
  <c r="H4444" i="3" s="1"/>
  <c r="C4444" i="3"/>
  <c r="B4444" i="3" s="1"/>
  <c r="A4446" i="3"/>
  <c r="L4446" i="3" l="1"/>
  <c r="F4446" i="3"/>
  <c r="J4446" i="3"/>
  <c r="D4446" i="3"/>
  <c r="K4446" i="3"/>
  <c r="E4446" i="3"/>
  <c r="I4445" i="3"/>
  <c r="H4445" i="3" s="1"/>
  <c r="A4447" i="3"/>
  <c r="C4445" i="3"/>
  <c r="B4445" i="3" s="1"/>
  <c r="L4447" i="3" l="1"/>
  <c r="F4447" i="3"/>
  <c r="J4447" i="3"/>
  <c r="D4447" i="3"/>
  <c r="K4447" i="3"/>
  <c r="E4447" i="3"/>
  <c r="I4446" i="3"/>
  <c r="H4446" i="3" s="1"/>
  <c r="A4448" i="3"/>
  <c r="C4446" i="3"/>
  <c r="B4446" i="3" s="1"/>
  <c r="L4448" i="3" l="1"/>
  <c r="F4448" i="3"/>
  <c r="J4448" i="3"/>
  <c r="D4448" i="3"/>
  <c r="K4448" i="3"/>
  <c r="E4448" i="3"/>
  <c r="I4447" i="3"/>
  <c r="H4447" i="3" s="1"/>
  <c r="C4447" i="3"/>
  <c r="B4447" i="3" s="1"/>
  <c r="A4449" i="3"/>
  <c r="L4449" i="3" l="1"/>
  <c r="F4449" i="3"/>
  <c r="J4449" i="3"/>
  <c r="D4449" i="3"/>
  <c r="K4449" i="3"/>
  <c r="E4449" i="3"/>
  <c r="I4448" i="3"/>
  <c r="H4448" i="3" s="1"/>
  <c r="C4448" i="3"/>
  <c r="B4448" i="3" s="1"/>
  <c r="A4450" i="3"/>
  <c r="L4450" i="3" l="1"/>
  <c r="F4450" i="3"/>
  <c r="J4450" i="3"/>
  <c r="D4450" i="3"/>
  <c r="K4450" i="3"/>
  <c r="E4450" i="3"/>
  <c r="C4449" i="3"/>
  <c r="B4449" i="3" s="1"/>
  <c r="I4449" i="3"/>
  <c r="H4449" i="3" s="1"/>
  <c r="A4451" i="3"/>
  <c r="L4451" i="3" l="1"/>
  <c r="F4451" i="3"/>
  <c r="J4451" i="3"/>
  <c r="D4451" i="3"/>
  <c r="K4451" i="3"/>
  <c r="E4451" i="3"/>
  <c r="I4450" i="3"/>
  <c r="H4450" i="3" s="1"/>
  <c r="C4450" i="3"/>
  <c r="B4450" i="3" s="1"/>
  <c r="A4452" i="3"/>
  <c r="L4452" i="3" l="1"/>
  <c r="F4452" i="3"/>
  <c r="J4452" i="3"/>
  <c r="D4452" i="3"/>
  <c r="K4452" i="3"/>
  <c r="E4452" i="3"/>
  <c r="I4451" i="3"/>
  <c r="H4451" i="3" s="1"/>
  <c r="A4453" i="3"/>
  <c r="C4451" i="3"/>
  <c r="B4451" i="3" s="1"/>
  <c r="L4453" i="3" l="1"/>
  <c r="F4453" i="3"/>
  <c r="J4453" i="3"/>
  <c r="D4453" i="3"/>
  <c r="K4453" i="3"/>
  <c r="E4453" i="3"/>
  <c r="C4452" i="3"/>
  <c r="B4452" i="3" s="1"/>
  <c r="I4452" i="3"/>
  <c r="H4452" i="3" s="1"/>
  <c r="A4454" i="3"/>
  <c r="L4454" i="3" l="1"/>
  <c r="F4454" i="3"/>
  <c r="J4454" i="3"/>
  <c r="D4454" i="3"/>
  <c r="K4454" i="3"/>
  <c r="E4454" i="3"/>
  <c r="C4453" i="3"/>
  <c r="B4453" i="3" s="1"/>
  <c r="I4453" i="3"/>
  <c r="H4453" i="3" s="1"/>
  <c r="A4455" i="3"/>
  <c r="L4455" i="3" l="1"/>
  <c r="F4455" i="3"/>
  <c r="J4455" i="3"/>
  <c r="D4455" i="3"/>
  <c r="K4455" i="3"/>
  <c r="E4455" i="3"/>
  <c r="C4454" i="3"/>
  <c r="B4454" i="3" s="1"/>
  <c r="I4454" i="3"/>
  <c r="H4454" i="3" s="1"/>
  <c r="A4456" i="3"/>
  <c r="L4456" i="3" l="1"/>
  <c r="F4456" i="3"/>
  <c r="J4456" i="3"/>
  <c r="D4456" i="3"/>
  <c r="K4456" i="3"/>
  <c r="E4456" i="3"/>
  <c r="I4455" i="3"/>
  <c r="H4455" i="3" s="1"/>
  <c r="C4455" i="3"/>
  <c r="B4455" i="3" s="1"/>
  <c r="A4457" i="3"/>
  <c r="L4457" i="3" l="1"/>
  <c r="F4457" i="3"/>
  <c r="J4457" i="3"/>
  <c r="D4457" i="3"/>
  <c r="K4457" i="3"/>
  <c r="E4457" i="3"/>
  <c r="I4456" i="3"/>
  <c r="H4456" i="3" s="1"/>
  <c r="C4456" i="3"/>
  <c r="B4456" i="3" s="1"/>
  <c r="A4458" i="3"/>
  <c r="L4458" i="3" l="1"/>
  <c r="F4458" i="3"/>
  <c r="J4458" i="3"/>
  <c r="D4458" i="3"/>
  <c r="K4458" i="3"/>
  <c r="E4458" i="3"/>
  <c r="I4457" i="3"/>
  <c r="H4457" i="3" s="1"/>
  <c r="A4459" i="3"/>
  <c r="C4457" i="3"/>
  <c r="B4457" i="3" s="1"/>
  <c r="L4459" i="3" l="1"/>
  <c r="F4459" i="3"/>
  <c r="J4459" i="3"/>
  <c r="D4459" i="3"/>
  <c r="K4459" i="3"/>
  <c r="E4459" i="3"/>
  <c r="I4458" i="3"/>
  <c r="H4458" i="3" s="1"/>
  <c r="C4458" i="3"/>
  <c r="B4458" i="3" s="1"/>
  <c r="A4460" i="3"/>
  <c r="L4460" i="3" l="1"/>
  <c r="F4460" i="3"/>
  <c r="J4460" i="3"/>
  <c r="D4460" i="3"/>
  <c r="K4460" i="3"/>
  <c r="E4460" i="3"/>
  <c r="C4459" i="3"/>
  <c r="B4459" i="3" s="1"/>
  <c r="I4459" i="3"/>
  <c r="H4459" i="3" s="1"/>
  <c r="A4461" i="3"/>
  <c r="L4461" i="3" l="1"/>
  <c r="F4461" i="3"/>
  <c r="J4461" i="3"/>
  <c r="D4461" i="3"/>
  <c r="K4461" i="3"/>
  <c r="E4461" i="3"/>
  <c r="I4460" i="3"/>
  <c r="H4460" i="3" s="1"/>
  <c r="C4460" i="3"/>
  <c r="B4460" i="3" s="1"/>
  <c r="A4462" i="3"/>
  <c r="L4462" i="3" l="1"/>
  <c r="F4462" i="3"/>
  <c r="J4462" i="3"/>
  <c r="D4462" i="3"/>
  <c r="K4462" i="3"/>
  <c r="E4462" i="3"/>
  <c r="I4461" i="3"/>
  <c r="H4461" i="3" s="1"/>
  <c r="A4463" i="3"/>
  <c r="C4461" i="3"/>
  <c r="B4461" i="3" s="1"/>
  <c r="L4463" i="3" l="1"/>
  <c r="F4463" i="3"/>
  <c r="J4463" i="3"/>
  <c r="D4463" i="3"/>
  <c r="K4463" i="3"/>
  <c r="E4463" i="3"/>
  <c r="C4462" i="3"/>
  <c r="B4462" i="3" s="1"/>
  <c r="A4464" i="3"/>
  <c r="I4462" i="3"/>
  <c r="H4462" i="3" s="1"/>
  <c r="L4464" i="3" l="1"/>
  <c r="F4464" i="3"/>
  <c r="J4464" i="3"/>
  <c r="D4464" i="3"/>
  <c r="K4464" i="3"/>
  <c r="E4464" i="3"/>
  <c r="I4463" i="3"/>
  <c r="H4463" i="3" s="1"/>
  <c r="C4463" i="3"/>
  <c r="B4463" i="3" s="1"/>
  <c r="A4465" i="3"/>
  <c r="L4465" i="3" l="1"/>
  <c r="F4465" i="3"/>
  <c r="J4465" i="3"/>
  <c r="D4465" i="3"/>
  <c r="K4465" i="3"/>
  <c r="E4465" i="3"/>
  <c r="I4464" i="3"/>
  <c r="H4464" i="3" s="1"/>
  <c r="A4466" i="3"/>
  <c r="C4464" i="3"/>
  <c r="B4464" i="3" s="1"/>
  <c r="L4466" i="3" l="1"/>
  <c r="F4466" i="3"/>
  <c r="J4466" i="3"/>
  <c r="D4466" i="3"/>
  <c r="K4466" i="3"/>
  <c r="E4466" i="3"/>
  <c r="C4465" i="3"/>
  <c r="B4465" i="3" s="1"/>
  <c r="I4465" i="3"/>
  <c r="H4465" i="3" s="1"/>
  <c r="A4467" i="3"/>
  <c r="L4467" i="3" l="1"/>
  <c r="F4467" i="3"/>
  <c r="J4467" i="3"/>
  <c r="D4467" i="3"/>
  <c r="K4467" i="3"/>
  <c r="E4467" i="3"/>
  <c r="I4466" i="3"/>
  <c r="H4466" i="3" s="1"/>
  <c r="C4466" i="3"/>
  <c r="B4466" i="3" s="1"/>
  <c r="A4468" i="3"/>
  <c r="L4468" i="3" l="1"/>
  <c r="F4468" i="3"/>
  <c r="J4468" i="3"/>
  <c r="D4468" i="3"/>
  <c r="K4468" i="3"/>
  <c r="E4468" i="3"/>
  <c r="C4467" i="3"/>
  <c r="B4467" i="3" s="1"/>
  <c r="I4467" i="3"/>
  <c r="H4467" i="3" s="1"/>
  <c r="A4469" i="3"/>
  <c r="L4469" i="3" l="1"/>
  <c r="F4469" i="3"/>
  <c r="J4469" i="3"/>
  <c r="D4469" i="3"/>
  <c r="K4469" i="3"/>
  <c r="E4469" i="3"/>
  <c r="I4468" i="3"/>
  <c r="H4468" i="3" s="1"/>
  <c r="C4468" i="3"/>
  <c r="B4468" i="3" s="1"/>
  <c r="A4470" i="3"/>
  <c r="L4470" i="3" l="1"/>
  <c r="F4470" i="3"/>
  <c r="J4470" i="3"/>
  <c r="D4470" i="3"/>
  <c r="K4470" i="3"/>
  <c r="E4470" i="3"/>
  <c r="I4469" i="3"/>
  <c r="H4469" i="3" s="1"/>
  <c r="C4469" i="3"/>
  <c r="B4469" i="3" s="1"/>
  <c r="A4471" i="3"/>
  <c r="L4471" i="3" l="1"/>
  <c r="F4471" i="3"/>
  <c r="J4471" i="3"/>
  <c r="D4471" i="3"/>
  <c r="K4471" i="3"/>
  <c r="E4471" i="3"/>
  <c r="I4470" i="3"/>
  <c r="H4470" i="3" s="1"/>
  <c r="C4470" i="3"/>
  <c r="B4470" i="3" s="1"/>
  <c r="A4472" i="3"/>
  <c r="L4472" i="3" l="1"/>
  <c r="F4472" i="3"/>
  <c r="J4472" i="3"/>
  <c r="D4472" i="3"/>
  <c r="K4472" i="3"/>
  <c r="E4472" i="3"/>
  <c r="C4471" i="3"/>
  <c r="B4471" i="3" s="1"/>
  <c r="A4473" i="3"/>
  <c r="I4471" i="3"/>
  <c r="H4471" i="3" s="1"/>
  <c r="L4473" i="3" l="1"/>
  <c r="F4473" i="3"/>
  <c r="J4473" i="3"/>
  <c r="D4473" i="3"/>
  <c r="K4473" i="3"/>
  <c r="E4473" i="3"/>
  <c r="C4472" i="3"/>
  <c r="B4472" i="3" s="1"/>
  <c r="I4472" i="3"/>
  <c r="H4472" i="3" s="1"/>
  <c r="A4474" i="3"/>
  <c r="L4474" i="3" l="1"/>
  <c r="F4474" i="3"/>
  <c r="J4474" i="3"/>
  <c r="D4474" i="3"/>
  <c r="K4474" i="3"/>
  <c r="E4474" i="3"/>
  <c r="I4473" i="3"/>
  <c r="H4473" i="3" s="1"/>
  <c r="A4475" i="3"/>
  <c r="C4473" i="3"/>
  <c r="B4473" i="3" s="1"/>
  <c r="L4475" i="3" l="1"/>
  <c r="F4475" i="3"/>
  <c r="J4475" i="3"/>
  <c r="D4475" i="3"/>
  <c r="K4475" i="3"/>
  <c r="E4475" i="3"/>
  <c r="I4474" i="3"/>
  <c r="H4474" i="3" s="1"/>
  <c r="C4474" i="3"/>
  <c r="B4474" i="3" s="1"/>
  <c r="A4476" i="3"/>
  <c r="L4476" i="3" l="1"/>
  <c r="F4476" i="3"/>
  <c r="J4476" i="3"/>
  <c r="D4476" i="3"/>
  <c r="K4476" i="3"/>
  <c r="E4476" i="3"/>
  <c r="I4475" i="3"/>
  <c r="H4475" i="3" s="1"/>
  <c r="C4475" i="3"/>
  <c r="B4475" i="3" s="1"/>
  <c r="A4477" i="3"/>
  <c r="L4477" i="3" l="1"/>
  <c r="F4477" i="3"/>
  <c r="J4477" i="3"/>
  <c r="D4477" i="3"/>
  <c r="K4477" i="3"/>
  <c r="E4477" i="3"/>
  <c r="C4476" i="3"/>
  <c r="B4476" i="3" s="1"/>
  <c r="I4476" i="3"/>
  <c r="H4476" i="3" s="1"/>
  <c r="A4478" i="3"/>
  <c r="L4478" i="3" l="1"/>
  <c r="F4478" i="3"/>
  <c r="J4478" i="3"/>
  <c r="D4478" i="3"/>
  <c r="K4478" i="3"/>
  <c r="E4478" i="3"/>
  <c r="I4477" i="3"/>
  <c r="H4477" i="3" s="1"/>
  <c r="C4477" i="3"/>
  <c r="B4477" i="3" s="1"/>
  <c r="A4479" i="3"/>
  <c r="L4479" i="3" l="1"/>
  <c r="F4479" i="3"/>
  <c r="J4479" i="3"/>
  <c r="D4479" i="3"/>
  <c r="K4479" i="3"/>
  <c r="E4479" i="3"/>
  <c r="I4478" i="3"/>
  <c r="H4478" i="3" s="1"/>
  <c r="A4480" i="3"/>
  <c r="C4478" i="3"/>
  <c r="B4478" i="3" s="1"/>
  <c r="L4480" i="3" l="1"/>
  <c r="F4480" i="3"/>
  <c r="J4480" i="3"/>
  <c r="D4480" i="3"/>
  <c r="K4480" i="3"/>
  <c r="E4480" i="3"/>
  <c r="I4479" i="3"/>
  <c r="H4479" i="3" s="1"/>
  <c r="A4481" i="3"/>
  <c r="C4479" i="3"/>
  <c r="B4479" i="3" s="1"/>
  <c r="L4481" i="3" l="1"/>
  <c r="F4481" i="3"/>
  <c r="J4481" i="3"/>
  <c r="D4481" i="3"/>
  <c r="K4481" i="3"/>
  <c r="E4481" i="3"/>
  <c r="I4480" i="3"/>
  <c r="H4480" i="3" s="1"/>
  <c r="C4480" i="3"/>
  <c r="B4480" i="3" s="1"/>
  <c r="A4482" i="3"/>
  <c r="L4482" i="3" l="1"/>
  <c r="F4482" i="3"/>
  <c r="J4482" i="3"/>
  <c r="D4482" i="3"/>
  <c r="K4482" i="3"/>
  <c r="E4482" i="3"/>
  <c r="I4481" i="3"/>
  <c r="H4481" i="3" s="1"/>
  <c r="A4483" i="3"/>
  <c r="C4481" i="3"/>
  <c r="B4481" i="3" s="1"/>
  <c r="L4483" i="3" l="1"/>
  <c r="F4483" i="3"/>
  <c r="J4483" i="3"/>
  <c r="D4483" i="3"/>
  <c r="K4483" i="3"/>
  <c r="E4483" i="3"/>
  <c r="I4482" i="3"/>
  <c r="H4482" i="3" s="1"/>
  <c r="A4484" i="3"/>
  <c r="C4482" i="3"/>
  <c r="B4482" i="3" s="1"/>
  <c r="L4484" i="3" l="1"/>
  <c r="F4484" i="3"/>
  <c r="J4484" i="3"/>
  <c r="D4484" i="3"/>
  <c r="K4484" i="3"/>
  <c r="E4484" i="3"/>
  <c r="C4483" i="3"/>
  <c r="B4483" i="3" s="1"/>
  <c r="I4483" i="3"/>
  <c r="H4483" i="3" s="1"/>
  <c r="A4485" i="3"/>
  <c r="L4485" i="3" l="1"/>
  <c r="F4485" i="3"/>
  <c r="J4485" i="3"/>
  <c r="D4485" i="3"/>
  <c r="K4485" i="3"/>
  <c r="E4485" i="3"/>
  <c r="I4484" i="3"/>
  <c r="H4484" i="3" s="1"/>
  <c r="C4484" i="3"/>
  <c r="B4484" i="3" s="1"/>
  <c r="A4486" i="3"/>
  <c r="L4486" i="3" l="1"/>
  <c r="F4486" i="3"/>
  <c r="J4486" i="3"/>
  <c r="D4486" i="3"/>
  <c r="K4486" i="3"/>
  <c r="E4486" i="3"/>
  <c r="I4485" i="3"/>
  <c r="H4485" i="3" s="1"/>
  <c r="C4485" i="3"/>
  <c r="B4485" i="3" s="1"/>
  <c r="A4487" i="3"/>
  <c r="L4487" i="3" l="1"/>
  <c r="F4487" i="3"/>
  <c r="J4487" i="3"/>
  <c r="D4487" i="3"/>
  <c r="K4487" i="3"/>
  <c r="E4487" i="3"/>
  <c r="C4486" i="3"/>
  <c r="B4486" i="3" s="1"/>
  <c r="I4486" i="3"/>
  <c r="H4486" i="3" s="1"/>
  <c r="A4488" i="3"/>
  <c r="L4488" i="3" l="1"/>
  <c r="F4488" i="3"/>
  <c r="J4488" i="3"/>
  <c r="K4488" i="3"/>
  <c r="D4488" i="3"/>
  <c r="E4488" i="3"/>
  <c r="I4487" i="3"/>
  <c r="H4487" i="3" s="1"/>
  <c r="C4487" i="3"/>
  <c r="B4487" i="3" s="1"/>
  <c r="A4489" i="3"/>
  <c r="L4489" i="3" l="1"/>
  <c r="F4489" i="3"/>
  <c r="J4489" i="3"/>
  <c r="D4489" i="3"/>
  <c r="K4489" i="3"/>
  <c r="E4489" i="3"/>
  <c r="I4488" i="3"/>
  <c r="H4488" i="3" s="1"/>
  <c r="C4488" i="3"/>
  <c r="B4488" i="3" s="1"/>
  <c r="A4490" i="3"/>
  <c r="L4490" i="3" l="1"/>
  <c r="F4490" i="3"/>
  <c r="J4490" i="3"/>
  <c r="D4490" i="3"/>
  <c r="K4490" i="3"/>
  <c r="E4490" i="3"/>
  <c r="I4489" i="3"/>
  <c r="H4489" i="3" s="1"/>
  <c r="A4491" i="3"/>
  <c r="C4489" i="3"/>
  <c r="B4489" i="3" s="1"/>
  <c r="L4491" i="3" l="1"/>
  <c r="F4491" i="3"/>
  <c r="J4491" i="3"/>
  <c r="D4491" i="3"/>
  <c r="K4491" i="3"/>
  <c r="E4491" i="3"/>
  <c r="C4490" i="3"/>
  <c r="B4490" i="3" s="1"/>
  <c r="A4492" i="3"/>
  <c r="I4490" i="3"/>
  <c r="H4490" i="3" s="1"/>
  <c r="L4492" i="3" l="1"/>
  <c r="F4492" i="3"/>
  <c r="J4492" i="3"/>
  <c r="D4492" i="3"/>
  <c r="K4492" i="3"/>
  <c r="E4492" i="3"/>
  <c r="C4491" i="3"/>
  <c r="B4491" i="3" s="1"/>
  <c r="I4491" i="3"/>
  <c r="H4491" i="3" s="1"/>
  <c r="A4493" i="3"/>
  <c r="L4493" i="3" l="1"/>
  <c r="F4493" i="3"/>
  <c r="J4493" i="3"/>
  <c r="D4493" i="3"/>
  <c r="K4493" i="3"/>
  <c r="E4493" i="3"/>
  <c r="I4492" i="3"/>
  <c r="H4492" i="3" s="1"/>
  <c r="A4494" i="3"/>
  <c r="C4492" i="3"/>
  <c r="B4492" i="3" s="1"/>
  <c r="L4494" i="3" l="1"/>
  <c r="F4494" i="3"/>
  <c r="J4494" i="3"/>
  <c r="D4494" i="3"/>
  <c r="K4494" i="3"/>
  <c r="E4494" i="3"/>
  <c r="I4493" i="3"/>
  <c r="H4493" i="3" s="1"/>
  <c r="C4493" i="3"/>
  <c r="B4493" i="3" s="1"/>
  <c r="A4495" i="3"/>
  <c r="L4495" i="3" l="1"/>
  <c r="F4495" i="3"/>
  <c r="J4495" i="3"/>
  <c r="D4495" i="3"/>
  <c r="K4495" i="3"/>
  <c r="E4495" i="3"/>
  <c r="C4494" i="3"/>
  <c r="B4494" i="3" s="1"/>
  <c r="I4494" i="3"/>
  <c r="H4494" i="3" s="1"/>
  <c r="A4496" i="3"/>
  <c r="L4496" i="3" l="1"/>
  <c r="F4496" i="3"/>
  <c r="J4496" i="3"/>
  <c r="D4496" i="3"/>
  <c r="K4496" i="3"/>
  <c r="E4496" i="3"/>
  <c r="C4495" i="3"/>
  <c r="B4495" i="3" s="1"/>
  <c r="I4495" i="3"/>
  <c r="H4495" i="3" s="1"/>
  <c r="A4497" i="3"/>
  <c r="L4497" i="3" l="1"/>
  <c r="F4497" i="3"/>
  <c r="J4497" i="3"/>
  <c r="D4497" i="3"/>
  <c r="K4497" i="3"/>
  <c r="E4497" i="3"/>
  <c r="C4496" i="3"/>
  <c r="B4496" i="3" s="1"/>
  <c r="I4496" i="3"/>
  <c r="H4496" i="3" s="1"/>
  <c r="A4498" i="3"/>
  <c r="L4498" i="3" l="1"/>
  <c r="F4498" i="3"/>
  <c r="J4498" i="3"/>
  <c r="D4498" i="3"/>
  <c r="K4498" i="3"/>
  <c r="E4498" i="3"/>
  <c r="I4497" i="3"/>
  <c r="H4497" i="3" s="1"/>
  <c r="A4499" i="3"/>
  <c r="C4497" i="3"/>
  <c r="B4497" i="3" s="1"/>
  <c r="L4499" i="3" l="1"/>
  <c r="F4499" i="3"/>
  <c r="J4499" i="3"/>
  <c r="D4499" i="3"/>
  <c r="K4499" i="3"/>
  <c r="E4499" i="3"/>
  <c r="I4498" i="3"/>
  <c r="H4498" i="3" s="1"/>
  <c r="C4498" i="3"/>
  <c r="B4498" i="3" s="1"/>
  <c r="A4500" i="3"/>
  <c r="L4500" i="3" l="1"/>
  <c r="F4500" i="3"/>
  <c r="J4500" i="3"/>
  <c r="D4500" i="3"/>
  <c r="K4500" i="3"/>
  <c r="E4500" i="3"/>
  <c r="C4499" i="3"/>
  <c r="B4499" i="3" s="1"/>
  <c r="I4499" i="3"/>
  <c r="H4499" i="3" s="1"/>
  <c r="A4501" i="3"/>
  <c r="L4501" i="3" l="1"/>
  <c r="F4501" i="3"/>
  <c r="J4501" i="3"/>
  <c r="D4501" i="3"/>
  <c r="K4501" i="3"/>
  <c r="E4501" i="3"/>
  <c r="I4500" i="3"/>
  <c r="H4500" i="3" s="1"/>
  <c r="C4500" i="3"/>
  <c r="B4500" i="3" s="1"/>
  <c r="A4502" i="3"/>
  <c r="L4502" i="3" l="1"/>
  <c r="F4502" i="3"/>
  <c r="J4502" i="3"/>
  <c r="D4502" i="3"/>
  <c r="K4502" i="3"/>
  <c r="E4502" i="3"/>
  <c r="I4501" i="3"/>
  <c r="H4501" i="3" s="1"/>
  <c r="A4503" i="3"/>
  <c r="C4501" i="3"/>
  <c r="B4501" i="3" s="1"/>
  <c r="L4503" i="3" l="1"/>
  <c r="F4503" i="3"/>
  <c r="J4503" i="3"/>
  <c r="D4503" i="3"/>
  <c r="K4503" i="3"/>
  <c r="E4503" i="3"/>
  <c r="C4502" i="3"/>
  <c r="B4502" i="3" s="1"/>
  <c r="I4502" i="3"/>
  <c r="H4502" i="3" s="1"/>
  <c r="A4504" i="3"/>
  <c r="L4504" i="3" l="1"/>
  <c r="F4504" i="3"/>
  <c r="J4504" i="3"/>
  <c r="D4504" i="3"/>
  <c r="K4504" i="3"/>
  <c r="E4504" i="3"/>
  <c r="C4503" i="3"/>
  <c r="B4503" i="3" s="1"/>
  <c r="I4503" i="3"/>
  <c r="H4503" i="3" s="1"/>
  <c r="A4505" i="3"/>
  <c r="L4505" i="3" l="1"/>
  <c r="F4505" i="3"/>
  <c r="J4505" i="3"/>
  <c r="D4505" i="3"/>
  <c r="K4505" i="3"/>
  <c r="E4505" i="3"/>
  <c r="I4504" i="3"/>
  <c r="H4504" i="3" s="1"/>
  <c r="C4504" i="3"/>
  <c r="B4504" i="3" s="1"/>
  <c r="A4506" i="3"/>
  <c r="L4506" i="3" l="1"/>
  <c r="F4506" i="3"/>
  <c r="J4506" i="3"/>
  <c r="D4506" i="3"/>
  <c r="K4506" i="3"/>
  <c r="E4506" i="3"/>
  <c r="I4505" i="3"/>
  <c r="H4505" i="3" s="1"/>
  <c r="A4507" i="3"/>
  <c r="C4505" i="3"/>
  <c r="B4505" i="3" s="1"/>
  <c r="L4507" i="3" l="1"/>
  <c r="F4507" i="3"/>
  <c r="J4507" i="3"/>
  <c r="D4507" i="3"/>
  <c r="K4507" i="3"/>
  <c r="E4507" i="3"/>
  <c r="I4506" i="3"/>
  <c r="H4506" i="3" s="1"/>
  <c r="C4506" i="3"/>
  <c r="B4506" i="3" s="1"/>
  <c r="A4508" i="3"/>
  <c r="L4508" i="3" l="1"/>
  <c r="F4508" i="3"/>
  <c r="J4508" i="3"/>
  <c r="D4508" i="3"/>
  <c r="K4508" i="3"/>
  <c r="E4508" i="3"/>
  <c r="I4507" i="3"/>
  <c r="H4507" i="3" s="1"/>
  <c r="A4509" i="3"/>
  <c r="C4507" i="3"/>
  <c r="B4507" i="3" s="1"/>
  <c r="L4509" i="3" l="1"/>
  <c r="F4509" i="3"/>
  <c r="J4509" i="3"/>
  <c r="D4509" i="3"/>
  <c r="K4509" i="3"/>
  <c r="E4509" i="3"/>
  <c r="I4508" i="3"/>
  <c r="H4508" i="3" s="1"/>
  <c r="C4508" i="3"/>
  <c r="B4508" i="3" s="1"/>
  <c r="A4510" i="3"/>
  <c r="L4510" i="3" l="1"/>
  <c r="F4510" i="3"/>
  <c r="J4510" i="3"/>
  <c r="D4510" i="3"/>
  <c r="K4510" i="3"/>
  <c r="E4510" i="3"/>
  <c r="I4509" i="3"/>
  <c r="H4509" i="3" s="1"/>
  <c r="C4509" i="3"/>
  <c r="B4509" i="3" s="1"/>
  <c r="A4511" i="3"/>
  <c r="L4511" i="3" l="1"/>
  <c r="F4511" i="3"/>
  <c r="J4511" i="3"/>
  <c r="D4511" i="3"/>
  <c r="K4511" i="3"/>
  <c r="E4511" i="3"/>
  <c r="I4510" i="3"/>
  <c r="H4510" i="3" s="1"/>
  <c r="C4510" i="3"/>
  <c r="B4510" i="3" s="1"/>
  <c r="A4512" i="3"/>
  <c r="L4512" i="3" l="1"/>
  <c r="F4512" i="3"/>
  <c r="J4512" i="3"/>
  <c r="D4512" i="3"/>
  <c r="K4512" i="3"/>
  <c r="E4512" i="3"/>
  <c r="I4511" i="3"/>
  <c r="H4511" i="3" s="1"/>
  <c r="A4513" i="3"/>
  <c r="C4511" i="3"/>
  <c r="B4511" i="3" s="1"/>
  <c r="L4513" i="3" l="1"/>
  <c r="F4513" i="3"/>
  <c r="J4513" i="3"/>
  <c r="D4513" i="3"/>
  <c r="K4513" i="3"/>
  <c r="E4513" i="3"/>
  <c r="I4512" i="3"/>
  <c r="H4512" i="3" s="1"/>
  <c r="C4512" i="3"/>
  <c r="B4512" i="3" s="1"/>
  <c r="A4514" i="3"/>
  <c r="L4514" i="3" l="1"/>
  <c r="F4514" i="3"/>
  <c r="J4514" i="3"/>
  <c r="D4514" i="3"/>
  <c r="K4514" i="3"/>
  <c r="E4514" i="3"/>
  <c r="I4513" i="3"/>
  <c r="H4513" i="3" s="1"/>
  <c r="C4513" i="3"/>
  <c r="B4513" i="3" s="1"/>
  <c r="A4515" i="3"/>
  <c r="L4515" i="3" l="1"/>
  <c r="F4515" i="3"/>
  <c r="J4515" i="3"/>
  <c r="D4515" i="3"/>
  <c r="K4515" i="3"/>
  <c r="E4515" i="3"/>
  <c r="I4514" i="3"/>
  <c r="H4514" i="3" s="1"/>
  <c r="C4514" i="3"/>
  <c r="B4514" i="3" s="1"/>
  <c r="A4516" i="3"/>
  <c r="L4516" i="3" l="1"/>
  <c r="F4516" i="3"/>
  <c r="J4516" i="3"/>
  <c r="D4516" i="3"/>
  <c r="K4516" i="3"/>
  <c r="E4516" i="3"/>
  <c r="I4515" i="3"/>
  <c r="H4515" i="3" s="1"/>
  <c r="A4517" i="3"/>
  <c r="C4515" i="3"/>
  <c r="B4515" i="3" s="1"/>
  <c r="L4517" i="3" l="1"/>
  <c r="F4517" i="3"/>
  <c r="J4517" i="3"/>
  <c r="D4517" i="3"/>
  <c r="K4517" i="3"/>
  <c r="E4517" i="3"/>
  <c r="C4516" i="3"/>
  <c r="B4516" i="3" s="1"/>
  <c r="I4516" i="3"/>
  <c r="H4516" i="3" s="1"/>
  <c r="A4518" i="3"/>
  <c r="L4518" i="3" l="1"/>
  <c r="F4518" i="3"/>
  <c r="J4518" i="3"/>
  <c r="D4518" i="3"/>
  <c r="K4518" i="3"/>
  <c r="E4518" i="3"/>
  <c r="I4517" i="3"/>
  <c r="H4517" i="3" s="1"/>
  <c r="C4517" i="3"/>
  <c r="B4517" i="3" s="1"/>
  <c r="A4519" i="3"/>
  <c r="L4519" i="3" l="1"/>
  <c r="F4519" i="3"/>
  <c r="J4519" i="3"/>
  <c r="D4519" i="3"/>
  <c r="K4519" i="3"/>
  <c r="E4519" i="3"/>
  <c r="I4518" i="3"/>
  <c r="H4518" i="3" s="1"/>
  <c r="C4518" i="3"/>
  <c r="B4518" i="3" s="1"/>
  <c r="A4520" i="3"/>
  <c r="L4520" i="3" l="1"/>
  <c r="F4520" i="3"/>
  <c r="J4520" i="3"/>
  <c r="D4520" i="3"/>
  <c r="K4520" i="3"/>
  <c r="E4520" i="3"/>
  <c r="C4519" i="3"/>
  <c r="B4519" i="3" s="1"/>
  <c r="I4519" i="3"/>
  <c r="H4519" i="3" s="1"/>
  <c r="A4521" i="3"/>
  <c r="L4521" i="3" l="1"/>
  <c r="F4521" i="3"/>
  <c r="J4521" i="3"/>
  <c r="D4521" i="3"/>
  <c r="K4521" i="3"/>
  <c r="E4521" i="3"/>
  <c r="I4520" i="3"/>
  <c r="H4520" i="3" s="1"/>
  <c r="C4520" i="3"/>
  <c r="B4520" i="3" s="1"/>
  <c r="A4522" i="3"/>
  <c r="L4522" i="3" l="1"/>
  <c r="F4522" i="3"/>
  <c r="J4522" i="3"/>
  <c r="D4522" i="3"/>
  <c r="K4522" i="3"/>
  <c r="E4522" i="3"/>
  <c r="C4521" i="3"/>
  <c r="B4521" i="3" s="1"/>
  <c r="A4523" i="3"/>
  <c r="I4521" i="3"/>
  <c r="H4521" i="3" s="1"/>
  <c r="L4523" i="3" l="1"/>
  <c r="F4523" i="3"/>
  <c r="J4523" i="3"/>
  <c r="D4523" i="3"/>
  <c r="K4523" i="3"/>
  <c r="E4523" i="3"/>
  <c r="I4522" i="3"/>
  <c r="H4522" i="3" s="1"/>
  <c r="A4524" i="3"/>
  <c r="C4522" i="3"/>
  <c r="B4522" i="3" s="1"/>
  <c r="L4524" i="3" l="1"/>
  <c r="F4524" i="3"/>
  <c r="J4524" i="3"/>
  <c r="D4524" i="3"/>
  <c r="K4524" i="3"/>
  <c r="E4524" i="3"/>
  <c r="C4523" i="3"/>
  <c r="B4523" i="3" s="1"/>
  <c r="I4523" i="3"/>
  <c r="H4523" i="3" s="1"/>
  <c r="A4525" i="3"/>
  <c r="L4525" i="3" l="1"/>
  <c r="F4525" i="3"/>
  <c r="J4525" i="3"/>
  <c r="D4525" i="3"/>
  <c r="K4525" i="3"/>
  <c r="E4525" i="3"/>
  <c r="C4524" i="3"/>
  <c r="B4524" i="3" s="1"/>
  <c r="I4524" i="3"/>
  <c r="H4524" i="3" s="1"/>
  <c r="A4526" i="3"/>
  <c r="L4526" i="3" l="1"/>
  <c r="F4526" i="3"/>
  <c r="J4526" i="3"/>
  <c r="D4526" i="3"/>
  <c r="K4526" i="3"/>
  <c r="E4526" i="3"/>
  <c r="C4525" i="3"/>
  <c r="B4525" i="3" s="1"/>
  <c r="I4525" i="3"/>
  <c r="H4525" i="3" s="1"/>
  <c r="A4527" i="3"/>
  <c r="L4527" i="3" l="1"/>
  <c r="F4527" i="3"/>
  <c r="J4527" i="3"/>
  <c r="D4527" i="3"/>
  <c r="K4527" i="3"/>
  <c r="E4527" i="3"/>
  <c r="I4526" i="3"/>
  <c r="H4526" i="3" s="1"/>
  <c r="C4526" i="3"/>
  <c r="B4526" i="3" s="1"/>
  <c r="A4528" i="3"/>
  <c r="L4528" i="3" l="1"/>
  <c r="F4528" i="3"/>
  <c r="J4528" i="3"/>
  <c r="D4528" i="3"/>
  <c r="K4528" i="3"/>
  <c r="E4528" i="3"/>
  <c r="C4527" i="3"/>
  <c r="B4527" i="3" s="1"/>
  <c r="I4527" i="3"/>
  <c r="H4527" i="3" s="1"/>
  <c r="A4529" i="3"/>
  <c r="L4529" i="3" l="1"/>
  <c r="F4529" i="3"/>
  <c r="J4529" i="3"/>
  <c r="D4529" i="3"/>
  <c r="K4529" i="3"/>
  <c r="E4529" i="3"/>
  <c r="I4528" i="3"/>
  <c r="H4528" i="3" s="1"/>
  <c r="C4528" i="3"/>
  <c r="B4528" i="3" s="1"/>
  <c r="A4530" i="3"/>
  <c r="L4530" i="3" l="1"/>
  <c r="F4530" i="3"/>
  <c r="J4530" i="3"/>
  <c r="D4530" i="3"/>
  <c r="K4530" i="3"/>
  <c r="E4530" i="3"/>
  <c r="I4529" i="3"/>
  <c r="H4529" i="3" s="1"/>
  <c r="C4529" i="3"/>
  <c r="B4529" i="3" s="1"/>
  <c r="A4531" i="3"/>
  <c r="L4531" i="3" l="1"/>
  <c r="F4531" i="3"/>
  <c r="J4531" i="3"/>
  <c r="D4531" i="3"/>
  <c r="K4531" i="3"/>
  <c r="E4531" i="3"/>
  <c r="I4530" i="3"/>
  <c r="H4530" i="3" s="1"/>
  <c r="A4532" i="3"/>
  <c r="C4530" i="3"/>
  <c r="B4530" i="3" s="1"/>
  <c r="L4532" i="3" l="1"/>
  <c r="F4532" i="3"/>
  <c r="J4532" i="3"/>
  <c r="D4532" i="3"/>
  <c r="K4532" i="3"/>
  <c r="E4532" i="3"/>
  <c r="C4531" i="3"/>
  <c r="B4531" i="3" s="1"/>
  <c r="I4531" i="3"/>
  <c r="H4531" i="3" s="1"/>
  <c r="A4533" i="3"/>
  <c r="L4533" i="3" l="1"/>
  <c r="F4533" i="3"/>
  <c r="J4533" i="3"/>
  <c r="D4533" i="3"/>
  <c r="K4533" i="3"/>
  <c r="E4533" i="3"/>
  <c r="I4532" i="3"/>
  <c r="H4532" i="3" s="1"/>
  <c r="C4532" i="3"/>
  <c r="B4532" i="3" s="1"/>
  <c r="A4534" i="3"/>
  <c r="L4534" i="3" l="1"/>
  <c r="F4534" i="3"/>
  <c r="J4534" i="3"/>
  <c r="D4534" i="3"/>
  <c r="K4534" i="3"/>
  <c r="E4534" i="3"/>
  <c r="C4533" i="3"/>
  <c r="B4533" i="3" s="1"/>
  <c r="I4533" i="3"/>
  <c r="H4533" i="3" s="1"/>
  <c r="A4535" i="3"/>
  <c r="L4535" i="3" l="1"/>
  <c r="F4535" i="3"/>
  <c r="J4535" i="3"/>
  <c r="D4535" i="3"/>
  <c r="K4535" i="3"/>
  <c r="E4535" i="3"/>
  <c r="C4534" i="3"/>
  <c r="B4534" i="3" s="1"/>
  <c r="I4534" i="3"/>
  <c r="H4534" i="3" s="1"/>
  <c r="A4536" i="3"/>
  <c r="L4536" i="3" l="1"/>
  <c r="F4536" i="3"/>
  <c r="J4536" i="3"/>
  <c r="D4536" i="3"/>
  <c r="K4536" i="3"/>
  <c r="E4536" i="3"/>
  <c r="I4535" i="3"/>
  <c r="H4535" i="3" s="1"/>
  <c r="A4537" i="3"/>
  <c r="C4535" i="3"/>
  <c r="B4535" i="3" s="1"/>
  <c r="L4537" i="3" l="1"/>
  <c r="F4537" i="3"/>
  <c r="J4537" i="3"/>
  <c r="D4537" i="3"/>
  <c r="K4537" i="3"/>
  <c r="E4537" i="3"/>
  <c r="I4536" i="3"/>
  <c r="H4536" i="3" s="1"/>
  <c r="C4536" i="3"/>
  <c r="B4536" i="3" s="1"/>
  <c r="A4538" i="3"/>
  <c r="L4538" i="3" l="1"/>
  <c r="F4538" i="3"/>
  <c r="J4538" i="3"/>
  <c r="D4538" i="3"/>
  <c r="K4538" i="3"/>
  <c r="E4538" i="3"/>
  <c r="C4537" i="3"/>
  <c r="B4537" i="3" s="1"/>
  <c r="A4539" i="3"/>
  <c r="I4537" i="3"/>
  <c r="H4537" i="3" s="1"/>
  <c r="L4539" i="3" l="1"/>
  <c r="F4539" i="3"/>
  <c r="J4539" i="3"/>
  <c r="D4539" i="3"/>
  <c r="K4539" i="3"/>
  <c r="E4539" i="3"/>
  <c r="C4538" i="3"/>
  <c r="B4538" i="3" s="1"/>
  <c r="I4538" i="3"/>
  <c r="H4538" i="3" s="1"/>
  <c r="A4540" i="3"/>
  <c r="L4540" i="3" l="1"/>
  <c r="F4540" i="3"/>
  <c r="J4540" i="3"/>
  <c r="D4540" i="3"/>
  <c r="K4540" i="3"/>
  <c r="E4540" i="3"/>
  <c r="C4539" i="3"/>
  <c r="B4539" i="3" s="1"/>
  <c r="I4539" i="3"/>
  <c r="H4539" i="3" s="1"/>
  <c r="A4541" i="3"/>
  <c r="L4541" i="3" l="1"/>
  <c r="F4541" i="3"/>
  <c r="J4541" i="3"/>
  <c r="D4541" i="3"/>
  <c r="K4541" i="3"/>
  <c r="E4541" i="3"/>
  <c r="I4540" i="3"/>
  <c r="H4540" i="3" s="1"/>
  <c r="C4540" i="3"/>
  <c r="B4540" i="3" s="1"/>
  <c r="A4542" i="3"/>
  <c r="L4542" i="3" l="1"/>
  <c r="F4542" i="3"/>
  <c r="J4542" i="3"/>
  <c r="D4542" i="3"/>
  <c r="K4542" i="3"/>
  <c r="E4542" i="3"/>
  <c r="I4541" i="3"/>
  <c r="H4541" i="3" s="1"/>
  <c r="C4541" i="3"/>
  <c r="B4541" i="3" s="1"/>
  <c r="A4543" i="3"/>
  <c r="L4543" i="3" l="1"/>
  <c r="F4543" i="3"/>
  <c r="J4543" i="3"/>
  <c r="D4543" i="3"/>
  <c r="K4543" i="3"/>
  <c r="E4543" i="3"/>
  <c r="I4542" i="3"/>
  <c r="H4542" i="3" s="1"/>
  <c r="A4544" i="3"/>
  <c r="C4542" i="3"/>
  <c r="B4542" i="3" s="1"/>
  <c r="L4544" i="3" l="1"/>
  <c r="F4544" i="3"/>
  <c r="J4544" i="3"/>
  <c r="D4544" i="3"/>
  <c r="K4544" i="3"/>
  <c r="E4544" i="3"/>
  <c r="C4543" i="3"/>
  <c r="B4543" i="3" s="1"/>
  <c r="I4543" i="3"/>
  <c r="H4543" i="3" s="1"/>
  <c r="A4545" i="3"/>
  <c r="L4545" i="3" l="1"/>
  <c r="F4545" i="3"/>
  <c r="J4545" i="3"/>
  <c r="D4545" i="3"/>
  <c r="K4545" i="3"/>
  <c r="E4545" i="3"/>
  <c r="I4544" i="3"/>
  <c r="H4544" i="3" s="1"/>
  <c r="C4544" i="3"/>
  <c r="B4544" i="3" s="1"/>
  <c r="A4546" i="3"/>
  <c r="L4546" i="3" l="1"/>
  <c r="F4546" i="3"/>
  <c r="J4546" i="3"/>
  <c r="D4546" i="3"/>
  <c r="K4546" i="3"/>
  <c r="E4546" i="3"/>
  <c r="I4545" i="3"/>
  <c r="H4545" i="3" s="1"/>
  <c r="A4547" i="3"/>
  <c r="C4545" i="3"/>
  <c r="B4545" i="3" s="1"/>
  <c r="L4547" i="3" l="1"/>
  <c r="F4547" i="3"/>
  <c r="J4547" i="3"/>
  <c r="D4547" i="3"/>
  <c r="K4547" i="3"/>
  <c r="E4547" i="3"/>
  <c r="C4546" i="3"/>
  <c r="B4546" i="3" s="1"/>
  <c r="I4546" i="3"/>
  <c r="H4546" i="3" s="1"/>
  <c r="A4548" i="3"/>
  <c r="L4548" i="3" l="1"/>
  <c r="F4548" i="3"/>
  <c r="J4548" i="3"/>
  <c r="D4548" i="3"/>
  <c r="K4548" i="3"/>
  <c r="E4548" i="3"/>
  <c r="C4547" i="3"/>
  <c r="B4547" i="3" s="1"/>
  <c r="I4547" i="3"/>
  <c r="H4547" i="3" s="1"/>
  <c r="A4549" i="3"/>
  <c r="L4549" i="3" l="1"/>
  <c r="F4549" i="3"/>
  <c r="J4549" i="3"/>
  <c r="D4549" i="3"/>
  <c r="K4549" i="3"/>
  <c r="E4549" i="3"/>
  <c r="I4548" i="3"/>
  <c r="H4548" i="3" s="1"/>
  <c r="A4550" i="3"/>
  <c r="C4548" i="3"/>
  <c r="B4548" i="3" s="1"/>
  <c r="L4550" i="3" l="1"/>
  <c r="F4550" i="3"/>
  <c r="J4550" i="3"/>
  <c r="D4550" i="3"/>
  <c r="K4550" i="3"/>
  <c r="E4550" i="3"/>
  <c r="C4549" i="3"/>
  <c r="B4549" i="3" s="1"/>
  <c r="I4549" i="3"/>
  <c r="H4549" i="3" s="1"/>
  <c r="A4551" i="3"/>
  <c r="L4551" i="3" l="1"/>
  <c r="F4551" i="3"/>
  <c r="J4551" i="3"/>
  <c r="D4551" i="3"/>
  <c r="K4551" i="3"/>
  <c r="E4551" i="3"/>
  <c r="I4550" i="3"/>
  <c r="H4550" i="3" s="1"/>
  <c r="C4550" i="3"/>
  <c r="B4550" i="3" s="1"/>
  <c r="A4552" i="3"/>
  <c r="L4552" i="3" l="1"/>
  <c r="F4552" i="3"/>
  <c r="J4552" i="3"/>
  <c r="D4552" i="3"/>
  <c r="K4552" i="3"/>
  <c r="E4552" i="3"/>
  <c r="I4551" i="3"/>
  <c r="H4551" i="3" s="1"/>
  <c r="A4553" i="3"/>
  <c r="C4551" i="3"/>
  <c r="B4551" i="3" s="1"/>
  <c r="L4553" i="3" l="1"/>
  <c r="F4553" i="3"/>
  <c r="J4553" i="3"/>
  <c r="D4553" i="3"/>
  <c r="K4553" i="3"/>
  <c r="E4553" i="3"/>
  <c r="I4552" i="3"/>
  <c r="H4552" i="3" s="1"/>
  <c r="C4552" i="3"/>
  <c r="B4552" i="3" s="1"/>
  <c r="A4554" i="3"/>
  <c r="L4554" i="3" l="1"/>
  <c r="F4554" i="3"/>
  <c r="J4554" i="3"/>
  <c r="D4554" i="3"/>
  <c r="K4554" i="3"/>
  <c r="E4554" i="3"/>
  <c r="I4553" i="3"/>
  <c r="H4553" i="3" s="1"/>
  <c r="A4555" i="3"/>
  <c r="C4553" i="3"/>
  <c r="B4553" i="3" s="1"/>
  <c r="L4555" i="3" l="1"/>
  <c r="F4555" i="3"/>
  <c r="J4555" i="3"/>
  <c r="D4555" i="3"/>
  <c r="K4555" i="3"/>
  <c r="E4555" i="3"/>
  <c r="I4554" i="3"/>
  <c r="H4554" i="3" s="1"/>
  <c r="A4556" i="3"/>
  <c r="C4554" i="3"/>
  <c r="B4554" i="3" s="1"/>
  <c r="L4556" i="3" l="1"/>
  <c r="F4556" i="3"/>
  <c r="J4556" i="3"/>
  <c r="D4556" i="3"/>
  <c r="K4556" i="3"/>
  <c r="E4556" i="3"/>
  <c r="C4555" i="3"/>
  <c r="B4555" i="3" s="1"/>
  <c r="I4555" i="3"/>
  <c r="H4555" i="3" s="1"/>
  <c r="A4557" i="3"/>
  <c r="L4557" i="3" l="1"/>
  <c r="F4557" i="3"/>
  <c r="J4557" i="3"/>
  <c r="D4557" i="3"/>
  <c r="K4557" i="3"/>
  <c r="E4557" i="3"/>
  <c r="C4556" i="3"/>
  <c r="B4556" i="3" s="1"/>
  <c r="I4556" i="3"/>
  <c r="H4556" i="3" s="1"/>
  <c r="A4558" i="3"/>
  <c r="L4558" i="3" l="1"/>
  <c r="F4558" i="3"/>
  <c r="J4558" i="3"/>
  <c r="D4558" i="3"/>
  <c r="K4558" i="3"/>
  <c r="E4558" i="3"/>
  <c r="I4557" i="3"/>
  <c r="H4557" i="3" s="1"/>
  <c r="C4557" i="3"/>
  <c r="B4557" i="3" s="1"/>
  <c r="A4559" i="3"/>
  <c r="L4559" i="3" l="1"/>
  <c r="F4559" i="3"/>
  <c r="J4559" i="3"/>
  <c r="D4559" i="3"/>
  <c r="K4559" i="3"/>
  <c r="E4559" i="3"/>
  <c r="C4558" i="3"/>
  <c r="B4558" i="3" s="1"/>
  <c r="I4558" i="3"/>
  <c r="H4558" i="3" s="1"/>
  <c r="A4560" i="3"/>
  <c r="L4560" i="3" l="1"/>
  <c r="F4560" i="3"/>
  <c r="J4560" i="3"/>
  <c r="D4560" i="3"/>
  <c r="K4560" i="3"/>
  <c r="E4560" i="3"/>
  <c r="C4559" i="3"/>
  <c r="B4559" i="3" s="1"/>
  <c r="I4559" i="3"/>
  <c r="H4559" i="3" s="1"/>
  <c r="A4561" i="3"/>
  <c r="L4561" i="3" l="1"/>
  <c r="F4561" i="3"/>
  <c r="J4561" i="3"/>
  <c r="D4561" i="3"/>
  <c r="K4561" i="3"/>
  <c r="E4561" i="3"/>
  <c r="I4560" i="3"/>
  <c r="H4560" i="3" s="1"/>
  <c r="C4560" i="3"/>
  <c r="B4560" i="3" s="1"/>
  <c r="A4562" i="3"/>
  <c r="L4562" i="3" l="1"/>
  <c r="F4562" i="3"/>
  <c r="J4562" i="3"/>
  <c r="D4562" i="3"/>
  <c r="K4562" i="3"/>
  <c r="E4562" i="3"/>
  <c r="I4561" i="3"/>
  <c r="H4561" i="3" s="1"/>
  <c r="C4561" i="3"/>
  <c r="B4561" i="3" s="1"/>
  <c r="A4563" i="3"/>
  <c r="L4563" i="3" l="1"/>
  <c r="F4563" i="3"/>
  <c r="J4563" i="3"/>
  <c r="D4563" i="3"/>
  <c r="K4563" i="3"/>
  <c r="E4563" i="3"/>
  <c r="C4562" i="3"/>
  <c r="B4562" i="3" s="1"/>
  <c r="I4562" i="3"/>
  <c r="H4562" i="3" s="1"/>
  <c r="A4564" i="3"/>
  <c r="L4564" i="3" l="1"/>
  <c r="F4564" i="3"/>
  <c r="J4564" i="3"/>
  <c r="D4564" i="3"/>
  <c r="K4564" i="3"/>
  <c r="E4564" i="3"/>
  <c r="C4563" i="3"/>
  <c r="B4563" i="3" s="1"/>
  <c r="I4563" i="3"/>
  <c r="H4563" i="3" s="1"/>
  <c r="A4565" i="3"/>
  <c r="L4565" i="3" l="1"/>
  <c r="F4565" i="3"/>
  <c r="J4565" i="3"/>
  <c r="D4565" i="3"/>
  <c r="K4565" i="3"/>
  <c r="E4565" i="3"/>
  <c r="I4564" i="3"/>
  <c r="H4564" i="3" s="1"/>
  <c r="C4564" i="3"/>
  <c r="B4564" i="3" s="1"/>
  <c r="A4566" i="3"/>
  <c r="L4566" i="3" l="1"/>
  <c r="F4566" i="3"/>
  <c r="J4566" i="3"/>
  <c r="D4566" i="3"/>
  <c r="K4566" i="3"/>
  <c r="E4566" i="3"/>
  <c r="C4565" i="3"/>
  <c r="B4565" i="3" s="1"/>
  <c r="I4565" i="3"/>
  <c r="H4565" i="3" s="1"/>
  <c r="A4567" i="3"/>
  <c r="L4567" i="3" l="1"/>
  <c r="F4567" i="3"/>
  <c r="J4567" i="3"/>
  <c r="D4567" i="3"/>
  <c r="K4567" i="3"/>
  <c r="E4567" i="3"/>
  <c r="I4566" i="3"/>
  <c r="H4566" i="3" s="1"/>
  <c r="C4566" i="3"/>
  <c r="B4566" i="3" s="1"/>
  <c r="A4568" i="3"/>
  <c r="L4568" i="3" l="1"/>
  <c r="F4568" i="3"/>
  <c r="J4568" i="3"/>
  <c r="D4568" i="3"/>
  <c r="K4568" i="3"/>
  <c r="E4568" i="3"/>
  <c r="I4567" i="3"/>
  <c r="H4567" i="3" s="1"/>
  <c r="C4567" i="3"/>
  <c r="B4567" i="3" s="1"/>
  <c r="A4569" i="3"/>
  <c r="L4569" i="3" l="1"/>
  <c r="F4569" i="3"/>
  <c r="J4569" i="3"/>
  <c r="D4569" i="3"/>
  <c r="K4569" i="3"/>
  <c r="E4569" i="3"/>
  <c r="C4568" i="3"/>
  <c r="B4568" i="3" s="1"/>
  <c r="I4568" i="3"/>
  <c r="H4568" i="3" s="1"/>
  <c r="A4570" i="3"/>
  <c r="L4570" i="3" l="1"/>
  <c r="F4570" i="3"/>
  <c r="J4570" i="3"/>
  <c r="D4570" i="3"/>
  <c r="K4570" i="3"/>
  <c r="E4570" i="3"/>
  <c r="I4569" i="3"/>
  <c r="H4569" i="3" s="1"/>
  <c r="A4571" i="3"/>
  <c r="C4569" i="3"/>
  <c r="B4569" i="3" s="1"/>
  <c r="L4571" i="3" l="1"/>
  <c r="F4571" i="3"/>
  <c r="J4571" i="3"/>
  <c r="D4571" i="3"/>
  <c r="K4571" i="3"/>
  <c r="E4571" i="3"/>
  <c r="C4570" i="3"/>
  <c r="B4570" i="3" s="1"/>
  <c r="A4572" i="3"/>
  <c r="I4570" i="3"/>
  <c r="H4570" i="3" s="1"/>
  <c r="L4572" i="3" l="1"/>
  <c r="F4572" i="3"/>
  <c r="J4572" i="3"/>
  <c r="D4572" i="3"/>
  <c r="K4572" i="3"/>
  <c r="E4572" i="3"/>
  <c r="I4571" i="3"/>
  <c r="H4571" i="3" s="1"/>
  <c r="A4573" i="3"/>
  <c r="C4571" i="3"/>
  <c r="B4571" i="3" s="1"/>
  <c r="L4573" i="3" l="1"/>
  <c r="F4573" i="3"/>
  <c r="J4573" i="3"/>
  <c r="D4573" i="3"/>
  <c r="K4573" i="3"/>
  <c r="E4573" i="3"/>
  <c r="I4572" i="3"/>
  <c r="H4572" i="3" s="1"/>
  <c r="C4572" i="3"/>
  <c r="B4572" i="3" s="1"/>
  <c r="A4574" i="3"/>
  <c r="L4574" i="3" l="1"/>
  <c r="F4574" i="3"/>
  <c r="J4574" i="3"/>
  <c r="D4574" i="3"/>
  <c r="K4574" i="3"/>
  <c r="E4574" i="3"/>
  <c r="I4573" i="3"/>
  <c r="H4573" i="3" s="1"/>
  <c r="C4573" i="3"/>
  <c r="B4573" i="3" s="1"/>
  <c r="A4575" i="3"/>
  <c r="L4575" i="3" l="1"/>
  <c r="F4575" i="3"/>
  <c r="J4575" i="3"/>
  <c r="D4575" i="3"/>
  <c r="K4575" i="3"/>
  <c r="E4575" i="3"/>
  <c r="C4574" i="3"/>
  <c r="B4574" i="3" s="1"/>
  <c r="I4574" i="3"/>
  <c r="H4574" i="3" s="1"/>
  <c r="A4576" i="3"/>
  <c r="L4576" i="3" l="1"/>
  <c r="F4576" i="3"/>
  <c r="J4576" i="3"/>
  <c r="K4576" i="3"/>
  <c r="D4576" i="3"/>
  <c r="E4576" i="3"/>
  <c r="I4575" i="3"/>
  <c r="H4575" i="3" s="1"/>
  <c r="C4575" i="3"/>
  <c r="B4575" i="3" s="1"/>
  <c r="A4577" i="3"/>
  <c r="L4577" i="3" l="1"/>
  <c r="F4577" i="3"/>
  <c r="J4577" i="3"/>
  <c r="D4577" i="3"/>
  <c r="K4577" i="3"/>
  <c r="E4577" i="3"/>
  <c r="C4576" i="3"/>
  <c r="B4576" i="3" s="1"/>
  <c r="I4576" i="3"/>
  <c r="H4576" i="3" s="1"/>
  <c r="A4578" i="3"/>
  <c r="L4578" i="3" l="1"/>
  <c r="F4578" i="3"/>
  <c r="J4578" i="3"/>
  <c r="D4578" i="3"/>
  <c r="K4578" i="3"/>
  <c r="E4578" i="3"/>
  <c r="I4577" i="3"/>
  <c r="H4577" i="3" s="1"/>
  <c r="C4577" i="3"/>
  <c r="B4577" i="3" s="1"/>
  <c r="A4579" i="3"/>
  <c r="L4579" i="3" l="1"/>
  <c r="F4579" i="3"/>
  <c r="J4579" i="3"/>
  <c r="D4579" i="3"/>
  <c r="K4579" i="3"/>
  <c r="E4579" i="3"/>
  <c r="I4578" i="3"/>
  <c r="H4578" i="3" s="1"/>
  <c r="A4580" i="3"/>
  <c r="C4578" i="3"/>
  <c r="B4578" i="3" s="1"/>
  <c r="L4580" i="3" l="1"/>
  <c r="F4580" i="3"/>
  <c r="J4580" i="3"/>
  <c r="D4580" i="3"/>
  <c r="K4580" i="3"/>
  <c r="E4580" i="3"/>
  <c r="I4579" i="3"/>
  <c r="H4579" i="3" s="1"/>
  <c r="C4579" i="3"/>
  <c r="B4579" i="3" s="1"/>
  <c r="A4581" i="3"/>
  <c r="L4581" i="3" l="1"/>
  <c r="F4581" i="3"/>
  <c r="J4581" i="3"/>
  <c r="D4581" i="3"/>
  <c r="K4581" i="3"/>
  <c r="E4581" i="3"/>
  <c r="C4580" i="3"/>
  <c r="B4580" i="3" s="1"/>
  <c r="A4582" i="3"/>
  <c r="I4580" i="3"/>
  <c r="H4580" i="3" s="1"/>
  <c r="L4582" i="3" l="1"/>
  <c r="F4582" i="3"/>
  <c r="J4582" i="3"/>
  <c r="D4582" i="3"/>
  <c r="K4582" i="3"/>
  <c r="E4582" i="3"/>
  <c r="C4581" i="3"/>
  <c r="B4581" i="3" s="1"/>
  <c r="I4581" i="3"/>
  <c r="H4581" i="3" s="1"/>
  <c r="A4583" i="3"/>
  <c r="L4583" i="3" l="1"/>
  <c r="F4583" i="3"/>
  <c r="J4583" i="3"/>
  <c r="D4583" i="3"/>
  <c r="K4583" i="3"/>
  <c r="E4583" i="3"/>
  <c r="I4582" i="3"/>
  <c r="H4582" i="3" s="1"/>
  <c r="C4582" i="3"/>
  <c r="B4582" i="3" s="1"/>
  <c r="A4584" i="3"/>
  <c r="L4584" i="3" l="1"/>
  <c r="F4584" i="3"/>
  <c r="J4584" i="3"/>
  <c r="D4584" i="3"/>
  <c r="K4584" i="3"/>
  <c r="E4584" i="3"/>
  <c r="C4583" i="3"/>
  <c r="B4583" i="3" s="1"/>
  <c r="I4583" i="3"/>
  <c r="H4583" i="3" s="1"/>
  <c r="A4585" i="3"/>
  <c r="L4585" i="3" l="1"/>
  <c r="F4585" i="3"/>
  <c r="J4585" i="3"/>
  <c r="D4585" i="3"/>
  <c r="K4585" i="3"/>
  <c r="E4585" i="3"/>
  <c r="C4584" i="3"/>
  <c r="B4584" i="3" s="1"/>
  <c r="I4584" i="3"/>
  <c r="H4584" i="3" s="1"/>
  <c r="A4586" i="3"/>
  <c r="L4586" i="3" l="1"/>
  <c r="F4586" i="3"/>
  <c r="J4586" i="3"/>
  <c r="D4586" i="3"/>
  <c r="K4586" i="3"/>
  <c r="E4586" i="3"/>
  <c r="C4585" i="3"/>
  <c r="B4585" i="3" s="1"/>
  <c r="I4585" i="3"/>
  <c r="H4585" i="3" s="1"/>
  <c r="A4587" i="3"/>
  <c r="L4587" i="3" l="1"/>
  <c r="F4587" i="3"/>
  <c r="J4587" i="3"/>
  <c r="D4587" i="3"/>
  <c r="K4587" i="3"/>
  <c r="E4587" i="3"/>
  <c r="I4586" i="3"/>
  <c r="H4586" i="3" s="1"/>
  <c r="C4586" i="3"/>
  <c r="B4586" i="3" s="1"/>
  <c r="A4588" i="3"/>
  <c r="L4588" i="3" l="1"/>
  <c r="F4588" i="3"/>
  <c r="J4588" i="3"/>
  <c r="D4588" i="3"/>
  <c r="K4588" i="3"/>
  <c r="E4588" i="3"/>
  <c r="C4587" i="3"/>
  <c r="B4587" i="3" s="1"/>
  <c r="I4587" i="3"/>
  <c r="H4587" i="3" s="1"/>
  <c r="A4589" i="3"/>
  <c r="L4589" i="3" l="1"/>
  <c r="F4589" i="3"/>
  <c r="J4589" i="3"/>
  <c r="D4589" i="3"/>
  <c r="K4589" i="3"/>
  <c r="E4589" i="3"/>
  <c r="I4588" i="3"/>
  <c r="H4588" i="3" s="1"/>
  <c r="C4588" i="3"/>
  <c r="B4588" i="3" s="1"/>
  <c r="A4590" i="3"/>
  <c r="L4590" i="3" l="1"/>
  <c r="F4590" i="3"/>
  <c r="J4590" i="3"/>
  <c r="D4590" i="3"/>
  <c r="K4590" i="3"/>
  <c r="E4590" i="3"/>
  <c r="I4589" i="3"/>
  <c r="H4589" i="3" s="1"/>
  <c r="A4591" i="3"/>
  <c r="C4589" i="3"/>
  <c r="B4589" i="3" s="1"/>
  <c r="L4591" i="3" l="1"/>
  <c r="F4591" i="3"/>
  <c r="J4591" i="3"/>
  <c r="D4591" i="3"/>
  <c r="K4591" i="3"/>
  <c r="E4591" i="3"/>
  <c r="I4590" i="3"/>
  <c r="H4590" i="3" s="1"/>
  <c r="C4590" i="3"/>
  <c r="B4590" i="3" s="1"/>
  <c r="A4592" i="3"/>
  <c r="L4592" i="3" l="1"/>
  <c r="F4592" i="3"/>
  <c r="J4592" i="3"/>
  <c r="D4592" i="3"/>
  <c r="K4592" i="3"/>
  <c r="E4592" i="3"/>
  <c r="I4591" i="3"/>
  <c r="H4591" i="3" s="1"/>
  <c r="C4591" i="3"/>
  <c r="B4591" i="3" s="1"/>
  <c r="A4593" i="3"/>
  <c r="L4593" i="3" l="1"/>
  <c r="F4593" i="3"/>
  <c r="J4593" i="3"/>
  <c r="D4593" i="3"/>
  <c r="K4593" i="3"/>
  <c r="E4593" i="3"/>
  <c r="C4592" i="3"/>
  <c r="B4592" i="3" s="1"/>
  <c r="I4592" i="3"/>
  <c r="H4592" i="3" s="1"/>
  <c r="A4594" i="3"/>
  <c r="L4594" i="3" l="1"/>
  <c r="F4594" i="3"/>
  <c r="J4594" i="3"/>
  <c r="D4594" i="3"/>
  <c r="K4594" i="3"/>
  <c r="E4594" i="3"/>
  <c r="I4593" i="3"/>
  <c r="H4593" i="3" s="1"/>
  <c r="C4593" i="3"/>
  <c r="B4593" i="3" s="1"/>
  <c r="A4595" i="3"/>
  <c r="L4595" i="3" l="1"/>
  <c r="F4595" i="3"/>
  <c r="J4595" i="3"/>
  <c r="D4595" i="3"/>
  <c r="K4595" i="3"/>
  <c r="E4595" i="3"/>
  <c r="C4594" i="3"/>
  <c r="B4594" i="3" s="1"/>
  <c r="I4594" i="3"/>
  <c r="H4594" i="3" s="1"/>
  <c r="A4596" i="3"/>
  <c r="L4596" i="3" l="1"/>
  <c r="F4596" i="3"/>
  <c r="J4596" i="3"/>
  <c r="D4596" i="3"/>
  <c r="K4596" i="3"/>
  <c r="E4596" i="3"/>
  <c r="I4595" i="3"/>
  <c r="H4595" i="3" s="1"/>
  <c r="C4595" i="3"/>
  <c r="B4595" i="3" s="1"/>
  <c r="A4597" i="3"/>
  <c r="L4597" i="3" l="1"/>
  <c r="F4597" i="3"/>
  <c r="J4597" i="3"/>
  <c r="D4597" i="3"/>
  <c r="K4597" i="3"/>
  <c r="E4597" i="3"/>
  <c r="C4596" i="3"/>
  <c r="B4596" i="3" s="1"/>
  <c r="A4598" i="3"/>
  <c r="I4596" i="3"/>
  <c r="H4596" i="3" s="1"/>
  <c r="L4598" i="3" l="1"/>
  <c r="F4598" i="3"/>
  <c r="J4598" i="3"/>
  <c r="D4598" i="3"/>
  <c r="K4598" i="3"/>
  <c r="E4598" i="3"/>
  <c r="I4597" i="3"/>
  <c r="H4597" i="3" s="1"/>
  <c r="A4599" i="3"/>
  <c r="C4597" i="3"/>
  <c r="B4597" i="3" s="1"/>
  <c r="L4599" i="3" l="1"/>
  <c r="F4599" i="3"/>
  <c r="J4599" i="3"/>
  <c r="D4599" i="3"/>
  <c r="K4599" i="3"/>
  <c r="E4599" i="3"/>
  <c r="I4598" i="3"/>
  <c r="H4598" i="3" s="1"/>
  <c r="C4598" i="3"/>
  <c r="B4598" i="3" s="1"/>
  <c r="A4600" i="3"/>
  <c r="L4600" i="3" l="1"/>
  <c r="F4600" i="3"/>
  <c r="J4600" i="3"/>
  <c r="D4600" i="3"/>
  <c r="K4600" i="3"/>
  <c r="E4600" i="3"/>
  <c r="I4599" i="3"/>
  <c r="H4599" i="3" s="1"/>
  <c r="C4599" i="3"/>
  <c r="B4599" i="3" s="1"/>
  <c r="A4601" i="3"/>
  <c r="L4601" i="3" l="1"/>
  <c r="F4601" i="3"/>
  <c r="J4601" i="3"/>
  <c r="D4601" i="3"/>
  <c r="K4601" i="3"/>
  <c r="E4601" i="3"/>
  <c r="C4600" i="3"/>
  <c r="B4600" i="3" s="1"/>
  <c r="I4600" i="3"/>
  <c r="H4600" i="3" s="1"/>
  <c r="A4602" i="3"/>
  <c r="L4602" i="3" l="1"/>
  <c r="F4602" i="3"/>
  <c r="J4602" i="3"/>
  <c r="D4602" i="3"/>
  <c r="K4602" i="3"/>
  <c r="E4602" i="3"/>
  <c r="I4601" i="3"/>
  <c r="H4601" i="3" s="1"/>
  <c r="C4601" i="3"/>
  <c r="B4601" i="3" s="1"/>
  <c r="A4603" i="3"/>
  <c r="L4603" i="3" l="1"/>
  <c r="F4603" i="3"/>
  <c r="J4603" i="3"/>
  <c r="D4603" i="3"/>
  <c r="K4603" i="3"/>
  <c r="E4603" i="3"/>
  <c r="I4602" i="3"/>
  <c r="H4602" i="3" s="1"/>
  <c r="C4602" i="3"/>
  <c r="B4602" i="3" s="1"/>
  <c r="A4604" i="3"/>
  <c r="L4604" i="3" l="1"/>
  <c r="F4604" i="3"/>
  <c r="J4604" i="3"/>
  <c r="D4604" i="3"/>
  <c r="K4604" i="3"/>
  <c r="E4604" i="3"/>
  <c r="I4603" i="3"/>
  <c r="H4603" i="3" s="1"/>
  <c r="C4603" i="3"/>
  <c r="B4603" i="3" s="1"/>
  <c r="A4605" i="3"/>
  <c r="L4605" i="3" l="1"/>
  <c r="F4605" i="3"/>
  <c r="J4605" i="3"/>
  <c r="D4605" i="3"/>
  <c r="K4605" i="3"/>
  <c r="E4605" i="3"/>
  <c r="I4604" i="3"/>
  <c r="H4604" i="3" s="1"/>
  <c r="C4604" i="3"/>
  <c r="B4604" i="3" s="1"/>
  <c r="A4606" i="3"/>
  <c r="L4606" i="3" l="1"/>
  <c r="F4606" i="3"/>
  <c r="J4606" i="3"/>
  <c r="D4606" i="3"/>
  <c r="K4606" i="3"/>
  <c r="E4606" i="3"/>
  <c r="I4605" i="3"/>
  <c r="H4605" i="3" s="1"/>
  <c r="A4607" i="3"/>
  <c r="C4605" i="3"/>
  <c r="B4605" i="3" s="1"/>
  <c r="L4607" i="3" l="1"/>
  <c r="F4607" i="3"/>
  <c r="J4607" i="3"/>
  <c r="D4607" i="3"/>
  <c r="K4607" i="3"/>
  <c r="E4607" i="3"/>
  <c r="C4606" i="3"/>
  <c r="B4606" i="3" s="1"/>
  <c r="I4606" i="3"/>
  <c r="H4606" i="3" s="1"/>
  <c r="A4608" i="3"/>
  <c r="L4608" i="3" l="1"/>
  <c r="F4608" i="3"/>
  <c r="J4608" i="3"/>
  <c r="D4608" i="3"/>
  <c r="K4608" i="3"/>
  <c r="E4608" i="3"/>
  <c r="C4607" i="3"/>
  <c r="B4607" i="3" s="1"/>
  <c r="I4607" i="3"/>
  <c r="H4607" i="3" s="1"/>
  <c r="A4609" i="3"/>
  <c r="L4609" i="3" l="1"/>
  <c r="F4609" i="3"/>
  <c r="J4609" i="3"/>
  <c r="D4609" i="3"/>
  <c r="K4609" i="3"/>
  <c r="E4609" i="3"/>
  <c r="I4608" i="3"/>
  <c r="H4608" i="3" s="1"/>
  <c r="C4608" i="3"/>
  <c r="B4608" i="3" s="1"/>
  <c r="A4610" i="3"/>
  <c r="L4610" i="3" l="1"/>
  <c r="F4610" i="3"/>
  <c r="J4610" i="3"/>
  <c r="D4610" i="3"/>
  <c r="K4610" i="3"/>
  <c r="E4610" i="3"/>
  <c r="C4609" i="3"/>
  <c r="B4609" i="3" s="1"/>
  <c r="I4609" i="3"/>
  <c r="H4609" i="3" s="1"/>
  <c r="A4611" i="3"/>
  <c r="L4611" i="3" l="1"/>
  <c r="F4611" i="3"/>
  <c r="J4611" i="3"/>
  <c r="D4611" i="3"/>
  <c r="K4611" i="3"/>
  <c r="E4611" i="3"/>
  <c r="I4610" i="3"/>
  <c r="H4610" i="3" s="1"/>
  <c r="C4610" i="3"/>
  <c r="B4610" i="3" s="1"/>
  <c r="A4612" i="3"/>
  <c r="L4612" i="3" l="1"/>
  <c r="F4612" i="3"/>
  <c r="J4612" i="3"/>
  <c r="D4612" i="3"/>
  <c r="K4612" i="3"/>
  <c r="E4612" i="3"/>
  <c r="I4611" i="3"/>
  <c r="H4611" i="3" s="1"/>
  <c r="C4611" i="3"/>
  <c r="B4611" i="3" s="1"/>
  <c r="A4613" i="3"/>
  <c r="L4613" i="3" l="1"/>
  <c r="F4613" i="3"/>
  <c r="J4613" i="3"/>
  <c r="D4613" i="3"/>
  <c r="K4613" i="3"/>
  <c r="E4613" i="3"/>
  <c r="I4612" i="3"/>
  <c r="H4612" i="3" s="1"/>
  <c r="A4614" i="3"/>
  <c r="C4612" i="3"/>
  <c r="B4612" i="3" s="1"/>
  <c r="L4614" i="3" l="1"/>
  <c r="F4614" i="3"/>
  <c r="J4614" i="3"/>
  <c r="D4614" i="3"/>
  <c r="K4614" i="3"/>
  <c r="E4614" i="3"/>
  <c r="C4613" i="3"/>
  <c r="B4613" i="3" s="1"/>
  <c r="I4613" i="3"/>
  <c r="H4613" i="3" s="1"/>
  <c r="A4615" i="3"/>
  <c r="L4615" i="3" l="1"/>
  <c r="F4615" i="3"/>
  <c r="J4615" i="3"/>
  <c r="D4615" i="3"/>
  <c r="K4615" i="3"/>
  <c r="E4615" i="3"/>
  <c r="C4614" i="3"/>
  <c r="B4614" i="3" s="1"/>
  <c r="I4614" i="3"/>
  <c r="H4614" i="3" s="1"/>
  <c r="A4616" i="3"/>
  <c r="L4616" i="3" l="1"/>
  <c r="F4616" i="3"/>
  <c r="J4616" i="3"/>
  <c r="D4616" i="3"/>
  <c r="K4616" i="3"/>
  <c r="E4616" i="3"/>
  <c r="C4615" i="3"/>
  <c r="B4615" i="3" s="1"/>
  <c r="I4615" i="3"/>
  <c r="H4615" i="3" s="1"/>
  <c r="A4617" i="3"/>
  <c r="L4617" i="3" l="1"/>
  <c r="F4617" i="3"/>
  <c r="J4617" i="3"/>
  <c r="D4617" i="3"/>
  <c r="K4617" i="3"/>
  <c r="E4617" i="3"/>
  <c r="C4616" i="3"/>
  <c r="B4616" i="3" s="1"/>
  <c r="I4616" i="3"/>
  <c r="H4616" i="3" s="1"/>
  <c r="A4618" i="3"/>
  <c r="L4618" i="3" l="1"/>
  <c r="F4618" i="3"/>
  <c r="J4618" i="3"/>
  <c r="D4618" i="3"/>
  <c r="K4618" i="3"/>
  <c r="E4618" i="3"/>
  <c r="C4617" i="3"/>
  <c r="B4617" i="3" s="1"/>
  <c r="I4617" i="3"/>
  <c r="H4617" i="3" s="1"/>
  <c r="A4619" i="3"/>
  <c r="L4619" i="3" l="1"/>
  <c r="F4619" i="3"/>
  <c r="J4619" i="3"/>
  <c r="D4619" i="3"/>
  <c r="K4619" i="3"/>
  <c r="E4619" i="3"/>
  <c r="I4618" i="3"/>
  <c r="H4618" i="3" s="1"/>
  <c r="C4618" i="3"/>
  <c r="B4618" i="3" s="1"/>
  <c r="A4620" i="3"/>
  <c r="L4620" i="3" l="1"/>
  <c r="F4620" i="3"/>
  <c r="J4620" i="3"/>
  <c r="D4620" i="3"/>
  <c r="K4620" i="3"/>
  <c r="E4620" i="3"/>
  <c r="C4619" i="3"/>
  <c r="B4619" i="3" s="1"/>
  <c r="I4619" i="3"/>
  <c r="H4619" i="3" s="1"/>
  <c r="A4621" i="3"/>
  <c r="L4621" i="3" l="1"/>
  <c r="F4621" i="3"/>
  <c r="J4621" i="3"/>
  <c r="D4621" i="3"/>
  <c r="K4621" i="3"/>
  <c r="E4621" i="3"/>
  <c r="I4620" i="3"/>
  <c r="H4620" i="3" s="1"/>
  <c r="A4622" i="3"/>
  <c r="C4620" i="3"/>
  <c r="B4620" i="3" s="1"/>
  <c r="L4622" i="3" l="1"/>
  <c r="F4622" i="3"/>
  <c r="J4622" i="3"/>
  <c r="D4622" i="3"/>
  <c r="K4622" i="3"/>
  <c r="E4622" i="3"/>
  <c r="C4621" i="3"/>
  <c r="B4621" i="3" s="1"/>
  <c r="I4621" i="3"/>
  <c r="H4621" i="3" s="1"/>
  <c r="A4623" i="3"/>
  <c r="L4623" i="3" l="1"/>
  <c r="F4623" i="3"/>
  <c r="J4623" i="3"/>
  <c r="D4623" i="3"/>
  <c r="K4623" i="3"/>
  <c r="E4623" i="3"/>
  <c r="C4622" i="3"/>
  <c r="B4622" i="3" s="1"/>
  <c r="I4622" i="3"/>
  <c r="H4622" i="3" s="1"/>
  <c r="A4624" i="3"/>
  <c r="L4624" i="3" l="1"/>
  <c r="F4624" i="3"/>
  <c r="J4624" i="3"/>
  <c r="D4624" i="3"/>
  <c r="K4624" i="3"/>
  <c r="E4624" i="3"/>
  <c r="C4623" i="3"/>
  <c r="B4623" i="3" s="1"/>
  <c r="I4623" i="3"/>
  <c r="H4623" i="3" s="1"/>
  <c r="A4625" i="3"/>
  <c r="L4625" i="3" l="1"/>
  <c r="F4625" i="3"/>
  <c r="J4625" i="3"/>
  <c r="D4625" i="3"/>
  <c r="K4625" i="3"/>
  <c r="E4625" i="3"/>
  <c r="C4624" i="3"/>
  <c r="B4624" i="3" s="1"/>
  <c r="I4624" i="3"/>
  <c r="H4624" i="3" s="1"/>
  <c r="A4626" i="3"/>
  <c r="L4626" i="3" l="1"/>
  <c r="F4626" i="3"/>
  <c r="J4626" i="3"/>
  <c r="D4626" i="3"/>
  <c r="K4626" i="3"/>
  <c r="E4626" i="3"/>
  <c r="I4625" i="3"/>
  <c r="H4625" i="3" s="1"/>
  <c r="A4627" i="3"/>
  <c r="C4625" i="3"/>
  <c r="B4625" i="3" s="1"/>
  <c r="L4627" i="3" l="1"/>
  <c r="F4627" i="3"/>
  <c r="J4627" i="3"/>
  <c r="K4627" i="3"/>
  <c r="D4627" i="3"/>
  <c r="E4627" i="3"/>
  <c r="I4626" i="3"/>
  <c r="H4626" i="3" s="1"/>
  <c r="C4626" i="3"/>
  <c r="B4626" i="3" s="1"/>
  <c r="A4628" i="3"/>
  <c r="L4628" i="3" l="1"/>
  <c r="F4628" i="3"/>
  <c r="J4628" i="3"/>
  <c r="D4628" i="3"/>
  <c r="K4628" i="3"/>
  <c r="E4628" i="3"/>
  <c r="I4627" i="3"/>
  <c r="H4627" i="3" s="1"/>
  <c r="A4629" i="3"/>
  <c r="C4627" i="3"/>
  <c r="B4627" i="3" s="1"/>
  <c r="L4629" i="3" l="1"/>
  <c r="F4629" i="3"/>
  <c r="J4629" i="3"/>
  <c r="D4629" i="3"/>
  <c r="K4629" i="3"/>
  <c r="E4629" i="3"/>
  <c r="I4628" i="3"/>
  <c r="H4628" i="3" s="1"/>
  <c r="C4628" i="3"/>
  <c r="B4628" i="3" s="1"/>
  <c r="A4630" i="3"/>
  <c r="L4630" i="3" l="1"/>
  <c r="F4630" i="3"/>
  <c r="J4630" i="3"/>
  <c r="D4630" i="3"/>
  <c r="K4630" i="3"/>
  <c r="E4630" i="3"/>
  <c r="I4629" i="3"/>
  <c r="H4629" i="3" s="1"/>
  <c r="A4631" i="3"/>
  <c r="C4629" i="3"/>
  <c r="B4629" i="3" s="1"/>
  <c r="L4631" i="3" l="1"/>
  <c r="F4631" i="3"/>
  <c r="J4631" i="3"/>
  <c r="D4631" i="3"/>
  <c r="K4631" i="3"/>
  <c r="E4631" i="3"/>
  <c r="I4630" i="3"/>
  <c r="H4630" i="3" s="1"/>
  <c r="C4630" i="3"/>
  <c r="B4630" i="3" s="1"/>
  <c r="A4632" i="3"/>
  <c r="L4632" i="3" l="1"/>
  <c r="F4632" i="3"/>
  <c r="J4632" i="3"/>
  <c r="D4632" i="3"/>
  <c r="K4632" i="3"/>
  <c r="E4632" i="3"/>
  <c r="C4631" i="3"/>
  <c r="B4631" i="3" s="1"/>
  <c r="I4631" i="3"/>
  <c r="H4631" i="3" s="1"/>
  <c r="A4633" i="3"/>
  <c r="L4633" i="3" l="1"/>
  <c r="F4633" i="3"/>
  <c r="J4633" i="3"/>
  <c r="D4633" i="3"/>
  <c r="K4633" i="3"/>
  <c r="E4633" i="3"/>
  <c r="C4632" i="3"/>
  <c r="B4632" i="3" s="1"/>
  <c r="I4632" i="3"/>
  <c r="H4632" i="3" s="1"/>
  <c r="A4634" i="3"/>
  <c r="L4634" i="3" l="1"/>
  <c r="F4634" i="3"/>
  <c r="J4634" i="3"/>
  <c r="D4634" i="3"/>
  <c r="K4634" i="3"/>
  <c r="E4634" i="3"/>
  <c r="C4633" i="3"/>
  <c r="B4633" i="3" s="1"/>
  <c r="I4633" i="3"/>
  <c r="H4633" i="3" s="1"/>
  <c r="A4635" i="3"/>
  <c r="L4635" i="3" l="1"/>
  <c r="F4635" i="3"/>
  <c r="J4635" i="3"/>
  <c r="D4635" i="3"/>
  <c r="K4635" i="3"/>
  <c r="E4635" i="3"/>
  <c r="C4634" i="3"/>
  <c r="B4634" i="3" s="1"/>
  <c r="I4634" i="3"/>
  <c r="H4634" i="3" s="1"/>
  <c r="A4636" i="3"/>
  <c r="L4636" i="3" l="1"/>
  <c r="F4636" i="3"/>
  <c r="J4636" i="3"/>
  <c r="D4636" i="3"/>
  <c r="K4636" i="3"/>
  <c r="E4636" i="3"/>
  <c r="I4635" i="3"/>
  <c r="H4635" i="3" s="1"/>
  <c r="C4635" i="3"/>
  <c r="B4635" i="3" s="1"/>
  <c r="A4637" i="3"/>
  <c r="L4637" i="3" l="1"/>
  <c r="F4637" i="3"/>
  <c r="J4637" i="3"/>
  <c r="D4637" i="3"/>
  <c r="K4637" i="3"/>
  <c r="E4637" i="3"/>
  <c r="C4636" i="3"/>
  <c r="B4636" i="3" s="1"/>
  <c r="I4636" i="3"/>
  <c r="H4636" i="3" s="1"/>
  <c r="A4638" i="3"/>
  <c r="L4638" i="3" l="1"/>
  <c r="F4638" i="3"/>
  <c r="J4638" i="3"/>
  <c r="D4638" i="3"/>
  <c r="K4638" i="3"/>
  <c r="E4638" i="3"/>
  <c r="I4637" i="3"/>
  <c r="H4637" i="3" s="1"/>
  <c r="A4639" i="3"/>
  <c r="C4637" i="3"/>
  <c r="B4637" i="3" s="1"/>
  <c r="L4639" i="3" l="1"/>
  <c r="F4639" i="3"/>
  <c r="J4639" i="3"/>
  <c r="D4639" i="3"/>
  <c r="K4639" i="3"/>
  <c r="E4639" i="3"/>
  <c r="I4638" i="3"/>
  <c r="H4638" i="3" s="1"/>
  <c r="C4638" i="3"/>
  <c r="B4638" i="3" s="1"/>
  <c r="A4640" i="3"/>
  <c r="L4640" i="3" l="1"/>
  <c r="F4640" i="3"/>
  <c r="J4640" i="3"/>
  <c r="D4640" i="3"/>
  <c r="K4640" i="3"/>
  <c r="E4640" i="3"/>
  <c r="A4641" i="3"/>
  <c r="I4639" i="3"/>
  <c r="H4639" i="3" s="1"/>
  <c r="C4639" i="3"/>
  <c r="B4639" i="3" s="1"/>
  <c r="L4641" i="3" l="1"/>
  <c r="F4641" i="3"/>
  <c r="J4641" i="3"/>
  <c r="D4641" i="3"/>
  <c r="K4641" i="3"/>
  <c r="E4641" i="3"/>
  <c r="C4640" i="3"/>
  <c r="B4640" i="3" s="1"/>
  <c r="I4640" i="3"/>
  <c r="H4640" i="3" s="1"/>
  <c r="A4642" i="3"/>
  <c r="L4642" i="3" l="1"/>
  <c r="F4642" i="3"/>
  <c r="J4642" i="3"/>
  <c r="D4642" i="3"/>
  <c r="K4642" i="3"/>
  <c r="E4642" i="3"/>
  <c r="I4641" i="3"/>
  <c r="H4641" i="3" s="1"/>
  <c r="C4641" i="3"/>
  <c r="B4641" i="3" s="1"/>
  <c r="A4643" i="3"/>
  <c r="L4643" i="3" l="1"/>
  <c r="F4643" i="3"/>
  <c r="J4643" i="3"/>
  <c r="D4643" i="3"/>
  <c r="K4643" i="3"/>
  <c r="E4643" i="3"/>
  <c r="I4642" i="3"/>
  <c r="H4642" i="3" s="1"/>
  <c r="C4642" i="3"/>
  <c r="B4642" i="3" s="1"/>
  <c r="A4644" i="3"/>
  <c r="L4644" i="3" l="1"/>
  <c r="F4644" i="3"/>
  <c r="J4644" i="3"/>
  <c r="D4644" i="3"/>
  <c r="K4644" i="3"/>
  <c r="E4644" i="3"/>
  <c r="I4643" i="3"/>
  <c r="H4643" i="3" s="1"/>
  <c r="A4645" i="3"/>
  <c r="C4643" i="3"/>
  <c r="B4643" i="3" s="1"/>
  <c r="L4645" i="3" l="1"/>
  <c r="F4645" i="3"/>
  <c r="J4645" i="3"/>
  <c r="D4645" i="3"/>
  <c r="K4645" i="3"/>
  <c r="E4645" i="3"/>
  <c r="C4644" i="3"/>
  <c r="B4644" i="3" s="1"/>
  <c r="I4644" i="3"/>
  <c r="H4644" i="3" s="1"/>
  <c r="A4646" i="3"/>
  <c r="L4646" i="3" l="1"/>
  <c r="F4646" i="3"/>
  <c r="J4646" i="3"/>
  <c r="D4646" i="3"/>
  <c r="K4646" i="3"/>
  <c r="E4646" i="3"/>
  <c r="I4645" i="3"/>
  <c r="H4645" i="3" s="1"/>
  <c r="C4645" i="3"/>
  <c r="B4645" i="3" s="1"/>
  <c r="A4647" i="3"/>
  <c r="L4647" i="3" l="1"/>
  <c r="F4647" i="3"/>
  <c r="J4647" i="3"/>
  <c r="D4647" i="3"/>
  <c r="K4647" i="3"/>
  <c r="E4647" i="3"/>
  <c r="I4646" i="3"/>
  <c r="H4646" i="3" s="1"/>
  <c r="C4646" i="3"/>
  <c r="B4646" i="3" s="1"/>
  <c r="A4648" i="3"/>
  <c r="L4648" i="3" l="1"/>
  <c r="F4648" i="3"/>
  <c r="J4648" i="3"/>
  <c r="D4648" i="3"/>
  <c r="K4648" i="3"/>
  <c r="E4648" i="3"/>
  <c r="A4649" i="3"/>
  <c r="I4647" i="3"/>
  <c r="H4647" i="3" s="1"/>
  <c r="C4647" i="3"/>
  <c r="B4647" i="3" s="1"/>
  <c r="L4649" i="3" l="1"/>
  <c r="F4649" i="3"/>
  <c r="J4649" i="3"/>
  <c r="D4649" i="3"/>
  <c r="K4649" i="3"/>
  <c r="E4649" i="3"/>
  <c r="C4648" i="3"/>
  <c r="B4648" i="3" s="1"/>
  <c r="I4648" i="3"/>
  <c r="H4648" i="3" s="1"/>
  <c r="A4650" i="3"/>
  <c r="L4650" i="3" l="1"/>
  <c r="F4650" i="3"/>
  <c r="J4650" i="3"/>
  <c r="D4650" i="3"/>
  <c r="K4650" i="3"/>
  <c r="E4650" i="3"/>
  <c r="C4649" i="3"/>
  <c r="B4649" i="3" s="1"/>
  <c r="I4649" i="3"/>
  <c r="H4649" i="3" s="1"/>
  <c r="A4651" i="3"/>
  <c r="L4651" i="3" l="1"/>
  <c r="F4651" i="3"/>
  <c r="J4651" i="3"/>
  <c r="D4651" i="3"/>
  <c r="K4651" i="3"/>
  <c r="E4651" i="3"/>
  <c r="I4650" i="3"/>
  <c r="H4650" i="3" s="1"/>
  <c r="C4650" i="3"/>
  <c r="B4650" i="3" s="1"/>
  <c r="A4652" i="3"/>
  <c r="L4652" i="3" l="1"/>
  <c r="F4652" i="3"/>
  <c r="J4652" i="3"/>
  <c r="D4652" i="3"/>
  <c r="K4652" i="3"/>
  <c r="E4652" i="3"/>
  <c r="C4651" i="3"/>
  <c r="B4651" i="3" s="1"/>
  <c r="I4651" i="3"/>
  <c r="H4651" i="3" s="1"/>
  <c r="A4653" i="3"/>
  <c r="L4653" i="3" l="1"/>
  <c r="F4653" i="3"/>
  <c r="J4653" i="3"/>
  <c r="D4653" i="3"/>
  <c r="K4653" i="3"/>
  <c r="E4653" i="3"/>
  <c r="I4652" i="3"/>
  <c r="H4652" i="3" s="1"/>
  <c r="C4652" i="3"/>
  <c r="B4652" i="3" s="1"/>
  <c r="A4654" i="3"/>
  <c r="L4654" i="3" l="1"/>
  <c r="F4654" i="3"/>
  <c r="J4654" i="3"/>
  <c r="D4654" i="3"/>
  <c r="K4654" i="3"/>
  <c r="E4654" i="3"/>
  <c r="C4653" i="3"/>
  <c r="B4653" i="3" s="1"/>
  <c r="I4653" i="3"/>
  <c r="H4653" i="3" s="1"/>
  <c r="A4655" i="3"/>
  <c r="L4655" i="3" l="1"/>
  <c r="F4655" i="3"/>
  <c r="J4655" i="3"/>
  <c r="D4655" i="3"/>
  <c r="K4655" i="3"/>
  <c r="E4655" i="3"/>
  <c r="C4654" i="3"/>
  <c r="B4654" i="3" s="1"/>
  <c r="I4654" i="3"/>
  <c r="H4654" i="3" s="1"/>
  <c r="A4656" i="3"/>
  <c r="L4656" i="3" l="1"/>
  <c r="F4656" i="3"/>
  <c r="J4656" i="3"/>
  <c r="D4656" i="3"/>
  <c r="K4656" i="3"/>
  <c r="E4656" i="3"/>
  <c r="I4655" i="3"/>
  <c r="H4655" i="3" s="1"/>
  <c r="C4655" i="3"/>
  <c r="B4655" i="3" s="1"/>
  <c r="A4657" i="3"/>
  <c r="L4657" i="3" l="1"/>
  <c r="F4657" i="3"/>
  <c r="J4657" i="3"/>
  <c r="D4657" i="3"/>
  <c r="K4657" i="3"/>
  <c r="E4657" i="3"/>
  <c r="I4656" i="3"/>
  <c r="H4656" i="3" s="1"/>
  <c r="C4656" i="3"/>
  <c r="B4656" i="3" s="1"/>
  <c r="A4658" i="3"/>
  <c r="L4658" i="3" l="1"/>
  <c r="F4658" i="3"/>
  <c r="J4658" i="3"/>
  <c r="D4658" i="3"/>
  <c r="K4658" i="3"/>
  <c r="E4658" i="3"/>
  <c r="C4657" i="3"/>
  <c r="B4657" i="3" s="1"/>
  <c r="I4657" i="3"/>
  <c r="H4657" i="3" s="1"/>
  <c r="A4659" i="3"/>
  <c r="L4659" i="3" l="1"/>
  <c r="F4659" i="3"/>
  <c r="J4659" i="3"/>
  <c r="D4659" i="3"/>
  <c r="K4659" i="3"/>
  <c r="E4659" i="3"/>
  <c r="C4658" i="3"/>
  <c r="B4658" i="3" s="1"/>
  <c r="I4658" i="3"/>
  <c r="H4658" i="3" s="1"/>
  <c r="A4660" i="3"/>
  <c r="L4660" i="3" l="1"/>
  <c r="F4660" i="3"/>
  <c r="J4660" i="3"/>
  <c r="D4660" i="3"/>
  <c r="K4660" i="3"/>
  <c r="E4660" i="3"/>
  <c r="C4659" i="3"/>
  <c r="B4659" i="3" s="1"/>
  <c r="I4659" i="3"/>
  <c r="H4659" i="3" s="1"/>
  <c r="A4661" i="3"/>
  <c r="L4661" i="3" l="1"/>
  <c r="F4661" i="3"/>
  <c r="J4661" i="3"/>
  <c r="D4661" i="3"/>
  <c r="K4661" i="3"/>
  <c r="E4661" i="3"/>
  <c r="I4660" i="3"/>
  <c r="H4660" i="3" s="1"/>
  <c r="C4660" i="3"/>
  <c r="B4660" i="3" s="1"/>
  <c r="A4662" i="3"/>
  <c r="L4662" i="3" l="1"/>
  <c r="F4662" i="3"/>
  <c r="J4662" i="3"/>
  <c r="D4662" i="3"/>
  <c r="K4662" i="3"/>
  <c r="E4662" i="3"/>
  <c r="I4661" i="3"/>
  <c r="H4661" i="3" s="1"/>
  <c r="C4661" i="3"/>
  <c r="B4661" i="3" s="1"/>
  <c r="A4663" i="3"/>
  <c r="L4663" i="3" l="1"/>
  <c r="F4663" i="3"/>
  <c r="J4663" i="3"/>
  <c r="D4663" i="3"/>
  <c r="K4663" i="3"/>
  <c r="E4663" i="3"/>
  <c r="I4662" i="3"/>
  <c r="H4662" i="3" s="1"/>
  <c r="C4662" i="3"/>
  <c r="B4662" i="3" s="1"/>
  <c r="A4664" i="3"/>
  <c r="L4664" i="3" l="1"/>
  <c r="F4664" i="3"/>
  <c r="J4664" i="3"/>
  <c r="D4664" i="3"/>
  <c r="K4664" i="3"/>
  <c r="E4664" i="3"/>
  <c r="I4663" i="3"/>
  <c r="H4663" i="3" s="1"/>
  <c r="C4663" i="3"/>
  <c r="B4663" i="3" s="1"/>
  <c r="A4665" i="3"/>
  <c r="L4665" i="3" l="1"/>
  <c r="F4665" i="3"/>
  <c r="J4665" i="3"/>
  <c r="D4665" i="3"/>
  <c r="K4665" i="3"/>
  <c r="E4665" i="3"/>
  <c r="I4664" i="3"/>
  <c r="H4664" i="3" s="1"/>
  <c r="C4664" i="3"/>
  <c r="B4664" i="3" s="1"/>
  <c r="A4666" i="3"/>
  <c r="L4666" i="3" l="1"/>
  <c r="F4666" i="3"/>
  <c r="J4666" i="3"/>
  <c r="D4666" i="3"/>
  <c r="K4666" i="3"/>
  <c r="E4666" i="3"/>
  <c r="I4665" i="3"/>
  <c r="H4665" i="3" s="1"/>
  <c r="C4665" i="3"/>
  <c r="B4665" i="3" s="1"/>
  <c r="A4667" i="3"/>
  <c r="L4667" i="3" l="1"/>
  <c r="F4667" i="3"/>
  <c r="J4667" i="3"/>
  <c r="D4667" i="3"/>
  <c r="K4667" i="3"/>
  <c r="E4667" i="3"/>
  <c r="C4666" i="3"/>
  <c r="B4666" i="3" s="1"/>
  <c r="A4668" i="3"/>
  <c r="I4666" i="3"/>
  <c r="H4666" i="3" s="1"/>
  <c r="L4668" i="3" l="1"/>
  <c r="F4668" i="3"/>
  <c r="J4668" i="3"/>
  <c r="D4668" i="3"/>
  <c r="K4668" i="3"/>
  <c r="E4668" i="3"/>
  <c r="C4667" i="3"/>
  <c r="B4667" i="3" s="1"/>
  <c r="A4669" i="3"/>
  <c r="I4667" i="3"/>
  <c r="H4667" i="3" s="1"/>
  <c r="L4669" i="3" l="1"/>
  <c r="F4669" i="3"/>
  <c r="J4669" i="3"/>
  <c r="D4669" i="3"/>
  <c r="K4669" i="3"/>
  <c r="E4669" i="3"/>
  <c r="C4668" i="3"/>
  <c r="B4668" i="3" s="1"/>
  <c r="A4670" i="3"/>
  <c r="I4668" i="3"/>
  <c r="H4668" i="3" s="1"/>
  <c r="L4670" i="3" l="1"/>
  <c r="F4670" i="3"/>
  <c r="J4670" i="3"/>
  <c r="D4670" i="3"/>
  <c r="K4670" i="3"/>
  <c r="E4670" i="3"/>
  <c r="C4669" i="3"/>
  <c r="B4669" i="3" s="1"/>
  <c r="A4671" i="3"/>
  <c r="I4669" i="3"/>
  <c r="H4669" i="3" s="1"/>
  <c r="L4671" i="3" l="1"/>
  <c r="F4671" i="3"/>
  <c r="J4671" i="3"/>
  <c r="D4671" i="3"/>
  <c r="K4671" i="3"/>
  <c r="E4671" i="3"/>
  <c r="A4672" i="3"/>
  <c r="I4670" i="3"/>
  <c r="H4670" i="3" s="1"/>
  <c r="C4670" i="3"/>
  <c r="B4670" i="3" s="1"/>
  <c r="L4672" i="3" l="1"/>
  <c r="F4672" i="3"/>
  <c r="J4672" i="3"/>
  <c r="D4672" i="3"/>
  <c r="K4672" i="3"/>
  <c r="E4672" i="3"/>
  <c r="C4671" i="3"/>
  <c r="B4671" i="3" s="1"/>
  <c r="I4671" i="3"/>
  <c r="H4671" i="3" s="1"/>
  <c r="A4673" i="3"/>
  <c r="L4673" i="3" l="1"/>
  <c r="F4673" i="3"/>
  <c r="J4673" i="3"/>
  <c r="D4673" i="3"/>
  <c r="K4673" i="3"/>
  <c r="E4673" i="3"/>
  <c r="C4672" i="3"/>
  <c r="B4672" i="3" s="1"/>
  <c r="A4674" i="3"/>
  <c r="I4672" i="3"/>
  <c r="H4672" i="3" s="1"/>
  <c r="L4674" i="3" l="1"/>
  <c r="F4674" i="3"/>
  <c r="J4674" i="3"/>
  <c r="D4674" i="3"/>
  <c r="K4674" i="3"/>
  <c r="E4674" i="3"/>
  <c r="I4673" i="3"/>
  <c r="H4673" i="3" s="1"/>
  <c r="C4673" i="3"/>
  <c r="B4673" i="3" s="1"/>
  <c r="A4675" i="3"/>
  <c r="L4675" i="3" l="1"/>
  <c r="F4675" i="3"/>
  <c r="J4675" i="3"/>
  <c r="D4675" i="3"/>
  <c r="K4675" i="3"/>
  <c r="E4675" i="3"/>
  <c r="I4674" i="3"/>
  <c r="H4674" i="3" s="1"/>
  <c r="A4676" i="3"/>
  <c r="C4674" i="3"/>
  <c r="B4674" i="3" s="1"/>
  <c r="L4676" i="3" l="1"/>
  <c r="F4676" i="3"/>
  <c r="J4676" i="3"/>
  <c r="D4676" i="3"/>
  <c r="K4676" i="3"/>
  <c r="E4676" i="3"/>
  <c r="I4675" i="3"/>
  <c r="H4675" i="3" s="1"/>
  <c r="C4675" i="3"/>
  <c r="B4675" i="3" s="1"/>
  <c r="A4677" i="3"/>
  <c r="L4677" i="3" l="1"/>
  <c r="F4677" i="3"/>
  <c r="J4677" i="3"/>
  <c r="D4677" i="3"/>
  <c r="K4677" i="3"/>
  <c r="E4677" i="3"/>
  <c r="I4676" i="3"/>
  <c r="H4676" i="3" s="1"/>
  <c r="C4676" i="3"/>
  <c r="B4676" i="3" s="1"/>
  <c r="A4678" i="3"/>
  <c r="L4678" i="3" l="1"/>
  <c r="F4678" i="3"/>
  <c r="J4678" i="3"/>
  <c r="D4678" i="3"/>
  <c r="K4678" i="3"/>
  <c r="E4678" i="3"/>
  <c r="I4677" i="3"/>
  <c r="H4677" i="3" s="1"/>
  <c r="A4679" i="3"/>
  <c r="C4677" i="3"/>
  <c r="B4677" i="3" s="1"/>
  <c r="L4679" i="3" l="1"/>
  <c r="F4679" i="3"/>
  <c r="J4679" i="3"/>
  <c r="D4679" i="3"/>
  <c r="K4679" i="3"/>
  <c r="E4679" i="3"/>
  <c r="I4678" i="3"/>
  <c r="H4678" i="3" s="1"/>
  <c r="C4678" i="3"/>
  <c r="B4678" i="3" s="1"/>
  <c r="A4680" i="3"/>
  <c r="L4680" i="3" l="1"/>
  <c r="F4680" i="3"/>
  <c r="J4680" i="3"/>
  <c r="K4680" i="3"/>
  <c r="D4680" i="3"/>
  <c r="E4680" i="3"/>
  <c r="I4679" i="3"/>
  <c r="H4679" i="3" s="1"/>
  <c r="C4679" i="3"/>
  <c r="B4679" i="3" s="1"/>
  <c r="A4681" i="3"/>
  <c r="L4681" i="3" l="1"/>
  <c r="F4681" i="3"/>
  <c r="J4681" i="3"/>
  <c r="D4681" i="3"/>
  <c r="K4681" i="3"/>
  <c r="E4681" i="3"/>
  <c r="I4680" i="3"/>
  <c r="H4680" i="3" s="1"/>
  <c r="C4680" i="3"/>
  <c r="B4680" i="3" s="1"/>
  <c r="A4682" i="3"/>
  <c r="L4682" i="3" l="1"/>
  <c r="F4682" i="3"/>
  <c r="J4682" i="3"/>
  <c r="D4682" i="3"/>
  <c r="K4682" i="3"/>
  <c r="E4682" i="3"/>
  <c r="I4681" i="3"/>
  <c r="H4681" i="3" s="1"/>
  <c r="A4683" i="3"/>
  <c r="C4681" i="3"/>
  <c r="B4681" i="3" s="1"/>
  <c r="L4683" i="3" l="1"/>
  <c r="F4683" i="3"/>
  <c r="J4683" i="3"/>
  <c r="D4683" i="3"/>
  <c r="K4683" i="3"/>
  <c r="E4683" i="3"/>
  <c r="C4682" i="3"/>
  <c r="B4682" i="3" s="1"/>
  <c r="I4682" i="3"/>
  <c r="H4682" i="3" s="1"/>
  <c r="A4684" i="3"/>
  <c r="L4684" i="3" l="1"/>
  <c r="F4684" i="3"/>
  <c r="J4684" i="3"/>
  <c r="D4684" i="3"/>
  <c r="K4684" i="3"/>
  <c r="E4684" i="3"/>
  <c r="I4683" i="3"/>
  <c r="H4683" i="3" s="1"/>
  <c r="C4683" i="3"/>
  <c r="B4683" i="3" s="1"/>
  <c r="A4685" i="3"/>
  <c r="L4685" i="3" l="1"/>
  <c r="F4685" i="3"/>
  <c r="J4685" i="3"/>
  <c r="D4685" i="3"/>
  <c r="K4685" i="3"/>
  <c r="E4685" i="3"/>
  <c r="C4684" i="3"/>
  <c r="B4684" i="3" s="1"/>
  <c r="I4684" i="3"/>
  <c r="H4684" i="3" s="1"/>
  <c r="A4686" i="3"/>
  <c r="L4686" i="3" l="1"/>
  <c r="F4686" i="3"/>
  <c r="J4686" i="3"/>
  <c r="D4686" i="3"/>
  <c r="K4686" i="3"/>
  <c r="E4686" i="3"/>
  <c r="C4685" i="3"/>
  <c r="B4685" i="3" s="1"/>
  <c r="I4685" i="3"/>
  <c r="H4685" i="3" s="1"/>
  <c r="A4687" i="3"/>
  <c r="L4687" i="3" l="1"/>
  <c r="F4687" i="3"/>
  <c r="J4687" i="3"/>
  <c r="D4687" i="3"/>
  <c r="K4687" i="3"/>
  <c r="E4687" i="3"/>
  <c r="I4686" i="3"/>
  <c r="H4686" i="3" s="1"/>
  <c r="C4686" i="3"/>
  <c r="B4686" i="3" s="1"/>
  <c r="A4688" i="3"/>
  <c r="L4688" i="3" l="1"/>
  <c r="F4688" i="3"/>
  <c r="J4688" i="3"/>
  <c r="D4688" i="3"/>
  <c r="K4688" i="3"/>
  <c r="E4688" i="3"/>
  <c r="I4687" i="3"/>
  <c r="H4687" i="3" s="1"/>
  <c r="A4689" i="3"/>
  <c r="C4687" i="3"/>
  <c r="B4687" i="3" s="1"/>
  <c r="L4689" i="3" l="1"/>
  <c r="F4689" i="3"/>
  <c r="J4689" i="3"/>
  <c r="D4689" i="3"/>
  <c r="K4689" i="3"/>
  <c r="E4689" i="3"/>
  <c r="I4688" i="3"/>
  <c r="H4688" i="3" s="1"/>
  <c r="C4688" i="3"/>
  <c r="B4688" i="3" s="1"/>
  <c r="A4690" i="3"/>
  <c r="L4690" i="3" l="1"/>
  <c r="F4690" i="3"/>
  <c r="J4690" i="3"/>
  <c r="D4690" i="3"/>
  <c r="K4690" i="3"/>
  <c r="E4690" i="3"/>
  <c r="I4689" i="3"/>
  <c r="H4689" i="3" s="1"/>
  <c r="A4691" i="3"/>
  <c r="C4689" i="3"/>
  <c r="B4689" i="3" s="1"/>
  <c r="L4691" i="3" l="1"/>
  <c r="F4691" i="3"/>
  <c r="J4691" i="3"/>
  <c r="D4691" i="3"/>
  <c r="K4691" i="3"/>
  <c r="E4691" i="3"/>
  <c r="I4690" i="3"/>
  <c r="H4690" i="3" s="1"/>
  <c r="C4690" i="3"/>
  <c r="B4690" i="3" s="1"/>
  <c r="A4692" i="3"/>
  <c r="L4692" i="3" l="1"/>
  <c r="F4692" i="3"/>
  <c r="J4692" i="3"/>
  <c r="D4692" i="3"/>
  <c r="K4692" i="3"/>
  <c r="E4692" i="3"/>
  <c r="A4693" i="3"/>
  <c r="I4691" i="3"/>
  <c r="H4691" i="3" s="1"/>
  <c r="C4691" i="3"/>
  <c r="B4691" i="3" s="1"/>
  <c r="L4693" i="3" l="1"/>
  <c r="F4693" i="3"/>
  <c r="J4693" i="3"/>
  <c r="D4693" i="3"/>
  <c r="K4693" i="3"/>
  <c r="E4693" i="3"/>
  <c r="C4692" i="3"/>
  <c r="B4692" i="3" s="1"/>
  <c r="I4692" i="3"/>
  <c r="H4692" i="3" s="1"/>
  <c r="A4694" i="3"/>
  <c r="L4694" i="3" l="1"/>
  <c r="F4694" i="3"/>
  <c r="J4694" i="3"/>
  <c r="D4694" i="3"/>
  <c r="K4694" i="3"/>
  <c r="E4694" i="3"/>
  <c r="C4693" i="3"/>
  <c r="B4693" i="3" s="1"/>
  <c r="I4693" i="3"/>
  <c r="H4693" i="3" s="1"/>
  <c r="A4695" i="3"/>
  <c r="L4695" i="3" l="1"/>
  <c r="F4695" i="3"/>
  <c r="J4695" i="3"/>
  <c r="D4695" i="3"/>
  <c r="K4695" i="3"/>
  <c r="E4695" i="3"/>
  <c r="C4694" i="3"/>
  <c r="B4694" i="3" s="1"/>
  <c r="I4694" i="3"/>
  <c r="H4694" i="3" s="1"/>
  <c r="A4696" i="3"/>
  <c r="L4696" i="3" l="1"/>
  <c r="F4696" i="3"/>
  <c r="J4696" i="3"/>
  <c r="D4696" i="3"/>
  <c r="K4696" i="3"/>
  <c r="E4696" i="3"/>
  <c r="I4695" i="3"/>
  <c r="H4695" i="3" s="1"/>
  <c r="C4695" i="3"/>
  <c r="B4695" i="3" s="1"/>
  <c r="A4697" i="3"/>
  <c r="L4697" i="3" l="1"/>
  <c r="F4697" i="3"/>
  <c r="J4697" i="3"/>
  <c r="D4697" i="3"/>
  <c r="K4697" i="3"/>
  <c r="E4697" i="3"/>
  <c r="I4696" i="3"/>
  <c r="H4696" i="3" s="1"/>
  <c r="C4696" i="3"/>
  <c r="B4696" i="3" s="1"/>
  <c r="A4698" i="3"/>
  <c r="L4698" i="3" l="1"/>
  <c r="F4698" i="3"/>
  <c r="J4698" i="3"/>
  <c r="D4698" i="3"/>
  <c r="K4698" i="3"/>
  <c r="E4698" i="3"/>
  <c r="I4697" i="3"/>
  <c r="H4697" i="3" s="1"/>
  <c r="C4697" i="3"/>
  <c r="B4697" i="3" s="1"/>
  <c r="A4699" i="3"/>
  <c r="L4699" i="3" l="1"/>
  <c r="F4699" i="3"/>
  <c r="J4699" i="3"/>
  <c r="D4699" i="3"/>
  <c r="K4699" i="3"/>
  <c r="E4699" i="3"/>
  <c r="I4698" i="3"/>
  <c r="H4698" i="3" s="1"/>
  <c r="C4698" i="3"/>
  <c r="B4698" i="3" s="1"/>
  <c r="A4700" i="3"/>
  <c r="L4700" i="3" l="1"/>
  <c r="F4700" i="3"/>
  <c r="J4700" i="3"/>
  <c r="D4700" i="3"/>
  <c r="K4700" i="3"/>
  <c r="E4700" i="3"/>
  <c r="C4699" i="3"/>
  <c r="B4699" i="3" s="1"/>
  <c r="I4699" i="3"/>
  <c r="H4699" i="3" s="1"/>
  <c r="A4701" i="3"/>
  <c r="L4701" i="3" l="1"/>
  <c r="F4701" i="3"/>
  <c r="J4701" i="3"/>
  <c r="D4701" i="3"/>
  <c r="K4701" i="3"/>
  <c r="E4701" i="3"/>
  <c r="C4700" i="3"/>
  <c r="B4700" i="3" s="1"/>
  <c r="I4700" i="3"/>
  <c r="H4700" i="3" s="1"/>
  <c r="A4702" i="3"/>
  <c r="L4702" i="3" l="1"/>
  <c r="F4702" i="3"/>
  <c r="J4702" i="3"/>
  <c r="D4702" i="3"/>
  <c r="K4702" i="3"/>
  <c r="E4702" i="3"/>
  <c r="C4701" i="3"/>
  <c r="B4701" i="3" s="1"/>
  <c r="I4701" i="3"/>
  <c r="H4701" i="3" s="1"/>
  <c r="A4703" i="3"/>
  <c r="L4703" i="3" l="1"/>
  <c r="F4703" i="3"/>
  <c r="J4703" i="3"/>
  <c r="D4703" i="3"/>
  <c r="K4703" i="3"/>
  <c r="E4703" i="3"/>
  <c r="C4702" i="3"/>
  <c r="B4702" i="3" s="1"/>
  <c r="I4702" i="3"/>
  <c r="H4702" i="3" s="1"/>
  <c r="A4704" i="3"/>
  <c r="L4704" i="3" l="1"/>
  <c r="F4704" i="3"/>
  <c r="J4704" i="3"/>
  <c r="D4704" i="3"/>
  <c r="K4704" i="3"/>
  <c r="E4704" i="3"/>
  <c r="C4703" i="3"/>
  <c r="B4703" i="3" s="1"/>
  <c r="I4703" i="3"/>
  <c r="H4703" i="3" s="1"/>
  <c r="A4705" i="3"/>
  <c r="L4705" i="3" l="1"/>
  <c r="F4705" i="3"/>
  <c r="J4705" i="3"/>
  <c r="D4705" i="3"/>
  <c r="K4705" i="3"/>
  <c r="E4705" i="3"/>
  <c r="C4704" i="3"/>
  <c r="B4704" i="3" s="1"/>
  <c r="I4704" i="3"/>
  <c r="H4704" i="3" s="1"/>
  <c r="A4706" i="3"/>
  <c r="L4706" i="3" l="1"/>
  <c r="F4706" i="3"/>
  <c r="J4706" i="3"/>
  <c r="D4706" i="3"/>
  <c r="K4706" i="3"/>
  <c r="E4706" i="3"/>
  <c r="C4705" i="3"/>
  <c r="B4705" i="3" s="1"/>
  <c r="I4705" i="3"/>
  <c r="H4705" i="3" s="1"/>
  <c r="A4707" i="3"/>
  <c r="L4707" i="3" l="1"/>
  <c r="F4707" i="3"/>
  <c r="J4707" i="3"/>
  <c r="D4707" i="3"/>
  <c r="K4707" i="3"/>
  <c r="E4707" i="3"/>
  <c r="C4706" i="3"/>
  <c r="B4706" i="3" s="1"/>
  <c r="I4706" i="3"/>
  <c r="H4706" i="3" s="1"/>
  <c r="A4708" i="3"/>
  <c r="L4708" i="3" l="1"/>
  <c r="F4708" i="3"/>
  <c r="J4708" i="3"/>
  <c r="D4708" i="3"/>
  <c r="K4708" i="3"/>
  <c r="E4708" i="3"/>
  <c r="I4707" i="3"/>
  <c r="H4707" i="3" s="1"/>
  <c r="C4707" i="3"/>
  <c r="B4707" i="3" s="1"/>
  <c r="A4709" i="3"/>
  <c r="L4709" i="3" l="1"/>
  <c r="F4709" i="3"/>
  <c r="J4709" i="3"/>
  <c r="D4709" i="3"/>
  <c r="K4709" i="3"/>
  <c r="E4709" i="3"/>
  <c r="C4708" i="3"/>
  <c r="B4708" i="3" s="1"/>
  <c r="I4708" i="3"/>
  <c r="H4708" i="3" s="1"/>
  <c r="A4710" i="3"/>
  <c r="L4710" i="3" l="1"/>
  <c r="F4710" i="3"/>
  <c r="J4710" i="3"/>
  <c r="D4710" i="3"/>
  <c r="K4710" i="3"/>
  <c r="E4710" i="3"/>
  <c r="I4709" i="3"/>
  <c r="H4709" i="3" s="1"/>
  <c r="A4711" i="3"/>
  <c r="C4709" i="3"/>
  <c r="B4709" i="3" s="1"/>
  <c r="L4711" i="3" l="1"/>
  <c r="F4711" i="3"/>
  <c r="J4711" i="3"/>
  <c r="D4711" i="3"/>
  <c r="K4711" i="3"/>
  <c r="E4711" i="3"/>
  <c r="C4710" i="3"/>
  <c r="B4710" i="3" s="1"/>
  <c r="I4710" i="3"/>
  <c r="H4710" i="3" s="1"/>
  <c r="A4712" i="3"/>
  <c r="L4712" i="3" l="1"/>
  <c r="F4712" i="3"/>
  <c r="J4712" i="3"/>
  <c r="D4712" i="3"/>
  <c r="K4712" i="3"/>
  <c r="E4712" i="3"/>
  <c r="I4711" i="3"/>
  <c r="H4711" i="3" s="1"/>
  <c r="C4711" i="3"/>
  <c r="B4711" i="3" s="1"/>
  <c r="A4713" i="3"/>
  <c r="L4713" i="3" l="1"/>
  <c r="F4713" i="3"/>
  <c r="J4713" i="3"/>
  <c r="D4713" i="3"/>
  <c r="K4713" i="3"/>
  <c r="E4713" i="3"/>
  <c r="I4712" i="3"/>
  <c r="H4712" i="3" s="1"/>
  <c r="C4712" i="3"/>
  <c r="B4712" i="3" s="1"/>
  <c r="A4714" i="3"/>
  <c r="L4714" i="3" l="1"/>
  <c r="F4714" i="3"/>
  <c r="J4714" i="3"/>
  <c r="D4714" i="3"/>
  <c r="K4714" i="3"/>
  <c r="E4714" i="3"/>
  <c r="I4713" i="3"/>
  <c r="H4713" i="3" s="1"/>
  <c r="C4713" i="3"/>
  <c r="B4713" i="3" s="1"/>
  <c r="A4715" i="3"/>
  <c r="L4715" i="3" l="1"/>
  <c r="F4715" i="3"/>
  <c r="J4715" i="3"/>
  <c r="D4715" i="3"/>
  <c r="K4715" i="3"/>
  <c r="E4715" i="3"/>
  <c r="I4714" i="3"/>
  <c r="H4714" i="3" s="1"/>
  <c r="A4716" i="3"/>
  <c r="C4714" i="3"/>
  <c r="B4714" i="3" s="1"/>
  <c r="L4716" i="3" l="1"/>
  <c r="F4716" i="3"/>
  <c r="J4716" i="3"/>
  <c r="D4716" i="3"/>
  <c r="K4716" i="3"/>
  <c r="E4716" i="3"/>
  <c r="C4715" i="3"/>
  <c r="B4715" i="3" s="1"/>
  <c r="I4715" i="3"/>
  <c r="H4715" i="3" s="1"/>
  <c r="A4717" i="3"/>
  <c r="L4717" i="3" l="1"/>
  <c r="F4717" i="3"/>
  <c r="J4717" i="3"/>
  <c r="D4717" i="3"/>
  <c r="K4717" i="3"/>
  <c r="E4717" i="3"/>
  <c r="I4716" i="3"/>
  <c r="H4716" i="3" s="1"/>
  <c r="A4718" i="3"/>
  <c r="C4716" i="3"/>
  <c r="B4716" i="3" s="1"/>
  <c r="L4718" i="3" l="1"/>
  <c r="F4718" i="3"/>
  <c r="J4718" i="3"/>
  <c r="D4718" i="3"/>
  <c r="K4718" i="3"/>
  <c r="E4718" i="3"/>
  <c r="I4717" i="3"/>
  <c r="H4717" i="3" s="1"/>
  <c r="C4717" i="3"/>
  <c r="B4717" i="3" s="1"/>
  <c r="A4719" i="3"/>
  <c r="L4719" i="3" l="1"/>
  <c r="F4719" i="3"/>
  <c r="J4719" i="3"/>
  <c r="D4719" i="3"/>
  <c r="K4719" i="3"/>
  <c r="E4719" i="3"/>
  <c r="C4718" i="3"/>
  <c r="B4718" i="3" s="1"/>
  <c r="I4718" i="3"/>
  <c r="H4718" i="3" s="1"/>
  <c r="A4720" i="3"/>
  <c r="L4720" i="3" l="1"/>
  <c r="F4720" i="3"/>
  <c r="J4720" i="3"/>
  <c r="D4720" i="3"/>
  <c r="K4720" i="3"/>
  <c r="E4720" i="3"/>
  <c r="I4719" i="3"/>
  <c r="H4719" i="3" s="1"/>
  <c r="C4719" i="3"/>
  <c r="B4719" i="3" s="1"/>
  <c r="A4721" i="3"/>
  <c r="L4721" i="3" l="1"/>
  <c r="F4721" i="3"/>
  <c r="J4721" i="3"/>
  <c r="D4721" i="3"/>
  <c r="K4721" i="3"/>
  <c r="E4721" i="3"/>
  <c r="C4720" i="3"/>
  <c r="B4720" i="3" s="1"/>
  <c r="I4720" i="3"/>
  <c r="H4720" i="3" s="1"/>
  <c r="A4722" i="3"/>
  <c r="L4722" i="3" l="1"/>
  <c r="F4722" i="3"/>
  <c r="J4722" i="3"/>
  <c r="D4722" i="3"/>
  <c r="K4722" i="3"/>
  <c r="E4722" i="3"/>
  <c r="I4721" i="3"/>
  <c r="H4721" i="3" s="1"/>
  <c r="A4723" i="3"/>
  <c r="C4721" i="3"/>
  <c r="B4721" i="3" s="1"/>
  <c r="L4723" i="3" l="1"/>
  <c r="F4723" i="3"/>
  <c r="J4723" i="3"/>
  <c r="D4723" i="3"/>
  <c r="K4723" i="3"/>
  <c r="E4723" i="3"/>
  <c r="I4722" i="3"/>
  <c r="H4722" i="3" s="1"/>
  <c r="C4722" i="3"/>
  <c r="B4722" i="3" s="1"/>
  <c r="A4724" i="3"/>
  <c r="L4724" i="3" l="1"/>
  <c r="F4724" i="3"/>
  <c r="J4724" i="3"/>
  <c r="D4724" i="3"/>
  <c r="K4724" i="3"/>
  <c r="E4724" i="3"/>
  <c r="I4723" i="3"/>
  <c r="H4723" i="3" s="1"/>
  <c r="C4723" i="3"/>
  <c r="B4723" i="3" s="1"/>
  <c r="A4725" i="3"/>
  <c r="L4725" i="3" l="1"/>
  <c r="F4725" i="3"/>
  <c r="J4725" i="3"/>
  <c r="D4725" i="3"/>
  <c r="K4725" i="3"/>
  <c r="E4725" i="3"/>
  <c r="C4724" i="3"/>
  <c r="B4724" i="3" s="1"/>
  <c r="I4724" i="3"/>
  <c r="H4724" i="3" s="1"/>
  <c r="A4726" i="3"/>
  <c r="L4726" i="3" l="1"/>
  <c r="F4726" i="3"/>
  <c r="J4726" i="3"/>
  <c r="D4726" i="3"/>
  <c r="K4726" i="3"/>
  <c r="E4726" i="3"/>
  <c r="I4725" i="3"/>
  <c r="H4725" i="3" s="1"/>
  <c r="C4725" i="3"/>
  <c r="B4725" i="3" s="1"/>
  <c r="A4727" i="3"/>
  <c r="L4727" i="3" l="1"/>
  <c r="F4727" i="3"/>
  <c r="J4727" i="3"/>
  <c r="D4727" i="3"/>
  <c r="K4727" i="3"/>
  <c r="E4727" i="3"/>
  <c r="C4726" i="3"/>
  <c r="B4726" i="3" s="1"/>
  <c r="I4726" i="3"/>
  <c r="H4726" i="3" s="1"/>
  <c r="A4728" i="3"/>
  <c r="L4728" i="3" l="1"/>
  <c r="F4728" i="3"/>
  <c r="J4728" i="3"/>
  <c r="D4728" i="3"/>
  <c r="K4728" i="3"/>
  <c r="E4728" i="3"/>
  <c r="C4727" i="3"/>
  <c r="B4727" i="3" s="1"/>
  <c r="I4727" i="3"/>
  <c r="H4727" i="3" s="1"/>
  <c r="A4729" i="3"/>
  <c r="L4729" i="3" l="1"/>
  <c r="F4729" i="3"/>
  <c r="J4729" i="3"/>
  <c r="D4729" i="3"/>
  <c r="K4729" i="3"/>
  <c r="E4729" i="3"/>
  <c r="C4728" i="3"/>
  <c r="B4728" i="3" s="1"/>
  <c r="I4728" i="3"/>
  <c r="H4728" i="3" s="1"/>
  <c r="A4730" i="3"/>
  <c r="L4730" i="3" l="1"/>
  <c r="F4730" i="3"/>
  <c r="J4730" i="3"/>
  <c r="D4730" i="3"/>
  <c r="K4730" i="3"/>
  <c r="E4730" i="3"/>
  <c r="I4729" i="3"/>
  <c r="H4729" i="3" s="1"/>
  <c r="C4729" i="3"/>
  <c r="B4729" i="3" s="1"/>
  <c r="A4731" i="3"/>
  <c r="L4731" i="3" l="1"/>
  <c r="F4731" i="3"/>
  <c r="J4731" i="3"/>
  <c r="K4731" i="3"/>
  <c r="D4731" i="3"/>
  <c r="E4731" i="3"/>
  <c r="C4730" i="3"/>
  <c r="B4730" i="3" s="1"/>
  <c r="A4732" i="3"/>
  <c r="I4730" i="3"/>
  <c r="H4730" i="3" s="1"/>
  <c r="L4732" i="3" l="1"/>
  <c r="F4732" i="3"/>
  <c r="J4732" i="3"/>
  <c r="D4732" i="3"/>
  <c r="K4732" i="3"/>
  <c r="E4732" i="3"/>
  <c r="I4731" i="3"/>
  <c r="H4731" i="3" s="1"/>
  <c r="C4731" i="3"/>
  <c r="B4731" i="3" s="1"/>
  <c r="A4733" i="3"/>
  <c r="L4733" i="3" l="1"/>
  <c r="F4733" i="3"/>
  <c r="J4733" i="3"/>
  <c r="D4733" i="3"/>
  <c r="K4733" i="3"/>
  <c r="E4733" i="3"/>
  <c r="C4732" i="3"/>
  <c r="B4732" i="3" s="1"/>
  <c r="I4732" i="3"/>
  <c r="H4732" i="3" s="1"/>
  <c r="A4734" i="3"/>
  <c r="L4734" i="3" l="1"/>
  <c r="F4734" i="3"/>
  <c r="J4734" i="3"/>
  <c r="D4734" i="3"/>
  <c r="K4734" i="3"/>
  <c r="E4734" i="3"/>
  <c r="C4733" i="3"/>
  <c r="B4733" i="3" s="1"/>
  <c r="A4735" i="3"/>
  <c r="I4733" i="3"/>
  <c r="H4733" i="3" s="1"/>
  <c r="L4735" i="3" l="1"/>
  <c r="F4735" i="3"/>
  <c r="J4735" i="3"/>
  <c r="D4735" i="3"/>
  <c r="K4735" i="3"/>
  <c r="E4735" i="3"/>
  <c r="I4734" i="3"/>
  <c r="H4734" i="3" s="1"/>
  <c r="C4734" i="3"/>
  <c r="B4734" i="3" s="1"/>
  <c r="A4736" i="3"/>
  <c r="L4736" i="3" l="1"/>
  <c r="F4736" i="3"/>
  <c r="J4736" i="3"/>
  <c r="D4736" i="3"/>
  <c r="K4736" i="3"/>
  <c r="E4736" i="3"/>
  <c r="C4735" i="3"/>
  <c r="B4735" i="3" s="1"/>
  <c r="A4737" i="3"/>
  <c r="I4735" i="3"/>
  <c r="H4735" i="3" s="1"/>
  <c r="L4737" i="3" l="1"/>
  <c r="F4737" i="3"/>
  <c r="J4737" i="3"/>
  <c r="D4737" i="3"/>
  <c r="K4737" i="3"/>
  <c r="E4737" i="3"/>
  <c r="I4736" i="3"/>
  <c r="H4736" i="3" s="1"/>
  <c r="C4736" i="3"/>
  <c r="B4736" i="3" s="1"/>
  <c r="A4738" i="3"/>
  <c r="L4738" i="3" l="1"/>
  <c r="F4738" i="3"/>
  <c r="J4738" i="3"/>
  <c r="D4738" i="3"/>
  <c r="K4738" i="3"/>
  <c r="E4738" i="3"/>
  <c r="I4737" i="3"/>
  <c r="H4737" i="3" s="1"/>
  <c r="C4737" i="3"/>
  <c r="B4737" i="3" s="1"/>
  <c r="A4739" i="3"/>
  <c r="L4739" i="3" l="1"/>
  <c r="F4739" i="3"/>
  <c r="J4739" i="3"/>
  <c r="D4739" i="3"/>
  <c r="K4739" i="3"/>
  <c r="E4739" i="3"/>
  <c r="A4740" i="3"/>
  <c r="I4738" i="3"/>
  <c r="H4738" i="3" s="1"/>
  <c r="C4738" i="3"/>
  <c r="B4738" i="3" s="1"/>
  <c r="L4740" i="3" l="1"/>
  <c r="F4740" i="3"/>
  <c r="J4740" i="3"/>
  <c r="D4740" i="3"/>
  <c r="K4740" i="3"/>
  <c r="E4740" i="3"/>
  <c r="C4739" i="3"/>
  <c r="B4739" i="3" s="1"/>
  <c r="I4739" i="3"/>
  <c r="H4739" i="3" s="1"/>
  <c r="A4741" i="3"/>
  <c r="L4741" i="3" l="1"/>
  <c r="F4741" i="3"/>
  <c r="J4741" i="3"/>
  <c r="D4741" i="3"/>
  <c r="K4741" i="3"/>
  <c r="E4741" i="3"/>
  <c r="I4740" i="3"/>
  <c r="H4740" i="3" s="1"/>
  <c r="A4742" i="3"/>
  <c r="C4740" i="3"/>
  <c r="B4740" i="3" s="1"/>
  <c r="L4742" i="3" l="1"/>
  <c r="F4742" i="3"/>
  <c r="J4742" i="3"/>
  <c r="D4742" i="3"/>
  <c r="K4742" i="3"/>
  <c r="E4742" i="3"/>
  <c r="I4741" i="3"/>
  <c r="H4741" i="3" s="1"/>
  <c r="C4741" i="3"/>
  <c r="B4741" i="3" s="1"/>
  <c r="A4743" i="3"/>
  <c r="L4743" i="3" l="1"/>
  <c r="F4743" i="3"/>
  <c r="J4743" i="3"/>
  <c r="D4743" i="3"/>
  <c r="K4743" i="3"/>
  <c r="E4743" i="3"/>
  <c r="I4742" i="3"/>
  <c r="H4742" i="3" s="1"/>
  <c r="C4742" i="3"/>
  <c r="B4742" i="3" s="1"/>
  <c r="A4744" i="3"/>
  <c r="L4744" i="3" l="1"/>
  <c r="F4744" i="3"/>
  <c r="J4744" i="3"/>
  <c r="D4744" i="3"/>
  <c r="K4744" i="3"/>
  <c r="E4744" i="3"/>
  <c r="I4743" i="3"/>
  <c r="H4743" i="3" s="1"/>
  <c r="C4743" i="3"/>
  <c r="B4743" i="3" s="1"/>
  <c r="A4745" i="3"/>
  <c r="L4745" i="3" l="1"/>
  <c r="F4745" i="3"/>
  <c r="J4745" i="3"/>
  <c r="D4745" i="3"/>
  <c r="K4745" i="3"/>
  <c r="E4745" i="3"/>
  <c r="I4744" i="3"/>
  <c r="H4744" i="3" s="1"/>
  <c r="A4746" i="3"/>
  <c r="C4744" i="3"/>
  <c r="B4744" i="3" s="1"/>
  <c r="L4746" i="3" l="1"/>
  <c r="F4746" i="3"/>
  <c r="J4746" i="3"/>
  <c r="D4746" i="3"/>
  <c r="K4746" i="3"/>
  <c r="E4746" i="3"/>
  <c r="I4745" i="3"/>
  <c r="H4745" i="3" s="1"/>
  <c r="A4747" i="3"/>
  <c r="C4745" i="3"/>
  <c r="B4745" i="3" s="1"/>
  <c r="L4747" i="3" l="1"/>
  <c r="F4747" i="3"/>
  <c r="J4747" i="3"/>
  <c r="D4747" i="3"/>
  <c r="K4747" i="3"/>
  <c r="E4747" i="3"/>
  <c r="C4746" i="3"/>
  <c r="B4746" i="3" s="1"/>
  <c r="I4746" i="3"/>
  <c r="H4746" i="3" s="1"/>
  <c r="A4748" i="3"/>
  <c r="L4748" i="3" l="1"/>
  <c r="F4748" i="3"/>
  <c r="J4748" i="3"/>
  <c r="D4748" i="3"/>
  <c r="K4748" i="3"/>
  <c r="E4748" i="3"/>
  <c r="I4747" i="3"/>
  <c r="H4747" i="3" s="1"/>
  <c r="C4747" i="3"/>
  <c r="B4747" i="3" s="1"/>
  <c r="A4749" i="3"/>
  <c r="L4749" i="3" l="1"/>
  <c r="F4749" i="3"/>
  <c r="J4749" i="3"/>
  <c r="D4749" i="3"/>
  <c r="K4749" i="3"/>
  <c r="E4749" i="3"/>
  <c r="I4748" i="3"/>
  <c r="H4748" i="3" s="1"/>
  <c r="C4748" i="3"/>
  <c r="B4748" i="3" s="1"/>
  <c r="A4750" i="3"/>
  <c r="L4750" i="3" l="1"/>
  <c r="F4750" i="3"/>
  <c r="J4750" i="3"/>
  <c r="D4750" i="3"/>
  <c r="K4750" i="3"/>
  <c r="E4750" i="3"/>
  <c r="C4749" i="3"/>
  <c r="B4749" i="3" s="1"/>
  <c r="I4749" i="3"/>
  <c r="H4749" i="3" s="1"/>
  <c r="A4751" i="3"/>
  <c r="L4751" i="3" l="1"/>
  <c r="F4751" i="3"/>
  <c r="J4751" i="3"/>
  <c r="D4751" i="3"/>
  <c r="K4751" i="3"/>
  <c r="E4751" i="3"/>
  <c r="I4750" i="3"/>
  <c r="H4750" i="3" s="1"/>
  <c r="C4750" i="3"/>
  <c r="B4750" i="3" s="1"/>
  <c r="A4752" i="3"/>
  <c r="L4752" i="3" l="1"/>
  <c r="F4752" i="3"/>
  <c r="J4752" i="3"/>
  <c r="D4752" i="3"/>
  <c r="K4752" i="3"/>
  <c r="E4752" i="3"/>
  <c r="I4751" i="3"/>
  <c r="H4751" i="3" s="1"/>
  <c r="C4751" i="3"/>
  <c r="B4751" i="3" s="1"/>
  <c r="A4753" i="3"/>
  <c r="L4753" i="3" l="1"/>
  <c r="F4753" i="3"/>
  <c r="J4753" i="3"/>
  <c r="D4753" i="3"/>
  <c r="K4753" i="3"/>
  <c r="E4753" i="3"/>
  <c r="I4752" i="3"/>
  <c r="H4752" i="3" s="1"/>
  <c r="C4752" i="3"/>
  <c r="B4752" i="3" s="1"/>
  <c r="A4754" i="3"/>
  <c r="L4754" i="3" l="1"/>
  <c r="F4754" i="3"/>
  <c r="J4754" i="3"/>
  <c r="D4754" i="3"/>
  <c r="K4754" i="3"/>
  <c r="E4754" i="3"/>
  <c r="C4753" i="3"/>
  <c r="B4753" i="3" s="1"/>
  <c r="I4753" i="3"/>
  <c r="H4753" i="3" s="1"/>
  <c r="A4755" i="3"/>
  <c r="L4755" i="3" l="1"/>
  <c r="F4755" i="3"/>
  <c r="J4755" i="3"/>
  <c r="D4755" i="3"/>
  <c r="K4755" i="3"/>
  <c r="E4755" i="3"/>
  <c r="I4754" i="3"/>
  <c r="H4754" i="3" s="1"/>
  <c r="A4756" i="3"/>
  <c r="C4754" i="3"/>
  <c r="B4754" i="3" s="1"/>
  <c r="L4756" i="3" l="1"/>
  <c r="F4756" i="3"/>
  <c r="J4756" i="3"/>
  <c r="D4756" i="3"/>
  <c r="K4756" i="3"/>
  <c r="E4756" i="3"/>
  <c r="I4755" i="3"/>
  <c r="H4755" i="3" s="1"/>
  <c r="C4755" i="3"/>
  <c r="B4755" i="3" s="1"/>
  <c r="A4757" i="3"/>
  <c r="L4757" i="3" l="1"/>
  <c r="F4757" i="3"/>
  <c r="J4757" i="3"/>
  <c r="D4757" i="3"/>
  <c r="K4757" i="3"/>
  <c r="E4757" i="3"/>
  <c r="I4756" i="3"/>
  <c r="H4756" i="3" s="1"/>
  <c r="C4756" i="3"/>
  <c r="B4756" i="3" s="1"/>
  <c r="A4758" i="3"/>
  <c r="L4758" i="3" l="1"/>
  <c r="F4758" i="3"/>
  <c r="J4758" i="3"/>
  <c r="D4758" i="3"/>
  <c r="K4758" i="3"/>
  <c r="E4758" i="3"/>
  <c r="I4757" i="3"/>
  <c r="H4757" i="3" s="1"/>
  <c r="C4757" i="3"/>
  <c r="B4757" i="3" s="1"/>
  <c r="A4759" i="3"/>
  <c r="L4759" i="3" l="1"/>
  <c r="F4759" i="3"/>
  <c r="J4759" i="3"/>
  <c r="D4759" i="3"/>
  <c r="K4759" i="3"/>
  <c r="E4759" i="3"/>
  <c r="I4758" i="3"/>
  <c r="H4758" i="3" s="1"/>
  <c r="C4758" i="3"/>
  <c r="B4758" i="3" s="1"/>
  <c r="A4760" i="3"/>
  <c r="L4760" i="3" l="1"/>
  <c r="F4760" i="3"/>
  <c r="J4760" i="3"/>
  <c r="D4760" i="3"/>
  <c r="K4760" i="3"/>
  <c r="E4760" i="3"/>
  <c r="I4759" i="3"/>
  <c r="H4759" i="3" s="1"/>
  <c r="C4759" i="3"/>
  <c r="B4759" i="3" s="1"/>
  <c r="A4761" i="3"/>
  <c r="L4761" i="3" l="1"/>
  <c r="F4761" i="3"/>
  <c r="J4761" i="3"/>
  <c r="D4761" i="3"/>
  <c r="K4761" i="3"/>
  <c r="E4761" i="3"/>
  <c r="I4760" i="3"/>
  <c r="H4760" i="3" s="1"/>
  <c r="A4762" i="3"/>
  <c r="C4760" i="3"/>
  <c r="B4760" i="3" s="1"/>
  <c r="L4762" i="3" l="1"/>
  <c r="F4762" i="3"/>
  <c r="J4762" i="3"/>
  <c r="D4762" i="3"/>
  <c r="K4762" i="3"/>
  <c r="E4762" i="3"/>
  <c r="I4761" i="3"/>
  <c r="H4761" i="3" s="1"/>
  <c r="C4761" i="3"/>
  <c r="B4761" i="3" s="1"/>
  <c r="A4763" i="3"/>
  <c r="L4763" i="3" l="1"/>
  <c r="F4763" i="3"/>
  <c r="J4763" i="3"/>
  <c r="D4763" i="3"/>
  <c r="K4763" i="3"/>
  <c r="E4763" i="3"/>
  <c r="I4762" i="3"/>
  <c r="H4762" i="3" s="1"/>
  <c r="C4762" i="3"/>
  <c r="B4762" i="3" s="1"/>
  <c r="A4764" i="3"/>
  <c r="L4764" i="3" l="1"/>
  <c r="F4764" i="3"/>
  <c r="J4764" i="3"/>
  <c r="D4764" i="3"/>
  <c r="K4764" i="3"/>
  <c r="E4764" i="3"/>
  <c r="I4763" i="3"/>
  <c r="H4763" i="3" s="1"/>
  <c r="A4765" i="3"/>
  <c r="C4763" i="3"/>
  <c r="B4763" i="3" s="1"/>
  <c r="L4765" i="3" l="1"/>
  <c r="F4765" i="3"/>
  <c r="J4765" i="3"/>
  <c r="D4765" i="3"/>
  <c r="K4765" i="3"/>
  <c r="E4765" i="3"/>
  <c r="I4764" i="3"/>
  <c r="H4764" i="3" s="1"/>
  <c r="C4764" i="3"/>
  <c r="B4764" i="3" s="1"/>
  <c r="A4766" i="3"/>
  <c r="L4766" i="3" l="1"/>
  <c r="F4766" i="3"/>
  <c r="J4766" i="3"/>
  <c r="K4766" i="3"/>
  <c r="D4766" i="3"/>
  <c r="E4766" i="3"/>
  <c r="C4765" i="3"/>
  <c r="B4765" i="3" s="1"/>
  <c r="I4765" i="3"/>
  <c r="H4765" i="3" s="1"/>
  <c r="A4767" i="3"/>
  <c r="L4767" i="3" l="1"/>
  <c r="F4767" i="3"/>
  <c r="J4767" i="3"/>
  <c r="D4767" i="3"/>
  <c r="K4767" i="3"/>
  <c r="E4767" i="3"/>
  <c r="I4766" i="3"/>
  <c r="H4766" i="3" s="1"/>
  <c r="A4768" i="3"/>
  <c r="C4766" i="3"/>
  <c r="B4766" i="3" s="1"/>
  <c r="L4768" i="3" l="1"/>
  <c r="F4768" i="3"/>
  <c r="J4768" i="3"/>
  <c r="D4768" i="3"/>
  <c r="K4768" i="3"/>
  <c r="E4768" i="3"/>
  <c r="I4767" i="3"/>
  <c r="H4767" i="3" s="1"/>
  <c r="C4767" i="3"/>
  <c r="B4767" i="3" s="1"/>
  <c r="I4768" i="3" l="1"/>
  <c r="H4768" i="3" s="1"/>
  <c r="C4768" i="3"/>
  <c r="B4768" i="3" s="1"/>
  <c r="I5" i="3" l="1"/>
  <c r="J2" i="3"/>
  <c r="J3" i="3" s="1"/>
  <c r="F5" i="1" s="1"/>
  <c r="C18" i="1" l="1"/>
  <c r="F17" i="1" l="1"/>
  <c r="F832" i="3" l="1"/>
  <c r="C832" i="3" s="1"/>
  <c r="B832" i="3" s="1"/>
  <c r="F2170" i="3"/>
  <c r="C2170" i="3" s="1"/>
  <c r="B2170" i="3" s="1"/>
  <c r="F518" i="3"/>
  <c r="C518" i="3" s="1"/>
  <c r="B518" i="3" s="1"/>
  <c r="F245" i="3"/>
  <c r="C245" i="3" s="1"/>
  <c r="B245" i="3" s="1"/>
  <c r="C1586" i="3"/>
  <c r="B1586" i="3" s="1"/>
  <c r="F1271" i="3"/>
  <c r="C1271" i="3" s="1"/>
  <c r="B1271" i="3" s="1"/>
  <c r="F1332" i="3"/>
  <c r="C1332" i="3" s="1"/>
  <c r="B1332" i="3" s="1"/>
  <c r="F1021" i="3"/>
  <c r="C1021" i="3" s="1"/>
  <c r="B1021" i="3" s="1"/>
  <c r="F704" i="3"/>
  <c r="C704" i="3" s="1"/>
  <c r="B704" i="3" s="1"/>
  <c r="F2047" i="3"/>
  <c r="C2047" i="3" s="1"/>
  <c r="B2047" i="3" s="1"/>
  <c r="F789" i="3"/>
  <c r="C789" i="3" s="1"/>
  <c r="B789" i="3" s="1"/>
  <c r="F2127" i="3"/>
  <c r="C2127" i="3" s="1"/>
  <c r="B2127" i="3" s="1"/>
  <c r="F99" i="3"/>
  <c r="C99" i="3" s="1"/>
  <c r="B99" i="3" s="1"/>
  <c r="F872" i="3"/>
  <c r="C872" i="3" s="1"/>
  <c r="B872" i="3" s="1"/>
  <c r="F2212" i="3"/>
  <c r="C2212" i="3" s="1"/>
  <c r="B2212" i="3" s="1"/>
  <c r="F2297" i="3"/>
  <c r="C2297" i="3" s="1"/>
  <c r="B2297" i="3" s="1"/>
  <c r="F1312" i="3"/>
  <c r="C1312" i="3" s="1"/>
  <c r="B1312" i="3" s="1"/>
  <c r="F2089" i="3"/>
  <c r="C2089" i="3" s="1"/>
  <c r="B2089" i="3" s="1"/>
  <c r="F726" i="3"/>
  <c r="C726" i="3" s="1"/>
  <c r="B726" i="3" s="1"/>
  <c r="F289" i="3"/>
  <c r="C289" i="3" s="1"/>
  <c r="B289" i="3" s="1"/>
  <c r="F1817" i="3"/>
  <c r="C1817" i="3" s="1"/>
  <c r="B1817" i="3" s="1"/>
  <c r="F619" i="3"/>
  <c r="C619" i="3" s="1"/>
  <c r="B619" i="3" s="1"/>
  <c r="F1900" i="3"/>
  <c r="C1900" i="3" s="1"/>
  <c r="B1900" i="3" s="1"/>
  <c r="F1292" i="3"/>
  <c r="C1292" i="3" s="1"/>
  <c r="B1292" i="3" s="1"/>
  <c r="F2149" i="3"/>
  <c r="C2149" i="3" s="1"/>
  <c r="B2149" i="3" s="1"/>
  <c r="F1731" i="3"/>
  <c r="C1731" i="3" s="1"/>
  <c r="B1731" i="3" s="1"/>
  <c r="F1961" i="3"/>
  <c r="C1961" i="3" s="1"/>
  <c r="B1961" i="3" s="1"/>
  <c r="F1164" i="3"/>
  <c r="C1164" i="3" s="1"/>
  <c r="B1164" i="3" s="1"/>
  <c r="F853" i="3"/>
  <c r="C853" i="3" s="1"/>
  <c r="B853" i="3" s="1"/>
  <c r="F581" i="3"/>
  <c r="C581" i="3" s="1"/>
  <c r="B581" i="3" s="1"/>
  <c r="C1920" i="3"/>
  <c r="B1920" i="3" s="1"/>
  <c r="F266" i="3"/>
  <c r="C266" i="3" s="1"/>
  <c r="B266" i="3" s="1"/>
  <c r="F330" i="3"/>
  <c r="C330" i="3" s="1"/>
  <c r="B330" i="3" s="1"/>
  <c r="F1667" i="3"/>
  <c r="C1667" i="3" s="1"/>
  <c r="B1667" i="3" s="1"/>
  <c r="F15" i="3"/>
  <c r="C15" i="3" s="1"/>
  <c r="B15" i="3" s="1"/>
  <c r="C1354" i="3"/>
  <c r="B1354" i="3" s="1"/>
  <c r="C769" i="3"/>
  <c r="B769" i="3" s="1"/>
  <c r="F1041" i="3"/>
  <c r="C1041" i="3" s="1"/>
  <c r="B1041" i="3" s="1"/>
  <c r="F1105" i="3"/>
  <c r="C1105" i="3" s="1"/>
  <c r="B1105" i="3" s="1"/>
  <c r="F1123" i="3"/>
  <c r="C1123" i="3" s="1"/>
  <c r="B1123" i="3" s="1"/>
  <c r="F1436" i="3"/>
  <c r="C1436" i="3" s="1"/>
  <c r="B1436" i="3" s="1"/>
  <c r="F1207" i="3"/>
  <c r="C1207" i="3" s="1"/>
  <c r="B1207" i="3" s="1"/>
  <c r="F432" i="3"/>
  <c r="C432" i="3" s="1"/>
  <c r="B432" i="3" s="1"/>
  <c r="F309" i="3"/>
  <c r="C309" i="3" s="1"/>
  <c r="B309" i="3" s="1"/>
  <c r="F1647" i="3"/>
  <c r="C1647" i="3" s="1"/>
  <c r="B1647" i="3" s="1"/>
  <c r="F1146" i="3"/>
  <c r="C1146" i="3" s="1"/>
  <c r="B1146" i="3" s="1"/>
  <c r="F392" i="3"/>
  <c r="C392" i="3" s="1"/>
  <c r="B392" i="3" s="1"/>
  <c r="F2234" i="3"/>
  <c r="C2234" i="3" s="1"/>
  <c r="B2234" i="3" s="1"/>
  <c r="F476" i="3"/>
  <c r="C476" i="3" s="1"/>
  <c r="B476" i="3" s="1"/>
  <c r="F159" i="3"/>
  <c r="C159" i="3" s="1"/>
  <c r="B159" i="3" s="1"/>
  <c r="C1501" i="3"/>
  <c r="B1501" i="3" s="1"/>
  <c r="F1186" i="3"/>
  <c r="C1186" i="3" s="1"/>
  <c r="B1186" i="3" s="1"/>
  <c r="F913" i="3"/>
  <c r="C913" i="3" s="1"/>
  <c r="B913" i="3" s="1"/>
  <c r="F2256" i="3"/>
  <c r="C2256" i="3" s="1"/>
  <c r="B2256" i="3" s="1"/>
  <c r="C601" i="3"/>
  <c r="B601" i="3" s="1"/>
  <c r="F662" i="3"/>
  <c r="C662" i="3" s="1"/>
  <c r="B662" i="3" s="1"/>
  <c r="F2005" i="3"/>
  <c r="C2005" i="3" s="1"/>
  <c r="B2005" i="3" s="1"/>
  <c r="F352" i="3"/>
  <c r="C352" i="3" s="1"/>
  <c r="B352" i="3" s="1"/>
  <c r="F1688" i="3"/>
  <c r="C1688" i="3" s="1"/>
  <c r="B1688" i="3" s="1"/>
  <c r="F37" i="3"/>
  <c r="C37" i="3" s="1"/>
  <c r="B37" i="3" s="1"/>
  <c r="F1373" i="3"/>
  <c r="C1373" i="3" s="1"/>
  <c r="B1373" i="3" s="1"/>
  <c r="F77" i="3"/>
  <c r="C77" i="3" s="1"/>
  <c r="B77" i="3" s="1"/>
  <c r="F1774" i="3"/>
  <c r="C1774" i="3" s="1"/>
  <c r="B1774" i="3" s="1"/>
  <c r="F119" i="3"/>
  <c r="C119" i="3" s="1"/>
  <c r="B119" i="3" s="1"/>
  <c r="F1456" i="3"/>
  <c r="C1456" i="3" s="1"/>
  <c r="B1456" i="3" s="1"/>
  <c r="F412" i="3"/>
  <c r="C412" i="3" s="1"/>
  <c r="B412" i="3" s="1"/>
  <c r="F1860" i="3"/>
  <c r="C1860" i="3" s="1"/>
  <c r="B1860" i="3" s="1"/>
  <c r="F200" i="3"/>
  <c r="C200" i="3" s="1"/>
  <c r="B200" i="3" s="1"/>
  <c r="C1545" i="3"/>
  <c r="B1545" i="3" s="1"/>
  <c r="F642" i="3"/>
  <c r="C642" i="3" s="1"/>
  <c r="B642" i="3" s="1"/>
  <c r="C1984" i="3"/>
  <c r="B1984" i="3" s="1"/>
  <c r="F1628" i="3"/>
  <c r="C1628" i="3" s="1"/>
  <c r="B1628" i="3" s="1"/>
  <c r="F1565" i="3"/>
  <c r="C1565" i="3" s="1"/>
  <c r="B1565" i="3" s="1"/>
  <c r="C559" i="3"/>
  <c r="B559" i="3" s="1"/>
  <c r="F809" i="3"/>
  <c r="C809" i="3" s="1"/>
  <c r="B809" i="3" s="1"/>
  <c r="F894" i="3"/>
  <c r="C894" i="3" s="1"/>
  <c r="B894" i="3" s="1"/>
  <c r="F1061" i="3"/>
  <c r="C1061" i="3" s="1"/>
  <c r="B1061" i="3" s="1"/>
  <c r="F497" i="3"/>
  <c r="C497" i="3" s="1"/>
  <c r="B497" i="3" s="1"/>
  <c r="F1839" i="3"/>
  <c r="C1839" i="3" s="1"/>
  <c r="B1839" i="3" s="1"/>
  <c r="F181" i="3"/>
  <c r="C181" i="3" s="1"/>
  <c r="B181" i="3" s="1"/>
  <c r="F1522" i="3"/>
  <c r="C1522" i="3" s="1"/>
  <c r="B1522" i="3" s="1"/>
  <c r="C1251" i="3"/>
  <c r="B1251" i="3" s="1"/>
  <c r="F935" i="3"/>
  <c r="C935" i="3" s="1"/>
  <c r="B935" i="3" s="1"/>
  <c r="F1000" i="3"/>
  <c r="C1000" i="3" s="1"/>
  <c r="B1000" i="3" s="1"/>
  <c r="F683" i="3"/>
  <c r="C683" i="3" s="1"/>
  <c r="B683" i="3" s="1"/>
  <c r="F1083" i="3"/>
  <c r="C1083" i="3" s="1"/>
  <c r="B1083" i="3" s="1"/>
  <c r="F2026" i="3"/>
  <c r="C2026" i="3" s="1"/>
  <c r="B2026" i="3" s="1"/>
  <c r="F370" i="3"/>
  <c r="C370" i="3" s="1"/>
  <c r="B370" i="3" s="1"/>
  <c r="F1708" i="3"/>
  <c r="C1708" i="3" s="1"/>
  <c r="B1708" i="3" s="1"/>
  <c r="F57" i="3"/>
  <c r="C57" i="3" s="1"/>
  <c r="B57" i="3" s="1"/>
  <c r="F1415" i="3"/>
  <c r="C1415" i="3" s="1"/>
  <c r="B1415" i="3" s="1"/>
  <c r="F2109" i="3"/>
  <c r="C2109" i="3" s="1"/>
  <c r="B2109" i="3" s="1"/>
  <c r="F453" i="3"/>
  <c r="C453" i="3" s="1"/>
  <c r="B453" i="3" s="1"/>
  <c r="C1797" i="3"/>
  <c r="B1797" i="3" s="1"/>
  <c r="F138" i="3"/>
  <c r="C138" i="3" s="1"/>
  <c r="B138" i="3" s="1"/>
  <c r="F1752" i="3"/>
  <c r="C1752" i="3" s="1"/>
  <c r="B1752" i="3" s="1"/>
  <c r="F2190" i="3"/>
  <c r="C2190" i="3" s="1"/>
  <c r="B2190" i="3" s="1"/>
  <c r="F539" i="3"/>
  <c r="C539" i="3" s="1"/>
  <c r="B539" i="3" s="1"/>
  <c r="C1878" i="3"/>
  <c r="B1878" i="3" s="1"/>
  <c r="F956" i="3"/>
  <c r="C956" i="3" s="1"/>
  <c r="B956" i="3" s="1"/>
  <c r="F977" i="3"/>
  <c r="C977" i="3" s="1"/>
  <c r="B977" i="3" s="1"/>
  <c r="F2317" i="3"/>
  <c r="C2317" i="3" s="1"/>
  <c r="B2317" i="3" s="1"/>
  <c r="F223" i="3"/>
  <c r="C223" i="3" s="1"/>
  <c r="B223" i="3" s="1"/>
  <c r="F2067" i="3"/>
  <c r="C2067" i="3" s="1"/>
  <c r="B2067" i="3" s="1"/>
  <c r="F748" i="3"/>
  <c r="C748" i="3" s="1"/>
  <c r="B748" i="3" s="1"/>
  <c r="F1228" i="3"/>
  <c r="C1228" i="3" s="1"/>
  <c r="B1228" i="3" s="1"/>
  <c r="F1608" i="3"/>
  <c r="C1608" i="3" s="1"/>
  <c r="B1608" i="3" s="1"/>
  <c r="F1393" i="3"/>
  <c r="C1393" i="3" s="1"/>
  <c r="B1393" i="3" s="1"/>
  <c r="F1940" i="3"/>
  <c r="C1940" i="3" s="1"/>
  <c r="B1940" i="3" s="1"/>
  <c r="F1479" i="3"/>
  <c r="C1479" i="3" s="1"/>
  <c r="B1479" i="3" s="1"/>
  <c r="F2277" i="3"/>
  <c r="C2277" i="3" s="1"/>
  <c r="B2277" i="3" s="1"/>
  <c r="AD3" i="28"/>
  <c r="AD2" i="28" s="1"/>
  <c r="AB29" i="1"/>
  <c r="AB174" i="1"/>
  <c r="AB175" i="1"/>
  <c r="AB173" i="1"/>
  <c r="AB35" i="1"/>
  <c r="AB27" i="1"/>
  <c r="AB28" i="1"/>
  <c r="AB324" i="1"/>
  <c r="AB26" i="1"/>
  <c r="AB321" i="1"/>
  <c r="AB36" i="1"/>
  <c r="AB320" i="1"/>
  <c r="AB30" i="1"/>
  <c r="AB176" i="1"/>
  <c r="AB322" i="1"/>
  <c r="AB37" i="1"/>
  <c r="AB325" i="1"/>
  <c r="AB31" i="1"/>
  <c r="AB323" i="1"/>
  <c r="AB177" i="1"/>
  <c r="AB38" i="1"/>
  <c r="AB32" i="1"/>
  <c r="AB39" i="1"/>
  <c r="AB326" i="1"/>
  <c r="AB178" i="1"/>
  <c r="AB34" i="1"/>
  <c r="AB33" i="1"/>
  <c r="AB40" i="1"/>
  <c r="AB179" i="1"/>
  <c r="AB327" i="1"/>
  <c r="AB180" i="1"/>
  <c r="AB328" i="1"/>
  <c r="AB41" i="1"/>
  <c r="AB329" i="1"/>
  <c r="AB42" i="1"/>
  <c r="AB181" i="1"/>
  <c r="AB182" i="1"/>
  <c r="AB330" i="1"/>
  <c r="AB43" i="1"/>
  <c r="AB183" i="1"/>
  <c r="AB331" i="1"/>
  <c r="AB44" i="1"/>
  <c r="AB184" i="1"/>
  <c r="AB332" i="1"/>
  <c r="AB45" i="1"/>
  <c r="AB333" i="1"/>
  <c r="AB46" i="1"/>
  <c r="AB185" i="1"/>
  <c r="AB334" i="1"/>
  <c r="AB47" i="1"/>
  <c r="AB186" i="1"/>
  <c r="AB48" i="1"/>
  <c r="AB335" i="1"/>
  <c r="AB187" i="1"/>
  <c r="AB188" i="1"/>
  <c r="AB336" i="1"/>
  <c r="AB49" i="1"/>
  <c r="AB337" i="1"/>
  <c r="AB50" i="1"/>
  <c r="AB189" i="1"/>
  <c r="AB190" i="1"/>
  <c r="AB338" i="1"/>
  <c r="AB51" i="1"/>
  <c r="AB191" i="1"/>
  <c r="AB339" i="1"/>
  <c r="AB52" i="1"/>
  <c r="AB192" i="1"/>
  <c r="AB340" i="1"/>
  <c r="AB53" i="1"/>
  <c r="AB193" i="1"/>
  <c r="AB341" i="1"/>
  <c r="AB54" i="1"/>
  <c r="AB342" i="1"/>
  <c r="AB194" i="1"/>
  <c r="AB55" i="1"/>
  <c r="AB195" i="1"/>
  <c r="AB343" i="1"/>
  <c r="AB56" i="1"/>
  <c r="AB196" i="1"/>
  <c r="AB57" i="1"/>
  <c r="AB344" i="1"/>
  <c r="AB345" i="1"/>
  <c r="AB58" i="1"/>
  <c r="AC3" i="24" s="1"/>
  <c r="AD3" i="24" s="1"/>
  <c r="AB197" i="1"/>
  <c r="AB346" i="1"/>
  <c r="AB59" i="1"/>
  <c r="AC4" i="24" s="1"/>
  <c r="AD4" i="24" s="1"/>
  <c r="AB198" i="1"/>
  <c r="AB199" i="1"/>
  <c r="AB347" i="1"/>
  <c r="AB60" i="1"/>
  <c r="AC5" i="24" s="1"/>
  <c r="AD5" i="24" s="1"/>
  <c r="AB200" i="1"/>
  <c r="AB348" i="1"/>
  <c r="AB61" i="1"/>
  <c r="AC6" i="24" s="1"/>
  <c r="AD6" i="24" s="1"/>
  <c r="AB201" i="1"/>
  <c r="AB62" i="1"/>
  <c r="AC7" i="24" s="1"/>
  <c r="AD7" i="24" s="1"/>
  <c r="AB349" i="1"/>
  <c r="AB350" i="1"/>
  <c r="AB63" i="1"/>
  <c r="AC8" i="24" s="1"/>
  <c r="AD8" i="24" s="1"/>
  <c r="AB202" i="1"/>
  <c r="AB351" i="1"/>
  <c r="AB64" i="1"/>
  <c r="AC9" i="24" s="1"/>
  <c r="AD9" i="24" s="1"/>
  <c r="AB203" i="1"/>
  <c r="AB352" i="1"/>
  <c r="AB65" i="1"/>
  <c r="AC10" i="24" s="1"/>
  <c r="AD10" i="24" s="1"/>
  <c r="AB204" i="1"/>
  <c r="AB205" i="1"/>
  <c r="AB66" i="1"/>
  <c r="AC11" i="24" s="1"/>
  <c r="AD11" i="24" s="1"/>
  <c r="AB353" i="1"/>
  <c r="AB206" i="1"/>
  <c r="AB354" i="1"/>
  <c r="AB67" i="1"/>
  <c r="AC12" i="24" s="1"/>
  <c r="AD12" i="24" s="1"/>
  <c r="AB207" i="1"/>
  <c r="AB355" i="1"/>
  <c r="AB68" i="1"/>
  <c r="AC13" i="24" s="1"/>
  <c r="AD13" i="24" s="1"/>
  <c r="AB208" i="1"/>
  <c r="AB69" i="1"/>
  <c r="AC14" i="24" s="1"/>
  <c r="AD14" i="24" s="1"/>
  <c r="AB356" i="1"/>
  <c r="AB209" i="1"/>
  <c r="AB70" i="1"/>
  <c r="AC15" i="24" s="1"/>
  <c r="AD15" i="24" s="1"/>
  <c r="AB357" i="1"/>
  <c r="AB358" i="1"/>
  <c r="AB210" i="1"/>
  <c r="AB71" i="1"/>
  <c r="AC16" i="24" s="1"/>
  <c r="AD16" i="24" s="1"/>
  <c r="AB211" i="1"/>
  <c r="AB359" i="1"/>
  <c r="AB72" i="1"/>
  <c r="AC17" i="24" s="1"/>
  <c r="AD17" i="24" s="1"/>
  <c r="AB360" i="1"/>
  <c r="AB73" i="1"/>
  <c r="AC18" i="24" s="1"/>
  <c r="AD18" i="24" s="1"/>
  <c r="AB212" i="1"/>
  <c r="AB213" i="1"/>
  <c r="AB74" i="1"/>
  <c r="AC19" i="24" s="1"/>
  <c r="AD19" i="24" s="1"/>
  <c r="AB361" i="1"/>
  <c r="AB214" i="1"/>
  <c r="AB362" i="1"/>
  <c r="AB75" i="1"/>
  <c r="AC20" i="24" s="1"/>
  <c r="AD20" i="24" s="1"/>
  <c r="AB215" i="1"/>
  <c r="AB363" i="1"/>
  <c r="AB76" i="1"/>
  <c r="AC21" i="24" s="1"/>
  <c r="AD21" i="24" s="1"/>
  <c r="AB77" i="1"/>
  <c r="AC22" i="24" s="1"/>
  <c r="AD22" i="24" s="1"/>
  <c r="AB364" i="1"/>
  <c r="AB216" i="1"/>
  <c r="AB365" i="1"/>
  <c r="AB78" i="1"/>
  <c r="AC23" i="24" s="1"/>
  <c r="AD23" i="24" s="1"/>
  <c r="AB217" i="1"/>
  <c r="AB218" i="1"/>
  <c r="AB366" i="1"/>
  <c r="AB79" i="1"/>
  <c r="AC24" i="24" s="1"/>
  <c r="AD24" i="24" s="1"/>
  <c r="AB219" i="1"/>
  <c r="AB367" i="1"/>
  <c r="AB80" i="1"/>
  <c r="AC25" i="24" s="1"/>
  <c r="AD25" i="24" s="1"/>
  <c r="AB220" i="1"/>
  <c r="AB368" i="1"/>
  <c r="AB81" i="1"/>
  <c r="AC26" i="24" s="1"/>
  <c r="AD26" i="24" s="1"/>
  <c r="AB221" i="1"/>
  <c r="AB369" i="1"/>
  <c r="AB82" i="1"/>
  <c r="AC27" i="24" s="1"/>
  <c r="AD27" i="24" s="1"/>
  <c r="AB370" i="1"/>
  <c r="AB83" i="1"/>
  <c r="AC28" i="24" s="1"/>
  <c r="AD28" i="24" s="1"/>
  <c r="AB222" i="1"/>
  <c r="AB223" i="1"/>
  <c r="AB371" i="1"/>
  <c r="AB84" i="1"/>
  <c r="AC29" i="24" s="1"/>
  <c r="AD29" i="24" s="1"/>
  <c r="AB372" i="1"/>
  <c r="AB85" i="1"/>
  <c r="AC30" i="24" s="1"/>
  <c r="AD30" i="24" s="1"/>
  <c r="AB224" i="1"/>
  <c r="AB225" i="1"/>
  <c r="AB373" i="1"/>
  <c r="AB86" i="1"/>
  <c r="AC31" i="24" s="1"/>
  <c r="AD31" i="24" s="1"/>
  <c r="AB226" i="1"/>
  <c r="AB374" i="1"/>
  <c r="AB87" i="1"/>
  <c r="AC32" i="24" s="1"/>
  <c r="AD32" i="24" s="1"/>
  <c r="AB88" i="1"/>
  <c r="AC33" i="24" s="1"/>
  <c r="AD33" i="24" s="1"/>
  <c r="AB227" i="1"/>
  <c r="AB375" i="1"/>
  <c r="AB228" i="1"/>
  <c r="AB89" i="1"/>
  <c r="AC34" i="24" s="1"/>
  <c r="AD34" i="24" s="1"/>
  <c r="AB376" i="1"/>
  <c r="AB229" i="1"/>
  <c r="AB377" i="1"/>
  <c r="AB90" i="1"/>
  <c r="AC35" i="24" s="1"/>
  <c r="AD35" i="24" s="1"/>
  <c r="AB230" i="1"/>
  <c r="AB378" i="1"/>
  <c r="AB91" i="1"/>
  <c r="AC36" i="24" s="1"/>
  <c r="AD36" i="24" s="1"/>
  <c r="AB379" i="1"/>
  <c r="AB231" i="1"/>
  <c r="AB92" i="1"/>
  <c r="AC37" i="24" s="1"/>
  <c r="AD37" i="24" s="1"/>
  <c r="AB232" i="1"/>
  <c r="AB93" i="1"/>
  <c r="AC38" i="24" s="1"/>
  <c r="AD38" i="24" s="1"/>
  <c r="AB380" i="1"/>
  <c r="AB233" i="1"/>
  <c r="AB381" i="1"/>
  <c r="AB94" i="1"/>
  <c r="AC39" i="24" s="1"/>
  <c r="AD39" i="24" s="1"/>
  <c r="AB382" i="1"/>
  <c r="AB95" i="1"/>
  <c r="AC40" i="24" s="1"/>
  <c r="AD40" i="24" s="1"/>
  <c r="AB234" i="1"/>
  <c r="AB235" i="1"/>
  <c r="AB383" i="1"/>
  <c r="AB96" i="1"/>
  <c r="AC41" i="24" s="1"/>
  <c r="AD41" i="24" s="1"/>
  <c r="AB236" i="1"/>
  <c r="AB384" i="1"/>
  <c r="AB97" i="1"/>
  <c r="AC42" i="24" s="1"/>
  <c r="AD42" i="24" s="1"/>
  <c r="AB237" i="1"/>
  <c r="AB98" i="1"/>
  <c r="AC43" i="24" s="1"/>
  <c r="AD43" i="24" s="1"/>
  <c r="AB385" i="1"/>
  <c r="AB238" i="1"/>
  <c r="AB386" i="1"/>
  <c r="AB99" i="1"/>
  <c r="AC44" i="24" s="1"/>
  <c r="AD44" i="24" s="1"/>
  <c r="AB239" i="1"/>
  <c r="AB387" i="1"/>
  <c r="AB100" i="1"/>
  <c r="AC45" i="24" s="1"/>
  <c r="AD45" i="24" s="1"/>
  <c r="AB388" i="1"/>
  <c r="AB101" i="1"/>
  <c r="AC46" i="24" s="1"/>
  <c r="AD46" i="24" s="1"/>
  <c r="AB240" i="1"/>
  <c r="AB389" i="1"/>
  <c r="AB102" i="1"/>
  <c r="AC47" i="24" s="1"/>
  <c r="AD47" i="24" s="1"/>
  <c r="AB241" i="1"/>
  <c r="AB390" i="1"/>
  <c r="AB103" i="1"/>
  <c r="AC48" i="24" s="1"/>
  <c r="AD48" i="24" s="1"/>
  <c r="AB242" i="1"/>
  <c r="AB391" i="1"/>
  <c r="AB104" i="1"/>
  <c r="AC49" i="24" s="1"/>
  <c r="AD49" i="24" s="1"/>
  <c r="AB243" i="1"/>
  <c r="AB244" i="1"/>
  <c r="AB392" i="1"/>
  <c r="AB105" i="1"/>
  <c r="AC50" i="24" s="1"/>
  <c r="AD50" i="24" s="1"/>
  <c r="AB245" i="1"/>
  <c r="AB393" i="1"/>
  <c r="AB106" i="1"/>
  <c r="AC51" i="24" s="1"/>
  <c r="AD51" i="24" s="1"/>
  <c r="AB246" i="1"/>
  <c r="AB394" i="1"/>
  <c r="AB107" i="1"/>
  <c r="AC52" i="24" s="1"/>
  <c r="AD52" i="24" s="1"/>
  <c r="AB247" i="1"/>
  <c r="AB108" i="1"/>
  <c r="AC53" i="24" s="1"/>
  <c r="AD53" i="24" s="1"/>
  <c r="AB395" i="1"/>
  <c r="AB248" i="1"/>
  <c r="AB396" i="1"/>
  <c r="AB109" i="1"/>
  <c r="AC54" i="24" s="1"/>
  <c r="AD54" i="24" s="1"/>
  <c r="AB397" i="1"/>
  <c r="AB110" i="1"/>
  <c r="AC55" i="24" s="1"/>
  <c r="AD55" i="24" s="1"/>
  <c r="AB249" i="1"/>
  <c r="AB250" i="1"/>
  <c r="AB398" i="1"/>
  <c r="AB111" i="1"/>
  <c r="AC56" i="24" s="1"/>
  <c r="AD56" i="24" s="1"/>
  <c r="AB251" i="1"/>
  <c r="AB399" i="1"/>
  <c r="AB112" i="1"/>
  <c r="AC57" i="24" s="1"/>
  <c r="AD57" i="24" s="1"/>
  <c r="AB252" i="1"/>
  <c r="AB400" i="1"/>
  <c r="AB113" i="1"/>
  <c r="AC58" i="24" s="1"/>
  <c r="AD58" i="24" s="1"/>
  <c r="AB401" i="1"/>
  <c r="AB114" i="1"/>
  <c r="AC59" i="24" s="1"/>
  <c r="AD59" i="24" s="1"/>
  <c r="AB253" i="1"/>
  <c r="AB402" i="1"/>
  <c r="AB115" i="1"/>
  <c r="AC60" i="24" s="1"/>
  <c r="AD60" i="24" s="1"/>
  <c r="AB254" i="1"/>
  <c r="AB403" i="1"/>
  <c r="AB116" i="1"/>
  <c r="AC61" i="24" s="1"/>
  <c r="AD61" i="24" s="1"/>
  <c r="AB255" i="1"/>
  <c r="AB404" i="1"/>
  <c r="AB256" i="1"/>
  <c r="AB117" i="1"/>
  <c r="AC62" i="24" s="1"/>
  <c r="AD62" i="24" s="1"/>
  <c r="AB257" i="1"/>
  <c r="AB405" i="1"/>
  <c r="AB118" i="1"/>
  <c r="AC63" i="24" s="1"/>
  <c r="AD63" i="24" s="1"/>
  <c r="AB258" i="1"/>
  <c r="AB406" i="1"/>
  <c r="AB119" i="1"/>
  <c r="AC64" i="24" s="1"/>
  <c r="AD64" i="24" s="1"/>
  <c r="AB407" i="1"/>
  <c r="AB120" i="1"/>
  <c r="AC65" i="24" s="1"/>
  <c r="AD65" i="24" s="1"/>
  <c r="AB259" i="1"/>
  <c r="AB260" i="1"/>
  <c r="AB408" i="1"/>
  <c r="AB121" i="1"/>
  <c r="AC66" i="24" s="1"/>
  <c r="AD66" i="24" s="1"/>
  <c r="AB261" i="1"/>
  <c r="AB122" i="1"/>
  <c r="AC67" i="24" s="1"/>
  <c r="AD67" i="24" s="1"/>
  <c r="AB409" i="1"/>
  <c r="AB123" i="1"/>
  <c r="AC68" i="24" s="1"/>
  <c r="AD68" i="24" s="1"/>
  <c r="AB410" i="1"/>
  <c r="AB262" i="1"/>
  <c r="AB263" i="1"/>
  <c r="AB411" i="1"/>
  <c r="AB124" i="1"/>
  <c r="AC69" i="24" s="1"/>
  <c r="AD69" i="24" s="1"/>
  <c r="AB264" i="1"/>
  <c r="AB412" i="1"/>
  <c r="AB125" i="1"/>
  <c r="AC70" i="24" s="1"/>
  <c r="AD70" i="24" s="1"/>
  <c r="AB265" i="1"/>
  <c r="AB413" i="1"/>
  <c r="AB126" i="1"/>
  <c r="AC71" i="24" s="1"/>
  <c r="AD71" i="24" s="1"/>
  <c r="AB266" i="1"/>
  <c r="AB414" i="1"/>
  <c r="AB127" i="1"/>
  <c r="AC72" i="24" s="1"/>
  <c r="AD72" i="24" s="1"/>
  <c r="AB267" i="1"/>
  <c r="AB128" i="1"/>
  <c r="AC73" i="24" s="1"/>
  <c r="AD73" i="24" s="1"/>
  <c r="AB415" i="1"/>
  <c r="AB416" i="1"/>
  <c r="AB129" i="1"/>
  <c r="AC74" i="24" s="1"/>
  <c r="AD74" i="24" s="1"/>
  <c r="AB268" i="1"/>
  <c r="AB269" i="1"/>
  <c r="AB417" i="1"/>
  <c r="AB130" i="1"/>
  <c r="AC75" i="24" s="1"/>
  <c r="AD75" i="24" s="1"/>
  <c r="AB131" i="1"/>
  <c r="AC76" i="24" s="1"/>
  <c r="AD76" i="24" s="1"/>
  <c r="AB270" i="1"/>
  <c r="AB418" i="1"/>
  <c r="AB419" i="1"/>
  <c r="AB271" i="1"/>
  <c r="AB132" i="1"/>
  <c r="AC77" i="24" s="1"/>
  <c r="AD77" i="24" s="1"/>
  <c r="AB272" i="1"/>
  <c r="AB420" i="1"/>
  <c r="AB133" i="1"/>
  <c r="AC78" i="24" s="1"/>
  <c r="AD78" i="24" s="1"/>
  <c r="AB421" i="1"/>
  <c r="AB134" i="1"/>
  <c r="AC79" i="24" s="1"/>
  <c r="AD79" i="24" s="1"/>
  <c r="AB273" i="1"/>
  <c r="AB274" i="1"/>
  <c r="AB422" i="1"/>
  <c r="AB135" i="1"/>
  <c r="AC80" i="24" s="1"/>
  <c r="AD80" i="24" s="1"/>
  <c r="AB275" i="1"/>
  <c r="AB423" i="1"/>
  <c r="AB136" i="1"/>
  <c r="AC81" i="24" s="1"/>
  <c r="AD81" i="24" s="1"/>
  <c r="AB424" i="1"/>
  <c r="AB137" i="1"/>
  <c r="AC82" i="24" s="1"/>
  <c r="AD82" i="24" s="1"/>
  <c r="AB276" i="1"/>
  <c r="AB277" i="1"/>
  <c r="AB425" i="1"/>
  <c r="AB138" i="1"/>
  <c r="AC83" i="24" s="1"/>
  <c r="AD83" i="24" s="1"/>
  <c r="AB278" i="1"/>
  <c r="AB426" i="1"/>
  <c r="AB139" i="1"/>
  <c r="AC84" i="24" s="1"/>
  <c r="AD84" i="24" s="1"/>
  <c r="AB427" i="1"/>
  <c r="AB140" i="1"/>
  <c r="AC85" i="24" s="1"/>
  <c r="AD85" i="24" s="1"/>
  <c r="AB279" i="1"/>
  <c r="AB428" i="1"/>
  <c r="AB141" i="1"/>
  <c r="AC86" i="24" s="1"/>
  <c r="AD86" i="24" s="1"/>
  <c r="AB280" i="1"/>
  <c r="AB281" i="1"/>
  <c r="AB429" i="1"/>
  <c r="AB142" i="1"/>
  <c r="AC87" i="24" s="1"/>
  <c r="AD87" i="24" s="1"/>
  <c r="AB430" i="1"/>
  <c r="AB282" i="1"/>
  <c r="AB143" i="1"/>
  <c r="AC88" i="24" s="1"/>
  <c r="AD88" i="24" s="1"/>
  <c r="AB283" i="1"/>
  <c r="AB431" i="1"/>
  <c r="AB144" i="1"/>
  <c r="AC89" i="24" s="1"/>
  <c r="AD89" i="24" s="1"/>
  <c r="AB432" i="1"/>
  <c r="AB145" i="1"/>
  <c r="AC90" i="24" s="1"/>
  <c r="AD90" i="24" s="1"/>
  <c r="AB284" i="1"/>
  <c r="AB146" i="1"/>
  <c r="AC91" i="24" s="1"/>
  <c r="AD91" i="24" s="1"/>
  <c r="AB285" i="1"/>
  <c r="AB433" i="1"/>
  <c r="AB147" i="1"/>
  <c r="AC92" i="24" s="1"/>
  <c r="AD92" i="24" s="1"/>
  <c r="AB286" i="1"/>
  <c r="AB434" i="1"/>
  <c r="AB287" i="1"/>
  <c r="AB148" i="1"/>
  <c r="AC93" i="24" s="1"/>
  <c r="AD93" i="24" s="1"/>
  <c r="AB435" i="1"/>
  <c r="AB288" i="1"/>
  <c r="AB436" i="1"/>
  <c r="AB149" i="1"/>
  <c r="AC94" i="24" s="1"/>
  <c r="AD94" i="24" s="1"/>
  <c r="AB437" i="1"/>
  <c r="AB150" i="1"/>
  <c r="AC95" i="24" s="1"/>
  <c r="AD95" i="24" s="1"/>
  <c r="AB289" i="1"/>
  <c r="AB290" i="1"/>
  <c r="AB438" i="1"/>
  <c r="AB151" i="1"/>
  <c r="AC96" i="24" s="1"/>
  <c r="AD96" i="24" s="1"/>
  <c r="AB439" i="1"/>
  <c r="AB291" i="1"/>
  <c r="AB152" i="1"/>
  <c r="AC97" i="24" s="1"/>
  <c r="AD97" i="24" s="1"/>
  <c r="AB153" i="1"/>
  <c r="AC98" i="24" s="1"/>
  <c r="AD98" i="24" s="1"/>
  <c r="AB292" i="1"/>
  <c r="AB440" i="1"/>
  <c r="AB441" i="1"/>
  <c r="AB154" i="1"/>
  <c r="AC99" i="24" s="1"/>
  <c r="AD99" i="24" s="1"/>
  <c r="AB293" i="1"/>
  <c r="AB294" i="1"/>
  <c r="AB442" i="1"/>
  <c r="AB155" i="1"/>
  <c r="AC100" i="24" s="1"/>
  <c r="AD100" i="24" s="1"/>
  <c r="AB443" i="1"/>
  <c r="AB156" i="1"/>
  <c r="AC101" i="24" s="1"/>
  <c r="AD101" i="24" s="1"/>
  <c r="AB295" i="1"/>
  <c r="AB296" i="1"/>
  <c r="AB444" i="1"/>
  <c r="AB157" i="1"/>
  <c r="AC102" i="24" s="1"/>
  <c r="AD102" i="24" s="1"/>
  <c r="AB445" i="1"/>
  <c r="AB158" i="1"/>
  <c r="AC103" i="24" s="1"/>
  <c r="AD103" i="24" s="1"/>
  <c r="AB297" i="1"/>
  <c r="AB446" i="1"/>
  <c r="AB159" i="1"/>
  <c r="AC104" i="24" s="1"/>
  <c r="AD104" i="24" s="1"/>
  <c r="AB298" i="1"/>
  <c r="AB299" i="1"/>
  <c r="AB447" i="1"/>
  <c r="AB160" i="1"/>
  <c r="AC105" i="24" s="1"/>
  <c r="AD105" i="24" s="1"/>
  <c r="AB300" i="1"/>
  <c r="AB161" i="1"/>
  <c r="AC106" i="24" s="1"/>
  <c r="AD106" i="24" s="1"/>
  <c r="AB448" i="1"/>
  <c r="AB301" i="1"/>
  <c r="AB449" i="1"/>
  <c r="AB162" i="1"/>
  <c r="AC107" i="24" s="1"/>
  <c r="AD107" i="24" s="1"/>
  <c r="AB302" i="1"/>
  <c r="AB450" i="1"/>
  <c r="AB163" i="1"/>
  <c r="AC108" i="24" s="1"/>
  <c r="AD108" i="24" s="1"/>
  <c r="AB303" i="1"/>
  <c r="AB451" i="1"/>
  <c r="AB164" i="1"/>
  <c r="AC109" i="24" s="1"/>
  <c r="AD109" i="24" s="1"/>
  <c r="AB304" i="1"/>
  <c r="AB165" i="1"/>
  <c r="AC110" i="24" s="1"/>
  <c r="AD110" i="24" s="1"/>
  <c r="AB452" i="1"/>
  <c r="AB453" i="1"/>
  <c r="AB305" i="1"/>
  <c r="AB166" i="1"/>
  <c r="AC111" i="24" s="1"/>
  <c r="AD111" i="24" s="1"/>
  <c r="AB454" i="1"/>
  <c r="AB306" i="1"/>
  <c r="AB167" i="1"/>
  <c r="AC112" i="24" s="1"/>
  <c r="AD112" i="24" s="1"/>
  <c r="AB307" i="1"/>
  <c r="AB455" i="1"/>
  <c r="AB168" i="1"/>
  <c r="AC113" i="24" s="1"/>
  <c r="AD113" i="24" s="1"/>
  <c r="AB308" i="1"/>
  <c r="AB456" i="1"/>
  <c r="AB457" i="1"/>
  <c r="AB309" i="1"/>
  <c r="AB458" i="1"/>
  <c r="AB310" i="1"/>
  <c r="AB459" i="1"/>
  <c r="AB311" i="1"/>
  <c r="AB312" i="1"/>
  <c r="AB460" i="1"/>
  <c r="AB313" i="1"/>
  <c r="AB461" i="1"/>
  <c r="AB462" i="1"/>
  <c r="AB314" i="1"/>
  <c r="AB315" i="1"/>
  <c r="AB25" i="1"/>
  <c r="AB172" i="1"/>
  <c r="AB319" i="1"/>
  <c r="D2" i="3" l="1"/>
  <c r="C5" i="3"/>
  <c r="AD2" i="24"/>
  <c r="AC462" i="1"/>
  <c r="AE462" i="1"/>
  <c r="AC458" i="1"/>
  <c r="AE458" i="1"/>
  <c r="AC449" i="1"/>
  <c r="AE449" i="1"/>
  <c r="AC434" i="1"/>
  <c r="AE434" i="1"/>
  <c r="AC432" i="1"/>
  <c r="AE432" i="1"/>
  <c r="AC429" i="1"/>
  <c r="AE429" i="1"/>
  <c r="AC428" i="1"/>
  <c r="AE428" i="1"/>
  <c r="AC425" i="1"/>
  <c r="AE425" i="1"/>
  <c r="AC424" i="1"/>
  <c r="AE424" i="1"/>
  <c r="AC418" i="1"/>
  <c r="AE418" i="1"/>
  <c r="AC417" i="1"/>
  <c r="AE417" i="1"/>
  <c r="AC416" i="1"/>
  <c r="AE416" i="1"/>
  <c r="AC413" i="1"/>
  <c r="AE413" i="1"/>
  <c r="AC405" i="1"/>
  <c r="AE405" i="1"/>
  <c r="AC404" i="1"/>
  <c r="AE404" i="1"/>
  <c r="AC393" i="1"/>
  <c r="AE393" i="1"/>
  <c r="AC388" i="1"/>
  <c r="AE388" i="1"/>
  <c r="AC381" i="1"/>
  <c r="AE381" i="1"/>
  <c r="AC377" i="1"/>
  <c r="AE377" i="1"/>
  <c r="AC373" i="1"/>
  <c r="AE373" i="1"/>
  <c r="AC372" i="1"/>
  <c r="AE372" i="1"/>
  <c r="AC369" i="1"/>
  <c r="AE369" i="1"/>
  <c r="AC360" i="1"/>
  <c r="AE360" i="1"/>
  <c r="AC352" i="1"/>
  <c r="AE352" i="1"/>
  <c r="AC341" i="1"/>
  <c r="AE341" i="1"/>
  <c r="AC323" i="1"/>
  <c r="AE323" i="1"/>
  <c r="AC322" i="1"/>
  <c r="AE322" i="1"/>
  <c r="AC461" i="1"/>
  <c r="AE461" i="1"/>
  <c r="AC453" i="1"/>
  <c r="AE453" i="1"/>
  <c r="AC450" i="1"/>
  <c r="AE450" i="1"/>
  <c r="AC445" i="1"/>
  <c r="AE445" i="1"/>
  <c r="AC442" i="1"/>
  <c r="AE442" i="1"/>
  <c r="AC441" i="1"/>
  <c r="AE441" i="1"/>
  <c r="AC438" i="1"/>
  <c r="AE438" i="1"/>
  <c r="AC437" i="1"/>
  <c r="AE437" i="1"/>
  <c r="AC435" i="1"/>
  <c r="AE435" i="1"/>
  <c r="AC426" i="1"/>
  <c r="AE426" i="1"/>
  <c r="AC422" i="1"/>
  <c r="AE422" i="1"/>
  <c r="AC421" i="1"/>
  <c r="AE421" i="1"/>
  <c r="AC415" i="1"/>
  <c r="AE415" i="1"/>
  <c r="AC414" i="1"/>
  <c r="AE414" i="1"/>
  <c r="AC410" i="1"/>
  <c r="AE410" i="1"/>
  <c r="AC406" i="1"/>
  <c r="AE406" i="1"/>
  <c r="AC401" i="1"/>
  <c r="AE401" i="1"/>
  <c r="AC398" i="1"/>
  <c r="AE398" i="1"/>
  <c r="AC397" i="1"/>
  <c r="AE397" i="1"/>
  <c r="AC395" i="1"/>
  <c r="AE395" i="1"/>
  <c r="AC394" i="1"/>
  <c r="AE394" i="1"/>
  <c r="AC389" i="1"/>
  <c r="AE389" i="1"/>
  <c r="AC386" i="1"/>
  <c r="AE386" i="1"/>
  <c r="AC378" i="1"/>
  <c r="AE378" i="1"/>
  <c r="AC375" i="1"/>
  <c r="AE375" i="1"/>
  <c r="AC374" i="1"/>
  <c r="AE374" i="1"/>
  <c r="AC366" i="1"/>
  <c r="AE366" i="1"/>
  <c r="AC365" i="1"/>
  <c r="AE365" i="1"/>
  <c r="AC362" i="1"/>
  <c r="AE362" i="1"/>
  <c r="AC354" i="1"/>
  <c r="AE354" i="1"/>
  <c r="AC345" i="1"/>
  <c r="AE345" i="1"/>
  <c r="AC338" i="1"/>
  <c r="AE338" i="1"/>
  <c r="AC337" i="1"/>
  <c r="AE337" i="1"/>
  <c r="AC333" i="1"/>
  <c r="AE333" i="1"/>
  <c r="AC330" i="1"/>
  <c r="AE330" i="1"/>
  <c r="AC329" i="1"/>
  <c r="AE329" i="1"/>
  <c r="AC327" i="1"/>
  <c r="AE327" i="1"/>
  <c r="AC321" i="1"/>
  <c r="AE321" i="1"/>
  <c r="AC459" i="1"/>
  <c r="AE459" i="1"/>
  <c r="AC457" i="1"/>
  <c r="AE457" i="1"/>
  <c r="AC455" i="1"/>
  <c r="AE455" i="1"/>
  <c r="AC454" i="1"/>
  <c r="AE454" i="1"/>
  <c r="AC452" i="1"/>
  <c r="AE452" i="1"/>
  <c r="AC451" i="1"/>
  <c r="AE451" i="1"/>
  <c r="AC448" i="1"/>
  <c r="AE448" i="1"/>
  <c r="AC447" i="1"/>
  <c r="AE447" i="1"/>
  <c r="AC446" i="1"/>
  <c r="AE446" i="1"/>
  <c r="AC440" i="1"/>
  <c r="AE440" i="1"/>
  <c r="AC431" i="1"/>
  <c r="AE431" i="1"/>
  <c r="AC430" i="1"/>
  <c r="AE430" i="1"/>
  <c r="AC423" i="1"/>
  <c r="AE423" i="1"/>
  <c r="AC411" i="1"/>
  <c r="AE411" i="1"/>
  <c r="AC402" i="1"/>
  <c r="AE402" i="1"/>
  <c r="AC399" i="1"/>
  <c r="AE399" i="1"/>
  <c r="AC390" i="1"/>
  <c r="AE390" i="1"/>
  <c r="AC387" i="1"/>
  <c r="AE387" i="1"/>
  <c r="AC383" i="1"/>
  <c r="AE383" i="1"/>
  <c r="AC382" i="1"/>
  <c r="AE382" i="1"/>
  <c r="AC380" i="1"/>
  <c r="AE380" i="1"/>
  <c r="AC376" i="1"/>
  <c r="AE376" i="1"/>
  <c r="AC371" i="1"/>
  <c r="AE371" i="1"/>
  <c r="AC370" i="1"/>
  <c r="AE370" i="1"/>
  <c r="AC367" i="1"/>
  <c r="AE367" i="1"/>
  <c r="AC363" i="1"/>
  <c r="AE363" i="1"/>
  <c r="AC359" i="1"/>
  <c r="AE359" i="1"/>
  <c r="AC358" i="1"/>
  <c r="AE358" i="1"/>
  <c r="AC356" i="1"/>
  <c r="AE356" i="1"/>
  <c r="AC355" i="1"/>
  <c r="AE355" i="1"/>
  <c r="AC350" i="1"/>
  <c r="AE350" i="1"/>
  <c r="AC347" i="1"/>
  <c r="AE347" i="1"/>
  <c r="AC346" i="1"/>
  <c r="AE346" i="1"/>
  <c r="AC344" i="1"/>
  <c r="AE344" i="1"/>
  <c r="AC343" i="1"/>
  <c r="AE343" i="1"/>
  <c r="AC342" i="1"/>
  <c r="AE342" i="1"/>
  <c r="AC339" i="1"/>
  <c r="AE339" i="1"/>
  <c r="AC335" i="1"/>
  <c r="AE335" i="1"/>
  <c r="AC334" i="1"/>
  <c r="AE334" i="1"/>
  <c r="AC331" i="1"/>
  <c r="AE331" i="1"/>
  <c r="AC325" i="1"/>
  <c r="AE325" i="1"/>
  <c r="AC319" i="1"/>
  <c r="AE319" i="1"/>
  <c r="AC460" i="1"/>
  <c r="AE460" i="1"/>
  <c r="AC456" i="1"/>
  <c r="AE456" i="1"/>
  <c r="AC444" i="1"/>
  <c r="AE444" i="1"/>
  <c r="AC443" i="1"/>
  <c r="AE443" i="1"/>
  <c r="AC439" i="1"/>
  <c r="AE439" i="1"/>
  <c r="AC436" i="1"/>
  <c r="AE436" i="1"/>
  <c r="AC433" i="1"/>
  <c r="AE433" i="1"/>
  <c r="AC427" i="1"/>
  <c r="AE427" i="1"/>
  <c r="AC420" i="1"/>
  <c r="AE420" i="1"/>
  <c r="AC419" i="1"/>
  <c r="AE419" i="1"/>
  <c r="AC412" i="1"/>
  <c r="AE412" i="1"/>
  <c r="AC409" i="1"/>
  <c r="AE409" i="1"/>
  <c r="AC408" i="1"/>
  <c r="AE408" i="1"/>
  <c r="AC407" i="1"/>
  <c r="AE407" i="1"/>
  <c r="AC403" i="1"/>
  <c r="AE403" i="1"/>
  <c r="AC400" i="1"/>
  <c r="AE400" i="1"/>
  <c r="AC396" i="1"/>
  <c r="AE396" i="1"/>
  <c r="AC392" i="1"/>
  <c r="AE392" i="1"/>
  <c r="AC391" i="1"/>
  <c r="AE391" i="1"/>
  <c r="AC385" i="1"/>
  <c r="AE385" i="1"/>
  <c r="AC384" i="1"/>
  <c r="AE384" i="1"/>
  <c r="AC379" i="1"/>
  <c r="AE379" i="1"/>
  <c r="AC368" i="1"/>
  <c r="AE368" i="1"/>
  <c r="AC364" i="1"/>
  <c r="AE364" i="1"/>
  <c r="AC361" i="1"/>
  <c r="AE361" i="1"/>
  <c r="AC357" i="1"/>
  <c r="AE357" i="1"/>
  <c r="AC353" i="1"/>
  <c r="AE353" i="1"/>
  <c r="AC351" i="1"/>
  <c r="AE351" i="1"/>
  <c r="AC349" i="1"/>
  <c r="AE349" i="1"/>
  <c r="AC348" i="1"/>
  <c r="AE348" i="1"/>
  <c r="AC340" i="1"/>
  <c r="AE340" i="1"/>
  <c r="AC336" i="1"/>
  <c r="AE336" i="1"/>
  <c r="AC332" i="1"/>
  <c r="AE332" i="1"/>
  <c r="AC328" i="1"/>
  <c r="AE328" i="1"/>
  <c r="AC326" i="1"/>
  <c r="AE326" i="1"/>
  <c r="AC320" i="1"/>
  <c r="AE320" i="1"/>
  <c r="AC324" i="1"/>
  <c r="AE324" i="1"/>
  <c r="AC315" i="1"/>
  <c r="AE315" i="1"/>
  <c r="AC313" i="1"/>
  <c r="AE313" i="1"/>
  <c r="AC172" i="1"/>
  <c r="AE172" i="1"/>
  <c r="AC312" i="1"/>
  <c r="AE312" i="1"/>
  <c r="AC308" i="1"/>
  <c r="AE308" i="1"/>
  <c r="AC305" i="1"/>
  <c r="AE305" i="1"/>
  <c r="AC304" i="1"/>
  <c r="AE304" i="1"/>
  <c r="AC300" i="1"/>
  <c r="AE300" i="1"/>
  <c r="AC298" i="1"/>
  <c r="AE298" i="1"/>
  <c r="AC296" i="1"/>
  <c r="AE296" i="1"/>
  <c r="AC288" i="1"/>
  <c r="AE288" i="1"/>
  <c r="AC285" i="1"/>
  <c r="AE285" i="1"/>
  <c r="AC272" i="1"/>
  <c r="AE272" i="1"/>
  <c r="AC264" i="1"/>
  <c r="AE264" i="1"/>
  <c r="AC262" i="1"/>
  <c r="AE262" i="1"/>
  <c r="AC260" i="1"/>
  <c r="AE260" i="1"/>
  <c r="AC254" i="1"/>
  <c r="AE254" i="1"/>
  <c r="AC252" i="1"/>
  <c r="AE252" i="1"/>
  <c r="AC248" i="1"/>
  <c r="AE248" i="1"/>
  <c r="AC244" i="1"/>
  <c r="AE244" i="1"/>
  <c r="AC242" i="1"/>
  <c r="AE242" i="1"/>
  <c r="AC236" i="1"/>
  <c r="AE236" i="1"/>
  <c r="AC234" i="1"/>
  <c r="AE234" i="1"/>
  <c r="AC232" i="1"/>
  <c r="AE232" i="1"/>
  <c r="AC228" i="1"/>
  <c r="AE228" i="1"/>
  <c r="AC222" i="1"/>
  <c r="AE222" i="1"/>
  <c r="AC220" i="1"/>
  <c r="AE220" i="1"/>
  <c r="AC208" i="1"/>
  <c r="AE208" i="1"/>
  <c r="AC202" i="1"/>
  <c r="AE202" i="1"/>
  <c r="AC200" i="1"/>
  <c r="AE200" i="1"/>
  <c r="AC198" i="1"/>
  <c r="AE198" i="1"/>
  <c r="AC196" i="1"/>
  <c r="AE196" i="1"/>
  <c r="AC192" i="1"/>
  <c r="AE192" i="1"/>
  <c r="AC188" i="1"/>
  <c r="AE188" i="1"/>
  <c r="AC186" i="1"/>
  <c r="AE186" i="1"/>
  <c r="AC184" i="1"/>
  <c r="AE184" i="1"/>
  <c r="AC180" i="1"/>
  <c r="AE180" i="1"/>
  <c r="AC175" i="1"/>
  <c r="AE175" i="1"/>
  <c r="AC311" i="1"/>
  <c r="AE311" i="1"/>
  <c r="AC309" i="1"/>
  <c r="AE309" i="1"/>
  <c r="AC306" i="1"/>
  <c r="AE306" i="1"/>
  <c r="AC301" i="1"/>
  <c r="AE301" i="1"/>
  <c r="AC295" i="1"/>
  <c r="AE295" i="1"/>
  <c r="AC286" i="1"/>
  <c r="AE286" i="1"/>
  <c r="AC282" i="1"/>
  <c r="AE282" i="1"/>
  <c r="AC281" i="1"/>
  <c r="AE281" i="1"/>
  <c r="AC279" i="1"/>
  <c r="AE279" i="1"/>
  <c r="AC277" i="1"/>
  <c r="AE277" i="1"/>
  <c r="AC270" i="1"/>
  <c r="AE270" i="1"/>
  <c r="AC269" i="1"/>
  <c r="AE269" i="1"/>
  <c r="AC265" i="1"/>
  <c r="AE265" i="1"/>
  <c r="AC261" i="1"/>
  <c r="AE261" i="1"/>
  <c r="AC259" i="1"/>
  <c r="AE259" i="1"/>
  <c r="AC257" i="1"/>
  <c r="AE257" i="1"/>
  <c r="AC255" i="1"/>
  <c r="AE255" i="1"/>
  <c r="AC245" i="1"/>
  <c r="AE245" i="1"/>
  <c r="AC243" i="1"/>
  <c r="AE243" i="1"/>
  <c r="AC237" i="1"/>
  <c r="AE237" i="1"/>
  <c r="AC233" i="1"/>
  <c r="AE233" i="1"/>
  <c r="AC229" i="1"/>
  <c r="AE229" i="1"/>
  <c r="AC225" i="1"/>
  <c r="AE225" i="1"/>
  <c r="AC221" i="1"/>
  <c r="AE221" i="1"/>
  <c r="AC213" i="1"/>
  <c r="AE213" i="1"/>
  <c r="AC210" i="1"/>
  <c r="AE210" i="1"/>
  <c r="AC209" i="1"/>
  <c r="AE209" i="1"/>
  <c r="AC205" i="1"/>
  <c r="AE205" i="1"/>
  <c r="AC203" i="1"/>
  <c r="AE203" i="1"/>
  <c r="AC201" i="1"/>
  <c r="AE201" i="1"/>
  <c r="AC194" i="1"/>
  <c r="AE194" i="1"/>
  <c r="AC193" i="1"/>
  <c r="AE193" i="1"/>
  <c r="AC187" i="1"/>
  <c r="AE187" i="1"/>
  <c r="AC176" i="1"/>
  <c r="AE176" i="1"/>
  <c r="AC174" i="1"/>
  <c r="AE174" i="1"/>
  <c r="AC302" i="1"/>
  <c r="AE302" i="1"/>
  <c r="AC294" i="1"/>
  <c r="AE294" i="1"/>
  <c r="AC291" i="1"/>
  <c r="AE291" i="1"/>
  <c r="AC290" i="1"/>
  <c r="AE290" i="1"/>
  <c r="AC284" i="1"/>
  <c r="AE284" i="1"/>
  <c r="AC280" i="1"/>
  <c r="AE280" i="1"/>
  <c r="AC278" i="1"/>
  <c r="AE278" i="1"/>
  <c r="AC276" i="1"/>
  <c r="AE276" i="1"/>
  <c r="AC274" i="1"/>
  <c r="AE274" i="1"/>
  <c r="AC271" i="1"/>
  <c r="AE271" i="1"/>
  <c r="AC268" i="1"/>
  <c r="AE268" i="1"/>
  <c r="AC266" i="1"/>
  <c r="AE266" i="1"/>
  <c r="AC258" i="1"/>
  <c r="AE258" i="1"/>
  <c r="AC250" i="1"/>
  <c r="AE250" i="1"/>
  <c r="AC246" i="1"/>
  <c r="AE246" i="1"/>
  <c r="AC240" i="1"/>
  <c r="AE240" i="1"/>
  <c r="AC238" i="1"/>
  <c r="AE238" i="1"/>
  <c r="AC231" i="1"/>
  <c r="AE231" i="1"/>
  <c r="AC230" i="1"/>
  <c r="AE230" i="1"/>
  <c r="AC227" i="1"/>
  <c r="AE227" i="1"/>
  <c r="AC226" i="1"/>
  <c r="AE226" i="1"/>
  <c r="AC224" i="1"/>
  <c r="AE224" i="1"/>
  <c r="AC218" i="1"/>
  <c r="AE218" i="1"/>
  <c r="AC216" i="1"/>
  <c r="AE216" i="1"/>
  <c r="AC214" i="1"/>
  <c r="AE214" i="1"/>
  <c r="AC212" i="1"/>
  <c r="AE212" i="1"/>
  <c r="AC206" i="1"/>
  <c r="AE206" i="1"/>
  <c r="AC204" i="1"/>
  <c r="AE204" i="1"/>
  <c r="AC190" i="1"/>
  <c r="AE190" i="1"/>
  <c r="AC182" i="1"/>
  <c r="AE182" i="1"/>
  <c r="AC179" i="1"/>
  <c r="AE179" i="1"/>
  <c r="AC178" i="1"/>
  <c r="AE178" i="1"/>
  <c r="AC314" i="1"/>
  <c r="AE314" i="1"/>
  <c r="AC310" i="1"/>
  <c r="AE310" i="1"/>
  <c r="AC307" i="1"/>
  <c r="AE307" i="1"/>
  <c r="AC303" i="1"/>
  <c r="AE303" i="1"/>
  <c r="AC299" i="1"/>
  <c r="AE299" i="1"/>
  <c r="AC297" i="1"/>
  <c r="AE297" i="1"/>
  <c r="AC293" i="1"/>
  <c r="AE293" i="1"/>
  <c r="AC292" i="1"/>
  <c r="AE292" i="1"/>
  <c r="AC289" i="1"/>
  <c r="AE289" i="1"/>
  <c r="AC287" i="1"/>
  <c r="AE287" i="1"/>
  <c r="AC283" i="1"/>
  <c r="AE283" i="1"/>
  <c r="AC275" i="1"/>
  <c r="AE275" i="1"/>
  <c r="AC273" i="1"/>
  <c r="AE273" i="1"/>
  <c r="AC267" i="1"/>
  <c r="AE267" i="1"/>
  <c r="AC263" i="1"/>
  <c r="AE263" i="1"/>
  <c r="AC256" i="1"/>
  <c r="AE256" i="1"/>
  <c r="AC253" i="1"/>
  <c r="AE253" i="1"/>
  <c r="AC251" i="1"/>
  <c r="AE251" i="1"/>
  <c r="AC249" i="1"/>
  <c r="AE249" i="1"/>
  <c r="AC247" i="1"/>
  <c r="AE247" i="1"/>
  <c r="AC241" i="1"/>
  <c r="AE241" i="1"/>
  <c r="AC239" i="1"/>
  <c r="AE239" i="1"/>
  <c r="AC235" i="1"/>
  <c r="AE235" i="1"/>
  <c r="AC223" i="1"/>
  <c r="AE223" i="1"/>
  <c r="AC219" i="1"/>
  <c r="AE219" i="1"/>
  <c r="AC217" i="1"/>
  <c r="AE217" i="1"/>
  <c r="AC215" i="1"/>
  <c r="AE215" i="1"/>
  <c r="AC211" i="1"/>
  <c r="AE211" i="1"/>
  <c r="AC207" i="1"/>
  <c r="AE207" i="1"/>
  <c r="AC199" i="1"/>
  <c r="AE199" i="1"/>
  <c r="AC197" i="1"/>
  <c r="AE197" i="1"/>
  <c r="AC195" i="1"/>
  <c r="AE195" i="1"/>
  <c r="AC191" i="1"/>
  <c r="AE191" i="1"/>
  <c r="AC189" i="1"/>
  <c r="AE189" i="1"/>
  <c r="AC185" i="1"/>
  <c r="AE185" i="1"/>
  <c r="AC183" i="1"/>
  <c r="AE183" i="1"/>
  <c r="AC181" i="1"/>
  <c r="AE181" i="1"/>
  <c r="AC177" i="1"/>
  <c r="AE177" i="1"/>
  <c r="AC173" i="1"/>
  <c r="AE173" i="1"/>
  <c r="AC167" i="1"/>
  <c r="S112" i="24" s="1"/>
  <c r="T112" i="24" s="1"/>
  <c r="AE167" i="1"/>
  <c r="AC163" i="1"/>
  <c r="S108" i="24" s="1"/>
  <c r="T108" i="24" s="1"/>
  <c r="AE163" i="1"/>
  <c r="AC158" i="1"/>
  <c r="S103" i="24" s="1"/>
  <c r="T103" i="24" s="1"/>
  <c r="AE158" i="1"/>
  <c r="AC155" i="1"/>
  <c r="S100" i="24" s="1"/>
  <c r="T100" i="24" s="1"/>
  <c r="AE155" i="1"/>
  <c r="AC154" i="1"/>
  <c r="S99" i="24" s="1"/>
  <c r="T99" i="24" s="1"/>
  <c r="AE154" i="1"/>
  <c r="AC153" i="1"/>
  <c r="S98" i="24" s="1"/>
  <c r="T98" i="24" s="1"/>
  <c r="AE153" i="1"/>
  <c r="AC151" i="1"/>
  <c r="S96" i="24" s="1"/>
  <c r="T96" i="24" s="1"/>
  <c r="AE151" i="1"/>
  <c r="AC150" i="1"/>
  <c r="S95" i="24" s="1"/>
  <c r="T95" i="24" s="1"/>
  <c r="AE150" i="1"/>
  <c r="AC143" i="1"/>
  <c r="S88" i="24" s="1"/>
  <c r="T88" i="24" s="1"/>
  <c r="AE143" i="1"/>
  <c r="AC139" i="1"/>
  <c r="S84" i="24" s="1"/>
  <c r="T84" i="24" s="1"/>
  <c r="AE139" i="1"/>
  <c r="AC135" i="1"/>
  <c r="S80" i="24" s="1"/>
  <c r="T80" i="24" s="1"/>
  <c r="AE135" i="1"/>
  <c r="AC134" i="1"/>
  <c r="S79" i="24" s="1"/>
  <c r="T79" i="24" s="1"/>
  <c r="AE134" i="1"/>
  <c r="AC127" i="1"/>
  <c r="S72" i="24" s="1"/>
  <c r="T72" i="24" s="1"/>
  <c r="AE127" i="1"/>
  <c r="AC122" i="1"/>
  <c r="S67" i="24" s="1"/>
  <c r="T67" i="24" s="1"/>
  <c r="AE122" i="1"/>
  <c r="AC119" i="1"/>
  <c r="S64" i="24" s="1"/>
  <c r="T64" i="24" s="1"/>
  <c r="AE119" i="1"/>
  <c r="AC114" i="1"/>
  <c r="S59" i="24" s="1"/>
  <c r="T59" i="24" s="1"/>
  <c r="AE114" i="1"/>
  <c r="AC111" i="1"/>
  <c r="S56" i="24" s="1"/>
  <c r="T56" i="24" s="1"/>
  <c r="AE111" i="1"/>
  <c r="AC110" i="1"/>
  <c r="S55" i="24" s="1"/>
  <c r="T55" i="24" s="1"/>
  <c r="AE110" i="1"/>
  <c r="AC107" i="1"/>
  <c r="S52" i="24" s="1"/>
  <c r="T52" i="24" s="1"/>
  <c r="AE107" i="1"/>
  <c r="AC102" i="1"/>
  <c r="S47" i="24" s="1"/>
  <c r="T47" i="24" s="1"/>
  <c r="AE102" i="1"/>
  <c r="AC99" i="1"/>
  <c r="S44" i="24" s="1"/>
  <c r="T44" i="24" s="1"/>
  <c r="AE99" i="1"/>
  <c r="AC98" i="1"/>
  <c r="S43" i="24" s="1"/>
  <c r="T43" i="24" s="1"/>
  <c r="AE98" i="1"/>
  <c r="AC91" i="1"/>
  <c r="S36" i="24" s="1"/>
  <c r="T36" i="24" s="1"/>
  <c r="AE91" i="1"/>
  <c r="AC87" i="1"/>
  <c r="S32" i="24" s="1"/>
  <c r="T32" i="24" s="1"/>
  <c r="AE87" i="1"/>
  <c r="AC79" i="1"/>
  <c r="S24" i="24" s="1"/>
  <c r="T24" i="24" s="1"/>
  <c r="AE79" i="1"/>
  <c r="AC78" i="1"/>
  <c r="S23" i="24" s="1"/>
  <c r="T23" i="24" s="1"/>
  <c r="AE78" i="1"/>
  <c r="AC77" i="1"/>
  <c r="S22" i="24" s="1"/>
  <c r="T22" i="24" s="1"/>
  <c r="AE77" i="1"/>
  <c r="AC75" i="1"/>
  <c r="S20" i="24" s="1"/>
  <c r="T20" i="24" s="1"/>
  <c r="AE75" i="1"/>
  <c r="AC74" i="1"/>
  <c r="S19" i="24" s="1"/>
  <c r="T19" i="24" s="1"/>
  <c r="AE74" i="1"/>
  <c r="AC71" i="1"/>
  <c r="S16" i="24" s="1"/>
  <c r="T16" i="24" s="1"/>
  <c r="AE71" i="1"/>
  <c r="AC70" i="1"/>
  <c r="S15" i="24" s="1"/>
  <c r="T15" i="24" s="1"/>
  <c r="AE70" i="1"/>
  <c r="AC67" i="1"/>
  <c r="S12" i="24" s="1"/>
  <c r="T12" i="24" s="1"/>
  <c r="AE67" i="1"/>
  <c r="AC66" i="1"/>
  <c r="S11" i="24" s="1"/>
  <c r="T11" i="24" s="1"/>
  <c r="AE66" i="1"/>
  <c r="AC62" i="1"/>
  <c r="S7" i="24" s="1"/>
  <c r="T7" i="24" s="1"/>
  <c r="AE62" i="1"/>
  <c r="AC58" i="1"/>
  <c r="S3" i="24" s="1"/>
  <c r="T3" i="24" s="1"/>
  <c r="AE58" i="1"/>
  <c r="AC55" i="1"/>
  <c r="AE55" i="1"/>
  <c r="AC51" i="1"/>
  <c r="AE51" i="1"/>
  <c r="AC50" i="1"/>
  <c r="AE50" i="1"/>
  <c r="AC46" i="1"/>
  <c r="AE46" i="1"/>
  <c r="AC43" i="1"/>
  <c r="AE43" i="1"/>
  <c r="AC42" i="1"/>
  <c r="AE42" i="1"/>
  <c r="AC33" i="1"/>
  <c r="AE33" i="1"/>
  <c r="AC39" i="1"/>
  <c r="AE39" i="1"/>
  <c r="AC36" i="1"/>
  <c r="AE36" i="1"/>
  <c r="AC28" i="1"/>
  <c r="AE28" i="1"/>
  <c r="AC25" i="1"/>
  <c r="AE25" i="1"/>
  <c r="AC168" i="1"/>
  <c r="S113" i="24" s="1"/>
  <c r="T113" i="24" s="1"/>
  <c r="AE168" i="1"/>
  <c r="AC164" i="1"/>
  <c r="S109" i="24" s="1"/>
  <c r="T109" i="24" s="1"/>
  <c r="AE164" i="1"/>
  <c r="AC160" i="1"/>
  <c r="S105" i="24" s="1"/>
  <c r="T105" i="24" s="1"/>
  <c r="AE160" i="1"/>
  <c r="AC159" i="1"/>
  <c r="S104" i="24" s="1"/>
  <c r="T104" i="24" s="1"/>
  <c r="AE159" i="1"/>
  <c r="AC152" i="1"/>
  <c r="S97" i="24" s="1"/>
  <c r="T97" i="24" s="1"/>
  <c r="AE152" i="1"/>
  <c r="AC146" i="1"/>
  <c r="S91" i="24" s="1"/>
  <c r="T91" i="24" s="1"/>
  <c r="AE146" i="1"/>
  <c r="AC144" i="1"/>
  <c r="S89" i="24" s="1"/>
  <c r="T89" i="24" s="1"/>
  <c r="AE144" i="1"/>
  <c r="AC136" i="1"/>
  <c r="S81" i="24" s="1"/>
  <c r="T81" i="24" s="1"/>
  <c r="AE136" i="1"/>
  <c r="AC132" i="1"/>
  <c r="S77" i="24" s="1"/>
  <c r="T77" i="24" s="1"/>
  <c r="AE132" i="1"/>
  <c r="AC124" i="1"/>
  <c r="S69" i="24" s="1"/>
  <c r="T69" i="24" s="1"/>
  <c r="AE124" i="1"/>
  <c r="AC115" i="1"/>
  <c r="S60" i="24" s="1"/>
  <c r="T60" i="24" s="1"/>
  <c r="AE115" i="1"/>
  <c r="AC112" i="1"/>
  <c r="S57" i="24" s="1"/>
  <c r="T57" i="24" s="1"/>
  <c r="AE112" i="1"/>
  <c r="AC103" i="1"/>
  <c r="S48" i="24" s="1"/>
  <c r="T48" i="24" s="1"/>
  <c r="AE103" i="1"/>
  <c r="AC100" i="1"/>
  <c r="S45" i="24" s="1"/>
  <c r="T45" i="24" s="1"/>
  <c r="AE100" i="1"/>
  <c r="AC96" i="1"/>
  <c r="S41" i="24" s="1"/>
  <c r="T41" i="24" s="1"/>
  <c r="AE96" i="1"/>
  <c r="AC95" i="1"/>
  <c r="S40" i="24" s="1"/>
  <c r="T40" i="24" s="1"/>
  <c r="AE95" i="1"/>
  <c r="AC92" i="1"/>
  <c r="S37" i="24" s="1"/>
  <c r="T37" i="24" s="1"/>
  <c r="AE92" i="1"/>
  <c r="AC84" i="1"/>
  <c r="S29" i="24" s="1"/>
  <c r="T29" i="24" s="1"/>
  <c r="AE84" i="1"/>
  <c r="AC83" i="1"/>
  <c r="S28" i="24" s="1"/>
  <c r="T28" i="24" s="1"/>
  <c r="AE83" i="1"/>
  <c r="AC80" i="1"/>
  <c r="S25" i="24" s="1"/>
  <c r="T25" i="24" s="1"/>
  <c r="AE80" i="1"/>
  <c r="AC76" i="1"/>
  <c r="S21" i="24" s="1"/>
  <c r="T21" i="24" s="1"/>
  <c r="AE76" i="1"/>
  <c r="AC72" i="1"/>
  <c r="S17" i="24" s="1"/>
  <c r="T17" i="24" s="1"/>
  <c r="AE72" i="1"/>
  <c r="AC68" i="1"/>
  <c r="S13" i="24" s="1"/>
  <c r="T13" i="24" s="1"/>
  <c r="AE68" i="1"/>
  <c r="AC63" i="1"/>
  <c r="S8" i="24" s="1"/>
  <c r="T8" i="24" s="1"/>
  <c r="AE63" i="1"/>
  <c r="AC60" i="1"/>
  <c r="S5" i="24" s="1"/>
  <c r="T5" i="24" s="1"/>
  <c r="AE60" i="1"/>
  <c r="AC59" i="1"/>
  <c r="S4" i="24" s="1"/>
  <c r="T4" i="24" s="1"/>
  <c r="AE59" i="1"/>
  <c r="AC56" i="1"/>
  <c r="AE56" i="1"/>
  <c r="AC52" i="1"/>
  <c r="AE52" i="1"/>
  <c r="AC47" i="1"/>
  <c r="AE47" i="1"/>
  <c r="AC44" i="1"/>
  <c r="AE44" i="1"/>
  <c r="AC34" i="1"/>
  <c r="AE34" i="1"/>
  <c r="AC32" i="1"/>
  <c r="AE32" i="1"/>
  <c r="AC31" i="1"/>
  <c r="AE31" i="1"/>
  <c r="AC27" i="1"/>
  <c r="AE27" i="1"/>
  <c r="AC157" i="1"/>
  <c r="S102" i="24" s="1"/>
  <c r="T102" i="24" s="1"/>
  <c r="AE157" i="1"/>
  <c r="AC156" i="1"/>
  <c r="S101" i="24" s="1"/>
  <c r="T101" i="24" s="1"/>
  <c r="AE156" i="1"/>
  <c r="AC149" i="1"/>
  <c r="S94" i="24" s="1"/>
  <c r="T94" i="24" s="1"/>
  <c r="AE149" i="1"/>
  <c r="AC148" i="1"/>
  <c r="S93" i="24" s="1"/>
  <c r="T93" i="24" s="1"/>
  <c r="AE148" i="1"/>
  <c r="AC147" i="1"/>
  <c r="S92" i="24" s="1"/>
  <c r="T92" i="24" s="1"/>
  <c r="AE147" i="1"/>
  <c r="AC140" i="1"/>
  <c r="S85" i="24" s="1"/>
  <c r="T85" i="24" s="1"/>
  <c r="AE140" i="1"/>
  <c r="AC133" i="1"/>
  <c r="S78" i="24" s="1"/>
  <c r="T78" i="24" s="1"/>
  <c r="AE133" i="1"/>
  <c r="AC131" i="1"/>
  <c r="S76" i="24" s="1"/>
  <c r="T76" i="24" s="1"/>
  <c r="AE131" i="1"/>
  <c r="AC128" i="1"/>
  <c r="S73" i="24" s="1"/>
  <c r="T73" i="24" s="1"/>
  <c r="AE128" i="1"/>
  <c r="AC125" i="1"/>
  <c r="S70" i="24" s="1"/>
  <c r="T70" i="24" s="1"/>
  <c r="AE125" i="1"/>
  <c r="AC123" i="1"/>
  <c r="S68" i="24" s="1"/>
  <c r="T68" i="24" s="1"/>
  <c r="AE123" i="1"/>
  <c r="AC121" i="1"/>
  <c r="S66" i="24" s="1"/>
  <c r="T66" i="24" s="1"/>
  <c r="AE121" i="1"/>
  <c r="AC120" i="1"/>
  <c r="S65" i="24" s="1"/>
  <c r="T65" i="24" s="1"/>
  <c r="AE120" i="1"/>
  <c r="AC117" i="1"/>
  <c r="S62" i="24" s="1"/>
  <c r="T62" i="24" s="1"/>
  <c r="AE117" i="1"/>
  <c r="AC116" i="1"/>
  <c r="S61" i="24" s="1"/>
  <c r="T61" i="24" s="1"/>
  <c r="AE116" i="1"/>
  <c r="AC113" i="1"/>
  <c r="S58" i="24" s="1"/>
  <c r="T58" i="24" s="1"/>
  <c r="AE113" i="1"/>
  <c r="AC109" i="1"/>
  <c r="S54" i="24" s="1"/>
  <c r="T54" i="24" s="1"/>
  <c r="AE109" i="1"/>
  <c r="AC108" i="1"/>
  <c r="S53" i="24" s="1"/>
  <c r="T53" i="24" s="1"/>
  <c r="AE108" i="1"/>
  <c r="AC105" i="1"/>
  <c r="S50" i="24" s="1"/>
  <c r="T50" i="24" s="1"/>
  <c r="AE105" i="1"/>
  <c r="AC104" i="1"/>
  <c r="S49" i="24" s="1"/>
  <c r="T49" i="24" s="1"/>
  <c r="AE104" i="1"/>
  <c r="AC97" i="1"/>
  <c r="S42" i="24" s="1"/>
  <c r="T42" i="24" s="1"/>
  <c r="AE97" i="1"/>
  <c r="AC81" i="1"/>
  <c r="S26" i="24" s="1"/>
  <c r="T26" i="24" s="1"/>
  <c r="AE81" i="1"/>
  <c r="AC64" i="1"/>
  <c r="S9" i="24" s="1"/>
  <c r="T9" i="24" s="1"/>
  <c r="AE64" i="1"/>
  <c r="AC61" i="1"/>
  <c r="S6" i="24" s="1"/>
  <c r="T6" i="24" s="1"/>
  <c r="AE61" i="1"/>
  <c r="AC53" i="1"/>
  <c r="AE53" i="1"/>
  <c r="AC49" i="1"/>
  <c r="AE49" i="1"/>
  <c r="AC45" i="1"/>
  <c r="AE45" i="1"/>
  <c r="AC41" i="1"/>
  <c r="AE41" i="1"/>
  <c r="AC38" i="1"/>
  <c r="AE38" i="1"/>
  <c r="AC30" i="1"/>
  <c r="AE30" i="1"/>
  <c r="AC26" i="1"/>
  <c r="AE26" i="1"/>
  <c r="AC35" i="1"/>
  <c r="AE35" i="1"/>
  <c r="AC29" i="1"/>
  <c r="AE29" i="1"/>
  <c r="AC166" i="1"/>
  <c r="S111" i="24" s="1"/>
  <c r="T111" i="24" s="1"/>
  <c r="AE166" i="1"/>
  <c r="AC165" i="1"/>
  <c r="S110" i="24" s="1"/>
  <c r="T110" i="24" s="1"/>
  <c r="AE165" i="1"/>
  <c r="AC162" i="1"/>
  <c r="S107" i="24" s="1"/>
  <c r="T107" i="24" s="1"/>
  <c r="AE162" i="1"/>
  <c r="AC161" i="1"/>
  <c r="S106" i="24" s="1"/>
  <c r="T106" i="24" s="1"/>
  <c r="AE161" i="1"/>
  <c r="AC145" i="1"/>
  <c r="S90" i="24" s="1"/>
  <c r="T90" i="24" s="1"/>
  <c r="AE145" i="1"/>
  <c r="AC142" i="1"/>
  <c r="S87" i="24" s="1"/>
  <c r="T87" i="24" s="1"/>
  <c r="AE142" i="1"/>
  <c r="AC141" i="1"/>
  <c r="S86" i="24" s="1"/>
  <c r="T86" i="24" s="1"/>
  <c r="AE141" i="1"/>
  <c r="AC138" i="1"/>
  <c r="S83" i="24" s="1"/>
  <c r="T83" i="24" s="1"/>
  <c r="AE138" i="1"/>
  <c r="AC137" i="1"/>
  <c r="S82" i="24" s="1"/>
  <c r="T82" i="24" s="1"/>
  <c r="AE137" i="1"/>
  <c r="AC130" i="1"/>
  <c r="S75" i="24" s="1"/>
  <c r="T75" i="24" s="1"/>
  <c r="AE130" i="1"/>
  <c r="AC129" i="1"/>
  <c r="S74" i="24" s="1"/>
  <c r="T74" i="24" s="1"/>
  <c r="AE129" i="1"/>
  <c r="AC126" i="1"/>
  <c r="S71" i="24" s="1"/>
  <c r="T71" i="24" s="1"/>
  <c r="AE126" i="1"/>
  <c r="AC118" i="1"/>
  <c r="S63" i="24" s="1"/>
  <c r="T63" i="24" s="1"/>
  <c r="AE118" i="1"/>
  <c r="AC106" i="1"/>
  <c r="S51" i="24" s="1"/>
  <c r="T51" i="24" s="1"/>
  <c r="AE106" i="1"/>
  <c r="AC101" i="1"/>
  <c r="S46" i="24" s="1"/>
  <c r="T46" i="24" s="1"/>
  <c r="AE101" i="1"/>
  <c r="AC94" i="1"/>
  <c r="S39" i="24" s="1"/>
  <c r="T39" i="24" s="1"/>
  <c r="AE94" i="1"/>
  <c r="AC93" i="1"/>
  <c r="S38" i="24" s="1"/>
  <c r="T38" i="24" s="1"/>
  <c r="AE93" i="1"/>
  <c r="AC90" i="1"/>
  <c r="S35" i="24" s="1"/>
  <c r="T35" i="24" s="1"/>
  <c r="AE90" i="1"/>
  <c r="AC89" i="1"/>
  <c r="S34" i="24" s="1"/>
  <c r="T34" i="24" s="1"/>
  <c r="AE89" i="1"/>
  <c r="AC88" i="1"/>
  <c r="S33" i="24" s="1"/>
  <c r="T33" i="24" s="1"/>
  <c r="AE88" i="1"/>
  <c r="AC86" i="1"/>
  <c r="S31" i="24" s="1"/>
  <c r="T31" i="24" s="1"/>
  <c r="AE86" i="1"/>
  <c r="AC85" i="1"/>
  <c r="S30" i="24" s="1"/>
  <c r="T30" i="24" s="1"/>
  <c r="AE85" i="1"/>
  <c r="AC82" i="1"/>
  <c r="S27" i="24" s="1"/>
  <c r="T27" i="24" s="1"/>
  <c r="AE82" i="1"/>
  <c r="AC73" i="1"/>
  <c r="S18" i="24" s="1"/>
  <c r="T18" i="24" s="1"/>
  <c r="AE73" i="1"/>
  <c r="AC69" i="1"/>
  <c r="S14" i="24" s="1"/>
  <c r="T14" i="24" s="1"/>
  <c r="AE69" i="1"/>
  <c r="AC65" i="1"/>
  <c r="S10" i="24" s="1"/>
  <c r="T10" i="24" s="1"/>
  <c r="AE65" i="1"/>
  <c r="AC57" i="1"/>
  <c r="AE57" i="1"/>
  <c r="AC54" i="1"/>
  <c r="AE54" i="1"/>
  <c r="AC48" i="1"/>
  <c r="AE48" i="1"/>
  <c r="AC40" i="1"/>
  <c r="AE40" i="1"/>
  <c r="AC37" i="1"/>
  <c r="AE37" i="1"/>
  <c r="D3" i="3" l="1"/>
  <c r="F4" i="1" s="1"/>
  <c r="C17" i="1" s="1"/>
  <c r="T2" i="24"/>
  <c r="J5" i="1"/>
  <c r="J6" i="1"/>
  <c r="J7" i="1"/>
  <c r="F16" i="1" l="1"/>
  <c r="O275" i="1"/>
  <c r="O217" i="1"/>
  <c r="O371" i="1"/>
  <c r="O319" i="1"/>
  <c r="V319" i="1" s="1"/>
  <c r="O423" i="1"/>
  <c r="O162" i="1"/>
  <c r="BQ107" i="16" s="1"/>
  <c r="O303" i="1"/>
  <c r="O283" i="1"/>
  <c r="O263" i="1"/>
  <c r="O226" i="1"/>
  <c r="O238" i="1"/>
  <c r="O250" i="1"/>
  <c r="O209" i="1"/>
  <c r="O205" i="1"/>
  <c r="O201" i="1"/>
  <c r="V201" i="1" s="1"/>
  <c r="O272" i="1"/>
  <c r="O200" i="1"/>
  <c r="V200" i="1" s="1"/>
  <c r="O330" i="1"/>
  <c r="V330" i="1" s="1"/>
  <c r="O159" i="1"/>
  <c r="BQ104" i="16" s="1"/>
  <c r="O404" i="1"/>
  <c r="O337" i="1"/>
  <c r="V337" i="1" s="1"/>
  <c r="O416" i="1"/>
  <c r="O431" i="1"/>
  <c r="O367" i="1"/>
  <c r="O155" i="1"/>
  <c r="BQ100" i="16" s="1"/>
  <c r="O91" i="1"/>
  <c r="BQ36" i="16" s="1"/>
  <c r="O27" i="1"/>
  <c r="O65" i="1"/>
  <c r="BQ10" i="16" s="1"/>
  <c r="O364" i="1"/>
  <c r="O443" i="1"/>
  <c r="O379" i="1"/>
  <c r="O167" i="1"/>
  <c r="BQ112" i="16" s="1"/>
  <c r="O103" i="1"/>
  <c r="BQ48" i="16" s="1"/>
  <c r="O39" i="1"/>
  <c r="O114" i="1"/>
  <c r="BQ59" i="16" s="1"/>
  <c r="O392" i="1"/>
  <c r="O328" i="1"/>
  <c r="V328" i="1" s="1"/>
  <c r="O407" i="1"/>
  <c r="O343" i="1"/>
  <c r="V343" i="1" s="1"/>
  <c r="O131" i="1"/>
  <c r="BQ76" i="16" s="1"/>
  <c r="O67" i="1"/>
  <c r="BQ12" i="16" s="1"/>
  <c r="O146" i="1"/>
  <c r="BQ91" i="16" s="1"/>
  <c r="O211" i="1"/>
  <c r="O293" i="1"/>
  <c r="O227" i="1"/>
  <c r="O287" i="1"/>
  <c r="O223" i="1"/>
  <c r="O302" i="1"/>
  <c r="O308" i="1"/>
  <c r="O267" i="1"/>
  <c r="O203" i="1"/>
  <c r="V203" i="1" s="1"/>
  <c r="O246" i="1"/>
  <c r="O311" i="1"/>
  <c r="O247" i="1"/>
  <c r="O183" i="1"/>
  <c r="V183" i="1" s="1"/>
  <c r="O309" i="1"/>
  <c r="O274" i="1"/>
  <c r="O210" i="1"/>
  <c r="O289" i="1"/>
  <c r="O213" i="1"/>
  <c r="O286" i="1"/>
  <c r="O222" i="1"/>
  <c r="O301" i="1"/>
  <c r="O237" i="1"/>
  <c r="O445" i="1"/>
  <c r="O234" i="1"/>
  <c r="O313" i="1"/>
  <c r="O249" i="1"/>
  <c r="O434" i="1"/>
  <c r="O193" i="1"/>
  <c r="V193" i="1" s="1"/>
  <c r="O264" i="1"/>
  <c r="O454" i="1"/>
  <c r="O413" i="1"/>
  <c r="O189" i="1"/>
  <c r="V189" i="1" s="1"/>
  <c r="O260" i="1"/>
  <c r="O442" i="1"/>
  <c r="O381" i="1"/>
  <c r="O185" i="1"/>
  <c r="V185" i="1" s="1"/>
  <c r="O252" i="1"/>
  <c r="O438" i="1"/>
  <c r="O365" i="1"/>
  <c r="O256" i="1"/>
  <c r="O176" i="1"/>
  <c r="V176" i="1" s="1"/>
  <c r="O386" i="1"/>
  <c r="O451" i="1"/>
  <c r="O184" i="1"/>
  <c r="V184" i="1" s="1"/>
  <c r="O414" i="1"/>
  <c r="O461" i="1"/>
  <c r="O323" i="1"/>
  <c r="V323" i="1" s="1"/>
  <c r="O457" i="1"/>
  <c r="O393" i="1"/>
  <c r="O329" i="1"/>
  <c r="V329" i="1" s="1"/>
  <c r="O356" i="1"/>
  <c r="O79" i="1"/>
  <c r="BQ24" i="16" s="1"/>
  <c r="O453" i="1"/>
  <c r="O389" i="1"/>
  <c r="O325" i="1"/>
  <c r="V325" i="1" s="1"/>
  <c r="O340" i="1"/>
  <c r="V340" i="1" s="1"/>
  <c r="O47" i="1"/>
  <c r="O449" i="1"/>
  <c r="O385" i="1"/>
  <c r="O321" i="1"/>
  <c r="V321" i="1" s="1"/>
  <c r="O324" i="1"/>
  <c r="V324" i="1" s="1"/>
  <c r="O158" i="1"/>
  <c r="BQ103" i="16" s="1"/>
  <c r="O142" i="1"/>
  <c r="BQ87" i="16" s="1"/>
  <c r="O400" i="1"/>
  <c r="O336" i="1"/>
  <c r="V336" i="1" s="1"/>
  <c r="O415" i="1"/>
  <c r="O351" i="1"/>
  <c r="V351" i="1" s="1"/>
  <c r="O139" i="1"/>
  <c r="BQ84" i="16" s="1"/>
  <c r="O75" i="1"/>
  <c r="BQ20" i="16" s="1"/>
  <c r="O154" i="1"/>
  <c r="BQ99" i="16" s="1"/>
  <c r="O412" i="1"/>
  <c r="O348" i="1"/>
  <c r="V348" i="1" s="1"/>
  <c r="O427" i="1"/>
  <c r="O363" i="1"/>
  <c r="O151" i="1"/>
  <c r="BQ96" i="16" s="1"/>
  <c r="O87" i="1"/>
  <c r="BQ32" i="16" s="1"/>
  <c r="O166" i="1"/>
  <c r="BQ111" i="16" s="1"/>
  <c r="O148" i="1"/>
  <c r="BQ93" i="16" s="1"/>
  <c r="O376" i="1"/>
  <c r="O455" i="1"/>
  <c r="O391" i="1"/>
  <c r="O327" i="1"/>
  <c r="V327" i="1" s="1"/>
  <c r="O115" i="1"/>
  <c r="BQ60" i="16" s="1"/>
  <c r="O51" i="1"/>
  <c r="O130" i="1"/>
  <c r="BQ75" i="16" s="1"/>
  <c r="O84" i="1"/>
  <c r="BQ29" i="16" s="1"/>
  <c r="O49" i="1"/>
  <c r="O161" i="1"/>
  <c r="BQ106" i="16" s="1"/>
  <c r="O52" i="1"/>
  <c r="O81" i="1"/>
  <c r="BQ26" i="16" s="1"/>
  <c r="O110" i="1"/>
  <c r="BQ55" i="16" s="1"/>
  <c r="O46" i="1"/>
  <c r="O125" i="1"/>
  <c r="BQ70" i="16" s="1"/>
  <c r="O61" i="1"/>
  <c r="BQ6" i="16" s="1"/>
  <c r="O144" i="1"/>
  <c r="BQ89" i="16" s="1"/>
  <c r="O80" i="1"/>
  <c r="BQ25" i="16" s="1"/>
  <c r="O106" i="1"/>
  <c r="BQ51" i="16" s="1"/>
  <c r="O42" i="1"/>
  <c r="O121" i="1"/>
  <c r="BQ66" i="16" s="1"/>
  <c r="O57" i="1"/>
  <c r="O140" i="1"/>
  <c r="BQ85" i="16" s="1"/>
  <c r="O76" i="1"/>
  <c r="BQ21" i="16" s="1"/>
  <c r="O102" i="1"/>
  <c r="BQ47" i="16" s="1"/>
  <c r="O38" i="1"/>
  <c r="O117" i="1"/>
  <c r="BQ62" i="16" s="1"/>
  <c r="O53" i="1"/>
  <c r="O136" i="1"/>
  <c r="BQ81" i="16" s="1"/>
  <c r="O72" i="1"/>
  <c r="BQ17" i="16" s="1"/>
  <c r="O98" i="1"/>
  <c r="BQ43" i="16" s="1"/>
  <c r="O132" i="1"/>
  <c r="BQ77" i="16" s="1"/>
  <c r="O97" i="1"/>
  <c r="BQ42" i="16" s="1"/>
  <c r="O118" i="1"/>
  <c r="BQ63" i="16" s="1"/>
  <c r="O164" i="1"/>
  <c r="BQ109" i="16" s="1"/>
  <c r="O94" i="1"/>
  <c r="BQ39" i="16" s="1"/>
  <c r="O30" i="1"/>
  <c r="O109" i="1"/>
  <c r="BQ54" i="16" s="1"/>
  <c r="O45" i="1"/>
  <c r="O128" i="1"/>
  <c r="BQ73" i="16" s="1"/>
  <c r="O64" i="1"/>
  <c r="BQ9" i="16" s="1"/>
  <c r="O90" i="1"/>
  <c r="BQ35" i="16" s="1"/>
  <c r="O26" i="1"/>
  <c r="O105" i="1"/>
  <c r="BQ50" i="16" s="1"/>
  <c r="O41" i="1"/>
  <c r="O124" i="1"/>
  <c r="BQ69" i="16" s="1"/>
  <c r="O60" i="1"/>
  <c r="BQ5" i="16" s="1"/>
  <c r="O86" i="1"/>
  <c r="BQ31" i="16" s="1"/>
  <c r="O165" i="1"/>
  <c r="BQ110" i="16" s="1"/>
  <c r="O101" i="1"/>
  <c r="BQ46" i="16" s="1"/>
  <c r="O37" i="1"/>
  <c r="O120" i="1"/>
  <c r="BQ65" i="16" s="1"/>
  <c r="O56" i="1"/>
  <c r="O34" i="1"/>
  <c r="O68" i="1"/>
  <c r="BQ13" i="16" s="1"/>
  <c r="O33" i="1"/>
  <c r="O66" i="1"/>
  <c r="BQ11" i="16" s="1"/>
  <c r="O100" i="1"/>
  <c r="BQ45" i="16" s="1"/>
  <c r="O78" i="1"/>
  <c r="BQ23" i="16" s="1"/>
  <c r="O157" i="1"/>
  <c r="BQ102" i="16" s="1"/>
  <c r="O93" i="1"/>
  <c r="BQ38" i="16" s="1"/>
  <c r="O29" i="1"/>
  <c r="O112" i="1"/>
  <c r="BQ57" i="16" s="1"/>
  <c r="O48" i="1"/>
  <c r="O74" i="1"/>
  <c r="BQ19" i="16" s="1"/>
  <c r="O153" i="1"/>
  <c r="BQ98" i="16" s="1"/>
  <c r="O89" i="1"/>
  <c r="BQ34" i="16" s="1"/>
  <c r="O25" i="1"/>
  <c r="O108" i="1"/>
  <c r="BQ53" i="16" s="1"/>
  <c r="O44" i="1"/>
  <c r="O70" i="1"/>
  <c r="BQ15" i="16" s="1"/>
  <c r="O149" i="1"/>
  <c r="BQ94" i="16" s="1"/>
  <c r="O85" i="1"/>
  <c r="BQ30" i="16" s="1"/>
  <c r="O168" i="1"/>
  <c r="BQ113" i="16" s="1"/>
  <c r="O104" i="1"/>
  <c r="BQ49" i="16" s="1"/>
  <c r="O113" i="1"/>
  <c r="BQ58" i="16" s="1"/>
  <c r="O82" i="1"/>
  <c r="BQ27" i="16" s="1"/>
  <c r="O116" i="1"/>
  <c r="BQ61" i="16" s="1"/>
  <c r="O145" i="1"/>
  <c r="BQ90" i="16" s="1"/>
  <c r="O36" i="1"/>
  <c r="O62" i="1"/>
  <c r="BQ7" i="16" s="1"/>
  <c r="O141" i="1"/>
  <c r="BQ86" i="16" s="1"/>
  <c r="O77" i="1"/>
  <c r="BQ22" i="16" s="1"/>
  <c r="O160" i="1"/>
  <c r="BQ105" i="16" s="1"/>
  <c r="O96" i="1"/>
  <c r="BQ41" i="16" s="1"/>
  <c r="O32" i="1"/>
  <c r="O58" i="1"/>
  <c r="BQ3" i="16" s="1"/>
  <c r="O137" i="1"/>
  <c r="BQ82" i="16" s="1"/>
  <c r="O73" i="1"/>
  <c r="BQ18" i="16" s="1"/>
  <c r="O156" i="1"/>
  <c r="BQ101" i="16" s="1"/>
  <c r="O92" i="1"/>
  <c r="BQ37" i="16" s="1"/>
  <c r="O28" i="1"/>
  <c r="O54" i="1"/>
  <c r="O133" i="1"/>
  <c r="BQ78" i="16" s="1"/>
  <c r="O69" i="1"/>
  <c r="BQ14" i="16" s="1"/>
  <c r="O152" i="1"/>
  <c r="BQ97" i="16" s="1"/>
  <c r="O88" i="1"/>
  <c r="BQ33" i="16" s="1"/>
  <c r="J8" i="1"/>
  <c r="F7" i="1" s="1"/>
  <c r="V391" i="1" l="1"/>
  <c r="I42" i="28" s="1"/>
  <c r="J42" i="28" s="1"/>
  <c r="AM42" i="28"/>
  <c r="AN42" i="28" s="1"/>
  <c r="V427" i="1"/>
  <c r="I78" i="28" s="1"/>
  <c r="J78" i="28" s="1"/>
  <c r="AM78" i="28"/>
  <c r="AN78" i="28" s="1"/>
  <c r="V453" i="1"/>
  <c r="I104" i="28" s="1"/>
  <c r="J104" i="28" s="1"/>
  <c r="AM104" i="28"/>
  <c r="AN104" i="28" s="1"/>
  <c r="V393" i="1"/>
  <c r="I44" i="28" s="1"/>
  <c r="J44" i="28" s="1"/>
  <c r="AM44" i="28"/>
  <c r="AN44" i="28" s="1"/>
  <c r="V414" i="1"/>
  <c r="I65" i="28" s="1"/>
  <c r="J65" i="28" s="1"/>
  <c r="AM65" i="28"/>
  <c r="AN65" i="28" s="1"/>
  <c r="V379" i="1"/>
  <c r="I30" i="28" s="1"/>
  <c r="J30" i="28" s="1"/>
  <c r="AM30" i="28"/>
  <c r="AN30" i="28" s="1"/>
  <c r="V431" i="1"/>
  <c r="I82" i="28" s="1"/>
  <c r="J82" i="28" s="1"/>
  <c r="AM82" i="28"/>
  <c r="AN82" i="28" s="1"/>
  <c r="V371" i="1"/>
  <c r="I22" i="28" s="1"/>
  <c r="J22" i="28" s="1"/>
  <c r="AM22" i="28"/>
  <c r="AN22" i="28" s="1"/>
  <c r="V455" i="1"/>
  <c r="I106" i="28" s="1"/>
  <c r="J106" i="28" s="1"/>
  <c r="AM106" i="28"/>
  <c r="AN106" i="28" s="1"/>
  <c r="V400" i="1"/>
  <c r="I51" i="28" s="1"/>
  <c r="J51" i="28" s="1"/>
  <c r="AM51" i="28"/>
  <c r="AN51" i="28" s="1"/>
  <c r="V457" i="1"/>
  <c r="I108" i="28" s="1"/>
  <c r="J108" i="28" s="1"/>
  <c r="AM108" i="28"/>
  <c r="AN108" i="28" s="1"/>
  <c r="V407" i="1"/>
  <c r="I58" i="28" s="1"/>
  <c r="J58" i="28" s="1"/>
  <c r="AM58" i="28"/>
  <c r="AN58" i="28" s="1"/>
  <c r="V443" i="1"/>
  <c r="I94" i="28" s="1"/>
  <c r="J94" i="28" s="1"/>
  <c r="AM94" i="28"/>
  <c r="AN94" i="28" s="1"/>
  <c r="V416" i="1"/>
  <c r="I67" i="28" s="1"/>
  <c r="J67" i="28" s="1"/>
  <c r="AM67" i="28"/>
  <c r="AN67" i="28" s="1"/>
  <c r="V376" i="1"/>
  <c r="I27" i="28" s="1"/>
  <c r="J27" i="28" s="1"/>
  <c r="AM27" i="28"/>
  <c r="AN27" i="28" s="1"/>
  <c r="V412" i="1"/>
  <c r="I63" i="28" s="1"/>
  <c r="J63" i="28" s="1"/>
  <c r="AM63" i="28"/>
  <c r="AN63" i="28" s="1"/>
  <c r="V385" i="1"/>
  <c r="I36" i="28" s="1"/>
  <c r="J36" i="28" s="1"/>
  <c r="AM36" i="28"/>
  <c r="AN36" i="28" s="1"/>
  <c r="V356" i="1"/>
  <c r="I7" i="28" s="1"/>
  <c r="J7" i="28" s="1"/>
  <c r="AM7" i="28"/>
  <c r="AN7" i="28" s="1"/>
  <c r="V451" i="1"/>
  <c r="I102" i="28" s="1"/>
  <c r="J102" i="28" s="1"/>
  <c r="AM102" i="28"/>
  <c r="AN102" i="28" s="1"/>
  <c r="V365" i="1"/>
  <c r="I16" i="28" s="1"/>
  <c r="J16" i="28" s="1"/>
  <c r="AM16" i="28"/>
  <c r="AN16" i="28" s="1"/>
  <c r="V381" i="1"/>
  <c r="I32" i="28" s="1"/>
  <c r="J32" i="28" s="1"/>
  <c r="AM32" i="28"/>
  <c r="AN32" i="28" s="1"/>
  <c r="V413" i="1"/>
  <c r="I64" i="28" s="1"/>
  <c r="J64" i="28" s="1"/>
  <c r="AM64" i="28"/>
  <c r="AN64" i="28" s="1"/>
  <c r="V434" i="1"/>
  <c r="I85" i="28" s="1"/>
  <c r="J85" i="28" s="1"/>
  <c r="AM85" i="28"/>
  <c r="AN85" i="28" s="1"/>
  <c r="V445" i="1"/>
  <c r="I96" i="28" s="1"/>
  <c r="J96" i="28" s="1"/>
  <c r="AM96" i="28"/>
  <c r="AN96" i="28" s="1"/>
  <c r="V364" i="1"/>
  <c r="I15" i="28" s="1"/>
  <c r="J15" i="28" s="1"/>
  <c r="AM15" i="28"/>
  <c r="AN15" i="28" s="1"/>
  <c r="V423" i="1"/>
  <c r="I74" i="28" s="1"/>
  <c r="J74" i="28" s="1"/>
  <c r="AM74" i="28"/>
  <c r="AN74" i="28" s="1"/>
  <c r="V363" i="1"/>
  <c r="I14" i="28" s="1"/>
  <c r="J14" i="28" s="1"/>
  <c r="AM14" i="28"/>
  <c r="AN14" i="28" s="1"/>
  <c r="V415" i="1"/>
  <c r="I66" i="28" s="1"/>
  <c r="J66" i="28" s="1"/>
  <c r="AM66" i="28"/>
  <c r="AN66" i="28" s="1"/>
  <c r="V449" i="1"/>
  <c r="I100" i="28" s="1"/>
  <c r="J100" i="28" s="1"/>
  <c r="AM100" i="28"/>
  <c r="AN100" i="28" s="1"/>
  <c r="V389" i="1"/>
  <c r="I40" i="28" s="1"/>
  <c r="J40" i="28" s="1"/>
  <c r="AM40" i="28"/>
  <c r="AN40" i="28" s="1"/>
  <c r="V461" i="1"/>
  <c r="I112" i="28" s="1"/>
  <c r="J112" i="28" s="1"/>
  <c r="AM112" i="28"/>
  <c r="AN112" i="28" s="1"/>
  <c r="V386" i="1"/>
  <c r="I37" i="28" s="1"/>
  <c r="J37" i="28" s="1"/>
  <c r="AM37" i="28"/>
  <c r="AN37" i="28" s="1"/>
  <c r="V438" i="1"/>
  <c r="I89" i="28" s="1"/>
  <c r="J89" i="28" s="1"/>
  <c r="AM89" i="28"/>
  <c r="AN89" i="28" s="1"/>
  <c r="V442" i="1"/>
  <c r="I93" i="28" s="1"/>
  <c r="J93" i="28" s="1"/>
  <c r="AM93" i="28"/>
  <c r="AN93" i="28" s="1"/>
  <c r="V454" i="1"/>
  <c r="I105" i="28" s="1"/>
  <c r="J105" i="28" s="1"/>
  <c r="AM105" i="28"/>
  <c r="AN105" i="28" s="1"/>
  <c r="V392" i="1"/>
  <c r="I43" i="28" s="1"/>
  <c r="J43" i="28" s="1"/>
  <c r="AM43" i="28"/>
  <c r="AN43" i="28" s="1"/>
  <c r="V367" i="1"/>
  <c r="I18" i="28" s="1"/>
  <c r="J18" i="28" s="1"/>
  <c r="AM18" i="28"/>
  <c r="AN18" i="28" s="1"/>
  <c r="V404" i="1"/>
  <c r="I55" i="28" s="1"/>
  <c r="J55" i="28" s="1"/>
  <c r="AM55" i="28"/>
  <c r="AN55" i="28" s="1"/>
  <c r="O127" i="1"/>
  <c r="BQ72" i="16" s="1"/>
  <c r="O322" i="1"/>
  <c r="V322" i="1" s="1"/>
  <c r="O405" i="1"/>
  <c r="O345" i="1"/>
  <c r="V345" i="1" s="1"/>
  <c r="O366" i="1"/>
  <c r="O406" i="1"/>
  <c r="O172" i="1"/>
  <c r="V172" i="1" s="1"/>
  <c r="O180" i="1"/>
  <c r="V180" i="1" s="1"/>
  <c r="O188" i="1"/>
  <c r="V188" i="1" s="1"/>
  <c r="O265" i="1"/>
  <c r="O253" i="1"/>
  <c r="V253" i="1" s="1"/>
  <c r="I51" i="27" s="1"/>
  <c r="J51" i="27" s="1"/>
  <c r="O241" i="1"/>
  <c r="O230" i="1"/>
  <c r="O298" i="1"/>
  <c r="O175" i="1"/>
  <c r="V175" i="1" s="1"/>
  <c r="O179" i="1"/>
  <c r="V179" i="1" s="1"/>
  <c r="O147" i="1"/>
  <c r="BQ92" i="16" s="1"/>
  <c r="O119" i="1"/>
  <c r="BQ64" i="16" s="1"/>
  <c r="O353" i="1"/>
  <c r="O216" i="1"/>
  <c r="O254" i="1"/>
  <c r="O352" i="1"/>
  <c r="O388" i="1"/>
  <c r="O143" i="1"/>
  <c r="BQ88" i="16" s="1"/>
  <c r="O326" i="1"/>
  <c r="V326" i="1" s="1"/>
  <c r="O409" i="1"/>
  <c r="O430" i="1"/>
  <c r="O196" i="1"/>
  <c r="V196" i="1" s="1"/>
  <c r="O276" i="1"/>
  <c r="O280" i="1"/>
  <c r="O284" i="1"/>
  <c r="S82" i="27" s="1"/>
  <c r="T82" i="27" s="1"/>
  <c r="O186" i="1"/>
  <c r="V186" i="1" s="1"/>
  <c r="O174" i="1"/>
  <c r="V174" i="1" s="1"/>
  <c r="O305" i="1"/>
  <c r="O199" i="1"/>
  <c r="V199" i="1" s="1"/>
  <c r="O219" i="1"/>
  <c r="O239" i="1"/>
  <c r="O214" i="1"/>
  <c r="O359" i="1"/>
  <c r="O380" i="1"/>
  <c r="O436" i="1"/>
  <c r="O288" i="1"/>
  <c r="O255" i="1"/>
  <c r="V255" i="1" s="1"/>
  <c r="I53" i="27" s="1"/>
  <c r="J53" i="27" s="1"/>
  <c r="O63" i="1"/>
  <c r="BQ8" i="16" s="1"/>
  <c r="O401" i="1"/>
  <c r="O341" i="1"/>
  <c r="V341" i="1" s="1"/>
  <c r="O420" i="1"/>
  <c r="O372" i="1"/>
  <c r="O349" i="1"/>
  <c r="V349" i="1" s="1"/>
  <c r="O334" i="1"/>
  <c r="V334" i="1" s="1"/>
  <c r="O350" i="1"/>
  <c r="V350" i="1" s="1"/>
  <c r="O370" i="1"/>
  <c r="O248" i="1"/>
  <c r="O458" i="1"/>
  <c r="O374" i="1"/>
  <c r="O290" i="1"/>
  <c r="O224" i="1"/>
  <c r="O277" i="1"/>
  <c r="O291" i="1"/>
  <c r="S89" i="27" s="1"/>
  <c r="T89" i="27" s="1"/>
  <c r="O83" i="1"/>
  <c r="BQ28" i="16" s="1"/>
  <c r="O344" i="1"/>
  <c r="V344" i="1" s="1"/>
  <c r="O129" i="1"/>
  <c r="BQ74" i="16" s="1"/>
  <c r="O346" i="1"/>
  <c r="V346" i="1" s="1"/>
  <c r="O221" i="1"/>
  <c r="O225" i="1"/>
  <c r="O362" i="1"/>
  <c r="O242" i="1"/>
  <c r="V242" i="1" s="1"/>
  <c r="I40" i="27" s="1"/>
  <c r="J40" i="27" s="1"/>
  <c r="O233" i="1"/>
  <c r="O266" i="1"/>
  <c r="O347" i="1"/>
  <c r="V347" i="1" s="1"/>
  <c r="O433" i="1"/>
  <c r="O134" i="1"/>
  <c r="BQ79" i="16" s="1"/>
  <c r="O395" i="1"/>
  <c r="O43" i="1"/>
  <c r="O447" i="1"/>
  <c r="O339" i="1"/>
  <c r="V339" i="1" s="1"/>
  <c r="O338" i="1"/>
  <c r="V338" i="1" s="1"/>
  <c r="O421" i="1"/>
  <c r="O361" i="1"/>
  <c r="O382" i="1"/>
  <c r="O426" i="1"/>
  <c r="O204" i="1"/>
  <c r="V204" i="1" s="1"/>
  <c r="O208" i="1"/>
  <c r="V208" i="1" s="1"/>
  <c r="I6" i="27" s="1"/>
  <c r="J6" i="27" s="1"/>
  <c r="O212" i="1"/>
  <c r="O281" i="1"/>
  <c r="O269" i="1"/>
  <c r="O257" i="1"/>
  <c r="S55" i="27" s="1"/>
  <c r="T55" i="27" s="1"/>
  <c r="O215" i="1"/>
  <c r="O163" i="1"/>
  <c r="BQ108" i="16" s="1"/>
  <c r="O399" i="1"/>
  <c r="O456" i="1"/>
  <c r="O418" i="1"/>
  <c r="O292" i="1"/>
  <c r="O55" i="1"/>
  <c r="O459" i="1"/>
  <c r="O107" i="1"/>
  <c r="BQ52" i="16" s="1"/>
  <c r="O368" i="1"/>
  <c r="O432" i="1"/>
  <c r="O355" i="1"/>
  <c r="O342" i="1"/>
  <c r="V342" i="1" s="1"/>
  <c r="O425" i="1"/>
  <c r="O446" i="1"/>
  <c r="O220" i="1"/>
  <c r="V220" i="1" s="1"/>
  <c r="I18" i="27" s="1"/>
  <c r="J18" i="27" s="1"/>
  <c r="O296" i="1"/>
  <c r="O300" i="1"/>
  <c r="O304" i="1"/>
  <c r="O202" i="1"/>
  <c r="V202" i="1" s="1"/>
  <c r="O190" i="1"/>
  <c r="V190" i="1" s="1"/>
  <c r="O178" i="1"/>
  <c r="V178" i="1" s="1"/>
  <c r="O235" i="1"/>
  <c r="O424" i="1"/>
  <c r="O95" i="1"/>
  <c r="BQ40" i="16" s="1"/>
  <c r="O397" i="1"/>
  <c r="O422" i="1"/>
  <c r="O245" i="1"/>
  <c r="V245" i="1" s="1"/>
  <c r="I43" i="27" s="1"/>
  <c r="J43" i="27" s="1"/>
  <c r="O408" i="1"/>
  <c r="O331" i="1"/>
  <c r="V331" i="1" s="1"/>
  <c r="O122" i="1"/>
  <c r="BQ67" i="16" s="1"/>
  <c r="O383" i="1"/>
  <c r="O31" i="1"/>
  <c r="O417" i="1"/>
  <c r="O357" i="1"/>
  <c r="O440" i="1"/>
  <c r="O333" i="1"/>
  <c r="V333" i="1" s="1"/>
  <c r="O429" i="1"/>
  <c r="O378" i="1"/>
  <c r="O390" i="1"/>
  <c r="O394" i="1"/>
  <c r="O181" i="1"/>
  <c r="V181" i="1" s="1"/>
  <c r="O268" i="1"/>
  <c r="O192" i="1"/>
  <c r="V192" i="1" s="1"/>
  <c r="O402" i="1"/>
  <c r="O195" i="1"/>
  <c r="V195" i="1" s="1"/>
  <c r="O138" i="1"/>
  <c r="BQ83" i="16" s="1"/>
  <c r="O373" i="1"/>
  <c r="O410" i="1"/>
  <c r="O197" i="1"/>
  <c r="V197" i="1" s="1"/>
  <c r="O261" i="1"/>
  <c r="O198" i="1"/>
  <c r="V198" i="1" s="1"/>
  <c r="O278" i="1"/>
  <c r="O35" i="1"/>
  <c r="BR13" i="16" s="1"/>
  <c r="O439" i="1"/>
  <c r="O71" i="1"/>
  <c r="O332" i="1"/>
  <c r="V332" i="1" s="1"/>
  <c r="O123" i="1"/>
  <c r="O384" i="1"/>
  <c r="O448" i="1"/>
  <c r="O419" i="1"/>
  <c r="O358" i="1"/>
  <c r="O441" i="1"/>
  <c r="O462" i="1"/>
  <c r="O240" i="1"/>
  <c r="O312" i="1"/>
  <c r="V312" i="1" s="1"/>
  <c r="I110" i="27" s="1"/>
  <c r="J110" i="27" s="1"/>
  <c r="O173" i="1"/>
  <c r="V173" i="1" s="1"/>
  <c r="O177" i="1"/>
  <c r="V177" i="1" s="1"/>
  <c r="O218" i="1"/>
  <c r="O206" i="1"/>
  <c r="V206" i="1" s="1"/>
  <c r="I4" i="27" s="1"/>
  <c r="J4" i="27" s="1"/>
  <c r="O194" i="1"/>
  <c r="V194" i="1" s="1"/>
  <c r="O187" i="1"/>
  <c r="V187" i="1" s="1"/>
  <c r="O294" i="1"/>
  <c r="O314" i="1"/>
  <c r="S112" i="27" s="1"/>
  <c r="T112" i="27" s="1"/>
  <c r="O191" i="1"/>
  <c r="V191" i="1" s="1"/>
  <c r="O243" i="1"/>
  <c r="V243" i="1" s="1"/>
  <c r="I41" i="27" s="1"/>
  <c r="J41" i="27" s="1"/>
  <c r="O99" i="1"/>
  <c r="BQ44" i="16" s="1"/>
  <c r="O360" i="1"/>
  <c r="O135" i="1"/>
  <c r="BQ80" i="16" s="1"/>
  <c r="O396" i="1"/>
  <c r="O335" i="1"/>
  <c r="V335" i="1" s="1"/>
  <c r="O126" i="1"/>
  <c r="O369" i="1"/>
  <c r="O452" i="1"/>
  <c r="O435" i="1"/>
  <c r="O111" i="1"/>
  <c r="O232" i="1"/>
  <c r="O387" i="1"/>
  <c r="O428" i="1"/>
  <c r="O444" i="1"/>
  <c r="O460" i="1"/>
  <c r="O282" i="1"/>
  <c r="S80" i="27" s="1"/>
  <c r="T80" i="27" s="1"/>
  <c r="O270" i="1"/>
  <c r="O258" i="1"/>
  <c r="S56" i="27" s="1"/>
  <c r="T56" i="27" s="1"/>
  <c r="O315" i="1"/>
  <c r="O279" i="1"/>
  <c r="V279" i="1" s="1"/>
  <c r="I77" i="27" s="1"/>
  <c r="J77" i="27" s="1"/>
  <c r="O299" i="1"/>
  <c r="O229" i="1"/>
  <c r="S27" i="27" s="1"/>
  <c r="T27" i="27" s="1"/>
  <c r="O50" i="1"/>
  <c r="O375" i="1"/>
  <c r="O150" i="1"/>
  <c r="BQ95" i="16" s="1"/>
  <c r="O411" i="1"/>
  <c r="O59" i="1"/>
  <c r="BQ4" i="16" s="1"/>
  <c r="O320" i="1"/>
  <c r="V320" i="1" s="1"/>
  <c r="O403" i="1"/>
  <c r="O354" i="1"/>
  <c r="O437" i="1"/>
  <c r="O377" i="1"/>
  <c r="O398" i="1"/>
  <c r="O450" i="1"/>
  <c r="O228" i="1"/>
  <c r="O236" i="1"/>
  <c r="S34" i="27" s="1"/>
  <c r="T34" i="27" s="1"/>
  <c r="O244" i="1"/>
  <c r="O297" i="1"/>
  <c r="V297" i="1" s="1"/>
  <c r="I95" i="27" s="1"/>
  <c r="J95" i="27" s="1"/>
  <c r="O285" i="1"/>
  <c r="O273" i="1"/>
  <c r="S71" i="27" s="1"/>
  <c r="T71" i="27" s="1"/>
  <c r="O310" i="1"/>
  <c r="O231" i="1"/>
  <c r="V231" i="1" s="1"/>
  <c r="I29" i="27" s="1"/>
  <c r="J29" i="27" s="1"/>
  <c r="O295" i="1"/>
  <c r="O182" i="1"/>
  <c r="V182" i="1" s="1"/>
  <c r="O207" i="1"/>
  <c r="O251" i="1"/>
  <c r="V251" i="1" s="1"/>
  <c r="I49" i="27" s="1"/>
  <c r="J49" i="27" s="1"/>
  <c r="O306" i="1"/>
  <c r="O307" i="1"/>
  <c r="V307" i="1" s="1"/>
  <c r="I105" i="27" s="1"/>
  <c r="J105" i="27" s="1"/>
  <c r="O271" i="1"/>
  <c r="O40" i="1"/>
  <c r="O262" i="1"/>
  <c r="O259" i="1"/>
  <c r="S57" i="27" s="1"/>
  <c r="T57" i="27" s="1"/>
  <c r="V54" i="1"/>
  <c r="BR32" i="16"/>
  <c r="V56" i="1"/>
  <c r="BR34" i="16"/>
  <c r="V41" i="1"/>
  <c r="BR19" i="16"/>
  <c r="V30" i="1"/>
  <c r="BR8" i="16"/>
  <c r="V49" i="1"/>
  <c r="BR27" i="16"/>
  <c r="V55" i="1"/>
  <c r="V28" i="1"/>
  <c r="BR6" i="16"/>
  <c r="V36" i="1"/>
  <c r="BR14" i="16"/>
  <c r="V25" i="1"/>
  <c r="V48" i="1"/>
  <c r="BR26" i="16"/>
  <c r="V33" i="1"/>
  <c r="BR11" i="16"/>
  <c r="V53" i="1"/>
  <c r="BR31" i="16"/>
  <c r="V42" i="1"/>
  <c r="BR20" i="16"/>
  <c r="V50" i="1"/>
  <c r="BR28" i="16"/>
  <c r="V37" i="1"/>
  <c r="V26" i="1"/>
  <c r="V45" i="1"/>
  <c r="BR23" i="16"/>
  <c r="V52" i="1"/>
  <c r="BR30" i="16"/>
  <c r="V47" i="1"/>
  <c r="BR25" i="16"/>
  <c r="V27" i="1"/>
  <c r="BR5" i="16"/>
  <c r="V31" i="1"/>
  <c r="BR9" i="16"/>
  <c r="V32" i="1"/>
  <c r="BR10" i="16"/>
  <c r="V44" i="1"/>
  <c r="BR22" i="16"/>
  <c r="V29" i="1"/>
  <c r="BR7" i="16"/>
  <c r="V34" i="1"/>
  <c r="BR12" i="16"/>
  <c r="V38" i="1"/>
  <c r="V57" i="1"/>
  <c r="BR35" i="16"/>
  <c r="V46" i="1"/>
  <c r="BR24" i="16"/>
  <c r="V51" i="1"/>
  <c r="BR29" i="16"/>
  <c r="V39" i="1"/>
  <c r="BR17" i="16"/>
  <c r="V43" i="1"/>
  <c r="BR21" i="16"/>
  <c r="V156" i="1"/>
  <c r="I101" i="16" s="1"/>
  <c r="BR61" i="16"/>
  <c r="V116" i="1"/>
  <c r="I61" i="16" s="1"/>
  <c r="BR69" i="16"/>
  <c r="V124" i="1"/>
  <c r="I69" i="16" s="1"/>
  <c r="BR33" i="16"/>
  <c r="V88" i="1"/>
  <c r="I33" i="16" s="1"/>
  <c r="V73" i="1"/>
  <c r="I18" i="16" s="1"/>
  <c r="BR41" i="16"/>
  <c r="V96" i="1"/>
  <c r="I41" i="16" s="1"/>
  <c r="V62" i="1"/>
  <c r="I7" i="16" s="1"/>
  <c r="V82" i="1"/>
  <c r="I27" i="16" s="1"/>
  <c r="V85" i="1"/>
  <c r="I30" i="16" s="1"/>
  <c r="BR53" i="16"/>
  <c r="V108" i="1"/>
  <c r="I53" i="16" s="1"/>
  <c r="V74" i="1"/>
  <c r="I19" i="16" s="1"/>
  <c r="BR38" i="16"/>
  <c r="V93" i="1"/>
  <c r="I38" i="16" s="1"/>
  <c r="V66" i="1"/>
  <c r="I11" i="16" s="1"/>
  <c r="BR110" i="16"/>
  <c r="V165" i="1"/>
  <c r="I110" i="16" s="1"/>
  <c r="V64" i="1"/>
  <c r="I9" i="16" s="1"/>
  <c r="BR42" i="16"/>
  <c r="V97" i="1"/>
  <c r="I42" i="16" s="1"/>
  <c r="BR81" i="16"/>
  <c r="V136" i="1"/>
  <c r="I81" i="16" s="1"/>
  <c r="BR47" i="16"/>
  <c r="V102" i="1"/>
  <c r="I47" i="16" s="1"/>
  <c r="BR66" i="16"/>
  <c r="V121" i="1"/>
  <c r="I66" i="16" s="1"/>
  <c r="V144" i="1"/>
  <c r="I89" i="16" s="1"/>
  <c r="BR55" i="16"/>
  <c r="V110" i="1"/>
  <c r="I55" i="16" s="1"/>
  <c r="BR60" i="16"/>
  <c r="V115" i="1"/>
  <c r="I60" i="16" s="1"/>
  <c r="BR96" i="16"/>
  <c r="V151" i="1"/>
  <c r="I96" i="16" s="1"/>
  <c r="BR87" i="16"/>
  <c r="V142" i="1"/>
  <c r="I87" i="16" s="1"/>
  <c r="V286" i="1"/>
  <c r="I84" i="27" s="1"/>
  <c r="J84" i="27" s="1"/>
  <c r="S84" i="27"/>
  <c r="T84" i="27" s="1"/>
  <c r="V274" i="1"/>
  <c r="I72" i="27" s="1"/>
  <c r="J72" i="27" s="1"/>
  <c r="S72" i="27"/>
  <c r="T72" i="27" s="1"/>
  <c r="S109" i="27"/>
  <c r="T109" i="27" s="1"/>
  <c r="V311" i="1"/>
  <c r="I109" i="27" s="1"/>
  <c r="J109" i="27" s="1"/>
  <c r="V308" i="1"/>
  <c r="I106" i="27" s="1"/>
  <c r="J106" i="27" s="1"/>
  <c r="S106" i="27"/>
  <c r="T106" i="27" s="1"/>
  <c r="V227" i="1"/>
  <c r="I25" i="27" s="1"/>
  <c r="J25" i="27" s="1"/>
  <c r="S25" i="27"/>
  <c r="T25" i="27" s="1"/>
  <c r="V67" i="1"/>
  <c r="I12" i="16" s="1"/>
  <c r="BR48" i="16"/>
  <c r="V103" i="1"/>
  <c r="I48" i="16" s="1"/>
  <c r="BR100" i="16"/>
  <c r="V155" i="1"/>
  <c r="I100" i="16" s="1"/>
  <c r="V159" i="1"/>
  <c r="I104" i="16" s="1"/>
  <c r="S70" i="27"/>
  <c r="T70" i="27" s="1"/>
  <c r="V272" i="1"/>
  <c r="I70" i="27" s="1"/>
  <c r="J70" i="27" s="1"/>
  <c r="V205" i="1"/>
  <c r="I3" i="27" s="1"/>
  <c r="J3" i="27" s="1"/>
  <c r="S3" i="27"/>
  <c r="T3" i="27" s="1"/>
  <c r="V209" i="1"/>
  <c r="I7" i="27" s="1"/>
  <c r="J7" i="27" s="1"/>
  <c r="S7" i="27"/>
  <c r="T7" i="27" s="1"/>
  <c r="S48" i="27"/>
  <c r="T48" i="27" s="1"/>
  <c r="V250" i="1"/>
  <c r="I48" i="27" s="1"/>
  <c r="J48" i="27" s="1"/>
  <c r="S36" i="27"/>
  <c r="T36" i="27" s="1"/>
  <c r="V238" i="1"/>
  <c r="I36" i="27" s="1"/>
  <c r="J36" i="27" s="1"/>
  <c r="V226" i="1"/>
  <c r="I24" i="27" s="1"/>
  <c r="J24" i="27" s="1"/>
  <c r="S24" i="27"/>
  <c r="T24" i="27" s="1"/>
  <c r="S61" i="27"/>
  <c r="T61" i="27" s="1"/>
  <c r="V263" i="1"/>
  <c r="I61" i="27" s="1"/>
  <c r="J61" i="27" s="1"/>
  <c r="S81" i="27"/>
  <c r="T81" i="27" s="1"/>
  <c r="V283" i="1"/>
  <c r="I81" i="27" s="1"/>
  <c r="J81" i="27" s="1"/>
  <c r="V303" i="1"/>
  <c r="I101" i="27" s="1"/>
  <c r="J101" i="27" s="1"/>
  <c r="S101" i="27"/>
  <c r="T101" i="27" s="1"/>
  <c r="BR107" i="16"/>
  <c r="V162" i="1"/>
  <c r="I107" i="16" s="1"/>
  <c r="BR52" i="16"/>
  <c r="V107" i="1"/>
  <c r="I52" i="16" s="1"/>
  <c r="V296" i="1"/>
  <c r="I94" i="27" s="1"/>
  <c r="J94" i="27" s="1"/>
  <c r="S94" i="27"/>
  <c r="T94" i="27" s="1"/>
  <c r="S98" i="27"/>
  <c r="T98" i="27" s="1"/>
  <c r="V300" i="1"/>
  <c r="I98" i="27" s="1"/>
  <c r="J98" i="27" s="1"/>
  <c r="V304" i="1"/>
  <c r="I102" i="27" s="1"/>
  <c r="J102" i="27" s="1"/>
  <c r="S102" i="27"/>
  <c r="T102" i="27" s="1"/>
  <c r="V215" i="1"/>
  <c r="I13" i="27" s="1"/>
  <c r="J13" i="27" s="1"/>
  <c r="S13" i="27"/>
  <c r="T13" i="27" s="1"/>
  <c r="V235" i="1"/>
  <c r="I33" i="27" s="1"/>
  <c r="J33" i="27" s="1"/>
  <c r="S33" i="27"/>
  <c r="T33" i="27" s="1"/>
  <c r="BR108" i="16"/>
  <c r="V163" i="1"/>
  <c r="I108" i="16" s="1"/>
  <c r="BR83" i="16"/>
  <c r="V138" i="1"/>
  <c r="I83" i="16" s="1"/>
  <c r="BR40" i="16"/>
  <c r="V95" i="1"/>
  <c r="I40" i="16" s="1"/>
  <c r="V233" i="1"/>
  <c r="I31" i="27" s="1"/>
  <c r="J31" i="27" s="1"/>
  <c r="S31" i="27"/>
  <c r="T31" i="27" s="1"/>
  <c r="V292" i="1"/>
  <c r="I90" i="27" s="1"/>
  <c r="J90" i="27" s="1"/>
  <c r="S90" i="27"/>
  <c r="T90" i="27" s="1"/>
  <c r="V262" i="1"/>
  <c r="I60" i="27" s="1"/>
  <c r="J60" i="27" s="1"/>
  <c r="S60" i="27"/>
  <c r="T60" i="27" s="1"/>
  <c r="V275" i="1"/>
  <c r="I73" i="27" s="1"/>
  <c r="J73" i="27" s="1"/>
  <c r="S73" i="27"/>
  <c r="T73" i="27" s="1"/>
  <c r="BR86" i="16"/>
  <c r="V141" i="1"/>
  <c r="I86" i="16" s="1"/>
  <c r="BR45" i="16"/>
  <c r="V100" i="1"/>
  <c r="I45" i="16" s="1"/>
  <c r="BR46" i="16"/>
  <c r="V101" i="1"/>
  <c r="I46" i="16" s="1"/>
  <c r="BR97" i="16"/>
  <c r="V152" i="1"/>
  <c r="I97" i="16" s="1"/>
  <c r="BR82" i="16"/>
  <c r="V137" i="1"/>
  <c r="I82" i="16" s="1"/>
  <c r="BR105" i="16"/>
  <c r="V160" i="1"/>
  <c r="I105" i="16" s="1"/>
  <c r="BR58" i="16"/>
  <c r="V113" i="1"/>
  <c r="I58" i="16" s="1"/>
  <c r="BR94" i="16"/>
  <c r="V149" i="1"/>
  <c r="I94" i="16" s="1"/>
  <c r="BR102" i="16"/>
  <c r="V157" i="1"/>
  <c r="I102" i="16" s="1"/>
  <c r="BR65" i="16"/>
  <c r="V120" i="1"/>
  <c r="I65" i="16" s="1"/>
  <c r="V86" i="1"/>
  <c r="I31" i="16" s="1"/>
  <c r="BR50" i="16"/>
  <c r="V105" i="1"/>
  <c r="I50" i="16" s="1"/>
  <c r="BR73" i="16"/>
  <c r="V128" i="1"/>
  <c r="I73" i="16" s="1"/>
  <c r="BR39" i="16"/>
  <c r="V94" i="1"/>
  <c r="I39" i="16" s="1"/>
  <c r="BR77" i="16"/>
  <c r="V132" i="1"/>
  <c r="I77" i="16" s="1"/>
  <c r="V76" i="1"/>
  <c r="I21" i="16" s="1"/>
  <c r="V61" i="1"/>
  <c r="I6" i="16" s="1"/>
  <c r="V81" i="1"/>
  <c r="I26" i="16" s="1"/>
  <c r="V84" i="1"/>
  <c r="I29" i="16" s="1"/>
  <c r="BR93" i="16"/>
  <c r="V148" i="1"/>
  <c r="I93" i="16" s="1"/>
  <c r="BR99" i="16"/>
  <c r="V154" i="1"/>
  <c r="I99" i="16" s="1"/>
  <c r="BR103" i="16"/>
  <c r="V158" i="1"/>
  <c r="I103" i="16" s="1"/>
  <c r="V249" i="1"/>
  <c r="I47" i="27" s="1"/>
  <c r="J47" i="27" s="1"/>
  <c r="S47" i="27"/>
  <c r="T47" i="27" s="1"/>
  <c r="S35" i="27"/>
  <c r="T35" i="27" s="1"/>
  <c r="V237" i="1"/>
  <c r="I35" i="27" s="1"/>
  <c r="J35" i="27" s="1"/>
  <c r="S11" i="27"/>
  <c r="T11" i="27" s="1"/>
  <c r="V213" i="1"/>
  <c r="I11" i="27" s="1"/>
  <c r="J11" i="27" s="1"/>
  <c r="S107" i="27"/>
  <c r="T107" i="27" s="1"/>
  <c r="V309" i="1"/>
  <c r="I107" i="27" s="1"/>
  <c r="J107" i="27" s="1"/>
  <c r="V246" i="1"/>
  <c r="I44" i="27" s="1"/>
  <c r="J44" i="27" s="1"/>
  <c r="S44" i="27"/>
  <c r="T44" i="27" s="1"/>
  <c r="S100" i="27"/>
  <c r="T100" i="27" s="1"/>
  <c r="V302" i="1"/>
  <c r="I100" i="27" s="1"/>
  <c r="J100" i="27" s="1"/>
  <c r="S91" i="27"/>
  <c r="T91" i="27" s="1"/>
  <c r="V293" i="1"/>
  <c r="I91" i="27" s="1"/>
  <c r="J91" i="27" s="1"/>
  <c r="BR76" i="16"/>
  <c r="V131" i="1"/>
  <c r="I76" i="16" s="1"/>
  <c r="BR112" i="16"/>
  <c r="V167" i="1"/>
  <c r="I112" i="16" s="1"/>
  <c r="V65" i="1"/>
  <c r="I10" i="16" s="1"/>
  <c r="V63" i="1"/>
  <c r="I8" i="16" s="1"/>
  <c r="S46" i="27"/>
  <c r="T46" i="27" s="1"/>
  <c r="V248" i="1"/>
  <c r="I46" i="27" s="1"/>
  <c r="J46" i="27" s="1"/>
  <c r="S88" i="27"/>
  <c r="T88" i="27" s="1"/>
  <c r="V290" i="1"/>
  <c r="I88" i="27" s="1"/>
  <c r="J88" i="27" s="1"/>
  <c r="V224" i="1"/>
  <c r="I22" i="27" s="1"/>
  <c r="J22" i="27" s="1"/>
  <c r="S22" i="27"/>
  <c r="T22" i="27" s="1"/>
  <c r="V277" i="1"/>
  <c r="I75" i="27" s="1"/>
  <c r="J75" i="27" s="1"/>
  <c r="S75" i="27"/>
  <c r="T75" i="27" s="1"/>
  <c r="V83" i="1"/>
  <c r="I28" i="16" s="1"/>
  <c r="BR64" i="16"/>
  <c r="V119" i="1"/>
  <c r="I64" i="16" s="1"/>
  <c r="BR74" i="16"/>
  <c r="V129" i="1"/>
  <c r="I74" i="16" s="1"/>
  <c r="S14" i="27"/>
  <c r="T14" i="27" s="1"/>
  <c r="V216" i="1"/>
  <c r="I14" i="27" s="1"/>
  <c r="J14" i="27" s="1"/>
  <c r="S86" i="27"/>
  <c r="T86" i="27" s="1"/>
  <c r="V288" i="1"/>
  <c r="I86" i="27" s="1"/>
  <c r="J86" i="27" s="1"/>
  <c r="S15" i="27"/>
  <c r="T15" i="27" s="1"/>
  <c r="V217" i="1"/>
  <c r="I15" i="27" s="1"/>
  <c r="J15" i="27" s="1"/>
  <c r="V221" i="1"/>
  <c r="I19" i="27" s="1"/>
  <c r="J19" i="27" s="1"/>
  <c r="S19" i="27"/>
  <c r="T19" i="27" s="1"/>
  <c r="S23" i="27"/>
  <c r="T23" i="27" s="1"/>
  <c r="V225" i="1"/>
  <c r="I23" i="27" s="1"/>
  <c r="J23" i="27" s="1"/>
  <c r="S64" i="27"/>
  <c r="T64" i="27" s="1"/>
  <c r="V266" i="1"/>
  <c r="I64" i="27" s="1"/>
  <c r="J64" i="27" s="1"/>
  <c r="V254" i="1"/>
  <c r="I52" i="27" s="1"/>
  <c r="J52" i="27" s="1"/>
  <c r="S52" i="27"/>
  <c r="T52" i="27" s="1"/>
  <c r="S97" i="27"/>
  <c r="T97" i="27" s="1"/>
  <c r="V299" i="1"/>
  <c r="I97" i="27" s="1"/>
  <c r="J97" i="27" s="1"/>
  <c r="V229" i="1"/>
  <c r="I27" i="27" s="1"/>
  <c r="J27" i="27" s="1"/>
  <c r="BR95" i="16"/>
  <c r="V150" i="1"/>
  <c r="I95" i="16" s="1"/>
  <c r="BR4" i="16"/>
  <c r="V59" i="1"/>
  <c r="I4" i="16" s="1"/>
  <c r="V228" i="1"/>
  <c r="I26" i="27" s="1"/>
  <c r="J26" i="27" s="1"/>
  <c r="S26" i="27"/>
  <c r="T26" i="27" s="1"/>
  <c r="V244" i="1"/>
  <c r="I42" i="27" s="1"/>
  <c r="J42" i="27" s="1"/>
  <c r="S42" i="27"/>
  <c r="T42" i="27" s="1"/>
  <c r="V285" i="1"/>
  <c r="I83" i="27" s="1"/>
  <c r="J83" i="27" s="1"/>
  <c r="S83" i="27"/>
  <c r="T83" i="27" s="1"/>
  <c r="V310" i="1"/>
  <c r="I108" i="27" s="1"/>
  <c r="J108" i="27" s="1"/>
  <c r="S108" i="27"/>
  <c r="T108" i="27" s="1"/>
  <c r="V207" i="1"/>
  <c r="I5" i="27" s="1"/>
  <c r="J5" i="27" s="1"/>
  <c r="S5" i="27"/>
  <c r="T5" i="27" s="1"/>
  <c r="BR78" i="16"/>
  <c r="V133" i="1"/>
  <c r="I78" i="16" s="1"/>
  <c r="V69" i="1"/>
  <c r="I14" i="16" s="1"/>
  <c r="BR37" i="16"/>
  <c r="V92" i="1"/>
  <c r="I37" i="16" s="1"/>
  <c r="BR3" i="16"/>
  <c r="V58" i="1"/>
  <c r="I3" i="16" s="1"/>
  <c r="V77" i="1"/>
  <c r="I22" i="16" s="1"/>
  <c r="BR90" i="16"/>
  <c r="V145" i="1"/>
  <c r="I90" i="16" s="1"/>
  <c r="V104" i="1"/>
  <c r="I49" i="16" s="1"/>
  <c r="BR15" i="16"/>
  <c r="V70" i="1"/>
  <c r="I15" i="16" s="1"/>
  <c r="V89" i="1"/>
  <c r="I34" i="16" s="1"/>
  <c r="BR57" i="16"/>
  <c r="V112" i="1"/>
  <c r="I57" i="16" s="1"/>
  <c r="V78" i="1"/>
  <c r="I23" i="16" s="1"/>
  <c r="V68" i="1"/>
  <c r="I13" i="16" s="1"/>
  <c r="V60" i="1"/>
  <c r="I5" i="16" s="1"/>
  <c r="BR109" i="16"/>
  <c r="V164" i="1"/>
  <c r="I109" i="16" s="1"/>
  <c r="BR43" i="16"/>
  <c r="V98" i="1"/>
  <c r="I43" i="16" s="1"/>
  <c r="BR62" i="16"/>
  <c r="V117" i="1"/>
  <c r="I62" i="16" s="1"/>
  <c r="BR85" i="16"/>
  <c r="V140" i="1"/>
  <c r="I85" i="16" s="1"/>
  <c r="BR51" i="16"/>
  <c r="V106" i="1"/>
  <c r="I51" i="16" s="1"/>
  <c r="BR70" i="16"/>
  <c r="V125" i="1"/>
  <c r="I70" i="16" s="1"/>
  <c r="BR75" i="16"/>
  <c r="V130" i="1"/>
  <c r="I75" i="16" s="1"/>
  <c r="BR111" i="16"/>
  <c r="V166" i="1"/>
  <c r="I111" i="16" s="1"/>
  <c r="V75" i="1"/>
  <c r="I20" i="16" s="1"/>
  <c r="S50" i="27"/>
  <c r="T50" i="27" s="1"/>
  <c r="V252" i="1"/>
  <c r="I50" i="27" s="1"/>
  <c r="J50" i="27" s="1"/>
  <c r="V260" i="1"/>
  <c r="I58" i="27" s="1"/>
  <c r="J58" i="27" s="1"/>
  <c r="S58" i="27"/>
  <c r="T58" i="27" s="1"/>
  <c r="S62" i="27"/>
  <c r="T62" i="27" s="1"/>
  <c r="V264" i="1"/>
  <c r="I62" i="27" s="1"/>
  <c r="J62" i="27" s="1"/>
  <c r="S111" i="27"/>
  <c r="T111" i="27" s="1"/>
  <c r="V313" i="1"/>
  <c r="I111" i="27" s="1"/>
  <c r="J111" i="27" s="1"/>
  <c r="V301" i="1"/>
  <c r="I99" i="27" s="1"/>
  <c r="J99" i="27" s="1"/>
  <c r="S99" i="27"/>
  <c r="T99" i="27" s="1"/>
  <c r="V289" i="1"/>
  <c r="I87" i="27" s="1"/>
  <c r="J87" i="27" s="1"/>
  <c r="S87" i="27"/>
  <c r="T87" i="27" s="1"/>
  <c r="V223" i="1"/>
  <c r="I21" i="27" s="1"/>
  <c r="J21" i="27" s="1"/>
  <c r="S21" i="27"/>
  <c r="T21" i="27" s="1"/>
  <c r="V211" i="1"/>
  <c r="I9" i="27" s="1"/>
  <c r="J9" i="27" s="1"/>
  <c r="S9" i="27"/>
  <c r="T9" i="27" s="1"/>
  <c r="BR59" i="16"/>
  <c r="V114" i="1"/>
  <c r="I59" i="16" s="1"/>
  <c r="BR72" i="16"/>
  <c r="V127" i="1"/>
  <c r="I72" i="16" s="1"/>
  <c r="V265" i="1"/>
  <c r="I63" i="27" s="1"/>
  <c r="J63" i="27" s="1"/>
  <c r="S63" i="27"/>
  <c r="T63" i="27" s="1"/>
  <c r="V241" i="1"/>
  <c r="I39" i="27" s="1"/>
  <c r="J39" i="27" s="1"/>
  <c r="S39" i="27"/>
  <c r="T39" i="27" s="1"/>
  <c r="V230" i="1"/>
  <c r="I28" i="27" s="1"/>
  <c r="J28" i="27" s="1"/>
  <c r="S28" i="27"/>
  <c r="T28" i="27" s="1"/>
  <c r="S96" i="27"/>
  <c r="T96" i="27" s="1"/>
  <c r="V298" i="1"/>
  <c r="I96" i="27" s="1"/>
  <c r="J96" i="27" s="1"/>
  <c r="BR92" i="16"/>
  <c r="V147" i="1"/>
  <c r="I92" i="16" s="1"/>
  <c r="BR67" i="16"/>
  <c r="V122" i="1"/>
  <c r="I67" i="16" s="1"/>
  <c r="V268" i="1"/>
  <c r="I66" i="27" s="1"/>
  <c r="J66" i="27" s="1"/>
  <c r="S66" i="27"/>
  <c r="T66" i="27" s="1"/>
  <c r="V261" i="1"/>
  <c r="I59" i="27" s="1"/>
  <c r="J59" i="27" s="1"/>
  <c r="S59" i="27"/>
  <c r="T59" i="27" s="1"/>
  <c r="V278" i="1"/>
  <c r="I76" i="27" s="1"/>
  <c r="J76" i="27" s="1"/>
  <c r="S76" i="27"/>
  <c r="T76" i="27" s="1"/>
  <c r="V123" i="1"/>
  <c r="I68" i="16" s="1"/>
  <c r="V240" i="1"/>
  <c r="I38" i="27" s="1"/>
  <c r="J38" i="27" s="1"/>
  <c r="S38" i="27"/>
  <c r="T38" i="27" s="1"/>
  <c r="S110" i="27"/>
  <c r="T110" i="27" s="1"/>
  <c r="V218" i="1"/>
  <c r="I16" i="27" s="1"/>
  <c r="J16" i="27" s="1"/>
  <c r="S16" i="27"/>
  <c r="T16" i="27" s="1"/>
  <c r="S4" i="27"/>
  <c r="T4" i="27" s="1"/>
  <c r="S49" i="27"/>
  <c r="T49" i="27" s="1"/>
  <c r="V271" i="1"/>
  <c r="I69" i="27" s="1"/>
  <c r="J69" i="27" s="1"/>
  <c r="S69" i="27"/>
  <c r="T69" i="27" s="1"/>
  <c r="BR113" i="16"/>
  <c r="V168" i="1"/>
  <c r="I113" i="16" s="1"/>
  <c r="BR98" i="16"/>
  <c r="V153" i="1"/>
  <c r="I98" i="16" s="1"/>
  <c r="V90" i="1"/>
  <c r="I35" i="16" s="1"/>
  <c r="BR54" i="16"/>
  <c r="V109" i="1"/>
  <c r="I54" i="16" s="1"/>
  <c r="BR63" i="16"/>
  <c r="V118" i="1"/>
  <c r="I63" i="16" s="1"/>
  <c r="V72" i="1"/>
  <c r="I17" i="16" s="1"/>
  <c r="V80" i="1"/>
  <c r="I25" i="16" s="1"/>
  <c r="BR106" i="16"/>
  <c r="V161" i="1"/>
  <c r="I106" i="16" s="1"/>
  <c r="V87" i="1"/>
  <c r="I32" i="16" s="1"/>
  <c r="BR84" i="16"/>
  <c r="V139" i="1"/>
  <c r="I84" i="16" s="1"/>
  <c r="V79" i="1"/>
  <c r="I24" i="16" s="1"/>
  <c r="V256" i="1"/>
  <c r="I54" i="27" s="1"/>
  <c r="J54" i="27" s="1"/>
  <c r="S54" i="27"/>
  <c r="T54" i="27" s="1"/>
  <c r="V234" i="1"/>
  <c r="I32" i="27" s="1"/>
  <c r="J32" i="27" s="1"/>
  <c r="S32" i="27"/>
  <c r="T32" i="27" s="1"/>
  <c r="S20" i="27"/>
  <c r="T20" i="27" s="1"/>
  <c r="V222" i="1"/>
  <c r="I20" i="27" s="1"/>
  <c r="J20" i="27" s="1"/>
  <c r="S8" i="27"/>
  <c r="T8" i="27" s="1"/>
  <c r="V210" i="1"/>
  <c r="I8" i="27" s="1"/>
  <c r="J8" i="27" s="1"/>
  <c r="V247" i="1"/>
  <c r="I45" i="27" s="1"/>
  <c r="J45" i="27" s="1"/>
  <c r="S45" i="27"/>
  <c r="T45" i="27" s="1"/>
  <c r="S65" i="27"/>
  <c r="T65" i="27" s="1"/>
  <c r="V267" i="1"/>
  <c r="I65" i="27" s="1"/>
  <c r="J65" i="27" s="1"/>
  <c r="S85" i="27"/>
  <c r="T85" i="27" s="1"/>
  <c r="V287" i="1"/>
  <c r="I85" i="27" s="1"/>
  <c r="J85" i="27" s="1"/>
  <c r="BR91" i="16"/>
  <c r="V146" i="1"/>
  <c r="I91" i="16" s="1"/>
  <c r="BR36" i="16"/>
  <c r="V91" i="1"/>
  <c r="I36" i="16" s="1"/>
  <c r="BR88" i="16"/>
  <c r="V143" i="1"/>
  <c r="I88" i="16" s="1"/>
  <c r="V276" i="1"/>
  <c r="I74" i="27" s="1"/>
  <c r="J74" i="27" s="1"/>
  <c r="S74" i="27"/>
  <c r="T74" i="27" s="1"/>
  <c r="S78" i="27"/>
  <c r="T78" i="27" s="1"/>
  <c r="V280" i="1"/>
  <c r="I78" i="27" s="1"/>
  <c r="J78" i="27" s="1"/>
  <c r="S103" i="27"/>
  <c r="T103" i="27" s="1"/>
  <c r="V305" i="1"/>
  <c r="I103" i="27" s="1"/>
  <c r="J103" i="27" s="1"/>
  <c r="V219" i="1"/>
  <c r="I17" i="27" s="1"/>
  <c r="J17" i="27" s="1"/>
  <c r="S17" i="27"/>
  <c r="T17" i="27" s="1"/>
  <c r="S37" i="27"/>
  <c r="T37" i="27" s="1"/>
  <c r="V239" i="1"/>
  <c r="I37" i="27" s="1"/>
  <c r="J37" i="27" s="1"/>
  <c r="V214" i="1"/>
  <c r="I12" i="27" s="1"/>
  <c r="J12" i="27" s="1"/>
  <c r="S12" i="27"/>
  <c r="T12" i="27" s="1"/>
  <c r="BR79" i="16"/>
  <c r="V134" i="1"/>
  <c r="I79" i="16" s="1"/>
  <c r="S10" i="27"/>
  <c r="T10" i="27" s="1"/>
  <c r="V212" i="1"/>
  <c r="I10" i="27" s="1"/>
  <c r="J10" i="27" s="1"/>
  <c r="V281" i="1"/>
  <c r="I79" i="27" s="1"/>
  <c r="J79" i="27" s="1"/>
  <c r="S79" i="27"/>
  <c r="T79" i="27" s="1"/>
  <c r="S67" i="27"/>
  <c r="T67" i="27" s="1"/>
  <c r="V269" i="1"/>
  <c r="I67" i="27" s="1"/>
  <c r="J67" i="27" s="1"/>
  <c r="S92" i="27"/>
  <c r="T92" i="27" s="1"/>
  <c r="V294" i="1"/>
  <c r="I92" i="27" s="1"/>
  <c r="J92" i="27" s="1"/>
  <c r="BR44" i="16"/>
  <c r="V99" i="1"/>
  <c r="I44" i="16" s="1"/>
  <c r="BR80" i="16"/>
  <c r="V135" i="1"/>
  <c r="I80" i="16" s="1"/>
  <c r="V232" i="1"/>
  <c r="I30" i="27" s="1"/>
  <c r="J30" i="27" s="1"/>
  <c r="S30" i="27"/>
  <c r="T30" i="27" s="1"/>
  <c r="V270" i="1"/>
  <c r="I68" i="27" s="1"/>
  <c r="J68" i="27" s="1"/>
  <c r="S68" i="27"/>
  <c r="T68" i="27" s="1"/>
  <c r="V258" i="1"/>
  <c r="I56" i="27" s="1"/>
  <c r="J56" i="27" s="1"/>
  <c r="V295" i="1"/>
  <c r="I93" i="27" s="1"/>
  <c r="J93" i="27" s="1"/>
  <c r="S93" i="27"/>
  <c r="T93" i="27" s="1"/>
  <c r="V315" i="1"/>
  <c r="I113" i="27" s="1"/>
  <c r="J113" i="27" s="1"/>
  <c r="S113" i="27"/>
  <c r="T113" i="27" s="1"/>
  <c r="V306" i="1"/>
  <c r="I104" i="27" s="1"/>
  <c r="J104" i="27" s="1"/>
  <c r="S104" i="27"/>
  <c r="T104" i="27" s="1"/>
  <c r="F19" i="1"/>
  <c r="J11" i="1"/>
  <c r="V398" i="1" l="1"/>
  <c r="I49" i="28" s="1"/>
  <c r="J49" i="28" s="1"/>
  <c r="AM49" i="28"/>
  <c r="AN49" i="28" s="1"/>
  <c r="V403" i="1"/>
  <c r="I54" i="28" s="1"/>
  <c r="J54" i="28" s="1"/>
  <c r="AM54" i="28"/>
  <c r="AN54" i="28" s="1"/>
  <c r="V428" i="1"/>
  <c r="I79" i="28" s="1"/>
  <c r="J79" i="28" s="1"/>
  <c r="AM79" i="28"/>
  <c r="AN79" i="28" s="1"/>
  <c r="V435" i="1"/>
  <c r="I86" i="28" s="1"/>
  <c r="J86" i="28" s="1"/>
  <c r="AM86" i="28"/>
  <c r="AN86" i="28" s="1"/>
  <c r="V419" i="1"/>
  <c r="I70" i="28" s="1"/>
  <c r="J70" i="28" s="1"/>
  <c r="AM70" i="28"/>
  <c r="AN70" i="28" s="1"/>
  <c r="V410" i="1"/>
  <c r="I61" i="28" s="1"/>
  <c r="J61" i="28" s="1"/>
  <c r="AM61" i="28"/>
  <c r="AN61" i="28" s="1"/>
  <c r="V402" i="1"/>
  <c r="I53" i="28" s="1"/>
  <c r="J53" i="28" s="1"/>
  <c r="AM53" i="28"/>
  <c r="AN53" i="28" s="1"/>
  <c r="V394" i="1"/>
  <c r="I45" i="28" s="1"/>
  <c r="J45" i="28" s="1"/>
  <c r="AM45" i="28"/>
  <c r="AN45" i="28" s="1"/>
  <c r="V408" i="1"/>
  <c r="I59" i="28" s="1"/>
  <c r="J59" i="28" s="1"/>
  <c r="AM59" i="28"/>
  <c r="AN59" i="28" s="1"/>
  <c r="V418" i="1"/>
  <c r="I69" i="28" s="1"/>
  <c r="J69" i="28" s="1"/>
  <c r="AM69" i="28"/>
  <c r="AN69" i="28" s="1"/>
  <c r="V382" i="1"/>
  <c r="I33" i="28" s="1"/>
  <c r="J33" i="28" s="1"/>
  <c r="AM33" i="28"/>
  <c r="AN33" i="28" s="1"/>
  <c r="V370" i="1"/>
  <c r="I21" i="28" s="1"/>
  <c r="J21" i="28" s="1"/>
  <c r="AM21" i="28"/>
  <c r="AN21" i="28" s="1"/>
  <c r="V372" i="1"/>
  <c r="I23" i="28" s="1"/>
  <c r="J23" i="28" s="1"/>
  <c r="AM23" i="28"/>
  <c r="AN23" i="28" s="1"/>
  <c r="V380" i="1"/>
  <c r="I31" i="28" s="1"/>
  <c r="J31" i="28" s="1"/>
  <c r="AM31" i="28"/>
  <c r="AN31" i="28" s="1"/>
  <c r="V377" i="1"/>
  <c r="I28" i="28" s="1"/>
  <c r="J28" i="28" s="1"/>
  <c r="AM28" i="28"/>
  <c r="AN28" i="28" s="1"/>
  <c r="V375" i="1"/>
  <c r="I26" i="28" s="1"/>
  <c r="J26" i="28" s="1"/>
  <c r="AM26" i="28"/>
  <c r="AN26" i="28" s="1"/>
  <c r="V387" i="1"/>
  <c r="I38" i="28" s="1"/>
  <c r="J38" i="28" s="1"/>
  <c r="AM38" i="28"/>
  <c r="AN38" i="28" s="1"/>
  <c r="V452" i="1"/>
  <c r="I103" i="28" s="1"/>
  <c r="J103" i="28" s="1"/>
  <c r="AM103" i="28"/>
  <c r="AN103" i="28" s="1"/>
  <c r="V396" i="1"/>
  <c r="I47" i="28" s="1"/>
  <c r="J47" i="28" s="1"/>
  <c r="AM47" i="28"/>
  <c r="AN47" i="28" s="1"/>
  <c r="V462" i="1"/>
  <c r="I113" i="28" s="1"/>
  <c r="J113" i="28" s="1"/>
  <c r="AM113" i="28"/>
  <c r="AN113" i="28" s="1"/>
  <c r="V448" i="1"/>
  <c r="I99" i="28" s="1"/>
  <c r="J99" i="28" s="1"/>
  <c r="AM99" i="28"/>
  <c r="AN99" i="28" s="1"/>
  <c r="V71" i="1"/>
  <c r="I16" i="16" s="1"/>
  <c r="BQ16" i="16"/>
  <c r="BR16" i="16" s="1"/>
  <c r="V373" i="1"/>
  <c r="I24" i="28" s="1"/>
  <c r="J24" i="28" s="1"/>
  <c r="AM24" i="28"/>
  <c r="AN24" i="28" s="1"/>
  <c r="V390" i="1"/>
  <c r="I41" i="28" s="1"/>
  <c r="J41" i="28" s="1"/>
  <c r="AM41" i="28"/>
  <c r="AN41" i="28" s="1"/>
  <c r="V440" i="1"/>
  <c r="I91" i="28" s="1"/>
  <c r="J91" i="28" s="1"/>
  <c r="AM91" i="28"/>
  <c r="AN91" i="28" s="1"/>
  <c r="V383" i="1"/>
  <c r="I34" i="28" s="1"/>
  <c r="J34" i="28" s="1"/>
  <c r="AM34" i="28"/>
  <c r="AN34" i="28" s="1"/>
  <c r="V424" i="1"/>
  <c r="I75" i="28" s="1"/>
  <c r="J75" i="28" s="1"/>
  <c r="AM75" i="28"/>
  <c r="AN75" i="28" s="1"/>
  <c r="V355" i="1"/>
  <c r="I6" i="28" s="1"/>
  <c r="J6" i="28" s="1"/>
  <c r="AM6" i="28"/>
  <c r="AN6" i="28" s="1"/>
  <c r="V459" i="1"/>
  <c r="I110" i="28" s="1"/>
  <c r="J110" i="28" s="1"/>
  <c r="AM110" i="28"/>
  <c r="AN110" i="28" s="1"/>
  <c r="V456" i="1"/>
  <c r="I107" i="28" s="1"/>
  <c r="J107" i="28" s="1"/>
  <c r="AM107" i="28"/>
  <c r="AN107" i="28" s="1"/>
  <c r="V361" i="1"/>
  <c r="I12" i="28" s="1"/>
  <c r="J12" i="28" s="1"/>
  <c r="AM12" i="28"/>
  <c r="AN12" i="28" s="1"/>
  <c r="V447" i="1"/>
  <c r="I98" i="28" s="1"/>
  <c r="J98" i="28" s="1"/>
  <c r="AM98" i="28"/>
  <c r="AN98" i="28" s="1"/>
  <c r="V433" i="1"/>
  <c r="I84" i="28" s="1"/>
  <c r="J84" i="28" s="1"/>
  <c r="AM84" i="28"/>
  <c r="AN84" i="28" s="1"/>
  <c r="V374" i="1"/>
  <c r="I25" i="28" s="1"/>
  <c r="J25" i="28" s="1"/>
  <c r="AM25" i="28"/>
  <c r="AN25" i="28" s="1"/>
  <c r="V420" i="1"/>
  <c r="I71" i="28" s="1"/>
  <c r="J71" i="28" s="1"/>
  <c r="AM71" i="28"/>
  <c r="AN71" i="28" s="1"/>
  <c r="V359" i="1"/>
  <c r="I10" i="28" s="1"/>
  <c r="J10" i="28" s="1"/>
  <c r="AM10" i="28"/>
  <c r="AN10" i="28" s="1"/>
  <c r="V430" i="1"/>
  <c r="I81" i="28" s="1"/>
  <c r="J81" i="28" s="1"/>
  <c r="AM81" i="28"/>
  <c r="AN81" i="28" s="1"/>
  <c r="V388" i="1"/>
  <c r="I39" i="28" s="1"/>
  <c r="J39" i="28" s="1"/>
  <c r="AM39" i="28"/>
  <c r="AN39" i="28" s="1"/>
  <c r="V353" i="1"/>
  <c r="I4" i="28" s="1"/>
  <c r="J4" i="28" s="1"/>
  <c r="AM4" i="28"/>
  <c r="AN4" i="28" s="1"/>
  <c r="V405" i="1"/>
  <c r="I56" i="28" s="1"/>
  <c r="J56" i="28" s="1"/>
  <c r="AM56" i="28"/>
  <c r="AN56" i="28" s="1"/>
  <c r="V437" i="1"/>
  <c r="I88" i="28" s="1"/>
  <c r="J88" i="28" s="1"/>
  <c r="AM88" i="28"/>
  <c r="AN88" i="28" s="1"/>
  <c r="V460" i="1"/>
  <c r="I111" i="28" s="1"/>
  <c r="J111" i="28" s="1"/>
  <c r="AM111" i="28"/>
  <c r="AN111" i="28" s="1"/>
  <c r="V369" i="1"/>
  <c r="I20" i="28" s="1"/>
  <c r="J20" i="28" s="1"/>
  <c r="AM20" i="28"/>
  <c r="AN20" i="28" s="1"/>
  <c r="V441" i="1"/>
  <c r="I92" i="28" s="1"/>
  <c r="J92" i="28" s="1"/>
  <c r="AM92" i="28"/>
  <c r="AN92" i="28" s="1"/>
  <c r="V384" i="1"/>
  <c r="I35" i="28" s="1"/>
  <c r="J35" i="28" s="1"/>
  <c r="AM35" i="28"/>
  <c r="AN35" i="28" s="1"/>
  <c r="V439" i="1"/>
  <c r="I90" i="28" s="1"/>
  <c r="J90" i="28" s="1"/>
  <c r="AM90" i="28"/>
  <c r="AN90" i="28" s="1"/>
  <c r="V378" i="1"/>
  <c r="I29" i="28" s="1"/>
  <c r="J29" i="28" s="1"/>
  <c r="AM29" i="28"/>
  <c r="AN29" i="28" s="1"/>
  <c r="V357" i="1"/>
  <c r="I8" i="28" s="1"/>
  <c r="J8" i="28" s="1"/>
  <c r="AM8" i="28"/>
  <c r="AN8" i="28" s="1"/>
  <c r="V422" i="1"/>
  <c r="I73" i="28" s="1"/>
  <c r="J73" i="28" s="1"/>
  <c r="AM73" i="28"/>
  <c r="AN73" i="28" s="1"/>
  <c r="V446" i="1"/>
  <c r="I97" i="28" s="1"/>
  <c r="J97" i="28" s="1"/>
  <c r="AM97" i="28"/>
  <c r="AN97" i="28" s="1"/>
  <c r="V432" i="1"/>
  <c r="I83" i="28" s="1"/>
  <c r="J83" i="28" s="1"/>
  <c r="AM83" i="28"/>
  <c r="AN83" i="28" s="1"/>
  <c r="V399" i="1"/>
  <c r="I50" i="28" s="1"/>
  <c r="J50" i="28" s="1"/>
  <c r="AM50" i="28"/>
  <c r="AN50" i="28" s="1"/>
  <c r="V421" i="1"/>
  <c r="I72" i="28" s="1"/>
  <c r="J72" i="28" s="1"/>
  <c r="AM72" i="28"/>
  <c r="AN72" i="28" s="1"/>
  <c r="V362" i="1"/>
  <c r="I13" i="28" s="1"/>
  <c r="J13" i="28" s="1"/>
  <c r="AM13" i="28"/>
  <c r="AN13" i="28" s="1"/>
  <c r="V458" i="1"/>
  <c r="I109" i="28" s="1"/>
  <c r="J109" i="28" s="1"/>
  <c r="AM109" i="28"/>
  <c r="AN109" i="28" s="1"/>
  <c r="V409" i="1"/>
  <c r="I60" i="28" s="1"/>
  <c r="J60" i="28" s="1"/>
  <c r="AM60" i="28"/>
  <c r="AN60" i="28" s="1"/>
  <c r="V352" i="1"/>
  <c r="I3" i="28" s="1"/>
  <c r="J3" i="28" s="1"/>
  <c r="AM3" i="28"/>
  <c r="AN3" i="28" s="1"/>
  <c r="V406" i="1"/>
  <c r="I57" i="28" s="1"/>
  <c r="J57" i="28" s="1"/>
  <c r="AM57" i="28"/>
  <c r="AN57" i="28" s="1"/>
  <c r="V450" i="1"/>
  <c r="I101" i="28" s="1"/>
  <c r="J101" i="28" s="1"/>
  <c r="AM101" i="28"/>
  <c r="AN101" i="28" s="1"/>
  <c r="V354" i="1"/>
  <c r="I5" i="28" s="1"/>
  <c r="J5" i="28" s="1"/>
  <c r="AM5" i="28"/>
  <c r="AN5" i="28" s="1"/>
  <c r="V411" i="1"/>
  <c r="I62" i="28" s="1"/>
  <c r="J62" i="28" s="1"/>
  <c r="AM62" i="28"/>
  <c r="AN62" i="28" s="1"/>
  <c r="V444" i="1"/>
  <c r="I95" i="28" s="1"/>
  <c r="J95" i="28" s="1"/>
  <c r="AM95" i="28"/>
  <c r="AN95" i="28" s="1"/>
  <c r="BR89" i="16"/>
  <c r="BQ56" i="16"/>
  <c r="BR56" i="16" s="1"/>
  <c r="BR104" i="16"/>
  <c r="BQ71" i="16"/>
  <c r="BR71" i="16" s="1"/>
  <c r="V360" i="1"/>
  <c r="I11" i="28" s="1"/>
  <c r="J11" i="28" s="1"/>
  <c r="AM11" i="28"/>
  <c r="AN11" i="28" s="1"/>
  <c r="V358" i="1"/>
  <c r="I9" i="28" s="1"/>
  <c r="J9" i="28" s="1"/>
  <c r="AM9" i="28"/>
  <c r="AN9" i="28" s="1"/>
  <c r="BR101" i="16"/>
  <c r="BQ68" i="16"/>
  <c r="BR68" i="16" s="1"/>
  <c r="V429" i="1"/>
  <c r="I80" i="28" s="1"/>
  <c r="J80" i="28" s="1"/>
  <c r="AM80" i="28"/>
  <c r="AN80" i="28" s="1"/>
  <c r="V417" i="1"/>
  <c r="I68" i="28" s="1"/>
  <c r="J68" i="28" s="1"/>
  <c r="AM68" i="28"/>
  <c r="AN68" i="28" s="1"/>
  <c r="V397" i="1"/>
  <c r="I48" i="28" s="1"/>
  <c r="J48" i="28" s="1"/>
  <c r="AM48" i="28"/>
  <c r="AN48" i="28" s="1"/>
  <c r="V425" i="1"/>
  <c r="I76" i="28" s="1"/>
  <c r="J76" i="28" s="1"/>
  <c r="AM76" i="28"/>
  <c r="AN76" i="28" s="1"/>
  <c r="V368" i="1"/>
  <c r="I19" i="28" s="1"/>
  <c r="J19" i="28" s="1"/>
  <c r="AM19" i="28"/>
  <c r="AN19" i="28" s="1"/>
  <c r="V426" i="1"/>
  <c r="I77" i="28" s="1"/>
  <c r="J77" i="28" s="1"/>
  <c r="AM77" i="28"/>
  <c r="AN77" i="28" s="1"/>
  <c r="V395" i="1"/>
  <c r="I46" i="28" s="1"/>
  <c r="J46" i="28" s="1"/>
  <c r="AM46" i="28"/>
  <c r="AN46" i="28" s="1"/>
  <c r="V401" i="1"/>
  <c r="I52" i="28" s="1"/>
  <c r="J52" i="28" s="1"/>
  <c r="AM52" i="28"/>
  <c r="AN52" i="28" s="1"/>
  <c r="V436" i="1"/>
  <c r="I87" i="28" s="1"/>
  <c r="J87" i="28" s="1"/>
  <c r="AM87" i="28"/>
  <c r="AN87" i="28" s="1"/>
  <c r="V366" i="1"/>
  <c r="I17" i="28" s="1"/>
  <c r="J17" i="28" s="1"/>
  <c r="AM17" i="28"/>
  <c r="AN17" i="28" s="1"/>
  <c r="V111" i="1"/>
  <c r="I56" i="16" s="1"/>
  <c r="J56" i="16" s="1"/>
  <c r="V314" i="1"/>
  <c r="I112" i="27" s="1"/>
  <c r="J112" i="27" s="1"/>
  <c r="S29" i="27"/>
  <c r="T29" i="27" s="1"/>
  <c r="S95" i="27"/>
  <c r="T95" i="27" s="1"/>
  <c r="V126" i="1"/>
  <c r="I71" i="16" s="1"/>
  <c r="V35" i="1"/>
  <c r="S53" i="27"/>
  <c r="T53" i="27" s="1"/>
  <c r="V282" i="1"/>
  <c r="I80" i="27" s="1"/>
  <c r="J80" i="27" s="1"/>
  <c r="V273" i="1"/>
  <c r="I71" i="27" s="1"/>
  <c r="J71" i="27" s="1"/>
  <c r="S18" i="27"/>
  <c r="T18" i="27" s="1"/>
  <c r="S77" i="27"/>
  <c r="T77" i="27" s="1"/>
  <c r="V291" i="1"/>
  <c r="I89" i="27" s="1"/>
  <c r="J89" i="27" s="1"/>
  <c r="S43" i="27"/>
  <c r="T43" i="27" s="1"/>
  <c r="S41" i="27"/>
  <c r="T41" i="27" s="1"/>
  <c r="V236" i="1"/>
  <c r="I34" i="27" s="1"/>
  <c r="J34" i="27" s="1"/>
  <c r="BR49" i="16"/>
  <c r="V40" i="1"/>
  <c r="I5" i="1" s="1"/>
  <c r="BR18" i="16"/>
  <c r="V259" i="1"/>
  <c r="I57" i="27" s="1"/>
  <c r="J57" i="27" s="1"/>
  <c r="V257" i="1"/>
  <c r="I55" i="27" s="1"/>
  <c r="J55" i="27" s="1"/>
  <c r="S6" i="27"/>
  <c r="T6" i="27" s="1"/>
  <c r="V284" i="1"/>
  <c r="I82" i="27" s="1"/>
  <c r="J82" i="27" s="1"/>
  <c r="S51" i="27"/>
  <c r="T51" i="27" s="1"/>
  <c r="S105" i="27"/>
  <c r="T105" i="27" s="1"/>
  <c r="S40" i="27"/>
  <c r="T40" i="27" s="1"/>
  <c r="J35" i="16"/>
  <c r="K7" i="1"/>
  <c r="K6" i="1"/>
  <c r="K5" i="1"/>
  <c r="J104" i="16"/>
  <c r="J77" i="16"/>
  <c r="J97" i="16"/>
  <c r="J10" i="16"/>
  <c r="J43" i="16"/>
  <c r="J109" i="16"/>
  <c r="J26" i="16"/>
  <c r="J59" i="16"/>
  <c r="J21" i="16"/>
  <c r="J72" i="16"/>
  <c r="J83" i="16"/>
  <c r="J98" i="16"/>
  <c r="J78" i="16"/>
  <c r="J81" i="16"/>
  <c r="J88" i="16"/>
  <c r="J99" i="16"/>
  <c r="J9" i="16"/>
  <c r="J42" i="16"/>
  <c r="J11" i="16"/>
  <c r="J44" i="16"/>
  <c r="J19" i="16"/>
  <c r="J52" i="16"/>
  <c r="J30" i="16"/>
  <c r="J63" i="16"/>
  <c r="J7" i="16"/>
  <c r="J40" i="16"/>
  <c r="J18" i="16"/>
  <c r="J51" i="16"/>
  <c r="J102" i="16"/>
  <c r="J69" i="16"/>
  <c r="J17" i="16"/>
  <c r="J50" i="16"/>
  <c r="J54" i="16"/>
  <c r="J87" i="16"/>
  <c r="J101" i="16"/>
  <c r="J105" i="16"/>
  <c r="J20" i="16"/>
  <c r="J53" i="16"/>
  <c r="J108" i="16"/>
  <c r="J84" i="16"/>
  <c r="J95" i="16"/>
  <c r="J13" i="16"/>
  <c r="J46" i="16"/>
  <c r="J90" i="16"/>
  <c r="J15" i="16"/>
  <c r="J48" i="16"/>
  <c r="J3" i="16"/>
  <c r="J36" i="16"/>
  <c r="J14" i="16"/>
  <c r="J47" i="16"/>
  <c r="J107" i="16"/>
  <c r="J89" i="16"/>
  <c r="J113" i="16"/>
  <c r="J112" i="16"/>
  <c r="J28" i="16"/>
  <c r="J61" i="16"/>
  <c r="J8" i="16"/>
  <c r="J41" i="16"/>
  <c r="J29" i="16"/>
  <c r="J62" i="16"/>
  <c r="J6" i="16"/>
  <c r="J39" i="16"/>
  <c r="J110" i="16"/>
  <c r="J106" i="16"/>
  <c r="J31" i="16"/>
  <c r="J64" i="16"/>
  <c r="J91" i="16"/>
  <c r="J79" i="16"/>
  <c r="J73" i="16"/>
  <c r="J85" i="16"/>
  <c r="J12" i="16"/>
  <c r="J45" i="16"/>
  <c r="J93" i="16"/>
  <c r="J80" i="16"/>
  <c r="J75" i="16"/>
  <c r="J71" i="16"/>
  <c r="J86" i="16"/>
  <c r="J27" i="16"/>
  <c r="J60" i="16"/>
  <c r="J74" i="16"/>
  <c r="J33" i="16"/>
  <c r="J66" i="16"/>
  <c r="J94" i="16"/>
  <c r="J24" i="16"/>
  <c r="J57" i="16"/>
  <c r="J32" i="16"/>
  <c r="J65" i="16"/>
  <c r="J25" i="16"/>
  <c r="J58" i="16"/>
  <c r="J96" i="16"/>
  <c r="J68" i="16"/>
  <c r="J16" i="16"/>
  <c r="J49" i="16"/>
  <c r="J100" i="16"/>
  <c r="J92" i="16"/>
  <c r="J103" i="16"/>
  <c r="J76" i="16"/>
  <c r="J5" i="16"/>
  <c r="J38" i="16"/>
  <c r="J23" i="16"/>
  <c r="J34" i="16"/>
  <c r="J67" i="16"/>
  <c r="J82" i="16"/>
  <c r="J22" i="16"/>
  <c r="J55" i="16"/>
  <c r="J70" i="16"/>
  <c r="J111" i="16"/>
  <c r="J4" i="16"/>
  <c r="J37" i="16"/>
  <c r="J2" i="28" l="1"/>
  <c r="I7" i="1"/>
  <c r="AN2" i="28"/>
  <c r="I6" i="1"/>
  <c r="I8" i="1" s="1"/>
  <c r="J2" i="27"/>
  <c r="BR2" i="16"/>
  <c r="T2" i="27"/>
  <c r="J2" i="16"/>
  <c r="K8" i="1"/>
  <c r="F6" i="1" l="1"/>
  <c r="F18" i="1" s="1"/>
  <c r="I11" i="1"/>
</calcChain>
</file>

<file path=xl/sharedStrings.xml><?xml version="1.0" encoding="utf-8"?>
<sst xmlns="http://schemas.openxmlformats.org/spreadsheetml/2006/main" count="13480" uniqueCount="1715">
  <si>
    <t>TITULO_ID</t>
  </si>
  <si>
    <t>ATV_CODIGO</t>
  </si>
  <si>
    <t>IDX_CODIGO</t>
  </si>
  <si>
    <t>ESP_CODIGO</t>
  </si>
  <si>
    <t>LOCAL_NEGOCIACAO</t>
  </si>
  <si>
    <t>TIT_VENCTO</t>
  </si>
  <si>
    <t>TIT_EMISSAO</t>
  </si>
  <si>
    <t>PFPJ_EMITENTE</t>
  </si>
  <si>
    <t>ESP_CUPOM</t>
  </si>
  <si>
    <t>ESP_PU_VENCTO</t>
  </si>
  <si>
    <t>TIT_VIRADA</t>
  </si>
  <si>
    <t>TIT_SERIE</t>
  </si>
  <si>
    <t>ID_BALCAO</t>
  </si>
  <si>
    <t>TIT_PRESTACAO</t>
  </si>
  <si>
    <t>TIT_CARENCIA</t>
  </si>
  <si>
    <t>TIT_BASE</t>
  </si>
  <si>
    <t>ATV_LOTE</t>
  </si>
  <si>
    <t>ATV_FCVALORIZ</t>
  </si>
  <si>
    <t>ATV_PRZ_PGJUROS</t>
  </si>
  <si>
    <t>CD_SIST_NACL</t>
  </si>
  <si>
    <t>DT_LQDZ</t>
  </si>
  <si>
    <t>IC_TIT_RVSV</t>
  </si>
  <si>
    <t>IC_TIT_PTCP_LUCR</t>
  </si>
  <si>
    <t>IC_TIT_PUBL</t>
  </si>
  <si>
    <t>IC_ATVO</t>
  </si>
  <si>
    <t>CN_ES_PAPL</t>
  </si>
  <si>
    <t>DT_B_CALC</t>
  </si>
  <si>
    <t>IDX_PC</t>
  </si>
  <si>
    <t>V_PU_EMIS</t>
  </si>
  <si>
    <t>IC_TIT_DISP_CPR</t>
  </si>
  <si>
    <t>CD_ISIN</t>
  </si>
  <si>
    <t>ID_COND_RESG</t>
  </si>
  <si>
    <t>ID_T_ATC_NOML</t>
  </si>
  <si>
    <t>CD_INTM_FINC</t>
  </si>
  <si>
    <t>CD_T_TIT</t>
  </si>
  <si>
    <t>CD_FRM_PGT</t>
  </si>
  <si>
    <t>CD_ORIG_CRD</t>
  </si>
  <si>
    <t>IC_OPRC_ADIT</t>
  </si>
  <si>
    <t>V_OPRC_ANTR_ADIT</t>
  </si>
  <si>
    <t>DT_OPRC_ADIT</t>
  </si>
  <si>
    <t>IC_LAST</t>
  </si>
  <si>
    <t>CD_AG_SIML</t>
  </si>
  <si>
    <t>ID_NUM_CC_SIML</t>
  </si>
  <si>
    <t>ID_NUM_SIML</t>
  </si>
  <si>
    <t>IC_V_ATZD_TIT</t>
  </si>
  <si>
    <t>PFPJ_DEVEDOR</t>
  </si>
  <si>
    <t>DT_H_ATC</t>
  </si>
  <si>
    <t xml:space="preserve">CETIP          </t>
  </si>
  <si>
    <t xml:space="preserve">                    </t>
  </si>
  <si>
    <t xml:space="preserve"> </t>
  </si>
  <si>
    <t>N</t>
  </si>
  <si>
    <t>S</t>
  </si>
  <si>
    <t>ID_RPAC</t>
  </si>
  <si>
    <t>DT_INIC_RPAC</t>
  </si>
  <si>
    <t>DT_FIM_RPAC</t>
  </si>
  <si>
    <t>V_TXA_RPAC</t>
  </si>
  <si>
    <t>DT_VCMT</t>
  </si>
  <si>
    <t>DT_LQDC</t>
  </si>
  <si>
    <t>V_PU_PMIO</t>
  </si>
  <si>
    <t>FC_JUROS</t>
  </si>
  <si>
    <t>IC_AMTC_JURS</t>
  </si>
  <si>
    <t>RF_BASE_CALC</t>
  </si>
  <si>
    <t>IC_AMTC_JURS_CORC</t>
  </si>
  <si>
    <t>IC_AMTC_CORC_PCPL</t>
  </si>
  <si>
    <t>IC_AMTC_PCPL</t>
  </si>
  <si>
    <t>IC_INCR_AMTC</t>
  </si>
  <si>
    <t>IC_AMTC_CORC_PARC</t>
  </si>
  <si>
    <t>IC_EVE_CORC_TIT</t>
  </si>
  <si>
    <t>V_PU_CORC</t>
  </si>
  <si>
    <t>IC_PZ_MDIO_RPAC</t>
  </si>
  <si>
    <t>DT_B_JURS</t>
  </si>
  <si>
    <t>IC_AMTC_JURS_DT_B</t>
  </si>
  <si>
    <t>IC_AMTC_PCPL_EMIS</t>
  </si>
  <si>
    <t>IC_VCE</t>
  </si>
  <si>
    <t>FC_DT_ANV</t>
  </si>
  <si>
    <t>Q_DEFS_IDXR</t>
  </si>
  <si>
    <t>ID_T_EVE</t>
  </si>
  <si>
    <t>TXT_T_EVE</t>
  </si>
  <si>
    <t>DT_EVE</t>
  </si>
  <si>
    <t>V_PU_AMTC</t>
  </si>
  <si>
    <t>DT_LQDC_EVE</t>
  </si>
  <si>
    <t>V_PRS_U_JURS</t>
  </si>
  <si>
    <t>V_PRS_U_CORC</t>
  </si>
  <si>
    <t>V_PRS_U_PCPL</t>
  </si>
  <si>
    <t>VAR_DESCAP_U</t>
  </si>
  <si>
    <t>dt_eve_u</t>
  </si>
  <si>
    <t>dias_periodo_u</t>
  </si>
  <si>
    <t>TIR_U</t>
  </si>
  <si>
    <t>TIR_C</t>
  </si>
  <si>
    <t>CUPOM_TIR</t>
  </si>
  <si>
    <t>V_NOML_PCPL</t>
  </si>
  <si>
    <t>CORRECAO_U</t>
  </si>
  <si>
    <t>TX_CENARIO</t>
  </si>
  <si>
    <t>Q_DIAS_U_PARC</t>
  </si>
  <si>
    <t>V_FUT_U_JURS-01</t>
  </si>
  <si>
    <t>V_FUT_U_CORC-02</t>
  </si>
  <si>
    <t>V_FUT_U_CORC-01</t>
  </si>
  <si>
    <t>V_FUT_U_PCPL-01</t>
  </si>
  <si>
    <t>V_FUT_U_PCPL-02</t>
  </si>
  <si>
    <t>Chave-CENARIO</t>
  </si>
  <si>
    <t>Chave-CORC</t>
  </si>
  <si>
    <t>EXP. 252</t>
  </si>
  <si>
    <t>ao dia</t>
  </si>
  <si>
    <t>ao ano</t>
  </si>
  <si>
    <t>Total</t>
  </si>
  <si>
    <t>Juros</t>
  </si>
  <si>
    <t>Atualização</t>
  </si>
  <si>
    <t>Amortização</t>
  </si>
  <si>
    <t>Valor</t>
  </si>
  <si>
    <t>Indexador</t>
  </si>
  <si>
    <t>Instr. Financeiro</t>
  </si>
  <si>
    <t>Taxa Emissão</t>
  </si>
  <si>
    <t>Perc. Indexador</t>
  </si>
  <si>
    <t>Data Compra</t>
  </si>
  <si>
    <t>PU Compra</t>
  </si>
  <si>
    <t>Data do Cálculo</t>
  </si>
  <si>
    <t>Mercadoria</t>
  </si>
  <si>
    <t>Dt Base Calc Juros</t>
  </si>
  <si>
    <t>Dt Base Calc Correção</t>
  </si>
  <si>
    <t>PU Emissão</t>
  </si>
  <si>
    <t>DADOS DA NEGOCIAÇÃO</t>
  </si>
  <si>
    <t>DADOS DO CADASTRO</t>
  </si>
  <si>
    <t>DADOS AUXILIARES</t>
  </si>
  <si>
    <t>Evento</t>
  </si>
  <si>
    <t>PU Evento</t>
  </si>
  <si>
    <t>Data do Cálculo Útil</t>
  </si>
  <si>
    <t>RFS_PU_UTEIS</t>
  </si>
  <si>
    <t>RFS_PU_CORRIDOS</t>
  </si>
  <si>
    <t>V_PRS_C_JURS</t>
  </si>
  <si>
    <t>V_PRS_C_CORC</t>
  </si>
  <si>
    <t>V_PRS_C_PCPL</t>
  </si>
  <si>
    <t>CADASTRO</t>
  </si>
  <si>
    <t>PU_UTEIS</t>
  </si>
  <si>
    <t>PU_CORRIDOS</t>
  </si>
  <si>
    <t>VP Corridos</t>
  </si>
  <si>
    <t>VP Uteis</t>
  </si>
  <si>
    <t>V_FUT_C_JURS</t>
  </si>
  <si>
    <t>VAR_DESCAP_C</t>
  </si>
  <si>
    <t>DIAS_CORRIDOS</t>
  </si>
  <si>
    <t>V_FUT_C_CORC</t>
  </si>
  <si>
    <t>V_FUT_C_PCPL</t>
  </si>
  <si>
    <t>EXP. 360</t>
  </si>
  <si>
    <t>PU Uteis Calc</t>
  </si>
  <si>
    <t>TIR Uteis Calc</t>
  </si>
  <si>
    <t>PU Corridos Calc</t>
  </si>
  <si>
    <t>TIR Corridos Calc</t>
  </si>
  <si>
    <t>RFS_TAXA_MEDIA_U</t>
  </si>
  <si>
    <t>RFS_TAXA_MEDIA</t>
  </si>
  <si>
    <t>Sistema</t>
  </si>
  <si>
    <t>Planilha</t>
  </si>
  <si>
    <t>Diferença</t>
  </si>
  <si>
    <t>FER_TIPO</t>
  </si>
  <si>
    <t>FER_CHAVE</t>
  </si>
  <si>
    <t>FER_DATA</t>
  </si>
  <si>
    <t>FER_DESCRICAO</t>
  </si>
  <si>
    <t>A</t>
  </si>
  <si>
    <t xml:space="preserve">SAFRABM        </t>
  </si>
  <si>
    <t xml:space="preserve">ANO NOVO            </t>
  </si>
  <si>
    <t xml:space="preserve">CARNAVAL            </t>
  </si>
  <si>
    <t xml:space="preserve">FERIADO BANCARIO    </t>
  </si>
  <si>
    <t xml:space="preserve">TIRADENTES          </t>
  </si>
  <si>
    <t xml:space="preserve">CORPUS CHRISTI      </t>
  </si>
  <si>
    <t xml:space="preserve">INDEPENDENCIA       </t>
  </si>
  <si>
    <t xml:space="preserve">N.S.APARECIDA       </t>
  </si>
  <si>
    <t xml:space="preserve">FINADOS             </t>
  </si>
  <si>
    <t xml:space="preserve">PROCL.REPUBLICA     </t>
  </si>
  <si>
    <t xml:space="preserve">ELEIÇAO             </t>
  </si>
  <si>
    <t xml:space="preserve">DIA DO TRABALHO     </t>
  </si>
  <si>
    <t xml:space="preserve">NATAL               </t>
  </si>
  <si>
    <t xml:space="preserve">ELEIÝOES            </t>
  </si>
  <si>
    <t xml:space="preserve">PROCL. REPUBLICA    </t>
  </si>
  <si>
    <t xml:space="preserve">PAIXAO              </t>
  </si>
  <si>
    <t xml:space="preserve">N S APARECIDA       </t>
  </si>
  <si>
    <t xml:space="preserve">CONFRATERNIZAÇÃO    </t>
  </si>
  <si>
    <t xml:space="preserve">PAIXAO DE CRISTO    </t>
  </si>
  <si>
    <t xml:space="preserve">PROCLAM REPUBLICA   </t>
  </si>
  <si>
    <t xml:space="preserve">CORPUS CHRISTIS     </t>
  </si>
  <si>
    <t>L</t>
  </si>
  <si>
    <t xml:space="preserve">PROCL REPUBLICA     </t>
  </si>
  <si>
    <t xml:space="preserve">CARVANAL            </t>
  </si>
  <si>
    <t xml:space="preserve">PAIXÃO DE CRISTO    </t>
  </si>
  <si>
    <t xml:space="preserve">CORPUS CHRIST       </t>
  </si>
  <si>
    <t>INDEPENDENCIA DO BRA</t>
  </si>
  <si>
    <t xml:space="preserve">NS. SRA. APARECIDA  </t>
  </si>
  <si>
    <t>PROCLAMAÇAO DA REPUB</t>
  </si>
  <si>
    <t>INDEPENDENCOA DO BRA</t>
  </si>
  <si>
    <t xml:space="preserve">NS SRSA APARECIDA   </t>
  </si>
  <si>
    <t>CONFRATERNIZAÇÃO UNI</t>
  </si>
  <si>
    <t>PROCLOMAÇÃO DA REPUB</t>
  </si>
  <si>
    <t xml:space="preserve">CARANAVAL           </t>
  </si>
  <si>
    <t xml:space="preserve">NS SRA  APARECIDA   </t>
  </si>
  <si>
    <t xml:space="preserve">CONFRATERZAÇÃO UNI  </t>
  </si>
  <si>
    <t xml:space="preserve">NS SRA APARECIDA    </t>
  </si>
  <si>
    <t>PROCLAMAÇÃO DA REPUB</t>
  </si>
  <si>
    <t>INDEPENDECIA DO BRAS</t>
  </si>
  <si>
    <t xml:space="preserve">paixão de cristo    </t>
  </si>
  <si>
    <t xml:space="preserve">DIA DO TRABLAHO     </t>
  </si>
  <si>
    <t>INDEPENDENCIA DO NRA</t>
  </si>
  <si>
    <t xml:space="preserve">NSA SRA APARECIDA   </t>
  </si>
  <si>
    <t xml:space="preserve">CORPUS CHIRST       </t>
  </si>
  <si>
    <t xml:space="preserve">PAIXÃO DE CRITSO    </t>
  </si>
  <si>
    <t xml:space="preserve">COPRPUS CHRIST      </t>
  </si>
  <si>
    <t xml:space="preserve">NSA SR APARECIDA    </t>
  </si>
  <si>
    <t xml:space="preserve">PROCLAMAÇÃO DA REPU </t>
  </si>
  <si>
    <t xml:space="preserve">SEMANA SANTA        </t>
  </si>
  <si>
    <t xml:space="preserve">NOSSA SRA APARECIDA </t>
  </si>
  <si>
    <t>PROCLAMAÇÃO REPUBLIC</t>
  </si>
  <si>
    <t xml:space="preserve">CONFRAT.UNIVERSAL   </t>
  </si>
  <si>
    <t xml:space="preserve">CORPU CHRISTI       </t>
  </si>
  <si>
    <t>PROCLAMAÇAO REPUBLIC</t>
  </si>
  <si>
    <t xml:space="preserve">TIRANDENTES         </t>
  </si>
  <si>
    <t xml:space="preserve">CONFRAT UNIVERSAL   </t>
  </si>
  <si>
    <t xml:space="preserve">PAIXAO CRISTO       </t>
  </si>
  <si>
    <t>PROCLAMACAO DA REPUB</t>
  </si>
  <si>
    <t xml:space="preserve">CARVAL              </t>
  </si>
  <si>
    <t xml:space="preserve">NS APARECIDA        </t>
  </si>
  <si>
    <t xml:space="preserve">CORPUS CHRISTHI     </t>
  </si>
  <si>
    <t>PROCLAM DA REPUBLICA</t>
  </si>
  <si>
    <t>PROCLAMACAO REPUBLIC</t>
  </si>
  <si>
    <t xml:space="preserve">CORPHUS CHRISTI     </t>
  </si>
  <si>
    <t xml:space="preserve">REPUBLICA           </t>
  </si>
  <si>
    <t xml:space="preserve">NS  APARECIDA       </t>
  </si>
  <si>
    <t xml:space="preserve">CORPUS CRHISTI      </t>
  </si>
  <si>
    <t>dt_lqdc_eve_u</t>
  </si>
  <si>
    <t>e não a chave do PROCV</t>
  </si>
  <si>
    <t>Validar os valores</t>
  </si>
  <si>
    <t>ID</t>
  </si>
  <si>
    <t>CAD_TITULO</t>
  </si>
  <si>
    <t>CAD_REPACTUACAO</t>
  </si>
  <si>
    <t>CAD_JUROS</t>
  </si>
  <si>
    <t>CAD_ATUALIZACAO</t>
  </si>
  <si>
    <t>CAD_AMORTIZACAO</t>
  </si>
  <si>
    <t>CORRECAO_C</t>
  </si>
  <si>
    <t>Qtde em estoque</t>
  </si>
  <si>
    <t>R$ Corridos</t>
  </si>
  <si>
    <t>R$ Úteis</t>
  </si>
  <si>
    <t>CORRECAO_JURS_U</t>
  </si>
  <si>
    <t>CORRECAO_CORC_C</t>
  </si>
  <si>
    <t>CORRECAO_CORC_U</t>
  </si>
  <si>
    <t>CORRECAO_JURS_C</t>
  </si>
  <si>
    <t>PU_AMORT</t>
  </si>
  <si>
    <t xml:space="preserve">CRI            </t>
  </si>
  <si>
    <t xml:space="preserve">CDI            </t>
  </si>
  <si>
    <t>15L0676664</t>
  </si>
  <si>
    <t xml:space="preserve">APICESEC       </t>
  </si>
  <si>
    <t xml:space="preserve">15L0676664        </t>
  </si>
  <si>
    <t>15L067</t>
  </si>
  <si>
    <t>BRAPCSCRI1X3</t>
  </si>
  <si>
    <t xml:space="preserve">15L0676664    </t>
  </si>
  <si>
    <t xml:space="preserve">CHALLENGER FII </t>
  </si>
  <si>
    <t xml:space="preserve">JUROS SOBRE PRINCIPAL                             </t>
  </si>
  <si>
    <t xml:space="preserve">ATUALIZACAO SOBRE PRINCIPAL                       </t>
  </si>
  <si>
    <t xml:space="preserve">AMORTIZACAO                                       </t>
  </si>
  <si>
    <t>VFuturo Uteis</t>
  </si>
  <si>
    <t>VFuturo Corridos</t>
  </si>
  <si>
    <t>V_FUT_UTEIS</t>
  </si>
  <si>
    <t>Q_DIAS_U_PARC_TIR</t>
  </si>
  <si>
    <t>V_PRS_UTEIS</t>
  </si>
  <si>
    <t>TESTE NOVO METODO</t>
  </si>
  <si>
    <t>DATA_CALCULO + DATA_EVENTO</t>
  </si>
  <si>
    <t>DATA_CALCULO + DATA_LQD_EVENTO</t>
  </si>
  <si>
    <t>Id Teste</t>
  </si>
  <si>
    <t>EXEC</t>
  </si>
  <si>
    <t>Planilha VF</t>
  </si>
  <si>
    <t>Planilha VP</t>
  </si>
  <si>
    <t>NULL</t>
  </si>
  <si>
    <t>0.00000000</t>
  </si>
  <si>
    <t>CORRECAO_JURS_U-20181001-20181009</t>
  </si>
  <si>
    <t>CORRECAO_JURS_U-20181001-20181112</t>
  </si>
  <si>
    <t>CORRECAO_JURS_U-20181001-20181210</t>
  </si>
  <si>
    <t>CORRECAO_JURS_U-20181001-20190109</t>
  </si>
  <si>
    <t>CORRECAO_JURS_U-20181001-20190208</t>
  </si>
  <si>
    <t>CORRECAO_JURS_U-20181001-20190312</t>
  </si>
  <si>
    <t>CORRECAO_JURS_U-20181001-20190408</t>
  </si>
  <si>
    <t>CORRECAO_JURS_U-20181001-20190509</t>
  </si>
  <si>
    <t>CORRECAO_JURS_U-20181001-20190610</t>
  </si>
  <si>
    <t>CORRECAO_JURS_U-20181001-20190708</t>
  </si>
  <si>
    <t>CORRECAO_JURS_U-20181001-20190808</t>
  </si>
  <si>
    <t>CORRECAO_JURS_U-20181001-20190909</t>
  </si>
  <si>
    <t>CORRECAO_JURS_U-20181001-20191008</t>
  </si>
  <si>
    <t>CORRECAO_JURS_U-20181001-20191108</t>
  </si>
  <si>
    <t>CORRECAO_JURS_U-20181001-20191209</t>
  </si>
  <si>
    <t>CORRECAO_JURS_U-20181001-20200109</t>
  </si>
  <si>
    <t>CORRECAO_JURS_U-20181001-20200210</t>
  </si>
  <si>
    <t>CORRECAO_JURS_U-20181001-20200309</t>
  </si>
  <si>
    <t>CORRECAO_JURS_U-20181001-20200409</t>
  </si>
  <si>
    <t>CORRECAO_JURS_U-20181001-20200511</t>
  </si>
  <si>
    <t>CORRECAO_JURS_U-20181001-20200609</t>
  </si>
  <si>
    <t>CORRECAO_JURS_U-20181001-20200708</t>
  </si>
  <si>
    <t>CORRECAO_JURS_U-20181001-20200810</t>
  </si>
  <si>
    <t>CORRECAO_JURS_U-20181001-20200909</t>
  </si>
  <si>
    <t>CORRECAO_JURS_U-20181001-20201009</t>
  </si>
  <si>
    <t>CORRECAO_JURS_U-20181001-20201110</t>
  </si>
  <si>
    <t>CORRECAO_JURS_U-20181001-20201208</t>
  </si>
  <si>
    <t>CORRECAO_JURS_U-20181001-20210111</t>
  </si>
  <si>
    <t>CORRECAO_JURS_U-20181001-20210208</t>
  </si>
  <si>
    <t>CORRECAO_JURS_U-20181001-20210308</t>
  </si>
  <si>
    <t>CORRECAO_JURS_U-20181001-20210409</t>
  </si>
  <si>
    <t>CORRECAO_JURS_U-20181001-20210510</t>
  </si>
  <si>
    <t>CORRECAO_JURS_U-20181001-20210609</t>
  </si>
  <si>
    <t>CORRECAO_JURS_U-20181001-20210708</t>
  </si>
  <si>
    <t>CORRECAO_JURS_U-20181001-20210809</t>
  </si>
  <si>
    <t>CORRECAO_JURS_U-20181001-20210909</t>
  </si>
  <si>
    <t>CORRECAO_JURS_U-20181001-20211011</t>
  </si>
  <si>
    <t>CORRECAO_JURS_U-20181001-20211110</t>
  </si>
  <si>
    <t>CORRECAO_JURS_U-20181001-20211208</t>
  </si>
  <si>
    <t>CORRECAO_JURS_U-20181001-20220110</t>
  </si>
  <si>
    <t>CORRECAO_JURS_U-20181001-20220208</t>
  </si>
  <si>
    <t>CORRECAO_JURS_U-20181001-20220309</t>
  </si>
  <si>
    <t>CORRECAO_JURS_U-20181001-20220408</t>
  </si>
  <si>
    <t>CORRECAO_JURS_U-20181001-20220509</t>
  </si>
  <si>
    <t>CORRECAO_JURS_U-20181001-20220608</t>
  </si>
  <si>
    <t>CORRECAO_JURS_U-20181001-20220708</t>
  </si>
  <si>
    <t>CORRECAO_JURS_U-20181001-20220808</t>
  </si>
  <si>
    <t>CORRECAO_JURS_U-20181001-20220909</t>
  </si>
  <si>
    <t>CORRECAO_JURS_U-20181001-20221011</t>
  </si>
  <si>
    <t>CORRECAO_JURS_U-20181001-20221110</t>
  </si>
  <si>
    <t>CORRECAO_JURS_U-20181001-20221208</t>
  </si>
  <si>
    <t>CORRECAO_JURS_U-20181001-20230109</t>
  </si>
  <si>
    <t>CORRECAO_JURS_U-20181001-20230208</t>
  </si>
  <si>
    <t>CORRECAO_JURS_U-20181001-20230308</t>
  </si>
  <si>
    <t>CORRECAO_JURS_U-20181001-20230411</t>
  </si>
  <si>
    <t>CORRECAO_JURS_U-20181001-20230509</t>
  </si>
  <si>
    <t>CORRECAO_JURS_U-20181001-20230609</t>
  </si>
  <si>
    <t>CORRECAO_JURS_U-20181001-20230710</t>
  </si>
  <si>
    <t>CORRECAO_JURS_U-20181001-20230808</t>
  </si>
  <si>
    <t>CORRECAO_JURS_U-20181001-20230911</t>
  </si>
  <si>
    <t>CORRECAO_JURS_U-20181001-20231010</t>
  </si>
  <si>
    <t>CORRECAO_JURS_U-20181001-20231110</t>
  </si>
  <si>
    <t>CORRECAO_JURS_U-20181001-20231208</t>
  </si>
  <si>
    <t>CORRECAO_JURS_U-20181001-20240109</t>
  </si>
  <si>
    <t>CORRECAO_JURS_U-20181001-20240212</t>
  </si>
  <si>
    <t>CORRECAO_JURS_U-20181001-20240308</t>
  </si>
  <si>
    <t>CORRECAO_JURS_U-20181001-20240408</t>
  </si>
  <si>
    <t>CORRECAO_JURS_U-20181001-20240509</t>
  </si>
  <si>
    <t>CORRECAO_JURS_U-20181001-20240610</t>
  </si>
  <si>
    <t>CORRECAO_JURS_U-20181001-20240708</t>
  </si>
  <si>
    <t>CORRECAO_JURS_U-20181001-20240808</t>
  </si>
  <si>
    <t>CORRECAO_JURS_U-20181001-20240909</t>
  </si>
  <si>
    <t>CORRECAO_JURS_U-20181001-20241008</t>
  </si>
  <si>
    <t>CORRECAO_JURS_U-20181001-20241108</t>
  </si>
  <si>
    <t>CORRECAO_JURS_U-20181001-20241209</t>
  </si>
  <si>
    <t>CORRECAO_JURS_U-20181001-20250109</t>
  </si>
  <si>
    <t>CORRECAO_JURS_U-20181001-20250210</t>
  </si>
  <si>
    <t>CORRECAO_JURS_U-20181001-20250312</t>
  </si>
  <si>
    <t>CORRECAO_JURS_U-20181001-20250408</t>
  </si>
  <si>
    <t>CORRECAO_JURS_U-20181001-20250509</t>
  </si>
  <si>
    <t>CORRECAO_JURS_U-20181001-20250609</t>
  </si>
  <si>
    <t>CORRECAO_JURS_U-20181001-20250708</t>
  </si>
  <si>
    <t>CORRECAO_JURS_U-20181001-20250808</t>
  </si>
  <si>
    <t>CORRECAO_JURS_U-20181001-20250908</t>
  </si>
  <si>
    <t>CORRECAO_JURS_U-20181001-20251008</t>
  </si>
  <si>
    <t>CORRECAO_JURS_U-20181001-20251110</t>
  </si>
  <si>
    <t>CORRECAO_JURS_U-20181001-20251208</t>
  </si>
  <si>
    <t>CORRECAO_JURS_U-20181001-20260109</t>
  </si>
  <si>
    <t>CORRECAO_JURS_U-20181001-20260209</t>
  </si>
  <si>
    <t>CORRECAO_JURS_U-20181001-20260309</t>
  </si>
  <si>
    <t>CORRECAO_JURS_U-20181001-20260409</t>
  </si>
  <si>
    <t>CORRECAO_JURS_U-20181001-20260511</t>
  </si>
  <si>
    <t>CORRECAO_JURS_U-20181001-20260609</t>
  </si>
  <si>
    <t>CORRECAO_JURS_U-20181001-20260708</t>
  </si>
  <si>
    <t>CORRECAO_JURS_U-20181001-20260810</t>
  </si>
  <si>
    <t>CORRECAO_JURS_U-20181001-20260909</t>
  </si>
  <si>
    <t>CORRECAO_JURS_U-20181001-20261009</t>
  </si>
  <si>
    <t>CORRECAO_JURS_U-20181001-20261110</t>
  </si>
  <si>
    <t>CORRECAO_JURS_U-20181001-20261208</t>
  </si>
  <si>
    <t>CORRECAO_JURS_U-20181001-20270111</t>
  </si>
  <si>
    <t>CORRECAO_JURS_U-20181001-20270210</t>
  </si>
  <si>
    <t>CORRECAO_JURS_U-20181001-20270308</t>
  </si>
  <si>
    <t>CORRECAO_JURS_U-20181001-20270408</t>
  </si>
  <si>
    <t>CORRECAO_JURS_U-20181001-20270510</t>
  </si>
  <si>
    <t>CORRECAO_JURS_U-20181001-20270608</t>
  </si>
  <si>
    <t>CORRECAO_JURS_U-20181001-20270708</t>
  </si>
  <si>
    <t>CORRECAO_JURS_U-20181001-20270809</t>
  </si>
  <si>
    <t>CORRECAO_JURS_U-20181001-20270909</t>
  </si>
  <si>
    <t>CORRECAO_JURS_U-20181001-20271011</t>
  </si>
  <si>
    <t>CORRECAO_JURS_U-20181001-20271110</t>
  </si>
  <si>
    <t>CORRECAO_JURS_U-20181001-20271208</t>
  </si>
  <si>
    <t>CORRECAO_JURS_C-20181001-20181009</t>
  </si>
  <si>
    <t>CORRECAO_JURS_C-20181001-20181112</t>
  </si>
  <si>
    <t>CORRECAO_JURS_C-20181001-20181210</t>
  </si>
  <si>
    <t>CORRECAO_JURS_C-20181001-20190109</t>
  </si>
  <si>
    <t>CORRECAO_JURS_C-20181001-20190208</t>
  </si>
  <si>
    <t>CORRECAO_JURS_C-20181001-20190312</t>
  </si>
  <si>
    <t>CORRECAO_JURS_C-20181001-20190408</t>
  </si>
  <si>
    <t>CORRECAO_JURS_C-20181001-20190509</t>
  </si>
  <si>
    <t>CORRECAO_JURS_C-20181001-20190610</t>
  </si>
  <si>
    <t>CORRECAO_JURS_C-20181001-20190708</t>
  </si>
  <si>
    <t>CORRECAO_JURS_C-20181001-20190808</t>
  </si>
  <si>
    <t>CORRECAO_JURS_C-20181001-20190909</t>
  </si>
  <si>
    <t>CORRECAO_JURS_C-20181001-20191008</t>
  </si>
  <si>
    <t>CORRECAO_JURS_C-20181001-20191108</t>
  </si>
  <si>
    <t>CORRECAO_JURS_C-20181001-20191209</t>
  </si>
  <si>
    <t>CORRECAO_JURS_C-20181001-20200109</t>
  </si>
  <si>
    <t>CORRECAO_JURS_C-20181001-20200210</t>
  </si>
  <si>
    <t>CORRECAO_JURS_C-20181001-20200309</t>
  </si>
  <si>
    <t>CORRECAO_JURS_C-20181001-20200409</t>
  </si>
  <si>
    <t>CORRECAO_JURS_C-20181001-20200511</t>
  </si>
  <si>
    <t>CORRECAO_JURS_C-20181001-20200609</t>
  </si>
  <si>
    <t>CORRECAO_JURS_C-20181001-20200708</t>
  </si>
  <si>
    <t>CORRECAO_JURS_C-20181001-20200810</t>
  </si>
  <si>
    <t>CORRECAO_JURS_C-20181001-20200909</t>
  </si>
  <si>
    <t>CORRECAO_JURS_C-20181001-20201009</t>
  </si>
  <si>
    <t>CORRECAO_JURS_C-20181001-20201110</t>
  </si>
  <si>
    <t>CORRECAO_JURS_C-20181001-20201208</t>
  </si>
  <si>
    <t>CORRECAO_JURS_C-20181001-20210111</t>
  </si>
  <si>
    <t>CORRECAO_JURS_C-20181001-20210208</t>
  </si>
  <si>
    <t>CORRECAO_JURS_C-20181001-20210308</t>
  </si>
  <si>
    <t>CORRECAO_JURS_C-20181001-20210409</t>
  </si>
  <si>
    <t>CORRECAO_JURS_C-20181001-20210510</t>
  </si>
  <si>
    <t>CORRECAO_JURS_C-20181001-20210609</t>
  </si>
  <si>
    <t>CORRECAO_JURS_C-20181001-20210708</t>
  </si>
  <si>
    <t>CORRECAO_JURS_C-20181001-20210809</t>
  </si>
  <si>
    <t>CORRECAO_JURS_C-20181001-20210909</t>
  </si>
  <si>
    <t>CORRECAO_JURS_C-20181001-20211011</t>
  </si>
  <si>
    <t>CORRECAO_JURS_C-20181001-20211110</t>
  </si>
  <si>
    <t>CORRECAO_JURS_C-20181001-20211208</t>
  </si>
  <si>
    <t>CORRECAO_JURS_C-20181001-20220110</t>
  </si>
  <si>
    <t>CORRECAO_JURS_C-20181001-20220208</t>
  </si>
  <si>
    <t>CORRECAO_JURS_C-20181001-20220309</t>
  </si>
  <si>
    <t>CORRECAO_JURS_C-20181001-20220408</t>
  </si>
  <si>
    <t>CORRECAO_JURS_C-20181001-20220509</t>
  </si>
  <si>
    <t>CORRECAO_JURS_C-20181001-20220608</t>
  </si>
  <si>
    <t>CORRECAO_JURS_C-20181001-20220708</t>
  </si>
  <si>
    <t>CORRECAO_JURS_C-20181001-20220808</t>
  </si>
  <si>
    <t>CORRECAO_JURS_C-20181001-20220909</t>
  </si>
  <si>
    <t>CORRECAO_JURS_C-20181001-20221011</t>
  </si>
  <si>
    <t>CORRECAO_JURS_C-20181001-20221110</t>
  </si>
  <si>
    <t>CORRECAO_JURS_C-20181001-20221208</t>
  </si>
  <si>
    <t>CORRECAO_JURS_C-20181001-20230109</t>
  </si>
  <si>
    <t>CORRECAO_JURS_C-20181001-20230208</t>
  </si>
  <si>
    <t>CORRECAO_JURS_C-20181001-20230308</t>
  </si>
  <si>
    <t>CORRECAO_JURS_C-20181001-20230411</t>
  </si>
  <si>
    <t>CORRECAO_JURS_C-20181001-20230509</t>
  </si>
  <si>
    <t>CORRECAO_JURS_C-20181001-20230609</t>
  </si>
  <si>
    <t>CORRECAO_JURS_C-20181001-20230710</t>
  </si>
  <si>
    <t>CORRECAO_JURS_C-20181001-20230808</t>
  </si>
  <si>
    <t>CORRECAO_JURS_C-20181001-20230911</t>
  </si>
  <si>
    <t>CORRECAO_JURS_C-20181001-20231010</t>
  </si>
  <si>
    <t>CORRECAO_JURS_C-20181001-20231110</t>
  </si>
  <si>
    <t>CORRECAO_JURS_C-20181001-20231208</t>
  </si>
  <si>
    <t>CORRECAO_JURS_C-20181001-20240109</t>
  </si>
  <si>
    <t>CORRECAO_JURS_C-20181001-20240212</t>
  </si>
  <si>
    <t>CORRECAO_JURS_C-20181001-20240308</t>
  </si>
  <si>
    <t>CORRECAO_JURS_C-20181001-20240408</t>
  </si>
  <si>
    <t>CORRECAO_JURS_C-20181001-20240509</t>
  </si>
  <si>
    <t>CORRECAO_JURS_C-20181001-20240610</t>
  </si>
  <si>
    <t>CORRECAO_JURS_C-20181001-20240708</t>
  </si>
  <si>
    <t>CORRECAO_JURS_C-20181001-20240808</t>
  </si>
  <si>
    <t>CORRECAO_JURS_C-20181001-20240909</t>
  </si>
  <si>
    <t>CORRECAO_JURS_C-20181001-20241008</t>
  </si>
  <si>
    <t>CORRECAO_JURS_C-20181001-20241108</t>
  </si>
  <si>
    <t>CORRECAO_JURS_C-20181001-20241209</t>
  </si>
  <si>
    <t>CORRECAO_JURS_C-20181001-20250109</t>
  </si>
  <si>
    <t>CORRECAO_JURS_C-20181001-20250210</t>
  </si>
  <si>
    <t>CORRECAO_JURS_C-20181001-20250312</t>
  </si>
  <si>
    <t>CORRECAO_JURS_C-20181001-20250408</t>
  </si>
  <si>
    <t>CORRECAO_JURS_C-20181001-20250509</t>
  </si>
  <si>
    <t>CORRECAO_JURS_C-20181001-20250609</t>
  </si>
  <si>
    <t>CORRECAO_JURS_C-20181001-20250708</t>
  </si>
  <si>
    <t>CORRECAO_JURS_C-20181001-20250808</t>
  </si>
  <si>
    <t>CORRECAO_JURS_C-20181001-20250908</t>
  </si>
  <si>
    <t>CORRECAO_JURS_C-20181001-20251008</t>
  </si>
  <si>
    <t>CORRECAO_JURS_C-20181001-20251110</t>
  </si>
  <si>
    <t>CORRECAO_JURS_C-20181001-20251208</t>
  </si>
  <si>
    <t>CORRECAO_JURS_C-20181001-20260109</t>
  </si>
  <si>
    <t>CORRECAO_JURS_C-20181001-20260209</t>
  </si>
  <si>
    <t>CORRECAO_JURS_C-20181001-20260309</t>
  </si>
  <si>
    <t>CORRECAO_JURS_C-20181001-20260409</t>
  </si>
  <si>
    <t>CORRECAO_JURS_C-20181001-20260511</t>
  </si>
  <si>
    <t>CORRECAO_JURS_C-20181001-20260609</t>
  </si>
  <si>
    <t>CORRECAO_JURS_C-20181001-20260708</t>
  </si>
  <si>
    <t>CORRECAO_JURS_C-20181001-20260810</t>
  </si>
  <si>
    <t>CORRECAO_JURS_C-20181001-20260909</t>
  </si>
  <si>
    <t>CORRECAO_JURS_C-20181001-20261009</t>
  </si>
  <si>
    <t>CORRECAO_JURS_C-20181001-20261110</t>
  </si>
  <si>
    <t>CORRECAO_JURS_C-20181001-20261208</t>
  </si>
  <si>
    <t>CORRECAO_JURS_C-20181001-20270111</t>
  </si>
  <si>
    <t>CORRECAO_JURS_C-20181001-20270210</t>
  </si>
  <si>
    <t>CORRECAO_JURS_C-20181001-20270308</t>
  </si>
  <si>
    <t>CORRECAO_JURS_C-20181001-20270408</t>
  </si>
  <si>
    <t>CORRECAO_JURS_C-20181001-20270510</t>
  </si>
  <si>
    <t>CORRECAO_JURS_C-20181001-20270608</t>
  </si>
  <si>
    <t>CORRECAO_JURS_C-20181001-20270708</t>
  </si>
  <si>
    <t>CORRECAO_JURS_C-20181001-20270809</t>
  </si>
  <si>
    <t>CORRECAO_JURS_C-20181001-20270909</t>
  </si>
  <si>
    <t>CORRECAO_JURS_C-20181001-20271011</t>
  </si>
  <si>
    <t>CORRECAO_JURS_C-20181001-20271110</t>
  </si>
  <si>
    <t>CORRECAO_JURS_C-20181001-20271208</t>
  </si>
  <si>
    <t>CORRECAO_CORC_U-20181001-20181009</t>
  </si>
  <si>
    <t>CORRECAO_CORC_U-20181001-20181112</t>
  </si>
  <si>
    <t>CORRECAO_CORC_U-20181001-20181210</t>
  </si>
  <si>
    <t>CORRECAO_CORC_U-20181001-20190109</t>
  </si>
  <si>
    <t>CORRECAO_CORC_U-20181001-20190208</t>
  </si>
  <si>
    <t>CORRECAO_CORC_U-20181001-20190312</t>
  </si>
  <si>
    <t>CORRECAO_CORC_U-20181001-20190408</t>
  </si>
  <si>
    <t>CORRECAO_CORC_U-20181001-20190509</t>
  </si>
  <si>
    <t>CORRECAO_CORC_U-20181001-20190610</t>
  </si>
  <si>
    <t>CORRECAO_CORC_U-20181001-20190708</t>
  </si>
  <si>
    <t>CORRECAO_CORC_U-20181001-20190808</t>
  </si>
  <si>
    <t>CORRECAO_CORC_U-20181001-20190909</t>
  </si>
  <si>
    <t>CORRECAO_CORC_U-20181001-20191008</t>
  </si>
  <si>
    <t>CORRECAO_CORC_U-20181001-20191108</t>
  </si>
  <si>
    <t>CORRECAO_CORC_U-20181001-20191209</t>
  </si>
  <si>
    <t>CORRECAO_CORC_U-20181001-20200109</t>
  </si>
  <si>
    <t>CORRECAO_CORC_U-20181001-20200210</t>
  </si>
  <si>
    <t>CORRECAO_CORC_U-20181001-20200309</t>
  </si>
  <si>
    <t>CORRECAO_CORC_U-20181001-20200409</t>
  </si>
  <si>
    <t>CORRECAO_CORC_U-20181001-20200511</t>
  </si>
  <si>
    <t>CORRECAO_CORC_U-20181001-20200609</t>
  </si>
  <si>
    <t>CORRECAO_CORC_U-20181001-20200708</t>
  </si>
  <si>
    <t>CORRECAO_CORC_U-20181001-20200810</t>
  </si>
  <si>
    <t>CORRECAO_CORC_U-20181001-20200909</t>
  </si>
  <si>
    <t>CORRECAO_CORC_U-20181001-20201009</t>
  </si>
  <si>
    <t>CORRECAO_CORC_U-20181001-20201110</t>
  </si>
  <si>
    <t>CORRECAO_CORC_U-20181001-20201208</t>
  </si>
  <si>
    <t>CORRECAO_CORC_U-20181001-20210111</t>
  </si>
  <si>
    <t>CORRECAO_CORC_U-20181001-20210208</t>
  </si>
  <si>
    <t>CORRECAO_CORC_U-20181001-20210308</t>
  </si>
  <si>
    <t>CORRECAO_CORC_U-20181001-20210409</t>
  </si>
  <si>
    <t>CORRECAO_CORC_U-20181001-20210510</t>
  </si>
  <si>
    <t>CORRECAO_CORC_U-20181001-20210609</t>
  </si>
  <si>
    <t>CORRECAO_CORC_U-20181001-20210708</t>
  </si>
  <si>
    <t>CORRECAO_CORC_U-20181001-20210809</t>
  </si>
  <si>
    <t>CORRECAO_CORC_U-20181001-20210909</t>
  </si>
  <si>
    <t>CORRECAO_CORC_U-20181001-20211011</t>
  </si>
  <si>
    <t>CORRECAO_CORC_U-20181001-20211110</t>
  </si>
  <si>
    <t>CORRECAO_CORC_U-20181001-20211208</t>
  </si>
  <si>
    <t>CORRECAO_CORC_U-20181001-20220110</t>
  </si>
  <si>
    <t>CORRECAO_CORC_U-20181001-20220208</t>
  </si>
  <si>
    <t>CORRECAO_CORC_U-20181001-20220309</t>
  </si>
  <si>
    <t>CORRECAO_CORC_U-20181001-20220408</t>
  </si>
  <si>
    <t>CORRECAO_CORC_U-20181001-20220509</t>
  </si>
  <si>
    <t>CORRECAO_CORC_U-20181001-20220608</t>
  </si>
  <si>
    <t>CORRECAO_CORC_U-20181001-20220708</t>
  </si>
  <si>
    <t>CORRECAO_CORC_U-20181001-20220808</t>
  </si>
  <si>
    <t>CORRECAO_CORC_U-20181001-20220909</t>
  </si>
  <si>
    <t>CORRECAO_CORC_U-20181001-20221011</t>
  </si>
  <si>
    <t>CORRECAO_CORC_U-20181001-20221110</t>
  </si>
  <si>
    <t>CORRECAO_CORC_U-20181001-20221208</t>
  </si>
  <si>
    <t>CORRECAO_CORC_U-20181001-20230109</t>
  </si>
  <si>
    <t>CORRECAO_CORC_U-20181001-20230208</t>
  </si>
  <si>
    <t>CORRECAO_CORC_U-20181001-20230308</t>
  </si>
  <si>
    <t>CORRECAO_CORC_U-20181001-20230411</t>
  </si>
  <si>
    <t>CORRECAO_CORC_U-20181001-20230509</t>
  </si>
  <si>
    <t>CORRECAO_CORC_U-20181001-20230609</t>
  </si>
  <si>
    <t>CORRECAO_CORC_U-20181001-20230710</t>
  </si>
  <si>
    <t>CORRECAO_CORC_U-20181001-20230808</t>
  </si>
  <si>
    <t>CORRECAO_CORC_U-20181001-20230911</t>
  </si>
  <si>
    <t>CORRECAO_CORC_U-20181001-20231010</t>
  </si>
  <si>
    <t>CORRECAO_CORC_U-20181001-20231110</t>
  </si>
  <si>
    <t>CORRECAO_CORC_U-20181001-20231208</t>
  </si>
  <si>
    <t>CORRECAO_CORC_U-20181001-20240109</t>
  </si>
  <si>
    <t>CORRECAO_CORC_U-20181001-20240212</t>
  </si>
  <si>
    <t>CORRECAO_CORC_U-20181001-20240308</t>
  </si>
  <si>
    <t>CORRECAO_CORC_U-20181001-20240408</t>
  </si>
  <si>
    <t>CORRECAO_CORC_U-20181001-20240509</t>
  </si>
  <si>
    <t>CORRECAO_CORC_U-20181001-20240610</t>
  </si>
  <si>
    <t>CORRECAO_CORC_U-20181001-20240708</t>
  </si>
  <si>
    <t>CORRECAO_CORC_U-20181001-20240808</t>
  </si>
  <si>
    <t>CORRECAO_CORC_U-20181001-20240909</t>
  </si>
  <si>
    <t>CORRECAO_CORC_U-20181001-20241008</t>
  </si>
  <si>
    <t>CORRECAO_CORC_U-20181001-20241108</t>
  </si>
  <si>
    <t>CORRECAO_CORC_U-20181001-20241209</t>
  </si>
  <si>
    <t>CORRECAO_CORC_U-20181001-20250109</t>
  </si>
  <si>
    <t>CORRECAO_CORC_U-20181001-20250210</t>
  </si>
  <si>
    <t>CORRECAO_CORC_U-20181001-20250312</t>
  </si>
  <si>
    <t>CORRECAO_CORC_U-20181001-20250408</t>
  </si>
  <si>
    <t>CORRECAO_CORC_U-20181001-20250509</t>
  </si>
  <si>
    <t>CORRECAO_CORC_U-20181001-20250609</t>
  </si>
  <si>
    <t>CORRECAO_CORC_U-20181001-20250708</t>
  </si>
  <si>
    <t>CORRECAO_CORC_U-20181001-20250808</t>
  </si>
  <si>
    <t>CORRECAO_CORC_U-20181001-20250908</t>
  </si>
  <si>
    <t>CORRECAO_CORC_U-20181001-20251008</t>
  </si>
  <si>
    <t>CORRECAO_CORC_U-20181001-20251110</t>
  </si>
  <si>
    <t>CORRECAO_CORC_U-20181001-20251208</t>
  </si>
  <si>
    <t>CORRECAO_CORC_U-20181001-20260109</t>
  </si>
  <si>
    <t>CORRECAO_CORC_U-20181001-20260209</t>
  </si>
  <si>
    <t>CORRECAO_CORC_U-20181001-20260309</t>
  </si>
  <si>
    <t>CORRECAO_CORC_U-20181001-20260409</t>
  </si>
  <si>
    <t>CORRECAO_CORC_U-20181001-20260511</t>
  </si>
  <si>
    <t>CORRECAO_CORC_U-20181001-20260609</t>
  </si>
  <si>
    <t>CORRECAO_CORC_U-20181001-20260708</t>
  </si>
  <si>
    <t>CORRECAO_CORC_U-20181001-20260810</t>
  </si>
  <si>
    <t>CORRECAO_CORC_U-20181001-20260909</t>
  </si>
  <si>
    <t>CORRECAO_CORC_U-20181001-20261009</t>
  </si>
  <si>
    <t>CORRECAO_CORC_U-20181001-20261110</t>
  </si>
  <si>
    <t>CORRECAO_CORC_U-20181001-20261208</t>
  </si>
  <si>
    <t>CORRECAO_CORC_U-20181001-20270111</t>
  </si>
  <si>
    <t>CORRECAO_CORC_U-20181001-20270210</t>
  </si>
  <si>
    <t>CORRECAO_CORC_U-20181001-20270308</t>
  </si>
  <si>
    <t>CORRECAO_CORC_U-20181001-20270408</t>
  </si>
  <si>
    <t>CORRECAO_CORC_U-20181001-20270510</t>
  </si>
  <si>
    <t>CORRECAO_CORC_U-20181001-20270608</t>
  </si>
  <si>
    <t>CORRECAO_CORC_U-20181001-20270708</t>
  </si>
  <si>
    <t>CORRECAO_CORC_U-20181001-20270809</t>
  </si>
  <si>
    <t>CORRECAO_CORC_U-20181001-20270909</t>
  </si>
  <si>
    <t>CORRECAO_CORC_U-20181001-20271011</t>
  </si>
  <si>
    <t>CORRECAO_CORC_U-20181001-20271110</t>
  </si>
  <si>
    <t>CORRECAO_CORC_U-20181001-20271208</t>
  </si>
  <si>
    <t>CORRECAO_CORC_C-20181001-20181009</t>
  </si>
  <si>
    <t>CORRECAO_CORC_C-20181001-20181112</t>
  </si>
  <si>
    <t>CORRECAO_CORC_C-20181001-20181210</t>
  </si>
  <si>
    <t>CORRECAO_CORC_C-20181001-20190109</t>
  </si>
  <si>
    <t>CORRECAO_CORC_C-20181001-20190208</t>
  </si>
  <si>
    <t>CORRECAO_CORC_C-20181001-20190312</t>
  </si>
  <si>
    <t>CORRECAO_CORC_C-20181001-20190408</t>
  </si>
  <si>
    <t>CORRECAO_CORC_C-20181001-20190509</t>
  </si>
  <si>
    <t>CORRECAO_CORC_C-20181001-20190610</t>
  </si>
  <si>
    <t>CORRECAO_CORC_C-20181001-20190708</t>
  </si>
  <si>
    <t>CORRECAO_CORC_C-20181001-20190808</t>
  </si>
  <si>
    <t>CORRECAO_CORC_C-20181001-20190909</t>
  </si>
  <si>
    <t>CORRECAO_CORC_C-20181001-20191008</t>
  </si>
  <si>
    <t>CORRECAO_CORC_C-20181001-20191108</t>
  </si>
  <si>
    <t>CORRECAO_CORC_C-20181001-20191209</t>
  </si>
  <si>
    <t>CORRECAO_CORC_C-20181001-20200109</t>
  </si>
  <si>
    <t>CORRECAO_CORC_C-20181001-20200210</t>
  </si>
  <si>
    <t>CORRECAO_CORC_C-20181001-20200309</t>
  </si>
  <si>
    <t>CORRECAO_CORC_C-20181001-20200409</t>
  </si>
  <si>
    <t>CORRECAO_CORC_C-20181001-20200511</t>
  </si>
  <si>
    <t>CORRECAO_CORC_C-20181001-20200609</t>
  </si>
  <si>
    <t>CORRECAO_CORC_C-20181001-20200708</t>
  </si>
  <si>
    <t>CORRECAO_CORC_C-20181001-20200810</t>
  </si>
  <si>
    <t>CORRECAO_CORC_C-20181001-20200909</t>
  </si>
  <si>
    <t>CORRECAO_CORC_C-20181001-20201009</t>
  </si>
  <si>
    <t>CORRECAO_CORC_C-20181001-20201110</t>
  </si>
  <si>
    <t>CORRECAO_CORC_C-20181001-20201208</t>
  </si>
  <si>
    <t>CORRECAO_CORC_C-20181001-20210111</t>
  </si>
  <si>
    <t>CORRECAO_CORC_C-20181001-20210208</t>
  </si>
  <si>
    <t>CORRECAO_CORC_C-20181001-20210308</t>
  </si>
  <si>
    <t>CORRECAO_CORC_C-20181001-20210409</t>
  </si>
  <si>
    <t>CORRECAO_CORC_C-20181001-20210510</t>
  </si>
  <si>
    <t>CORRECAO_CORC_C-20181001-20210609</t>
  </si>
  <si>
    <t>CORRECAO_CORC_C-20181001-20210708</t>
  </si>
  <si>
    <t>CORRECAO_CORC_C-20181001-20210809</t>
  </si>
  <si>
    <t>CORRECAO_CORC_C-20181001-20210909</t>
  </si>
  <si>
    <t>CORRECAO_CORC_C-20181001-20211011</t>
  </si>
  <si>
    <t>CORRECAO_CORC_C-20181001-20211110</t>
  </si>
  <si>
    <t>CORRECAO_CORC_C-20181001-20211208</t>
  </si>
  <si>
    <t>CORRECAO_CORC_C-20181001-20220110</t>
  </si>
  <si>
    <t>CORRECAO_CORC_C-20181001-20220208</t>
  </si>
  <si>
    <t>CORRECAO_CORC_C-20181001-20220309</t>
  </si>
  <si>
    <t>CORRECAO_CORC_C-20181001-20220408</t>
  </si>
  <si>
    <t>CORRECAO_CORC_C-20181001-20220509</t>
  </si>
  <si>
    <t>CORRECAO_CORC_C-20181001-20220608</t>
  </si>
  <si>
    <t>CORRECAO_CORC_C-20181001-20220708</t>
  </si>
  <si>
    <t>CORRECAO_CORC_C-20181001-20220808</t>
  </si>
  <si>
    <t>CORRECAO_CORC_C-20181001-20220909</t>
  </si>
  <si>
    <t>CORRECAO_CORC_C-20181001-20221011</t>
  </si>
  <si>
    <t>CORRECAO_CORC_C-20181001-20221110</t>
  </si>
  <si>
    <t>CORRECAO_CORC_C-20181001-20221208</t>
  </si>
  <si>
    <t>CORRECAO_CORC_C-20181001-20230109</t>
  </si>
  <si>
    <t>CORRECAO_CORC_C-20181001-20230208</t>
  </si>
  <si>
    <t>CORRECAO_CORC_C-20181001-20230308</t>
  </si>
  <si>
    <t>CORRECAO_CORC_C-20181001-20230411</t>
  </si>
  <si>
    <t>CORRECAO_CORC_C-20181001-20230509</t>
  </si>
  <si>
    <t>CORRECAO_CORC_C-20181001-20230609</t>
  </si>
  <si>
    <t>CORRECAO_CORC_C-20181001-20230710</t>
  </si>
  <si>
    <t>CORRECAO_CORC_C-20181001-20230808</t>
  </si>
  <si>
    <t>CORRECAO_CORC_C-20181001-20230911</t>
  </si>
  <si>
    <t>CORRECAO_CORC_C-20181001-20231010</t>
  </si>
  <si>
    <t>CORRECAO_CORC_C-20181001-20231110</t>
  </si>
  <si>
    <t>CORRECAO_CORC_C-20181001-20231208</t>
  </si>
  <si>
    <t>CORRECAO_CORC_C-20181001-20240109</t>
  </si>
  <si>
    <t>CORRECAO_CORC_C-20181001-20240212</t>
  </si>
  <si>
    <t>CORRECAO_CORC_C-20181001-20240308</t>
  </si>
  <si>
    <t>CORRECAO_CORC_C-20181001-20240408</t>
  </si>
  <si>
    <t>CORRECAO_CORC_C-20181001-20240509</t>
  </si>
  <si>
    <t>CORRECAO_CORC_C-20181001-20240610</t>
  </si>
  <si>
    <t>CORRECAO_CORC_C-20181001-20240708</t>
  </si>
  <si>
    <t>CORRECAO_CORC_C-20181001-20240808</t>
  </si>
  <si>
    <t>CORRECAO_CORC_C-20181001-20240909</t>
  </si>
  <si>
    <t>CORRECAO_CORC_C-20181001-20241008</t>
  </si>
  <si>
    <t>CORRECAO_CORC_C-20181001-20241108</t>
  </si>
  <si>
    <t>CORRECAO_CORC_C-20181001-20241209</t>
  </si>
  <si>
    <t>CORRECAO_CORC_C-20181001-20250109</t>
  </si>
  <si>
    <t>CORRECAO_CORC_C-20181001-20250210</t>
  </si>
  <si>
    <t>CORRECAO_CORC_C-20181001-20250312</t>
  </si>
  <si>
    <t>CORRECAO_CORC_C-20181001-20250408</t>
  </si>
  <si>
    <t>CORRECAO_CORC_C-20181001-20250509</t>
  </si>
  <si>
    <t>CORRECAO_CORC_C-20181001-20250609</t>
  </si>
  <si>
    <t>CORRECAO_CORC_C-20181001-20250708</t>
  </si>
  <si>
    <t>CORRECAO_CORC_C-20181001-20250808</t>
  </si>
  <si>
    <t>CORRECAO_CORC_C-20181001-20250908</t>
  </si>
  <si>
    <t>CORRECAO_CORC_C-20181001-20251008</t>
  </si>
  <si>
    <t>CORRECAO_CORC_C-20181001-20251110</t>
  </si>
  <si>
    <t>CORRECAO_CORC_C-20181001-20251208</t>
  </si>
  <si>
    <t>CORRECAO_CORC_C-20181001-20260109</t>
  </si>
  <si>
    <t>CORRECAO_CORC_C-20181001-20260209</t>
  </si>
  <si>
    <t>CORRECAO_CORC_C-20181001-20260309</t>
  </si>
  <si>
    <t>CORRECAO_CORC_C-20181001-20260409</t>
  </si>
  <si>
    <t>CORRECAO_CORC_C-20181001-20260511</t>
  </si>
  <si>
    <t>CORRECAO_CORC_C-20181001-20260609</t>
  </si>
  <si>
    <t>CORRECAO_CORC_C-20181001-20260708</t>
  </si>
  <si>
    <t>CORRECAO_CORC_C-20181001-20260810</t>
  </si>
  <si>
    <t>CORRECAO_CORC_C-20181001-20260909</t>
  </si>
  <si>
    <t>CORRECAO_CORC_C-20181001-20261009</t>
  </si>
  <si>
    <t>CORRECAO_CORC_C-20181001-20261110</t>
  </si>
  <si>
    <t>CORRECAO_CORC_C-20181001-20261208</t>
  </si>
  <si>
    <t>CORRECAO_CORC_C-20181001-20270111</t>
  </si>
  <si>
    <t>CORRECAO_CORC_C-20181001-20270210</t>
  </si>
  <si>
    <t>CORRECAO_CORC_C-20181001-20270308</t>
  </si>
  <si>
    <t>CORRECAO_CORC_C-20181001-20270408</t>
  </si>
  <si>
    <t>CORRECAO_CORC_C-20181001-20270510</t>
  </si>
  <si>
    <t>CORRECAO_CORC_C-20181001-20270608</t>
  </si>
  <si>
    <t>CORRECAO_CORC_C-20181001-20270708</t>
  </si>
  <si>
    <t>CORRECAO_CORC_C-20181001-20270809</t>
  </si>
  <si>
    <t>CORRECAO_CORC_C-20181001-20270909</t>
  </si>
  <si>
    <t>CORRECAO_CORC_C-20181001-20271011</t>
  </si>
  <si>
    <t>CORRECAO_CORC_C-20181001-20271110</t>
  </si>
  <si>
    <t>CORRECAO_CORC_C-20181001-20271208</t>
  </si>
  <si>
    <t>TX_CENARIO-20181001-20181009</t>
  </si>
  <si>
    <t>TX_CENARIO-20181001-20181112</t>
  </si>
  <si>
    <t>TX_CENARIO-20181001-20181210</t>
  </si>
  <si>
    <t>TX_CENARIO-20181001-20190109</t>
  </si>
  <si>
    <t>TX_CENARIO-20181001-20190208</t>
  </si>
  <si>
    <t>TX_CENARIO-20181001-20190312</t>
  </si>
  <si>
    <t>TX_CENARIO-20181001-20190408</t>
  </si>
  <si>
    <t>TX_CENARIO-20181001-20190509</t>
  </si>
  <si>
    <t>TX_CENARIO-20181001-20190610</t>
  </si>
  <si>
    <t>TX_CENARIO-20181001-20190708</t>
  </si>
  <si>
    <t>TX_CENARIO-20181001-20190808</t>
  </si>
  <si>
    <t>TX_CENARIO-20181001-20190909</t>
  </si>
  <si>
    <t>TX_CENARIO-20181001-20191008</t>
  </si>
  <si>
    <t>TX_CENARIO-20181001-20191108</t>
  </si>
  <si>
    <t>TX_CENARIO-20181001-20191209</t>
  </si>
  <si>
    <t>TX_CENARIO-20181001-20200109</t>
  </si>
  <si>
    <t>TX_CENARIO-20181001-20200210</t>
  </si>
  <si>
    <t>TX_CENARIO-20181001-20200309</t>
  </si>
  <si>
    <t>TX_CENARIO-20181001-20200409</t>
  </si>
  <si>
    <t>TX_CENARIO-20181001-20200511</t>
  </si>
  <si>
    <t>TX_CENARIO-20181001-20200609</t>
  </si>
  <si>
    <t>TX_CENARIO-20181001-20200708</t>
  </si>
  <si>
    <t>TX_CENARIO-20181001-20200810</t>
  </si>
  <si>
    <t>TX_CENARIO-20181001-20200909</t>
  </si>
  <si>
    <t>TX_CENARIO-20181001-20201009</t>
  </si>
  <si>
    <t>TX_CENARIO-20181001-20201110</t>
  </si>
  <si>
    <t>TX_CENARIO-20181001-20201208</t>
  </si>
  <si>
    <t>TX_CENARIO-20181001-20210111</t>
  </si>
  <si>
    <t>TX_CENARIO-20181001-20210208</t>
  </si>
  <si>
    <t>TX_CENARIO-20181001-20210308</t>
  </si>
  <si>
    <t>TX_CENARIO-20181001-20210409</t>
  </si>
  <si>
    <t>TX_CENARIO-20181001-20210510</t>
  </si>
  <si>
    <t>TX_CENARIO-20181001-20210609</t>
  </si>
  <si>
    <t>TX_CENARIO-20181001-20210708</t>
  </si>
  <si>
    <t>TX_CENARIO-20181001-20210809</t>
  </si>
  <si>
    <t>TX_CENARIO-20181001-20210909</t>
  </si>
  <si>
    <t>TX_CENARIO-20181001-20211011</t>
  </si>
  <si>
    <t>TX_CENARIO-20181001-20211110</t>
  </si>
  <si>
    <t>TX_CENARIO-20181001-20211208</t>
  </si>
  <si>
    <t>TX_CENARIO-20181001-20220110</t>
  </si>
  <si>
    <t>TX_CENARIO-20181001-20220208</t>
  </si>
  <si>
    <t>TX_CENARIO-20181001-20220309</t>
  </si>
  <si>
    <t>TX_CENARIO-20181001-20220408</t>
  </si>
  <si>
    <t>TX_CENARIO-20181001-20220509</t>
  </si>
  <si>
    <t>TX_CENARIO-20181001-20220608</t>
  </si>
  <si>
    <t>TX_CENARIO-20181001-20220708</t>
  </si>
  <si>
    <t>TX_CENARIO-20181001-20220808</t>
  </si>
  <si>
    <t>TX_CENARIO-20181001-20220909</t>
  </si>
  <si>
    <t>TX_CENARIO-20181001-20221011</t>
  </si>
  <si>
    <t>TX_CENARIO-20181001-20221110</t>
  </si>
  <si>
    <t>TX_CENARIO-20181001-20221208</t>
  </si>
  <si>
    <t>TX_CENARIO-20181001-20230109</t>
  </si>
  <si>
    <t>TX_CENARIO-20181001-20230208</t>
  </si>
  <si>
    <t>TX_CENARIO-20181001-20230308</t>
  </si>
  <si>
    <t>TX_CENARIO-20181001-20230411</t>
  </si>
  <si>
    <t>TX_CENARIO-20181001-20230509</t>
  </si>
  <si>
    <t>TX_CENARIO-20181001-20230609</t>
  </si>
  <si>
    <t>TX_CENARIO-20181001-20230710</t>
  </si>
  <si>
    <t>TX_CENARIO-20181001-20230808</t>
  </si>
  <si>
    <t>TX_CENARIO-20181001-20230911</t>
  </si>
  <si>
    <t>TX_CENARIO-20181001-20231010</t>
  </si>
  <si>
    <t>TX_CENARIO-20181001-20231110</t>
  </si>
  <si>
    <t>TX_CENARIO-20181001-20231208</t>
  </si>
  <si>
    <t>TX_CENARIO-20181001-20240109</t>
  </si>
  <si>
    <t>TX_CENARIO-20181001-20240212</t>
  </si>
  <si>
    <t>TX_CENARIO-20181001-20240308</t>
  </si>
  <si>
    <t>TX_CENARIO-20181001-20240408</t>
  </si>
  <si>
    <t>TX_CENARIO-20181001-20240509</t>
  </si>
  <si>
    <t>TX_CENARIO-20181001-20240610</t>
  </si>
  <si>
    <t>TX_CENARIO-20181001-20240708</t>
  </si>
  <si>
    <t>TX_CENARIO-20181001-20240808</t>
  </si>
  <si>
    <t>TX_CENARIO-20181001-20240909</t>
  </si>
  <si>
    <t>TX_CENARIO-20181001-20241008</t>
  </si>
  <si>
    <t>TX_CENARIO-20181001-20241108</t>
  </si>
  <si>
    <t>TX_CENARIO-20181001-20241209</t>
  </si>
  <si>
    <t>TX_CENARIO-20181001-20250109</t>
  </si>
  <si>
    <t>TX_CENARIO-20181001-20250210</t>
  </si>
  <si>
    <t>TX_CENARIO-20181001-20250312</t>
  </si>
  <si>
    <t>TX_CENARIO-20181001-20250408</t>
  </si>
  <si>
    <t>TX_CENARIO-20181001-20250509</t>
  </si>
  <si>
    <t>TX_CENARIO-20181001-20250609</t>
  </si>
  <si>
    <t>TX_CENARIO-20181001-20250708</t>
  </si>
  <si>
    <t>TX_CENARIO-20181001-20250808</t>
  </si>
  <si>
    <t>TX_CENARIO-20181001-20250908</t>
  </si>
  <si>
    <t>TX_CENARIO-20181001-20251008</t>
  </si>
  <si>
    <t>TX_CENARIO-20181001-20251110</t>
  </si>
  <si>
    <t>TX_CENARIO-20181001-20251208</t>
  </si>
  <si>
    <t>TX_CENARIO-20181001-20260109</t>
  </si>
  <si>
    <t>TX_CENARIO-20181001-20260209</t>
  </si>
  <si>
    <t>TX_CENARIO-20181001-20260309</t>
  </si>
  <si>
    <t>TX_CENARIO-20181001-20260409</t>
  </si>
  <si>
    <t>TX_CENARIO-20181001-20260511</t>
  </si>
  <si>
    <t>TX_CENARIO-20181001-20260609</t>
  </si>
  <si>
    <t>TX_CENARIO-20181001-20260708</t>
  </si>
  <si>
    <t>TX_CENARIO-20181001-20260810</t>
  </si>
  <si>
    <t>TX_CENARIO-20181001-20260909</t>
  </si>
  <si>
    <t>TX_CENARIO-20181001-20261009</t>
  </si>
  <si>
    <t>TX_CENARIO-20181001-20261110</t>
  </si>
  <si>
    <t>TX_CENARIO-20181001-20261208</t>
  </si>
  <si>
    <t>TX_CENARIO-20181001-20270111</t>
  </si>
  <si>
    <t>TX_CENARIO-20181001-20270210</t>
  </si>
  <si>
    <t>TX_CENARIO-20181001-20270308</t>
  </si>
  <si>
    <t>TX_CENARIO-20181001-20270408</t>
  </si>
  <si>
    <t>TX_CENARIO-20181001-20270510</t>
  </si>
  <si>
    <t>TX_CENARIO-20181001-20270608</t>
  </si>
  <si>
    <t>TX_CENARIO-20181001-20270708</t>
  </si>
  <si>
    <t>TX_CENARIO-20181001-20270809</t>
  </si>
  <si>
    <t>TX_CENARIO-20181001-20270909</t>
  </si>
  <si>
    <t>TX_CENARIO-20181001-20271011</t>
  </si>
  <si>
    <t>TX_CENARIO-20181001-20271110</t>
  </si>
  <si>
    <t>TX_CENARIO-20181001-20271208</t>
  </si>
  <si>
    <t>JURS</t>
  </si>
  <si>
    <t>U</t>
  </si>
  <si>
    <t>@V_FUT_U_JURS CENARIO</t>
  </si>
  <si>
    <t>@V_PRS_U_JURS</t>
  </si>
  <si>
    <t>V_FUT_U_JURS CENARIO</t>
  </si>
  <si>
    <t>@VAR_DESCAP_U</t>
  </si>
  <si>
    <t>2018-10-01 00:00:00.000</t>
  </si>
  <si>
    <t>2018-10-09 00:00:00.000</t>
  </si>
  <si>
    <t>@V_FUT_U_JURS @EVE_JURS_PCPL</t>
  </si>
  <si>
    <t>2018-11-12 00:00:00.000</t>
  </si>
  <si>
    <t>2018-12-10 00:00:00.000</t>
  </si>
  <si>
    <t>2019-01-09 00:00:00.000</t>
  </si>
  <si>
    <t>2019-02-08 00:00:00.000</t>
  </si>
  <si>
    <t>2019-03-12 00:00:00.000</t>
  </si>
  <si>
    <t>2019-04-08 00:00:00.000</t>
  </si>
  <si>
    <t>2019-05-09 00:00:00.000</t>
  </si>
  <si>
    <t>2019-06-10 00:00:00.000</t>
  </si>
  <si>
    <t>2019-07-08 00:00:00.000</t>
  </si>
  <si>
    <t>2019-08-08 00:00:00.000</t>
  </si>
  <si>
    <t>2019-09-09 00:00:00.000</t>
  </si>
  <si>
    <t>2019-10-08 00:00:00.000</t>
  </si>
  <si>
    <t>2019-11-08 00:00:00.000</t>
  </si>
  <si>
    <t>2019-12-09 00:00:00.000</t>
  </si>
  <si>
    <t>2020-01-09 00:00:00.000</t>
  </si>
  <si>
    <t>2020-02-10 00:00:00.000</t>
  </si>
  <si>
    <t>2020-03-09 00:00:00.000</t>
  </si>
  <si>
    <t>2020-04-09 00:00:00.000</t>
  </si>
  <si>
    <t>2020-05-11 00:00:00.000</t>
  </si>
  <si>
    <t>2020-06-09 00:00:00.000</t>
  </si>
  <si>
    <t>2020-07-08 00:00:00.000</t>
  </si>
  <si>
    <t>2020-08-10 00:00:00.000</t>
  </si>
  <si>
    <t>2020-09-09 00:00:00.000</t>
  </si>
  <si>
    <t>2020-10-09 00:00:00.000</t>
  </si>
  <si>
    <t>2020-11-10 00:00:00.000</t>
  </si>
  <si>
    <t>2020-12-08 00:00:00.000</t>
  </si>
  <si>
    <t>2021-01-11 00:00:00.000</t>
  </si>
  <si>
    <t>2021-02-08 00:00:00.000</t>
  </si>
  <si>
    <t>2021-03-08 00:00:00.000</t>
  </si>
  <si>
    <t>2021-04-09 00:00:00.000</t>
  </si>
  <si>
    <t>2021-05-10 00:00:00.000</t>
  </si>
  <si>
    <t>2021-06-09 00:00:00.000</t>
  </si>
  <si>
    <t>2021-07-08 00:00:00.000</t>
  </si>
  <si>
    <t>2021-08-09 00:00:00.000</t>
  </si>
  <si>
    <t>2021-09-09 00:00:00.000</t>
  </si>
  <si>
    <t>2021-10-11 00:00:00.000</t>
  </si>
  <si>
    <t>2021-11-10 00:00:00.000</t>
  </si>
  <si>
    <t>2021-12-08 00:00:00.000</t>
  </si>
  <si>
    <t>2022-01-10 00:00:00.000</t>
  </si>
  <si>
    <t>2022-02-08 00:00:00.000</t>
  </si>
  <si>
    <t>2022-03-09 00:00:00.000</t>
  </si>
  <si>
    <t>2022-04-08 00:00:00.000</t>
  </si>
  <si>
    <t>2022-05-09 00:00:00.000</t>
  </si>
  <si>
    <t>2022-06-08 00:00:00.000</t>
  </si>
  <si>
    <t>2022-07-08 00:00:00.000</t>
  </si>
  <si>
    <t>2022-08-08 00:00:00.000</t>
  </si>
  <si>
    <t>2022-09-09 00:00:00.000</t>
  </si>
  <si>
    <t>2022-10-11 00:00:00.000</t>
  </si>
  <si>
    <t>2022-11-10 00:00:00.000</t>
  </si>
  <si>
    <t>2022-12-08 00:00:00.000</t>
  </si>
  <si>
    <t>2023-01-09 00:00:00.000</t>
  </si>
  <si>
    <t>2023-02-08 00:00:00.000</t>
  </si>
  <si>
    <t>2023-03-08 00:00:00.000</t>
  </si>
  <si>
    <t>2023-04-11 00:00:00.000</t>
  </si>
  <si>
    <t>2023-05-09 00:00:00.000</t>
  </si>
  <si>
    <t>2023-06-09 00:00:00.000</t>
  </si>
  <si>
    <t>2023-07-10 00:00:00.000</t>
  </si>
  <si>
    <t>2023-08-08 00:00:00.000</t>
  </si>
  <si>
    <t>2023-09-11 00:00:00.000</t>
  </si>
  <si>
    <t>2023-10-10 00:00:00.000</t>
  </si>
  <si>
    <t>2023-11-10 00:00:00.000</t>
  </si>
  <si>
    <t>2023-12-08 00:00:00.000</t>
  </si>
  <si>
    <t>2024-01-09 00:00:00.000</t>
  </si>
  <si>
    <t>2024-02-12 00:00:00.000</t>
  </si>
  <si>
    <t>2024-03-08 00:00:00.000</t>
  </si>
  <si>
    <t>2024-04-08 00:00:00.000</t>
  </si>
  <si>
    <t>2024-05-09 00:00:00.000</t>
  </si>
  <si>
    <t>2024-06-10 00:00:00.000</t>
  </si>
  <si>
    <t>2024-07-08 00:00:00.000</t>
  </si>
  <si>
    <t>2024-08-08 00:00:00.000</t>
  </si>
  <si>
    <t>2024-09-09 00:00:00.000</t>
  </si>
  <si>
    <t>2024-10-08 00:00:00.000</t>
  </si>
  <si>
    <t>2024-11-08 00:00:00.000</t>
  </si>
  <si>
    <t>2024-12-09 00:00:00.000</t>
  </si>
  <si>
    <t>2025-01-09 00:00:00.000</t>
  </si>
  <si>
    <t>2025-02-10 00:00:00.000</t>
  </si>
  <si>
    <t>2025-03-12 00:00:00.000</t>
  </si>
  <si>
    <t>2025-04-08 00:00:00.000</t>
  </si>
  <si>
    <t>2025-05-09 00:00:00.000</t>
  </si>
  <si>
    <t>2025-06-09 00:00:00.000</t>
  </si>
  <si>
    <t>2025-07-08 00:00:00.000</t>
  </si>
  <si>
    <t>2025-08-08 00:00:00.000</t>
  </si>
  <si>
    <t>2025-09-08 00:00:00.000</t>
  </si>
  <si>
    <t>2025-10-08 00:00:00.000</t>
  </si>
  <si>
    <t>2025-11-10 00:00:00.000</t>
  </si>
  <si>
    <t>2025-12-08 00:00:00.000</t>
  </si>
  <si>
    <t>2026-01-09 00:00:00.000</t>
  </si>
  <si>
    <t>2026-02-09 00:00:00.000</t>
  </si>
  <si>
    <t>2026-03-09 00:00:00.000</t>
  </si>
  <si>
    <t>2026-04-09 00:00:00.000</t>
  </si>
  <si>
    <t>2026-05-11 00:00:00.000</t>
  </si>
  <si>
    <t>2026-06-09 00:00:00.000</t>
  </si>
  <si>
    <t>2026-07-08 00:00:00.000</t>
  </si>
  <si>
    <t>2026-08-10 00:00:00.000</t>
  </si>
  <si>
    <t>2026-09-09 00:00:00.000</t>
  </si>
  <si>
    <t>2026-10-09 00:00:00.000</t>
  </si>
  <si>
    <t>2026-11-10 00:00:00.000</t>
  </si>
  <si>
    <t>2026-12-08 00:00:00.000</t>
  </si>
  <si>
    <t>2027-01-11 00:00:00.000</t>
  </si>
  <si>
    <t>2027-02-10 00:00:00.000</t>
  </si>
  <si>
    <t>2027-03-08 00:00:00.000</t>
  </si>
  <si>
    <t>2027-04-08 00:00:00.000</t>
  </si>
  <si>
    <t>2027-05-10 00:00:00.000</t>
  </si>
  <si>
    <t>2027-06-08 00:00:00.000</t>
  </si>
  <si>
    <t>2027-07-08 00:00:00.000</t>
  </si>
  <si>
    <t>2027-08-09 00:00:00.000</t>
  </si>
  <si>
    <t>2027-09-09 00:00:00.000</t>
  </si>
  <si>
    <t>2027-10-11 00:00:00.000</t>
  </si>
  <si>
    <t>2027-11-10 00:00:00.000</t>
  </si>
  <si>
    <t>2027-12-08 00:00:00.000</t>
  </si>
  <si>
    <t>V_FUT_U_JURS @EVE_JURS_PCPL</t>
  </si>
  <si>
    <t>@TX_CENARIO CENARIO</t>
  </si>
  <si>
    <t>@Q_DIAS_U_PARC CENARIO</t>
  </si>
  <si>
    <t>Q_DIAS_U_PARC CENARIO</t>
  </si>
  <si>
    <t>@CUPOM_TIR @EVE_JURS_PCPL</t>
  </si>
  <si>
    <t>@CORRECAO_U @EVE_JURS_PCPL</t>
  </si>
  <si>
    <t>C</t>
  </si>
  <si>
    <t>@V_FUT_C_JURS @EVE_JURS_PCPL</t>
  </si>
  <si>
    <t>@V_PRS_C_JURS</t>
  </si>
  <si>
    <t>V_FUT_U_JURS_CENARIO</t>
  </si>
  <si>
    <t>@VAR_DESCAP_C</t>
  </si>
  <si>
    <t>CORC</t>
  </si>
  <si>
    <t>@V_PRS_U_CORC</t>
  </si>
  <si>
    <t>@V_FUT_U_CORC CENARIO</t>
  </si>
  <si>
    <t>V_FUT_U_CORC CENARIO</t>
  </si>
  <si>
    <t>@V_FUT_U_CORC @EVE_CORC_PCPL</t>
  </si>
  <si>
    <t xml:space="preserve">V_FUT_U_CORC </t>
  </si>
  <si>
    <t>x</t>
  </si>
  <si>
    <t>PCPL</t>
  </si>
  <si>
    <t>@V_PRS_U_PCPL</t>
  </si>
  <si>
    <t>V_FUT_U_PCPL CENARIO</t>
  </si>
  <si>
    <t>@V_FUT_U_PCPL CENARIO</t>
  </si>
  <si>
    <t>@V_FUT_U_PCPL</t>
  </si>
  <si>
    <t>V_FUT_U_PCPL</t>
  </si>
  <si>
    <t>CORRECAO_JURS_U-20151228-20160111</t>
  </si>
  <si>
    <t>CORRECAO_JURS_U-20151228-20160210</t>
  </si>
  <si>
    <t>CORRECAO_JURS_U-20151228-20160308</t>
  </si>
  <si>
    <t>CORRECAO_JURS_U-20151228-20160408</t>
  </si>
  <si>
    <t>CORRECAO_JURS_U-20151228-20160509</t>
  </si>
  <si>
    <t>CORRECAO_JURS_U-20151228-20160608</t>
  </si>
  <si>
    <t>CORRECAO_JURS_U-20151228-20160708</t>
  </si>
  <si>
    <t>CORRECAO_JURS_U-20151228-20160808</t>
  </si>
  <si>
    <t>CORRECAO_JURS_U-20151228-20160909</t>
  </si>
  <si>
    <t>CORRECAO_JURS_U-20151228-20161011</t>
  </si>
  <si>
    <t>CORRECAO_JURS_U-20151228-20161110</t>
  </si>
  <si>
    <t>CORRECAO_JURS_U-20151228-20161208</t>
  </si>
  <si>
    <t>CORRECAO_JURS_U-20151228-20170109</t>
  </si>
  <si>
    <t>CORRECAO_JURS_U-20151228-20170208</t>
  </si>
  <si>
    <t>CORRECAO_JURS_U-20151228-20170308</t>
  </si>
  <si>
    <t>CORRECAO_JURS_U-20151228-20170411</t>
  </si>
  <si>
    <t>CORRECAO_JURS_U-20151228-20170509</t>
  </si>
  <si>
    <t>CORRECAO_JURS_U-20151228-20170608</t>
  </si>
  <si>
    <t>CORRECAO_JURS_U-20151228-20170710</t>
  </si>
  <si>
    <t>CORRECAO_JURS_U-20151228-20170808</t>
  </si>
  <si>
    <t>CORRECAO_JURS_U-20151228-20170911</t>
  </si>
  <si>
    <t>CORRECAO_JURS_U-20151228-20171010</t>
  </si>
  <si>
    <t>CORRECAO_JURS_U-20151228-20171110</t>
  </si>
  <si>
    <t>CORRECAO_JURS_U-20151228-20171208</t>
  </si>
  <si>
    <t>CORRECAO_JURS_U-20151228-20180109</t>
  </si>
  <si>
    <t>CORRECAO_JURS_U-20151228-20180212</t>
  </si>
  <si>
    <t>CORRECAO_JURS_U-20151228-20180308</t>
  </si>
  <si>
    <t>CORRECAO_JURS_U-20151228-20180409</t>
  </si>
  <si>
    <t>CORRECAO_JURS_U-20151228-20180509</t>
  </si>
  <si>
    <t>CORRECAO_JURS_U-20151228-20180608</t>
  </si>
  <si>
    <t>CORRECAO_JURS_U-20151228-20180709</t>
  </si>
  <si>
    <t>CORRECAO_JURS_U-20151228-20180808</t>
  </si>
  <si>
    <t>CORRECAO_JURS_U-20151228-20180911</t>
  </si>
  <si>
    <t>CORRECAO_JURS_U-20151228-20181009</t>
  </si>
  <si>
    <t>CORRECAO_JURS_U-20151228-20181112</t>
  </si>
  <si>
    <t>CORRECAO_JURS_U-20151228-20181210</t>
  </si>
  <si>
    <t>CORRECAO_JURS_U-20151228-20190109</t>
  </si>
  <si>
    <t>CORRECAO_JURS_U-20151228-20190208</t>
  </si>
  <si>
    <t>CORRECAO_JURS_U-20151228-20190312</t>
  </si>
  <si>
    <t>CORRECAO_JURS_U-20151228-20190408</t>
  </si>
  <si>
    <t>CORRECAO_JURS_U-20151228-20190509</t>
  </si>
  <si>
    <t>CORRECAO_JURS_U-20151228-20190610</t>
  </si>
  <si>
    <t>CORRECAO_JURS_U-20151228-20190708</t>
  </si>
  <si>
    <t>CORRECAO_JURS_U-20151228-20190808</t>
  </si>
  <si>
    <t>CORRECAO_JURS_U-20151228-20190909</t>
  </si>
  <si>
    <t>CORRECAO_JURS_U-20151228-20191008</t>
  </si>
  <si>
    <t>CORRECAO_JURS_U-20151228-20191108</t>
  </si>
  <si>
    <t>CORRECAO_JURS_U-20151228-20191209</t>
  </si>
  <si>
    <t>CORRECAO_JURS_U-20151228-20200109</t>
  </si>
  <si>
    <t>CORRECAO_JURS_U-20151228-20200210</t>
  </si>
  <si>
    <t>CORRECAO_JURS_U-20151228-20200309</t>
  </si>
  <si>
    <t>CORRECAO_JURS_U-20151228-20200409</t>
  </si>
  <si>
    <t>CORRECAO_JURS_U-20151228-20200511</t>
  </si>
  <si>
    <t>CORRECAO_JURS_U-20151228-20200609</t>
  </si>
  <si>
    <t>CORRECAO_JURS_U-20151228-20200708</t>
  </si>
  <si>
    <t>CORRECAO_JURS_U-20151228-20200810</t>
  </si>
  <si>
    <t>CORRECAO_JURS_U-20151228-20200909</t>
  </si>
  <si>
    <t>CORRECAO_JURS_U-20151228-20201009</t>
  </si>
  <si>
    <t>CORRECAO_JURS_U-20151228-20201110</t>
  </si>
  <si>
    <t>CORRECAO_JURS_U-20151228-20201208</t>
  </si>
  <si>
    <t>CORRECAO_JURS_U-20151228-20210111</t>
  </si>
  <si>
    <t>CORRECAO_JURS_U-20151228-20210208</t>
  </si>
  <si>
    <t>CORRECAO_JURS_U-20151228-20210308</t>
  </si>
  <si>
    <t>CORRECAO_JURS_U-20151228-20210409</t>
  </si>
  <si>
    <t>CORRECAO_JURS_U-20151228-20210510</t>
  </si>
  <si>
    <t>CORRECAO_JURS_U-20151228-20210609</t>
  </si>
  <si>
    <t>CORRECAO_JURS_U-20151228-20210708</t>
  </si>
  <si>
    <t>CORRECAO_JURS_U-20151228-20210809</t>
  </si>
  <si>
    <t>CORRECAO_JURS_U-20151228-20210909</t>
  </si>
  <si>
    <t>CORRECAO_JURS_U-20151228-20211011</t>
  </si>
  <si>
    <t>CORRECAO_JURS_U-20151228-20211110</t>
  </si>
  <si>
    <t>CORRECAO_JURS_U-20151228-20211208</t>
  </si>
  <si>
    <t>CORRECAO_JURS_U-20151228-20220110</t>
  </si>
  <si>
    <t>CORRECAO_JURS_U-20151228-20220208</t>
  </si>
  <si>
    <t>CORRECAO_JURS_U-20151228-20220309</t>
  </si>
  <si>
    <t>CORRECAO_JURS_U-20151228-20220408</t>
  </si>
  <si>
    <t>CORRECAO_JURS_U-20151228-20220509</t>
  </si>
  <si>
    <t>CORRECAO_JURS_U-20151228-20220608</t>
  </si>
  <si>
    <t>CORRECAO_JURS_U-20151228-20220708</t>
  </si>
  <si>
    <t>CORRECAO_JURS_U-20151228-20220808</t>
  </si>
  <si>
    <t>CORRECAO_JURS_U-20151228-20220909</t>
  </si>
  <si>
    <t>CORRECAO_JURS_U-20151228-20221011</t>
  </si>
  <si>
    <t>CORRECAO_JURS_U-20151228-20221110</t>
  </si>
  <si>
    <t>CORRECAO_JURS_U-20151228-20221208</t>
  </si>
  <si>
    <t>CORRECAO_JURS_U-20151228-20230109</t>
  </si>
  <si>
    <t>CORRECAO_JURS_U-20151228-20230208</t>
  </si>
  <si>
    <t>CORRECAO_JURS_U-20151228-20230308</t>
  </si>
  <si>
    <t>CORRECAO_JURS_U-20151228-20230411</t>
  </si>
  <si>
    <t>CORRECAO_JURS_U-20151228-20230509</t>
  </si>
  <si>
    <t>CORRECAO_JURS_U-20151228-20230609</t>
  </si>
  <si>
    <t>CORRECAO_JURS_U-20151228-20230710</t>
  </si>
  <si>
    <t>CORRECAO_JURS_U-20151228-20230808</t>
  </si>
  <si>
    <t>CORRECAO_JURS_U-20151228-20230911</t>
  </si>
  <si>
    <t>CORRECAO_JURS_U-20151228-20231010</t>
  </si>
  <si>
    <t>CORRECAO_JURS_U-20151228-20231110</t>
  </si>
  <si>
    <t>CORRECAO_JURS_U-20151228-20231208</t>
  </si>
  <si>
    <t>CORRECAO_JURS_U-20151228-20240109</t>
  </si>
  <si>
    <t>CORRECAO_JURS_U-20151228-20240212</t>
  </si>
  <si>
    <t>CORRECAO_JURS_U-20151228-20240308</t>
  </si>
  <si>
    <t>CORRECAO_JURS_U-20151228-20240408</t>
  </si>
  <si>
    <t>CORRECAO_JURS_U-20151228-20240509</t>
  </si>
  <si>
    <t>CORRECAO_JURS_U-20151228-20240610</t>
  </si>
  <si>
    <t>CORRECAO_JURS_U-20151228-20240708</t>
  </si>
  <si>
    <t>CORRECAO_JURS_U-20151228-20240808</t>
  </si>
  <si>
    <t>CORRECAO_JURS_U-20151228-20240909</t>
  </si>
  <si>
    <t>CORRECAO_JURS_U-20151228-20241008</t>
  </si>
  <si>
    <t>CORRECAO_JURS_U-20151228-20241108</t>
  </si>
  <si>
    <t>CORRECAO_JURS_U-20151228-20241209</t>
  </si>
  <si>
    <t>CORRECAO_JURS_U-20151228-20250109</t>
  </si>
  <si>
    <t>CORRECAO_JURS_U-20151228-20250210</t>
  </si>
  <si>
    <t>CORRECAO_JURS_U-20151228-20250312</t>
  </si>
  <si>
    <t>CORRECAO_JURS_U-20151228-20250408</t>
  </si>
  <si>
    <t>CORRECAO_JURS_U-20151228-20250509</t>
  </si>
  <si>
    <t>CORRECAO_JURS_U-20151228-20250609</t>
  </si>
  <si>
    <t>CORRECAO_JURS_U-20151228-20250708</t>
  </si>
  <si>
    <t>CORRECAO_JURS_U-20151228-20250808</t>
  </si>
  <si>
    <t>CORRECAO_JURS_U-20151228-20250908</t>
  </si>
  <si>
    <t>CORRECAO_JURS_U-20151228-20251008</t>
  </si>
  <si>
    <t>CORRECAO_JURS_U-20151228-20251110</t>
  </si>
  <si>
    <t>CORRECAO_JURS_U-20151228-20251208</t>
  </si>
  <si>
    <t>CORRECAO_JURS_U-20151228-20260109</t>
  </si>
  <si>
    <t>CORRECAO_JURS_U-20151228-20260209</t>
  </si>
  <si>
    <t>CORRECAO_JURS_U-20151228-20260309</t>
  </si>
  <si>
    <t>CORRECAO_JURS_U-20151228-20260409</t>
  </si>
  <si>
    <t>CORRECAO_JURS_U-20151228-20260511</t>
  </si>
  <si>
    <t>CORRECAO_JURS_U-20151228-20260609</t>
  </si>
  <si>
    <t>CORRECAO_JURS_U-20151228-20260708</t>
  </si>
  <si>
    <t>CORRECAO_JURS_U-20151228-20260810</t>
  </si>
  <si>
    <t>CORRECAO_JURS_U-20151228-20260909</t>
  </si>
  <si>
    <t>CORRECAO_JURS_U-20151228-20261009</t>
  </si>
  <si>
    <t>CORRECAO_JURS_U-20151228-20261110</t>
  </si>
  <si>
    <t>CORRECAO_JURS_U-20151228-20261208</t>
  </si>
  <si>
    <t>CORRECAO_JURS_U-20151228-20270111</t>
  </si>
  <si>
    <t>CORRECAO_JURS_U-20151228-20270210</t>
  </si>
  <si>
    <t>CORRECAO_JURS_U-20151228-20270308</t>
  </si>
  <si>
    <t>CORRECAO_JURS_U-20151228-20270408</t>
  </si>
  <si>
    <t>CORRECAO_JURS_U-20151228-20270510</t>
  </si>
  <si>
    <t>CORRECAO_JURS_U-20151228-20270608</t>
  </si>
  <si>
    <t>CORRECAO_JURS_U-20151228-20270708</t>
  </si>
  <si>
    <t>CORRECAO_JURS_U-20151228-20270809</t>
  </si>
  <si>
    <t>CORRECAO_JURS_U-20151228-20270909</t>
  </si>
  <si>
    <t>CORRECAO_JURS_U-20151228-20271011</t>
  </si>
  <si>
    <t>CORRECAO_JURS_U-20151228-20271110</t>
  </si>
  <si>
    <t>CORRECAO_JURS_U-20151228-20271208</t>
  </si>
  <si>
    <t>CORRECAO_JURS_C-20151228-20160111</t>
  </si>
  <si>
    <t>CORRECAO_JURS_C-20151228-20160210</t>
  </si>
  <si>
    <t>CORRECAO_JURS_C-20151228-20160308</t>
  </si>
  <si>
    <t>CORRECAO_JURS_C-20151228-20160408</t>
  </si>
  <si>
    <t>CORRECAO_JURS_C-20151228-20160509</t>
  </si>
  <si>
    <t>CORRECAO_JURS_C-20151228-20160608</t>
  </si>
  <si>
    <t>CORRECAO_JURS_C-20151228-20160708</t>
  </si>
  <si>
    <t>CORRECAO_JURS_C-20151228-20160808</t>
  </si>
  <si>
    <t>CORRECAO_JURS_C-20151228-20160909</t>
  </si>
  <si>
    <t>CORRECAO_JURS_C-20151228-20161011</t>
  </si>
  <si>
    <t>CORRECAO_JURS_C-20151228-20161110</t>
  </si>
  <si>
    <t>CORRECAO_JURS_C-20151228-20161208</t>
  </si>
  <si>
    <t>CORRECAO_JURS_C-20151228-20170109</t>
  </si>
  <si>
    <t>CORRECAO_JURS_C-20151228-20170208</t>
  </si>
  <si>
    <t>CORRECAO_JURS_C-20151228-20170308</t>
  </si>
  <si>
    <t>CORRECAO_JURS_C-20151228-20170411</t>
  </si>
  <si>
    <t>CORRECAO_JURS_C-20151228-20170509</t>
  </si>
  <si>
    <t>CORRECAO_JURS_C-20151228-20170608</t>
  </si>
  <si>
    <t>CORRECAO_JURS_C-20151228-20170710</t>
  </si>
  <si>
    <t>CORRECAO_JURS_C-20151228-20170808</t>
  </si>
  <si>
    <t>CORRECAO_JURS_C-20151228-20170911</t>
  </si>
  <si>
    <t>CORRECAO_JURS_C-20151228-20171010</t>
  </si>
  <si>
    <t>CORRECAO_JURS_C-20151228-20171110</t>
  </si>
  <si>
    <t>CORRECAO_JURS_C-20151228-20171208</t>
  </si>
  <si>
    <t>CORRECAO_JURS_C-20151228-20180109</t>
  </si>
  <si>
    <t>CORRECAO_JURS_C-20151228-20180212</t>
  </si>
  <si>
    <t>CORRECAO_JURS_C-20151228-20180308</t>
  </si>
  <si>
    <t>CORRECAO_JURS_C-20151228-20180409</t>
  </si>
  <si>
    <t>CORRECAO_JURS_C-20151228-20180509</t>
  </si>
  <si>
    <t>CORRECAO_JURS_C-20151228-20180608</t>
  </si>
  <si>
    <t>CORRECAO_JURS_C-20151228-20180709</t>
  </si>
  <si>
    <t>CORRECAO_JURS_C-20151228-20180808</t>
  </si>
  <si>
    <t>CORRECAO_JURS_C-20151228-20180911</t>
  </si>
  <si>
    <t>CORRECAO_JURS_C-20151228-20181009</t>
  </si>
  <si>
    <t>CORRECAO_JURS_C-20151228-20181112</t>
  </si>
  <si>
    <t>CORRECAO_JURS_C-20151228-20181210</t>
  </si>
  <si>
    <t>CORRECAO_JURS_C-20151228-20190109</t>
  </si>
  <si>
    <t>CORRECAO_JURS_C-20151228-20190208</t>
  </si>
  <si>
    <t>CORRECAO_JURS_C-20151228-20190312</t>
  </si>
  <si>
    <t>CORRECAO_JURS_C-20151228-20190408</t>
  </si>
  <si>
    <t>CORRECAO_JURS_C-20151228-20190509</t>
  </si>
  <si>
    <t>CORRECAO_JURS_C-20151228-20190610</t>
  </si>
  <si>
    <t>CORRECAO_JURS_C-20151228-20190708</t>
  </si>
  <si>
    <t>CORRECAO_JURS_C-20151228-20190808</t>
  </si>
  <si>
    <t>CORRECAO_JURS_C-20151228-20190909</t>
  </si>
  <si>
    <t>CORRECAO_JURS_C-20151228-20191008</t>
  </si>
  <si>
    <t>CORRECAO_JURS_C-20151228-20191108</t>
  </si>
  <si>
    <t>CORRECAO_JURS_C-20151228-20191209</t>
  </si>
  <si>
    <t>CORRECAO_JURS_C-20151228-20200109</t>
  </si>
  <si>
    <t>CORRECAO_JURS_C-20151228-20200210</t>
  </si>
  <si>
    <t>CORRECAO_JURS_C-20151228-20200309</t>
  </si>
  <si>
    <t>CORRECAO_JURS_C-20151228-20200409</t>
  </si>
  <si>
    <t>CORRECAO_JURS_C-20151228-20200511</t>
  </si>
  <si>
    <t>CORRECAO_JURS_C-20151228-20200609</t>
  </si>
  <si>
    <t>CORRECAO_JURS_C-20151228-20200708</t>
  </si>
  <si>
    <t>CORRECAO_JURS_C-20151228-20200810</t>
  </si>
  <si>
    <t>CORRECAO_JURS_C-20151228-20200909</t>
  </si>
  <si>
    <t>CORRECAO_JURS_C-20151228-20201009</t>
  </si>
  <si>
    <t>CORRECAO_JURS_C-20151228-20201110</t>
  </si>
  <si>
    <t>CORRECAO_JURS_C-20151228-20201208</t>
  </si>
  <si>
    <t>CORRECAO_JURS_C-20151228-20210111</t>
  </si>
  <si>
    <t>CORRECAO_JURS_C-20151228-20210208</t>
  </si>
  <si>
    <t>CORRECAO_JURS_C-20151228-20210308</t>
  </si>
  <si>
    <t>CORRECAO_JURS_C-20151228-20210409</t>
  </si>
  <si>
    <t>CORRECAO_JURS_C-20151228-20210510</t>
  </si>
  <si>
    <t>CORRECAO_JURS_C-20151228-20210609</t>
  </si>
  <si>
    <t>CORRECAO_JURS_C-20151228-20210708</t>
  </si>
  <si>
    <t>CORRECAO_JURS_C-20151228-20210809</t>
  </si>
  <si>
    <t>CORRECAO_JURS_C-20151228-20210909</t>
  </si>
  <si>
    <t>CORRECAO_JURS_C-20151228-20211011</t>
  </si>
  <si>
    <t>CORRECAO_JURS_C-20151228-20211110</t>
  </si>
  <si>
    <t>CORRECAO_JURS_C-20151228-20211208</t>
  </si>
  <si>
    <t>CORRECAO_JURS_C-20151228-20220110</t>
  </si>
  <si>
    <t>CORRECAO_JURS_C-20151228-20220208</t>
  </si>
  <si>
    <t>CORRECAO_JURS_C-20151228-20220309</t>
  </si>
  <si>
    <t>CORRECAO_JURS_C-20151228-20220408</t>
  </si>
  <si>
    <t>CORRECAO_JURS_C-20151228-20220509</t>
  </si>
  <si>
    <t>CORRECAO_JURS_C-20151228-20220608</t>
  </si>
  <si>
    <t>CORRECAO_JURS_C-20151228-20220708</t>
  </si>
  <si>
    <t>CORRECAO_JURS_C-20151228-20220808</t>
  </si>
  <si>
    <t>CORRECAO_JURS_C-20151228-20220909</t>
  </si>
  <si>
    <t>CORRECAO_JURS_C-20151228-20221011</t>
  </si>
  <si>
    <t>CORRECAO_JURS_C-20151228-20221110</t>
  </si>
  <si>
    <t>CORRECAO_JURS_C-20151228-20221208</t>
  </si>
  <si>
    <t>CORRECAO_JURS_C-20151228-20230109</t>
  </si>
  <si>
    <t>CORRECAO_JURS_C-20151228-20230208</t>
  </si>
  <si>
    <t>CORRECAO_JURS_C-20151228-20230308</t>
  </si>
  <si>
    <t>CORRECAO_JURS_C-20151228-20230411</t>
  </si>
  <si>
    <t>CORRECAO_JURS_C-20151228-20230509</t>
  </si>
  <si>
    <t>CORRECAO_JURS_C-20151228-20230609</t>
  </si>
  <si>
    <t>CORRECAO_JURS_C-20151228-20230710</t>
  </si>
  <si>
    <t>CORRECAO_JURS_C-20151228-20230808</t>
  </si>
  <si>
    <t>CORRECAO_JURS_C-20151228-20230911</t>
  </si>
  <si>
    <t>CORRECAO_JURS_C-20151228-20231010</t>
  </si>
  <si>
    <t>CORRECAO_JURS_C-20151228-20231110</t>
  </si>
  <si>
    <t>CORRECAO_JURS_C-20151228-20231208</t>
  </si>
  <si>
    <t>CORRECAO_JURS_C-20151228-20240109</t>
  </si>
  <si>
    <t>CORRECAO_JURS_C-20151228-20240212</t>
  </si>
  <si>
    <t>CORRECAO_JURS_C-20151228-20240308</t>
  </si>
  <si>
    <t>CORRECAO_JURS_C-20151228-20240408</t>
  </si>
  <si>
    <t>CORRECAO_JURS_C-20151228-20240509</t>
  </si>
  <si>
    <t>CORRECAO_JURS_C-20151228-20240610</t>
  </si>
  <si>
    <t>CORRECAO_JURS_C-20151228-20240708</t>
  </si>
  <si>
    <t>CORRECAO_JURS_C-20151228-20240808</t>
  </si>
  <si>
    <t>CORRECAO_JURS_C-20151228-20240909</t>
  </si>
  <si>
    <t>CORRECAO_JURS_C-20151228-20241008</t>
  </si>
  <si>
    <t>CORRECAO_JURS_C-20151228-20241108</t>
  </si>
  <si>
    <t>CORRECAO_JURS_C-20151228-20241209</t>
  </si>
  <si>
    <t>CORRECAO_JURS_C-20151228-20250109</t>
  </si>
  <si>
    <t>CORRECAO_JURS_C-20151228-20250210</t>
  </si>
  <si>
    <t>CORRECAO_JURS_C-20151228-20250312</t>
  </si>
  <si>
    <t>CORRECAO_JURS_C-20151228-20250408</t>
  </si>
  <si>
    <t>CORRECAO_JURS_C-20151228-20250509</t>
  </si>
  <si>
    <t>CORRECAO_JURS_C-20151228-20250609</t>
  </si>
  <si>
    <t>CORRECAO_JURS_C-20151228-20250708</t>
  </si>
  <si>
    <t>CORRECAO_JURS_C-20151228-20250808</t>
  </si>
  <si>
    <t>CORRECAO_JURS_C-20151228-20250908</t>
  </si>
  <si>
    <t>CORRECAO_JURS_C-20151228-20251008</t>
  </si>
  <si>
    <t>CORRECAO_JURS_C-20151228-20251110</t>
  </si>
  <si>
    <t>CORRECAO_JURS_C-20151228-20251208</t>
  </si>
  <si>
    <t>CORRECAO_JURS_C-20151228-20260109</t>
  </si>
  <si>
    <t>CORRECAO_JURS_C-20151228-20260209</t>
  </si>
  <si>
    <t>CORRECAO_JURS_C-20151228-20260309</t>
  </si>
  <si>
    <t>CORRECAO_JURS_C-20151228-20260409</t>
  </si>
  <si>
    <t>CORRECAO_JURS_C-20151228-20260511</t>
  </si>
  <si>
    <t>CORRECAO_JURS_C-20151228-20260609</t>
  </si>
  <si>
    <t>CORRECAO_JURS_C-20151228-20260708</t>
  </si>
  <si>
    <t>CORRECAO_JURS_C-20151228-20260810</t>
  </si>
  <si>
    <t>CORRECAO_JURS_C-20151228-20260909</t>
  </si>
  <si>
    <t>CORRECAO_JURS_C-20151228-20261009</t>
  </si>
  <si>
    <t>CORRECAO_JURS_C-20151228-20261110</t>
  </si>
  <si>
    <t>CORRECAO_JURS_C-20151228-20261208</t>
  </si>
  <si>
    <t>CORRECAO_JURS_C-20151228-20270111</t>
  </si>
  <si>
    <t>CORRECAO_JURS_C-20151228-20270210</t>
  </si>
  <si>
    <t>CORRECAO_JURS_C-20151228-20270308</t>
  </si>
  <si>
    <t>CORRECAO_JURS_C-20151228-20270408</t>
  </si>
  <si>
    <t>CORRECAO_JURS_C-20151228-20270510</t>
  </si>
  <si>
    <t>CORRECAO_JURS_C-20151228-20270608</t>
  </si>
  <si>
    <t>CORRECAO_JURS_C-20151228-20270708</t>
  </si>
  <si>
    <t>CORRECAO_JURS_C-20151228-20270809</t>
  </si>
  <si>
    <t>CORRECAO_JURS_C-20151228-20270909</t>
  </si>
  <si>
    <t>CORRECAO_JURS_C-20151228-20271011</t>
  </si>
  <si>
    <t>CORRECAO_JURS_C-20151228-20271110</t>
  </si>
  <si>
    <t>CORRECAO_JURS_C-20151228-20271208</t>
  </si>
  <si>
    <t>CORRECAO_CORC_U-20151228-20160111</t>
  </si>
  <si>
    <t>CORRECAO_CORC_U-20151228-20160210</t>
  </si>
  <si>
    <t>CORRECAO_CORC_U-20151228-20160308</t>
  </si>
  <si>
    <t>CORRECAO_CORC_U-20151228-20160408</t>
  </si>
  <si>
    <t>CORRECAO_CORC_U-20151228-20160509</t>
  </si>
  <si>
    <t>CORRECAO_CORC_U-20151228-20160608</t>
  </si>
  <si>
    <t>CORRECAO_CORC_U-20151228-20160708</t>
  </si>
  <si>
    <t>CORRECAO_CORC_U-20151228-20160808</t>
  </si>
  <si>
    <t>CORRECAO_CORC_U-20151228-20160909</t>
  </si>
  <si>
    <t>CORRECAO_CORC_U-20151228-20161011</t>
  </si>
  <si>
    <t>CORRECAO_CORC_U-20151228-20161110</t>
  </si>
  <si>
    <t>CORRECAO_CORC_U-20151228-20161208</t>
  </si>
  <si>
    <t>CORRECAO_CORC_U-20151228-20170109</t>
  </si>
  <si>
    <t>CORRECAO_CORC_U-20151228-20170208</t>
  </si>
  <si>
    <t>CORRECAO_CORC_U-20151228-20170308</t>
  </si>
  <si>
    <t>CORRECAO_CORC_U-20151228-20170411</t>
  </si>
  <si>
    <t>CORRECAO_CORC_U-20151228-20170509</t>
  </si>
  <si>
    <t>CORRECAO_CORC_U-20151228-20170608</t>
  </si>
  <si>
    <t>CORRECAO_CORC_U-20151228-20170710</t>
  </si>
  <si>
    <t>CORRECAO_CORC_U-20151228-20170808</t>
  </si>
  <si>
    <t>CORRECAO_CORC_U-20151228-20170911</t>
  </si>
  <si>
    <t>CORRECAO_CORC_U-20151228-20171010</t>
  </si>
  <si>
    <t>CORRECAO_CORC_U-20151228-20171110</t>
  </si>
  <si>
    <t>CORRECAO_CORC_U-20151228-20171208</t>
  </si>
  <si>
    <t>CORRECAO_CORC_U-20151228-20180109</t>
  </si>
  <si>
    <t>CORRECAO_CORC_U-20151228-20180212</t>
  </si>
  <si>
    <t>CORRECAO_CORC_U-20151228-20180308</t>
  </si>
  <si>
    <t>CORRECAO_CORC_U-20151228-20180409</t>
  </si>
  <si>
    <t>CORRECAO_CORC_U-20151228-20180509</t>
  </si>
  <si>
    <t>CORRECAO_CORC_U-20151228-20180608</t>
  </si>
  <si>
    <t>CORRECAO_CORC_U-20151228-20180709</t>
  </si>
  <si>
    <t>CORRECAO_CORC_U-20151228-20180808</t>
  </si>
  <si>
    <t>CORRECAO_CORC_U-20151228-20180911</t>
  </si>
  <si>
    <t>CORRECAO_CORC_U-20151228-20181009</t>
  </si>
  <si>
    <t>CORRECAO_CORC_U-20151228-20181112</t>
  </si>
  <si>
    <t>CORRECAO_CORC_U-20151228-20181210</t>
  </si>
  <si>
    <t>CORRECAO_CORC_U-20151228-20190109</t>
  </si>
  <si>
    <t>CORRECAO_CORC_U-20151228-20190208</t>
  </si>
  <si>
    <t>CORRECAO_CORC_U-20151228-20190312</t>
  </si>
  <si>
    <t>CORRECAO_CORC_U-20151228-20190408</t>
  </si>
  <si>
    <t>CORRECAO_CORC_U-20151228-20190509</t>
  </si>
  <si>
    <t>CORRECAO_CORC_U-20151228-20190610</t>
  </si>
  <si>
    <t>CORRECAO_CORC_U-20151228-20190708</t>
  </si>
  <si>
    <t>CORRECAO_CORC_U-20151228-20190808</t>
  </si>
  <si>
    <t>CORRECAO_CORC_U-20151228-20190909</t>
  </si>
  <si>
    <t>CORRECAO_CORC_U-20151228-20191008</t>
  </si>
  <si>
    <t>CORRECAO_CORC_U-20151228-20191108</t>
  </si>
  <si>
    <t>CORRECAO_CORC_U-20151228-20191209</t>
  </si>
  <si>
    <t>CORRECAO_CORC_U-20151228-20200109</t>
  </si>
  <si>
    <t>CORRECAO_CORC_U-20151228-20200210</t>
  </si>
  <si>
    <t>CORRECAO_CORC_U-20151228-20200309</t>
  </si>
  <si>
    <t>CORRECAO_CORC_U-20151228-20200409</t>
  </si>
  <si>
    <t>CORRECAO_CORC_U-20151228-20200511</t>
  </si>
  <si>
    <t>CORRECAO_CORC_U-20151228-20200609</t>
  </si>
  <si>
    <t>CORRECAO_CORC_U-20151228-20200708</t>
  </si>
  <si>
    <t>CORRECAO_CORC_U-20151228-20200810</t>
  </si>
  <si>
    <t>CORRECAO_CORC_U-20151228-20200909</t>
  </si>
  <si>
    <t>CORRECAO_CORC_U-20151228-20201009</t>
  </si>
  <si>
    <t>CORRECAO_CORC_U-20151228-20201110</t>
  </si>
  <si>
    <t>CORRECAO_CORC_U-20151228-20201208</t>
  </si>
  <si>
    <t>CORRECAO_CORC_U-20151228-20210111</t>
  </si>
  <si>
    <t>CORRECAO_CORC_U-20151228-20210208</t>
  </si>
  <si>
    <t>CORRECAO_CORC_U-20151228-20210308</t>
  </si>
  <si>
    <t>CORRECAO_CORC_U-20151228-20210409</t>
  </si>
  <si>
    <t>CORRECAO_CORC_U-20151228-20210510</t>
  </si>
  <si>
    <t>CORRECAO_CORC_U-20151228-20210609</t>
  </si>
  <si>
    <t>CORRECAO_CORC_U-20151228-20210708</t>
  </si>
  <si>
    <t>CORRECAO_CORC_U-20151228-20210809</t>
  </si>
  <si>
    <t>CORRECAO_CORC_U-20151228-20210909</t>
  </si>
  <si>
    <t>CORRECAO_CORC_U-20151228-20211011</t>
  </si>
  <si>
    <t>CORRECAO_CORC_U-20151228-20211110</t>
  </si>
  <si>
    <t>CORRECAO_CORC_U-20151228-20211208</t>
  </si>
  <si>
    <t>CORRECAO_CORC_U-20151228-20220110</t>
  </si>
  <si>
    <t>CORRECAO_CORC_U-20151228-20220208</t>
  </si>
  <si>
    <t>CORRECAO_CORC_U-20151228-20220309</t>
  </si>
  <si>
    <t>CORRECAO_CORC_U-20151228-20220408</t>
  </si>
  <si>
    <t>CORRECAO_CORC_U-20151228-20220509</t>
  </si>
  <si>
    <t>CORRECAO_CORC_U-20151228-20220608</t>
  </si>
  <si>
    <t>CORRECAO_CORC_U-20151228-20220708</t>
  </si>
  <si>
    <t>CORRECAO_CORC_U-20151228-20220808</t>
  </si>
  <si>
    <t>CORRECAO_CORC_U-20151228-20220909</t>
  </si>
  <si>
    <t>CORRECAO_CORC_U-20151228-20221011</t>
  </si>
  <si>
    <t>CORRECAO_CORC_U-20151228-20221110</t>
  </si>
  <si>
    <t>CORRECAO_CORC_U-20151228-20221208</t>
  </si>
  <si>
    <t>CORRECAO_CORC_U-20151228-20230109</t>
  </si>
  <si>
    <t>CORRECAO_CORC_U-20151228-20230208</t>
  </si>
  <si>
    <t>CORRECAO_CORC_U-20151228-20230308</t>
  </si>
  <si>
    <t>CORRECAO_CORC_U-20151228-20230411</t>
  </si>
  <si>
    <t>CORRECAO_CORC_U-20151228-20230509</t>
  </si>
  <si>
    <t>CORRECAO_CORC_U-20151228-20230609</t>
  </si>
  <si>
    <t>CORRECAO_CORC_U-20151228-20230710</t>
  </si>
  <si>
    <t>CORRECAO_CORC_U-20151228-20230808</t>
  </si>
  <si>
    <t>CORRECAO_CORC_U-20151228-20230911</t>
  </si>
  <si>
    <t>CORRECAO_CORC_U-20151228-20231010</t>
  </si>
  <si>
    <t>CORRECAO_CORC_U-20151228-20231110</t>
  </si>
  <si>
    <t>CORRECAO_CORC_U-20151228-20231208</t>
  </si>
  <si>
    <t>CORRECAO_CORC_U-20151228-20240109</t>
  </si>
  <si>
    <t>CORRECAO_CORC_U-20151228-20240212</t>
  </si>
  <si>
    <t>CORRECAO_CORC_U-20151228-20240308</t>
  </si>
  <si>
    <t>CORRECAO_CORC_U-20151228-20240408</t>
  </si>
  <si>
    <t>CORRECAO_CORC_U-20151228-20240509</t>
  </si>
  <si>
    <t>CORRECAO_CORC_U-20151228-20240610</t>
  </si>
  <si>
    <t>CORRECAO_CORC_U-20151228-20240708</t>
  </si>
  <si>
    <t>CORRECAO_CORC_U-20151228-20240808</t>
  </si>
  <si>
    <t>CORRECAO_CORC_U-20151228-20240909</t>
  </si>
  <si>
    <t>CORRECAO_CORC_U-20151228-20241008</t>
  </si>
  <si>
    <t>CORRECAO_CORC_U-20151228-20241108</t>
  </si>
  <si>
    <t>CORRECAO_CORC_U-20151228-20241209</t>
  </si>
  <si>
    <t>CORRECAO_CORC_U-20151228-20250109</t>
  </si>
  <si>
    <t>CORRECAO_CORC_U-20151228-20250210</t>
  </si>
  <si>
    <t>CORRECAO_CORC_U-20151228-20250312</t>
  </si>
  <si>
    <t>CORRECAO_CORC_U-20151228-20250408</t>
  </si>
  <si>
    <t>CORRECAO_CORC_U-20151228-20250509</t>
  </si>
  <si>
    <t>CORRECAO_CORC_U-20151228-20250609</t>
  </si>
  <si>
    <t>CORRECAO_CORC_U-20151228-20250708</t>
  </si>
  <si>
    <t>CORRECAO_CORC_U-20151228-20250808</t>
  </si>
  <si>
    <t>CORRECAO_CORC_U-20151228-20250908</t>
  </si>
  <si>
    <t>CORRECAO_CORC_U-20151228-20251008</t>
  </si>
  <si>
    <t>CORRECAO_CORC_U-20151228-20251110</t>
  </si>
  <si>
    <t>CORRECAO_CORC_U-20151228-20251208</t>
  </si>
  <si>
    <t>CORRECAO_CORC_U-20151228-20260109</t>
  </si>
  <si>
    <t>CORRECAO_CORC_U-20151228-20260209</t>
  </si>
  <si>
    <t>CORRECAO_CORC_U-20151228-20260309</t>
  </si>
  <si>
    <t>CORRECAO_CORC_U-20151228-20260409</t>
  </si>
  <si>
    <t>CORRECAO_CORC_U-20151228-20260511</t>
  </si>
  <si>
    <t>CORRECAO_CORC_U-20151228-20260609</t>
  </si>
  <si>
    <t>CORRECAO_CORC_U-20151228-20260708</t>
  </si>
  <si>
    <t>CORRECAO_CORC_U-20151228-20260810</t>
  </si>
  <si>
    <t>CORRECAO_CORC_U-20151228-20260909</t>
  </si>
  <si>
    <t>CORRECAO_CORC_U-20151228-20261009</t>
  </si>
  <si>
    <t>CORRECAO_CORC_U-20151228-20261110</t>
  </si>
  <si>
    <t>CORRECAO_CORC_U-20151228-20261208</t>
  </si>
  <si>
    <t>CORRECAO_CORC_U-20151228-20270111</t>
  </si>
  <si>
    <t>CORRECAO_CORC_U-20151228-20270210</t>
  </si>
  <si>
    <t>CORRECAO_CORC_U-20151228-20270308</t>
  </si>
  <si>
    <t>CORRECAO_CORC_U-20151228-20270408</t>
  </si>
  <si>
    <t>CORRECAO_CORC_U-20151228-20270510</t>
  </si>
  <si>
    <t>CORRECAO_CORC_U-20151228-20270608</t>
  </si>
  <si>
    <t>CORRECAO_CORC_U-20151228-20270708</t>
  </si>
  <si>
    <t>CORRECAO_CORC_U-20151228-20270809</t>
  </si>
  <si>
    <t>CORRECAO_CORC_U-20151228-20270909</t>
  </si>
  <si>
    <t>CORRECAO_CORC_U-20151228-20271011</t>
  </si>
  <si>
    <t>CORRECAO_CORC_U-20151228-20271110</t>
  </si>
  <si>
    <t>CORRECAO_CORC_U-20151228-20271208</t>
  </si>
  <si>
    <t>CORRECAO_CORC_C-20151228-20160111</t>
  </si>
  <si>
    <t>CORRECAO_CORC_C-20151228-20160210</t>
  </si>
  <si>
    <t>CORRECAO_CORC_C-20151228-20160308</t>
  </si>
  <si>
    <t>CORRECAO_CORC_C-20151228-20160408</t>
  </si>
  <si>
    <t>CORRECAO_CORC_C-20151228-20160509</t>
  </si>
  <si>
    <t>CORRECAO_CORC_C-20151228-20160608</t>
  </si>
  <si>
    <t>CORRECAO_CORC_C-20151228-20160708</t>
  </si>
  <si>
    <t>CORRECAO_CORC_C-20151228-20160808</t>
  </si>
  <si>
    <t>CORRECAO_CORC_C-20151228-20160909</t>
  </si>
  <si>
    <t>CORRECAO_CORC_C-20151228-20161011</t>
  </si>
  <si>
    <t>CORRECAO_CORC_C-20151228-20161110</t>
  </si>
  <si>
    <t>CORRECAO_CORC_C-20151228-20161208</t>
  </si>
  <si>
    <t>CORRECAO_CORC_C-20151228-20170109</t>
  </si>
  <si>
    <t>CORRECAO_CORC_C-20151228-20170208</t>
  </si>
  <si>
    <t>CORRECAO_CORC_C-20151228-20170308</t>
  </si>
  <si>
    <t>CORRECAO_CORC_C-20151228-20170411</t>
  </si>
  <si>
    <t>CORRECAO_CORC_C-20151228-20170509</t>
  </si>
  <si>
    <t>CORRECAO_CORC_C-20151228-20170608</t>
  </si>
  <si>
    <t>CORRECAO_CORC_C-20151228-20170710</t>
  </si>
  <si>
    <t>CORRECAO_CORC_C-20151228-20170808</t>
  </si>
  <si>
    <t>CORRECAO_CORC_C-20151228-20170911</t>
  </si>
  <si>
    <t>CORRECAO_CORC_C-20151228-20171010</t>
  </si>
  <si>
    <t>CORRECAO_CORC_C-20151228-20171110</t>
  </si>
  <si>
    <t>CORRECAO_CORC_C-20151228-20171208</t>
  </si>
  <si>
    <t>CORRECAO_CORC_C-20151228-20180109</t>
  </si>
  <si>
    <t>CORRECAO_CORC_C-20151228-20180212</t>
  </si>
  <si>
    <t>CORRECAO_CORC_C-20151228-20180308</t>
  </si>
  <si>
    <t>CORRECAO_CORC_C-20151228-20180409</t>
  </si>
  <si>
    <t>CORRECAO_CORC_C-20151228-20180509</t>
  </si>
  <si>
    <t>CORRECAO_CORC_C-20151228-20180608</t>
  </si>
  <si>
    <t>CORRECAO_CORC_C-20151228-20180709</t>
  </si>
  <si>
    <t>CORRECAO_CORC_C-20151228-20180808</t>
  </si>
  <si>
    <t>CORRECAO_CORC_C-20151228-20180911</t>
  </si>
  <si>
    <t>CORRECAO_CORC_C-20151228-20181009</t>
  </si>
  <si>
    <t>CORRECAO_CORC_C-20151228-20181112</t>
  </si>
  <si>
    <t>CORRECAO_CORC_C-20151228-20181210</t>
  </si>
  <si>
    <t>CORRECAO_CORC_C-20151228-20190109</t>
  </si>
  <si>
    <t>CORRECAO_CORC_C-20151228-20190208</t>
  </si>
  <si>
    <t>CORRECAO_CORC_C-20151228-20190312</t>
  </si>
  <si>
    <t>CORRECAO_CORC_C-20151228-20190408</t>
  </si>
  <si>
    <t>CORRECAO_CORC_C-20151228-20190509</t>
  </si>
  <si>
    <t>CORRECAO_CORC_C-20151228-20190610</t>
  </si>
  <si>
    <t>CORRECAO_CORC_C-20151228-20190708</t>
  </si>
  <si>
    <t>CORRECAO_CORC_C-20151228-20190808</t>
  </si>
  <si>
    <t>CORRECAO_CORC_C-20151228-20190909</t>
  </si>
  <si>
    <t>CORRECAO_CORC_C-20151228-20191008</t>
  </si>
  <si>
    <t>CORRECAO_CORC_C-20151228-20191108</t>
  </si>
  <si>
    <t>CORRECAO_CORC_C-20151228-20191209</t>
  </si>
  <si>
    <t>CORRECAO_CORC_C-20151228-20200109</t>
  </si>
  <si>
    <t>CORRECAO_CORC_C-20151228-20200210</t>
  </si>
  <si>
    <t>CORRECAO_CORC_C-20151228-20200309</t>
  </si>
  <si>
    <t>CORRECAO_CORC_C-20151228-20200409</t>
  </si>
  <si>
    <t>CORRECAO_CORC_C-20151228-20200511</t>
  </si>
  <si>
    <t>CORRECAO_CORC_C-20151228-20200609</t>
  </si>
  <si>
    <t>CORRECAO_CORC_C-20151228-20200708</t>
  </si>
  <si>
    <t>CORRECAO_CORC_C-20151228-20200810</t>
  </si>
  <si>
    <t>CORRECAO_CORC_C-20151228-20200909</t>
  </si>
  <si>
    <t>CORRECAO_CORC_C-20151228-20201009</t>
  </si>
  <si>
    <t>CORRECAO_CORC_C-20151228-20201110</t>
  </si>
  <si>
    <t>CORRECAO_CORC_C-20151228-20201208</t>
  </si>
  <si>
    <t>CORRECAO_CORC_C-20151228-20210111</t>
  </si>
  <si>
    <t>CORRECAO_CORC_C-20151228-20210208</t>
  </si>
  <si>
    <t>CORRECAO_CORC_C-20151228-20210308</t>
  </si>
  <si>
    <t>CORRECAO_CORC_C-20151228-20210409</t>
  </si>
  <si>
    <t>CORRECAO_CORC_C-20151228-20210510</t>
  </si>
  <si>
    <t>CORRECAO_CORC_C-20151228-20210609</t>
  </si>
  <si>
    <t>CORRECAO_CORC_C-20151228-20210708</t>
  </si>
  <si>
    <t>CORRECAO_CORC_C-20151228-20210809</t>
  </si>
  <si>
    <t>CORRECAO_CORC_C-20151228-20210909</t>
  </si>
  <si>
    <t>CORRECAO_CORC_C-20151228-20211011</t>
  </si>
  <si>
    <t>CORRECAO_CORC_C-20151228-20211110</t>
  </si>
  <si>
    <t>CORRECAO_CORC_C-20151228-20211208</t>
  </si>
  <si>
    <t>CORRECAO_CORC_C-20151228-20220110</t>
  </si>
  <si>
    <t>CORRECAO_CORC_C-20151228-20220208</t>
  </si>
  <si>
    <t>CORRECAO_CORC_C-20151228-20220309</t>
  </si>
  <si>
    <t>CORRECAO_CORC_C-20151228-20220408</t>
  </si>
  <si>
    <t>CORRECAO_CORC_C-20151228-20220509</t>
  </si>
  <si>
    <t>CORRECAO_CORC_C-20151228-20220608</t>
  </si>
  <si>
    <t>CORRECAO_CORC_C-20151228-20220708</t>
  </si>
  <si>
    <t>CORRECAO_CORC_C-20151228-20220808</t>
  </si>
  <si>
    <t>CORRECAO_CORC_C-20151228-20220909</t>
  </si>
  <si>
    <t>CORRECAO_CORC_C-20151228-20221011</t>
  </si>
  <si>
    <t>CORRECAO_CORC_C-20151228-20221110</t>
  </si>
  <si>
    <t>CORRECAO_CORC_C-20151228-20221208</t>
  </si>
  <si>
    <t>CORRECAO_CORC_C-20151228-20230109</t>
  </si>
  <si>
    <t>CORRECAO_CORC_C-20151228-20230208</t>
  </si>
  <si>
    <t>CORRECAO_CORC_C-20151228-20230308</t>
  </si>
  <si>
    <t>CORRECAO_CORC_C-20151228-20230411</t>
  </si>
  <si>
    <t>CORRECAO_CORC_C-20151228-20230509</t>
  </si>
  <si>
    <t>CORRECAO_CORC_C-20151228-20230609</t>
  </si>
  <si>
    <t>CORRECAO_CORC_C-20151228-20230710</t>
  </si>
  <si>
    <t>CORRECAO_CORC_C-20151228-20230808</t>
  </si>
  <si>
    <t>CORRECAO_CORC_C-20151228-20230911</t>
  </si>
  <si>
    <t>CORRECAO_CORC_C-20151228-20231010</t>
  </si>
  <si>
    <t>CORRECAO_CORC_C-20151228-20231110</t>
  </si>
  <si>
    <t>CORRECAO_CORC_C-20151228-20231208</t>
  </si>
  <si>
    <t>CORRECAO_CORC_C-20151228-20240109</t>
  </si>
  <si>
    <t>CORRECAO_CORC_C-20151228-20240212</t>
  </si>
  <si>
    <t>CORRECAO_CORC_C-20151228-20240308</t>
  </si>
  <si>
    <t>CORRECAO_CORC_C-20151228-20240408</t>
  </si>
  <si>
    <t>CORRECAO_CORC_C-20151228-20240509</t>
  </si>
  <si>
    <t>CORRECAO_CORC_C-20151228-20240610</t>
  </si>
  <si>
    <t>CORRECAO_CORC_C-20151228-20240708</t>
  </si>
  <si>
    <t>CORRECAO_CORC_C-20151228-20240808</t>
  </si>
  <si>
    <t>CORRECAO_CORC_C-20151228-20240909</t>
  </si>
  <si>
    <t>CORRECAO_CORC_C-20151228-20241008</t>
  </si>
  <si>
    <t>CORRECAO_CORC_C-20151228-20241108</t>
  </si>
  <si>
    <t>CORRECAO_CORC_C-20151228-20241209</t>
  </si>
  <si>
    <t>CORRECAO_CORC_C-20151228-20250109</t>
  </si>
  <si>
    <t>CORRECAO_CORC_C-20151228-20250210</t>
  </si>
  <si>
    <t>CORRECAO_CORC_C-20151228-20250312</t>
  </si>
  <si>
    <t>CORRECAO_CORC_C-20151228-20250408</t>
  </si>
  <si>
    <t>CORRECAO_CORC_C-20151228-20250509</t>
  </si>
  <si>
    <t>CORRECAO_CORC_C-20151228-20250609</t>
  </si>
  <si>
    <t>CORRECAO_CORC_C-20151228-20250708</t>
  </si>
  <si>
    <t>CORRECAO_CORC_C-20151228-20250808</t>
  </si>
  <si>
    <t>CORRECAO_CORC_C-20151228-20250908</t>
  </si>
  <si>
    <t>CORRECAO_CORC_C-20151228-20251008</t>
  </si>
  <si>
    <t>CORRECAO_CORC_C-20151228-20251110</t>
  </si>
  <si>
    <t>CORRECAO_CORC_C-20151228-20251208</t>
  </si>
  <si>
    <t>CORRECAO_CORC_C-20151228-20260109</t>
  </si>
  <si>
    <t>CORRECAO_CORC_C-20151228-20260209</t>
  </si>
  <si>
    <t>CORRECAO_CORC_C-20151228-20260309</t>
  </si>
  <si>
    <t>CORRECAO_CORC_C-20151228-20260409</t>
  </si>
  <si>
    <t>CORRECAO_CORC_C-20151228-20260511</t>
  </si>
  <si>
    <t>CORRECAO_CORC_C-20151228-20260609</t>
  </si>
  <si>
    <t>CORRECAO_CORC_C-20151228-20260708</t>
  </si>
  <si>
    <t>CORRECAO_CORC_C-20151228-20260810</t>
  </si>
  <si>
    <t>CORRECAO_CORC_C-20151228-20260909</t>
  </si>
  <si>
    <t>CORRECAO_CORC_C-20151228-20261009</t>
  </si>
  <si>
    <t>CORRECAO_CORC_C-20151228-20261110</t>
  </si>
  <si>
    <t>CORRECAO_CORC_C-20151228-20261208</t>
  </si>
  <si>
    <t>CORRECAO_CORC_C-20151228-20270111</t>
  </si>
  <si>
    <t>CORRECAO_CORC_C-20151228-20270210</t>
  </si>
  <si>
    <t>CORRECAO_CORC_C-20151228-20270308</t>
  </si>
  <si>
    <t>CORRECAO_CORC_C-20151228-20270408</t>
  </si>
  <si>
    <t>CORRECAO_CORC_C-20151228-20270510</t>
  </si>
  <si>
    <t>CORRECAO_CORC_C-20151228-20270608</t>
  </si>
  <si>
    <t>CORRECAO_CORC_C-20151228-20270708</t>
  </si>
  <si>
    <t>CORRECAO_CORC_C-20151228-20270809</t>
  </si>
  <si>
    <t>CORRECAO_CORC_C-20151228-20270909</t>
  </si>
  <si>
    <t>CORRECAO_CORC_C-20151228-20271011</t>
  </si>
  <si>
    <t>CORRECAO_CORC_C-20151228-20271110</t>
  </si>
  <si>
    <t>CORRECAO_CORC_C-20151228-20271208</t>
  </si>
  <si>
    <t>TX_CENARIO-20151228-20160111</t>
  </si>
  <si>
    <t>TX_CENARIO-20151228-20160210</t>
  </si>
  <si>
    <t>TX_CENARIO-20151228-20160308</t>
  </si>
  <si>
    <t>TX_CENARIO-20151228-20160408</t>
  </si>
  <si>
    <t>TX_CENARIO-20151228-20160509</t>
  </si>
  <si>
    <t>TX_CENARIO-20151228-20160608</t>
  </si>
  <si>
    <t>TX_CENARIO-20151228-20160708</t>
  </si>
  <si>
    <t>TX_CENARIO-20151228-20160808</t>
  </si>
  <si>
    <t>TX_CENARIO-20151228-20160909</t>
  </si>
  <si>
    <t>TX_CENARIO-20151228-20161011</t>
  </si>
  <si>
    <t>TX_CENARIO-20151228-20161110</t>
  </si>
  <si>
    <t>TX_CENARIO-20151228-20161208</t>
  </si>
  <si>
    <t>TX_CENARIO-20151228-20170109</t>
  </si>
  <si>
    <t>TX_CENARIO-20151228-20170208</t>
  </si>
  <si>
    <t>TX_CENARIO-20151228-20170308</t>
  </si>
  <si>
    <t>TX_CENARIO-20151228-20170411</t>
  </si>
  <si>
    <t>TX_CENARIO-20151228-20170509</t>
  </si>
  <si>
    <t>TX_CENARIO-20151228-20170608</t>
  </si>
  <si>
    <t>TX_CENARIO-20151228-20170710</t>
  </si>
  <si>
    <t>TX_CENARIO-20151228-20170808</t>
  </si>
  <si>
    <t>TX_CENARIO-20151228-20170911</t>
  </si>
  <si>
    <t>TX_CENARIO-20151228-20171010</t>
  </si>
  <si>
    <t>TX_CENARIO-20151228-20171110</t>
  </si>
  <si>
    <t>TX_CENARIO-20151228-20171208</t>
  </si>
  <si>
    <t>TX_CENARIO-20151228-20180109</t>
  </si>
  <si>
    <t>TX_CENARIO-20151228-20180212</t>
  </si>
  <si>
    <t>TX_CENARIO-20151228-20180308</t>
  </si>
  <si>
    <t>TX_CENARIO-20151228-20180409</t>
  </si>
  <si>
    <t>TX_CENARIO-20151228-20180509</t>
  </si>
  <si>
    <t>TX_CENARIO-20151228-20180608</t>
  </si>
  <si>
    <t>TX_CENARIO-20151228-20180709</t>
  </si>
  <si>
    <t>TX_CENARIO-20151228-20180808</t>
  </si>
  <si>
    <t>TX_CENARIO-20151228-20180911</t>
  </si>
  <si>
    <t>TX_CENARIO-20151228-20181009</t>
  </si>
  <si>
    <t>TX_CENARIO-20151228-20181112</t>
  </si>
  <si>
    <t>TX_CENARIO-20151228-20181210</t>
  </si>
  <si>
    <t>TX_CENARIO-20151228-20190109</t>
  </si>
  <si>
    <t>TX_CENARIO-20151228-20190208</t>
  </si>
  <si>
    <t>TX_CENARIO-20151228-20190312</t>
  </si>
  <si>
    <t>TX_CENARIO-20151228-20190408</t>
  </si>
  <si>
    <t>TX_CENARIO-20151228-20190509</t>
  </si>
  <si>
    <t>TX_CENARIO-20151228-20190610</t>
  </si>
  <si>
    <t>TX_CENARIO-20151228-20190708</t>
  </si>
  <si>
    <t>TX_CENARIO-20151228-20190808</t>
  </si>
  <si>
    <t>TX_CENARIO-20151228-20190909</t>
  </si>
  <si>
    <t>TX_CENARIO-20151228-20191008</t>
  </si>
  <si>
    <t>TX_CENARIO-20151228-20191108</t>
  </si>
  <si>
    <t>TX_CENARIO-20151228-20191209</t>
  </si>
  <si>
    <t>TX_CENARIO-20151228-20200109</t>
  </si>
  <si>
    <t>TX_CENARIO-20151228-20200210</t>
  </si>
  <si>
    <t>TX_CENARIO-20151228-20200309</t>
  </si>
  <si>
    <t>TX_CENARIO-20151228-20200409</t>
  </si>
  <si>
    <t>TX_CENARIO-20151228-20200511</t>
  </si>
  <si>
    <t>TX_CENARIO-20151228-20200609</t>
  </si>
  <si>
    <t>TX_CENARIO-20151228-20200708</t>
  </si>
  <si>
    <t>TX_CENARIO-20151228-20200810</t>
  </si>
  <si>
    <t>TX_CENARIO-20151228-20200909</t>
  </si>
  <si>
    <t>TX_CENARIO-20151228-20201009</t>
  </si>
  <si>
    <t>TX_CENARIO-20151228-20201110</t>
  </si>
  <si>
    <t>TX_CENARIO-20151228-20201208</t>
  </si>
  <si>
    <t>TX_CENARIO-20151228-20210111</t>
  </si>
  <si>
    <t>TX_CENARIO-20151228-20210208</t>
  </si>
  <si>
    <t>TX_CENARIO-20151228-20210308</t>
  </si>
  <si>
    <t>TX_CENARIO-20151228-20210409</t>
  </si>
  <si>
    <t>TX_CENARIO-20151228-20210510</t>
  </si>
  <si>
    <t>TX_CENARIO-20151228-20210609</t>
  </si>
  <si>
    <t>TX_CENARIO-20151228-20210708</t>
  </si>
  <si>
    <t>TX_CENARIO-20151228-20210809</t>
  </si>
  <si>
    <t>TX_CENARIO-20151228-20210909</t>
  </si>
  <si>
    <t>TX_CENARIO-20151228-20211011</t>
  </si>
  <si>
    <t>TX_CENARIO-20151228-20211110</t>
  </si>
  <si>
    <t>TX_CENARIO-20151228-20211208</t>
  </si>
  <si>
    <t>TX_CENARIO-20151228-20220110</t>
  </si>
  <si>
    <t>TX_CENARIO-20151228-20220208</t>
  </si>
  <si>
    <t>TX_CENARIO-20151228-20220309</t>
  </si>
  <si>
    <t>TX_CENARIO-20151228-20220408</t>
  </si>
  <si>
    <t>TX_CENARIO-20151228-20220509</t>
  </si>
  <si>
    <t>TX_CENARIO-20151228-20220608</t>
  </si>
  <si>
    <t>TX_CENARIO-20151228-20220708</t>
  </si>
  <si>
    <t>TX_CENARIO-20151228-20220808</t>
  </si>
  <si>
    <t>TX_CENARIO-20151228-20220909</t>
  </si>
  <si>
    <t>TX_CENARIO-20151228-20221011</t>
  </si>
  <si>
    <t>TX_CENARIO-20151228-20221110</t>
  </si>
  <si>
    <t>TX_CENARIO-20151228-20221208</t>
  </si>
  <si>
    <t>TX_CENARIO-20151228-20230109</t>
  </si>
  <si>
    <t>TX_CENARIO-20151228-20230208</t>
  </si>
  <si>
    <t>TX_CENARIO-20151228-20230308</t>
  </si>
  <si>
    <t>TX_CENARIO-20151228-20230411</t>
  </si>
  <si>
    <t>TX_CENARIO-20151228-20230509</t>
  </si>
  <si>
    <t>TX_CENARIO-20151228-20230609</t>
  </si>
  <si>
    <t>TX_CENARIO-20151228-20230710</t>
  </si>
  <si>
    <t>TX_CENARIO-20151228-20230808</t>
  </si>
  <si>
    <t>TX_CENARIO-20151228-20230911</t>
  </si>
  <si>
    <t>TX_CENARIO-20151228-20231010</t>
  </si>
  <si>
    <t>TX_CENARIO-20151228-20231110</t>
  </si>
  <si>
    <t>TX_CENARIO-20151228-20231208</t>
  </si>
  <si>
    <t>TX_CENARIO-20151228-20240109</t>
  </si>
  <si>
    <t>TX_CENARIO-20151228-20240212</t>
  </si>
  <si>
    <t>TX_CENARIO-20151228-20240308</t>
  </si>
  <si>
    <t>TX_CENARIO-20151228-20240408</t>
  </si>
  <si>
    <t>TX_CENARIO-20151228-20240509</t>
  </si>
  <si>
    <t>TX_CENARIO-20151228-20240610</t>
  </si>
  <si>
    <t>TX_CENARIO-20151228-20240708</t>
  </si>
  <si>
    <t>TX_CENARIO-20151228-20240808</t>
  </si>
  <si>
    <t>TX_CENARIO-20151228-20240909</t>
  </si>
  <si>
    <t>TX_CENARIO-20151228-20241008</t>
  </si>
  <si>
    <t>TX_CENARIO-20151228-20241108</t>
  </si>
  <si>
    <t>TX_CENARIO-20151228-20241209</t>
  </si>
  <si>
    <t>TX_CENARIO-20151228-20250109</t>
  </si>
  <si>
    <t>TX_CENARIO-20151228-20250210</t>
  </si>
  <si>
    <t>TX_CENARIO-20151228-20250312</t>
  </si>
  <si>
    <t>TX_CENARIO-20151228-20250408</t>
  </si>
  <si>
    <t>TX_CENARIO-20151228-20250509</t>
  </si>
  <si>
    <t>TX_CENARIO-20151228-20250609</t>
  </si>
  <si>
    <t>TX_CENARIO-20151228-20250708</t>
  </si>
  <si>
    <t>TX_CENARIO-20151228-20250808</t>
  </si>
  <si>
    <t>TX_CENARIO-20151228-20250908</t>
  </si>
  <si>
    <t>TX_CENARIO-20151228-20251008</t>
  </si>
  <si>
    <t>TX_CENARIO-20151228-20251110</t>
  </si>
  <si>
    <t>TX_CENARIO-20151228-20251208</t>
  </si>
  <si>
    <t>TX_CENARIO-20151228-20260109</t>
  </si>
  <si>
    <t>TX_CENARIO-20151228-20260209</t>
  </si>
  <si>
    <t>TX_CENARIO-20151228-20260309</t>
  </si>
  <si>
    <t>TX_CENARIO-20151228-20260409</t>
  </si>
  <si>
    <t>TX_CENARIO-20151228-20260511</t>
  </si>
  <si>
    <t>TX_CENARIO-20151228-20260609</t>
  </si>
  <si>
    <t>TX_CENARIO-20151228-20260708</t>
  </si>
  <si>
    <t>TX_CENARIO-20151228-20260810</t>
  </si>
  <si>
    <t>TX_CENARIO-20151228-20260909</t>
  </si>
  <si>
    <t>TX_CENARIO-20151228-20261009</t>
  </si>
  <si>
    <t>TX_CENARIO-20151228-20261110</t>
  </si>
  <si>
    <t>TX_CENARIO-20151228-20261208</t>
  </si>
  <si>
    <t>TX_CENARIO-20151228-20270111</t>
  </si>
  <si>
    <t>TX_CENARIO-20151228-20270210</t>
  </si>
  <si>
    <t>TX_CENARIO-20151228-20270308</t>
  </si>
  <si>
    <t>TX_CENARIO-20151228-20270408</t>
  </si>
  <si>
    <t>TX_CENARIO-20151228-20270510</t>
  </si>
  <si>
    <t>TX_CENARIO-20151228-20270608</t>
  </si>
  <si>
    <t>TX_CENARIO-20151228-20270708</t>
  </si>
  <si>
    <t>TX_CENARIO-20151228-20270809</t>
  </si>
  <si>
    <t>TX_CENARIO-20151228-20270909</t>
  </si>
  <si>
    <t>TX_CENARIO-20151228-20271011</t>
  </si>
  <si>
    <t>TX_CENARIO-20151228-20271110</t>
  </si>
  <si>
    <t>TX_CENARIO-20151228-20271208</t>
  </si>
  <si>
    <t>@CALC_V_FUT 1 @V_FUT_U_PARC</t>
  </si>
  <si>
    <t xml:space="preserve">@V_FUT_U_PARC = @V_FUT_U_PARC / POWER( ( POWER( ( @TX_CENARIO / @FLOAT100 + @FLOAT1 ), ( @FLOAT1 / @FLOAT252 ) ) - @FLOAT1 ) * </t>
  </si>
  <si>
    <t xml:space="preserve">                     ( @IDX_PC / @FLOAT100 ) + @FLOAT1, @Q_DIAS_U_PARC )</t>
  </si>
  <si>
    <t>@TX_CENARIO / @FLOAT100 + @FLOAT1</t>
  </si>
  <si>
    <t xml:space="preserve"> ( @FLOAT1 / @FLOAT252 )</t>
  </si>
  <si>
    <t>@V_FUT_U_PARC = @V_FUT_U_PARC / POWER( ( PT1 - @FLOAT1 ) *                       ( @IDX_PC / @FLOAT100 ) + @FLOAT1, @Q_DIAS_U_PARC )</t>
  </si>
  <si>
    <t>PT1</t>
  </si>
  <si>
    <t>PT2</t>
  </si>
  <si>
    <t xml:space="preserve">RESULTADO FINAL </t>
  </si>
  <si>
    <t>FLOAT1</t>
  </si>
  <si>
    <t>FLOAT100</t>
  </si>
  <si>
    <t>FLOAT252</t>
  </si>
  <si>
    <t>part2</t>
  </si>
  <si>
    <t>part1</t>
  </si>
  <si>
    <t>V_NOML_AMTC</t>
  </si>
  <si>
    <t>part 0</t>
  </si>
  <si>
    <t>Correção</t>
  </si>
  <si>
    <t>=CAD_REPACTUACAO[DT_B_JURS]</t>
  </si>
  <si>
    <t>=CAD_REPACTUACAO[RF_BASE_CALC]</t>
  </si>
  <si>
    <t>id_reg</t>
  </si>
  <si>
    <t>data_calculo</t>
  </si>
  <si>
    <t>data_evento</t>
  </si>
  <si>
    <t>tipo_evento</t>
  </si>
  <si>
    <t>curva</t>
  </si>
  <si>
    <t>campo</t>
  </si>
  <si>
    <t>valor</t>
  </si>
  <si>
    <t>@V_FUT_U_PARC SANPP_RF_CALC_CUPOM_TIR</t>
  </si>
  <si>
    <t>CUPOM_TIR @EVE_JURS_PCPL</t>
  </si>
  <si>
    <t>@DIA_PERIODO_U</t>
  </si>
  <si>
    <t>@FATOR_ACM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</si>
</sst>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9">
    <numFmt numFmtId="42" formatCode="_-&quot;R$&quot;\ * #,##0_-;\-&quot;R$&quot;\ * #,##0_-;_-&quot;R$&quot;\ * &quot;-&quot;_-;_-@_-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 &quot;* #,##0.00_);_(&quot;R$ &quot;* \(#,##0.00\);_(&quot;R$ &quot;* &quot;-&quot;??_);_(@_)"/>
    <numFmt numFmtId="165" formatCode="_(* #,##0.00_);_(* \(#,##0.00\);_(* &quot;-&quot;??_);_(@_)"/>
    <numFmt numFmtId="166" formatCode="#,##0.00000000"/>
    <numFmt numFmtId="167" formatCode="#,##0.0000000000"/>
    <numFmt numFmtId="168" formatCode="#,##0.00000000000000%"/>
    <numFmt numFmtId="169" formatCode="#,##0.000000000000%"/>
    <numFmt numFmtId="170" formatCode="#,##0.000000"/>
    <numFmt numFmtId="171" formatCode="0.000000000000"/>
    <numFmt numFmtId="172" formatCode="#,##0.0000"/>
    <numFmt numFmtId="173" formatCode="#,##0.000000000000"/>
    <numFmt numFmtId="174" formatCode="_(* #,##0.00000000_);_(* \(#,##0.00000000\);_(* &quot;-&quot;????????_);_(@_)"/>
    <numFmt numFmtId="175" formatCode="#,##0.0000000000000000"/>
    <numFmt numFmtId="176" formatCode="0.0000000000000000"/>
    <numFmt numFmtId="177" formatCode="_(* #,##0.0000000_);_(* \(#,##0.0000000\);_(* &quot;-&quot;??_);_(@_)"/>
    <numFmt numFmtId="178" formatCode="_(* #,##0.00000000_);_(* \(#,##0.00000000\);_(* &quot;-&quot;??_);_(@_)"/>
    <numFmt numFmtId="179" formatCode="_(* #,##0.000000000_);_(* \(#,##0.000000000\);_(* &quot;-&quot;??_);_(@_)"/>
    <numFmt numFmtId="180" formatCode="#,##0.00000000_);\(#,##0.00000000\)"/>
    <numFmt numFmtId="181" formatCode="0.000%"/>
    <numFmt numFmtId="182" formatCode="_-* #,##0.000000_-;\-* #,##0.000000_-;_-* &quot;-&quot;??_-;_-@_-"/>
    <numFmt numFmtId="183" formatCode="0.0000%"/>
    <numFmt numFmtId="184" formatCode="_(* #,##0.00000_);_(* \(#,##0.00000\);_(* &quot;-&quot;??_);_(@_)"/>
    <numFmt numFmtId="185" formatCode="_-* #,##0.000000_-;\-* #,##0.000000_-;_-* &quot;-&quot;??????_-;_-@_-"/>
    <numFmt numFmtId="186" formatCode="0.00000000000%"/>
    <numFmt numFmtId="187" formatCode="dd/mm/yy;@"/>
    <numFmt numFmtId="188" formatCode="_-* #,##0.000000000_-;\-* #,##0.000000000_-;_-* &quot;-&quot;?????????_-;_-@_-"/>
    <numFmt numFmtId="189" formatCode="_-* #,##0.0000000_-;\-* #,##0.0000000_-;_-* &quot;-&quot;???????_-;_-@_-"/>
    <numFmt numFmtId="190" formatCode="_(* #,##0_);_(* \(#,##0\);_(* &quot;-&quot;_);_(@_)"/>
    <numFmt numFmtId="191" formatCode="_(&quot;R$&quot;* #,##0.00_);_(&quot;R$&quot;* \(#,##0.00\);_(&quot;R$&quot;* &quot;-&quot;??_);_(@_)"/>
    <numFmt numFmtId="192" formatCode="_-* #,##0.00000000_-;\-* #,##0.00000000_-;_-* &quot;-&quot;??_-;_-@_-"/>
    <numFmt numFmtId="193" formatCode="0.0%"/>
    <numFmt numFmtId="194" formatCode="_-[$€-2]\ * #,##0.00_-;\-[$€-2]\ * #,##0.00_-;_-[$€-2]\ * &quot;-&quot;??_-"/>
    <numFmt numFmtId="195" formatCode=";;;"/>
    <numFmt numFmtId="196" formatCode="&quot;$&quot;#,##0.00_);[Red]\(&quot;$&quot;#,##0.00\)"/>
    <numFmt numFmtId="197" formatCode="_(&quot;$&quot;* #,##0.00_);_(&quot;$&quot;* \(#,##0.00\);_(&quot;$&quot;* &quot;-&quot;??_);_(@_)"/>
    <numFmt numFmtId="198" formatCode="_-&quot;‏₪‏&quot;* #,##0_-;\-&quot;‏₪‏&quot;* #,##0_-;_-&quot;‏₪‏&quot;* &quot;-&quot;_-;_-@_-"/>
    <numFmt numFmtId="199" formatCode="#,##0;\-#,##0;&quot;-&quot;"/>
    <numFmt numFmtId="200" formatCode="_(* #,##0.0_);_(* \(#,##0.0\);_(* &quot;-&quot;??_);_(@_)"/>
    <numFmt numFmtId="201" formatCode="dd/mmm/yy_)"/>
    <numFmt numFmtId="202" formatCode="_-* #,##0.00\ _€_-;\-* #,##0.00\ _€_-;_-* &quot;-&quot;??\ _€_-;_-@_-"/>
    <numFmt numFmtId="203" formatCode="_ &quot;₪&quot;\ * #,##0_ ;_ &quot;₪&quot;\ * \-#,##0_ ;_ &quot;₪&quot;\ * &quot;-&quot;_ ;_ @_ "/>
    <numFmt numFmtId="204" formatCode="_(&quot;$&quot;* #,##0.0_);_(&quot;$&quot;* \(#,##0.0\);_(&quot;$&quot;* &quot;-&quot;_);_(@_)"/>
    <numFmt numFmtId="205" formatCode="&quot;$&quot;#,##0.00"/>
    <numFmt numFmtId="206" formatCode="_ * #,##0_ ;_ * \-#,##0_ ;_ * &quot;-&quot;_ ;_ @_ "/>
    <numFmt numFmtId="207" formatCode="_ * #,##0.00_ ;_ * \-#,##0.00_ ;_ * &quot;-&quot;??_ ;_ @_ "/>
    <numFmt numFmtId="208" formatCode="_(* #,##0.00\ \x_);_(* \(#,##0.00\ \x\);_(* &quot;-&quot;??_);_(@_)"/>
    <numFmt numFmtId="209" formatCode="_(* #,##0\ \x_);_(* \(#,##0\ \x\);_(* &quot;-&quot;??_);_(@_)"/>
    <numFmt numFmtId="210" formatCode="_(* #,##0.0\ \x_);_(* \(#,##0.0\ \x\);_(* &quot;-&quot;??_);_(@_)"/>
    <numFmt numFmtId="211" formatCode="General_)"/>
    <numFmt numFmtId="212" formatCode="\9\1#,##0.000\2\8"/>
    <numFmt numFmtId="213" formatCode="mm/dd/yy"/>
    <numFmt numFmtId="214" formatCode="_(&quot;$&quot;* #,##0_);_(&quot;$&quot;* \(#,##0\);_(&quot;$&quot;* &quot;-&quot;_);_(@_)"/>
    <numFmt numFmtId="215" formatCode="_(* #,##0.00_);_(* \(#,##0.00\);_(* \-??_);_(@_)"/>
    <numFmt numFmtId="216" formatCode="_([$€-2]* #,##0.00_);_([$€-2]* \(#,##0.00\);_([$€-2]* &quot;-&quot;??_)"/>
    <numFmt numFmtId="217" formatCode="_([$€-2]* #,##0.00_);_([$€-2]* \(#,##0.00\);_([$€-2]* \-??_)"/>
    <numFmt numFmtId="218" formatCode="_ [$€]\ * #,##0.00_ ;_ [$€]\ * \-#,##0.00_ ;_ [$€]\ * &quot;-&quot;??_ ;_ @_ "/>
    <numFmt numFmtId="219" formatCode="_([$€]* #,##0.00_);_([$€]* \(#,##0.00\);_([$€]* &quot;-&quot;??_);_(@_)"/>
    <numFmt numFmtId="220" formatCode="&quot;R$&quot;#,##0.00_);[Red]\(&quot;R$&quot;#,##0.00\)"/>
    <numFmt numFmtId="221" formatCode="_(&quot;R$&quot;* #,##0_);_(&quot;R$&quot;* \(#,##0\);_(&quot;R$&quot;* &quot;-&quot;_);_(@_)"/>
    <numFmt numFmtId="222" formatCode="#,##0.0\ ;\(#,##0.0\)"/>
    <numFmt numFmtId="223" formatCode="&quot;$&quot;#,##0.00_%_);\(&quot;$&quot;#,##0.00\)_%;&quot;$&quot;#,##0.00_%_);@_%_)"/>
    <numFmt numFmtId="224" formatCode="0.0\x_)_);&quot;NM&quot;_x_)_);0.0\x_)_);@_%_)"/>
    <numFmt numFmtId="225" formatCode="&quot;$&quot;#,##0_);\(&quot;$&quot;#,##0\)"/>
    <numFmt numFmtId="226" formatCode="&quot;$&quot;#,##0.0_);\(&quot;$&quot;#,##0.0\)"/>
    <numFmt numFmtId="227" formatCode="&quot;$&quot;#,##0.00_);\(&quot;$&quot;#,##0.00\)"/>
    <numFmt numFmtId="228" formatCode="&quot;$&quot;#,##0.000_);\(&quot;$&quot;#,##0.000\)"/>
    <numFmt numFmtId="229" formatCode="&quot;$&quot;#,##0.0000_);\(&quot;$&quot;#,##0.0000\)"/>
    <numFmt numFmtId="230" formatCode="&quot;$&quot;#,##0;\-&quot;$&quot;#,##0"/>
    <numFmt numFmtId="231" formatCode="0.0_)\%;\(0.0\)\%;0.0_)\%;@_)_%"/>
    <numFmt numFmtId="232" formatCode="#,##0.0_)_%;\(#,##0.0\)_%;0.0_)_%;@_)_%"/>
    <numFmt numFmtId="233" formatCode="#,##0.0_);\(#,##0.0\);#,##0.0_);@_)"/>
    <numFmt numFmtId="234" formatCode="#,##0.0_);\(#,##0.0\)"/>
    <numFmt numFmtId="235" formatCode="&quot;$&quot;_(#,##0.00_);&quot;$&quot;\(#,##0.00\);&quot;$&quot;_(0.00_);@_)"/>
    <numFmt numFmtId="236" formatCode="&quot;$&quot;_(#,##0.00_);&quot;$&quot;\(#,##0.00\)"/>
    <numFmt numFmtId="237" formatCode="_-&quot;R$ &quot;* #,##0.00_-;\-&quot;R$ &quot;* #,##0.00_-;_-&quot;R$ &quot;* &quot;-&quot;??_-;_-@_-"/>
    <numFmt numFmtId="238" formatCode="_-&quot;$&quot;* #,##0.00_-;\-&quot;$&quot;* #,##0.00_-;_-&quot;$&quot;* &quot;-&quot;??_-;_-@_-"/>
    <numFmt numFmtId="239" formatCode="_(* #,##0.000000_);_(* \(#,##0.000000\);_(* &quot;-&quot;??????_);_(@_)"/>
    <numFmt numFmtId="240" formatCode="#,##0.0_%_);\(#,##0.0\)_%;#,##0.0_%_);@_%_)"/>
    <numFmt numFmtId="241" formatCode="&quot;R$ &quot;#,##0.00_);\(&quot;R$ &quot;#,##0.00\)"/>
    <numFmt numFmtId="242" formatCode="&quot;$&quot;#,##0.00;\-&quot;$&quot;#,##0.00"/>
    <numFmt numFmtId="243" formatCode="#,##0.00_);\(#,##0.00\);0.00_);@_)"/>
    <numFmt numFmtId="244" formatCode="&quot;R$ &quot;#,##0.00_);[Red]\(&quot;R$ &quot;#,##0.00\)"/>
    <numFmt numFmtId="245" formatCode="&quot;$&quot;#,##0.00;[Red]\-&quot;$&quot;#,##0.00"/>
    <numFmt numFmtId="246" formatCode="\€_(#,##0.00_);\€\(#,##0.00\);\€_(0.00_);@_)"/>
    <numFmt numFmtId="247" formatCode="_(&quot;R$ &quot;* #,##0_);_(&quot;R$ &quot;* \(#,##0\);_(&quot;R$ &quot;* &quot;-&quot;_);_(@_)"/>
    <numFmt numFmtId="248" formatCode="_-&quot;$&quot;* #,##0_-;\-&quot;$&quot;* #,##0_-;_-&quot;$&quot;* &quot;-&quot;_-;_-@_-"/>
    <numFmt numFmtId="249" formatCode="#,##0_)\x;\(#,##0\)\x;0_)\x;@_)_x"/>
    <numFmt numFmtId="250" formatCode="#,##0.0_)\x;\(#,##0.0\)\x"/>
    <numFmt numFmtId="251" formatCode="0.0%_);\(0.0%\);0.0%_);@_%_)"/>
    <numFmt numFmtId="252" formatCode="#,##0_%_);\(#,##0\)_%;#,##0_%_);@_%_)"/>
    <numFmt numFmtId="253" formatCode="&quot;R$ &quot;#,##0_);\(&quot;R$ &quot;#,##0\)"/>
    <numFmt numFmtId="254" formatCode="#,##0.0_)\x;\(#,##0.0\)\x;0.0_)\x;@_)_x"/>
    <numFmt numFmtId="255" formatCode="#,##0_)_x;\(#,##0\)_x;0_)_x;@_)_x"/>
    <numFmt numFmtId="256" formatCode="#,##0.0_)_x;\(#,##0.0\)_x"/>
    <numFmt numFmtId="257" formatCode="#,##0.00_%_);\(#,##0.00\)_%;#,##0.00_%_);@_%_)"/>
    <numFmt numFmtId="258" formatCode="&quot;R$ &quot;#,##0;[Red]\-&quot;R$ &quot;#,##0"/>
    <numFmt numFmtId="259" formatCode="_(&quot;$&quot;* #,##0_);_(&quot;$&quot;* \(#,##0\);_(&quot;$&quot;* &quot;-&quot;???_);_(@_)"/>
    <numFmt numFmtId="260" formatCode="&quot;$&quot;#,##0;[Red]\-&quot;$&quot;#,##0"/>
    <numFmt numFmtId="261" formatCode="_(* #,##0_);_(* \(#,##0\);_(* &quot;-&quot;??_);_(@_)"/>
    <numFmt numFmtId="262" formatCode="0.0_)\%;\(0.0\)\%"/>
    <numFmt numFmtId="263" formatCode="&quot;$&quot;#,##0.0_%_);\(&quot;$&quot;#,##0.0\)_%;&quot;$&quot;#,##0.0_%_);@_%_)"/>
    <numFmt numFmtId="264" formatCode="#,##0.0_)_%;\(#,##0.0\)_%"/>
    <numFmt numFmtId="265" formatCode="#,##0.000_);\(#,##0.000\)"/>
    <numFmt numFmtId="266" formatCode="#,##0.0000_);\(#,##0.0000\)"/>
    <numFmt numFmtId="267" formatCode="#,##0.0_);[Red]\(#,##0.0\)"/>
    <numFmt numFmtId="268" formatCode="&quot;$&quot;#,##0.000_);[Red]\(&quot;$&quot;#,##0.000\)"/>
    <numFmt numFmtId="269" formatCode="#,##0.0000_);[Red]\(#,##0.0000\)"/>
    <numFmt numFmtId="270" formatCode="dd\-mmm\-yy"/>
    <numFmt numFmtId="271" formatCode="&quot;  &quot;General&quot;  &quot;"/>
    <numFmt numFmtId="272" formatCode="0.0%;\(0.0%\)"/>
    <numFmt numFmtId="273" formatCode="_(* #,##0.0000000_);_(* \(#,##0.0000000\);_(* &quot;-&quot;?????_);_(@_)"/>
    <numFmt numFmtId="274" formatCode="#,##0.000_);[Red]\(#,##0.000\)"/>
    <numFmt numFmtId="275" formatCode="#,##0_%_);\(#,##0\)_%;**;@_%_)"/>
    <numFmt numFmtId="276" formatCode="&quot;N$&quot;#,##0_);\(&quot;N$&quot;#,##0\)"/>
    <numFmt numFmtId="277" formatCode="&quot;$&quot;#,##0.0_);[Red]\(&quot;$&quot;#,##0.0\)"/>
    <numFmt numFmtId="278" formatCode="&quot;$&quot;#,##0_%_);\(&quot;$&quot;#,##0\)_%;&quot;$&quot;#,##0_%_);@_%_)"/>
    <numFmt numFmtId="279" formatCode="mmm\-d\-yy"/>
    <numFmt numFmtId="280" formatCode="mmm\-d\-yyyy"/>
    <numFmt numFmtId="281" formatCode="0.00000_);\(0.00000\)"/>
    <numFmt numFmtId="282" formatCode="m/d/yy_%_)"/>
    <numFmt numFmtId="283" formatCode="_(* #,##0.000000_);_(* \(#,##0.000000\);_(* &quot;-&quot;?????_);_(@_)"/>
    <numFmt numFmtId="284" formatCode="dd\-mmm\-yyyy"/>
    <numFmt numFmtId="285" formatCode="0.000_)"/>
    <numFmt numFmtId="286" formatCode="0_%_);\(0\)_%;0_%_);@_%_)"/>
    <numFmt numFmtId="287" formatCode="###0_);\(###0\)"/>
    <numFmt numFmtId="288" formatCode="&quot;$&quot;#,##0"/>
    <numFmt numFmtId="289" formatCode="0.0\%_);\(0.0\%\);0.0\%_);@_%_)"/>
    <numFmt numFmtId="290" formatCode="#,##0.0"/>
    <numFmt numFmtId="291" formatCode="_(&quot;$&quot;* #,##0.000_);_(&quot;$&quot;* \(#,##0.000\);_(&quot;$&quot;* &quot;-&quot;??_);_(@_)"/>
    <numFmt numFmtId="292" formatCode="_(&quot;$&quot;* #,##0.0000_);_(&quot;$&quot;* \(#,##0.0000\);_(&quot;$&quot;* &quot;-&quot;??_);_(@_)"/>
    <numFmt numFmtId="293" formatCode="_(&quot;$&quot;* #,##0.00000_);_(&quot;$&quot;* \(#,##0.00000\);_(&quot;$&quot;* &quot;-&quot;??_);_(@_)"/>
    <numFmt numFmtId="294" formatCode="_(&quot;$&quot;* #,##0.000000_);_(&quot;$&quot;* \(#,##0.000000\);_(&quot;$&quot;* &quot;-&quot;??_);_(@_)"/>
    <numFmt numFmtId="295" formatCode="&quot;R$ thousands&quot;#,##0.00;[Red]\(&quot;R$ thousands&quot;#,##0.00\)"/>
    <numFmt numFmtId="296" formatCode="#,##0.000%_);[Red]\(#,##0.000%\)"/>
    <numFmt numFmtId="297" formatCode="#,##0\ \ \ ;\(#,##0\)\ \ "/>
    <numFmt numFmtId="298" formatCode="#,##0.0\x_);\(#,##0.0\x\);#,##0.0\x_);@_)"/>
    <numFmt numFmtId="299" formatCode="0.0_ &quot;  &quot;"/>
    <numFmt numFmtId="300" formatCode="#,##0.0\x_);\(#,##0.0\x\)"/>
    <numFmt numFmtId="301" formatCode="#,##0.0_);[Red]\(#,##0.0\);&quot;N/A &quot;"/>
    <numFmt numFmtId="302" formatCode="0.00_)"/>
    <numFmt numFmtId="303" formatCode="00"/>
    <numFmt numFmtId="304" formatCode="#,##0.0_)\ ;[Red]\(#,##0.0\)\ "/>
    <numFmt numFmtId="305" formatCode="0.0%&quot;NetPPE/sales&quot;"/>
    <numFmt numFmtId="306" formatCode="0.0%&quot;NWI/Sls&quot;"/>
    <numFmt numFmtId="307" formatCode="#,##0.000000_);\(#,##0.000000\)"/>
    <numFmt numFmtId="308" formatCode="&quot;$&quot;General"/>
    <numFmt numFmtId="309" formatCode="0%;[Red]\(0%\)"/>
    <numFmt numFmtId="310" formatCode="#,##0.0\%_);\(#,##0.0\%\);#,##0.0\%_);@_)"/>
    <numFmt numFmtId="311" formatCode="0.0%&quot;Sales&quot;"/>
    <numFmt numFmtId="312" formatCode="0.0%_);\(0.0%\);0.0%_);@_)"/>
    <numFmt numFmtId="313" formatCode="d/m/yy;@"/>
    <numFmt numFmtId="314" formatCode="_(* #,##0.00000000000_);_(* \(#,##0.00000000000\);_(* &quot;-&quot;??_);_(@_)"/>
    <numFmt numFmtId="315" formatCode="0.000000"/>
    <numFmt numFmtId="316" formatCode="0.00000000"/>
    <numFmt numFmtId="317" formatCode="#,##0.00000000;[Red]\-#,##0.00000000"/>
    <numFmt numFmtId="318" formatCode="_(* #,##0.000000_);_(* \(#,##0.000000\);_(* &quot;-&quot;??_);_(@_)"/>
  </numFmts>
  <fonts count="18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Tahoma"/>
      <family val="2"/>
    </font>
    <font>
      <sz val="10"/>
      <color theme="1"/>
      <name val="Tahoma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9"/>
      <color theme="1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Times New Roman"/>
      <family val="1"/>
    </font>
    <font>
      <b/>
      <u/>
      <sz val="10"/>
      <color indexed="12"/>
      <name val="Arial"/>
      <family val="2"/>
      <charset val="177"/>
    </font>
    <font>
      <sz val="10"/>
      <name val="MS Sans Serif"/>
      <family val="2"/>
    </font>
    <font>
      <sz val="10"/>
      <name val="Geneva"/>
      <charset val="177"/>
    </font>
    <font>
      <sz val="12"/>
      <name val="Tms Rmn"/>
    </font>
    <font>
      <sz val="10"/>
      <color indexed="8"/>
      <name val="Arial"/>
      <family val="2"/>
    </font>
    <font>
      <b/>
      <sz val="11"/>
      <color indexed="10"/>
      <name val="Calibri"/>
      <family val="2"/>
    </font>
    <font>
      <sz val="8"/>
      <color indexed="12"/>
      <name val="Times New Roman"/>
      <family val="1"/>
    </font>
    <font>
      <sz val="10"/>
      <name val="MS Serif"/>
      <family val="1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sz val="10"/>
      <color indexed="16"/>
      <name val="MS Serif"/>
      <family val="1"/>
    </font>
    <font>
      <b/>
      <sz val="12"/>
      <name val="Arial"/>
      <family val="2"/>
    </font>
    <font>
      <b/>
      <sz val="8"/>
      <name val="Palatino"/>
      <family val="1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0"/>
      <color indexed="36"/>
      <name val="Arial"/>
      <family val="2"/>
    </font>
    <font>
      <u/>
      <sz val="10"/>
      <color indexed="12"/>
      <name val="Arial"/>
      <family val="2"/>
    </font>
    <font>
      <sz val="10"/>
      <name val="Courier"/>
      <family val="3"/>
    </font>
    <font>
      <sz val="10"/>
      <name val="Arial"/>
      <family val="2"/>
      <charset val="177"/>
    </font>
    <font>
      <sz val="8"/>
      <name val="Times New Roman"/>
      <family val="1"/>
    </font>
    <font>
      <sz val="12"/>
      <name val="Times New Roman"/>
      <family val="1"/>
    </font>
    <font>
      <sz val="11"/>
      <color indexed="19"/>
      <name val="Calibri"/>
      <family val="2"/>
    </font>
    <font>
      <b/>
      <sz val="10"/>
      <name val="MS Sans Serif"/>
      <family val="2"/>
    </font>
    <font>
      <sz val="8"/>
      <name val="Helv"/>
    </font>
    <font>
      <sz val="10"/>
      <name val="David"/>
      <family val="2"/>
      <charset val="177"/>
    </font>
    <font>
      <b/>
      <sz val="8"/>
      <color indexed="8"/>
      <name val="Helv"/>
    </font>
    <font>
      <b/>
      <sz val="18"/>
      <color indexed="62"/>
      <name val="Cambria"/>
      <family val="2"/>
    </font>
    <font>
      <sz val="10"/>
      <name val="Geneva"/>
    </font>
    <font>
      <b/>
      <sz val="10"/>
      <name val="Arial Narrow"/>
      <family val="2"/>
    </font>
    <font>
      <sz val="10"/>
      <color indexed="22"/>
      <name val="MS Sans Serif"/>
      <family val="2"/>
    </font>
    <font>
      <sz val="10"/>
      <color indexed="18"/>
      <name val="Arial"/>
      <family val="2"/>
    </font>
    <font>
      <sz val="10"/>
      <color indexed="12"/>
      <name val="Arial"/>
      <family val="2"/>
    </font>
    <font>
      <sz val="10"/>
      <color indexed="16"/>
      <name val="Arial"/>
      <family val="2"/>
    </font>
    <font>
      <sz val="10"/>
      <color indexed="22"/>
      <name val="Arial"/>
      <family val="2"/>
    </font>
    <font>
      <sz val="10"/>
      <color indexed="10"/>
      <name val="Arial"/>
      <family val="2"/>
    </font>
    <font>
      <b/>
      <sz val="8"/>
      <color indexed="9"/>
      <name val="Arial"/>
      <family val="2"/>
    </font>
    <font>
      <b/>
      <sz val="8"/>
      <name val="Palatino"/>
    </font>
    <font>
      <u/>
      <sz val="8.25"/>
      <color indexed="12"/>
      <name val="Calibri"/>
      <family val="2"/>
    </font>
    <font>
      <u/>
      <sz val="10"/>
      <color theme="10"/>
      <name val="Arial"/>
      <family val="2"/>
    </font>
    <font>
      <sz val="10"/>
      <name val="Courier New"/>
      <family val="3"/>
    </font>
    <font>
      <sz val="10"/>
      <color indexed="8"/>
      <name val="Geneva"/>
    </font>
    <font>
      <b/>
      <sz val="10"/>
      <color indexed="8"/>
      <name val="Geneva"/>
    </font>
    <font>
      <sz val="10"/>
      <color indexed="12"/>
      <name val="Geneva"/>
    </font>
    <font>
      <sz val="9"/>
      <name val="ITC-GaramondCondensed"/>
    </font>
    <font>
      <sz val="12"/>
      <color indexed="8"/>
      <name val="Calibri"/>
      <family val="2"/>
    </font>
    <font>
      <sz val="9"/>
      <color theme="1"/>
      <name val="Calibri"/>
      <family val="2"/>
      <scheme val="minor"/>
    </font>
    <font>
      <sz val="12"/>
      <name val="Arial"/>
      <family val="2"/>
    </font>
    <font>
      <sz val="10"/>
      <color indexed="14"/>
      <name val="Geneva"/>
    </font>
    <font>
      <b/>
      <sz val="10"/>
      <name val="Times New Roman"/>
      <family val="1"/>
    </font>
    <font>
      <sz val="8"/>
      <color indexed="9"/>
      <name val="Tahoma"/>
      <family val="2"/>
    </font>
    <font>
      <b/>
      <sz val="10"/>
      <name val="Courier"/>
      <family val="3"/>
    </font>
    <font>
      <b/>
      <sz val="10"/>
      <name val="ITC-GaramondCondensed"/>
    </font>
    <font>
      <sz val="9"/>
      <color indexed="8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22"/>
      <color indexed="18"/>
      <name val="Arial"/>
      <family val="2"/>
    </font>
    <font>
      <b/>
      <sz val="14"/>
      <color indexed="1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11"/>
      <color theme="1"/>
      <name val="Arial"/>
      <family val="2"/>
    </font>
    <font>
      <sz val="11"/>
      <color theme="0"/>
      <name val="Arial"/>
      <family val="2"/>
    </font>
    <font>
      <sz val="12"/>
      <name val="Times"/>
      <family val="1"/>
    </font>
    <font>
      <sz val="11"/>
      <name val="Times New Roman"/>
      <family val="1"/>
    </font>
    <font>
      <b/>
      <u/>
      <sz val="10"/>
      <name val="Times New Roman"/>
      <family val="1"/>
    </font>
    <font>
      <sz val="8"/>
      <color indexed="12"/>
      <name val="Helvetica"/>
      <family val="2"/>
    </font>
    <font>
      <sz val="11"/>
      <color rgb="FF006100"/>
      <name val="Arial"/>
      <family val="2"/>
    </font>
    <font>
      <sz val="8"/>
      <name val="Times"/>
      <family val="1"/>
    </font>
    <font>
      <b/>
      <sz val="11"/>
      <color rgb="FFFA7D00"/>
      <name val="Arial"/>
      <family val="2"/>
    </font>
    <font>
      <sz val="9"/>
      <color indexed="10"/>
      <name val="Geneva"/>
    </font>
    <font>
      <b/>
      <sz val="10"/>
      <name val="Helv"/>
    </font>
    <font>
      <b/>
      <sz val="11"/>
      <color theme="0"/>
      <name val="Arial"/>
      <family val="2"/>
    </font>
    <font>
      <sz val="11"/>
      <color rgb="FFFA7D00"/>
      <name val="Arial"/>
      <family val="2"/>
    </font>
    <font>
      <b/>
      <sz val="8"/>
      <name val="Times New Roman"/>
      <family val="1"/>
    </font>
    <font>
      <sz val="8"/>
      <name val="Palatino"/>
      <family val="1"/>
    </font>
    <font>
      <sz val="8"/>
      <color indexed="18"/>
      <name val="Times New Roman"/>
      <family val="1"/>
    </font>
    <font>
      <sz val="8"/>
      <color indexed="12"/>
      <name val="Arial"/>
      <family val="2"/>
    </font>
    <font>
      <b/>
      <sz val="12"/>
      <color indexed="18"/>
      <name val="Times New Roman"/>
      <family val="1"/>
    </font>
    <font>
      <u val="doubleAccounting"/>
      <sz val="10"/>
      <name val="Arial"/>
      <family val="2"/>
    </font>
    <font>
      <sz val="11"/>
      <color rgb="FF3F3F76"/>
      <name val="Arial"/>
      <family val="2"/>
    </font>
    <font>
      <sz val="7"/>
      <name val="Palatino"/>
      <family val="1"/>
    </font>
    <font>
      <sz val="8"/>
      <name val="Univers Condensed"/>
      <family val="2"/>
    </font>
    <font>
      <b/>
      <sz val="12"/>
      <name val="Helv"/>
    </font>
    <font>
      <b/>
      <sz val="9"/>
      <name val="Helv"/>
    </font>
    <font>
      <u/>
      <sz val="11"/>
      <color theme="10"/>
      <name val="Arial"/>
      <family val="2"/>
    </font>
    <font>
      <u/>
      <sz val="10"/>
      <color indexed="14"/>
      <name val="MS Sans Serif"/>
      <family val="2"/>
    </font>
    <font>
      <u/>
      <sz val="10"/>
      <color indexed="12"/>
      <name val="MS Sans Serif"/>
      <family val="2"/>
    </font>
    <font>
      <sz val="11"/>
      <color rgb="FF9C0006"/>
      <name val="Arial"/>
      <family val="2"/>
    </font>
    <font>
      <sz val="8"/>
      <color indexed="39"/>
      <name val="Arial"/>
      <family val="2"/>
    </font>
    <font>
      <sz val="8"/>
      <color indexed="12"/>
      <name val="Palatino"/>
      <family val="1"/>
    </font>
    <font>
      <sz val="8"/>
      <color indexed="12"/>
      <name val="Helv"/>
    </font>
    <font>
      <b/>
      <sz val="11"/>
      <name val="Helv"/>
    </font>
    <font>
      <sz val="10"/>
      <color indexed="8"/>
      <name val="Comic Sans MS"/>
      <family val="2"/>
    </font>
    <font>
      <sz val="11"/>
      <color rgb="FF9C6500"/>
      <name val="Arial"/>
      <family val="2"/>
    </font>
    <font>
      <sz val="7"/>
      <name val="Small Fonts"/>
      <family val="2"/>
    </font>
    <font>
      <b/>
      <i/>
      <sz val="16"/>
      <name val="Helv"/>
    </font>
    <font>
      <sz val="8"/>
      <name val="Courier New"/>
      <family val="3"/>
    </font>
    <font>
      <sz val="11"/>
      <color indexed="8"/>
      <name val="Arial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26"/>
      <name val="Times New Roman"/>
      <family val="1"/>
    </font>
    <font>
      <b/>
      <sz val="18"/>
      <name val="Times New Roman"/>
      <family val="1"/>
    </font>
    <font>
      <sz val="10"/>
      <color indexed="16"/>
      <name val="Helvetica-Black"/>
    </font>
    <font>
      <b/>
      <sz val="11"/>
      <name val="Times New Roman"/>
      <family val="1"/>
    </font>
    <font>
      <i/>
      <sz val="8"/>
      <name val="Times New Roman"/>
      <family val="1"/>
    </font>
    <font>
      <sz val="8"/>
      <color indexed="10"/>
      <name val="Arial"/>
      <family val="2"/>
    </font>
    <font>
      <sz val="8"/>
      <color indexed="14"/>
      <name val="Helvetica"/>
      <family val="2"/>
    </font>
    <font>
      <b/>
      <sz val="11"/>
      <color rgb="FF3F3F3F"/>
      <name val="Arial"/>
      <family val="2"/>
    </font>
    <font>
      <b/>
      <sz val="9"/>
      <name val="Arial"/>
      <family val="2"/>
    </font>
    <font>
      <sz val="7"/>
      <name val="Times New Roman"/>
      <family val="1"/>
    </font>
    <font>
      <sz val="11"/>
      <name val="Calibri"/>
      <family val="2"/>
    </font>
  </fonts>
  <fills count="8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22"/>
      </patternFill>
    </fill>
    <fill>
      <patternFill patternType="solid">
        <fgColor indexed="31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indexed="18"/>
        <bgColor indexed="64"/>
      </patternFill>
    </fill>
    <fill>
      <patternFill patternType="solid">
        <fgColor indexed="15"/>
      </patternFill>
    </fill>
    <fill>
      <patternFill patternType="solid">
        <fgColor indexed="43"/>
        <bgColor indexed="64"/>
      </patternFill>
    </fill>
    <fill>
      <patternFill patternType="mediumGray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8" tint="0.79998168889431442"/>
        <bgColor indexed="64"/>
      </patternFill>
    </fill>
  </fills>
  <borders count="8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 style="thin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6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">
        <color indexed="45"/>
      </top>
      <bottom/>
      <diagonal/>
    </border>
    <border>
      <left/>
      <right/>
      <top/>
      <bottom style="double">
        <color indexed="4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/>
      <top/>
      <bottom/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4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tted">
        <color indexed="64"/>
      </bottom>
      <diagonal/>
    </border>
    <border>
      <left style="thick">
        <color indexed="9"/>
      </left>
      <right style="thick">
        <color indexed="9"/>
      </right>
      <top/>
      <bottom/>
      <diagonal/>
    </border>
    <border>
      <left/>
      <right/>
      <top style="medium">
        <color indexed="23"/>
      </top>
      <bottom style="medium">
        <color indexed="23"/>
      </bottom>
      <diagonal/>
    </border>
  </borders>
  <cellStyleXfs count="16472">
    <xf numFmtId="0" fontId="0" fillId="0" borderId="0"/>
    <xf numFmtId="165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36" applyNumberFormat="0" applyFill="0" applyAlignment="0" applyProtection="0"/>
    <xf numFmtId="0" fontId="35" fillId="0" borderId="37" applyNumberFormat="0" applyFill="0" applyAlignment="0" applyProtection="0"/>
    <xf numFmtId="0" fontId="36" fillId="0" borderId="38" applyNumberFormat="0" applyFill="0" applyAlignment="0" applyProtection="0"/>
    <xf numFmtId="0" fontId="36" fillId="0" borderId="0" applyNumberFormat="0" applyFill="0" applyBorder="0" applyAlignment="0" applyProtection="0"/>
    <xf numFmtId="0" fontId="37" fillId="13" borderId="0" applyNumberFormat="0" applyBorder="0" applyAlignment="0" applyProtection="0"/>
    <xf numFmtId="0" fontId="38" fillId="14" borderId="0" applyNumberFormat="0" applyBorder="0" applyAlignment="0" applyProtection="0"/>
    <xf numFmtId="0" fontId="39" fillId="15" borderId="0" applyNumberFormat="0" applyBorder="0" applyAlignment="0" applyProtection="0"/>
    <xf numFmtId="0" fontId="40" fillId="16" borderId="39" applyNumberFormat="0" applyAlignment="0" applyProtection="0"/>
    <xf numFmtId="0" fontId="41" fillId="17" borderId="40" applyNumberFormat="0" applyAlignment="0" applyProtection="0"/>
    <xf numFmtId="0" fontId="42" fillId="17" borderId="39" applyNumberFormat="0" applyAlignment="0" applyProtection="0"/>
    <xf numFmtId="0" fontId="43" fillId="0" borderId="41" applyNumberFormat="0" applyFill="0" applyAlignment="0" applyProtection="0"/>
    <xf numFmtId="0" fontId="44" fillId="18" borderId="42" applyNumberFormat="0" applyAlignment="0" applyProtection="0"/>
    <xf numFmtId="0" fontId="45" fillId="0" borderId="0" applyNumberFormat="0" applyFill="0" applyBorder="0" applyAlignment="0" applyProtection="0"/>
    <xf numFmtId="0" fontId="12" fillId="19" borderId="43" applyNumberFormat="0" applyFont="0" applyAlignment="0" applyProtection="0"/>
    <xf numFmtId="0" fontId="46" fillId="0" borderId="0" applyNumberFormat="0" applyFill="0" applyBorder="0" applyAlignment="0" applyProtection="0"/>
    <xf numFmtId="0" fontId="28" fillId="0" borderId="44" applyNumberFormat="0" applyFill="0" applyAlignment="0" applyProtection="0"/>
    <xf numFmtId="0" fontId="47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47" fillId="23" borderId="0" applyNumberFormat="0" applyBorder="0" applyAlignment="0" applyProtection="0"/>
    <xf numFmtId="0" fontId="47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12" fillId="41" borderId="0" applyNumberFormat="0" applyBorder="0" applyAlignment="0" applyProtection="0"/>
    <xf numFmtId="0" fontId="12" fillId="42" borderId="0" applyNumberFormat="0" applyBorder="0" applyAlignment="0" applyProtection="0"/>
    <xf numFmtId="0" fontId="47" fillId="43" borderId="0" applyNumberFormat="0" applyBorder="0" applyAlignment="0" applyProtection="0"/>
    <xf numFmtId="43" fontId="12" fillId="0" borderId="0" applyFont="0" applyFill="0" applyBorder="0" applyAlignment="0" applyProtection="0"/>
    <xf numFmtId="0" fontId="49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50" fillId="0" borderId="0"/>
    <xf numFmtId="4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50" fillId="0" borderId="0"/>
    <xf numFmtId="164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0" borderId="0"/>
    <xf numFmtId="0" fontId="52" fillId="0" borderId="0"/>
    <xf numFmtId="43" fontId="52" fillId="0" borderId="0" applyFont="0" applyFill="0" applyBorder="0" applyAlignment="0" applyProtection="0"/>
    <xf numFmtId="0" fontId="49" fillId="0" borderId="0"/>
    <xf numFmtId="43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0" borderId="0"/>
    <xf numFmtId="9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0" borderId="0"/>
    <xf numFmtId="43" fontId="12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0" fillId="0" borderId="0"/>
    <xf numFmtId="195" fontId="69" fillId="0" borderId="0" applyFont="0" applyFill="0" applyBorder="0" applyAlignment="0"/>
    <xf numFmtId="0" fontId="70" fillId="0" borderId="0" applyNumberFormat="0" applyFill="0" applyBorder="0" applyAlignment="0" applyProtection="0"/>
    <xf numFmtId="41" fontId="50" fillId="0" borderId="0" applyFont="0" applyFill="0" applyBorder="0" applyAlignment="0" applyProtection="0"/>
    <xf numFmtId="40" fontId="71" fillId="0" borderId="0" applyFont="0" applyFill="0" applyBorder="0" applyAlignment="0" applyProtection="0"/>
    <xf numFmtId="196" fontId="72" fillId="0" borderId="0" applyFont="0" applyFill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8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45" borderId="0" applyNumberFormat="0" applyBorder="0" applyAlignment="0" applyProtection="0"/>
    <xf numFmtId="0" fontId="51" fillId="52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0" borderId="0" applyNumberFormat="0" applyBorder="0" applyAlignment="0" applyProtection="0"/>
    <xf numFmtId="0" fontId="51" fillId="46" borderId="0" applyNumberFormat="0" applyBorder="0" applyAlignment="0" applyProtection="0"/>
    <xf numFmtId="0" fontId="51" fillId="45" borderId="0" applyNumberFormat="0" applyBorder="0" applyAlignment="0" applyProtection="0"/>
    <xf numFmtId="0" fontId="51" fillId="52" borderId="0" applyNumberFormat="0" applyBorder="0" applyAlignment="0" applyProtection="0"/>
    <xf numFmtId="0" fontId="51" fillId="55" borderId="0" applyNumberFormat="0" applyBorder="0" applyAlignment="0" applyProtection="0"/>
    <xf numFmtId="0" fontId="51" fillId="49" borderId="0" applyNumberFormat="0" applyBorder="0" applyAlignment="0" applyProtection="0"/>
    <xf numFmtId="41" fontId="50" fillId="0" borderId="0" applyFont="0" applyFill="0" applyBorder="0" applyAlignment="0" applyProtection="0"/>
    <xf numFmtId="0" fontId="53" fillId="56" borderId="0" applyNumberFormat="0" applyBorder="0" applyAlignment="0" applyProtection="0"/>
    <xf numFmtId="0" fontId="53" fillId="52" borderId="0" applyNumberFormat="0" applyBorder="0" applyAlignment="0" applyProtection="0"/>
    <xf numFmtId="0" fontId="53" fillId="47" borderId="0" applyNumberFormat="0" applyBorder="0" applyAlignment="0" applyProtection="0"/>
    <xf numFmtId="0" fontId="53" fillId="57" borderId="0" applyNumberFormat="0" applyBorder="0" applyAlignment="0" applyProtection="0"/>
    <xf numFmtId="0" fontId="53" fillId="53" borderId="0" applyNumberFormat="0" applyBorder="0" applyAlignment="0" applyProtection="0"/>
    <xf numFmtId="0" fontId="53" fillId="55" borderId="0" applyNumberFormat="0" applyBorder="0" applyAlignment="0" applyProtection="0"/>
    <xf numFmtId="0" fontId="53" fillId="58" borderId="0" applyNumberFormat="0" applyBorder="0" applyAlignment="0" applyProtection="0"/>
    <xf numFmtId="0" fontId="53" fillId="46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60" borderId="0" applyNumberFormat="0" applyBorder="0" applyAlignment="0" applyProtection="0"/>
    <xf numFmtId="0" fontId="53" fillId="47" borderId="0" applyNumberFormat="0" applyBorder="0" applyAlignment="0" applyProtection="0"/>
    <xf numFmtId="197" fontId="72" fillId="0" borderId="0" applyFont="0" applyFill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63" borderId="0" applyNumberFormat="0" applyBorder="0" applyAlignment="0" applyProtection="0"/>
    <xf numFmtId="0" fontId="53" fillId="57" borderId="0" applyNumberFormat="0" applyBorder="0" applyAlignment="0" applyProtection="0"/>
    <xf numFmtId="0" fontId="53" fillId="64" borderId="0" applyNumberFormat="0" applyBorder="0" applyAlignment="0" applyProtection="0"/>
    <xf numFmtId="0" fontId="53" fillId="55" borderId="0" applyNumberFormat="0" applyBorder="0" applyAlignment="0" applyProtection="0"/>
    <xf numFmtId="0" fontId="53" fillId="58" borderId="0" applyNumberFormat="0" applyBorder="0" applyAlignment="0" applyProtection="0"/>
    <xf numFmtId="0" fontId="53" fillId="65" borderId="0" applyNumberFormat="0" applyBorder="0" applyAlignment="0" applyProtection="0"/>
    <xf numFmtId="9" fontId="12" fillId="0" borderId="0" applyFont="0" applyFill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7" borderId="0" applyNumberFormat="0" applyBorder="0" applyAlignment="0" applyProtection="0"/>
    <xf numFmtId="0" fontId="53" fillId="63" borderId="0" applyNumberFormat="0" applyBorder="0" applyAlignment="0" applyProtection="0"/>
    <xf numFmtId="196" fontId="72" fillId="0" borderId="0" applyFont="0" applyFill="0" applyBorder="0" applyAlignment="0" applyProtection="0"/>
    <xf numFmtId="198" fontId="50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54" fillId="46" borderId="0" applyNumberFormat="0" applyBorder="0" applyAlignment="0" applyProtection="0"/>
    <xf numFmtId="0" fontId="54" fillId="50" borderId="0" applyNumberFormat="0" applyBorder="0" applyAlignment="0" applyProtection="0"/>
    <xf numFmtId="0" fontId="73" fillId="0" borderId="0" applyNumberFormat="0" applyFill="0" applyBorder="0" applyAlignment="0" applyProtection="0"/>
    <xf numFmtId="0" fontId="58" fillId="48" borderId="0" applyNumberFormat="0" applyBorder="0" applyAlignment="0" applyProtection="0"/>
    <xf numFmtId="40" fontId="71" fillId="0" borderId="0" applyFont="0" applyFill="0" applyBorder="0" applyAlignment="0" applyProtection="0"/>
    <xf numFmtId="199" fontId="74" fillId="0" borderId="0" applyFill="0" applyBorder="0" applyAlignment="0"/>
    <xf numFmtId="0" fontId="55" fillId="66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56" fillId="68" borderId="48" applyNumberFormat="0" applyAlignment="0" applyProtection="0"/>
    <xf numFmtId="0" fontId="63" fillId="0" borderId="49" applyNumberFormat="0" applyFill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200" fontId="76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201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202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77" fillId="0" borderId="0" applyNumberFormat="0" applyAlignment="0">
      <alignment horizontal="left"/>
    </xf>
    <xf numFmtId="203" fontId="50" fillId="0" borderId="0" applyFont="0" applyFill="0" applyBorder="0" applyAlignment="0" applyProtection="0"/>
    <xf numFmtId="198" fontId="50" fillId="0" borderId="0" applyFont="0" applyFill="0" applyBorder="0" applyAlignment="0" applyProtection="0"/>
    <xf numFmtId="204" fontId="78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205" fontId="79" fillId="0" borderId="0" applyFont="0" applyFill="0" applyBorder="0" applyAlignment="0" applyProtection="0"/>
    <xf numFmtId="0" fontId="80" fillId="0" borderId="0" applyNumberFormat="0" applyAlignment="0">
      <alignment horizontal="left"/>
    </xf>
    <xf numFmtId="0" fontId="62" fillId="51" borderId="47" applyNumberFormat="0" applyAlignment="0" applyProtection="0"/>
    <xf numFmtId="0" fontId="62" fillId="51" borderId="47" applyNumberFormat="0" applyAlignment="0" applyProtection="0"/>
    <xf numFmtId="0" fontId="50" fillId="0" borderId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48" borderId="0" applyNumberFormat="0" applyBorder="0" applyAlignment="0" applyProtection="0"/>
    <xf numFmtId="0" fontId="58" fillId="52" borderId="0" applyNumberFormat="0" applyBorder="0" applyAlignment="0" applyProtection="0"/>
    <xf numFmtId="38" fontId="16" fillId="2" borderId="0" applyNumberFormat="0" applyBorder="0" applyAlignment="0" applyProtection="0"/>
    <xf numFmtId="198" fontId="50" fillId="0" borderId="0" applyFont="0" applyFill="0" applyBorder="0" applyAlignment="0" applyProtection="0"/>
    <xf numFmtId="0" fontId="81" fillId="0" borderId="50" applyNumberFormat="0" applyAlignment="0" applyProtection="0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1" fillId="0" borderId="46">
      <alignment horizontal="left" vertical="center"/>
    </xf>
    <xf numFmtId="0" fontId="82" fillId="0" borderId="0">
      <alignment horizontal="center"/>
    </xf>
    <xf numFmtId="0" fontId="59" fillId="0" borderId="51" applyNumberFormat="0" applyFill="0" applyAlignment="0" applyProtection="0"/>
    <xf numFmtId="0" fontId="83" fillId="0" borderId="52" applyNumberFormat="0" applyFill="0" applyAlignment="0" applyProtection="0"/>
    <xf numFmtId="0" fontId="60" fillId="0" borderId="53" applyNumberFormat="0" applyFill="0" applyAlignment="0" applyProtection="0"/>
    <xf numFmtId="0" fontId="84" fillId="0" borderId="54" applyNumberFormat="0" applyFill="0" applyAlignment="0" applyProtection="0"/>
    <xf numFmtId="0" fontId="61" fillId="0" borderId="55" applyNumberFormat="0" applyFill="0" applyAlignment="0" applyProtection="0"/>
    <xf numFmtId="0" fontId="85" fillId="0" borderId="56" applyNumberFormat="0" applyFill="0" applyAlignment="0" applyProtection="0"/>
    <xf numFmtId="0" fontId="61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6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>
      <alignment vertical="top"/>
      <protection locked="0"/>
    </xf>
    <xf numFmtId="0" fontId="88" fillId="0" borderId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10" fontId="16" fillId="69" borderId="7" applyNumberFormat="0" applyBorder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1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1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41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0" fontId="63" fillId="0" borderId="49" applyNumberFormat="0" applyFill="0" applyAlignment="0" applyProtection="0"/>
    <xf numFmtId="0" fontId="68" fillId="0" borderId="57" applyNumberFormat="0" applyFill="0" applyAlignment="0" applyProtection="0"/>
    <xf numFmtId="206" fontId="69" fillId="0" borderId="0" applyFont="0" applyFill="0" applyBorder="0" applyAlignment="0" applyProtection="0"/>
    <xf numFmtId="207" fontId="69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42" fontId="69" fillId="0" borderId="0" applyFont="0" applyFill="0" applyBorder="0" applyAlignment="0" applyProtection="0"/>
    <xf numFmtId="44" fontId="69" fillId="0" borderId="0" applyFont="0" applyFill="0" applyBorder="0" applyAlignment="0" applyProtection="0"/>
    <xf numFmtId="0" fontId="89" fillId="0" borderId="0" applyNumberFormat="0">
      <alignment horizontal="left"/>
    </xf>
    <xf numFmtId="208" fontId="90" fillId="0" borderId="0" applyFont="0" applyFill="0" applyBorder="0" applyAlignment="0" applyProtection="0"/>
    <xf numFmtId="209" fontId="90" fillId="0" borderId="0" applyFont="0" applyFill="0" applyBorder="0" applyAlignment="0" applyProtection="0"/>
    <xf numFmtId="210" fontId="91" fillId="0" borderId="0" applyFont="0" applyFill="0" applyBorder="0" applyAlignment="0" applyProtection="0"/>
    <xf numFmtId="196" fontId="72" fillId="0" borderId="0" applyFont="0" applyFill="0" applyBorder="0" applyAlignment="0" applyProtection="0"/>
    <xf numFmtId="0" fontId="64" fillId="54" borderId="0" applyNumberFormat="0" applyBorder="0" applyAlignment="0" applyProtection="0"/>
    <xf numFmtId="0" fontId="64" fillId="54" borderId="0" applyNumberFormat="0" applyBorder="0" applyAlignment="0" applyProtection="0"/>
    <xf numFmtId="0" fontId="92" fillId="54" borderId="0" applyNumberFormat="0" applyBorder="0" applyAlignment="0" applyProtection="0"/>
    <xf numFmtId="0" fontId="88" fillId="0" borderId="0"/>
    <xf numFmtId="212" fontId="50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2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211" fontId="93" fillId="0" borderId="0"/>
    <xf numFmtId="0" fontId="50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0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93" fillId="0" borderId="0" applyNumberFormat="0" applyFill="0" applyBorder="0" applyAlignment="0" applyProtection="0"/>
    <xf numFmtId="0" fontId="65" fillId="66" borderId="59" applyNumberFormat="0" applyAlignment="0" applyProtection="0"/>
    <xf numFmtId="0" fontId="65" fillId="67" borderId="59" applyNumberFormat="0" applyAlignment="0" applyProtection="0"/>
    <xf numFmtId="9" fontId="91" fillId="0" borderId="0" applyFont="0" applyFill="0" applyBorder="0" applyAlignment="0" applyProtection="0"/>
    <xf numFmtId="193" fontId="91" fillId="0" borderId="0" applyFont="0" applyFill="0" applyBorder="0" applyAlignment="0" applyProtection="0"/>
    <xf numFmtId="10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213" fontId="94" fillId="0" borderId="0" applyNumberFormat="0" applyFill="0" applyBorder="0" applyAlignment="0" applyProtection="0">
      <alignment horizontal="left"/>
    </xf>
    <xf numFmtId="0" fontId="95" fillId="0" borderId="0" applyNumberFormat="0">
      <alignment horizontal="right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98" fontId="50" fillId="0" borderId="0" applyFont="0" applyFill="0" applyBorder="0" applyAlignment="0" applyProtection="0"/>
    <xf numFmtId="40" fontId="71" fillId="0" borderId="0" applyFont="0" applyFill="0" applyBorder="0" applyAlignment="0" applyProtection="0"/>
    <xf numFmtId="0" fontId="50" fillId="0" borderId="0"/>
    <xf numFmtId="0" fontId="70" fillId="0" borderId="0" applyNumberFormat="0" applyFill="0" applyBorder="0" applyAlignment="0" applyProtection="0"/>
    <xf numFmtId="0" fontId="50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40" fontId="96" fillId="0" borderId="0" applyBorder="0">
      <alignment horizontal="right"/>
    </xf>
    <xf numFmtId="0" fontId="7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67" fillId="0" borderId="60" applyNumberFormat="0" applyFill="0" applyAlignment="0" applyProtection="0"/>
    <xf numFmtId="0" fontId="67" fillId="0" borderId="61" applyNumberFormat="0" applyFill="0" applyAlignment="0" applyProtection="0"/>
    <xf numFmtId="214" fontId="69" fillId="0" borderId="0" applyFont="0" applyFill="0" applyBorder="0" applyAlignment="0" applyProtection="0"/>
    <xf numFmtId="197" fontId="69" fillId="0" borderId="0" applyFon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49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49" fillId="0" borderId="0"/>
    <xf numFmtId="190" fontId="50" fillId="0" borderId="0" applyFont="0" applyFill="0" applyBorder="0" applyAlignment="0" applyProtection="0"/>
    <xf numFmtId="0" fontId="12" fillId="25" borderId="0" applyNumberFormat="0" applyBorder="0" applyAlignment="0" applyProtection="0"/>
    <xf numFmtId="0" fontId="47" fillId="24" borderId="0" applyNumberFormat="0" applyBorder="0" applyAlignment="0" applyProtection="0"/>
    <xf numFmtId="0" fontId="47" fillId="23" borderId="0" applyNumberFormat="0" applyBorder="0" applyAlignment="0" applyProtection="0"/>
    <xf numFmtId="0" fontId="12" fillId="22" borderId="0" applyNumberFormat="0" applyBorder="0" applyAlignment="0" applyProtection="0"/>
    <xf numFmtId="0" fontId="12" fillId="21" borderId="0" applyNumberFormat="0" applyBorder="0" applyAlignment="0" applyProtection="0"/>
    <xf numFmtId="0" fontId="47" fillId="20" borderId="0" applyNumberFormat="0" applyBorder="0" applyAlignment="0" applyProtection="0"/>
    <xf numFmtId="0" fontId="46" fillId="0" borderId="0" applyNumberFormat="0" applyFill="0" applyBorder="0" applyAlignment="0" applyProtection="0"/>
    <xf numFmtId="0" fontId="12" fillId="19" borderId="43" applyNumberFormat="0" applyFont="0" applyAlignment="0" applyProtection="0"/>
    <xf numFmtId="0" fontId="45" fillId="0" borderId="0" applyNumberFormat="0" applyFill="0" applyBorder="0" applyAlignment="0" applyProtection="0"/>
    <xf numFmtId="0" fontId="44" fillId="18" borderId="42" applyNumberFormat="0" applyAlignment="0" applyProtection="0"/>
    <xf numFmtId="0" fontId="43" fillId="0" borderId="41" applyNumberFormat="0" applyFill="0" applyAlignment="0" applyProtection="0"/>
    <xf numFmtId="0" fontId="42" fillId="17" borderId="39" applyNumberFormat="0" applyAlignment="0" applyProtection="0"/>
    <xf numFmtId="0" fontId="41" fillId="17" borderId="40" applyNumberFormat="0" applyAlignment="0" applyProtection="0"/>
    <xf numFmtId="0" fontId="40" fillId="16" borderId="39" applyNumberFormat="0" applyAlignment="0" applyProtection="0"/>
    <xf numFmtId="0" fontId="39" fillId="15" borderId="0" applyNumberFormat="0" applyBorder="0" applyAlignment="0" applyProtection="0"/>
    <xf numFmtId="0" fontId="38" fillId="14" borderId="0" applyNumberFormat="0" applyBorder="0" applyAlignment="0" applyProtection="0"/>
    <xf numFmtId="0" fontId="37" fillId="13" borderId="0" applyNumberFormat="0" applyBorder="0" applyAlignment="0" applyProtection="0"/>
    <xf numFmtId="0" fontId="36" fillId="0" borderId="38" applyNumberFormat="0" applyFill="0" applyAlignment="0" applyProtection="0"/>
    <xf numFmtId="0" fontId="35" fillId="0" borderId="37" applyNumberFormat="0" applyFill="0" applyAlignment="0" applyProtection="0"/>
    <xf numFmtId="0" fontId="34" fillId="0" borderId="36" applyNumberFormat="0" applyFill="0" applyAlignment="0" applyProtection="0"/>
    <xf numFmtId="0" fontId="33" fillId="0" borderId="0" applyNumberForma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36" fillId="0" borderId="0" applyNumberForma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12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12" fillId="41" borderId="0" applyNumberFormat="0" applyBorder="0" applyAlignment="0" applyProtection="0"/>
    <xf numFmtId="0" fontId="12" fillId="42" borderId="0" applyNumberFormat="0" applyBorder="0" applyAlignment="0" applyProtection="0"/>
    <xf numFmtId="0" fontId="47" fillId="43" borderId="0" applyNumberFormat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52" fillId="0" borderId="0"/>
    <xf numFmtId="0" fontId="49" fillId="0" borderId="0"/>
    <xf numFmtId="43" fontId="12" fillId="0" borderId="0" applyFont="0" applyFill="0" applyBorder="0" applyAlignment="0" applyProtection="0"/>
    <xf numFmtId="0" fontId="50" fillId="0" borderId="0"/>
    <xf numFmtId="41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49" fillId="0" borderId="0"/>
    <xf numFmtId="165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88" fillId="0" borderId="0">
      <alignment vertical="center"/>
    </xf>
    <xf numFmtId="0" fontId="88" fillId="0" borderId="0">
      <alignment vertical="center"/>
    </xf>
    <xf numFmtId="0" fontId="74" fillId="0" borderId="0">
      <alignment vertical="top"/>
    </xf>
    <xf numFmtId="0" fontId="88" fillId="0" borderId="0">
      <alignment vertical="center"/>
    </xf>
    <xf numFmtId="0" fontId="74" fillId="0" borderId="0">
      <alignment vertical="top"/>
    </xf>
    <xf numFmtId="0" fontId="88" fillId="0" borderId="0">
      <alignment vertical="center"/>
    </xf>
    <xf numFmtId="0" fontId="71" fillId="0" borderId="0"/>
    <xf numFmtId="0" fontId="71" fillId="0" borderId="0"/>
    <xf numFmtId="0" fontId="71" fillId="0" borderId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8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67" borderId="0" applyNumberFormat="0" applyBorder="0" applyAlignment="0" applyProtection="0"/>
    <xf numFmtId="0" fontId="51" fillId="51" borderId="0" applyNumberFormat="0" applyBorder="0" applyAlignment="0" applyProtection="0"/>
    <xf numFmtId="0" fontId="51" fillId="50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12" fillId="37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50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51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0" borderId="0" applyNumberFormat="0" applyBorder="0" applyAlignment="0" applyProtection="0"/>
    <xf numFmtId="0" fontId="51" fillId="67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4" borderId="0" applyNumberFormat="0" applyBorder="0" applyAlignment="0" applyProtection="0"/>
    <xf numFmtId="0" fontId="51" fillId="46" borderId="0" applyNumberFormat="0" applyBorder="0" applyAlignment="0" applyProtection="0"/>
    <xf numFmtId="0" fontId="51" fillId="48" borderId="0" applyNumberFormat="0" applyBorder="0" applyAlignment="0" applyProtection="0"/>
    <xf numFmtId="0" fontId="51" fillId="50" borderId="0" applyNumberFormat="0" applyBorder="0" applyAlignment="0" applyProtection="0"/>
    <xf numFmtId="0" fontId="51" fillId="52" borderId="0" applyNumberFormat="0" applyBorder="0" applyAlignment="0" applyProtection="0"/>
    <xf numFmtId="0" fontId="51" fillId="51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2" borderId="0" applyNumberFormat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12" fillId="26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66" borderId="0" applyNumberFormat="0" applyBorder="0" applyAlignment="0" applyProtection="0"/>
    <xf numFmtId="0" fontId="51" fillId="46" borderId="0" applyNumberFormat="0" applyBorder="0" applyAlignment="0" applyProtection="0"/>
    <xf numFmtId="0" fontId="51" fillId="50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2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55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5" borderId="0" applyNumberFormat="0" applyBorder="0" applyAlignment="0" applyProtection="0"/>
    <xf numFmtId="0" fontId="51" fillId="50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50" borderId="0" applyNumberFormat="0" applyBorder="0" applyAlignment="0" applyProtection="0"/>
    <xf numFmtId="0" fontId="51" fillId="66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5" borderId="0" applyNumberFormat="0" applyBorder="0" applyAlignment="0" applyProtection="0"/>
    <xf numFmtId="0" fontId="51" fillId="50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5" borderId="0" applyNumberFormat="0" applyBorder="0" applyAlignment="0" applyProtection="0"/>
    <xf numFmtId="0" fontId="51" fillId="51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2" borderId="0" applyNumberFormat="0" applyBorder="0" applyAlignment="0" applyProtection="0"/>
    <xf numFmtId="0" fontId="53" fillId="56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47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5" borderId="0" applyNumberFormat="0" applyBorder="0" applyAlignment="0" applyProtection="0"/>
    <xf numFmtId="0" fontId="53" fillId="53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46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47" borderId="0" applyNumberFormat="0" applyBorder="0" applyAlignment="0" applyProtection="0"/>
    <xf numFmtId="0" fontId="53" fillId="60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6" borderId="0" applyNumberFormat="0" applyBorder="0" applyAlignment="0" applyProtection="0"/>
    <xf numFmtId="0" fontId="53" fillId="45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8" borderId="0" applyNumberFormat="0" applyBorder="0" applyAlignment="0" applyProtection="0"/>
    <xf numFmtId="0" fontId="53" fillId="66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60" borderId="0" applyNumberFormat="0" applyBorder="0" applyAlignment="0" applyProtection="0"/>
    <xf numFmtId="0" fontId="53" fillId="51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6" borderId="0" applyNumberFormat="0" applyBorder="0" applyAlignment="0" applyProtection="0"/>
    <xf numFmtId="0" fontId="53" fillId="47" borderId="0" applyNumberFormat="0" applyBorder="0" applyAlignment="0" applyProtection="0"/>
    <xf numFmtId="0" fontId="53" fillId="53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62" borderId="0" applyNumberFormat="0" applyBorder="0" applyAlignment="0" applyProtection="0"/>
    <xf numFmtId="0" fontId="53" fillId="61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64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64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47" fillId="36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57" borderId="0" applyNumberFormat="0" applyBorder="0" applyAlignment="0" applyProtection="0"/>
    <xf numFmtId="0" fontId="98" fillId="69" borderId="62">
      <alignment horizontal="center"/>
    </xf>
    <xf numFmtId="0" fontId="54" fillId="46" borderId="0" applyNumberFormat="0" applyBorder="0" applyAlignment="0" applyProtection="0"/>
    <xf numFmtId="0" fontId="54" fillId="46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46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99" fillId="0" borderId="63"/>
    <xf numFmtId="0" fontId="58" fillId="48" borderId="0" applyNumberFormat="0" applyBorder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55" fillId="67" borderId="47" applyNumberFormat="0" applyAlignment="0" applyProtection="0"/>
    <xf numFmtId="0" fontId="55" fillId="67" borderId="47" applyNumberFormat="0" applyAlignment="0" applyProtection="0"/>
    <xf numFmtId="0" fontId="55" fillId="67" borderId="47" applyNumberFormat="0" applyAlignment="0" applyProtection="0"/>
    <xf numFmtId="0" fontId="55" fillId="67" borderId="47" applyNumberFormat="0" applyAlignment="0" applyProtection="0"/>
    <xf numFmtId="0" fontId="55" fillId="67" borderId="47" applyNumberFormat="0" applyAlignment="0" applyProtection="0"/>
    <xf numFmtId="0" fontId="5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55" fillId="66" borderId="47" applyNumberFormat="0" applyAlignment="0" applyProtection="0"/>
    <xf numFmtId="0" fontId="55" fillId="67" borderId="47" applyNumberFormat="0" applyAlignment="0" applyProtection="0"/>
    <xf numFmtId="0" fontId="55" fillId="67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16" fillId="0" borderId="0">
      <alignment vertical="center"/>
    </xf>
    <xf numFmtId="0" fontId="56" fillId="68" borderId="48" applyNumberFormat="0" applyAlignment="0" applyProtection="0"/>
    <xf numFmtId="0" fontId="63" fillId="0" borderId="49" applyNumberFormat="0" applyFill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3" fillId="0" borderId="49" applyNumberFormat="0" applyFill="0" applyAlignment="0" applyProtection="0"/>
    <xf numFmtId="0" fontId="63" fillId="0" borderId="49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56" fillId="68" borderId="48" applyNumberFormat="0" applyAlignment="0" applyProtection="0"/>
    <xf numFmtId="4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215" fontId="50" fillId="0" borderId="0" applyFill="0" applyBorder="0" applyAlignment="0" applyProtection="0"/>
    <xf numFmtId="215" fontId="50" fillId="0" borderId="0" applyFill="0" applyBorder="0" applyAlignment="0" applyProtection="0"/>
    <xf numFmtId="215" fontId="50" fillId="0" borderId="0" applyFill="0" applyBorder="0" applyAlignment="0" applyProtection="0"/>
    <xf numFmtId="215" fontId="50" fillId="0" borderId="0" applyFill="0" applyBorder="0" applyAlignment="0" applyProtection="0"/>
    <xf numFmtId="215" fontId="50" fillId="0" borderId="0" applyFill="0" applyBorder="0" applyAlignment="0" applyProtection="0"/>
    <xf numFmtId="215" fontId="50" fillId="0" borderId="0" applyFill="0" applyBorder="0" applyAlignment="0" applyProtection="0"/>
    <xf numFmtId="215" fontId="50" fillId="0" borderId="0" applyFill="0" applyBorder="0" applyAlignment="0" applyProtection="0"/>
    <xf numFmtId="215" fontId="50" fillId="0" borderId="0" applyFill="0" applyBorder="0" applyAlignment="0" applyProtection="0"/>
    <xf numFmtId="165" fontId="12" fillId="0" borderId="0" applyFont="0" applyFill="0" applyBorder="0" applyAlignment="0" applyProtection="0"/>
    <xf numFmtId="4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4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3" fontId="10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" fontId="100" fillId="0" borderId="0" applyFont="0" applyFill="0" applyBorder="0" applyAlignment="0" applyProtection="0"/>
    <xf numFmtId="14" fontId="98" fillId="2" borderId="0"/>
    <xf numFmtId="0" fontId="61" fillId="0" borderId="0" applyNumberFormat="0" applyFill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1" borderId="0" applyNumberFormat="0" applyBorder="0" applyAlignment="0" applyProtection="0"/>
    <xf numFmtId="0" fontId="53" fillId="59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64" borderId="0" applyNumberFormat="0" applyBorder="0" applyAlignment="0" applyProtection="0"/>
    <xf numFmtId="0" fontId="53" fillId="64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1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7" borderId="0" applyNumberFormat="0" applyBorder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101" fillId="70" borderId="64" applyNumberFormat="0" applyAlignment="0">
      <protection locked="0"/>
    </xf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50" fillId="66" borderId="0" applyNumberFormat="0" applyBorder="0" applyAlignment="0" applyProtection="0"/>
    <xf numFmtId="0" fontId="102" fillId="67" borderId="0" applyNumberFormat="0" applyBorder="0" applyAlignment="0">
      <protection locked="0"/>
    </xf>
    <xf numFmtId="0" fontId="103" fillId="66" borderId="0" applyNumberFormat="0" applyBorder="0" applyAlignment="0">
      <protection locked="0"/>
    </xf>
    <xf numFmtId="0" fontId="104" fillId="0" borderId="0" applyNumberFormat="0" applyFill="0" applyBorder="0" applyAlignment="0" applyProtection="0"/>
    <xf numFmtId="0" fontId="104" fillId="66" borderId="0" applyNumberFormat="0" applyBorder="0" applyAlignment="0"/>
    <xf numFmtId="0" fontId="99" fillId="0" borderId="63"/>
    <xf numFmtId="0" fontId="105" fillId="66" borderId="0" applyNumberFormat="0" applyBorder="0" applyAlignment="0">
      <protection locked="0"/>
    </xf>
    <xf numFmtId="0" fontId="88" fillId="0" borderId="0">
      <alignment vertical="center"/>
    </xf>
    <xf numFmtId="0" fontId="88" fillId="0" borderId="0">
      <alignment vertical="center"/>
    </xf>
    <xf numFmtId="0" fontId="74" fillId="0" borderId="0">
      <alignment vertical="top"/>
    </xf>
    <xf numFmtId="0" fontId="74" fillId="0" borderId="0">
      <alignment vertical="top"/>
    </xf>
    <xf numFmtId="0" fontId="88" fillId="0" borderId="0">
      <alignment vertical="center"/>
    </xf>
    <xf numFmtId="0" fontId="50" fillId="0" borderId="0" applyNumberForma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7" fontId="50" fillId="0" borderId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7" fontId="50" fillId="0" borderId="0" applyFill="0" applyBorder="0" applyAlignment="0" applyProtection="0"/>
    <xf numFmtId="218" fontId="50" fillId="0" borderId="0" applyFont="0" applyFill="0" applyBorder="0" applyAlignment="0" applyProtection="0"/>
    <xf numFmtId="219" fontId="50" fillId="0" borderId="0" applyFont="0" applyFill="0" applyBorder="0" applyAlignment="0" applyProtection="0"/>
    <xf numFmtId="219" fontId="50" fillId="0" borderId="0" applyFont="0" applyFill="0" applyBorder="0" applyAlignment="0" applyProtection="0"/>
    <xf numFmtId="217" fontId="50" fillId="0" borderId="0" applyFill="0" applyBorder="0" applyAlignment="0" applyProtection="0"/>
    <xf numFmtId="217" fontId="50" fillId="0" borderId="0" applyFill="0" applyBorder="0" applyAlignment="0" applyProtection="0"/>
    <xf numFmtId="219" fontId="50" fillId="0" borderId="0" applyFont="0" applyFill="0" applyBorder="0" applyAlignment="0" applyProtection="0"/>
    <xf numFmtId="219" fontId="50" fillId="0" borderId="0" applyFont="0" applyFill="0" applyBorder="0" applyAlignment="0" applyProtection="0"/>
    <xf numFmtId="217" fontId="50" fillId="0" borderId="0" applyFill="0" applyBorder="0" applyAlignment="0" applyProtection="0"/>
    <xf numFmtId="217" fontId="50" fillId="0" borderId="0" applyFill="0" applyBorder="0" applyAlignment="0" applyProtection="0"/>
    <xf numFmtId="219" fontId="50" fillId="0" borderId="0" applyFont="0" applyFill="0" applyBorder="0" applyAlignment="0" applyProtection="0"/>
    <xf numFmtId="219" fontId="50" fillId="0" borderId="0" applyFont="0" applyFill="0" applyBorder="0" applyAlignment="0" applyProtection="0"/>
    <xf numFmtId="217" fontId="50" fillId="0" borderId="0" applyFill="0" applyBorder="0" applyAlignment="0" applyProtection="0"/>
    <xf numFmtId="217" fontId="50" fillId="0" borderId="0" applyFill="0" applyBorder="0" applyAlignment="0" applyProtection="0"/>
    <xf numFmtId="219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9" fontId="50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16" fillId="71" borderId="0"/>
    <xf numFmtId="0" fontId="16" fillId="71" borderId="0"/>
    <xf numFmtId="0" fontId="16" fillId="71" borderId="0"/>
    <xf numFmtId="0" fontId="16" fillId="71" borderId="0"/>
    <xf numFmtId="0" fontId="16" fillId="71" borderId="0"/>
    <xf numFmtId="0" fontId="16" fillId="71" borderId="0"/>
    <xf numFmtId="0" fontId="16" fillId="71" borderId="0"/>
    <xf numFmtId="0" fontId="16" fillId="71" borderId="0"/>
    <xf numFmtId="0" fontId="16" fillId="71" borderId="0"/>
    <xf numFmtId="0" fontId="16" fillId="71" borderId="0"/>
    <xf numFmtId="0" fontId="16" fillId="71" borderId="0"/>
    <xf numFmtId="0" fontId="106" fillId="72" borderId="0">
      <alignment horizontal="center" vertical="center"/>
      <protection locked="0"/>
    </xf>
    <xf numFmtId="0" fontId="58" fillId="48" borderId="0" applyNumberFormat="0" applyBorder="0" applyAlignment="0" applyProtection="0"/>
    <xf numFmtId="0" fontId="58" fillId="48" borderId="0" applyNumberFormat="0" applyBorder="0" applyAlignment="0" applyProtection="0"/>
    <xf numFmtId="0" fontId="107" fillId="0" borderId="0">
      <alignment horizontal="center"/>
    </xf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83" fillId="0" borderId="52" applyNumberFormat="0" applyFill="0" applyAlignment="0" applyProtection="0"/>
    <xf numFmtId="0" fontId="83" fillId="0" borderId="52" applyNumberFormat="0" applyFill="0" applyAlignment="0" applyProtection="0"/>
    <xf numFmtId="0" fontId="83" fillId="0" borderId="52" applyNumberFormat="0" applyFill="0" applyAlignment="0" applyProtection="0"/>
    <xf numFmtId="0" fontId="83" fillId="0" borderId="65" applyNumberFormat="0" applyFill="0" applyAlignment="0" applyProtection="0"/>
    <xf numFmtId="0" fontId="83" fillId="0" borderId="65" applyNumberFormat="0" applyFill="0" applyAlignment="0" applyProtection="0"/>
    <xf numFmtId="0" fontId="83" fillId="0" borderId="65" applyNumberFormat="0" applyFill="0" applyAlignment="0" applyProtection="0"/>
    <xf numFmtId="0" fontId="83" fillId="0" borderId="52" applyNumberFormat="0" applyFill="0" applyAlignment="0" applyProtection="0"/>
    <xf numFmtId="0" fontId="59" fillId="0" borderId="51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84" fillId="0" borderId="54" applyNumberFormat="0" applyFill="0" applyAlignment="0" applyProtection="0"/>
    <xf numFmtId="0" fontId="84" fillId="0" borderId="54" applyNumberFormat="0" applyFill="0" applyAlignment="0" applyProtection="0"/>
    <xf numFmtId="0" fontId="84" fillId="0" borderId="54" applyNumberFormat="0" applyFill="0" applyAlignment="0" applyProtection="0"/>
    <xf numFmtId="0" fontId="84" fillId="0" borderId="66" applyNumberFormat="0" applyFill="0" applyAlignment="0" applyProtection="0"/>
    <xf numFmtId="0" fontId="84" fillId="0" borderId="66" applyNumberFormat="0" applyFill="0" applyAlignment="0" applyProtection="0"/>
    <xf numFmtId="0" fontId="84" fillId="0" borderId="66" applyNumberFormat="0" applyFill="0" applyAlignment="0" applyProtection="0"/>
    <xf numFmtId="0" fontId="84" fillId="0" borderId="54" applyNumberFormat="0" applyFill="0" applyAlignment="0" applyProtection="0"/>
    <xf numFmtId="0" fontId="60" fillId="0" borderId="53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85" fillId="0" borderId="56" applyNumberFormat="0" applyFill="0" applyAlignment="0" applyProtection="0"/>
    <xf numFmtId="0" fontId="85" fillId="0" borderId="56" applyNumberFormat="0" applyFill="0" applyAlignment="0" applyProtection="0"/>
    <xf numFmtId="0" fontId="85" fillId="0" borderId="56" applyNumberFormat="0" applyFill="0" applyAlignment="0" applyProtection="0"/>
    <xf numFmtId="0" fontId="85" fillId="0" borderId="67" applyNumberFormat="0" applyFill="0" applyAlignment="0" applyProtection="0"/>
    <xf numFmtId="0" fontId="85" fillId="0" borderId="67" applyNumberFormat="0" applyFill="0" applyAlignment="0" applyProtection="0"/>
    <xf numFmtId="0" fontId="85" fillId="0" borderId="67" applyNumberFormat="0" applyFill="0" applyAlignment="0" applyProtection="0"/>
    <xf numFmtId="0" fontId="85" fillId="0" borderId="56" applyNumberFormat="0" applyFill="0" applyAlignment="0" applyProtection="0"/>
    <xf numFmtId="0" fontId="61" fillId="0" borderId="55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08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>
      <alignment vertical="top"/>
      <protection locked="0"/>
    </xf>
    <xf numFmtId="0" fontId="87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54" fillId="46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46" borderId="0" applyNumberFormat="0" applyBorder="0" applyAlignment="0" applyProtection="0"/>
    <xf numFmtId="0" fontId="54" fillId="46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88" fillId="0" borderId="0"/>
    <xf numFmtId="0" fontId="110" fillId="0" borderId="0"/>
    <xf numFmtId="0" fontId="111" fillId="69" borderId="0"/>
    <xf numFmtId="0" fontId="111" fillId="69" borderId="0"/>
    <xf numFmtId="0" fontId="111" fillId="69" borderId="0"/>
    <xf numFmtId="0" fontId="111" fillId="69" borderId="0"/>
    <xf numFmtId="0" fontId="111" fillId="69" borderId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112" fillId="73" borderId="0">
      <alignment horizontal="right"/>
    </xf>
    <xf numFmtId="14" fontId="113" fillId="0" borderId="0"/>
    <xf numFmtId="0" fontId="113" fillId="0" borderId="0"/>
    <xf numFmtId="183" fontId="113" fillId="0" borderId="0">
      <alignment horizontal="right"/>
    </xf>
    <xf numFmtId="1" fontId="114" fillId="0" borderId="68">
      <alignment vertical="center"/>
    </xf>
    <xf numFmtId="0" fontId="63" fillId="0" borderId="49" applyNumberFormat="0" applyFill="0" applyAlignment="0" applyProtection="0"/>
    <xf numFmtId="0" fontId="63" fillId="0" borderId="49" applyNumberFormat="0" applyFill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97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97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191" fontId="115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97" fontId="12" fillId="0" borderId="0" applyFont="0" applyFill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64" fillId="54" borderId="0" applyNumberFormat="0" applyBorder="0" applyAlignment="0" applyProtection="0"/>
    <xf numFmtId="0" fontId="64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64" fillId="54" borderId="0" applyNumberFormat="0" applyBorder="0" applyAlignment="0" applyProtection="0"/>
    <xf numFmtId="0" fontId="64" fillId="54" borderId="0" applyNumberFormat="0" applyBorder="0" applyAlignment="0" applyProtection="0"/>
    <xf numFmtId="15" fontId="50" fillId="74" borderId="62" applyNumberFormat="0" applyBorder="0" applyAlignment="0">
      <alignment horizontal="center"/>
    </xf>
    <xf numFmtId="15" fontId="50" fillId="74" borderId="62" applyNumberFormat="0" applyBorder="0" applyAlignment="0">
      <alignment horizontal="center"/>
    </xf>
    <xf numFmtId="15" fontId="50" fillId="74" borderId="62" applyNumberFormat="0" applyBorder="0" applyAlignment="0">
      <alignment horizont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74" fillId="0" borderId="0"/>
    <xf numFmtId="0" fontId="51" fillId="0" borderId="0"/>
    <xf numFmtId="0" fontId="74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6" fillId="0" borderId="0"/>
    <xf numFmtId="0" fontId="1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12" fillId="0" borderId="0"/>
    <xf numFmtId="0" fontId="50" fillId="0" borderId="0"/>
    <xf numFmtId="0" fontId="50" fillId="0" borderId="0"/>
    <xf numFmtId="0" fontId="16" fillId="0" borderId="0"/>
    <xf numFmtId="0" fontId="50" fillId="0" borderId="0"/>
    <xf numFmtId="0" fontId="50" fillId="0" borderId="0"/>
    <xf numFmtId="0" fontId="12" fillId="0" borderId="0"/>
    <xf numFmtId="0" fontId="50" fillId="0" borderId="0"/>
    <xf numFmtId="0" fontId="50" fillId="0" borderId="0"/>
    <xf numFmtId="0" fontId="12" fillId="0" borderId="0"/>
    <xf numFmtId="0" fontId="50" fillId="0" borderId="0"/>
    <xf numFmtId="0" fontId="12" fillId="0" borderId="0"/>
    <xf numFmtId="0" fontId="50" fillId="0" borderId="0"/>
    <xf numFmtId="0" fontId="51" fillId="0" borderId="0"/>
    <xf numFmtId="0" fontId="51" fillId="0" borderId="0"/>
    <xf numFmtId="0" fontId="12" fillId="0" borderId="0"/>
    <xf numFmtId="0" fontId="12" fillId="0" borderId="0"/>
    <xf numFmtId="0" fontId="51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6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12" fillId="0" borderId="0"/>
    <xf numFmtId="0" fontId="11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7" fillId="66" borderId="0" applyNumberFormat="0" applyBorder="0" applyAlignment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1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1" fillId="49" borderId="58" applyNumberFormat="0" applyFon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65" fillId="67" borderId="59" applyNumberFormat="0" applyAlignment="0" applyProtection="0"/>
    <xf numFmtId="0" fontId="65" fillId="67" borderId="59" applyNumberFormat="0" applyAlignment="0" applyProtection="0"/>
    <xf numFmtId="0" fontId="65" fillId="67" borderId="59" applyNumberFormat="0" applyAlignment="0" applyProtection="0"/>
    <xf numFmtId="0" fontId="65" fillId="67" borderId="59" applyNumberFormat="0" applyAlignment="0" applyProtection="0"/>
    <xf numFmtId="0" fontId="65" fillId="67" borderId="59" applyNumberFormat="0" applyAlignment="0" applyProtection="0"/>
    <xf numFmtId="0" fontId="65" fillId="67" borderId="59" applyNumberFormat="0" applyAlignment="0" applyProtection="0"/>
    <xf numFmtId="0" fontId="65" fillId="67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118" fillId="0" borderId="0"/>
    <xf numFmtId="0" fontId="69" fillId="0" borderId="69" applyNumberFormat="0" applyAlignment="0" applyProtection="0"/>
    <xf numFmtId="0" fontId="119" fillId="0" borderId="70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0" fillId="75" borderId="0" applyNumberFormat="0" applyBorder="0" applyAlignment="0">
      <alignment horizontal="left"/>
    </xf>
    <xf numFmtId="0" fontId="65" fillId="66" borderId="59" applyNumberFormat="0" applyAlignment="0" applyProtection="0"/>
    <xf numFmtId="0" fontId="65" fillId="67" borderId="59" applyNumberFormat="0" applyAlignment="0" applyProtection="0"/>
    <xf numFmtId="0" fontId="65" fillId="67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4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4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40" fontId="121" fillId="76" borderId="0">
      <alignment horizontal="center"/>
    </xf>
    <xf numFmtId="40" fontId="121" fillId="76" borderId="0">
      <alignment horizontal="center"/>
    </xf>
    <xf numFmtId="40" fontId="121" fillId="76" borderId="0">
      <alignment horizontal="center"/>
    </xf>
    <xf numFmtId="0" fontId="88" fillId="0" borderId="0">
      <alignment vertical="center"/>
    </xf>
    <xf numFmtId="0" fontId="50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69" fillId="0" borderId="0">
      <alignment horizontal="center"/>
    </xf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83" fillId="0" borderId="52" applyNumberFormat="0" applyFill="0" applyAlignment="0" applyProtection="0"/>
    <xf numFmtId="0" fontId="83" fillId="0" borderId="65" applyNumberFormat="0" applyFill="0" applyAlignment="0" applyProtection="0"/>
    <xf numFmtId="0" fontId="83" fillId="0" borderId="65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84" fillId="0" borderId="54" applyNumberFormat="0" applyFill="0" applyAlignment="0" applyProtection="0"/>
    <xf numFmtId="0" fontId="84" fillId="0" borderId="66" applyNumberFormat="0" applyFill="0" applyAlignment="0" applyProtection="0"/>
    <xf numFmtId="0" fontId="84" fillId="0" borderId="66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85" fillId="0" borderId="56" applyNumberFormat="0" applyFill="0" applyAlignment="0" applyProtection="0"/>
    <xf numFmtId="0" fontId="85" fillId="0" borderId="67" applyNumberFormat="0" applyFill="0" applyAlignment="0" applyProtection="0"/>
    <xf numFmtId="0" fontId="85" fillId="0" borderId="67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" fontId="122" fillId="0" borderId="0">
      <alignment horizontal="left" vertical="top"/>
    </xf>
    <xf numFmtId="0" fontId="67" fillId="0" borderId="71" applyNumberFormat="0" applyFill="0" applyAlignment="0" applyProtection="0"/>
    <xf numFmtId="0" fontId="67" fillId="0" borderId="71" applyNumberFormat="0" applyFill="0" applyAlignment="0" applyProtection="0"/>
    <xf numFmtId="0" fontId="67" fillId="0" borderId="61" applyNumberFormat="0" applyFill="0" applyAlignment="0" applyProtection="0"/>
    <xf numFmtId="0" fontId="67" fillId="0" borderId="61" applyNumberFormat="0" applyFill="0" applyAlignment="0" applyProtection="0"/>
    <xf numFmtId="0" fontId="67" fillId="0" borderId="60" applyNumberFormat="0" applyFill="0" applyAlignment="0" applyProtection="0"/>
    <xf numFmtId="0" fontId="67" fillId="0" borderId="60" applyNumberFormat="0" applyFill="0" applyAlignment="0" applyProtection="0"/>
    <xf numFmtId="0" fontId="67" fillId="0" borderId="71" applyNumberFormat="0" applyFill="0" applyAlignment="0" applyProtection="0"/>
    <xf numFmtId="0" fontId="67" fillId="0" borderId="71" applyNumberFormat="0" applyFill="0" applyAlignment="0" applyProtection="0"/>
    <xf numFmtId="0" fontId="67" fillId="0" borderId="60" applyNumberFormat="0" applyFill="0" applyAlignment="0" applyProtection="0"/>
    <xf numFmtId="0" fontId="67" fillId="0" borderId="60" applyNumberFormat="0" applyFill="0" applyAlignment="0" applyProtection="0"/>
    <xf numFmtId="0" fontId="67" fillId="0" borderId="61" applyNumberFormat="0" applyFill="0" applyAlignment="0" applyProtection="0"/>
    <xf numFmtId="0" fontId="67" fillId="0" borderId="61" applyNumberFormat="0" applyFill="0" applyAlignment="0" applyProtection="0"/>
    <xf numFmtId="4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68" fillId="0" borderId="0" applyNumberFormat="0" applyFill="0" applyBorder="0" applyAlignment="0" applyProtection="0"/>
    <xf numFmtId="0" fontId="98" fillId="2" borderId="72" applyNumberFormat="0" applyFont="0" applyFill="0" applyBorder="0" applyProtection="0">
      <alignment horizontal="center" wrapText="1"/>
    </xf>
    <xf numFmtId="0" fontId="111" fillId="69" borderId="27" applyNumberFormat="0" applyFill="0" applyBorder="0">
      <alignment horizontal="center"/>
    </xf>
    <xf numFmtId="0" fontId="111" fillId="69" borderId="27" applyNumberFormat="0" applyFill="0" applyBorder="0">
      <alignment horizontal="center"/>
    </xf>
    <xf numFmtId="0" fontId="111" fillId="69" borderId="27" applyNumberFormat="0" applyFill="0" applyBorder="0">
      <alignment horizontal="center"/>
    </xf>
    <xf numFmtId="0" fontId="111" fillId="69" borderId="27" applyNumberFormat="0" applyFill="0" applyBorder="0">
      <alignment horizontal="center"/>
    </xf>
    <xf numFmtId="0" fontId="50" fillId="0" borderId="0"/>
    <xf numFmtId="0" fontId="50" fillId="0" borderId="0"/>
    <xf numFmtId="0" fontId="50" fillId="0" borderId="0"/>
    <xf numFmtId="0" fontId="50" fillId="0" borderId="0"/>
    <xf numFmtId="43" fontId="51" fillId="0" borderId="0" applyFont="0" applyFill="0" applyBorder="0" applyAlignment="0" applyProtection="0"/>
    <xf numFmtId="0" fontId="50" fillId="0" borderId="0"/>
    <xf numFmtId="0" fontId="56" fillId="68" borderId="48" applyNumberFormat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69" fillId="0" borderId="0" applyFont="0" applyFill="0" applyBorder="0" applyAlignment="0" applyProtection="0"/>
    <xf numFmtId="197" fontId="51" fillId="0" borderId="0" applyFont="0" applyFill="0" applyBorder="0" applyAlignment="0" applyProtection="0"/>
    <xf numFmtId="0" fontId="50" fillId="0" borderId="0"/>
    <xf numFmtId="0" fontId="82" fillId="0" borderId="0">
      <alignment horizontal="center"/>
    </xf>
    <xf numFmtId="0" fontId="62" fillId="51" borderId="47" applyNumberFormat="0" applyAlignment="0" applyProtection="0"/>
    <xf numFmtId="0" fontId="63" fillId="0" borderId="49" applyNumberFormat="0" applyFill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0" fillId="49" borderId="58" applyNumberFormat="0" applyFont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62" fillId="51" borderId="47" applyNumberFormat="0" applyAlignment="0" applyProtection="0"/>
    <xf numFmtId="0" fontId="50" fillId="49" borderId="58" applyNumberFormat="0" applyFont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62" fillId="51" borderId="47" applyNumberForma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62" fillId="51" borderId="47" applyNumberFormat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66" fillId="0" borderId="0" applyNumberFormat="0" applyFill="0" applyBorder="0" applyAlignment="0" applyProtection="0"/>
    <xf numFmtId="0" fontId="50" fillId="0" borderId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62" fillId="51" borderId="47" applyNumberFormat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66" fillId="0" borderId="0" applyNumberFormat="0" applyFill="0" applyBorder="0" applyAlignment="0" applyProtection="0"/>
    <xf numFmtId="0" fontId="50" fillId="0" borderId="0"/>
    <xf numFmtId="0" fontId="50" fillId="0" borderId="0"/>
    <xf numFmtId="0" fontId="62" fillId="51" borderId="47" applyNumberForma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62" fillId="51" borderId="47" applyNumberFormat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66" fillId="0" borderId="0" applyNumberFormat="0" applyFill="0" applyBorder="0" applyAlignment="0" applyProtection="0"/>
    <xf numFmtId="0" fontId="50" fillId="0" borderId="0"/>
    <xf numFmtId="0" fontId="62" fillId="51" borderId="47" applyNumberForma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62" fillId="51" borderId="47" applyNumberFormat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66" fillId="0" borderId="0" applyNumberFormat="0" applyFill="0" applyBorder="0" applyAlignment="0" applyProtection="0"/>
    <xf numFmtId="0" fontId="50" fillId="0" borderId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62" fillId="51" borderId="47" applyNumberFormat="0" applyAlignment="0" applyProtection="0"/>
    <xf numFmtId="0" fontId="62" fillId="51" borderId="47" applyNumberFormat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62" fillId="51" borderId="47" applyNumberForma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62" fillId="51" borderId="47" applyNumberFormat="0" applyAlignment="0" applyProtection="0"/>
    <xf numFmtId="0" fontId="66" fillId="0" borderId="0" applyNumberFormat="0" applyFill="0" applyBorder="0" applyAlignment="0" applyProtection="0"/>
    <xf numFmtId="0" fontId="50" fillId="0" borderId="0"/>
    <xf numFmtId="0" fontId="66" fillId="0" borderId="0" applyNumberForma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9" fillId="0" borderId="0"/>
    <xf numFmtId="0" fontId="87" fillId="0" borderId="0" applyNumberFormat="0" applyFill="0" applyBorder="0" applyAlignment="0" applyProtection="0">
      <alignment vertical="top"/>
      <protection locked="0"/>
    </xf>
    <xf numFmtId="9" fontId="1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2" fillId="0" borderId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51" fillId="45" borderId="0" applyNumberFormat="0" applyBorder="0" applyAlignment="0" applyProtection="0"/>
    <xf numFmtId="0" fontId="82" fillId="0" borderId="0">
      <alignment horizontal="center"/>
    </xf>
    <xf numFmtId="0" fontId="51" fillId="47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52" borderId="0" applyNumberFormat="0" applyBorder="0" applyAlignment="0" applyProtection="0"/>
    <xf numFmtId="0" fontId="51" fillId="54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49" borderId="0" applyNumberFormat="0" applyBorder="0" applyAlignment="0" applyProtection="0"/>
    <xf numFmtId="0" fontId="53" fillId="52" borderId="0" applyNumberFormat="0" applyBorder="0" applyAlignment="0" applyProtection="0"/>
    <xf numFmtId="0" fontId="53" fillId="57" borderId="0" applyNumberFormat="0" applyBorder="0" applyAlignment="0" applyProtection="0"/>
    <xf numFmtId="0" fontId="53" fillId="55" borderId="0" applyNumberFormat="0" applyBorder="0" applyAlignment="0" applyProtection="0"/>
    <xf numFmtId="0" fontId="53" fillId="46" borderId="0" applyNumberFormat="0" applyBorder="0" applyAlignment="0" applyProtection="0"/>
    <xf numFmtId="0" fontId="53" fillId="52" borderId="0" applyNumberFormat="0" applyBorder="0" applyAlignment="0" applyProtection="0"/>
    <xf numFmtId="0" fontId="53" fillId="47" borderId="0" applyNumberFormat="0" applyBorder="0" applyAlignment="0" applyProtection="0"/>
    <xf numFmtId="0" fontId="53" fillId="62" borderId="0" applyNumberFormat="0" applyBorder="0" applyAlignment="0" applyProtection="0"/>
    <xf numFmtId="0" fontId="53" fillId="57" borderId="0" applyNumberFormat="0" applyBorder="0" applyAlignment="0" applyProtection="0"/>
    <xf numFmtId="0" fontId="53" fillId="55" borderId="0" applyNumberFormat="0" applyBorder="0" applyAlignment="0" applyProtection="0"/>
    <xf numFmtId="0" fontId="50" fillId="49" borderId="58" applyNumberFormat="0" applyFont="0" applyAlignment="0" applyProtection="0"/>
    <xf numFmtId="0" fontId="53" fillId="65" borderId="0" applyNumberFormat="0" applyBorder="0" applyAlignment="0" applyProtection="0"/>
    <xf numFmtId="0" fontId="53" fillId="63" borderId="0" applyNumberFormat="0" applyBorder="0" applyAlignment="0" applyProtection="0"/>
    <xf numFmtId="0" fontId="54" fillId="50" borderId="0" applyNumberFormat="0" applyBorder="0" applyAlignment="0" applyProtection="0"/>
    <xf numFmtId="0" fontId="58" fillId="48" borderId="0" applyNumberFormat="0" applyBorder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55" fillId="66" borderId="47" applyNumberFormat="0" applyAlignment="0" applyProtection="0"/>
    <xf numFmtId="0" fontId="55" fillId="66" borderId="47" applyNumberFormat="0" applyAlignment="0" applyProtection="0"/>
    <xf numFmtId="0" fontId="63" fillId="0" borderId="49" applyNumberFormat="0" applyFill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197" fontId="51" fillId="0" borderId="0" applyFont="0" applyFill="0" applyBorder="0" applyAlignment="0" applyProtection="0"/>
    <xf numFmtId="0" fontId="62" fillId="51" borderId="47" applyNumberFormat="0" applyAlignment="0" applyProtection="0"/>
    <xf numFmtId="0" fontId="62" fillId="51" borderId="47" applyNumberFormat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0" fontId="82" fillId="0" borderId="0">
      <alignment horizontal="center"/>
    </xf>
    <xf numFmtId="0" fontId="83" fillId="0" borderId="52" applyNumberFormat="0" applyFill="0" applyAlignment="0" applyProtection="0"/>
    <xf numFmtId="0" fontId="84" fillId="0" borderId="54" applyNumberFormat="0" applyFill="0" applyAlignment="0" applyProtection="0"/>
    <xf numFmtId="0" fontId="85" fillId="0" borderId="56" applyNumberFormat="0" applyFill="0" applyAlignment="0" applyProtection="0"/>
    <xf numFmtId="0" fontId="85" fillId="0" borderId="0" applyNumberFormat="0" applyFill="0" applyBorder="0" applyAlignment="0" applyProtection="0"/>
    <xf numFmtId="0" fontId="62" fillId="51" borderId="4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0" fontId="64" fillId="54" borderId="0" applyNumberFormat="0" applyBorder="0" applyAlignment="0" applyProtection="0"/>
    <xf numFmtId="0" fontId="50" fillId="0" borderId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1" fillId="0" borderId="0"/>
    <xf numFmtId="0" fontId="51" fillId="49" borderId="58" applyNumberFormat="0" applyFont="0" applyAlignment="0" applyProtection="0"/>
    <xf numFmtId="0" fontId="50" fillId="49" borderId="58" applyNumberFormat="0" applyFont="0" applyAlignment="0" applyProtection="0"/>
    <xf numFmtId="0" fontId="65" fillId="67" borderId="59" applyNumberFormat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97" fillId="0" borderId="0" applyNumberFormat="0" applyFill="0" applyBorder="0" applyAlignment="0" applyProtection="0"/>
    <xf numFmtId="0" fontId="67" fillId="0" borderId="61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49" fillId="0" borderId="0"/>
    <xf numFmtId="43" fontId="51" fillId="0" borderId="0" applyFont="0" applyFill="0" applyBorder="0" applyAlignment="0" applyProtection="0"/>
    <xf numFmtId="0" fontId="82" fillId="0" borderId="0">
      <alignment horizontal="center"/>
    </xf>
    <xf numFmtId="164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0" borderId="0"/>
    <xf numFmtId="0" fontId="49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50" fillId="49" borderId="58" applyNumberFormat="0" applyFont="0" applyAlignment="0" applyProtection="0"/>
    <xf numFmtId="0" fontId="51" fillId="44" borderId="0" applyNumberFormat="0" applyBorder="0" applyAlignment="0" applyProtection="0"/>
    <xf numFmtId="0" fontId="51" fillId="46" borderId="0" applyNumberFormat="0" applyBorder="0" applyAlignment="0" applyProtection="0"/>
    <xf numFmtId="0" fontId="51" fillId="48" borderId="0" applyNumberFormat="0" applyBorder="0" applyAlignment="0" applyProtection="0"/>
    <xf numFmtId="0" fontId="51" fillId="50" borderId="0" applyNumberFormat="0" applyBorder="0" applyAlignment="0" applyProtection="0"/>
    <xf numFmtId="0" fontId="51" fillId="52" borderId="0" applyNumberFormat="0" applyBorder="0" applyAlignment="0" applyProtection="0"/>
    <xf numFmtId="0" fontId="51" fillId="51" borderId="0" applyNumberFormat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47" borderId="0" applyNumberFormat="0" applyBorder="0" applyAlignment="0" applyProtection="0"/>
    <xf numFmtId="0" fontId="53" fillId="53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8" fillId="48" borderId="0" applyNumberFormat="0" applyBorder="0" applyAlignment="0" applyProtection="0"/>
    <xf numFmtId="0" fontId="55" fillId="66" borderId="47" applyNumberFormat="0" applyAlignment="0" applyProtection="0"/>
    <xf numFmtId="0" fontId="56" fillId="68" borderId="48" applyNumberFormat="0" applyAlignment="0" applyProtection="0"/>
    <xf numFmtId="0" fontId="63" fillId="0" borderId="49" applyNumberFormat="0" applyFill="0" applyAlignment="0" applyProtection="0"/>
    <xf numFmtId="0" fontId="53" fillId="61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7" borderId="0" applyNumberFormat="0" applyBorder="0" applyAlignment="0" applyProtection="0"/>
    <xf numFmtId="0" fontId="62" fillId="51" borderId="47" applyNumberFormat="0" applyAlignment="0" applyProtection="0"/>
    <xf numFmtId="0" fontId="54" fillId="46" borderId="0" applyNumberFormat="0" applyBorder="0" applyAlignment="0" applyProtection="0"/>
    <xf numFmtId="0" fontId="64" fillId="54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48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48" fillId="0" borderId="0"/>
    <xf numFmtId="0" fontId="48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23" fillId="0" borderId="0"/>
    <xf numFmtId="0" fontId="12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47" fillId="20" borderId="0" applyNumberFormat="0" applyBorder="0" applyAlignment="0" applyProtection="0"/>
    <xf numFmtId="0" fontId="51" fillId="19" borderId="43" applyNumberFormat="0" applyFont="0" applyAlignment="0" applyProtection="0"/>
    <xf numFmtId="191" fontId="74" fillId="0" borderId="0" applyFont="0" applyFill="0" applyBorder="0" applyAlignment="0" applyProtection="0"/>
    <xf numFmtId="0" fontId="131" fillId="28" borderId="0" applyNumberFormat="0" applyBorder="0" applyAlignment="0" applyProtection="0"/>
    <xf numFmtId="44" fontId="51" fillId="0" borderId="0" applyFont="0" applyFill="0" applyBorder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4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67" fillId="0" borderId="0" applyFont="0" applyFill="0" applyBorder="0" applyAlignment="0" applyProtection="0"/>
    <xf numFmtId="0" fontId="167" fillId="19" borderId="43" applyNumberFormat="0" applyFont="0" applyAlignment="0" applyProtection="0"/>
    <xf numFmtId="4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19" borderId="43" applyNumberFormat="0" applyFont="0" applyAlignment="0" applyProtection="0"/>
    <xf numFmtId="4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19" borderId="43" applyNumberFormat="0" applyFont="0" applyAlignment="0" applyProtection="0"/>
    <xf numFmtId="16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193" fontId="176" fillId="0" borderId="0" applyFont="0" applyFill="0" applyBorder="0" applyAlignment="0" applyProtection="0"/>
    <xf numFmtId="0" fontId="51" fillId="19" borderId="43" applyNumberFormat="0" applyFont="0" applyAlignment="0" applyProtection="0"/>
    <xf numFmtId="16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16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164" fontId="12" fillId="0" borderId="0" applyFont="0" applyFill="0" applyBorder="0" applyAlignment="0" applyProtection="0"/>
    <xf numFmtId="0" fontId="12" fillId="42" borderId="0" applyNumberFormat="0" applyBorder="0" applyAlignment="0" applyProtection="0"/>
    <xf numFmtId="0" fontId="50" fillId="0" borderId="0" applyFont="0" applyFill="0" applyBorder="0" applyAlignment="0" applyProtection="0"/>
    <xf numFmtId="0" fontId="130" fillId="42" borderId="0" applyNumberFormat="0" applyBorder="0" applyAlignment="0" applyProtection="0"/>
    <xf numFmtId="0" fontId="40" fillId="16" borderId="39" applyNumberFormat="0" applyAlignment="0" applyProtection="0"/>
    <xf numFmtId="0" fontId="47" fillId="40" borderId="0" applyNumberFormat="0" applyBorder="0" applyAlignment="0" applyProtection="0"/>
    <xf numFmtId="0" fontId="131" fillId="36" borderId="0" applyNumberFormat="0" applyBorder="0" applyAlignment="0" applyProtection="0"/>
    <xf numFmtId="0" fontId="51" fillId="19" borderId="43" applyNumberFormat="0" applyFont="0" applyAlignment="0" applyProtection="0"/>
    <xf numFmtId="0" fontId="47" fillId="36" borderId="0" applyNumberFormat="0" applyBorder="0" applyAlignment="0" applyProtection="0"/>
    <xf numFmtId="0" fontId="166" fillId="0" borderId="0" applyNumberFormat="0" applyFill="0" applyBorder="0" applyAlignment="0" applyProtection="0"/>
    <xf numFmtId="0" fontId="130" fillId="0" borderId="0"/>
    <xf numFmtId="0" fontId="131" fillId="32" borderId="0" applyNumberFormat="0" applyBorder="0" applyAlignment="0" applyProtection="0"/>
    <xf numFmtId="0" fontId="50" fillId="0" borderId="0"/>
    <xf numFmtId="0" fontId="166" fillId="0" borderId="0" applyNumberFormat="0" applyFill="0" applyBorder="0" applyAlignment="0" applyProtection="0"/>
    <xf numFmtId="0" fontId="128" fillId="0" borderId="74" applyNumberFormat="0" applyFill="0" applyProtection="0">
      <alignment horizontal="center"/>
    </xf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130" fillId="0" borderId="0"/>
    <xf numFmtId="0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0" fillId="0" borderId="0">
      <alignment vertical="top"/>
    </xf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0" fillId="0" borderId="0"/>
    <xf numFmtId="40" fontId="15" fillId="0" borderId="0">
      <alignment horizontal="left"/>
    </xf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183" fontId="69" fillId="0" borderId="0" applyFont="0" applyFill="0" applyBorder="0" applyAlignment="0" applyProtection="0"/>
    <xf numFmtId="0" fontId="50" fillId="0" borderId="0">
      <alignment vertical="top"/>
    </xf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183" fontId="69" fillId="0" borderId="0" applyFont="0" applyFill="0" applyBorder="0" applyAlignment="0" applyProtection="0"/>
    <xf numFmtId="0" fontId="12" fillId="0" borderId="0"/>
    <xf numFmtId="0" fontId="130" fillId="0" borderId="0"/>
    <xf numFmtId="0" fontId="162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50" fillId="0" borderId="0">
      <alignment vertical="top"/>
    </xf>
    <xf numFmtId="0" fontId="50" fillId="0" borderId="0">
      <alignment vertical="top"/>
    </xf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234" fontId="69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50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50" fillId="0" borderId="0"/>
    <xf numFmtId="0" fontId="5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28" fontId="69" fillId="0" borderId="0" applyFont="0" applyFill="0" applyBorder="0" applyAlignment="0" applyProtection="0"/>
    <xf numFmtId="211" fontId="69" fillId="0" borderId="0" applyFont="0" applyFill="0" applyBorder="0" applyAlignment="0" applyProtection="0"/>
    <xf numFmtId="0" fontId="130" fillId="0" borderId="0"/>
    <xf numFmtId="0" fontId="130" fillId="0" borderId="0"/>
    <xf numFmtId="0" fontId="130" fillId="0" borderId="0"/>
    <xf numFmtId="183" fontId="69" fillId="0" borderId="0" applyFont="0" applyFill="0" applyBorder="0" applyAlignment="0" applyProtection="0"/>
    <xf numFmtId="0" fontId="130" fillId="0" borderId="0"/>
    <xf numFmtId="0" fontId="130" fillId="0" borderId="0"/>
    <xf numFmtId="303" fontId="69" fillId="0" borderId="0" applyFont="0" applyFill="0" applyBorder="0" applyAlignment="0" applyProtection="0"/>
    <xf numFmtId="0" fontId="12" fillId="0" borderId="0"/>
    <xf numFmtId="0" fontId="130" fillId="0" borderId="0"/>
    <xf numFmtId="0" fontId="130" fillId="0" borderId="0"/>
    <xf numFmtId="0" fontId="130" fillId="0" borderId="0"/>
    <xf numFmtId="303" fontId="69" fillId="0" borderId="0" applyFont="0" applyFill="0" applyBorder="0" applyAlignment="0" applyProtection="0"/>
    <xf numFmtId="0" fontId="50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183" fontId="69" fillId="0" borderId="0" applyFont="0" applyFill="0" applyBorder="0" applyAlignment="0" applyProtection="0"/>
    <xf numFmtId="0" fontId="130" fillId="0" borderId="0"/>
    <xf numFmtId="0" fontId="12" fillId="0" borderId="0"/>
    <xf numFmtId="303" fontId="69" fillId="0" borderId="0" applyFont="0" applyFill="0" applyBorder="0" applyAlignment="0" applyProtection="0"/>
    <xf numFmtId="0" fontId="130" fillId="0" borderId="0"/>
    <xf numFmtId="0" fontId="12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50" fillId="0" borderId="0">
      <alignment vertical="top"/>
    </xf>
    <xf numFmtId="0" fontId="50" fillId="0" borderId="0">
      <alignment vertical="top"/>
    </xf>
    <xf numFmtId="303" fontId="69" fillId="0" borderId="0" applyFont="0" applyFill="0" applyBorder="0" applyAlignment="0" applyProtection="0"/>
    <xf numFmtId="0" fontId="12" fillId="0" borderId="0"/>
    <xf numFmtId="0" fontId="12" fillId="0" borderId="0"/>
    <xf numFmtId="0" fontId="50" fillId="0" borderId="0">
      <alignment vertical="top"/>
    </xf>
    <xf numFmtId="0" fontId="12" fillId="0" borderId="0"/>
    <xf numFmtId="0" fontId="12" fillId="0" borderId="0"/>
    <xf numFmtId="0" fontId="50" fillId="0" borderId="0">
      <alignment vertical="top"/>
    </xf>
    <xf numFmtId="0" fontId="50" fillId="0" borderId="0">
      <alignment vertical="top"/>
    </xf>
    <xf numFmtId="0" fontId="12" fillId="0" borderId="0"/>
    <xf numFmtId="0" fontId="12" fillId="0" borderId="0"/>
    <xf numFmtId="303" fontId="69" fillId="0" borderId="0" applyFont="0" applyFill="0" applyBorder="0" applyAlignment="0" applyProtection="0"/>
    <xf numFmtId="0" fontId="50" fillId="0" borderId="0">
      <alignment vertical="top"/>
    </xf>
    <xf numFmtId="0" fontId="50" fillId="0" borderId="0">
      <alignment vertical="top"/>
    </xf>
    <xf numFmtId="0" fontId="12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183" fontId="69" fillId="0" borderId="0" applyFon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66" fillId="0" borderId="0" applyNumberFormat="0" applyFill="0" applyBorder="0" applyAlignment="0" applyProtection="0"/>
    <xf numFmtId="0" fontId="130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303" fontId="69" fillId="0" borderId="0" applyFont="0" applyFill="0" applyBorder="0" applyAlignment="0" applyProtection="0"/>
    <xf numFmtId="183" fontId="69" fillId="0" borderId="0" applyFont="0" applyFill="0" applyBorder="0" applyAlignment="0" applyProtection="0"/>
    <xf numFmtId="183" fontId="69" fillId="0" borderId="0" applyFont="0" applyFill="0" applyBorder="0" applyAlignment="0" applyProtection="0"/>
    <xf numFmtId="183" fontId="69" fillId="0" borderId="0" applyFont="0" applyFill="0" applyBorder="0" applyAlignment="0" applyProtection="0"/>
    <xf numFmtId="183" fontId="69" fillId="0" borderId="0" applyFont="0" applyFill="0" applyBorder="0" applyAlignment="0" applyProtection="0"/>
    <xf numFmtId="183" fontId="69" fillId="0" borderId="0" applyFont="0" applyFill="0" applyBorder="0" applyAlignment="0" applyProtection="0"/>
    <xf numFmtId="183" fontId="69" fillId="0" borderId="0" applyFont="0" applyFill="0" applyBorder="0" applyAlignment="0" applyProtection="0"/>
    <xf numFmtId="0" fontId="12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66" fillId="0" borderId="0" applyNumberFormat="0" applyFill="0" applyBorder="0" applyAlignment="0" applyProtection="0"/>
    <xf numFmtId="183" fontId="69" fillId="0" borderId="0" applyFont="0" applyFill="0" applyBorder="0" applyAlignment="0" applyProtection="0"/>
    <xf numFmtId="274" fontId="16" fillId="0" borderId="0" applyFont="0" applyFill="0" applyBorder="0" applyAlignment="0"/>
    <xf numFmtId="40" fontId="16" fillId="0" borderId="0" applyFont="0" applyFill="0" applyBorder="0" applyAlignment="0"/>
    <xf numFmtId="267" fontId="50" fillId="0" borderId="0" applyFont="0" applyFill="0" applyBorder="0" applyAlignment="0"/>
    <xf numFmtId="38" fontId="16" fillId="0" borderId="7" applyFont="0" applyFill="0" applyBorder="0" applyAlignment="0" applyProtection="0"/>
    <xf numFmtId="292" fontId="50" fillId="0" borderId="0"/>
    <xf numFmtId="0" fontId="117" fillId="0" borderId="0"/>
    <xf numFmtId="0" fontId="117" fillId="0" borderId="0"/>
    <xf numFmtId="0" fontId="117" fillId="0" borderId="0"/>
    <xf numFmtId="37" fontId="164" fillId="0" borderId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163" fillId="15" borderId="0" applyNumberFormat="0" applyBorder="0" applyAlignment="0" applyProtection="0"/>
    <xf numFmtId="0" fontId="39" fillId="15" borderId="0" applyNumberFormat="0" applyBorder="0" applyAlignment="0" applyProtection="0"/>
    <xf numFmtId="0" fontId="163" fillId="15" borderId="0" applyNumberFormat="0" applyBorder="0" applyAlignment="0" applyProtection="0"/>
    <xf numFmtId="0" fontId="64" fillId="54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39" fillId="15" borderId="0" applyNumberFormat="0" applyBorder="0" applyAlignment="0" applyProtection="0"/>
    <xf numFmtId="0" fontId="64" fillId="54" borderId="0" applyNumberFormat="0" applyBorder="0" applyAlignment="0" applyProtection="0"/>
    <xf numFmtId="0" fontId="39" fillId="15" borderId="0" applyNumberFormat="0" applyBorder="0" applyAlignment="0" applyProtection="0"/>
    <xf numFmtId="301" fontId="16" fillId="2" borderId="0" applyFont="0" applyBorder="0" applyAlignment="0" applyProtection="0">
      <alignment horizontal="right"/>
      <protection hidden="1"/>
    </xf>
    <xf numFmtId="300" fontId="94" fillId="0" borderId="0" applyFill="0" applyBorder="0">
      <alignment horizontal="right"/>
    </xf>
    <xf numFmtId="299" fontId="90" fillId="0" borderId="0" applyFill="0" applyBorder="0" applyProtection="0">
      <alignment horizontal="right"/>
    </xf>
    <xf numFmtId="299" fontId="90" fillId="0" borderId="0" applyFill="0" applyBorder="0" applyProtection="0">
      <alignment horizontal="right"/>
    </xf>
    <xf numFmtId="298" fontId="144" fillId="0" borderId="0" applyFont="0" applyFill="0" applyBorder="0" applyProtection="0">
      <alignment horizontal="right"/>
    </xf>
    <xf numFmtId="234" fontId="50" fillId="0" borderId="0" applyNumberFormat="0" applyFill="0" applyBorder="0" applyAlignment="0" applyProtection="0"/>
    <xf numFmtId="221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16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91" fontId="74" fillId="0" borderId="0" applyFont="0" applyFill="0" applyBorder="0" applyAlignment="0" applyProtection="0"/>
    <xf numFmtId="44" fontId="51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161" fillId="0" borderId="34"/>
    <xf numFmtId="267" fontId="158" fillId="69" borderId="0" applyNumberFormat="0" applyBorder="0" applyAlignment="0">
      <protection locked="0"/>
    </xf>
    <xf numFmtId="274" fontId="50" fillId="0" borderId="0"/>
    <xf numFmtId="10" fontId="16" fillId="69" borderId="0">
      <protection locked="0"/>
    </xf>
    <xf numFmtId="296" fontId="16" fillId="0" borderId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157" fillId="14" borderId="0" applyNumberFormat="0" applyBorder="0" applyAlignment="0" applyProtection="0"/>
    <xf numFmtId="0" fontId="157" fillId="14" borderId="0" applyNumberFormat="0" applyBorder="0" applyAlignment="0" applyProtection="0"/>
    <xf numFmtId="0" fontId="54" fillId="46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155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290" fontId="153" fillId="0" borderId="0" applyNumberFormat="0" applyFont="0" applyFill="0" applyBorder="0" applyAlignment="0">
      <alignment horizontal="left"/>
    </xf>
    <xf numFmtId="288" fontId="50" fillId="69" borderId="7" applyNumberFormat="0" applyFont="0" applyAlignment="0"/>
    <xf numFmtId="288" fontId="50" fillId="69" borderId="7" applyNumberFormat="0" applyFont="0" applyAlignment="0"/>
    <xf numFmtId="39" fontId="151" fillId="0" borderId="8" applyAlignment="0"/>
    <xf numFmtId="0" fontId="150" fillId="0" borderId="0" applyFill="0" applyBorder="0" applyProtection="0">
      <alignment horizontal="left"/>
    </xf>
    <xf numFmtId="0" fontId="16" fillId="0" borderId="0" applyFont="0" applyFill="0" applyBorder="0" applyAlignment="0" applyProtection="0">
      <alignment horizontal="right"/>
    </xf>
    <xf numFmtId="219" fontId="50" fillId="0" borderId="0" applyFont="0" applyFill="0" applyBorder="0" applyAlignment="0" applyProtection="0"/>
    <xf numFmtId="0" fontId="40" fillId="16" borderId="39" applyNumberFormat="0" applyAlignment="0" applyProtection="0"/>
    <xf numFmtId="0" fontId="40" fillId="16" borderId="39" applyNumberFormat="0" applyAlignment="0" applyProtection="0"/>
    <xf numFmtId="0" fontId="47" fillId="40" borderId="0" applyNumberFormat="0" applyBorder="0" applyAlignment="0" applyProtection="0"/>
    <xf numFmtId="0" fontId="47" fillId="36" borderId="0" applyNumberFormat="0" applyBorder="0" applyAlignment="0" applyProtection="0"/>
    <xf numFmtId="0" fontId="47" fillId="36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32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131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4" borderId="0" applyNumberFormat="0" applyBorder="0" applyAlignment="0" applyProtection="0"/>
    <xf numFmtId="0" fontId="131" fillId="20" borderId="0" applyNumberFormat="0" applyBorder="0" applyAlignment="0" applyProtection="0"/>
    <xf numFmtId="0" fontId="53" fillId="61" borderId="0" applyNumberFormat="0" applyBorder="0" applyAlignment="0" applyProtection="0"/>
    <xf numFmtId="0" fontId="47" fillId="20" borderId="0" applyNumberFormat="0" applyBorder="0" applyAlignment="0" applyProtection="0"/>
    <xf numFmtId="214" fontId="148" fillId="0" borderId="0" applyFill="0" applyBorder="0" applyAlignment="0" applyProtection="0"/>
    <xf numFmtId="286" fontId="144" fillId="0" borderId="80" applyNumberFormat="0" applyFont="0" applyFill="0" applyAlignment="0" applyProtection="0"/>
    <xf numFmtId="227" fontId="16" fillId="0" borderId="0"/>
    <xf numFmtId="227" fontId="16" fillId="0" borderId="0"/>
    <xf numFmtId="0" fontId="50" fillId="71" borderId="0" applyNumberFormat="0" applyFont="0" applyBorder="0" applyAlignment="0" applyProtection="0"/>
    <xf numFmtId="285" fontId="69" fillId="0" borderId="0" applyFont="0" applyFill="0" applyBorder="0" applyAlignment="0" applyProtection="0"/>
    <xf numFmtId="211" fontId="90" fillId="0" borderId="0" applyFont="0" applyFill="0" applyBorder="0" applyProtection="0">
      <alignment horizontal="right"/>
    </xf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1" borderId="0" applyNumberFormat="0" applyBorder="0" applyAlignment="0" applyProtection="0"/>
    <xf numFmtId="0" fontId="131" fillId="31" borderId="0" applyNumberFormat="0" applyBorder="0" applyAlignment="0" applyProtection="0"/>
    <xf numFmtId="0" fontId="47" fillId="27" borderId="0" applyNumberFormat="0" applyBorder="0" applyAlignment="0" applyProtection="0"/>
    <xf numFmtId="0" fontId="131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131" fillId="23" borderId="0" applyNumberFormat="0" applyBorder="0" applyAlignment="0" applyProtection="0"/>
    <xf numFmtId="0" fontId="131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12" fillId="42" borderId="0" applyNumberFormat="0" applyBorder="0" applyAlignment="0" applyProtection="0"/>
    <xf numFmtId="0" fontId="130" fillId="42" borderId="0" applyNumberFormat="0" applyBorder="0" applyAlignment="0" applyProtection="0"/>
    <xf numFmtId="0" fontId="130" fillId="42" borderId="0" applyNumberFormat="0" applyBorder="0" applyAlignment="0" applyProtection="0"/>
    <xf numFmtId="0" fontId="130" fillId="42" borderId="0" applyNumberFormat="0" applyBorder="0" applyAlignment="0" applyProtection="0"/>
    <xf numFmtId="0" fontId="130" fillId="42" borderId="0" applyNumberFormat="0" applyBorder="0" applyAlignment="0" applyProtection="0"/>
    <xf numFmtId="0" fontId="130" fillId="42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51" fillId="55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51" fillId="55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2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30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51" fillId="45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2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30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51" fillId="50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51" fillId="50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2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30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51" fillId="53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51" fillId="53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2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30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2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30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51" fillId="45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51" fillId="45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130" fillId="41" borderId="0" applyNumberFormat="0" applyBorder="0" applyAlignment="0" applyProtection="0"/>
    <xf numFmtId="0" fontId="130" fillId="41" borderId="0" applyNumberFormat="0" applyBorder="0" applyAlignment="0" applyProtection="0"/>
    <xf numFmtId="0" fontId="130" fillId="41" borderId="0" applyNumberFormat="0" applyBorder="0" applyAlignment="0" applyProtection="0"/>
    <xf numFmtId="0" fontId="130" fillId="37" borderId="0" applyNumberFormat="0" applyBorder="0" applyAlignment="0" applyProtection="0"/>
    <xf numFmtId="0" fontId="12" fillId="37" borderId="0" applyNumberFormat="0" applyBorder="0" applyAlignment="0" applyProtection="0"/>
    <xf numFmtId="0" fontId="130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2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30" fillId="33" borderId="0" applyNumberFormat="0" applyBorder="0" applyAlignment="0" applyProtection="0"/>
    <xf numFmtId="0" fontId="12" fillId="33" borderId="0" applyNumberFormat="0" applyBorder="0" applyAlignment="0" applyProtection="0"/>
    <xf numFmtId="0" fontId="51" fillId="50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51" fillId="50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30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30" fillId="25" borderId="0" applyNumberFormat="0" applyBorder="0" applyAlignment="0" applyProtection="0"/>
    <xf numFmtId="0" fontId="130" fillId="25" borderId="0" applyNumberFormat="0" applyBorder="0" applyAlignment="0" applyProtection="0"/>
    <xf numFmtId="0" fontId="130" fillId="25" borderId="0" applyNumberFormat="0" applyBorder="0" applyAlignment="0" applyProtection="0"/>
    <xf numFmtId="0" fontId="130" fillId="25" borderId="0" applyNumberFormat="0" applyBorder="0" applyAlignment="0" applyProtection="0"/>
    <xf numFmtId="0" fontId="12" fillId="25" borderId="0" applyNumberFormat="0" applyBorder="0" applyAlignment="0" applyProtection="0"/>
    <xf numFmtId="0" fontId="130" fillId="25" borderId="0" applyNumberFormat="0" applyBorder="0" applyAlignment="0" applyProtection="0"/>
    <xf numFmtId="0" fontId="130" fillId="25" borderId="0" applyNumberFormat="0" applyBorder="0" applyAlignment="0" applyProtection="0"/>
    <xf numFmtId="0" fontId="130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51" fillId="46" borderId="0" applyNumberFormat="0" applyBorder="0" applyAlignment="0" applyProtection="0"/>
    <xf numFmtId="0" fontId="12" fillId="25" borderId="0" applyNumberFormat="0" applyBorder="0" applyAlignment="0" applyProtection="0"/>
    <xf numFmtId="0" fontId="12" fillId="21" borderId="0" applyNumberFormat="0" applyBorder="0" applyAlignment="0" applyProtection="0"/>
    <xf numFmtId="0" fontId="130" fillId="21" borderId="0" applyNumberFormat="0" applyBorder="0" applyAlignment="0" applyProtection="0"/>
    <xf numFmtId="0" fontId="130" fillId="21" borderId="0" applyNumberFormat="0" applyBorder="0" applyAlignment="0" applyProtection="0"/>
    <xf numFmtId="0" fontId="130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0" fillId="0" borderId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39" fontId="88" fillId="0" borderId="0" applyFont="0" applyFill="0" applyBorder="0" applyAlignment="0" applyProtection="0"/>
    <xf numFmtId="234" fontId="16" fillId="0" borderId="0"/>
    <xf numFmtId="193" fontId="94" fillId="0" borderId="0" applyFont="0" applyFill="0" applyBorder="0" applyAlignment="0" applyProtection="0"/>
    <xf numFmtId="266" fontId="102" fillId="0" borderId="0" applyFont="0" applyFill="0" applyBorder="0" applyAlignment="0" applyProtection="0"/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50" fillId="0" borderId="75" applyNumberFormat="0" applyFont="0" applyFill="0" applyAlignment="0" applyProtection="0"/>
    <xf numFmtId="0" fontId="50" fillId="0" borderId="75" applyNumberFormat="0" applyFont="0" applyFill="0" applyAlignment="0" applyProtection="0"/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7" fillId="0" borderId="0" applyNumberFormat="0" applyFill="0" applyBorder="0" applyProtection="0">
      <alignment vertical="top"/>
    </xf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3" fillId="0" borderId="73" applyNumberFormat="0" applyFill="0" applyAlignment="0" applyProtection="0"/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264" fontId="50" fillId="0" borderId="0" applyFont="0" applyFill="0" applyBorder="0" applyAlignment="0" applyProtection="0"/>
    <xf numFmtId="223" fontId="50" fillId="0" borderId="0" applyFont="0" applyFill="0" applyBorder="0" applyAlignment="0" applyProtection="0"/>
    <xf numFmtId="264" fontId="50" fillId="0" borderId="0" applyFont="0" applyFill="0" applyBorder="0" applyAlignment="0" applyProtection="0"/>
    <xf numFmtId="264" fontId="50" fillId="0" borderId="0" applyFont="0" applyFill="0" applyBorder="0" applyAlignment="0" applyProtection="0"/>
    <xf numFmtId="264" fontId="50" fillId="0" borderId="0" applyFont="0" applyFill="0" applyBorder="0" applyAlignment="0" applyProtection="0"/>
    <xf numFmtId="223" fontId="50" fillId="0" borderId="0" applyFont="0" applyFill="0" applyBorder="0" applyAlignment="0" applyProtection="0"/>
    <xf numFmtId="257" fontId="50" fillId="0" borderId="0" applyFont="0" applyFill="0" applyBorder="0" applyAlignment="0" applyProtection="0"/>
    <xf numFmtId="264" fontId="50" fillId="0" borderId="0" applyFont="0" applyFill="0" applyBorder="0" applyAlignment="0" applyProtection="0"/>
    <xf numFmtId="264" fontId="50" fillId="0" borderId="0" applyFont="0" applyFill="0" applyBorder="0" applyAlignment="0" applyProtection="0"/>
    <xf numFmtId="264" fontId="50" fillId="0" borderId="0" applyFont="0" applyFill="0" applyBorder="0" applyAlignment="0" applyProtection="0"/>
    <xf numFmtId="200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63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7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7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191" fontId="50" fillId="0" borderId="0" applyFont="0" applyFill="0" applyBorder="0" applyAlignment="0" applyProtection="0"/>
    <xf numFmtId="255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1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9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1" fontId="50" fillId="0" borderId="0" applyFont="0" applyFill="0" applyBorder="0" applyProtection="0">
      <alignment horizontal="right"/>
    </xf>
    <xf numFmtId="258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191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5" fontId="50" fillId="0" borderId="0" applyFont="0" applyFill="0" applyBorder="0" applyProtection="0">
      <alignment horizontal="right"/>
    </xf>
    <xf numFmtId="0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5" fontId="125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6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2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2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21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54" fontId="50" fillId="0" borderId="0" applyFont="0" applyFill="0" applyBorder="0" applyAlignment="0" applyProtection="0"/>
    <xf numFmtId="230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52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21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21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49" fontId="125" fillId="0" borderId="0" applyFont="0" applyFill="0" applyBorder="0" applyAlignment="0" applyProtection="0"/>
    <xf numFmtId="249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0" fontId="50" fillId="54" borderId="0" applyNumberFormat="0" applyFont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247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246" fontId="125" fillId="0" borderId="0" applyFont="0" applyFill="0" applyBorder="0" applyAlignment="0" applyProtection="0"/>
    <xf numFmtId="246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39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5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4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34" fontId="50" fillId="0" borderId="0" applyFont="0" applyFill="0" applyBorder="0" applyAlignment="0" applyProtection="0"/>
    <xf numFmtId="39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39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39" fontId="50" fillId="0" borderId="0" applyFont="0" applyFill="0" applyBorder="0" applyAlignment="0" applyProtection="0"/>
    <xf numFmtId="39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3" fontId="125" fillId="0" borderId="0" applyFont="0" applyFill="0" applyBorder="0" applyAlignment="0" applyProtection="0"/>
    <xf numFmtId="243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39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9" fontId="50" fillId="0" borderId="0" applyFont="0" applyFill="0" applyBorder="0" applyAlignment="0" applyProtection="0"/>
    <xf numFmtId="239" fontId="50" fillId="0" borderId="0" applyFont="0" applyFill="0" applyBorder="0" applyAlignment="0" applyProtection="0"/>
    <xf numFmtId="238" fontId="50" fillId="0" borderId="0" applyFont="0" applyFill="0" applyBorder="0" applyAlignment="0" applyProtection="0"/>
    <xf numFmtId="237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8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7" fontId="50" fillId="0" borderId="0" applyFont="0" applyFill="0" applyBorder="0" applyAlignment="0" applyProtection="0"/>
    <xf numFmtId="242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41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9" fontId="50" fillId="0" borderId="0" applyFont="0" applyFill="0" applyBorder="0" applyAlignment="0" applyProtection="0"/>
    <xf numFmtId="239" fontId="50" fillId="0" borderId="0" applyFont="0" applyFill="0" applyBorder="0" applyAlignment="0" applyProtection="0"/>
    <xf numFmtId="238" fontId="50" fillId="0" borderId="0" applyFont="0" applyFill="0" applyBorder="0" applyAlignment="0" applyProtection="0"/>
    <xf numFmtId="237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9" fontId="50" fillId="0" borderId="0" applyFont="0" applyFill="0" applyBorder="0" applyAlignment="0" applyProtection="0"/>
    <xf numFmtId="239" fontId="50" fillId="0" borderId="0" applyFont="0" applyFill="0" applyBorder="0" applyAlignment="0" applyProtection="0"/>
    <xf numFmtId="238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5" fontId="125" fillId="0" borderId="0" applyFont="0" applyFill="0" applyBorder="0" applyAlignment="0" applyProtection="0"/>
    <xf numFmtId="235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4" fontId="50" fillId="0" borderId="0" applyFont="0" applyFill="0" applyBorder="0" applyAlignment="0" applyProtection="0"/>
    <xf numFmtId="233" fontId="50" fillId="0" borderId="0" applyFont="0" applyFill="0" applyBorder="0" applyAlignment="0" applyProtection="0"/>
    <xf numFmtId="233" fontId="50" fillId="0" borderId="0" applyFont="0" applyFill="0" applyBorder="0" applyAlignment="0" applyProtection="0"/>
    <xf numFmtId="234" fontId="50" fillId="0" borderId="0" applyFont="0" applyFill="0" applyBorder="0" applyAlignment="0" applyProtection="0"/>
    <xf numFmtId="234" fontId="50" fillId="0" borderId="0" applyFont="0" applyFill="0" applyBorder="0" applyAlignment="0" applyProtection="0"/>
    <xf numFmtId="234" fontId="50" fillId="0" borderId="0" applyFont="0" applyFill="0" applyBorder="0" applyAlignment="0" applyProtection="0"/>
    <xf numFmtId="233" fontId="50" fillId="0" borderId="0" applyFont="0" applyFill="0" applyBorder="0" applyAlignment="0" applyProtection="0"/>
    <xf numFmtId="234" fontId="50" fillId="0" borderId="0" applyFont="0" applyFill="0" applyBorder="0" applyAlignment="0" applyProtection="0"/>
    <xf numFmtId="233" fontId="50" fillId="0" borderId="0" applyFont="0" applyFill="0" applyBorder="0" applyAlignment="0" applyProtection="0"/>
    <xf numFmtId="232" fontId="50" fillId="0" borderId="0" applyFont="0" applyFill="0" applyBorder="0" applyAlignment="0" applyProtection="0"/>
    <xf numFmtId="231" fontId="50" fillId="0" borderId="0" applyFont="0" applyFill="0" applyBorder="0" applyAlignment="0" applyProtection="0"/>
    <xf numFmtId="230" fontId="90" fillId="0" borderId="0" applyFont="0" applyFill="0" applyBorder="0" applyAlignment="0" applyProtection="0"/>
    <xf numFmtId="229" fontId="76" fillId="0" borderId="0" applyFont="0" applyFill="0" applyBorder="0" applyAlignment="0" applyProtection="0"/>
    <xf numFmtId="228" fontId="90" fillId="0" borderId="0" applyFont="0" applyFill="0" applyBorder="0" applyAlignment="0" applyProtection="0"/>
    <xf numFmtId="227" fontId="76" fillId="0" borderId="0" applyFont="0" applyFill="0" applyBorder="0" applyAlignment="0" applyProtection="0"/>
    <xf numFmtId="228" fontId="102" fillId="0" borderId="0" applyFont="0" applyFill="0" applyBorder="0" applyAlignment="0" applyProtection="0"/>
    <xf numFmtId="227" fontId="50" fillId="0" borderId="0" applyFont="0" applyFill="0" applyBorder="0" applyAlignment="0" applyProtection="0"/>
    <xf numFmtId="226" fontId="50" fillId="0" borderId="0" applyFont="0" applyFill="0" applyBorder="0" applyAlignment="0" applyProtection="0"/>
    <xf numFmtId="225" fontId="50" fillId="0" borderId="0" applyFont="0" applyFill="0" applyBorder="0" applyAlignment="0" applyProtection="0"/>
    <xf numFmtId="223" fontId="50" fillId="0" borderId="0"/>
    <xf numFmtId="222" fontId="125" fillId="0" borderId="0"/>
    <xf numFmtId="222" fontId="125" fillId="0" borderId="0"/>
    <xf numFmtId="222" fontId="125" fillId="0" borderId="0"/>
    <xf numFmtId="223" fontId="50" fillId="0" borderId="0"/>
    <xf numFmtId="223" fontId="50" fillId="0" borderId="0"/>
    <xf numFmtId="222" fontId="125" fillId="0" borderId="0"/>
    <xf numFmtId="222" fontId="125" fillId="0" borderId="0"/>
    <xf numFmtId="224" fontId="50" fillId="0" borderId="0"/>
    <xf numFmtId="224" fontId="50" fillId="0" borderId="0"/>
    <xf numFmtId="222" fontId="125" fillId="0" borderId="0"/>
    <xf numFmtId="193" fontId="50" fillId="0" borderId="0"/>
    <xf numFmtId="222" fontId="125" fillId="0" borderId="0"/>
    <xf numFmtId="222" fontId="125" fillId="0" borderId="0"/>
    <xf numFmtId="222" fontId="125" fillId="0" borderId="0"/>
    <xf numFmtId="222" fontId="125" fillId="0" borderId="0"/>
    <xf numFmtId="222" fontId="125" fillId="0" borderId="0"/>
    <xf numFmtId="193" fontId="50" fillId="0" borderId="0"/>
    <xf numFmtId="165" fontId="50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0" fontId="50" fillId="0" borderId="0"/>
    <xf numFmtId="9" fontId="12" fillId="0" borderId="0" applyFont="0" applyFill="0" applyBorder="0" applyAlignment="0" applyProtection="0"/>
    <xf numFmtId="216" fontId="50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53" borderId="0" applyNumberFormat="0" applyBorder="0" applyAlignment="0" applyProtection="0"/>
    <xf numFmtId="0" fontId="51" fillId="47" borderId="0" applyNumberFormat="0" applyBorder="0" applyAlignment="0" applyProtection="0"/>
    <xf numFmtId="0" fontId="47" fillId="36" borderId="0" applyNumberFormat="0" applyBorder="0" applyAlignment="0" applyProtection="0"/>
    <xf numFmtId="0" fontId="131" fillId="36" borderId="0" applyNumberFormat="0" applyBorder="0" applyAlignment="0" applyProtection="0"/>
    <xf numFmtId="0" fontId="47" fillId="32" borderId="0" applyNumberFormat="0" applyBorder="0" applyAlignment="0" applyProtection="0"/>
    <xf numFmtId="0" fontId="131" fillId="32" borderId="0" applyNumberFormat="0" applyBorder="0" applyAlignment="0" applyProtection="0"/>
    <xf numFmtId="0" fontId="51" fillId="45" borderId="0" applyNumberFormat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0" fontId="167" fillId="19" borderId="43" applyNumberFormat="0" applyFont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44" fontId="51" fillId="0" borderId="0" applyFont="0" applyFill="0" applyBorder="0" applyAlignment="0" applyProtection="0"/>
    <xf numFmtId="0" fontId="47" fillId="24" borderId="0" applyNumberFormat="0" applyBorder="0" applyAlignment="0" applyProtection="0"/>
    <xf numFmtId="191" fontId="74" fillId="0" borderId="0" applyFont="0" applyFill="0" applyBorder="0" applyAlignment="0" applyProtection="0"/>
    <xf numFmtId="0" fontId="51" fillId="19" borderId="43" applyNumberFormat="0" applyFont="0" applyAlignment="0" applyProtection="0"/>
    <xf numFmtId="0" fontId="166" fillId="0" borderId="0" applyNumberFormat="0" applyFill="0" applyBorder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30" fillId="0" borderId="0"/>
    <xf numFmtId="267" fontId="15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50" fillId="0" borderId="0"/>
    <xf numFmtId="0" fontId="130" fillId="0" borderId="0"/>
    <xf numFmtId="0" fontId="130" fillId="0" borderId="0"/>
    <xf numFmtId="0" fontId="50" fillId="0" borderId="0"/>
    <xf numFmtId="183" fontId="69" fillId="0" borderId="0" applyFon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62" fillId="0" borderId="0"/>
    <xf numFmtId="0" fontId="12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50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2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50" fillId="0" borderId="0"/>
    <xf numFmtId="0" fontId="50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2" fillId="0" borderId="0"/>
    <xf numFmtId="267" fontId="69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1" fontId="69" fillId="0" borderId="0" applyFon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30" fillId="0" borderId="0"/>
    <xf numFmtId="0" fontId="12" fillId="0" borderId="0"/>
    <xf numFmtId="0" fontId="5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0" fontId="50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50" fillId="0" borderId="0">
      <alignment vertical="top"/>
    </xf>
    <xf numFmtId="0" fontId="12" fillId="0" borderId="0"/>
    <xf numFmtId="0" fontId="5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183" fontId="69" fillId="0" borderId="0" applyFont="0" applyFill="0" applyBorder="0" applyAlignment="0" applyProtection="0"/>
    <xf numFmtId="0" fontId="130" fillId="0" borderId="0"/>
    <xf numFmtId="0" fontId="130" fillId="0" borderId="0"/>
    <xf numFmtId="9" fontId="51" fillId="0" borderId="0" applyFont="0" applyFill="0" applyBorder="0" applyAlignment="0" applyProtection="0"/>
    <xf numFmtId="0" fontId="51" fillId="19" borderId="43" applyNumberFormat="0" applyFont="0" applyAlignment="0" applyProtection="0"/>
    <xf numFmtId="4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19" borderId="43" applyNumberFormat="0" applyFont="0" applyAlignment="0" applyProtection="0"/>
    <xf numFmtId="16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70" fillId="0" borderId="0" applyBorder="0">
      <alignment horizontal="centerContinuous"/>
    </xf>
    <xf numFmtId="0" fontId="51" fillId="19" borderId="43" applyNumberFormat="0" applyFont="0" applyAlignment="0" applyProtection="0"/>
    <xf numFmtId="16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16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47" fillId="40" borderId="0" applyNumberFormat="0" applyBorder="0" applyAlignment="0" applyProtection="0"/>
    <xf numFmtId="0" fontId="47" fillId="36" borderId="0" applyNumberFormat="0" applyBorder="0" applyAlignment="0" applyProtection="0"/>
    <xf numFmtId="0" fontId="47" fillId="36" borderId="0" applyNumberFormat="0" applyBorder="0" applyAlignment="0" applyProtection="0"/>
    <xf numFmtId="0" fontId="47" fillId="32" borderId="0" applyNumberFormat="0" applyBorder="0" applyAlignment="0" applyProtection="0"/>
    <xf numFmtId="0" fontId="53" fillId="58" borderId="0" applyNumberFormat="0" applyBorder="0" applyAlignment="0" applyProtection="0"/>
    <xf numFmtId="0" fontId="127" fillId="0" borderId="0" applyNumberFormat="0" applyFill="0" applyBorder="0" applyProtection="0">
      <alignment vertical="top"/>
    </xf>
    <xf numFmtId="0" fontId="131" fillId="35" borderId="0" applyNumberFormat="0" applyBorder="0" applyAlignment="0" applyProtection="0"/>
    <xf numFmtId="0" fontId="12" fillId="0" borderId="0"/>
    <xf numFmtId="9" fontId="51" fillId="0" borderId="0" applyFont="0" applyFill="0" applyBorder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130" fillId="0" borderId="0"/>
    <xf numFmtId="304" fontId="16" fillId="0" borderId="0" applyFont="0" applyFill="0" applyBorder="0" applyAlignment="0" applyProtection="0"/>
    <xf numFmtId="0" fontId="130" fillId="0" borderId="0"/>
    <xf numFmtId="0" fontId="130" fillId="0" borderId="0"/>
    <xf numFmtId="0" fontId="12" fillId="0" borderId="0"/>
    <xf numFmtId="0" fontId="130" fillId="0" borderId="0"/>
    <xf numFmtId="0" fontId="50" fillId="0" borderId="0"/>
    <xf numFmtId="0" fontId="130" fillId="0" borderId="0"/>
    <xf numFmtId="0" fontId="130" fillId="0" borderId="0"/>
    <xf numFmtId="0" fontId="130" fillId="0" borderId="0"/>
    <xf numFmtId="0" fontId="162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66" fillId="0" borderId="0" applyNumberFormat="0" applyFill="0" applyBorder="0" applyAlignment="0" applyProtection="0"/>
    <xf numFmtId="0" fontId="12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62" fillId="0" borderId="0"/>
    <xf numFmtId="0" fontId="12" fillId="0" borderId="0"/>
    <xf numFmtId="0" fontId="166" fillId="0" borderId="0" applyNumberFormat="0" applyFill="0" applyBorder="0" applyAlignment="0" applyProtection="0"/>
    <xf numFmtId="303" fontId="69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0" fontId="12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2" fillId="0" borderId="0"/>
    <xf numFmtId="0" fontId="50" fillId="0" borderId="0"/>
    <xf numFmtId="0" fontId="50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267" fontId="69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0" fillId="0" borderId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2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211" fontId="69" fillId="0" borderId="0" applyFont="0" applyFill="0" applyBorder="0" applyAlignment="0" applyProtection="0"/>
    <xf numFmtId="211" fontId="69" fillId="0" borderId="0" applyFon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303" fontId="69" fillId="0" borderId="0" applyFont="0" applyFill="0" applyBorder="0" applyAlignment="0" applyProtection="0"/>
    <xf numFmtId="0" fontId="130" fillId="0" borderId="0"/>
    <xf numFmtId="0" fontId="12" fillId="0" borderId="0"/>
    <xf numFmtId="0" fontId="12" fillId="0" borderId="0"/>
    <xf numFmtId="0" fontId="130" fillId="0" borderId="0"/>
    <xf numFmtId="0" fontId="130" fillId="0" borderId="0"/>
    <xf numFmtId="183" fontId="69" fillId="0" borderId="0" applyFont="0" applyFill="0" applyBorder="0" applyAlignment="0" applyProtection="0"/>
    <xf numFmtId="0" fontId="130" fillId="0" borderId="0"/>
    <xf numFmtId="183" fontId="69" fillId="0" borderId="0" applyFon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50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50" fillId="0" borderId="0">
      <alignment vertical="top"/>
    </xf>
    <xf numFmtId="0" fontId="12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183" fontId="69" fillId="0" borderId="0" applyFon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2" fillId="0" borderId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296" fontId="16" fillId="0" borderId="0"/>
    <xf numFmtId="0" fontId="51" fillId="53" borderId="0" applyNumberFormat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67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67" fillId="0" borderId="0" applyFont="0" applyFill="0" applyBorder="0" applyAlignment="0" applyProtection="0"/>
    <xf numFmtId="9" fontId="167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312" fontId="90" fillId="0" borderId="0" applyFont="0" applyFill="0" applyBorder="0" applyProtection="0">
      <alignment horizontal="right"/>
    </xf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181" fontId="94" fillId="0" borderId="0" applyFill="0" applyBorder="0">
      <alignment horizontal="right"/>
    </xf>
    <xf numFmtId="311" fontId="16" fillId="0" borderId="0" applyFont="0" applyFill="0" applyBorder="0" applyAlignment="0" applyProtection="0"/>
    <xf numFmtId="9" fontId="50" fillId="0" borderId="0" applyFont="0" applyFill="0" applyBorder="0" applyAlignment="0" applyProtection="0"/>
    <xf numFmtId="310" fontId="90" fillId="0" borderId="0" applyFont="0" applyFill="0" applyBorder="0" applyProtection="0">
      <alignment horizontal="right"/>
    </xf>
    <xf numFmtId="310" fontId="90" fillId="0" borderId="0" applyFont="0" applyFill="0" applyBorder="0" applyProtection="0">
      <alignment horizontal="right"/>
    </xf>
    <xf numFmtId="309" fontId="50" fillId="0" borderId="0" applyFont="0" applyFill="0" applyBorder="0" applyAlignment="0"/>
    <xf numFmtId="308" fontId="50" fillId="0" borderId="0" applyFill="0" applyBorder="0"/>
    <xf numFmtId="308" fontId="50" fillId="0" borderId="0" applyFill="0" applyBorder="0"/>
    <xf numFmtId="307" fontId="50" fillId="0" borderId="0" applyFont="0" applyFill="0" applyBorder="0" applyAlignment="0"/>
    <xf numFmtId="307" fontId="50" fillId="0" borderId="0" applyFont="0" applyFill="0" applyBorder="0" applyAlignment="0"/>
    <xf numFmtId="211" fontId="175" fillId="0" borderId="0" applyNumberFormat="0" applyAlignment="0">
      <alignment horizontal="center"/>
    </xf>
    <xf numFmtId="1" fontId="174" fillId="0" borderId="0" applyProtection="0">
      <alignment horizontal="right" vertical="center"/>
    </xf>
    <xf numFmtId="0" fontId="173" fillId="0" borderId="0" applyFill="0" applyBorder="0" applyProtection="0">
      <alignment horizontal="left"/>
    </xf>
    <xf numFmtId="0" fontId="172" fillId="0" borderId="0" applyFill="0" applyBorder="0" applyProtection="0">
      <alignment horizontal="left"/>
    </xf>
    <xf numFmtId="0" fontId="171" fillId="0" borderId="0" applyBorder="0">
      <alignment horizontal="centerContinuous"/>
    </xf>
    <xf numFmtId="0" fontId="169" fillId="79" borderId="0">
      <alignment horizontal="right"/>
    </xf>
    <xf numFmtId="0" fontId="170" fillId="79" borderId="62"/>
    <xf numFmtId="0" fontId="71" fillId="0" borderId="0"/>
    <xf numFmtId="0" fontId="98" fillId="0" borderId="0"/>
    <xf numFmtId="306" fontId="16" fillId="0" borderId="0" applyFont="0" applyFill="0" applyBorder="0" applyAlignment="0" applyProtection="0"/>
    <xf numFmtId="267" fontId="125" fillId="0" borderId="0"/>
    <xf numFmtId="305" fontId="16" fillId="0" borderId="0" applyFont="0" applyFill="0" applyBorder="0" applyAlignment="0" applyProtection="0"/>
    <xf numFmtId="0" fontId="51" fillId="49" borderId="58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49" borderId="58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49" borderId="58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130" fillId="0" borderId="0"/>
    <xf numFmtId="0" fontId="166" fillId="0" borderId="0" applyNumberFormat="0" applyFill="0" applyBorder="0" applyAlignment="0" applyProtection="0"/>
    <xf numFmtId="0" fontId="12" fillId="0" borderId="0"/>
    <xf numFmtId="0" fontId="166" fillId="0" borderId="0" applyNumberFormat="0" applyFill="0" applyBorder="0" applyAlignment="0" applyProtection="0"/>
    <xf numFmtId="0" fontId="12" fillId="0" borderId="0"/>
    <xf numFmtId="0" fontId="12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66" fillId="0" borderId="0" applyNumberFormat="0" applyFill="0" applyBorder="0" applyAlignment="0" applyProtection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293" fontId="50" fillId="0" borderId="0"/>
    <xf numFmtId="302" fontId="165" fillId="0" borderId="0"/>
    <xf numFmtId="0" fontId="117" fillId="0" borderId="0"/>
    <xf numFmtId="0" fontId="117" fillId="0" borderId="0"/>
    <xf numFmtId="220" fontId="50" fillId="0" borderId="0" applyFont="0" applyFill="0" applyBorder="0" applyAlignment="0" applyProtection="0"/>
    <xf numFmtId="0" fontId="39" fillId="15" borderId="0" applyNumberFormat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162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162" fillId="0" borderId="0" applyFont="0" applyFill="0" applyBorder="0" applyAlignment="0" applyProtection="0"/>
    <xf numFmtId="164" fontId="162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164" fontId="51" fillId="0" borderId="0" applyFont="0" applyFill="0" applyBorder="0" applyAlignment="0" applyProtection="0"/>
    <xf numFmtId="191" fontId="74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97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287" fontId="16" fillId="69" borderId="0" applyFont="0" applyBorder="0" applyAlignment="0">
      <protection locked="0"/>
    </xf>
    <xf numFmtId="0" fontId="38" fillId="14" borderId="0" applyNumberFormat="0" applyBorder="0" applyAlignment="0" applyProtection="0"/>
    <xf numFmtId="0" fontId="38" fillId="14" borderId="0" applyNumberFormat="0" applyBorder="0" applyAlignment="0" applyProtection="0"/>
    <xf numFmtId="0" fontId="54" fillId="46" borderId="0" applyNumberFormat="0" applyBorder="0" applyAlignment="0" applyProtection="0"/>
    <xf numFmtId="0" fontId="156" fillId="0" borderId="0" applyNumberFormat="0" applyFill="0" applyBorder="0" applyAlignment="0" applyProtection="0"/>
    <xf numFmtId="0" fontId="87" fillId="0" borderId="0" applyNumberFormat="0" applyFill="0" applyBorder="0" applyAlignment="0" applyProtection="0">
      <alignment vertical="top"/>
      <protection locked="0"/>
    </xf>
    <xf numFmtId="0" fontId="152" fillId="0" borderId="0">
      <alignment horizontal="left"/>
    </xf>
    <xf numFmtId="38" fontId="16" fillId="79" borderId="0" applyNumberFormat="0" applyBorder="0" applyAlignment="0" applyProtection="0"/>
    <xf numFmtId="265" fontId="94" fillId="0" borderId="0" applyFill="0" applyBorder="0">
      <alignment horizontal="right"/>
    </xf>
    <xf numFmtId="0" fontId="62" fillId="51" borderId="47" applyNumberFormat="0" applyAlignment="0" applyProtection="0"/>
    <xf numFmtId="0" fontId="40" fillId="16" borderId="39" applyNumberFormat="0" applyAlignment="0" applyProtection="0"/>
    <xf numFmtId="0" fontId="40" fillId="16" borderId="39" applyNumberFormat="0" applyAlignment="0" applyProtection="0"/>
    <xf numFmtId="0" fontId="149" fillId="16" borderId="39" applyNumberFormat="0" applyAlignment="0" applyProtection="0"/>
    <xf numFmtId="0" fontId="62" fillId="51" borderId="47" applyNumberFormat="0" applyAlignment="0" applyProtection="0"/>
    <xf numFmtId="0" fontId="149" fillId="16" borderId="39" applyNumberFormat="0" applyAlignment="0" applyProtection="0"/>
    <xf numFmtId="0" fontId="40" fillId="16" borderId="39" applyNumberFormat="0" applyAlignment="0" applyProtection="0"/>
    <xf numFmtId="0" fontId="40" fillId="16" borderId="39" applyNumberFormat="0" applyAlignment="0" applyProtection="0"/>
    <xf numFmtId="0" fontId="40" fillId="16" borderId="39" applyNumberFormat="0" applyAlignment="0" applyProtection="0"/>
    <xf numFmtId="0" fontId="47" fillId="40" borderId="0" applyNumberFormat="0" applyBorder="0" applyAlignment="0" applyProtection="0"/>
    <xf numFmtId="0" fontId="47" fillId="40" borderId="0" applyNumberFormat="0" applyBorder="0" applyAlignment="0" applyProtection="0"/>
    <xf numFmtId="0" fontId="131" fillId="40" borderId="0" applyNumberFormat="0" applyBorder="0" applyAlignment="0" applyProtection="0"/>
    <xf numFmtId="0" fontId="47" fillId="40" borderId="0" applyNumberFormat="0" applyBorder="0" applyAlignment="0" applyProtection="0"/>
    <xf numFmtId="0" fontId="131" fillId="40" borderId="0" applyNumberFormat="0" applyBorder="0" applyAlignment="0" applyProtection="0"/>
    <xf numFmtId="0" fontId="53" fillId="57" borderId="0" applyNumberFormat="0" applyBorder="0" applyAlignment="0" applyProtection="0"/>
    <xf numFmtId="0" fontId="47" fillId="40" borderId="0" applyNumberFormat="0" applyBorder="0" applyAlignment="0" applyProtection="0"/>
    <xf numFmtId="0" fontId="47" fillId="32" borderId="0" applyNumberFormat="0" applyBorder="0" applyAlignment="0" applyProtection="0"/>
    <xf numFmtId="0" fontId="53" fillId="58" borderId="0" applyNumberFormat="0" applyBorder="0" applyAlignment="0" applyProtection="0"/>
    <xf numFmtId="0" fontId="53" fillId="64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53" fillId="64" borderId="0" applyNumberFormat="0" applyBorder="0" applyAlignment="0" applyProtection="0"/>
    <xf numFmtId="0" fontId="47" fillId="28" borderId="0" applyNumberFormat="0" applyBorder="0" applyAlignment="0" applyProtection="0"/>
    <xf numFmtId="0" fontId="47" fillId="28" borderId="0" applyNumberFormat="0" applyBorder="0" applyAlignment="0" applyProtection="0"/>
    <xf numFmtId="0" fontId="47" fillId="24" borderId="0" applyNumberFormat="0" applyBorder="0" applyAlignment="0" applyProtection="0"/>
    <xf numFmtId="0" fontId="47" fillId="24" borderId="0" applyNumberFormat="0" applyBorder="0" applyAlignment="0" applyProtection="0"/>
    <xf numFmtId="0" fontId="47" fillId="24" borderId="0" applyNumberFormat="0" applyBorder="0" applyAlignment="0" applyProtection="0"/>
    <xf numFmtId="0" fontId="131" fillId="24" borderId="0" applyNumberFormat="0" applyBorder="0" applyAlignment="0" applyProtection="0"/>
    <xf numFmtId="0" fontId="131" fillId="24" borderId="0" applyNumberFormat="0" applyBorder="0" applyAlignment="0" applyProtection="0"/>
    <xf numFmtId="0" fontId="53" fillId="63" borderId="0" applyNumberFormat="0" applyBorder="0" applyAlignment="0" applyProtection="0"/>
    <xf numFmtId="0" fontId="47" fillId="24" borderId="0" applyNumberFormat="0" applyBorder="0" applyAlignment="0" applyProtection="0"/>
    <xf numFmtId="0" fontId="53" fillId="63" borderId="0" applyNumberFormat="0" applyBorder="0" applyAlignment="0" applyProtection="0"/>
    <xf numFmtId="0" fontId="47" fillId="24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131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47" fillId="20" borderId="0" applyNumberFormat="0" applyBorder="0" applyAlignment="0" applyProtection="0"/>
    <xf numFmtId="0" fontId="53" fillId="61" borderId="0" applyNumberFormat="0" applyBorder="0" applyAlignment="0" applyProtection="0"/>
    <xf numFmtId="226" fontId="69" fillId="0" borderId="0" applyFont="0" applyFill="0" applyBorder="0" applyAlignment="0" applyProtection="0"/>
    <xf numFmtId="284" fontId="147" fillId="0" borderId="0">
      <alignment horizontal="center"/>
    </xf>
    <xf numFmtId="283" fontId="50" fillId="0" borderId="0"/>
    <xf numFmtId="14" fontId="71" fillId="0" borderId="0"/>
    <xf numFmtId="1" fontId="71" fillId="0" borderId="0">
      <alignment horizontal="center"/>
      <protection locked="0"/>
    </xf>
    <xf numFmtId="280" fontId="15" fillId="0" borderId="0" applyFill="0" applyBorder="0">
      <alignment horizontal="right"/>
    </xf>
    <xf numFmtId="14" fontId="15" fillId="77" borderId="45" applyFill="0" applyBorder="0">
      <alignment horizontal="right"/>
    </xf>
    <xf numFmtId="282" fontId="144" fillId="0" borderId="0" applyFont="0" applyFill="0" applyBorder="0" applyAlignment="0" applyProtection="0"/>
    <xf numFmtId="0" fontId="47" fillId="43" borderId="0" applyNumberFormat="0" applyBorder="0" applyAlignment="0" applyProtection="0"/>
    <xf numFmtId="281" fontId="50" fillId="0" borderId="79"/>
    <xf numFmtId="17" fontId="15" fillId="0" borderId="0" applyFill="0" applyBorder="0">
      <alignment horizontal="right"/>
    </xf>
    <xf numFmtId="279" fontId="16" fillId="69" borderId="0" applyFont="0" applyFill="0" applyBorder="0" applyAlignment="0" applyProtection="0"/>
    <xf numFmtId="280" fontId="146" fillId="69" borderId="28" applyFont="0" applyFill="0" applyBorder="0" applyAlignment="0" applyProtection="0"/>
    <xf numFmtId="279" fontId="15" fillId="69" borderId="0" applyFont="0" applyFill="0" applyBorder="0" applyAlignment="0" applyProtection="0"/>
    <xf numFmtId="15" fontId="15" fillId="0" borderId="0" applyFill="0" applyBorder="0" applyAlignment="0"/>
    <xf numFmtId="211" fontId="90" fillId="0" borderId="0" applyFont="0" applyFill="0" applyBorder="0" applyProtection="0">
      <alignment horizontal="right"/>
    </xf>
    <xf numFmtId="196" fontId="145" fillId="0" borderId="0" applyNumberFormat="0" applyFill="0" applyBorder="0" applyAlignment="0"/>
    <xf numFmtId="227" fontId="94" fillId="0" borderId="0" applyFill="0" applyBorder="0">
      <alignment horizontal="right"/>
    </xf>
    <xf numFmtId="223" fontId="144" fillId="0" borderId="0" applyFont="0" applyFill="0" applyBorder="0" applyAlignment="0" applyProtection="0">
      <alignment horizontal="right"/>
    </xf>
    <xf numFmtId="278" fontId="144" fillId="0" borderId="0" applyFont="0" applyFill="0" applyBorder="0" applyAlignment="0" applyProtection="0">
      <alignment horizontal="right"/>
    </xf>
    <xf numFmtId="268" fontId="90" fillId="0" borderId="0" applyFont="0" applyFill="0" applyBorder="0" applyAlignment="0" applyProtection="0"/>
    <xf numFmtId="268" fontId="90" fillId="0" borderId="0" applyFont="0" applyFill="0" applyBorder="0" applyAlignment="0" applyProtection="0"/>
    <xf numFmtId="196" fontId="90" fillId="0" borderId="0" applyFont="0" applyFill="0" applyBorder="0" applyAlignment="0" applyProtection="0"/>
    <xf numFmtId="196" fontId="90" fillId="0" borderId="0" applyFont="0" applyFill="0" applyBorder="0" applyAlignment="0" applyProtection="0"/>
    <xf numFmtId="277" fontId="69" fillId="0" borderId="0" applyFont="0" applyFill="0" applyBorder="0" applyAlignment="0" applyProtection="0"/>
    <xf numFmtId="276" fontId="50" fillId="0" borderId="0">
      <alignment horizontal="center"/>
    </xf>
    <xf numFmtId="234" fontId="16" fillId="0" borderId="0"/>
    <xf numFmtId="257" fontId="144" fillId="0" borderId="0" applyFont="0" applyFill="0" applyBorder="0" applyAlignment="0" applyProtection="0">
      <alignment horizontal="right"/>
    </xf>
    <xf numFmtId="226" fontId="50" fillId="0" borderId="0" applyFont="0" applyFill="0" applyBorder="0" applyAlignment="0" applyProtection="0">
      <alignment horizontal="right"/>
    </xf>
    <xf numFmtId="275" fontId="144" fillId="0" borderId="0" applyFont="0" applyFill="0" applyBorder="0" applyAlignment="0" applyProtection="0"/>
    <xf numFmtId="252" fontId="144" fillId="0" borderId="0" applyFont="0" applyFill="0" applyBorder="0" applyAlignment="0" applyProtection="0">
      <alignment horizontal="right"/>
    </xf>
    <xf numFmtId="274" fontId="143" fillId="0" borderId="0" applyFont="0" applyFill="0" applyBorder="0" applyAlignment="0" applyProtection="0">
      <alignment horizontal="center"/>
    </xf>
    <xf numFmtId="40" fontId="143" fillId="0" borderId="0" applyFont="0" applyFill="0" applyBorder="0" applyAlignment="0" applyProtection="0">
      <alignment horizontal="center"/>
    </xf>
    <xf numFmtId="267" fontId="90" fillId="0" borderId="0" applyFont="0" applyFill="0" applyBorder="0" applyAlignment="0" applyProtection="0"/>
    <xf numFmtId="267" fontId="90" fillId="0" borderId="0" applyFont="0" applyFill="0" applyBorder="0" applyAlignment="0" applyProtection="0"/>
    <xf numFmtId="0" fontId="16" fillId="0" borderId="76"/>
    <xf numFmtId="0" fontId="15" fillId="78" borderId="78" applyFont="0" applyFill="0" applyBorder="0"/>
    <xf numFmtId="0" fontId="43" fillId="0" borderId="41" applyNumberFormat="0" applyFill="0" applyAlignment="0" applyProtection="0"/>
    <xf numFmtId="0" fontId="43" fillId="0" borderId="41" applyNumberFormat="0" applyFill="0" applyAlignment="0" applyProtection="0"/>
    <xf numFmtId="0" fontId="43" fillId="0" borderId="41" applyNumberFormat="0" applyFill="0" applyAlignment="0" applyProtection="0"/>
    <xf numFmtId="0" fontId="43" fillId="0" borderId="41" applyNumberFormat="0" applyFill="0" applyAlignment="0" applyProtection="0"/>
    <xf numFmtId="0" fontId="142" fillId="0" borderId="41" applyNumberFormat="0" applyFill="0" applyAlignment="0" applyProtection="0"/>
    <xf numFmtId="0" fontId="43" fillId="0" borderId="41" applyNumberFormat="0" applyFill="0" applyAlignment="0" applyProtection="0"/>
    <xf numFmtId="0" fontId="142" fillId="0" borderId="41" applyNumberFormat="0" applyFill="0" applyAlignment="0" applyProtection="0"/>
    <xf numFmtId="0" fontId="63" fillId="0" borderId="49" applyNumberFormat="0" applyFill="0" applyAlignment="0" applyProtection="0"/>
    <xf numFmtId="0" fontId="43" fillId="0" borderId="41" applyNumberFormat="0" applyFill="0" applyAlignment="0" applyProtection="0"/>
    <xf numFmtId="0" fontId="43" fillId="0" borderId="41" applyNumberFormat="0" applyFill="0" applyAlignment="0" applyProtection="0"/>
    <xf numFmtId="0" fontId="43" fillId="0" borderId="41" applyNumberFormat="0" applyFill="0" applyAlignment="0" applyProtection="0"/>
    <xf numFmtId="0" fontId="63" fillId="0" borderId="49" applyNumberFormat="0" applyFill="0" applyAlignment="0" applyProtection="0"/>
    <xf numFmtId="0" fontId="43" fillId="0" borderId="41" applyNumberFormat="0" applyFill="0" applyAlignment="0" applyProtection="0"/>
    <xf numFmtId="0" fontId="43" fillId="0" borderId="41" applyNumberFormat="0" applyFill="0" applyAlignment="0" applyProtection="0"/>
    <xf numFmtId="0" fontId="44" fillId="18" borderId="42" applyNumberFormat="0" applyAlignment="0" applyProtection="0"/>
    <xf numFmtId="0" fontId="44" fillId="18" borderId="42" applyNumberFormat="0" applyAlignment="0" applyProtection="0"/>
    <xf numFmtId="0" fontId="44" fillId="18" borderId="42" applyNumberFormat="0" applyAlignment="0" applyProtection="0"/>
    <xf numFmtId="0" fontId="44" fillId="18" borderId="42" applyNumberFormat="0" applyAlignment="0" applyProtection="0"/>
    <xf numFmtId="0" fontId="141" fillId="18" borderId="42" applyNumberFormat="0" applyAlignment="0" applyProtection="0"/>
    <xf numFmtId="0" fontId="44" fillId="18" borderId="42" applyNumberFormat="0" applyAlignment="0" applyProtection="0"/>
    <xf numFmtId="0" fontId="141" fillId="18" borderId="42" applyNumberFormat="0" applyAlignment="0" applyProtection="0"/>
    <xf numFmtId="0" fontId="44" fillId="18" borderId="42" applyNumberFormat="0" applyAlignment="0" applyProtection="0"/>
    <xf numFmtId="0" fontId="44" fillId="18" borderId="42" applyNumberFormat="0" applyAlignment="0" applyProtection="0"/>
    <xf numFmtId="0" fontId="44" fillId="18" borderId="42" applyNumberFormat="0" applyAlignment="0" applyProtection="0"/>
    <xf numFmtId="0" fontId="44" fillId="18" borderId="42" applyNumberFormat="0" applyAlignment="0" applyProtection="0"/>
    <xf numFmtId="0" fontId="44" fillId="18" borderId="42" applyNumberFormat="0" applyAlignment="0" applyProtection="0"/>
    <xf numFmtId="0" fontId="140" fillId="0" borderId="0"/>
    <xf numFmtId="0" fontId="139" fillId="0" borderId="0"/>
    <xf numFmtId="0" fontId="42" fillId="17" borderId="39" applyNumberFormat="0" applyAlignment="0" applyProtection="0"/>
    <xf numFmtId="0" fontId="42" fillId="17" borderId="39" applyNumberFormat="0" applyAlignment="0" applyProtection="0"/>
    <xf numFmtId="0" fontId="42" fillId="17" borderId="39" applyNumberFormat="0" applyAlignment="0" applyProtection="0"/>
    <xf numFmtId="0" fontId="42" fillId="17" borderId="39" applyNumberFormat="0" applyAlignment="0" applyProtection="0"/>
    <xf numFmtId="0" fontId="138" fillId="17" borderId="39" applyNumberFormat="0" applyAlignment="0" applyProtection="0"/>
    <xf numFmtId="0" fontId="42" fillId="17" borderId="39" applyNumberFormat="0" applyAlignment="0" applyProtection="0"/>
    <xf numFmtId="0" fontId="138" fillId="17" borderId="39" applyNumberFormat="0" applyAlignment="0" applyProtection="0"/>
    <xf numFmtId="0" fontId="55" fillId="66" borderId="47" applyNumberFormat="0" applyAlignment="0" applyProtection="0"/>
    <xf numFmtId="0" fontId="42" fillId="17" borderId="39" applyNumberFormat="0" applyAlignment="0" applyProtection="0"/>
    <xf numFmtId="0" fontId="42" fillId="17" borderId="39" applyNumberFormat="0" applyAlignment="0" applyProtection="0"/>
    <xf numFmtId="0" fontId="42" fillId="17" borderId="39" applyNumberFormat="0" applyAlignment="0" applyProtection="0"/>
    <xf numFmtId="0" fontId="55" fillId="66" borderId="47" applyNumberFormat="0" applyAlignment="0" applyProtection="0"/>
    <xf numFmtId="0" fontId="42" fillId="17" borderId="39" applyNumberFormat="0" applyAlignment="0" applyProtection="0"/>
    <xf numFmtId="0" fontId="42" fillId="17" borderId="39" applyNumberFormat="0" applyAlignment="0" applyProtection="0"/>
    <xf numFmtId="39" fontId="137" fillId="0" borderId="0" applyFill="0" applyBorder="0" applyAlignment="0"/>
    <xf numFmtId="273" fontId="50" fillId="0" borderId="0" applyFont="0" applyFill="0" applyBorder="0" applyAlignment="0" applyProtection="0"/>
    <xf numFmtId="0" fontId="90" fillId="0" borderId="77" applyNumberFormat="0" applyFont="0" applyFill="0" applyAlignment="0" applyProtection="0"/>
    <xf numFmtId="0" fontId="90" fillId="0" borderId="34" applyNumberFormat="0" applyFont="0" applyFill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136" fillId="13" borderId="0" applyNumberFormat="0" applyBorder="0" applyAlignment="0" applyProtection="0"/>
    <xf numFmtId="0" fontId="37" fillId="13" borderId="0" applyNumberFormat="0" applyBorder="0" applyAlignment="0" applyProtection="0"/>
    <xf numFmtId="0" fontId="136" fillId="13" borderId="0" applyNumberFormat="0" applyBorder="0" applyAlignment="0" applyProtection="0"/>
    <xf numFmtId="0" fontId="58" fillId="48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58" fillId="48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132" fillId="0" borderId="0" applyNumberFormat="0" applyFill="0" applyBorder="0" applyAlignment="0" applyProtection="0"/>
    <xf numFmtId="14" fontId="135" fillId="0" borderId="0" applyNumberFormat="0" applyFill="0" applyBorder="0" applyAlignment="0" applyProtection="0">
      <alignment horizontal="center"/>
    </xf>
    <xf numFmtId="272" fontId="16" fillId="0" borderId="0" applyNumberFormat="0" applyFont="0" applyAlignment="0"/>
    <xf numFmtId="0" fontId="124" fillId="69" borderId="0" applyNumberFormat="0" applyFont="0" applyAlignment="0" applyProtection="0">
      <protection locked="0"/>
    </xf>
    <xf numFmtId="0" fontId="50" fillId="0" borderId="76">
      <protection hidden="1"/>
    </xf>
    <xf numFmtId="0" fontId="117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271" fontId="134" fillId="0" borderId="0" applyFill="0" applyBorder="0" applyProtection="0">
      <alignment horizontal="center"/>
    </xf>
    <xf numFmtId="270" fontId="133" fillId="0" borderId="0">
      <alignment horizontal="center" vertical="center"/>
    </xf>
    <xf numFmtId="0" fontId="117" fillId="0" borderId="0" applyNumberFormat="0" applyFont="0" applyBorder="0" applyAlignment="0">
      <alignment horizontal="center"/>
    </xf>
    <xf numFmtId="177" fontId="132" fillId="0" borderId="0" applyFont="0" applyFill="0" applyBorder="0" applyAlignment="0" applyProtection="0"/>
    <xf numFmtId="269" fontId="132" fillId="0" borderId="0" applyFont="0" applyFill="0" applyBorder="0" applyAlignment="0" applyProtection="0"/>
    <xf numFmtId="268" fontId="132" fillId="0" borderId="0" applyFont="0" applyFill="0" applyBorder="0" applyAlignment="0" applyProtection="0"/>
    <xf numFmtId="0" fontId="102" fillId="77" borderId="0" applyFont="0" applyFill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131" fillId="43" borderId="0" applyNumberFormat="0" applyBorder="0" applyAlignment="0" applyProtection="0"/>
    <xf numFmtId="0" fontId="47" fillId="43" borderId="0" applyNumberFormat="0" applyBorder="0" applyAlignment="0" applyProtection="0"/>
    <xf numFmtId="0" fontId="131" fillId="43" borderId="0" applyNumberFormat="0" applyBorder="0" applyAlignment="0" applyProtection="0"/>
    <xf numFmtId="0" fontId="53" fillId="60" borderId="0" applyNumberFormat="0" applyBorder="0" applyAlignment="0" applyProtection="0"/>
    <xf numFmtId="0" fontId="47" fillId="43" borderId="0" applyNumberFormat="0" applyBorder="0" applyAlignment="0" applyProtection="0"/>
    <xf numFmtId="0" fontId="53" fillId="60" borderId="0" applyNumberFormat="0" applyBorder="0" applyAlignment="0" applyProtection="0"/>
    <xf numFmtId="0" fontId="47" fillId="43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31" fillId="39" borderId="0" applyNumberFormat="0" applyBorder="0" applyAlignment="0" applyProtection="0"/>
    <xf numFmtId="0" fontId="131" fillId="39" borderId="0" applyNumberFormat="0" applyBorder="0" applyAlignment="0" applyProtection="0"/>
    <xf numFmtId="0" fontId="53" fillId="59" borderId="0" applyNumberFormat="0" applyBorder="0" applyAlignment="0" applyProtection="0"/>
    <xf numFmtId="0" fontId="47" fillId="39" borderId="0" applyNumberFormat="0" applyBorder="0" applyAlignment="0" applyProtection="0"/>
    <xf numFmtId="0" fontId="53" fillId="59" borderId="0" applyNumberFormat="0" applyBorder="0" applyAlignment="0" applyProtection="0"/>
    <xf numFmtId="0" fontId="47" fillId="39" borderId="0" applyNumberFormat="0" applyBorder="0" applyAlignment="0" applyProtection="0"/>
    <xf numFmtId="0" fontId="47" fillId="35" borderId="0" applyNumberFormat="0" applyBorder="0" applyAlignment="0" applyProtection="0"/>
    <xf numFmtId="0" fontId="131" fillId="35" borderId="0" applyNumberFormat="0" applyBorder="0" applyAlignment="0" applyProtection="0"/>
    <xf numFmtId="0" fontId="53" fillId="53" borderId="0" applyNumberFormat="0" applyBorder="0" applyAlignment="0" applyProtection="0"/>
    <xf numFmtId="0" fontId="53" fillId="47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53" fillId="56" borderId="0" applyNumberFormat="0" applyBorder="0" applyAlignment="0" applyProtection="0"/>
    <xf numFmtId="0" fontId="47" fillId="23" borderId="0" applyNumberFormat="0" applyBorder="0" applyAlignment="0" applyProtection="0"/>
    <xf numFmtId="0" fontId="53" fillId="56" borderId="0" applyNumberFormat="0" applyBorder="0" applyAlignment="0" applyProtection="0"/>
    <xf numFmtId="0" fontId="47" fillId="23" borderId="0" applyNumberFormat="0" applyBorder="0" applyAlignment="0" applyProtection="0"/>
    <xf numFmtId="0" fontId="12" fillId="42" borderId="0" applyNumberFormat="0" applyBorder="0" applyAlignment="0" applyProtection="0"/>
    <xf numFmtId="0" fontId="130" fillId="42" borderId="0" applyNumberFormat="0" applyBorder="0" applyAlignment="0" applyProtection="0"/>
    <xf numFmtId="0" fontId="130" fillId="42" borderId="0" applyNumberFormat="0" applyBorder="0" applyAlignment="0" applyProtection="0"/>
    <xf numFmtId="0" fontId="130" fillId="42" borderId="0" applyNumberFormat="0" applyBorder="0" applyAlignment="0" applyProtection="0"/>
    <xf numFmtId="0" fontId="12" fillId="38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53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47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265" fontId="88" fillId="0" borderId="0" applyFont="0" applyFill="0" applyBorder="0" applyAlignment="0" applyProtection="0"/>
    <xf numFmtId="0" fontId="12" fillId="41" borderId="0" applyNumberFormat="0" applyBorder="0" applyAlignment="0" applyProtection="0"/>
    <xf numFmtId="0" fontId="130" fillId="41" borderId="0" applyNumberFormat="0" applyBorder="0" applyAlignment="0" applyProtection="0"/>
    <xf numFmtId="0" fontId="130" fillId="41" borderId="0" applyNumberFormat="0" applyBorder="0" applyAlignment="0" applyProtection="0"/>
    <xf numFmtId="0" fontId="130" fillId="41" borderId="0" applyNumberFormat="0" applyBorder="0" applyAlignment="0" applyProtection="0"/>
    <xf numFmtId="0" fontId="12" fillId="41" borderId="0" applyNumberFormat="0" applyBorder="0" applyAlignment="0" applyProtection="0"/>
    <xf numFmtId="0" fontId="130" fillId="41" borderId="0" applyNumberFormat="0" applyBorder="0" applyAlignment="0" applyProtection="0"/>
    <xf numFmtId="0" fontId="130" fillId="41" borderId="0" applyNumberFormat="0" applyBorder="0" applyAlignment="0" applyProtection="0"/>
    <xf numFmtId="0" fontId="130" fillId="41" borderId="0" applyNumberFormat="0" applyBorder="0" applyAlignment="0" applyProtection="0"/>
    <xf numFmtId="0" fontId="12" fillId="37" borderId="0" applyNumberFormat="0" applyBorder="0" applyAlignment="0" applyProtection="0"/>
    <xf numFmtId="0" fontId="130" fillId="41" borderId="0" applyNumberFormat="0" applyBorder="0" applyAlignment="0" applyProtection="0"/>
    <xf numFmtId="0" fontId="12" fillId="41" borderId="0" applyNumberFormat="0" applyBorder="0" applyAlignment="0" applyProtection="0"/>
    <xf numFmtId="0" fontId="12" fillId="41" borderId="0" applyNumberFormat="0" applyBorder="0" applyAlignment="0" applyProtection="0"/>
    <xf numFmtId="0" fontId="51" fillId="51" borderId="0" applyNumberFormat="0" applyBorder="0" applyAlignment="0" applyProtection="0"/>
    <xf numFmtId="0" fontId="12" fillId="41" borderId="0" applyNumberFormat="0" applyBorder="0" applyAlignment="0" applyProtection="0"/>
    <xf numFmtId="0" fontId="51" fillId="51" borderId="0" applyNumberFormat="0" applyBorder="0" applyAlignment="0" applyProtection="0"/>
    <xf numFmtId="0" fontId="12" fillId="41" borderId="0" applyNumberFormat="0" applyBorder="0" applyAlignment="0" applyProtection="0"/>
    <xf numFmtId="0" fontId="12" fillId="41" borderId="0" applyNumberFormat="0" applyBorder="0" applyAlignment="0" applyProtection="0"/>
    <xf numFmtId="0" fontId="12" fillId="41" borderId="0" applyNumberFormat="0" applyBorder="0" applyAlignment="0" applyProtection="0"/>
    <xf numFmtId="0" fontId="130" fillId="37" borderId="0" applyNumberFormat="0" applyBorder="0" applyAlignment="0" applyProtection="0"/>
    <xf numFmtId="0" fontId="130" fillId="37" borderId="0" applyNumberFormat="0" applyBorder="0" applyAlignment="0" applyProtection="0"/>
    <xf numFmtId="0" fontId="130" fillId="37" borderId="0" applyNumberFormat="0" applyBorder="0" applyAlignment="0" applyProtection="0"/>
    <xf numFmtId="0" fontId="130" fillId="37" borderId="0" applyNumberFormat="0" applyBorder="0" applyAlignment="0" applyProtection="0"/>
    <xf numFmtId="0" fontId="130" fillId="37" borderId="0" applyNumberFormat="0" applyBorder="0" applyAlignment="0" applyProtection="0"/>
    <xf numFmtId="0" fontId="130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25" borderId="0" applyNumberFormat="0" applyBorder="0" applyAlignment="0" applyProtection="0"/>
    <xf numFmtId="0" fontId="51" fillId="48" borderId="0" applyNumberFormat="0" applyBorder="0" applyAlignment="0" applyProtection="0"/>
    <xf numFmtId="0" fontId="12" fillId="29" borderId="0" applyNumberFormat="0" applyBorder="0" applyAlignment="0" applyProtection="0"/>
    <xf numFmtId="0" fontId="130" fillId="25" borderId="0" applyNumberFormat="0" applyBorder="0" applyAlignment="0" applyProtection="0"/>
    <xf numFmtId="0" fontId="130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1" borderId="0" applyNumberFormat="0" applyBorder="0" applyAlignment="0" applyProtection="0"/>
    <xf numFmtId="0" fontId="12" fillId="25" borderId="0" applyNumberFormat="0" applyBorder="0" applyAlignment="0" applyProtection="0"/>
    <xf numFmtId="0" fontId="130" fillId="21" borderId="0" applyNumberFormat="0" applyBorder="0" applyAlignment="0" applyProtection="0"/>
    <xf numFmtId="0" fontId="130" fillId="21" borderId="0" applyNumberFormat="0" applyBorder="0" applyAlignment="0" applyProtection="0"/>
    <xf numFmtId="0" fontId="130" fillId="21" borderId="0" applyNumberFormat="0" applyBorder="0" applyAlignment="0" applyProtection="0"/>
    <xf numFmtId="0" fontId="12" fillId="21" borderId="0" applyNumberFormat="0" applyBorder="0" applyAlignment="0" applyProtection="0"/>
    <xf numFmtId="0" fontId="130" fillId="21" borderId="0" applyNumberFormat="0" applyBorder="0" applyAlignment="0" applyProtection="0"/>
    <xf numFmtId="0" fontId="130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51" fillId="44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4" borderId="0" applyNumberFormat="0" applyBorder="0" applyAlignment="0" applyProtection="0"/>
    <xf numFmtId="39" fontId="76" fillId="0" borderId="0" applyFont="0" applyFill="0" applyBorder="0" applyAlignment="0" applyProtection="0"/>
    <xf numFmtId="265" fontId="90" fillId="0" borderId="0" applyFont="0" applyFill="0" applyBorder="0" applyAlignment="0" applyProtection="0">
      <alignment horizontal="right"/>
    </xf>
    <xf numFmtId="234" fontId="102" fillId="0" borderId="0" applyFont="0" applyFill="0" applyBorder="0" applyAlignment="0" applyProtection="0"/>
    <xf numFmtId="265" fontId="50" fillId="0" borderId="0" applyFont="0" applyFill="0" applyBorder="0" applyAlignment="0" applyProtection="0"/>
    <xf numFmtId="37" fontId="50" fillId="0" borderId="0" applyFont="0" applyFill="0" applyBorder="0" applyAlignment="0" applyProtection="0"/>
    <xf numFmtId="0" fontId="50" fillId="0" borderId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3" fillId="0" borderId="73" applyNumberFormat="0" applyFill="0" applyAlignment="0" applyProtection="0"/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264" fontId="50" fillId="0" borderId="0" applyFont="0" applyFill="0" applyBorder="0" applyAlignment="0" applyProtection="0"/>
    <xf numFmtId="0" fontId="127" fillId="0" borderId="0" applyNumberFormat="0" applyFill="0" applyBorder="0" applyProtection="0">
      <alignment vertical="top"/>
    </xf>
    <xf numFmtId="264" fontId="50" fillId="0" borderId="0" applyFont="0" applyFill="0" applyBorder="0" applyAlignment="0" applyProtection="0"/>
    <xf numFmtId="257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63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52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61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9" fontId="50" fillId="0" borderId="0" applyFont="0" applyFill="0" applyBorder="0" applyProtection="0">
      <alignment horizontal="right"/>
    </xf>
    <xf numFmtId="255" fontId="50" fillId="0" borderId="0" applyFont="0" applyFill="0" applyBorder="0" applyProtection="0">
      <alignment horizontal="right"/>
    </xf>
    <xf numFmtId="256" fontId="50" fillId="0" borderId="0" applyFont="0" applyFill="0" applyBorder="0" applyAlignment="0" applyProtection="0"/>
    <xf numFmtId="257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191" fontId="50" fillId="0" borderId="0" applyFont="0" applyFill="0" applyBorder="0" applyAlignment="0" applyProtection="0"/>
    <xf numFmtId="255" fontId="50" fillId="0" borderId="0" applyFont="0" applyFill="0" applyBorder="0" applyProtection="0">
      <alignment horizontal="right"/>
    </xf>
    <xf numFmtId="256" fontId="50" fillId="0" borderId="0" applyFont="0" applyFill="0" applyBorder="0" applyAlignment="0" applyProtection="0"/>
    <xf numFmtId="251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49" fontId="50" fillId="0" borderId="0" applyFont="0" applyFill="0" applyBorder="0" applyAlignment="0" applyProtection="0"/>
    <xf numFmtId="251" fontId="50" fillId="0" borderId="0" applyFont="0" applyFill="0" applyBorder="0" applyAlignment="0" applyProtection="0"/>
    <xf numFmtId="252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2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1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0" fontId="126" fillId="0" borderId="0" applyNumberFormat="0" applyFill="0" applyBorder="0" applyAlignment="0" applyProtection="0"/>
    <xf numFmtId="249" fontId="50" fillId="0" borderId="0" applyFon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248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6" fontId="125" fillId="0" borderId="0" applyFont="0" applyFill="0" applyBorder="0" applyAlignment="0" applyProtection="0"/>
    <xf numFmtId="0" fontId="50" fillId="0" borderId="0" applyFont="0" applyFill="0" applyBorder="0" applyAlignment="0" applyProtection="0"/>
    <xf numFmtId="240" fontId="50" fillId="0" borderId="0" applyFont="0" applyFill="0" applyBorder="0" applyAlignment="0" applyProtection="0"/>
    <xf numFmtId="239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44" fontId="12" fillId="0" borderId="0" applyFont="0" applyFill="0" applyBorder="0" applyAlignment="0" applyProtection="0"/>
    <xf numFmtId="224" fontId="50" fillId="0" borderId="0"/>
    <xf numFmtId="229" fontId="69" fillId="0" borderId="0" applyFont="0" applyFill="0" applyBorder="0" applyAlignment="0" applyProtection="0"/>
    <xf numFmtId="193" fontId="50" fillId="0" borderId="0"/>
    <xf numFmtId="193" fontId="50" fillId="0" borderId="0"/>
    <xf numFmtId="0" fontId="49" fillId="0" borderId="0"/>
    <xf numFmtId="43" fontId="12" fillId="0" borderId="0" applyFont="0" applyFill="0" applyBorder="0" applyAlignment="0" applyProtection="0"/>
    <xf numFmtId="0" fontId="53" fillId="58" borderId="0" applyNumberFormat="0" applyBorder="0" applyAlignment="0" applyProtection="0"/>
    <xf numFmtId="0" fontId="47" fillId="35" borderId="0" applyNumberFormat="0" applyBorder="0" applyAlignment="0" applyProtection="0"/>
    <xf numFmtId="0" fontId="53" fillId="58" borderId="0" applyNumberFormat="0" applyBorder="0" applyAlignment="0" applyProtection="0"/>
    <xf numFmtId="0" fontId="47" fillId="35" borderId="0" applyNumberFormat="0" applyBorder="0" applyAlignment="0" applyProtection="0"/>
    <xf numFmtId="0" fontId="167" fillId="19" borderId="43" applyNumberFormat="0" applyFont="0" applyAlignment="0" applyProtection="0"/>
    <xf numFmtId="0" fontId="130" fillId="0" borderId="0"/>
    <xf numFmtId="0" fontId="130" fillId="0" borderId="0"/>
    <xf numFmtId="0" fontId="130" fillId="0" borderId="0"/>
    <xf numFmtId="0" fontId="12" fillId="0" borderId="0"/>
    <xf numFmtId="0" fontId="130" fillId="0" borderId="0"/>
    <xf numFmtId="291" fontId="50" fillId="0" borderId="0"/>
    <xf numFmtId="164" fontId="51" fillId="0" borderId="0" applyFont="0" applyFill="0" applyBorder="0" applyAlignment="0" applyProtection="0"/>
    <xf numFmtId="191" fontId="74" fillId="0" borderId="0" applyFont="0" applyFill="0" applyBorder="0" applyAlignment="0" applyProtection="0"/>
    <xf numFmtId="0" fontId="50" fillId="0" borderId="0" applyBorder="0"/>
    <xf numFmtId="289" fontId="144" fillId="0" borderId="0" applyFont="0" applyFill="0" applyBorder="0" applyAlignment="0" applyProtection="0">
      <alignment horizontal="right"/>
    </xf>
    <xf numFmtId="287" fontId="50" fillId="69" borderId="0" applyFont="0" applyFill="0" applyBorder="0" applyAlignment="0"/>
    <xf numFmtId="0" fontId="47" fillId="36" borderId="0" applyNumberFormat="0" applyBorder="0" applyAlignment="0" applyProtection="0"/>
    <xf numFmtId="0" fontId="47" fillId="32" borderId="0" applyNumberFormat="0" applyBorder="0" applyAlignment="0" applyProtection="0"/>
    <xf numFmtId="0" fontId="130" fillId="42" borderId="0" applyNumberFormat="0" applyBorder="0" applyAlignment="0" applyProtection="0"/>
    <xf numFmtId="0" fontId="51" fillId="45" borderId="0" applyNumberFormat="0" applyBorder="0" applyAlignment="0" applyProtection="0"/>
    <xf numFmtId="0" fontId="12" fillId="37" borderId="0" applyNumberFormat="0" applyBorder="0" applyAlignment="0" applyProtection="0"/>
    <xf numFmtId="0" fontId="130" fillId="37" borderId="0" applyNumberFormat="0" applyBorder="0" applyAlignment="0" applyProtection="0"/>
    <xf numFmtId="0" fontId="130" fillId="37" borderId="0" applyNumberFormat="0" applyBorder="0" applyAlignment="0" applyProtection="0"/>
    <xf numFmtId="0" fontId="130" fillId="37" borderId="0" applyNumberFormat="0" applyBorder="0" applyAlignment="0" applyProtection="0"/>
    <xf numFmtId="0" fontId="12" fillId="37" borderId="0" applyNumberFormat="0" applyBorder="0" applyAlignment="0" applyProtection="0"/>
    <xf numFmtId="0" fontId="12" fillId="29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25" borderId="0" applyNumberFormat="0" applyBorder="0" applyAlignment="0" applyProtection="0"/>
    <xf numFmtId="0" fontId="12" fillId="29" borderId="0" applyNumberFormat="0" applyBorder="0" applyAlignment="0" applyProtection="0"/>
    <xf numFmtId="0" fontId="51" fillId="48" borderId="0" applyNumberFormat="0" applyBorder="0" applyAlignment="0" applyProtection="0"/>
    <xf numFmtId="0" fontId="130" fillId="25" borderId="0" applyNumberFormat="0" applyBorder="0" applyAlignment="0" applyProtection="0"/>
    <xf numFmtId="0" fontId="130" fillId="25" borderId="0" applyNumberFormat="0" applyBorder="0" applyAlignment="0" applyProtection="0"/>
    <xf numFmtId="0" fontId="12" fillId="25" borderId="0" applyNumberFormat="0" applyBorder="0" applyAlignment="0" applyProtection="0"/>
    <xf numFmtId="0" fontId="51" fillId="46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30" fillId="21" borderId="0" applyNumberFormat="0" applyBorder="0" applyAlignment="0" applyProtection="0"/>
    <xf numFmtId="0" fontId="130" fillId="21" borderId="0" applyNumberFormat="0" applyBorder="0" applyAlignment="0" applyProtection="0"/>
    <xf numFmtId="0" fontId="130" fillId="21" borderId="0" applyNumberFormat="0" applyBorder="0" applyAlignment="0" applyProtection="0"/>
    <xf numFmtId="0" fontId="51" fillId="44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10" fontId="94" fillId="0" borderId="0" applyFont="0" applyFill="0" applyBorder="0" applyAlignment="0" applyProtection="0"/>
    <xf numFmtId="267" fontId="94" fillId="0" borderId="0" applyFont="0" applyFill="0" applyBorder="0" applyAlignment="0" applyProtection="0"/>
    <xf numFmtId="39" fontId="102" fillId="0" borderId="0" applyFont="0" applyFill="0" applyBorder="0" applyAlignment="0" applyProtection="0"/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8" fillId="0" borderId="74" applyNumberFormat="0" applyFill="0" applyProtection="0">
      <alignment horizontal="center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264" fontId="50" fillId="0" borderId="0" applyFont="0" applyFill="0" applyBorder="0" applyAlignment="0" applyProtection="0"/>
    <xf numFmtId="264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52" fontId="50" fillId="0" borderId="0" applyFont="0" applyFill="0" applyBorder="0" applyAlignment="0" applyProtection="0"/>
    <xf numFmtId="262" fontId="50" fillId="0" borderId="0" applyFont="0" applyFill="0" applyBorder="0" applyAlignment="0" applyProtection="0"/>
    <xf numFmtId="255" fontId="50" fillId="0" borderId="0" applyFont="0" applyFill="0" applyBorder="0" applyProtection="0">
      <alignment horizontal="right"/>
    </xf>
    <xf numFmtId="260" fontId="50" fillId="0" borderId="0" applyFont="0" applyFill="0" applyBorder="0" applyProtection="0">
      <alignment horizontal="right"/>
    </xf>
    <xf numFmtId="257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7" fontId="50" fillId="0" borderId="0" applyFont="0" applyFill="0" applyBorder="0" applyAlignment="0" applyProtection="0"/>
    <xf numFmtId="255" fontId="50" fillId="0" borderId="0" applyFont="0" applyFill="0" applyBorder="0" applyProtection="0">
      <alignment horizontal="right"/>
    </xf>
    <xf numFmtId="240" fontId="50" fillId="0" borderId="0" applyFont="0" applyFill="0" applyBorder="0" applyAlignment="0" applyProtection="0"/>
    <xf numFmtId="257" fontId="50" fillId="0" borderId="0" applyFont="0" applyFill="0" applyBorder="0" applyAlignment="0" applyProtection="0"/>
    <xf numFmtId="256" fontId="50" fillId="0" borderId="0" applyFont="0" applyFill="0" applyBorder="0" applyAlignment="0" applyProtection="0"/>
    <xf numFmtId="251" fontId="50" fillId="0" borderId="0" applyFont="0" applyFill="0" applyBorder="0" applyAlignment="0" applyProtection="0"/>
    <xf numFmtId="251" fontId="50" fillId="0" borderId="0" applyFont="0" applyFill="0" applyBorder="0" applyAlignment="0" applyProtection="0"/>
    <xf numFmtId="255" fontId="50" fillId="0" borderId="0" applyFont="0" applyFill="0" applyBorder="0" applyProtection="0">
      <alignment horizontal="right"/>
    </xf>
    <xf numFmtId="250" fontId="50" fillId="0" borderId="0" applyFont="0" applyFill="0" applyBorder="0" applyAlignment="0" applyProtection="0"/>
    <xf numFmtId="253" fontId="50" fillId="0" borderId="0" applyFont="0" applyFill="0" applyBorder="0" applyAlignment="0" applyProtection="0"/>
    <xf numFmtId="251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2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50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0" fontId="126" fillId="0" borderId="0" applyNumberFormat="0" applyFill="0" applyBorder="0" applyAlignment="0" applyProtection="0"/>
    <xf numFmtId="249" fontId="50" fillId="0" borderId="0" applyFon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243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46" fontId="50" fillId="0" borderId="0" applyFont="0" applyFill="0" applyBorder="0" applyAlignment="0" applyProtection="0"/>
    <xf numFmtId="243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9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233" fontId="50" fillId="0" borderId="0" applyFont="0" applyFill="0" applyBorder="0" applyAlignment="0" applyProtection="0"/>
    <xf numFmtId="237" fontId="50" fillId="0" borderId="0" applyFont="0" applyFill="0" applyBorder="0" applyAlignment="0" applyProtection="0"/>
    <xf numFmtId="236" fontId="50" fillId="0" borderId="0" applyFont="0" applyFill="0" applyBorder="0" applyAlignment="0" applyProtection="0"/>
    <xf numFmtId="235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224" fontId="50" fillId="0" borderId="0"/>
    <xf numFmtId="230" fontId="50" fillId="0" borderId="0" applyFont="0" applyFill="0" applyBorder="0" applyAlignment="0" applyProtection="0"/>
    <xf numFmtId="225" fontId="90" fillId="0" borderId="0" applyFont="0" applyFill="0" applyBorder="0" applyAlignment="0" applyProtection="0"/>
    <xf numFmtId="223" fontId="50" fillId="0" borderId="0"/>
    <xf numFmtId="0" fontId="50" fillId="0" borderId="0"/>
    <xf numFmtId="0" fontId="47" fillId="31" borderId="0" applyNumberFormat="0" applyBorder="0" applyAlignment="0" applyProtection="0"/>
    <xf numFmtId="0" fontId="50" fillId="0" borderId="0">
      <alignment horizontal="centerContinuous" vertical="justify"/>
    </xf>
    <xf numFmtId="0" fontId="47" fillId="31" borderId="0" applyNumberFormat="0" applyBorder="0" applyAlignment="0" applyProtection="0"/>
    <xf numFmtId="0" fontId="50" fillId="0" borderId="76">
      <alignment horizontal="left"/>
      <protection locked="0"/>
    </xf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297" fontId="160" fillId="0" borderId="0"/>
    <xf numFmtId="234" fontId="50" fillId="0" borderId="0" applyFont="0" applyFill="0" applyBorder="0" applyAlignment="0" applyProtection="0"/>
    <xf numFmtId="234" fontId="50" fillId="0" borderId="0" applyFont="0" applyFill="0" applyBorder="0" applyAlignment="0" applyProtection="0"/>
    <xf numFmtId="0" fontId="131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226" fontId="159" fillId="0" borderId="81" applyFill="0" applyBorder="0" applyAlignment="0" applyProtection="0"/>
    <xf numFmtId="280" fontId="16" fillId="69" borderId="0" applyFont="0" applyBorder="0" applyAlignment="0" applyProtection="0">
      <protection locked="0"/>
    </xf>
    <xf numFmtId="0" fontId="53" fillId="53" borderId="0" applyNumberFormat="0" applyBorder="0" applyAlignment="0" applyProtection="0"/>
    <xf numFmtId="0" fontId="47" fillId="31" borderId="0" applyNumberFormat="0" applyBorder="0" applyAlignment="0" applyProtection="0"/>
    <xf numFmtId="295" fontId="16" fillId="0" borderId="0"/>
    <xf numFmtId="234" fontId="102" fillId="0" borderId="0" applyNumberFormat="0" applyFill="0" applyBorder="0" applyAlignment="0" applyProtection="0"/>
    <xf numFmtId="0" fontId="47" fillId="31" borderId="0" applyNumberFormat="0" applyBorder="0" applyAlignment="0" applyProtection="0"/>
    <xf numFmtId="0" fontId="130" fillId="0" borderId="0"/>
    <xf numFmtId="0" fontId="47" fillId="27" borderId="0" applyNumberFormat="0" applyBorder="0" applyAlignment="0" applyProtection="0"/>
    <xf numFmtId="293" fontId="50" fillId="0" borderId="0"/>
    <xf numFmtId="10" fontId="16" fillId="79" borderId="7" applyNumberFormat="0" applyBorder="0" applyAlignment="0" applyProtection="0"/>
    <xf numFmtId="294" fontId="50" fillId="0" borderId="0"/>
    <xf numFmtId="292" fontId="50" fillId="0" borderId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131" fillId="27" borderId="0" applyNumberFormat="0" applyBorder="0" applyAlignment="0" applyProtection="0"/>
    <xf numFmtId="291" fontId="50" fillId="0" borderId="0"/>
    <xf numFmtId="234" fontId="102" fillId="0" borderId="0" applyNumberFormat="0" applyFill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53" fillId="47" borderId="0" applyNumberFormat="0" applyBorder="0" applyAlignment="0" applyProtection="0"/>
    <xf numFmtId="0" fontId="47" fillId="27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130" fillId="42" borderId="0" applyNumberFormat="0" applyBorder="0" applyAlignment="0" applyProtection="0"/>
    <xf numFmtId="191" fontId="74" fillId="0" borderId="0" applyFont="0" applyFill="0" applyBorder="0" applyAlignment="0" applyProtection="0"/>
    <xf numFmtId="0" fontId="127" fillId="0" borderId="0" applyNumberFormat="0" applyFill="0" applyBorder="0" applyProtection="0">
      <alignment vertical="top"/>
    </xf>
    <xf numFmtId="0" fontId="40" fillId="16" borderId="39" applyNumberFormat="0" applyAlignment="0" applyProtection="0"/>
    <xf numFmtId="9" fontId="51" fillId="0" borderId="0" applyFont="0" applyFill="0" applyBorder="0" applyAlignment="0" applyProtection="0"/>
    <xf numFmtId="191" fontId="7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130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94" fontId="50" fillId="0" borderId="0">
      <alignment horizontal="right"/>
    </xf>
    <xf numFmtId="0" fontId="117" fillId="0" borderId="0"/>
    <xf numFmtId="0" fontId="117" fillId="0" borderId="0"/>
    <xf numFmtId="0" fontId="117" fillId="0" borderId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91" fontId="74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267" fontId="16" fillId="0" borderId="0"/>
    <xf numFmtId="0" fontId="47" fillId="40" borderId="0" applyNumberFormat="0" applyBorder="0" applyAlignment="0" applyProtection="0"/>
    <xf numFmtId="0" fontId="53" fillId="57" borderId="0" applyNumberFormat="0" applyBorder="0" applyAlignment="0" applyProtection="0"/>
    <xf numFmtId="0" fontId="47" fillId="24" borderId="0" applyNumberFormat="0" applyBorder="0" applyAlignment="0" applyProtection="0"/>
    <xf numFmtId="0" fontId="47" fillId="35" borderId="0" applyNumberFormat="0" applyBorder="0" applyAlignment="0" applyProtection="0"/>
    <xf numFmtId="191" fontId="74" fillId="0" borderId="0" applyFont="0" applyFill="0" applyBorder="0" applyAlignment="0" applyProtection="0"/>
    <xf numFmtId="191" fontId="74" fillId="0" borderId="0" applyFont="0" applyFill="0" applyBorder="0" applyAlignment="0" applyProtection="0"/>
    <xf numFmtId="0" fontId="51" fillId="53" borderId="0" applyNumberFormat="0" applyBorder="0" applyAlignment="0" applyProtection="0"/>
    <xf numFmtId="0" fontId="51" fillId="45" borderId="0" applyNumberFormat="0" applyBorder="0" applyAlignment="0" applyProtection="0"/>
    <xf numFmtId="191" fontId="74" fillId="0" borderId="0" applyFont="0" applyFill="0" applyBorder="0" applyAlignment="0" applyProtection="0"/>
    <xf numFmtId="0" fontId="47" fillId="32" borderId="0" applyNumberFormat="0" applyBorder="0" applyAlignment="0" applyProtection="0"/>
    <xf numFmtId="0" fontId="51" fillId="47" borderId="0" applyNumberFormat="0" applyBorder="0" applyAlignment="0" applyProtection="0"/>
    <xf numFmtId="0" fontId="47" fillId="36" borderId="0" applyNumberFormat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47" fillId="36" borderId="0" applyNumberFormat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40" fontId="168" fillId="79" borderId="0">
      <alignment horizontal="right"/>
    </xf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167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0" fontId="51" fillId="19" borderId="43" applyNumberFormat="0" applyFont="0" applyAlignment="0" applyProtection="0"/>
    <xf numFmtId="4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4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0" fontId="47" fillId="24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5" borderId="0" applyNumberFormat="0" applyBorder="0" applyAlignment="0" applyProtection="0"/>
    <xf numFmtId="0" fontId="51" fillId="45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7" borderId="0" applyNumberFormat="0" applyBorder="0" applyAlignment="0" applyProtection="0"/>
    <xf numFmtId="0" fontId="51" fillId="45" borderId="0" applyNumberFormat="0" applyBorder="0" applyAlignment="0" applyProtection="0"/>
    <xf numFmtId="0" fontId="12" fillId="41" borderId="0" applyNumberFormat="0" applyBorder="0" applyAlignment="0" applyProtection="0"/>
    <xf numFmtId="0" fontId="130" fillId="41" borderId="0" applyNumberFormat="0" applyBorder="0" applyAlignment="0" applyProtection="0"/>
    <xf numFmtId="0" fontId="12" fillId="41" borderId="0" applyNumberFormat="0" applyBorder="0" applyAlignment="0" applyProtection="0"/>
    <xf numFmtId="0" fontId="12" fillId="41" borderId="0" applyNumberFormat="0" applyBorder="0" applyAlignment="0" applyProtection="0"/>
    <xf numFmtId="0" fontId="12" fillId="41" borderId="0" applyNumberFormat="0" applyBorder="0" applyAlignment="0" applyProtection="0"/>
    <xf numFmtId="0" fontId="12" fillId="41" borderId="0" applyNumberFormat="0" applyBorder="0" applyAlignment="0" applyProtection="0"/>
    <xf numFmtId="0" fontId="12" fillId="37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51" fillId="51" borderId="0" applyNumberFormat="0" applyBorder="0" applyAlignment="0" applyProtection="0"/>
    <xf numFmtId="0" fontId="51" fillId="48" borderId="0" applyNumberFormat="0" applyBorder="0" applyAlignment="0" applyProtection="0"/>
    <xf numFmtId="0" fontId="51" fillId="48" borderId="0" applyNumberFormat="0" applyBorder="0" applyAlignment="0" applyProtection="0"/>
    <xf numFmtId="9" fontId="94" fillId="0" borderId="0" applyFont="0" applyFill="0" applyBorder="0" applyAlignment="0" applyProtection="0"/>
    <xf numFmtId="0" fontId="123" fillId="0" borderId="0" applyNumberFormat="0" applyFill="0" applyBorder="0" applyAlignment="0" applyProtection="0"/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9" fillId="0" borderId="0" applyNumberFormat="0" applyFill="0" applyBorder="0" applyProtection="0">
      <alignment horizontal="centerContinuous"/>
    </xf>
    <xf numFmtId="0" fontId="128" fillId="0" borderId="0" applyNumberFormat="0" applyFill="0" applyBorder="0" applyProtection="0">
      <alignment horizontal="left"/>
    </xf>
    <xf numFmtId="0" fontId="128" fillId="0" borderId="0" applyNumberFormat="0" applyFill="0" applyBorder="0" applyProtection="0">
      <alignment horizontal="left"/>
    </xf>
    <xf numFmtId="0" fontId="127" fillId="0" borderId="0" applyNumberFormat="0" applyFill="0" applyBorder="0" applyProtection="0">
      <alignment vertical="top"/>
    </xf>
    <xf numFmtId="0" fontId="127" fillId="0" borderId="0" applyNumberFormat="0" applyFill="0" applyBorder="0" applyProtection="0">
      <alignment vertical="top"/>
    </xf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267" fontId="177" fillId="0" borderId="0" applyNumberFormat="0" applyFill="0" applyBorder="0" applyAlignment="0" applyProtection="0">
      <alignment horizontal="left"/>
    </xf>
    <xf numFmtId="0" fontId="50" fillId="0" borderId="76" applyNumberFormat="0" applyFill="0" applyBorder="0" applyAlignment="0" applyProtection="0">
      <protection hidden="1"/>
    </xf>
    <xf numFmtId="37" fontId="178" fillId="0" borderId="0" applyNumberFormat="0" applyFill="0" applyBorder="0" applyAlignment="0" applyProtection="0"/>
    <xf numFmtId="0" fontId="16" fillId="0" borderId="0">
      <alignment horizontal="right"/>
    </xf>
    <xf numFmtId="0" fontId="41" fillId="17" borderId="40" applyNumberFormat="0" applyAlignment="0" applyProtection="0"/>
    <xf numFmtId="0" fontId="41" fillId="17" borderId="40" applyNumberFormat="0" applyAlignment="0" applyProtection="0"/>
    <xf numFmtId="0" fontId="65" fillId="66" borderId="59" applyNumberFormat="0" applyAlignment="0" applyProtection="0"/>
    <xf numFmtId="0" fontId="41" fillId="17" borderId="40" applyNumberFormat="0" applyAlignment="0" applyProtection="0"/>
    <xf numFmtId="0" fontId="41" fillId="17" borderId="40" applyNumberFormat="0" applyAlignment="0" applyProtection="0"/>
    <xf numFmtId="0" fontId="65" fillId="66" borderId="59" applyNumberFormat="0" applyAlignment="0" applyProtection="0"/>
    <xf numFmtId="0" fontId="179" fillId="17" borderId="40" applyNumberFormat="0" applyAlignment="0" applyProtection="0"/>
    <xf numFmtId="0" fontId="41" fillId="17" borderId="40" applyNumberFormat="0" applyAlignment="0" applyProtection="0"/>
    <xf numFmtId="0" fontId="179" fillId="17" borderId="40" applyNumberFormat="0" applyAlignment="0" applyProtection="0"/>
    <xf numFmtId="0" fontId="41" fillId="17" borderId="40" applyNumberFormat="0" applyAlignment="0" applyProtection="0"/>
    <xf numFmtId="0" fontId="41" fillId="17" borderId="40" applyNumberFormat="0" applyAlignment="0" applyProtection="0"/>
    <xf numFmtId="0" fontId="41" fillId="17" borderId="40" applyNumberFormat="0" applyAlignment="0" applyProtection="0"/>
    <xf numFmtId="0" fontId="41" fillId="17" borderId="40" applyNumberFormat="0" applyAlignment="0" applyProtection="0"/>
    <xf numFmtId="0" fontId="50" fillId="0" borderId="82">
      <alignment vertical="center"/>
    </xf>
    <xf numFmtId="38" fontId="7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0" fontId="50" fillId="0" borderId="0"/>
    <xf numFmtId="216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233" fontId="90" fillId="0" borderId="0" applyFont="0" applyFill="0" applyBorder="0" applyProtection="0">
      <alignment horizontal="right"/>
    </xf>
    <xf numFmtId="0" fontId="90" fillId="0" borderId="0" applyFont="0" applyFill="0" applyBorder="0" applyProtection="0">
      <alignment horizontal="right"/>
    </xf>
    <xf numFmtId="233" fontId="90" fillId="0" borderId="0" applyFont="0" applyFill="0" applyBorder="0" applyProtection="0">
      <alignment horizontal="right"/>
    </xf>
    <xf numFmtId="0" fontId="69" fillId="80" borderId="0" applyNumberFormat="0" applyFont="0" applyBorder="0" applyAlignment="0" applyProtection="0"/>
    <xf numFmtId="0" fontId="69" fillId="80" borderId="0" applyNumberFormat="0" applyFont="0" applyBorder="0" applyAlignment="0" applyProtection="0"/>
    <xf numFmtId="0" fontId="180" fillId="0" borderId="0" applyFill="0" applyBorder="0" applyProtection="0">
      <alignment horizontal="center" vertical="center"/>
    </xf>
    <xf numFmtId="0" fontId="180" fillId="0" borderId="0" applyFill="0" applyBorder="0" applyProtection="0"/>
    <xf numFmtId="0" fontId="124" fillId="0" borderId="0" applyFill="0" applyBorder="0" applyProtection="0">
      <alignment horizontal="left"/>
    </xf>
    <xf numFmtId="0" fontId="181" fillId="0" borderId="0" applyFill="0" applyBorder="0" applyProtection="0">
      <alignment horizontal="left" vertical="top"/>
    </xf>
    <xf numFmtId="0" fontId="6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9" fillId="0" borderId="51" applyNumberFormat="0" applyFill="0" applyAlignment="0" applyProtection="0"/>
    <xf numFmtId="0" fontId="60" fillId="0" borderId="53" applyNumberFormat="0" applyFill="0" applyAlignment="0" applyProtection="0"/>
    <xf numFmtId="0" fontId="61" fillId="0" borderId="55" applyNumberFormat="0" applyFill="0" applyAlignment="0" applyProtection="0"/>
    <xf numFmtId="0" fontId="61" fillId="0" borderId="0" applyNumberFormat="0" applyFill="0" applyBorder="0" applyAlignment="0" applyProtection="0"/>
    <xf numFmtId="0" fontId="67" fillId="0" borderId="60" applyNumberFormat="0" applyFill="0" applyAlignment="0" applyProtection="0"/>
    <xf numFmtId="20" fontId="71" fillId="0" borderId="0"/>
    <xf numFmtId="165" fontId="50" fillId="0" borderId="0" applyFont="0" applyFill="0" applyBorder="0" applyAlignment="0" applyProtection="0"/>
    <xf numFmtId="211" fontId="90" fillId="0" borderId="0" applyFont="0" applyFill="0" applyBorder="0" applyProtection="0">
      <alignment horizontal="right"/>
    </xf>
    <xf numFmtId="44" fontId="50" fillId="0" borderId="0" applyFont="0" applyFill="0" applyBorder="0" applyAlignment="0" applyProtection="0"/>
    <xf numFmtId="0" fontId="50" fillId="0" borderId="0"/>
    <xf numFmtId="0" fontId="12" fillId="0" borderId="0"/>
    <xf numFmtId="0" fontId="50" fillId="0" borderId="0" applyFont="0" applyFill="0" applyBorder="0" applyAlignment="0" applyProtection="0"/>
    <xf numFmtId="219" fontId="50" fillId="0" borderId="0" applyFont="0" applyFill="0" applyBorder="0" applyAlignment="0" applyProtection="0"/>
    <xf numFmtId="288" fontId="50" fillId="69" borderId="7" applyNumberFormat="0" applyFont="0" applyAlignment="0"/>
    <xf numFmtId="234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307" fontId="50" fillId="0" borderId="0" applyFont="0" applyFill="0" applyBorder="0" applyAlignment="0"/>
    <xf numFmtId="308" fontId="50" fillId="0" borderId="0" applyFill="0" applyBorder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12" fillId="0" borderId="0"/>
    <xf numFmtId="0" fontId="50" fillId="0" borderId="0"/>
    <xf numFmtId="43" fontId="12" fillId="0" borderId="0" applyFont="0" applyFill="0" applyBorder="0" applyAlignment="0" applyProtection="0"/>
    <xf numFmtId="0" fontId="50" fillId="0" borderId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0" borderId="0"/>
    <xf numFmtId="4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52" fillId="0" borderId="0"/>
    <xf numFmtId="43" fontId="52" fillId="0" borderId="0" applyFont="0" applyFill="0" applyBorder="0" applyAlignment="0" applyProtection="0"/>
    <xf numFmtId="0" fontId="49" fillId="0" borderId="0"/>
    <xf numFmtId="43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40" fontId="71" fillId="0" borderId="0" applyFont="0" applyFill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52" borderId="0" applyNumberFormat="0" applyBorder="0" applyAlignment="0" applyProtection="0"/>
    <xf numFmtId="0" fontId="51" fillId="54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49" borderId="0" applyNumberFormat="0" applyBorder="0" applyAlignment="0" applyProtection="0"/>
    <xf numFmtId="0" fontId="73" fillId="0" borderId="0" applyNumberFormat="0" applyFill="0" applyBorder="0" applyAlignment="0" applyProtection="0"/>
    <xf numFmtId="199" fontId="74" fillId="0" borderId="0" applyFill="0" applyBorder="0" applyAlignment="0"/>
    <xf numFmtId="200" fontId="76" fillId="0" borderId="0" applyFont="0" applyFill="0" applyBorder="0" applyAlignment="0" applyProtection="0"/>
    <xf numFmtId="204" fontId="78" fillId="0" borderId="0" applyFont="0" applyFill="0" applyBorder="0" applyAlignment="0" applyProtection="0"/>
    <xf numFmtId="205" fontId="79" fillId="0" borderId="0" applyFont="0" applyFill="0" applyBorder="0" applyAlignment="0" applyProtection="0"/>
    <xf numFmtId="0" fontId="62" fillId="51" borderId="47" applyNumberFormat="0" applyAlignment="0" applyProtection="0"/>
    <xf numFmtId="0" fontId="50" fillId="0" borderId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38" fontId="16" fillId="2" borderId="0" applyNumberFormat="0" applyBorder="0" applyAlignment="0" applyProtection="0"/>
    <xf numFmtId="10" fontId="16" fillId="69" borderId="7" applyNumberFormat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208" fontId="90" fillId="0" borderId="0" applyFont="0" applyFill="0" applyBorder="0" applyAlignment="0" applyProtection="0"/>
    <xf numFmtId="210" fontId="91" fillId="0" borderId="0" applyFont="0" applyFill="0" applyBorder="0" applyAlignment="0" applyProtection="0"/>
    <xf numFmtId="212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227" fontId="16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227" fontId="16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298" fontId="144" fillId="0" borderId="0" applyFont="0" applyFill="0" applyBorder="0" applyProtection="0">
      <alignment horizontal="right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49" borderId="58" applyNumberFormat="0" applyFont="0" applyAlignment="0" applyProtection="0"/>
    <xf numFmtId="9" fontId="91" fillId="0" borderId="0" applyFont="0" applyFill="0" applyBorder="0" applyAlignment="0" applyProtection="0"/>
    <xf numFmtId="193" fontId="9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61" applyNumberFormat="0" applyFill="0" applyAlignment="0" applyProtection="0"/>
    <xf numFmtId="0" fontId="68" fillId="0" borderId="0" applyNumberFormat="0" applyFill="0" applyBorder="0" applyAlignment="0" applyProtection="0"/>
    <xf numFmtId="0" fontId="12" fillId="0" borderId="0"/>
    <xf numFmtId="164" fontId="12" fillId="0" borderId="0" applyFont="0" applyFill="0" applyBorder="0" applyAlignment="0" applyProtection="0"/>
    <xf numFmtId="164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5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52" fillId="0" borderId="0"/>
    <xf numFmtId="165" fontId="12" fillId="0" borderId="0" applyFont="0" applyFill="0" applyBorder="0" applyAlignment="0" applyProtection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208" fontId="90" fillId="0" borderId="0" applyFont="0" applyFill="0" applyBorder="0" applyAlignment="0" applyProtection="0"/>
    <xf numFmtId="298" fontId="144" fillId="0" borderId="0" applyFont="0" applyFill="0" applyBorder="0" applyProtection="0">
      <alignment horizontal="right"/>
    </xf>
    <xf numFmtId="303" fontId="69" fillId="0" borderId="0" applyFont="0" applyFill="0" applyBorder="0" applyAlignment="0" applyProtection="0"/>
    <xf numFmtId="183" fontId="69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298" fontId="144" fillId="0" borderId="0" applyFont="0" applyFill="0" applyBorder="0" applyProtection="0">
      <alignment horizontal="right"/>
    </xf>
    <xf numFmtId="303" fontId="69" fillId="0" borderId="0" applyFont="0" applyFill="0" applyBorder="0" applyAlignment="0" applyProtection="0"/>
    <xf numFmtId="183" fontId="69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303" fontId="69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183" fontId="69" fillId="0" borderId="0" applyFont="0" applyFill="0" applyBorder="0" applyAlignment="0" applyProtection="0"/>
    <xf numFmtId="303" fontId="69" fillId="0" borderId="0" applyFont="0" applyFill="0" applyBorder="0" applyAlignment="0" applyProtection="0"/>
    <xf numFmtId="298" fontId="144" fillId="0" borderId="0" applyFont="0" applyFill="0" applyBorder="0" applyProtection="0">
      <alignment horizontal="right"/>
    </xf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183" fontId="69" fillId="0" borderId="0" applyFont="0" applyFill="0" applyBorder="0" applyAlignment="0" applyProtection="0"/>
    <xf numFmtId="303" fontId="69" fillId="0" borderId="0" applyFont="0" applyFill="0" applyBorder="0" applyAlignment="0" applyProtection="0"/>
    <xf numFmtId="298" fontId="144" fillId="0" borderId="0" applyFont="0" applyFill="0" applyBorder="0" applyProtection="0">
      <alignment horizontal="right"/>
    </xf>
    <xf numFmtId="227" fontId="16" fillId="0" borderId="0"/>
    <xf numFmtId="227" fontId="16" fillId="0" borderId="0"/>
    <xf numFmtId="227" fontId="16" fillId="0" borderId="0"/>
    <xf numFmtId="227" fontId="16" fillId="0" borderId="0"/>
    <xf numFmtId="298" fontId="144" fillId="0" borderId="0" applyFont="0" applyFill="0" applyBorder="0" applyProtection="0">
      <alignment horizontal="right"/>
    </xf>
    <xf numFmtId="183" fontId="69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208" fontId="90" fillId="0" borderId="0" applyFont="0" applyFill="0" applyBorder="0" applyAlignment="0" applyProtection="0"/>
    <xf numFmtId="208" fontId="90" fillId="0" borderId="0" applyFont="0" applyFill="0" applyBorder="0" applyAlignment="0" applyProtection="0"/>
    <xf numFmtId="208" fontId="90" fillId="0" borderId="0" applyFont="0" applyFill="0" applyBorder="0" applyAlignment="0" applyProtection="0"/>
    <xf numFmtId="208" fontId="90" fillId="0" borderId="0" applyFont="0" applyFill="0" applyBorder="0" applyAlignment="0" applyProtection="0"/>
    <xf numFmtId="208" fontId="9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46" fillId="0" borderId="0" applyNumberFormat="0" applyFill="0" applyBorder="0" applyAlignment="0" applyProtection="0"/>
    <xf numFmtId="0" fontId="12" fillId="19" borderId="43" applyNumberFormat="0" applyFont="0" applyAlignment="0" applyProtection="0"/>
    <xf numFmtId="0" fontId="45" fillId="0" borderId="0" applyNumberFormat="0" applyFill="0" applyBorder="0" applyAlignment="0" applyProtection="0"/>
    <xf numFmtId="0" fontId="44" fillId="18" borderId="42" applyNumberFormat="0" applyAlignment="0" applyProtection="0"/>
    <xf numFmtId="0" fontId="43" fillId="0" borderId="41" applyNumberFormat="0" applyFill="0" applyAlignment="0" applyProtection="0"/>
    <xf numFmtId="0" fontId="42" fillId="17" borderId="39" applyNumberFormat="0" applyAlignment="0" applyProtection="0"/>
    <xf numFmtId="0" fontId="39" fillId="15" borderId="0" applyNumberFormat="0" applyBorder="0" applyAlignment="0" applyProtection="0"/>
    <xf numFmtId="0" fontId="37" fillId="13" borderId="0" applyNumberFormat="0" applyBorder="0" applyAlignment="0" applyProtection="0"/>
    <xf numFmtId="0" fontId="36" fillId="0" borderId="38" applyNumberFormat="0" applyFill="0" applyAlignment="0" applyProtection="0"/>
    <xf numFmtId="0" fontId="35" fillId="0" borderId="37" applyNumberFormat="0" applyFill="0" applyAlignment="0" applyProtection="0"/>
    <xf numFmtId="0" fontId="34" fillId="0" borderId="36" applyNumberFormat="0" applyFill="0" applyAlignment="0" applyProtection="0"/>
    <xf numFmtId="0" fontId="33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0" fontId="36" fillId="0" borderId="0" applyNumberFormat="0" applyFill="0" applyBorder="0" applyAlignment="0" applyProtection="0"/>
    <xf numFmtId="9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12" fillId="0" borderId="0"/>
    <xf numFmtId="0" fontId="49" fillId="0" borderId="0"/>
    <xf numFmtId="0" fontId="50" fillId="0" borderId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165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0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1" borderId="0" applyNumberFormat="0" applyBorder="0" applyAlignment="0" applyProtection="0"/>
    <xf numFmtId="0" fontId="50" fillId="0" borderId="0"/>
    <xf numFmtId="0" fontId="50" fillId="0" borderId="0"/>
    <xf numFmtId="0" fontId="51" fillId="48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67" borderId="0" applyNumberFormat="0" applyBorder="0" applyAlignment="0" applyProtection="0"/>
    <xf numFmtId="0" fontId="51" fillId="50" borderId="0" applyNumberFormat="0" applyBorder="0" applyAlignment="0" applyProtection="0"/>
    <xf numFmtId="0" fontId="51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5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0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66" borderId="0" applyNumberFormat="0" applyBorder="0" applyAlignment="0" applyProtection="0"/>
    <xf numFmtId="0" fontId="51" fillId="45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0" borderId="0" applyNumberFormat="0" applyBorder="0" applyAlignment="0" applyProtection="0"/>
    <xf numFmtId="0" fontId="51" fillId="55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54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75" fillId="67" borderId="47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56" fillId="68" borderId="48" applyNumberFormat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0" fontId="68" fillId="0" borderId="57" applyNumberFormat="0" applyFill="0" applyAlignment="0" applyProtection="0"/>
    <xf numFmtId="164" fontId="50" fillId="0" borderId="0" applyFont="0" applyFill="0" applyBorder="0" applyAlignment="0" applyProtection="0"/>
    <xf numFmtId="14" fontId="98" fillId="2" borderId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280" fontId="16" fillId="69" borderId="0" applyFont="0" applyBorder="0" applyAlignment="0" applyProtection="0">
      <protection locked="0"/>
    </xf>
    <xf numFmtId="0" fontId="53" fillId="62" borderId="0" applyNumberFormat="0" applyBorder="0" applyAlignment="0" applyProtection="0"/>
    <xf numFmtId="234" fontId="102" fillId="0" borderId="0" applyNumberFormat="0" applyFill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62" fillId="54" borderId="47" applyNumberFormat="0" applyAlignment="0" applyProtection="0"/>
    <xf numFmtId="0" fontId="88" fillId="0" borderId="0">
      <alignment vertical="center"/>
    </xf>
    <xf numFmtId="0" fontId="74" fillId="0" borderId="0">
      <alignment vertical="top"/>
    </xf>
    <xf numFmtId="0" fontId="74" fillId="0" borderId="0">
      <alignment vertical="top"/>
    </xf>
    <xf numFmtId="0" fontId="50" fillId="0" borderId="0" applyNumberFormat="0" applyFill="0" applyBorder="0" applyAlignment="0" applyProtection="0"/>
    <xf numFmtId="217" fontId="50" fillId="0" borderId="0" applyFill="0" applyBorder="0" applyAlignment="0" applyProtection="0"/>
    <xf numFmtId="216" fontId="50" fillId="0" borderId="0" applyFont="0" applyFill="0" applyBorder="0" applyAlignment="0" applyProtection="0"/>
    <xf numFmtId="216" fontId="50" fillId="0" borderId="0" applyFont="0" applyFill="0" applyBorder="0" applyAlignment="0" applyProtection="0"/>
    <xf numFmtId="211" fontId="90" fillId="0" borderId="0" applyFont="0" applyFill="0" applyBorder="0" applyProtection="0">
      <alignment horizontal="right"/>
    </xf>
    <xf numFmtId="219" fontId="50" fillId="0" borderId="0" applyFont="0" applyFill="0" applyBorder="0" applyAlignment="0" applyProtection="0"/>
    <xf numFmtId="219" fontId="50" fillId="0" borderId="0" applyFont="0" applyFill="0" applyBorder="0" applyAlignment="0" applyProtection="0"/>
    <xf numFmtId="217" fontId="50" fillId="0" borderId="0" applyFill="0" applyBorder="0" applyAlignment="0" applyProtection="0"/>
    <xf numFmtId="0" fontId="108" fillId="0" borderId="0" applyNumberFormat="0" applyFill="0" applyBorder="0" applyAlignment="0" applyProtection="0">
      <alignment vertical="top"/>
      <protection locked="0"/>
    </xf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54" fillId="50" borderId="0" applyNumberFormat="0" applyBorder="0" applyAlignment="0" applyProtection="0"/>
    <xf numFmtId="0" fontId="111" fillId="69" borderId="0"/>
    <xf numFmtId="0" fontId="111" fillId="69" borderId="0"/>
    <xf numFmtId="14" fontId="113" fillId="0" borderId="0"/>
    <xf numFmtId="183" fontId="113" fillId="0" borderId="0">
      <alignment horizontal="right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97" fontId="12" fillId="0" borderId="0" applyFont="0" applyFill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92" fillId="54" borderId="0" applyNumberFormat="0" applyBorder="0" applyAlignment="0" applyProtection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12" fillId="0" borderId="0"/>
    <xf numFmtId="0" fontId="74" fillId="0" borderId="0"/>
    <xf numFmtId="0" fontId="51" fillId="0" borderId="0"/>
    <xf numFmtId="0" fontId="74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16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1" fillId="49" borderId="58" applyNumberFormat="0" applyFont="0" applyAlignment="0" applyProtection="0"/>
    <xf numFmtId="0" fontId="51" fillId="49" borderId="58" applyNumberFormat="0" applyFont="0" applyAlignment="0" applyProtection="0"/>
    <xf numFmtId="0" fontId="50" fillId="49" borderId="58" applyNumberFormat="0" applyFont="0" applyAlignment="0" applyProtection="0"/>
    <xf numFmtId="9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65" fillId="67" borderId="59" applyNumberFormat="0" applyAlignment="0" applyProtection="0"/>
    <xf numFmtId="0" fontId="65" fillId="66" borderId="59" applyNumberFormat="0" applyAlignment="0" applyProtection="0"/>
    <xf numFmtId="0" fontId="65" fillId="66" borderId="59" applyNumberFormat="0" applyAlignment="0" applyProtection="0"/>
    <xf numFmtId="4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83" fillId="0" borderId="52" applyNumberFormat="0" applyFill="0" applyAlignment="0" applyProtection="0"/>
    <xf numFmtId="0" fontId="83" fillId="0" borderId="65" applyNumberFormat="0" applyFill="0" applyAlignment="0" applyProtection="0"/>
    <xf numFmtId="0" fontId="83" fillId="0" borderId="65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59" fillId="0" borderId="51" applyNumberFormat="0" applyFill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84" fillId="0" borderId="54" applyNumberFormat="0" applyFill="0" applyAlignment="0" applyProtection="0"/>
    <xf numFmtId="0" fontId="84" fillId="0" borderId="66" applyNumberFormat="0" applyFill="0" applyAlignment="0" applyProtection="0"/>
    <xf numFmtId="0" fontId="84" fillId="0" borderId="66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0" fillId="0" borderId="53" applyNumberFormat="0" applyFill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85" fillId="0" borderId="56" applyNumberFormat="0" applyFill="0" applyAlignment="0" applyProtection="0"/>
    <xf numFmtId="0" fontId="85" fillId="0" borderId="67" applyNumberFormat="0" applyFill="0" applyAlignment="0" applyProtection="0"/>
    <xf numFmtId="0" fontId="85" fillId="0" borderId="67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55" applyNumberFormat="0" applyFill="0" applyAlignment="0" applyProtection="0"/>
    <xf numFmtId="0" fontId="61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0" borderId="71" applyNumberFormat="0" applyFill="0" applyAlignment="0" applyProtection="0"/>
    <xf numFmtId="0" fontId="67" fillId="0" borderId="61" applyNumberFormat="0" applyFill="0" applyAlignment="0" applyProtection="0"/>
    <xf numFmtId="0" fontId="67" fillId="0" borderId="61" applyNumberFormat="0" applyFill="0" applyAlignment="0" applyProtection="0"/>
    <xf numFmtId="0" fontId="67" fillId="0" borderId="60" applyNumberFormat="0" applyFill="0" applyAlignment="0" applyProtection="0"/>
    <xf numFmtId="0" fontId="67" fillId="0" borderId="71" applyNumberFormat="0" applyFill="0" applyAlignment="0" applyProtection="0"/>
    <xf numFmtId="0" fontId="67" fillId="0" borderId="71" applyNumberFormat="0" applyFill="0" applyAlignment="0" applyProtection="0"/>
    <xf numFmtId="0" fontId="67" fillId="0" borderId="60" applyNumberFormat="0" applyFill="0" applyAlignment="0" applyProtection="0"/>
    <xf numFmtId="0" fontId="67" fillId="0" borderId="61" applyNumberFormat="0" applyFill="0" applyAlignment="0" applyProtection="0"/>
    <xf numFmtId="0" fontId="67" fillId="0" borderId="61" applyNumberFormat="0" applyFill="0" applyAlignment="0" applyProtection="0"/>
    <xf numFmtId="4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43" fontId="51" fillId="0" borderId="0" applyFont="0" applyFill="0" applyBorder="0" applyAlignment="0" applyProtection="0"/>
    <xf numFmtId="0" fontId="50" fillId="0" borderId="0"/>
    <xf numFmtId="0" fontId="50" fillId="0" borderId="0"/>
    <xf numFmtId="164" fontId="50" fillId="0" borderId="0" applyFont="0" applyFill="0" applyBorder="0" applyAlignment="0" applyProtection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9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2" fillId="0" borderId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9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49" borderId="0" applyNumberFormat="0" applyBorder="0" applyAlignment="0" applyProtection="0"/>
    <xf numFmtId="0" fontId="51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52" borderId="0" applyNumberFormat="0" applyBorder="0" applyAlignment="0" applyProtection="0"/>
    <xf numFmtId="0" fontId="51" fillId="54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49" borderId="0" applyNumberFormat="0" applyBorder="0" applyAlignment="0" applyProtection="0"/>
    <xf numFmtId="0" fontId="58" fillId="48" borderId="0" applyNumberFormat="0" applyBorder="0" applyAlignment="0" applyProtection="0"/>
    <xf numFmtId="0" fontId="63" fillId="0" borderId="49" applyNumberFormat="0" applyFill="0" applyAlignment="0" applyProtection="0"/>
    <xf numFmtId="164" fontId="50" fillId="0" borderId="0" applyFont="0" applyFill="0" applyBorder="0" applyAlignment="0" applyProtection="0"/>
    <xf numFmtId="0" fontId="64" fillId="54" borderId="0" applyNumberFormat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67" fillId="0" borderId="61" applyNumberFormat="0" applyFill="0" applyAlignment="0" applyProtection="0"/>
    <xf numFmtId="43" fontId="50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0" fontId="182" fillId="0" borderId="0"/>
    <xf numFmtId="0" fontId="182" fillId="0" borderId="0"/>
    <xf numFmtId="43" fontId="182" fillId="0" borderId="0" applyFont="0" applyFill="0" applyBorder="0" applyAlignment="0" applyProtection="0"/>
    <xf numFmtId="43" fontId="182" fillId="0" borderId="0" applyFont="0" applyFill="0" applyBorder="0" applyAlignment="0" applyProtection="0"/>
    <xf numFmtId="14" fontId="98" fillId="2" borderId="0"/>
    <xf numFmtId="43" fontId="12" fillId="0" borderId="0" applyFont="0" applyFill="0" applyBorder="0" applyAlignment="0" applyProtection="0"/>
    <xf numFmtId="0" fontId="111" fillId="69" borderId="0"/>
    <xf numFmtId="14" fontId="98" fillId="2" borderId="0"/>
    <xf numFmtId="0" fontId="111" fillId="69" borderId="0"/>
    <xf numFmtId="14" fontId="98" fillId="2" borderId="0"/>
    <xf numFmtId="14" fontId="98" fillId="2" borderId="0"/>
    <xf numFmtId="0" fontId="111" fillId="69" borderId="0"/>
    <xf numFmtId="14" fontId="98" fillId="2" borderId="0"/>
    <xf numFmtId="183" fontId="113" fillId="0" borderId="0">
      <alignment horizontal="right"/>
    </xf>
    <xf numFmtId="43" fontId="12" fillId="0" borderId="0" applyFont="0" applyFill="0" applyBorder="0" applyAlignment="0" applyProtection="0"/>
    <xf numFmtId="183" fontId="113" fillId="0" borderId="0">
      <alignment horizontal="right"/>
    </xf>
    <xf numFmtId="14" fontId="98" fillId="2" borderId="0"/>
    <xf numFmtId="183" fontId="113" fillId="0" borderId="0">
      <alignment horizontal="right"/>
    </xf>
    <xf numFmtId="183" fontId="113" fillId="0" borderId="0">
      <alignment horizontal="right"/>
    </xf>
    <xf numFmtId="0" fontId="111" fillId="69" borderId="0"/>
    <xf numFmtId="183" fontId="113" fillId="0" borderId="0">
      <alignment horizontal="right"/>
    </xf>
    <xf numFmtId="0" fontId="111" fillId="69" borderId="0"/>
    <xf numFmtId="14" fontId="98" fillId="2" borderId="0"/>
    <xf numFmtId="14" fontId="98" fillId="2" borderId="0"/>
    <xf numFmtId="14" fontId="98" fillId="2" borderId="0"/>
    <xf numFmtId="43" fontId="12" fillId="0" borderId="0" applyFont="0" applyFill="0" applyBorder="0" applyAlignment="0" applyProtection="0"/>
    <xf numFmtId="0" fontId="111" fillId="69" borderId="0"/>
    <xf numFmtId="183" fontId="113" fillId="0" borderId="0">
      <alignment horizontal="right"/>
    </xf>
    <xf numFmtId="0" fontId="111" fillId="69" borderId="0"/>
    <xf numFmtId="183" fontId="113" fillId="0" borderId="0">
      <alignment horizontal="right"/>
    </xf>
    <xf numFmtId="183" fontId="113" fillId="0" borderId="0">
      <alignment horizontal="right"/>
    </xf>
    <xf numFmtId="0" fontId="111" fillId="69" borderId="0"/>
    <xf numFmtId="183" fontId="113" fillId="0" borderId="0">
      <alignment horizontal="right"/>
    </xf>
    <xf numFmtId="43" fontId="12" fillId="0" borderId="0" applyFont="0" applyFill="0" applyBorder="0" applyAlignment="0" applyProtection="0"/>
    <xf numFmtId="0" fontId="50" fillId="0" borderId="0"/>
    <xf numFmtId="43" fontId="12" fillId="0" borderId="0" applyFont="0" applyFill="0" applyBorder="0" applyAlignment="0" applyProtection="0"/>
    <xf numFmtId="0" fontId="111" fillId="69" borderId="0"/>
    <xf numFmtId="0" fontId="12" fillId="0" borderId="0"/>
    <xf numFmtId="0" fontId="51" fillId="0" borderId="0"/>
    <xf numFmtId="0" fontId="51" fillId="0" borderId="0"/>
    <xf numFmtId="0" fontId="48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2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234" fontId="102" fillId="0" borderId="0" applyNumberFormat="0" applyFill="0" applyBorder="0" applyAlignment="0" applyProtection="0"/>
    <xf numFmtId="211" fontId="90" fillId="0" borderId="0" applyFont="0" applyFill="0" applyBorder="0" applyProtection="0">
      <alignment horizontal="right"/>
    </xf>
    <xf numFmtId="234" fontId="102" fillId="0" borderId="0" applyNumberFormat="0" applyFill="0" applyBorder="0" applyAlignment="0" applyProtection="0"/>
    <xf numFmtId="296" fontId="16" fillId="0" borderId="0"/>
    <xf numFmtId="0" fontId="50" fillId="0" borderId="0"/>
    <xf numFmtId="296" fontId="16" fillId="0" borderId="0"/>
    <xf numFmtId="211" fontId="90" fillId="0" borderId="0" applyFont="0" applyFill="0" applyBorder="0" applyProtection="0">
      <alignment horizontal="right"/>
    </xf>
    <xf numFmtId="0" fontId="50" fillId="0" borderId="0"/>
    <xf numFmtId="0" fontId="50" fillId="0" borderId="0"/>
    <xf numFmtId="0" fontId="50" fillId="0" borderId="0"/>
    <xf numFmtId="0" fontId="50" fillId="0" borderId="0"/>
    <xf numFmtId="43" fontId="51" fillId="0" borderId="0" applyFont="0" applyFill="0" applyBorder="0" applyAlignment="0" applyProtection="0"/>
    <xf numFmtId="0" fontId="50" fillId="0" borderId="0"/>
    <xf numFmtId="0" fontId="50" fillId="0" borderId="0"/>
    <xf numFmtId="183" fontId="113" fillId="0" borderId="0">
      <alignment horizontal="right"/>
    </xf>
    <xf numFmtId="0" fontId="111" fillId="69" borderId="0"/>
    <xf numFmtId="14" fontId="98" fillId="2" borderId="0"/>
    <xf numFmtId="14" fontId="98" fillId="2" borderId="0"/>
    <xf numFmtId="0" fontId="111" fillId="69" borderId="0"/>
    <xf numFmtId="183" fontId="113" fillId="0" borderId="0">
      <alignment horizontal="right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98" fillId="2" borderId="0"/>
    <xf numFmtId="14" fontId="98" fillId="2" borderId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12" fillId="0" borderId="0"/>
    <xf numFmtId="0" fontId="49" fillId="0" borderId="0"/>
    <xf numFmtId="165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107" fillId="0" borderId="0">
      <alignment horizontal="center"/>
    </xf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9" fillId="0" borderId="51" applyNumberFormat="0" applyFill="0" applyAlignment="0" applyProtection="0"/>
    <xf numFmtId="0" fontId="60" fillId="0" borderId="53" applyNumberFormat="0" applyFill="0" applyAlignment="0" applyProtection="0"/>
    <xf numFmtId="0" fontId="61" fillId="0" borderId="55" applyNumberFormat="0" applyFill="0" applyAlignment="0" applyProtection="0"/>
    <xf numFmtId="0" fontId="61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12" fillId="25" borderId="0" applyNumberFormat="0" applyBorder="0" applyAlignment="0" applyProtection="0"/>
    <xf numFmtId="0" fontId="47" fillId="24" borderId="0" applyNumberFormat="0" applyBorder="0" applyAlignment="0" applyProtection="0"/>
    <xf numFmtId="0" fontId="47" fillId="23" borderId="0" applyNumberFormat="0" applyBorder="0" applyAlignment="0" applyProtection="0"/>
    <xf numFmtId="0" fontId="12" fillId="22" borderId="0" applyNumberFormat="0" applyBorder="0" applyAlignment="0" applyProtection="0"/>
    <xf numFmtId="0" fontId="12" fillId="21" borderId="0" applyNumberFormat="0" applyBorder="0" applyAlignment="0" applyProtection="0"/>
    <xf numFmtId="0" fontId="47" fillId="20" borderId="0" applyNumberFormat="0" applyBorder="0" applyAlignment="0" applyProtection="0"/>
    <xf numFmtId="0" fontId="46" fillId="0" borderId="0" applyNumberFormat="0" applyFill="0" applyBorder="0" applyAlignment="0" applyProtection="0"/>
    <xf numFmtId="0" fontId="12" fillId="19" borderId="43" applyNumberFormat="0" applyFont="0" applyAlignment="0" applyProtection="0"/>
    <xf numFmtId="0" fontId="45" fillId="0" borderId="0" applyNumberFormat="0" applyFill="0" applyBorder="0" applyAlignment="0" applyProtection="0"/>
    <xf numFmtId="0" fontId="41" fillId="17" borderId="40" applyNumberFormat="0" applyAlignment="0" applyProtection="0"/>
    <xf numFmtId="0" fontId="40" fillId="16" borderId="39" applyNumberFormat="0" applyAlignment="0" applyProtection="0"/>
    <xf numFmtId="0" fontId="38" fillId="14" borderId="0" applyNumberFormat="0" applyBorder="0" applyAlignment="0" applyProtection="0"/>
    <xf numFmtId="0" fontId="36" fillId="0" borderId="0" applyNumberForma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12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12" fillId="41" borderId="0" applyNumberFormat="0" applyBorder="0" applyAlignment="0" applyProtection="0"/>
    <xf numFmtId="0" fontId="12" fillId="42" borderId="0" applyNumberFormat="0" applyBorder="0" applyAlignment="0" applyProtection="0"/>
    <xf numFmtId="0" fontId="47" fillId="43" borderId="0" applyNumberFormat="0" applyBorder="0" applyAlignment="0" applyProtection="0"/>
    <xf numFmtId="164" fontId="12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121" fillId="76" borderId="0">
      <alignment horizontal="center"/>
    </xf>
    <xf numFmtId="0" fontId="121" fillId="76" borderId="0">
      <alignment horizontal="center"/>
    </xf>
    <xf numFmtId="0" fontId="121" fillId="76" borderId="0">
      <alignment horizontal="center"/>
    </xf>
    <xf numFmtId="0" fontId="82" fillId="0" borderId="0">
      <alignment horizontal="center"/>
    </xf>
    <xf numFmtId="0" fontId="71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17" fontId="50" fillId="74" borderId="62" applyNumberFormat="0" applyBorder="0" applyAlignment="0">
      <alignment horizontal="center"/>
    </xf>
    <xf numFmtId="0" fontId="50" fillId="49" borderId="58" applyNumberFormat="0" applyFont="0" applyAlignment="0" applyProtection="0"/>
    <xf numFmtId="17" fontId="50" fillId="74" borderId="62" applyNumberFormat="0" applyBorder="0" applyAlignment="0">
      <alignment horizontal="center"/>
    </xf>
    <xf numFmtId="0" fontId="82" fillId="0" borderId="0">
      <alignment horizontal="center"/>
    </xf>
    <xf numFmtId="16" fontId="98" fillId="2" borderId="0"/>
    <xf numFmtId="0" fontId="82" fillId="0" borderId="0">
      <alignment horizontal="center"/>
    </xf>
    <xf numFmtId="0" fontId="71" fillId="0" borderId="0" applyFont="0" applyFill="0" applyBorder="0" applyAlignment="0" applyProtection="0"/>
    <xf numFmtId="16" fontId="113" fillId="0" borderId="0"/>
    <xf numFmtId="0" fontId="71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96" fillId="0" borderId="0" applyBorder="0">
      <alignment horizontal="right"/>
    </xf>
    <xf numFmtId="0" fontId="16" fillId="2" borderId="0" applyNumberFormat="0" applyBorder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43" fontId="12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182" fillId="0" borderId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82" fillId="0" borderId="0">
      <alignment horizontal="center"/>
    </xf>
    <xf numFmtId="0" fontId="51" fillId="0" borderId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0" borderId="0"/>
    <xf numFmtId="0" fontId="51" fillId="0" borderId="0"/>
    <xf numFmtId="9" fontId="12" fillId="0" borderId="0" applyFont="0" applyFill="0" applyBorder="0" applyAlignment="0" applyProtection="0"/>
    <xf numFmtId="0" fontId="82" fillId="0" borderId="0">
      <alignment horizontal="center"/>
    </xf>
    <xf numFmtId="0" fontId="50" fillId="0" borderId="0"/>
    <xf numFmtId="0" fontId="50" fillId="0" borderId="0"/>
    <xf numFmtId="0" fontId="50" fillId="0" borderId="0"/>
    <xf numFmtId="9" fontId="50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0" fillId="49" borderId="58" applyNumberFormat="0" applyFont="0" applyAlignment="0" applyProtection="0"/>
    <xf numFmtId="0" fontId="50" fillId="0" borderId="0"/>
    <xf numFmtId="0" fontId="51" fillId="0" borderId="0"/>
    <xf numFmtId="0" fontId="51" fillId="0" borderId="0"/>
    <xf numFmtId="0" fontId="50" fillId="0" borderId="0"/>
    <xf numFmtId="0" fontId="82" fillId="0" borderId="0">
      <alignment horizontal="center"/>
    </xf>
    <xf numFmtId="9" fontId="12" fillId="0" borderId="0" applyFont="0" applyFill="0" applyBorder="0" applyAlignment="0" applyProtection="0"/>
    <xf numFmtId="0" fontId="82" fillId="0" borderId="0">
      <alignment horizontal="center"/>
    </xf>
    <xf numFmtId="0" fontId="51" fillId="0" borderId="0"/>
    <xf numFmtId="0" fontId="82" fillId="0" borderId="0">
      <alignment horizontal="center"/>
    </xf>
    <xf numFmtId="0" fontId="50" fillId="0" borderId="0"/>
    <xf numFmtId="43" fontId="50" fillId="0" borderId="0" applyFont="0" applyFill="0" applyBorder="0" applyAlignment="0" applyProtection="0"/>
    <xf numFmtId="0" fontId="51" fillId="0" borderId="0"/>
    <xf numFmtId="0" fontId="51" fillId="0" borderId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1" fillId="0" borderId="0"/>
    <xf numFmtId="0" fontId="51" fillId="0" borderId="0"/>
    <xf numFmtId="0" fontId="51" fillId="0" borderId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49" fillId="0" borderId="0"/>
    <xf numFmtId="0" fontId="107" fillId="0" borderId="0">
      <alignment horizontal="center"/>
    </xf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16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82" fillId="0" borderId="0">
      <alignment horizontal="center"/>
    </xf>
    <xf numFmtId="9" fontId="12" fillId="0" borderId="0" applyFont="0" applyFill="0" applyBorder="0" applyAlignment="0" applyProtection="0"/>
    <xf numFmtId="43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49" borderId="58" applyNumberFormat="0" applyFont="0" applyAlignment="0" applyProtection="0"/>
    <xf numFmtId="9" fontId="50" fillId="0" borderId="0" applyFont="0" applyFill="0" applyBorder="0" applyAlignment="0" applyProtection="0"/>
    <xf numFmtId="0" fontId="51" fillId="0" borderId="0"/>
    <xf numFmtId="0" fontId="50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1" fillId="0" borderId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51" fillId="0" borderId="0"/>
    <xf numFmtId="9" fontId="12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1" fillId="0" borderId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9" fontId="12" fillId="0" borderId="0" applyFont="0" applyFill="0" applyBorder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9" fontId="12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107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211" fontId="90" fillId="0" borderId="0" applyFont="0" applyFill="0" applyBorder="0" applyProtection="0">
      <alignment horizontal="right"/>
    </xf>
    <xf numFmtId="164" fontId="51" fillId="0" borderId="0" applyFont="0" applyFill="0" applyBorder="0" applyAlignment="0" applyProtection="0"/>
    <xf numFmtId="0" fontId="130" fillId="0" borderId="0"/>
    <xf numFmtId="303" fontId="69" fillId="0" borderId="0" applyFont="0" applyFill="0" applyBorder="0" applyAlignment="0" applyProtection="0"/>
    <xf numFmtId="0" fontId="130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0" fontId="12" fillId="0" borderId="0"/>
    <xf numFmtId="0" fontId="130" fillId="0" borderId="0"/>
    <xf numFmtId="0" fontId="130" fillId="0" borderId="0"/>
    <xf numFmtId="0" fontId="130" fillId="0" borderId="0"/>
    <xf numFmtId="0" fontId="51" fillId="19" borderId="43" applyNumberFormat="0" applyFont="0" applyAlignment="0" applyProtection="0"/>
    <xf numFmtId="9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0" fontId="71" fillId="0" borderId="0" applyFont="0" applyFill="0" applyBorder="0" applyAlignment="0" applyProtection="0"/>
    <xf numFmtId="38" fontId="16" fillId="2" borderId="0" applyNumberFormat="0" applyBorder="0" applyAlignment="0" applyProtection="0"/>
    <xf numFmtId="43" fontId="50" fillId="0" borderId="0" applyFont="0" applyFill="0" applyBorder="0" applyAlignment="0" applyProtection="0"/>
    <xf numFmtId="14" fontId="113" fillId="0" borderId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183" fontId="113" fillId="0" borderId="0">
      <alignment horizontal="right"/>
    </xf>
    <xf numFmtId="0" fontId="111" fillId="69" borderId="0"/>
    <xf numFmtId="14" fontId="98" fillId="2" borderId="0"/>
    <xf numFmtId="14" fontId="98" fillId="2" borderId="0"/>
    <xf numFmtId="0" fontId="111" fillId="69" borderId="0"/>
    <xf numFmtId="183" fontId="113" fillId="0" borderId="0">
      <alignment horizontal="right"/>
    </xf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0" borderId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36" fillId="0" borderId="0" applyNumberForma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0" borderId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46" fillId="0" borderId="0" applyNumberFormat="0" applyFill="0" applyBorder="0" applyAlignment="0" applyProtection="0"/>
    <xf numFmtId="0" fontId="12" fillId="19" borderId="43" applyNumberFormat="0" applyFont="0" applyAlignment="0" applyProtection="0"/>
    <xf numFmtId="0" fontId="45" fillId="0" borderId="0" applyNumberFormat="0" applyFill="0" applyBorder="0" applyAlignment="0" applyProtection="0"/>
    <xf numFmtId="0" fontId="41" fillId="17" borderId="40" applyNumberFormat="0" applyAlignment="0" applyProtection="0"/>
    <xf numFmtId="0" fontId="36" fillId="0" borderId="38" applyNumberFormat="0" applyFill="0" applyAlignment="0" applyProtection="0"/>
    <xf numFmtId="0" fontId="35" fillId="0" borderId="37" applyNumberFormat="0" applyFill="0" applyAlignment="0" applyProtection="0"/>
    <xf numFmtId="0" fontId="34" fillId="0" borderId="36" applyNumberFormat="0" applyFill="0" applyAlignment="0" applyProtection="0"/>
    <xf numFmtId="0" fontId="33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43" fontId="50" fillId="0" borderId="0" applyFont="0" applyFill="0" applyBorder="0" applyAlignment="0" applyProtection="0"/>
    <xf numFmtId="0" fontId="50" fillId="0" borderId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50" fillId="0" borderId="0"/>
    <xf numFmtId="165" fontId="51" fillId="0" borderId="0" applyFont="0" applyFill="0" applyBorder="0" applyAlignment="0" applyProtection="0"/>
    <xf numFmtId="0" fontId="41" fillId="17" borderId="40" applyNumberFormat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36" applyNumberFormat="0" applyFill="0" applyAlignment="0" applyProtection="0"/>
    <xf numFmtId="0" fontId="35" fillId="0" borderId="37" applyNumberFormat="0" applyFill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41" fillId="17" borderId="40" applyNumberFormat="0" applyAlignment="0" applyProtection="0"/>
    <xf numFmtId="0" fontId="82" fillId="0" borderId="0">
      <alignment horizontal="center"/>
    </xf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36" applyNumberFormat="0" applyFill="0" applyAlignment="0" applyProtection="0"/>
    <xf numFmtId="0" fontId="35" fillId="0" borderId="37" applyNumberFormat="0" applyFill="0" applyAlignment="0" applyProtection="0"/>
    <xf numFmtId="0" fontId="36" fillId="0" borderId="38" applyNumberFormat="0" applyFill="0" applyAlignment="0" applyProtection="0"/>
    <xf numFmtId="0" fontId="41" fillId="17" borderId="40" applyNumberFormat="0" applyAlignment="0" applyProtection="0"/>
    <xf numFmtId="0" fontId="45" fillId="0" borderId="0" applyNumberFormat="0" applyFill="0" applyBorder="0" applyAlignment="0" applyProtection="0"/>
    <xf numFmtId="0" fontId="12" fillId="19" borderId="43" applyNumberFormat="0" applyFont="0" applyAlignment="0" applyProtection="0"/>
    <xf numFmtId="0" fontId="46" fillId="0" borderId="0" applyNumberForma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0" borderId="0"/>
    <xf numFmtId="0" fontId="82" fillId="0" borderId="0">
      <alignment horizontal="center"/>
    </xf>
    <xf numFmtId="165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45" fillId="0" borderId="0" applyNumberForma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45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234" fontId="102" fillId="0" borderId="0" applyNumberFormat="0" applyFill="0" applyBorder="0" applyAlignment="0" applyProtection="0"/>
    <xf numFmtId="211" fontId="90" fillId="0" borderId="0" applyFont="0" applyFill="0" applyBorder="0" applyProtection="0">
      <alignment horizontal="right"/>
    </xf>
    <xf numFmtId="234" fontId="102" fillId="0" borderId="0" applyNumberFormat="0" applyFill="0" applyBorder="0" applyAlignment="0" applyProtection="0"/>
    <xf numFmtId="296" fontId="16" fillId="0" borderId="0"/>
    <xf numFmtId="296" fontId="16" fillId="0" borderId="0"/>
    <xf numFmtId="211" fontId="90" fillId="0" borderId="0" applyFont="0" applyFill="0" applyBorder="0" applyProtection="0">
      <alignment horizontal="right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12" fillId="19" borderId="43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82" fillId="0" borderId="0">
      <alignment horizontal="center"/>
    </xf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165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0" fontId="82" fillId="0" borderId="0">
      <alignment horizontal="center"/>
    </xf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1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82" fillId="0" borderId="0">
      <alignment horizontal="center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43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50" fillId="49" borderId="58" applyNumberFormat="0" applyFont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12" fillId="19" borderId="43" applyNumberFormat="0" applyFont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43" fontId="51" fillId="0" borderId="0" applyFont="0" applyFill="0" applyBorder="0" applyAlignment="0" applyProtection="0"/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165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43" fontId="51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82" fillId="0" borderId="0">
      <alignment horizontal="center"/>
    </xf>
    <xf numFmtId="43" fontId="51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12" fillId="19" borderId="43" applyNumberFormat="0" applyFont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12" fillId="19" borderId="43" applyNumberFormat="0" applyFont="0" applyAlignment="0" applyProtection="0"/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0" fontId="50" fillId="49" borderId="58" applyNumberFormat="0" applyFont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82" fillId="0" borderId="0">
      <alignment horizontal="center"/>
    </xf>
    <xf numFmtId="0" fontId="50" fillId="49" borderId="58" applyNumberFormat="0" applyFont="0" applyAlignment="0" applyProtection="0"/>
    <xf numFmtId="43" fontId="51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0" fontId="82" fillId="0" borderId="0">
      <alignment horizontal="center"/>
    </xf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82" fillId="0" borderId="0">
      <alignment horizontal="center"/>
    </xf>
    <xf numFmtId="43" fontId="50" fillId="0" borderId="0" applyFont="0" applyFill="0" applyBorder="0" applyAlignment="0" applyProtection="0"/>
    <xf numFmtId="0" fontId="82" fillId="0" borderId="0">
      <alignment horizontal="center"/>
    </xf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0" fillId="49" borderId="58" applyNumberFormat="0" applyFon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82" fillId="0" borderId="0">
      <alignment horizontal="center"/>
    </xf>
    <xf numFmtId="0" fontId="12" fillId="19" borderId="43" applyNumberFormat="0" applyFont="0" applyAlignment="0" applyProtection="0"/>
    <xf numFmtId="43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12" fillId="19" borderId="43" applyNumberFormat="0" applyFont="0" applyAlignment="0" applyProtection="0"/>
    <xf numFmtId="0" fontId="82" fillId="0" borderId="0">
      <alignment horizontal="center"/>
    </xf>
    <xf numFmtId="165" fontId="50" fillId="0" borderId="0" applyFont="0" applyFill="0" applyBorder="0" applyAlignment="0" applyProtection="0"/>
    <xf numFmtId="0" fontId="50" fillId="49" borderId="58" applyNumberFormat="0" applyFont="0" applyAlignment="0" applyProtection="0"/>
    <xf numFmtId="0" fontId="50" fillId="49" borderId="58" applyNumberFormat="0" applyFont="0" applyAlignment="0" applyProtection="0"/>
    <xf numFmtId="165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0" fillId="49" borderId="58" applyNumberFormat="0" applyFont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4" fontId="98" fillId="2" borderId="0"/>
    <xf numFmtId="14" fontId="98" fillId="2" borderId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0" fillId="0" borderId="0" applyFont="0" applyFill="0" applyBorder="0" applyAlignment="0" applyProtection="0"/>
    <xf numFmtId="0" fontId="50" fillId="0" borderId="0"/>
    <xf numFmtId="43" fontId="5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</cellStyleXfs>
  <cellXfs count="250">
    <xf numFmtId="0" fontId="0" fillId="0" borderId="0" xfId="0"/>
    <xf numFmtId="0" fontId="13" fillId="0" borderId="0" xfId="0" applyFont="1"/>
    <xf numFmtId="14" fontId="13" fillId="0" borderId="0" xfId="0" applyNumberFormat="1" applyFont="1"/>
    <xf numFmtId="4" fontId="13" fillId="0" borderId="0" xfId="0" applyNumberFormat="1" applyFont="1"/>
    <xf numFmtId="166" fontId="13" fillId="0" borderId="0" xfId="0" applyNumberFormat="1" applyFont="1"/>
    <xf numFmtId="167" fontId="13" fillId="0" borderId="0" xfId="0" applyNumberFormat="1" applyFont="1"/>
    <xf numFmtId="0" fontId="16" fillId="0" borderId="0" xfId="0" applyFont="1"/>
    <xf numFmtId="4" fontId="16" fillId="0" borderId="0" xfId="0" applyNumberFormat="1" applyFont="1"/>
    <xf numFmtId="14" fontId="15" fillId="2" borderId="3" xfId="0" applyNumberFormat="1" applyFont="1" applyFill="1" applyBorder="1" applyAlignment="1">
      <alignment horizontal="center" vertical="center"/>
    </xf>
    <xf numFmtId="168" fontId="16" fillId="2" borderId="4" xfId="1" applyNumberFormat="1" applyFont="1" applyFill="1" applyBorder="1" applyAlignment="1" applyProtection="1"/>
    <xf numFmtId="14" fontId="15" fillId="2" borderId="5" xfId="0" applyNumberFormat="1" applyFont="1" applyFill="1" applyBorder="1" applyAlignment="1">
      <alignment horizontal="center" vertical="center"/>
    </xf>
    <xf numFmtId="14" fontId="15" fillId="0" borderId="0" xfId="0" applyNumberFormat="1" applyFont="1" applyFill="1" applyBorder="1" applyAlignment="1">
      <alignment horizontal="center" vertical="center"/>
    </xf>
    <xf numFmtId="169" fontId="15" fillId="0" borderId="0" xfId="3" applyNumberFormat="1" applyFont="1" applyFill="1" applyBorder="1" applyAlignment="1" applyProtection="1"/>
    <xf numFmtId="4" fontId="15" fillId="3" borderId="7" xfId="0" applyNumberFormat="1" applyFont="1" applyFill="1" applyBorder="1"/>
    <xf numFmtId="3" fontId="15" fillId="2" borderId="7" xfId="0" applyNumberFormat="1" applyFont="1" applyFill="1" applyBorder="1" applyAlignment="1">
      <alignment horizontal="center"/>
    </xf>
    <xf numFmtId="0" fontId="15" fillId="2" borderId="7" xfId="0" applyFont="1" applyFill="1" applyBorder="1"/>
    <xf numFmtId="164" fontId="15" fillId="2" borderId="7" xfId="2" applyFont="1" applyFill="1" applyBorder="1" applyAlignment="1" applyProtection="1"/>
    <xf numFmtId="14" fontId="15" fillId="2" borderId="8" xfId="0" applyNumberFormat="1" applyFont="1" applyFill="1" applyBorder="1" applyAlignment="1">
      <alignment horizontal="center"/>
    </xf>
    <xf numFmtId="4" fontId="15" fillId="2" borderId="7" xfId="0" applyNumberFormat="1" applyFont="1" applyFill="1" applyBorder="1" applyAlignment="1">
      <alignment horizontal="center"/>
    </xf>
    <xf numFmtId="0" fontId="16" fillId="0" borderId="7" xfId="0" applyFont="1" applyFill="1" applyBorder="1"/>
    <xf numFmtId="164" fontId="16" fillId="0" borderId="7" xfId="2" applyFont="1" applyFill="1" applyBorder="1" applyAlignment="1" applyProtection="1"/>
    <xf numFmtId="165" fontId="16" fillId="0" borderId="8" xfId="1" applyFont="1" applyBorder="1"/>
    <xf numFmtId="165" fontId="16" fillId="0" borderId="7" xfId="1" applyFont="1" applyBorder="1"/>
    <xf numFmtId="0" fontId="17" fillId="5" borderId="7" xfId="0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6" borderId="7" xfId="0" applyFont="1" applyFill="1" applyBorder="1" applyAlignment="1">
      <alignment vertical="center"/>
    </xf>
    <xf numFmtId="0" fontId="13" fillId="6" borderId="7" xfId="0" applyFont="1" applyFill="1" applyBorder="1" applyAlignment="1">
      <alignment horizontal="center" vertical="center"/>
    </xf>
    <xf numFmtId="40" fontId="18" fillId="0" borderId="0" xfId="0" applyNumberFormat="1" applyFont="1" applyAlignment="1">
      <alignment vertical="center"/>
    </xf>
    <xf numFmtId="0" fontId="14" fillId="6" borderId="7" xfId="0" applyFont="1" applyFill="1" applyBorder="1" applyAlignment="1">
      <alignment horizontal="center" vertical="center"/>
    </xf>
    <xf numFmtId="14" fontId="13" fillId="6" borderId="7" xfId="0" applyNumberFormat="1" applyFont="1" applyFill="1" applyBorder="1" applyAlignment="1">
      <alignment vertical="center"/>
    </xf>
    <xf numFmtId="171" fontId="17" fillId="2" borderId="9" xfId="0" applyNumberFormat="1" applyFont="1" applyFill="1" applyBorder="1" applyAlignment="1">
      <alignment vertical="center"/>
    </xf>
    <xf numFmtId="170" fontId="17" fillId="2" borderId="10" xfId="0" applyNumberFormat="1" applyFont="1" applyFill="1" applyBorder="1" applyAlignment="1">
      <alignment horizontal="center" vertical="center"/>
    </xf>
    <xf numFmtId="171" fontId="17" fillId="2" borderId="11" xfId="0" applyNumberFormat="1" applyFont="1" applyFill="1" applyBorder="1" applyAlignment="1">
      <alignment horizontal="center" vertical="center"/>
    </xf>
    <xf numFmtId="4" fontId="13" fillId="6" borderId="7" xfId="0" applyNumberFormat="1" applyFont="1" applyFill="1" applyBorder="1" applyAlignment="1">
      <alignment vertical="center"/>
    </xf>
    <xf numFmtId="170" fontId="17" fillId="2" borderId="2" xfId="0" applyNumberFormat="1" applyFont="1" applyFill="1" applyBorder="1" applyAlignment="1">
      <alignment vertical="center"/>
    </xf>
    <xf numFmtId="170" fontId="17" fillId="2" borderId="11" xfId="0" applyNumberFormat="1" applyFont="1" applyFill="1" applyBorder="1" applyAlignment="1">
      <alignment vertical="center"/>
    </xf>
    <xf numFmtId="14" fontId="13" fillId="0" borderId="0" xfId="0" applyNumberFormat="1" applyFont="1" applyAlignment="1">
      <alignment vertical="center"/>
    </xf>
    <xf numFmtId="0" fontId="18" fillId="0" borderId="0" xfId="0" applyFont="1" applyAlignment="1">
      <alignment vertical="center"/>
    </xf>
    <xf numFmtId="0" fontId="18" fillId="6" borderId="7" xfId="0" applyFont="1" applyFill="1" applyBorder="1" applyAlignment="1">
      <alignment vertical="center"/>
    </xf>
    <xf numFmtId="14" fontId="18" fillId="6" borderId="7" xfId="0" applyNumberFormat="1" applyFont="1" applyFill="1" applyBorder="1" applyAlignment="1">
      <alignment vertical="center"/>
    </xf>
    <xf numFmtId="166" fontId="18" fillId="6" borderId="7" xfId="0" applyNumberFormat="1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40" fontId="17" fillId="4" borderId="7" xfId="0" applyNumberFormat="1" applyFont="1" applyFill="1" applyBorder="1" applyAlignment="1">
      <alignment vertical="center"/>
    </xf>
    <xf numFmtId="14" fontId="17" fillId="4" borderId="7" xfId="0" applyNumberFormat="1" applyFont="1" applyFill="1" applyBorder="1" applyAlignment="1">
      <alignment vertical="center"/>
    </xf>
    <xf numFmtId="166" fontId="13" fillId="0" borderId="0" xfId="0" applyNumberFormat="1" applyFont="1" applyAlignment="1">
      <alignment vertical="center"/>
    </xf>
    <xf numFmtId="0" fontId="13" fillId="0" borderId="17" xfId="0" applyFont="1" applyBorder="1" applyAlignment="1">
      <alignment vertical="center"/>
    </xf>
    <xf numFmtId="4" fontId="13" fillId="0" borderId="0" xfId="1" applyNumberFormat="1" applyFont="1" applyAlignment="1">
      <alignment vertical="center"/>
    </xf>
    <xf numFmtId="14" fontId="13" fillId="0" borderId="17" xfId="0" applyNumberFormat="1" applyFont="1" applyBorder="1" applyAlignment="1">
      <alignment vertical="center"/>
    </xf>
    <xf numFmtId="4" fontId="13" fillId="0" borderId="0" xfId="0" applyNumberFormat="1" applyFont="1" applyAlignment="1">
      <alignment vertical="center"/>
    </xf>
    <xf numFmtId="4" fontId="13" fillId="0" borderId="0" xfId="0" applyNumberFormat="1" applyFont="1" applyAlignment="1">
      <alignment horizontal="center" vertical="center"/>
    </xf>
    <xf numFmtId="0" fontId="19" fillId="7" borderId="0" xfId="0" applyFont="1" applyFill="1" applyAlignment="1">
      <alignment horizontal="center" vertical="center"/>
    </xf>
    <xf numFmtId="0" fontId="20" fillId="0" borderId="0" xfId="0" applyFont="1" applyAlignment="1">
      <alignment vertical="center"/>
    </xf>
    <xf numFmtId="0" fontId="19" fillId="10" borderId="0" xfId="0" applyFont="1" applyFill="1" applyAlignment="1">
      <alignment vertical="center"/>
    </xf>
    <xf numFmtId="170" fontId="17" fillId="2" borderId="11" xfId="0" applyNumberFormat="1" applyFont="1" applyFill="1" applyBorder="1" applyAlignment="1">
      <alignment horizontal="center" vertical="center"/>
    </xf>
    <xf numFmtId="171" fontId="17" fillId="8" borderId="18" xfId="0" applyNumberFormat="1" applyFont="1" applyFill="1" applyBorder="1" applyAlignment="1">
      <alignment vertical="center"/>
    </xf>
    <xf numFmtId="170" fontId="18" fillId="8" borderId="12" xfId="0" applyNumberFormat="1" applyFont="1" applyFill="1" applyBorder="1" applyAlignment="1">
      <alignment vertical="center"/>
    </xf>
    <xf numFmtId="170" fontId="18" fillId="8" borderId="15" xfId="0" applyNumberFormat="1" applyFont="1" applyFill="1" applyBorder="1" applyAlignment="1">
      <alignment vertical="center"/>
    </xf>
    <xf numFmtId="171" fontId="17" fillId="8" borderId="19" xfId="0" applyNumberFormat="1" applyFont="1" applyFill="1" applyBorder="1" applyAlignment="1">
      <alignment vertical="center"/>
    </xf>
    <xf numFmtId="170" fontId="18" fillId="8" borderId="13" xfId="1" applyNumberFormat="1" applyFont="1" applyFill="1" applyBorder="1" applyAlignment="1">
      <alignment vertical="center"/>
    </xf>
    <xf numFmtId="170" fontId="18" fillId="8" borderId="16" xfId="1" applyNumberFormat="1" applyFont="1" applyFill="1" applyBorder="1" applyAlignment="1">
      <alignment vertical="center"/>
    </xf>
    <xf numFmtId="171" fontId="17" fillId="8" borderId="20" xfId="0" applyNumberFormat="1" applyFont="1" applyFill="1" applyBorder="1" applyAlignment="1">
      <alignment vertical="center"/>
    </xf>
    <xf numFmtId="170" fontId="18" fillId="8" borderId="14" xfId="0" applyNumberFormat="1" applyFont="1" applyFill="1" applyBorder="1" applyAlignment="1">
      <alignment vertical="center"/>
    </xf>
    <xf numFmtId="170" fontId="18" fillId="8" borderId="6" xfId="0" applyNumberFormat="1" applyFont="1" applyFill="1" applyBorder="1" applyAlignment="1">
      <alignment vertical="center"/>
    </xf>
    <xf numFmtId="166" fontId="18" fillId="0" borderId="0" xfId="0" applyNumberFormat="1" applyFont="1" applyFill="1" applyAlignment="1">
      <alignment vertical="center"/>
    </xf>
    <xf numFmtId="4" fontId="18" fillId="0" borderId="0" xfId="0" applyNumberFormat="1" applyFont="1" applyFill="1" applyAlignment="1">
      <alignment vertical="center"/>
    </xf>
    <xf numFmtId="0" fontId="17" fillId="9" borderId="0" xfId="0" applyFont="1" applyFill="1" applyAlignment="1">
      <alignment horizontal="center" vertical="center"/>
    </xf>
    <xf numFmtId="40" fontId="18" fillId="4" borderId="21" xfId="0" applyNumberFormat="1" applyFont="1" applyFill="1" applyBorder="1" applyAlignment="1">
      <alignment vertical="center"/>
    </xf>
    <xf numFmtId="40" fontId="18" fillId="4" borderId="25" xfId="0" applyNumberFormat="1" applyFont="1" applyFill="1" applyBorder="1" applyAlignment="1">
      <alignment vertical="center"/>
    </xf>
    <xf numFmtId="40" fontId="18" fillId="4" borderId="23" xfId="0" applyNumberFormat="1" applyFont="1" applyFill="1" applyBorder="1" applyAlignment="1">
      <alignment vertical="center"/>
    </xf>
    <xf numFmtId="14" fontId="20" fillId="0" borderId="0" xfId="0" applyNumberFormat="1" applyFont="1" applyAlignment="1">
      <alignment vertical="center"/>
    </xf>
    <xf numFmtId="40" fontId="18" fillId="0" borderId="21" xfId="0" applyNumberFormat="1" applyFont="1" applyFill="1" applyBorder="1" applyAlignment="1">
      <alignment vertical="center"/>
    </xf>
    <xf numFmtId="40" fontId="18" fillId="0" borderId="23" xfId="0" applyNumberFormat="1" applyFont="1" applyFill="1" applyBorder="1" applyAlignment="1">
      <alignment vertical="center"/>
    </xf>
    <xf numFmtId="169" fontId="13" fillId="0" borderId="0" xfId="0" applyNumberFormat="1" applyFont="1"/>
    <xf numFmtId="173" fontId="15" fillId="3" borderId="6" xfId="3" applyNumberFormat="1" applyFont="1" applyFill="1" applyBorder="1" applyAlignment="1" applyProtection="1"/>
    <xf numFmtId="47" fontId="13" fillId="0" borderId="0" xfId="0" applyNumberFormat="1" applyFont="1"/>
    <xf numFmtId="14" fontId="13" fillId="0" borderId="0" xfId="0" applyNumberFormat="1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172" fontId="13" fillId="0" borderId="0" xfId="0" applyNumberFormat="1" applyFont="1" applyAlignment="1">
      <alignment vertical="center"/>
    </xf>
    <xf numFmtId="167" fontId="13" fillId="0" borderId="0" xfId="0" applyNumberFormat="1" applyFont="1" applyAlignment="1">
      <alignment vertical="center"/>
    </xf>
    <xf numFmtId="0" fontId="10" fillId="0" borderId="0" xfId="0" applyFont="1"/>
    <xf numFmtId="0" fontId="21" fillId="0" borderId="0" xfId="0" applyFont="1"/>
    <xf numFmtId="0" fontId="21" fillId="0" borderId="0" xfId="0" applyFont="1" applyAlignment="1">
      <alignment vertical="center"/>
    </xf>
    <xf numFmtId="3" fontId="21" fillId="0" borderId="0" xfId="0" applyNumberFormat="1" applyFont="1" applyAlignment="1">
      <alignment vertical="center"/>
    </xf>
    <xf numFmtId="0" fontId="22" fillId="9" borderId="0" xfId="0" applyFont="1" applyFill="1" applyAlignment="1"/>
    <xf numFmtId="0" fontId="10" fillId="0" borderId="0" xfId="0" applyFont="1" applyAlignment="1">
      <alignment vertical="center"/>
    </xf>
    <xf numFmtId="0" fontId="19" fillId="0" borderId="0" xfId="0" applyFont="1" applyFill="1" applyAlignment="1">
      <alignment vertical="center"/>
    </xf>
    <xf numFmtId="166" fontId="18" fillId="0" borderId="22" xfId="1" applyNumberFormat="1" applyFont="1" applyFill="1" applyBorder="1" applyAlignment="1">
      <alignment horizontal="right" vertical="center"/>
    </xf>
    <xf numFmtId="166" fontId="18" fillId="0" borderId="24" xfId="1" applyNumberFormat="1" applyFont="1" applyFill="1" applyBorder="1" applyAlignment="1">
      <alignment horizontal="right" vertical="center"/>
    </xf>
    <xf numFmtId="166" fontId="18" fillId="0" borderId="22" xfId="0" applyNumberFormat="1" applyFont="1" applyFill="1" applyBorder="1" applyAlignment="1">
      <alignment vertical="center"/>
    </xf>
    <xf numFmtId="166" fontId="18" fillId="0" borderId="24" xfId="0" applyNumberFormat="1" applyFont="1" applyFill="1" applyBorder="1" applyAlignment="1">
      <alignment vertical="center"/>
    </xf>
    <xf numFmtId="166" fontId="17" fillId="4" borderId="22" xfId="1" applyNumberFormat="1" applyFont="1" applyFill="1" applyBorder="1" applyAlignment="1">
      <alignment horizontal="right" vertical="center"/>
    </xf>
    <xf numFmtId="166" fontId="17" fillId="4" borderId="26" xfId="1" applyNumberFormat="1" applyFont="1" applyFill="1" applyBorder="1" applyAlignment="1">
      <alignment horizontal="right" vertical="center"/>
    </xf>
    <xf numFmtId="0" fontId="20" fillId="0" borderId="27" xfId="0" applyFont="1" applyBorder="1" applyAlignment="1">
      <alignment vertical="center"/>
    </xf>
    <xf numFmtId="4" fontId="13" fillId="0" borderId="28" xfId="0" applyNumberFormat="1" applyFont="1" applyBorder="1" applyAlignment="1">
      <alignment vertical="center"/>
    </xf>
    <xf numFmtId="0" fontId="9" fillId="0" borderId="0" xfId="0" applyFont="1"/>
    <xf numFmtId="166" fontId="23" fillId="0" borderId="0" xfId="0" applyNumberFormat="1" applyFont="1"/>
    <xf numFmtId="3" fontId="13" fillId="0" borderId="0" xfId="0" applyNumberFormat="1" applyFont="1"/>
    <xf numFmtId="0" fontId="7" fillId="0" borderId="0" xfId="0" applyFont="1"/>
    <xf numFmtId="14" fontId="7" fillId="0" borderId="0" xfId="0" applyNumberFormat="1" applyFont="1"/>
    <xf numFmtId="4" fontId="7" fillId="0" borderId="0" xfId="0" applyNumberFormat="1" applyFont="1"/>
    <xf numFmtId="166" fontId="7" fillId="0" borderId="0" xfId="0" applyNumberFormat="1" applyFont="1"/>
    <xf numFmtId="4" fontId="7" fillId="0" borderId="0" xfId="0" applyNumberFormat="1" applyFont="1" applyFill="1" applyAlignment="1">
      <alignment vertical="center"/>
    </xf>
    <xf numFmtId="0" fontId="7" fillId="0" borderId="0" xfId="0" applyFont="1" applyAlignment="1">
      <alignment vertical="center"/>
    </xf>
    <xf numFmtId="0" fontId="24" fillId="0" borderId="0" xfId="0" applyFont="1"/>
    <xf numFmtId="14" fontId="24" fillId="0" borderId="0" xfId="0" applyNumberFormat="1" applyFont="1"/>
    <xf numFmtId="4" fontId="24" fillId="0" borderId="0" xfId="0" applyNumberFormat="1" applyFont="1"/>
    <xf numFmtId="4" fontId="24" fillId="0" borderId="0" xfId="0" applyNumberFormat="1" applyFont="1" applyAlignment="1">
      <alignment vertical="center"/>
    </xf>
    <xf numFmtId="167" fontId="24" fillId="0" borderId="0" xfId="0" applyNumberFormat="1" applyFont="1"/>
    <xf numFmtId="166" fontId="24" fillId="0" borderId="0" xfId="0" applyNumberFormat="1" applyFont="1"/>
    <xf numFmtId="174" fontId="14" fillId="0" borderId="22" xfId="1" applyNumberFormat="1" applyFont="1" applyFill="1" applyBorder="1" applyAlignment="1">
      <alignment horizontal="right" vertical="center"/>
    </xf>
    <xf numFmtId="174" fontId="14" fillId="0" borderId="24" xfId="1" applyNumberFormat="1" applyFont="1" applyFill="1" applyBorder="1" applyAlignment="1">
      <alignment horizontal="right" vertical="center"/>
    </xf>
    <xf numFmtId="174" fontId="14" fillId="0" borderId="22" xfId="1" applyNumberFormat="1" applyFont="1" applyFill="1" applyBorder="1" applyAlignment="1">
      <alignment vertical="center"/>
    </xf>
    <xf numFmtId="174" fontId="14" fillId="0" borderId="24" xfId="1" applyNumberFormat="1" applyFont="1" applyFill="1" applyBorder="1" applyAlignment="1">
      <alignment vertical="center"/>
    </xf>
    <xf numFmtId="167" fontId="6" fillId="0" borderId="0" xfId="0" applyNumberFormat="1" applyFont="1" applyAlignment="1">
      <alignment vertical="center"/>
    </xf>
    <xf numFmtId="0" fontId="6" fillId="0" borderId="0" xfId="0" applyFont="1" applyFill="1" applyAlignment="1">
      <alignment vertical="center"/>
    </xf>
    <xf numFmtId="166" fontId="6" fillId="0" borderId="0" xfId="0" applyNumberFormat="1" applyFont="1" applyAlignment="1">
      <alignment vertical="center"/>
    </xf>
    <xf numFmtId="4" fontId="13" fillId="11" borderId="0" xfId="0" applyNumberFormat="1" applyFont="1" applyFill="1" applyAlignment="1">
      <alignment vertical="center"/>
    </xf>
    <xf numFmtId="4" fontId="13" fillId="11" borderId="0" xfId="0" applyNumberFormat="1" applyFont="1" applyFill="1" applyAlignment="1">
      <alignment horizontal="center" vertical="center"/>
    </xf>
    <xf numFmtId="0" fontId="20" fillId="11" borderId="27" xfId="0" applyFont="1" applyFill="1" applyBorder="1" applyAlignment="1">
      <alignment horizontal="center" vertical="center"/>
    </xf>
    <xf numFmtId="0" fontId="20" fillId="11" borderId="28" xfId="0" applyFont="1" applyFill="1" applyBorder="1" applyAlignment="1">
      <alignment horizontal="center" vertical="center"/>
    </xf>
    <xf numFmtId="176" fontId="13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66" fontId="17" fillId="9" borderId="22" xfId="0" applyNumberFormat="1" applyFont="1" applyFill="1" applyBorder="1" applyAlignment="1">
      <alignment vertical="center"/>
    </xf>
    <xf numFmtId="175" fontId="13" fillId="0" borderId="0" xfId="0" applyNumberFormat="1" applyFont="1" applyAlignment="1">
      <alignment vertical="center"/>
    </xf>
    <xf numFmtId="167" fontId="25" fillId="0" borderId="0" xfId="0" applyNumberFormat="1" applyFont="1" applyFill="1" applyAlignment="1">
      <alignment vertical="center"/>
    </xf>
    <xf numFmtId="0" fontId="26" fillId="0" borderId="0" xfId="0" applyFont="1" applyFill="1" applyAlignment="1">
      <alignment vertical="center"/>
    </xf>
    <xf numFmtId="167" fontId="24" fillId="0" borderId="0" xfId="0" applyNumberFormat="1" applyFont="1" applyFill="1" applyAlignment="1">
      <alignment vertical="center"/>
    </xf>
    <xf numFmtId="166" fontId="24" fillId="0" borderId="0" xfId="0" applyNumberFormat="1" applyFont="1" applyFill="1" applyAlignment="1">
      <alignment vertical="center"/>
    </xf>
    <xf numFmtId="166" fontId="24" fillId="0" borderId="0" xfId="0" applyNumberFormat="1" applyFont="1" applyAlignment="1">
      <alignment vertical="center"/>
    </xf>
    <xf numFmtId="0" fontId="4" fillId="0" borderId="7" xfId="0" applyFont="1" applyBorder="1" applyAlignment="1">
      <alignment vertical="center"/>
    </xf>
    <xf numFmtId="166" fontId="17" fillId="9" borderId="24" xfId="0" applyNumberFormat="1" applyFont="1" applyFill="1" applyBorder="1" applyAlignment="1">
      <alignment vertical="center"/>
    </xf>
    <xf numFmtId="175" fontId="18" fillId="6" borderId="7" xfId="0" applyNumberFormat="1" applyFont="1" applyFill="1" applyBorder="1" applyAlignment="1">
      <alignment vertical="center"/>
    </xf>
    <xf numFmtId="0" fontId="3" fillId="0" borderId="0" xfId="0" applyFont="1"/>
    <xf numFmtId="0" fontId="3" fillId="0" borderId="0" xfId="0" applyFont="1" applyAlignment="1">
      <alignment vertical="center"/>
    </xf>
    <xf numFmtId="0" fontId="3" fillId="6" borderId="7" xfId="0" applyFont="1" applyFill="1" applyBorder="1" applyAlignment="1">
      <alignment vertical="center"/>
    </xf>
    <xf numFmtId="0" fontId="3" fillId="0" borderId="0" xfId="0" applyFont="1" applyAlignment="1">
      <alignment horizontal="center" vertical="center"/>
    </xf>
    <xf numFmtId="3" fontId="20" fillId="9" borderId="7" xfId="0" applyNumberFormat="1" applyFont="1" applyFill="1" applyBorder="1" applyAlignment="1">
      <alignment horizontal="center" vertical="center"/>
    </xf>
    <xf numFmtId="166" fontId="27" fillId="0" borderId="0" xfId="0" applyNumberFormat="1" applyFont="1" applyAlignment="1">
      <alignment vertical="center"/>
    </xf>
    <xf numFmtId="0" fontId="24" fillId="0" borderId="0" xfId="0" applyFont="1" applyAlignment="1">
      <alignment vertical="center"/>
    </xf>
    <xf numFmtId="14" fontId="24" fillId="0" borderId="0" xfId="0" applyNumberFormat="1" applyFont="1" applyAlignment="1">
      <alignment horizontal="center" vertical="center"/>
    </xf>
    <xf numFmtId="14" fontId="3" fillId="0" borderId="0" xfId="0" applyNumberFormat="1" applyFont="1"/>
    <xf numFmtId="14" fontId="8" fillId="0" borderId="0" xfId="0" applyNumberFormat="1" applyFont="1"/>
    <xf numFmtId="0" fontId="2" fillId="0" borderId="0" xfId="0" applyFont="1" applyAlignment="1">
      <alignment vertical="center"/>
    </xf>
    <xf numFmtId="177" fontId="0" fillId="0" borderId="0" xfId="1" applyNumberFormat="1" applyFont="1"/>
    <xf numFmtId="0" fontId="0" fillId="0" borderId="29" xfId="0" applyBorder="1"/>
    <xf numFmtId="0" fontId="29" fillId="0" borderId="30" xfId="0" applyFont="1" applyBorder="1"/>
    <xf numFmtId="0" fontId="0" fillId="0" borderId="30" xfId="0" applyBorder="1"/>
    <xf numFmtId="0" fontId="0" fillId="0" borderId="17" xfId="0" applyBorder="1"/>
    <xf numFmtId="0" fontId="0" fillId="0" borderId="0" xfId="0" applyBorder="1"/>
    <xf numFmtId="0" fontId="0" fillId="0" borderId="33" xfId="0" applyBorder="1"/>
    <xf numFmtId="0" fontId="0" fillId="0" borderId="34" xfId="0" applyBorder="1"/>
    <xf numFmtId="0" fontId="28" fillId="0" borderId="30" xfId="0" applyFont="1" applyBorder="1"/>
    <xf numFmtId="4" fontId="0" fillId="0" borderId="0" xfId="0" applyNumberFormat="1" applyBorder="1"/>
    <xf numFmtId="178" fontId="0" fillId="0" borderId="31" xfId="0" applyNumberFormat="1" applyBorder="1"/>
    <xf numFmtId="178" fontId="0" fillId="0" borderId="32" xfId="1" applyNumberFormat="1" applyFont="1" applyBorder="1"/>
    <xf numFmtId="178" fontId="0" fillId="0" borderId="35" xfId="1" applyNumberFormat="1" applyFont="1" applyBorder="1"/>
    <xf numFmtId="14" fontId="0" fillId="0" borderId="0" xfId="0" applyNumberFormat="1" applyBorder="1"/>
    <xf numFmtId="14" fontId="0" fillId="0" borderId="34" xfId="0" applyNumberFormat="1" applyBorder="1"/>
    <xf numFmtId="0" fontId="31" fillId="0" borderId="30" xfId="0" applyFont="1" applyBorder="1"/>
    <xf numFmtId="0" fontId="30" fillId="0" borderId="30" xfId="0" applyFont="1" applyBorder="1"/>
    <xf numFmtId="0" fontId="1" fillId="0" borderId="0" xfId="0" applyFont="1"/>
    <xf numFmtId="179" fontId="0" fillId="0" borderId="0" xfId="1" applyNumberFormat="1" applyFont="1"/>
    <xf numFmtId="0" fontId="0" fillId="0" borderId="29" xfId="0" applyFont="1" applyBorder="1"/>
    <xf numFmtId="0" fontId="0" fillId="0" borderId="30" xfId="0" applyFont="1" applyBorder="1"/>
    <xf numFmtId="0" fontId="0" fillId="0" borderId="0" xfId="0" applyFont="1"/>
    <xf numFmtId="180" fontId="0" fillId="0" borderId="32" xfId="1" applyNumberFormat="1" applyFont="1" applyBorder="1"/>
    <xf numFmtId="180" fontId="0" fillId="0" borderId="31" xfId="1" applyNumberFormat="1" applyFont="1" applyBorder="1"/>
    <xf numFmtId="166" fontId="0" fillId="0" borderId="31" xfId="1" applyNumberFormat="1" applyFont="1" applyBorder="1"/>
    <xf numFmtId="166" fontId="0" fillId="0" borderId="32" xfId="1" applyNumberFormat="1" applyFont="1" applyBorder="1"/>
    <xf numFmtId="180" fontId="0" fillId="0" borderId="0" xfId="1" applyNumberFormat="1" applyFont="1"/>
    <xf numFmtId="180" fontId="0" fillId="0" borderId="35" xfId="1" applyNumberFormat="1" applyFont="1" applyBorder="1"/>
    <xf numFmtId="166" fontId="0" fillId="0" borderId="0" xfId="0" applyNumberFormat="1"/>
    <xf numFmtId="166" fontId="0" fillId="0" borderId="31" xfId="0" applyNumberFormat="1" applyBorder="1"/>
    <xf numFmtId="166" fontId="0" fillId="0" borderId="35" xfId="1" applyNumberFormat="1" applyFont="1" applyBorder="1"/>
    <xf numFmtId="9" fontId="13" fillId="0" borderId="0" xfId="0" applyNumberFormat="1" applyFont="1"/>
    <xf numFmtId="164" fontId="13" fillId="0" borderId="0" xfId="0" applyNumberFormat="1" applyFont="1"/>
    <xf numFmtId="181" fontId="13" fillId="0" borderId="0" xfId="0" applyNumberFormat="1" applyFont="1"/>
    <xf numFmtId="0" fontId="32" fillId="0" borderId="0" xfId="0" applyFont="1"/>
    <xf numFmtId="166" fontId="32" fillId="0" borderId="0" xfId="0" applyNumberFormat="1" applyFont="1"/>
    <xf numFmtId="4" fontId="32" fillId="0" borderId="0" xfId="0" applyNumberFormat="1" applyFont="1" applyAlignment="1">
      <alignment vertical="center"/>
    </xf>
    <xf numFmtId="167" fontId="32" fillId="0" borderId="0" xfId="0" applyNumberFormat="1" applyFont="1"/>
    <xf numFmtId="0" fontId="24" fillId="9" borderId="0" xfId="0" applyFont="1" applyFill="1"/>
    <xf numFmtId="166" fontId="24" fillId="9" borderId="0" xfId="0" applyNumberFormat="1" applyFont="1" applyFill="1"/>
    <xf numFmtId="0" fontId="13" fillId="9" borderId="0" xfId="0" applyFont="1" applyFill="1"/>
    <xf numFmtId="4" fontId="24" fillId="9" borderId="0" xfId="0" applyNumberFormat="1" applyFont="1" applyFill="1" applyAlignment="1">
      <alignment vertical="center"/>
    </xf>
    <xf numFmtId="167" fontId="24" fillId="9" borderId="0" xfId="0" applyNumberFormat="1" applyFont="1" applyFill="1"/>
    <xf numFmtId="167" fontId="13" fillId="9" borderId="0" xfId="0" applyNumberFormat="1" applyFont="1" applyFill="1" applyAlignment="1">
      <alignment vertical="center"/>
    </xf>
    <xf numFmtId="14" fontId="0" fillId="0" borderId="0" xfId="0" applyNumberFormat="1"/>
    <xf numFmtId="182" fontId="0" fillId="0" borderId="0" xfId="1" applyNumberFormat="1" applyFont="1" applyFill="1" applyAlignment="1">
      <alignment horizontal="center"/>
    </xf>
    <xf numFmtId="182" fontId="0" fillId="12" borderId="0" xfId="1" applyNumberFormat="1" applyFont="1" applyFill="1" applyAlignment="1">
      <alignment horizontal="center"/>
    </xf>
    <xf numFmtId="183" fontId="0" fillId="0" borderId="0" xfId="0" applyNumberFormat="1"/>
    <xf numFmtId="184" fontId="0" fillId="0" borderId="0" xfId="1" applyNumberFormat="1" applyFont="1"/>
    <xf numFmtId="185" fontId="0" fillId="0" borderId="0" xfId="0" applyNumberFormat="1"/>
    <xf numFmtId="183" fontId="0" fillId="0" borderId="0" xfId="0" applyNumberFormat="1" applyFill="1" applyAlignment="1">
      <alignment horizontal="center"/>
    </xf>
    <xf numFmtId="183" fontId="0" fillId="12" borderId="0" xfId="0" applyNumberFormat="1" applyFill="1" applyAlignment="1">
      <alignment horizontal="center"/>
    </xf>
    <xf numFmtId="186" fontId="0" fillId="0" borderId="0" xfId="0" applyNumberFormat="1"/>
    <xf numFmtId="187" fontId="0" fillId="0" borderId="0" xfId="0" applyNumberFormat="1"/>
    <xf numFmtId="0" fontId="0" fillId="0" borderId="0" xfId="0" quotePrefix="1"/>
    <xf numFmtId="188" fontId="0" fillId="0" borderId="0" xfId="0" applyNumberFormat="1"/>
    <xf numFmtId="0" fontId="0" fillId="0" borderId="0" xfId="0" applyAlignment="1">
      <alignment wrapText="1"/>
    </xf>
    <xf numFmtId="189" fontId="0" fillId="0" borderId="0" xfId="0" applyNumberFormat="1"/>
    <xf numFmtId="0" fontId="1" fillId="0" borderId="0" xfId="0" quotePrefix="1" applyFont="1" applyAlignment="1">
      <alignment vertical="center"/>
    </xf>
    <xf numFmtId="261" fontId="0" fillId="0" borderId="0" xfId="1" applyNumberFormat="1" applyFont="1"/>
    <xf numFmtId="261" fontId="0" fillId="0" borderId="0" xfId="1" applyNumberFormat="1" applyFont="1" applyFill="1" applyAlignment="1">
      <alignment horizontal="center"/>
    </xf>
    <xf numFmtId="0" fontId="1" fillId="0" borderId="0" xfId="0" applyFont="1" applyBorder="1" applyAlignment="1">
      <alignment vertical="center"/>
    </xf>
    <xf numFmtId="173" fontId="16" fillId="0" borderId="0" xfId="0" applyNumberFormat="1" applyFont="1"/>
    <xf numFmtId="313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178" fontId="0" fillId="0" borderId="0" xfId="1" applyNumberFormat="1" applyFont="1"/>
    <xf numFmtId="179" fontId="20" fillId="0" borderId="0" xfId="1" applyNumberFormat="1" applyFont="1" applyAlignment="1">
      <alignment vertical="center"/>
    </xf>
    <xf numFmtId="261" fontId="0" fillId="0" borderId="0" xfId="0" applyNumberFormat="1"/>
    <xf numFmtId="192" fontId="0" fillId="0" borderId="0" xfId="0" applyNumberFormat="1"/>
    <xf numFmtId="14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14" fontId="0" fillId="12" borderId="0" xfId="0" applyNumberFormat="1" applyFill="1" applyAlignment="1">
      <alignment horizontal="center"/>
    </xf>
    <xf numFmtId="14" fontId="0" fillId="0" borderId="0" xfId="0" applyNumberFormat="1"/>
    <xf numFmtId="192" fontId="0" fillId="0" borderId="0" xfId="16462" applyNumberFormat="1" applyFont="1" applyFill="1" applyAlignment="1">
      <alignment horizontal="center"/>
    </xf>
    <xf numFmtId="192" fontId="0" fillId="12" borderId="0" xfId="16462" applyNumberFormat="1" applyFont="1" applyFill="1" applyAlignment="1">
      <alignment horizontal="center"/>
    </xf>
    <xf numFmtId="192" fontId="0" fillId="0" borderId="0" xfId="16468" applyNumberFormat="1" applyFont="1" applyFill="1" applyAlignment="1">
      <alignment horizontal="center"/>
    </xf>
    <xf numFmtId="192" fontId="0" fillId="0" borderId="0" xfId="16464" applyNumberFormat="1" applyFont="1" applyFill="1" applyAlignment="1">
      <alignment horizontal="center"/>
    </xf>
    <xf numFmtId="192" fontId="0" fillId="12" borderId="0" xfId="16464" applyNumberFormat="1" applyFont="1" applyFill="1" applyAlignment="1">
      <alignment horizontal="center"/>
    </xf>
    <xf numFmtId="314" fontId="0" fillId="0" borderId="0" xfId="1" applyNumberFormat="1" applyFont="1"/>
    <xf numFmtId="3" fontId="3" fillId="0" borderId="0" xfId="0" applyNumberFormat="1" applyFont="1"/>
    <xf numFmtId="316" fontId="3" fillId="0" borderId="0" xfId="0" applyNumberFormat="1" applyFont="1"/>
    <xf numFmtId="166" fontId="3" fillId="0" borderId="0" xfId="0" applyNumberFormat="1" applyFont="1"/>
    <xf numFmtId="317" fontId="18" fillId="0" borderId="0" xfId="0" applyNumberFormat="1" applyFont="1" applyAlignment="1">
      <alignment vertical="center"/>
    </xf>
    <xf numFmtId="315" fontId="0" fillId="0" borderId="17" xfId="0" applyNumberFormat="1" applyBorder="1"/>
    <xf numFmtId="315" fontId="0" fillId="0" borderId="0" xfId="0" applyNumberFormat="1" applyBorder="1"/>
    <xf numFmtId="315" fontId="0" fillId="0" borderId="33" xfId="0" applyNumberFormat="1" applyBorder="1"/>
    <xf numFmtId="315" fontId="0" fillId="0" borderId="34" xfId="0" applyNumberFormat="1" applyBorder="1"/>
    <xf numFmtId="318" fontId="0" fillId="0" borderId="0" xfId="1" applyNumberFormat="1" applyFont="1"/>
    <xf numFmtId="318" fontId="0" fillId="0" borderId="30" xfId="1" applyNumberFormat="1" applyFont="1" applyBorder="1"/>
    <xf numFmtId="318" fontId="0" fillId="0" borderId="0" xfId="1" applyNumberFormat="1" applyFont="1" applyBorder="1"/>
    <xf numFmtId="318" fontId="0" fillId="0" borderId="34" xfId="1" applyNumberFormat="1" applyFont="1" applyBorder="1"/>
    <xf numFmtId="318" fontId="0" fillId="0" borderId="31" xfId="1" applyNumberFormat="1" applyFont="1" applyBorder="1"/>
    <xf numFmtId="318" fontId="0" fillId="0" borderId="32" xfId="1" applyNumberFormat="1" applyFont="1" applyBorder="1"/>
    <xf numFmtId="261" fontId="0" fillId="0" borderId="30" xfId="1" applyNumberFormat="1" applyFont="1" applyBorder="1"/>
    <xf numFmtId="261" fontId="0" fillId="0" borderId="0" xfId="1" applyNumberFormat="1" applyFont="1" applyBorder="1"/>
    <xf numFmtId="261" fontId="0" fillId="0" borderId="34" xfId="1" applyNumberFormat="1" applyFont="1" applyBorder="1"/>
    <xf numFmtId="185" fontId="0" fillId="0" borderId="0" xfId="0" applyNumberFormat="1" applyFont="1"/>
    <xf numFmtId="0" fontId="28" fillId="0" borderId="0" xfId="0" applyFont="1"/>
    <xf numFmtId="3" fontId="0" fillId="0" borderId="0" xfId="0" applyNumberFormat="1"/>
    <xf numFmtId="3" fontId="0" fillId="0" borderId="0" xfId="0" applyNumberFormat="1" applyFont="1"/>
    <xf numFmtId="166" fontId="0" fillId="0" borderId="0" xfId="1" applyNumberFormat="1" applyFont="1" applyBorder="1"/>
    <xf numFmtId="166" fontId="0" fillId="0" borderId="0" xfId="0" applyNumberFormat="1" applyBorder="1"/>
    <xf numFmtId="0" fontId="29" fillId="0" borderId="0" xfId="0" applyFont="1" applyBorder="1"/>
    <xf numFmtId="14" fontId="0" fillId="81" borderId="0" xfId="0" applyNumberFormat="1" applyFill="1"/>
    <xf numFmtId="0" fontId="22" fillId="9" borderId="0" xfId="0" applyFont="1" applyFill="1" applyAlignment="1"/>
    <xf numFmtId="14" fontId="15" fillId="2" borderId="1" xfId="0" applyNumberFormat="1" applyFont="1" applyFill="1" applyBorder="1" applyAlignment="1">
      <alignment horizontal="center" vertical="center"/>
    </xf>
    <xf numFmtId="14" fontId="15" fillId="2" borderId="2" xfId="0" applyNumberFormat="1" applyFont="1" applyFill="1" applyBorder="1" applyAlignment="1">
      <alignment horizontal="center" vertical="center"/>
    </xf>
  </cellXfs>
  <cellStyles count="16472">
    <cellStyle name="$" xfId="7278"/>
    <cellStyle name="$_01 AVP_ Project Infinitum" xfId="7277"/>
    <cellStyle name="$_01_WACC Colombia_Analysis" xfId="7276"/>
    <cellStyle name="$_04 WACC Vivax" xfId="7275"/>
    <cellStyle name="$_avp" xfId="7274"/>
    <cellStyle name="$_AVP_ NewCo" xfId="7273"/>
    <cellStyle name="$_Quadro Comparativo_CRI 400_BR Properties (Modulos+TNU) 20100629 v1 (2)" xfId="7272"/>
    <cellStyle name="$_Sovereign Bonds 060705" xfId="9236"/>
    <cellStyle name="$_Sovereign Bonds 060705 (version 1)" xfId="9367"/>
    <cellStyle name="$_Sovereign Bonds 060705 (version 1)_01 NET DCF Model" xfId="7271"/>
    <cellStyle name="$_Sovereign Bonds 060705 (version 1)_03 Embratel DCF Model_Loscos" xfId="7270"/>
    <cellStyle name="$_Sovereign Bonds 060705 (version 1)_03 Embratel DCF Model_Loscos_Quadro Comparativo_CRI 400_BR Properties (Modulos+TNU) 20100629 v1 (2)" xfId="7269"/>
    <cellStyle name="$_Sovereign Bonds 060705 (version 1)_05 NET DCF Model" xfId="7268"/>
    <cellStyle name="$_Sovereign Bonds 060705 (version 1)_05 TMX Brazil DCF Model" xfId="7267"/>
    <cellStyle name="$_Sovereign Bonds 060705 (version 1)_Quadro Comparativo_CRI 400_BR Properties (Modulos+TNU) 20100629 v1 (2)" xfId="7266"/>
    <cellStyle name="$_Sovereign Bonds 060705_1" xfId="7265"/>
    <cellStyle name="$_Sovereign Bonds 060705_1_01 NET DCF Model" xfId="7264"/>
    <cellStyle name="$_Sovereign Bonds 060705_1_03 Embratel DCF Model_Loscos" xfId="9233"/>
    <cellStyle name="$_Sovereign Bonds 060705_1_03 Embratel DCF Model_Loscos_Quadro Comparativo_CRI 400_BR Properties (Modulos+TNU) 20100629 v1 (2)" xfId="9364"/>
    <cellStyle name="$_Sovereign Bonds 060705_1_05 NET DCF Model" xfId="7263"/>
    <cellStyle name="$_Sovereign Bonds 060705_1_05 TMX Brazil DCF Model" xfId="7262"/>
    <cellStyle name="$_Sovereign Bonds 060705_1_Quadro Comparativo_CRI 400_BR Properties (Modulos+TNU) 20100629 v1 (2)" xfId="7261"/>
    <cellStyle name="$_Sovereign Bonds 060705_Quadro Comparativo_CRI 400_BR Properties (Modulos+TNU) 20100629 v1 (2)" xfId="9235"/>
    <cellStyle name="$0" xfId="9366"/>
    <cellStyle name="$0,000" xfId="7260"/>
    <cellStyle name="$0,000.0" xfId="7259"/>
    <cellStyle name="$0,000.00" xfId="7258"/>
    <cellStyle name="$0,000.000" xfId="7257"/>
    <cellStyle name="$0,000.0000" xfId="9234"/>
    <cellStyle name="$0,000_Dados por segmento julho 06" xfId="9365"/>
    <cellStyle name="$0.00" xfId="7256"/>
    <cellStyle name="$0.000" xfId="7255"/>
    <cellStyle name="$0.0000" xfId="7254"/>
    <cellStyle name="$0_Dados por segmento julho 06" xfId="7253"/>
    <cellStyle name=";;;" xfId="85"/>
    <cellStyle name="_%(SignOnly)" xfId="7252"/>
    <cellStyle name="_%(SignSpaceOnly)" xfId="7251"/>
    <cellStyle name="_Comma" xfId="7250"/>
    <cellStyle name="_Comma_01 AVP_ Project Infinitum" xfId="7249"/>
    <cellStyle name="_Comma_02 Backup Charts" xfId="7248"/>
    <cellStyle name="_Comma_avp" xfId="7247"/>
    <cellStyle name="_Comma_AVP_ NewCo" xfId="9228"/>
    <cellStyle name="_Comma_Brazil bond data" xfId="9359"/>
    <cellStyle name="_Comma_dcf" xfId="7246"/>
    <cellStyle name="_Comma_LA WACC Discount_1" xfId="7245"/>
    <cellStyle name="_Comma_Oil &amp; Gas betas" xfId="7244"/>
    <cellStyle name="_Comma_WACC Analysis" xfId="7243"/>
    <cellStyle name="_Comma_WACC Analysis_4b_0827_2" xfId="7242"/>
    <cellStyle name="_Control" xfId="2780"/>
    <cellStyle name="_CUPOM" xfId="2781"/>
    <cellStyle name="_Currency" xfId="7241"/>
    <cellStyle name="_Currency_01 AVP_ Project Infinitum" xfId="7240"/>
    <cellStyle name="_Currency_01 TMX BR Revenue mix" xfId="9231"/>
    <cellStyle name="_Currency_02 Backup Charts" xfId="9362"/>
    <cellStyle name="_Currency_02 Blended and actual_Telmex_ buying_ NET" xfId="7239"/>
    <cellStyle name="_Currency_02 TMX Brazil Management Projections_R$" xfId="7238"/>
    <cellStyle name="_Currency_03 Projections Comparison - Infinitum" xfId="7237"/>
    <cellStyle name="_Currency_04 WACC Vivax" xfId="7236"/>
    <cellStyle name="_Currency_05 Embratel DCF Model_NEW" xfId="7235"/>
    <cellStyle name="_Currency_12 Blended and actual _Telmex_buying_Embratel" xfId="7234"/>
    <cellStyle name="_Currency_avp" xfId="7233"/>
    <cellStyle name="_Currency_AVP_ NewCo" xfId="7232"/>
    <cellStyle name="_Currency_Brazil bond data" xfId="9229"/>
    <cellStyle name="_Currency_dcf" xfId="9360"/>
    <cellStyle name="_Currency_dcf_01_WACC Colombia_Analysis" xfId="7231"/>
    <cellStyle name="_Currency_dcf_04 WACC Vivax" xfId="7230"/>
    <cellStyle name="_Currency_dcf_Dados por segmento julho 06" xfId="7229"/>
    <cellStyle name="_Currency_dcf_Sovereign Bonds 060705" xfId="7228"/>
    <cellStyle name="_Currency_dcf_Sovereign Bonds 060705 (version 1)" xfId="7227"/>
    <cellStyle name="_Currency_dcf_Sovereign Bonds 060705 (version 1)_01 NET DCF Model" xfId="7226"/>
    <cellStyle name="_Currency_dcf_Sovereign Bonds 060705 (version 1)_03 Embratel DCF Model_Loscos" xfId="7225"/>
    <cellStyle name="_Currency_dcf_Sovereign Bonds 060705 (version 1)_05 NET DCF Model" xfId="9230"/>
    <cellStyle name="_Currency_dcf_Sovereign Bonds 060705 (version 1)_05 TMX Brazil DCF Model" xfId="9361"/>
    <cellStyle name="_Currency_dcf_Sovereign Bonds 060705_01 NET DCF Model" xfId="7224"/>
    <cellStyle name="_Currency_dcf_Sovereign Bonds 060705_03 Embratel DCF Model_Loscos" xfId="7223"/>
    <cellStyle name="_Currency_dcf_Sovereign Bonds 060705_05 NET DCF Model" xfId="7222"/>
    <cellStyle name="_Currency_dcf_Sovereign Bonds 060705_05 TMX Brazil DCF Model" xfId="7221"/>
    <cellStyle name="_Currency_EMT Management Assumptions_v2" xfId="7220"/>
    <cellStyle name="_Currency_LA WACC Discount_1" xfId="7219"/>
    <cellStyle name="_Currency_LA WACC Discount_1_Dados por segmento julho 06" xfId="7218"/>
    <cellStyle name="_Currency_LA WACC Discount_1_Sovereign Bonds 060705" xfId="7217"/>
    <cellStyle name="_Currency_LA WACC Discount_1_Sovereign Bonds 060705 (version 1)" xfId="7216"/>
    <cellStyle name="_Currency_LA WACC Discount_1_Sovereign Bonds 060705 (version 1)_01 NET DCF Model" xfId="7215"/>
    <cellStyle name="_Currency_LA WACC Discount_1_Sovereign Bonds 060705 (version 1)_03 Embratel DCF Model_Loscos" xfId="9224"/>
    <cellStyle name="_Currency_LA WACC Discount_1_Sovereign Bonds 060705 (version 1)_05 NET DCF Model" xfId="9355"/>
    <cellStyle name="_Currency_LA WACC Discount_1_Sovereign Bonds 060705 (version 1)_05 TMX Brazil DCF Model" xfId="7214"/>
    <cellStyle name="_Currency_LA WACC Discount_1_Sovereign Bonds 060705_01 NET DCF Model" xfId="7213"/>
    <cellStyle name="_Currency_LA WACC Discount_1_Sovereign Bonds 060705_03 Embratel DCF Model_Loscos" xfId="7212"/>
    <cellStyle name="_Currency_LA WACC Discount_1_Sovereign Bonds 060705_05 NET DCF Model" xfId="7211"/>
    <cellStyle name="_Currency_LA WACC Discount_1_Sovereign Bonds 060705_05 TMX Brazil DCF Model" xfId="7210"/>
    <cellStyle name="_Currency_Net Management Projections_2" xfId="7209"/>
    <cellStyle name="_Currency_Oil &amp; Gas betas" xfId="7208"/>
    <cellStyle name="_Currency_Pay TV Subscribers" xfId="9227"/>
    <cellStyle name="_Currency_Revenue Mix Chart" xfId="9358"/>
    <cellStyle name="_Currency_Sovereign Bonds 060705" xfId="7207"/>
    <cellStyle name="_Currency_Sovereign Bonds 060705 (version 1)" xfId="7206"/>
    <cellStyle name="_Currency_Sovereign Bonds 060705_1" xfId="7205"/>
    <cellStyle name="_Currency_Sovereign Bonds 060705_Dados por segmento julho 06" xfId="7204"/>
    <cellStyle name="_Currency_Urca Final Model" xfId="7203"/>
    <cellStyle name="_Currency_Urca Final Model_01_WACC Colombia_Analysis" xfId="7202"/>
    <cellStyle name="_Currency_Urca Final Model_04 WACC Vivax" xfId="7201"/>
    <cellStyle name="_Currency_Urca Final Model_Dados por segmento julho 06" xfId="7200"/>
    <cellStyle name="_Currency_Urca Final Model_Sovereign Bonds 060705" xfId="9225"/>
    <cellStyle name="_Currency_Urca Final Model_Sovereign Bonds 060705 (version 1)" xfId="9356"/>
    <cellStyle name="_Currency_Urca Final Model_Sovereign Bonds 060705 (version 1)_01 NET DCF Model" xfId="7199"/>
    <cellStyle name="_Currency_Urca Final Model_Sovereign Bonds 060705 (version 1)_03 Embratel DCF Model_Loscos" xfId="7198"/>
    <cellStyle name="_Currency_Urca Final Model_Sovereign Bonds 060705 (version 1)_05 NET DCF Model" xfId="7197"/>
    <cellStyle name="_Currency_Urca Final Model_Sovereign Bonds 060705 (version 1)_05 TMX Brazil DCF Model" xfId="7196"/>
    <cellStyle name="_Currency_Urca Final Model_Sovereign Bonds 060705_01 NET DCF Model" xfId="7195"/>
    <cellStyle name="_Currency_Urca Final Model_Sovereign Bonds 060705_03 Embratel DCF Model_Loscos" xfId="7194"/>
    <cellStyle name="_Currency_Urca Final Model_Sovereign Bonds 060705_05 NET DCF Model" xfId="7193"/>
    <cellStyle name="_Currency_Urca Final Model_Sovereign Bonds 060705_05 TMX Brazil DCF Model" xfId="9226"/>
    <cellStyle name="_Currency_WACC Analysis" xfId="9357"/>
    <cellStyle name="_Currency_WACC Analysis_4b_0827_2" xfId="7192"/>
    <cellStyle name="_Currency_WACC Analysis_4b_0827_2_Dados por segmento julho 06" xfId="7191"/>
    <cellStyle name="_Currency_WACC Analysis_4b_0827_2_Sovereign Bonds 060705" xfId="7190"/>
    <cellStyle name="_Currency_WACC Analysis_4b_0827_2_Sovereign Bonds 060705 (version 1)" xfId="7189"/>
    <cellStyle name="_Currency_WACC Analysis_4b_0827_2_Sovereign Bonds 060705 (version 1)_01 NET DCF Model" xfId="7188"/>
    <cellStyle name="_Currency_WACC Analysis_4b_0827_2_Sovereign Bonds 060705 (version 1)_03 Embratel DCF Model_Loscos" xfId="7187"/>
    <cellStyle name="_Currency_WACC Analysis_4b_0827_2_Sovereign Bonds 060705 (version 1)_05 NET DCF Model" xfId="7186"/>
    <cellStyle name="_Currency_WACC Analysis_4b_0827_2_Sovereign Bonds 060705 (version 1)_05 TMX Brazil DCF Model" xfId="7185"/>
    <cellStyle name="_Currency_WACC Analysis_4b_0827_2_Sovereign Bonds 060705_01 NET DCF Model" xfId="7184"/>
    <cellStyle name="_Currency_WACC Analysis_4b_0827_2_Sovereign Bonds 060705_03 Embratel DCF Model_Loscos" xfId="7183"/>
    <cellStyle name="_Currency_WACC Analysis_4b_0827_2_Sovereign Bonds 060705_05 NET DCF Model" xfId="7182"/>
    <cellStyle name="_Currency_WACC Analysis_4b_0827_2_Sovereign Bonds 060705_05 TMX Brazil DCF Model" xfId="9220"/>
    <cellStyle name="_CurrencySpace" xfId="9351"/>
    <cellStyle name="_CurrencySpace_01 AVP_ Project Infinitum" xfId="7181"/>
    <cellStyle name="_CurrencySpace_01 TMX BR Revenue mix" xfId="7180"/>
    <cellStyle name="_CurrencySpace_02 Backup Charts" xfId="7179"/>
    <cellStyle name="_CurrencySpace_02 Blended and actual_Telmex_ buying_ NET" xfId="7178"/>
    <cellStyle name="_CurrencySpace_02 TMX Brazil Management Projections_R$" xfId="7177"/>
    <cellStyle name="_CurrencySpace_03 Projections Comparison - Infinitum" xfId="7176"/>
    <cellStyle name="_CurrencySpace_04 WACC Vivax" xfId="7175"/>
    <cellStyle name="_CurrencySpace_05 Embratel DCF Model_NEW" xfId="9223"/>
    <cellStyle name="_CurrencySpace_12 Blended and actual _Telmex_buying_Embratel" xfId="9354"/>
    <cellStyle name="_CurrencySpace_avp" xfId="7174"/>
    <cellStyle name="_CurrencySpace_AVP_ NewCo" xfId="7173"/>
    <cellStyle name="_CurrencySpace_Brazil bond data" xfId="7172"/>
    <cellStyle name="_CurrencySpace_dcf" xfId="7171"/>
    <cellStyle name="_CurrencySpace_EMT Management Assumptions_v2" xfId="7170"/>
    <cellStyle name="_CurrencySpace_LA WACC Discount_1" xfId="7169"/>
    <cellStyle name="_CurrencySpace_merval_argent_correl" xfId="7168"/>
    <cellStyle name="_CurrencySpace_Net Management Projections_2" xfId="7167"/>
    <cellStyle name="_CurrencySpace_Oil &amp; Gas betas" xfId="7166"/>
    <cellStyle name="_CurrencySpace_Pay TV Subscribers" xfId="9221"/>
    <cellStyle name="_CurrencySpace_Revenue Mix Chart" xfId="9352"/>
    <cellStyle name="_CurrencySpace_Sovereign Bonds 060705" xfId="7165"/>
    <cellStyle name="_CurrencySpace_Sovereign Bonds 060705 (version 1)" xfId="7164"/>
    <cellStyle name="_CurrencySpace_Sovereign Bonds 060705_1" xfId="7163"/>
    <cellStyle name="_CurrencySpace_Sovereign Bonds 060705_Dados por segmento julho 06" xfId="7162"/>
    <cellStyle name="_CurrencySpace_WACC Analysis" xfId="7161"/>
    <cellStyle name="_CurrencySpace_WACC Analysis_4b_0827_2" xfId="7160"/>
    <cellStyle name="_Dados Menu" xfId="2782"/>
    <cellStyle name="_Euro" xfId="7159"/>
    <cellStyle name="_Euro_01 AVP_ Project Infinitum" xfId="9222"/>
    <cellStyle name="_Euro_01 TMX BR Revenue mix" xfId="9353"/>
    <cellStyle name="_Euro_02 Blended and actual_Telmex_ buying_ NET" xfId="7158"/>
    <cellStyle name="_Euro_02 TMX Brazil Management Projections_R$" xfId="7157"/>
    <cellStyle name="_Euro_03 Projections Comparison - Infinitum" xfId="7156"/>
    <cellStyle name="_Euro_04 WACC Vivax" xfId="7155"/>
    <cellStyle name="_Euro_05 Embratel DCF Model_NEW" xfId="7154"/>
    <cellStyle name="_Euro_12 Blended and actual _Telmex_buying_Embratel" xfId="7153"/>
    <cellStyle name="_Euro_EMT Management Assumptions_v2" xfId="7152"/>
    <cellStyle name="_Euro_Net Management Projections_2" xfId="7151"/>
    <cellStyle name="_Euro_Pay TV Subscribers" xfId="7150"/>
    <cellStyle name="_Euro_Revenue Mix Chart" xfId="7149"/>
    <cellStyle name="_Euro_Sovereign Bonds 060705" xfId="7148"/>
    <cellStyle name="_Euro_Sovereign Bonds 060705 (version 1)" xfId="9209"/>
    <cellStyle name="_Euro_Sovereign Bonds 060705_1" xfId="9341"/>
    <cellStyle name="_Euro_Sovereign Bonds 060705_Dados por segmento julho 06" xfId="9219"/>
    <cellStyle name="_FERIADOS" xfId="2783"/>
    <cellStyle name="_Heading" xfId="9218"/>
    <cellStyle name="_Heading_02 TMX Brazil Management Projections_R$" xfId="9350"/>
    <cellStyle name="_Heading_02 TMX Brazil Management Projections_R$_BR_Malls_CRI_20090819" xfId="7147"/>
    <cellStyle name="_Heading_02 TMX Brazil Management Projections_R$_BR_Malls_CRI_20090918" xfId="9216"/>
    <cellStyle name="_Heading_02 TMX Brazil Management Projections_R$_Petrobras_CRI_20100526" xfId="9348"/>
    <cellStyle name="_Heading_02 WACC" xfId="9217"/>
    <cellStyle name="_Heading_02 WACC_BR_Malls_CRI_20090819" xfId="9349"/>
    <cellStyle name="_Heading_02 WACC_BR_Malls_CRI_20090918" xfId="7146"/>
    <cellStyle name="_Heading_02 WACC_Petrobras_CRI_20100526" xfId="7145"/>
    <cellStyle name="_Heading_05 WACC" xfId="9214"/>
    <cellStyle name="_Heading_05 WACC_BR_Malls_CRI_20090819" xfId="9346"/>
    <cellStyle name="_Heading_05 WACC_BR_Malls_CRI_20090918" xfId="7144"/>
    <cellStyle name="_Heading_05 WACC_Petrobras_CRI_20100526" xfId="9215"/>
    <cellStyle name="_Heading_10 yr UST data" xfId="9347"/>
    <cellStyle name="_Heading_10 yr UST data_Tamboré 31-03-09" xfId="7143"/>
    <cellStyle name="_Heading_10 yr UST data_Tamboré 31-03-09_BR_Malls_CRI_20090819" xfId="7142"/>
    <cellStyle name="_Heading_10 yr UST data_Tamboré 31-03-09_BR_Malls_CRI_20090918" xfId="7141"/>
    <cellStyle name="_Heading_10 yr UST data_Tamboré 31-03-09_Petrobras_CRI_20100526" xfId="9212"/>
    <cellStyle name="_Heading_Beatles WACC Calculation" xfId="9344"/>
    <cellStyle name="_Heading_Beatles WACC Calculation_BR_Malls_CRI_20090819" xfId="7140"/>
    <cellStyle name="_Heading_Beatles WACC Calculation_BR_Malls_CRI_20090918" xfId="7139"/>
    <cellStyle name="_Heading_Beatles WACC Calculation_Petrobras_CRI_20100526" xfId="7138"/>
    <cellStyle name="_Heading_prestemp" xfId="9213"/>
    <cellStyle name="_Heading_prestemp_Tamboré 31-03-09" xfId="9345"/>
    <cellStyle name="_Heading_prestemp_Tamboré 31-03-09_BR_Malls_CRI_20090819" xfId="7137"/>
    <cellStyle name="_Heading_prestemp_Tamboré 31-03-09_BR_Malls_CRI_20090918" xfId="7136"/>
    <cellStyle name="_Heading_prestemp_Tamboré 31-03-09_Petrobras_CRI_20100526" xfId="7135"/>
    <cellStyle name="_Heading_Tamboré 31-03-09" xfId="7134"/>
    <cellStyle name="_Heading_Tamboré 31-03-09_BR_Malls_CRI_20090819" xfId="7133"/>
    <cellStyle name="_Heading_Tamboré 31-03-09_BR_Malls_CRI_20090918" xfId="7132"/>
    <cellStyle name="_Heading_Tamboré 31-03-09_Petrobras_CRI_20100526" xfId="9210"/>
    <cellStyle name="_Headline" xfId="9342"/>
    <cellStyle name="_Headline_BR_Malls_CRI_20090819" xfId="7131"/>
    <cellStyle name="_Headline_BR_Malls_CRI_20090918" xfId="7130"/>
    <cellStyle name="_Headline_Petrobras_CRI_20100526" xfId="7129"/>
    <cellStyle name="_Highlight" xfId="7128"/>
    <cellStyle name="_IRS" xfId="2784"/>
    <cellStyle name="_Multiple" xfId="7127"/>
    <cellStyle name="_Multiple_01 AVP_ Project Infinitum" xfId="7126"/>
    <cellStyle name="_Multiple_01 TMX BR Revenue mix" xfId="7125"/>
    <cellStyle name="_Multiple_02 Backup Charts" xfId="9211"/>
    <cellStyle name="_Multiple_02 Blended and actual_Telmex_ buying_ NET" xfId="9343"/>
    <cellStyle name="_Multiple_02 TMX Brazil Management Projections_R$" xfId="7124"/>
    <cellStyle name="_Multiple_03 Projections Comparison - Infinitum" xfId="7123"/>
    <cellStyle name="_Multiple_04 WACC Vivax" xfId="7122"/>
    <cellStyle name="_Multiple_05 Embratel DCF Model_NEW" xfId="7121"/>
    <cellStyle name="_Multiple_12 Blended and actual _Telmex_buying_Embratel" xfId="7120"/>
    <cellStyle name="_Multiple_avp" xfId="7119"/>
    <cellStyle name="_Multiple_AVP_ NewCo" xfId="7118"/>
    <cellStyle name="_Multiple_Brazil bond data" xfId="7117"/>
    <cellStyle name="_Multiple_dcf" xfId="7116"/>
    <cellStyle name="_Multiple_dcf_01_WACC Colombia_Analysis" xfId="7115"/>
    <cellStyle name="_Multiple_dcf_04 WACC Vivax" xfId="7114"/>
    <cellStyle name="_Multiple_dcf_Sovereign Bonds 060705" xfId="9331"/>
    <cellStyle name="_Multiple_dcf_Sovereign Bonds 060705 (version 1)" xfId="9208"/>
    <cellStyle name="_Multiple_dcf_Sovereign Bonds 060705 (version 1)_01 NET DCF Model" xfId="9207"/>
    <cellStyle name="_Multiple_dcf_Sovereign Bonds 060705 (version 1)_03 Embratel DCF Model_Loscos" xfId="9206"/>
    <cellStyle name="_Multiple_dcf_Sovereign Bonds 060705 (version 1)_05 NET DCF Model" xfId="9340"/>
    <cellStyle name="_Multiple_dcf_Sovereign Bonds 060705 (version 1)_05 TMX Brazil DCF Model" xfId="7113"/>
    <cellStyle name="_Multiple_dcf_Sovereign Bonds 060705_01 NET DCF Model" xfId="9204"/>
    <cellStyle name="_Multiple_dcf_Sovereign Bonds 060705_03 Embratel DCF Model_Loscos" xfId="9338"/>
    <cellStyle name="_Multiple_dcf_Sovereign Bonds 060705_05 NET DCF Model" xfId="9205"/>
    <cellStyle name="_Multiple_dcf_Sovereign Bonds 060705_05 TMX Brazil DCF Model" xfId="9339"/>
    <cellStyle name="_Multiple_EMT Management Assumptions_v2" xfId="7112"/>
    <cellStyle name="_Multiple_LA WACC Discount_1" xfId="7111"/>
    <cellStyle name="_Multiple_LA WACC Discount_1_Sovereign Bonds 060705" xfId="9202"/>
    <cellStyle name="_Multiple_LA WACC Discount_1_Sovereign Bonds 060705 (version 1)" xfId="9336"/>
    <cellStyle name="_Multiple_LA WACC Discount_1_Sovereign Bonds 060705 (version 1)_01 NET DCF Model" xfId="7110"/>
    <cellStyle name="_Multiple_LA WACC Discount_1_Sovereign Bonds 060705 (version 1)_03 Embratel DCF Model_Loscos" xfId="9203"/>
    <cellStyle name="_Multiple_LA WACC Discount_1_Sovereign Bonds 060705 (version 1)_05 NET DCF Model" xfId="9337"/>
    <cellStyle name="_Multiple_LA WACC Discount_1_Sovereign Bonds 060705 (version 1)_05 TMX Brazil DCF Model" xfId="7109"/>
    <cellStyle name="_Multiple_LA WACC Discount_1_Sovereign Bonds 060705_01 NET DCF Model" xfId="7108"/>
    <cellStyle name="_Multiple_LA WACC Discount_1_Sovereign Bonds 060705_03 Embratel DCF Model_Loscos" xfId="7107"/>
    <cellStyle name="_Multiple_LA WACC Discount_1_Sovereign Bonds 060705_05 NET DCF Model" xfId="9200"/>
    <cellStyle name="_Multiple_LA WACC Discount_1_Sovereign Bonds 060705_05 TMX Brazil DCF Model" xfId="9334"/>
    <cellStyle name="_Multiple_Net Management Projections_2" xfId="7106"/>
    <cellStyle name="_Multiple_Oil &amp; Gas betas" xfId="7105"/>
    <cellStyle name="_Multiple_Pay TV Subscribers" xfId="7104"/>
    <cellStyle name="_Multiple_Revenue Mix Chart" xfId="9201"/>
    <cellStyle name="_Multiple_Sovereign Bonds 060705" xfId="9335"/>
    <cellStyle name="_Multiple_Sovereign Bonds 060705 (version 1)" xfId="7103"/>
    <cellStyle name="_Multiple_Sovereign Bonds 060705_1" xfId="7102"/>
    <cellStyle name="_Multiple_Sovereign Bonds 060705_Dados por segmento julho 06" xfId="7101"/>
    <cellStyle name="_Multiple_v4_Dealcomp_distribution" xfId="7100"/>
    <cellStyle name="_Multiple_WACC Analysis" xfId="7099"/>
    <cellStyle name="_Multiple_WACC Analysis_4b_0827_2" xfId="7098"/>
    <cellStyle name="_Multiple_WACC Analysis_4b_0827_2_Sovereign Bonds 060705" xfId="9198"/>
    <cellStyle name="_Multiple_WACC Analysis_4b_0827_2_Sovereign Bonds 060705 (version 1)" xfId="9332"/>
    <cellStyle name="_Multiple_WACC Analysis_4b_0827_2_Sovereign Bonds 060705 (version 1)_01 NET DCF Model" xfId="7097"/>
    <cellStyle name="_Multiple_WACC Analysis_4b_0827_2_Sovereign Bonds 060705 (version 1)_03 Embratel DCF Model_Loscos" xfId="7096"/>
    <cellStyle name="_Multiple_WACC Analysis_4b_0827_2_Sovereign Bonds 060705 (version 1)_05 NET DCF Model" xfId="7095"/>
    <cellStyle name="_Multiple_WACC Analysis_4b_0827_2_Sovereign Bonds 060705 (version 1)_05 TMX Brazil DCF Model" xfId="7094"/>
    <cellStyle name="_Multiple_WACC Analysis_4b_0827_2_Sovereign Bonds 060705_01 NET DCF Model" xfId="7093"/>
    <cellStyle name="_Multiple_WACC Analysis_4b_0827_2_Sovereign Bonds 060705_03 Embratel DCF Model_Loscos" xfId="7092"/>
    <cellStyle name="_Multiple_WACC Analysis_4b_0827_2_Sovereign Bonds 060705_05 NET DCF Model" xfId="7091"/>
    <cellStyle name="_Multiple_WACC Analysis_4b_0827_2_Sovereign Bonds 060705_05 TMX Brazil DCF Model" xfId="9199"/>
    <cellStyle name="_MultipleSpace" xfId="9333"/>
    <cellStyle name="_MultipleSpace_01 AVP_ Project Infinitum" xfId="7090"/>
    <cellStyle name="_MultipleSpace_01 TMX BR Revenue mix" xfId="7089"/>
    <cellStyle name="_MultipleSpace_02 Backup Charts" xfId="7088"/>
    <cellStyle name="_MultipleSpace_02 Blended and actual_Telmex_ buying_ NET" xfId="7087"/>
    <cellStyle name="_MultipleSpace_02 TMX Brazil Management Projections_R$" xfId="7086"/>
    <cellStyle name="_MultipleSpace_03 Projections Comparison - Infinitum" xfId="7085"/>
    <cellStyle name="_MultipleSpace_04 WACC Vivax" xfId="7084"/>
    <cellStyle name="_MultipleSpace_05 Embratel DCF Model_NEW" xfId="7083"/>
    <cellStyle name="_MultipleSpace_12 Blended and actual _Telmex_buying_Embratel" xfId="7082"/>
    <cellStyle name="_MultipleSpace_avp" xfId="7081"/>
    <cellStyle name="_MultipleSpace_AVP_ NewCo" xfId="9197"/>
    <cellStyle name="_MultipleSpace_Brazil bond data" xfId="9196"/>
    <cellStyle name="_MultipleSpace_dcf" xfId="9195"/>
    <cellStyle name="_MultipleSpace_dcf_01_WACC Colombia_Analysis" xfId="9330"/>
    <cellStyle name="_MultipleSpace_dcf_04 WACC Vivax" xfId="7080"/>
    <cellStyle name="_MultipleSpace_dcf_Sovereign Bonds 060705" xfId="9193"/>
    <cellStyle name="_MultipleSpace_dcf_Sovereign Bonds 060705 (version 1)" xfId="9328"/>
    <cellStyle name="_MultipleSpace_dcf_Sovereign Bonds 060705 (version 1)_01 NET DCF Model" xfId="9194"/>
    <cellStyle name="_MultipleSpace_dcf_Sovereign Bonds 060705 (version 1)_03 Embratel DCF Model_Loscos" xfId="9329"/>
    <cellStyle name="_MultipleSpace_dcf_Sovereign Bonds 060705 (version 1)_05 NET DCF Model" xfId="7079"/>
    <cellStyle name="_MultipleSpace_dcf_Sovereign Bonds 060705 (version 1)_05 TMX Brazil DCF Model" xfId="7078"/>
    <cellStyle name="_MultipleSpace_dcf_Sovereign Bonds 060705_01 NET DCF Model" xfId="9191"/>
    <cellStyle name="_MultipleSpace_dcf_Sovereign Bonds 060705_03 Embratel DCF Model_Loscos" xfId="9326"/>
    <cellStyle name="_MultipleSpace_dcf_Sovereign Bonds 060705_05 NET DCF Model" xfId="7077"/>
    <cellStyle name="_MultipleSpace_dcf_Sovereign Bonds 060705_05 TMX Brazil DCF Model" xfId="9192"/>
    <cellStyle name="_MultipleSpace_EMT Management Assumptions_v2" xfId="9327"/>
    <cellStyle name="_MultipleSpace_LA WACC Discount_1" xfId="7076"/>
    <cellStyle name="_MultipleSpace_LA WACC Discount_1_Sovereign Bonds 060705" xfId="7075"/>
    <cellStyle name="_MultipleSpace_LA WACC Discount_1_Sovereign Bonds 060705 (version 1)" xfId="7074"/>
    <cellStyle name="_MultipleSpace_LA WACC Discount_1_Sovereign Bonds 060705 (version 1)_01 NET DCF Model" xfId="9189"/>
    <cellStyle name="_MultipleSpace_LA WACC Discount_1_Sovereign Bonds 060705 (version 1)_03 Embratel DCF Model_Loscos" xfId="9324"/>
    <cellStyle name="_MultipleSpace_LA WACC Discount_1_Sovereign Bonds 060705 (version 1)_05 NET DCF Model" xfId="7073"/>
    <cellStyle name="_MultipleSpace_LA WACC Discount_1_Sovereign Bonds 060705 (version 1)_05 TMX Brazil DCF Model" xfId="7072"/>
    <cellStyle name="_MultipleSpace_LA WACC Discount_1_Sovereign Bonds 060705_01 NET DCF Model" xfId="7071"/>
    <cellStyle name="_MultipleSpace_LA WACC Discount_1_Sovereign Bonds 060705_03 Embratel DCF Model_Loscos" xfId="9190"/>
    <cellStyle name="_MultipleSpace_LA WACC Discount_1_Sovereign Bonds 060705_05 NET DCF Model" xfId="9325"/>
    <cellStyle name="_MultipleSpace_LA WACC Discount_1_Sovereign Bonds 060705_05 TMX Brazil DCF Model" xfId="7070"/>
    <cellStyle name="_MultipleSpace_Net Management Projections_2" xfId="7069"/>
    <cellStyle name="_MultipleSpace_Oil &amp; Gas betas" xfId="7068"/>
    <cellStyle name="_MultipleSpace_Pay TV Subscribers" xfId="7067"/>
    <cellStyle name="_MultipleSpace_Revenue Mix Chart" xfId="7066"/>
    <cellStyle name="_MultipleSpace_Sovereign Bonds 060705" xfId="7065"/>
    <cellStyle name="_MultipleSpace_Sovereign Bonds 060705 (version 1)" xfId="9187"/>
    <cellStyle name="_MultipleSpace_Sovereign Bonds 060705 (version 1)_01 NET DCF Model" xfId="9322"/>
    <cellStyle name="_MultipleSpace_Sovereign Bonds 060705 (version 1)_03 Embratel DCF Model_Loscos" xfId="7064"/>
    <cellStyle name="_MultipleSpace_Sovereign Bonds 060705 (version 1)_05 NET DCF Model" xfId="7063"/>
    <cellStyle name="_MultipleSpace_Sovereign Bonds 060705 (version 1)_05 TMX Brazil DCF Model" xfId="7062"/>
    <cellStyle name="_MultipleSpace_Sovereign Bonds 060705_1" xfId="7061"/>
    <cellStyle name="_MultipleSpace_Sovereign Bonds 060705_1_01 NET DCF Model" xfId="7060"/>
    <cellStyle name="_MultipleSpace_Sovereign Bonds 060705_1_03 Embratel DCF Model_Loscos" xfId="7059"/>
    <cellStyle name="_MultipleSpace_Sovereign Bonds 060705_1_05 NET DCF Model" xfId="7058"/>
    <cellStyle name="_MultipleSpace_Sovereign Bonds 060705_1_05 TMX Brazil DCF Model" xfId="9188"/>
    <cellStyle name="_MultipleSpace_Sovereign Bonds 060705_Dados por segmento julho 06" xfId="9323"/>
    <cellStyle name="_MultipleSpace_WACC Analysis" xfId="7057"/>
    <cellStyle name="_MultipleSpace_WACC Analysis_4b_0827_2" xfId="7056"/>
    <cellStyle name="_MultipleSpace_WACC Analysis_4b_0827_2_Sovereign Bonds 060705" xfId="7055"/>
    <cellStyle name="_MultipleSpace_WACC Analysis_4b_0827_2_Sovereign Bonds 060705 (version 1)" xfId="7054"/>
    <cellStyle name="_MultipleSpace_WACC Analysis_4b_0827_2_Sovereign Bonds 060705 (version 1)_01 NET DCF Model" xfId="7053"/>
    <cellStyle name="_MultipleSpace_WACC Analysis_4b_0827_2_Sovereign Bonds 060705 (version 1)_03 Embratel DCF Model_Loscos" xfId="7052"/>
    <cellStyle name="_MultipleSpace_WACC Analysis_4b_0827_2_Sovereign Bonds 060705 (version 1)_05 NET DCF Model" xfId="7051"/>
    <cellStyle name="_MultipleSpace_WACC Analysis_4b_0827_2_Sovereign Bonds 060705 (version 1)_05 TMX Brazil DCF Model" xfId="7050"/>
    <cellStyle name="_MultipleSpace_WACC Analysis_4b_0827_2_Sovereign Bonds 060705_01 NET DCF Model" xfId="7049"/>
    <cellStyle name="_MultipleSpace_WACC Analysis_4b_0827_2_Sovereign Bonds 060705_03 Embratel DCF Model_Loscos" xfId="7048"/>
    <cellStyle name="_MultipleSpace_WACC Analysis_4b_0827_2_Sovereign Bonds 060705_05 NET DCF Model" xfId="7047"/>
    <cellStyle name="_MultipleSpace_WACC Analysis_4b_0827_2_Sovereign Bonds 060705_05 TMX Brazil DCF Model" xfId="9186"/>
    <cellStyle name="_Palimon BV july 12, 2006 post sale" xfId="86"/>
    <cellStyle name="_Percent" xfId="9185"/>
    <cellStyle name="_Percent_01 AVP_ Project Infinitum" xfId="9184"/>
    <cellStyle name="_Percent_01_WACC Colombia_Analysis" xfId="9321"/>
    <cellStyle name="_Percent_04 WACC Vivax" xfId="7046"/>
    <cellStyle name="_Percent_avp" xfId="9182"/>
    <cellStyle name="_Percent_AVP_ NewCo" xfId="9319"/>
    <cellStyle name="_Percent_Sovereign Bonds 060705" xfId="9183"/>
    <cellStyle name="_Percent_Sovereign Bonds 060705 (version 1)" xfId="9320"/>
    <cellStyle name="_Percent_Sovereign Bonds 060705 (version 1)_01 NET DCF Model" xfId="7045"/>
    <cellStyle name="_Percent_Sovereign Bonds 060705 (version 1)_03 Embratel DCF Model_Loscos" xfId="7044"/>
    <cellStyle name="_Percent_Sovereign Bonds 060705 (version 1)_05 NET DCF Model" xfId="9180"/>
    <cellStyle name="_Percent_Sovereign Bonds 060705 (version 1)_05 TMX Brazil DCF Model" xfId="9317"/>
    <cellStyle name="_Percent_Sovereign Bonds 060705_01 NET DCF Model" xfId="7043"/>
    <cellStyle name="_Percent_Sovereign Bonds 060705_03 Embratel DCF Model_Loscos" xfId="9181"/>
    <cellStyle name="_Percent_Sovereign Bonds 060705_05 NET DCF Model" xfId="9318"/>
    <cellStyle name="_Percent_Sovereign Bonds 060705_05 TMX Brazil DCF Model" xfId="7042"/>
    <cellStyle name="_PercentSpace" xfId="7041"/>
    <cellStyle name="_PercentSpace_01 AVP_ Project Infinitum" xfId="7040"/>
    <cellStyle name="_PercentSpace_01_WACC Colombia_Analysis" xfId="9178"/>
    <cellStyle name="_PercentSpace_04 WACC Vivax" xfId="9315"/>
    <cellStyle name="_PercentSpace_avp" xfId="7039"/>
    <cellStyle name="_PercentSpace_AVP_ NewCo" xfId="7038"/>
    <cellStyle name="_PercentSpace_Sovereign Bonds 060705" xfId="7037"/>
    <cellStyle name="_PercentSpace_Sovereign Bonds 060705 (version 1)" xfId="9179"/>
    <cellStyle name="_PercentSpace_Sovereign Bonds 060705 (version 1)_01 NET DCF Model" xfId="9316"/>
    <cellStyle name="_PercentSpace_Sovereign Bonds 060705 (version 1)_03 Embratel DCF Model_Loscos" xfId="7036"/>
    <cellStyle name="_PercentSpace_Sovereign Bonds 060705 (version 1)_05 NET DCF Model" xfId="7035"/>
    <cellStyle name="_PercentSpace_Sovereign Bonds 060705 (version 1)_05 TMX Brazil DCF Model" xfId="7034"/>
    <cellStyle name="_PercentSpace_Sovereign Bonds 060705_01 NET DCF Model" xfId="7033"/>
    <cellStyle name="_PercentSpace_Sovereign Bonds 060705_03 Embratel DCF Model_Loscos" xfId="7032"/>
    <cellStyle name="_PercentSpace_Sovereign Bonds 060705_05 NET DCF Model" xfId="7031"/>
    <cellStyle name="_PercentSpace_Sovereign Bonds 060705_05 TMX Brazil DCF Model" xfId="9176"/>
    <cellStyle name="_Plan2" xfId="2785"/>
    <cellStyle name="_Resumo" xfId="2786"/>
    <cellStyle name="_Resumo 2" xfId="2787"/>
    <cellStyle name="_Resumo_Base P&amp;L" xfId="2788"/>
    <cellStyle name="_SubHeading" xfId="9313"/>
    <cellStyle name="_SubHeading_02 TMX Brazil Management Projections_R$" xfId="7030"/>
    <cellStyle name="_SubHeading_02 TMX Brazil Management Projections_R$_BR_Malls_CRI_20090819" xfId="7029"/>
    <cellStyle name="_SubHeading_02 TMX Brazil Management Projections_R$_BR_Malls_CRI_20090918" xfId="7028"/>
    <cellStyle name="_SubHeading_02 TMX Brazil Management Projections_R$_Petrobras_CRI_20100526" xfId="7027"/>
    <cellStyle name="_SubHeading_02 WACC" xfId="7026"/>
    <cellStyle name="_SubHeading_02 WACC_BR_Malls_CRI_20090819" xfId="7025"/>
    <cellStyle name="_SubHeading_02 WACC_BR_Malls_CRI_20090918" xfId="7024"/>
    <cellStyle name="_SubHeading_02 WACC_Petrobras_CRI_20100526" xfId="9177"/>
    <cellStyle name="_SubHeading_05 WACC" xfId="9314"/>
    <cellStyle name="_SubHeading_05 WACC_BR_Malls_CRI_20090819" xfId="7023"/>
    <cellStyle name="_SubHeading_05 WACC_BR_Malls_CRI_20090918" xfId="7022"/>
    <cellStyle name="_SubHeading_05 WACC_Petrobras_CRI_20100526" xfId="7021"/>
    <cellStyle name="_SubHeading_10 yr UST data" xfId="7020"/>
    <cellStyle name="_SubHeading_10 yr UST data_Tamboré 31-03-09" xfId="7019"/>
    <cellStyle name="_SubHeading_10 yr UST data_Tamboré 31-03-09_BR_Malls_CRI_20090819" xfId="7018"/>
    <cellStyle name="_SubHeading_10 yr UST data_Tamboré 31-03-09_BR_Malls_CRI_20090918" xfId="7017"/>
    <cellStyle name="_SubHeading_10 yr UST data_Tamboré 31-03-09_Petrobras_CRI_20100526" xfId="7016"/>
    <cellStyle name="_SubHeading_Beatles WACC Calculation" xfId="7015"/>
    <cellStyle name="_SubHeading_Beatles WACC Calculation_BR_Malls_CRI_20090819" xfId="7014"/>
    <cellStyle name="_SubHeading_Beatles WACC Calculation_BR_Malls_CRI_20090918" xfId="9559"/>
    <cellStyle name="_SubHeading_Beatles WACC Calculation_Petrobras_CRI_20100526" xfId="9175"/>
    <cellStyle name="_SubHeading_prestemp" xfId="9560"/>
    <cellStyle name="_SubHeading_prestemp_Tamboré 31-03-09" xfId="9173"/>
    <cellStyle name="_SubHeading_prestemp_Tamboré 31-03-09_BR_Malls_CRI_20090819" xfId="9408"/>
    <cellStyle name="_SubHeading_prestemp_Tamboré 31-03-09_BR_Malls_CRI_20090918" xfId="9174"/>
    <cellStyle name="_SubHeading_prestemp_Tamboré 31-03-09_Petrobras_CRI_20100526" xfId="7476"/>
    <cellStyle name="_SubHeading_Tamboré 31-03-09" xfId="9172"/>
    <cellStyle name="_SubHeading_Tamboré 31-03-09_BR_Malls_CRI_20090819" xfId="6945"/>
    <cellStyle name="_SubHeading_Tamboré 31-03-09_BR_Malls_CRI_20090918" xfId="9312"/>
    <cellStyle name="_SubHeading_Tamboré 31-03-09_Petrobras_CRI_20100526" xfId="7013"/>
    <cellStyle name="_Table" xfId="7012"/>
    <cellStyle name="_Table_01 AVP_ Project Infinitum" xfId="7011"/>
    <cellStyle name="_Table_01 AVP_ Project Infinitum_BR_Malls_CRI_20090819" xfId="7010"/>
    <cellStyle name="_Table_01 AVP_ Project Infinitum_BR_Malls_CRI_20090819_Quadro Comparativo_CRI 400_BR Properties (Modulos+TNU) 20100629 v1 (2)" xfId="7009"/>
    <cellStyle name="_Table_01 AVP_ Project Infinitum_BR_Malls_CRI_20090918" xfId="7008"/>
    <cellStyle name="_Table_01 AVP_ Project Infinitum_BR_Malls_CRI_20090918_Quadro Comparativo_CRI 400_BR Properties (Modulos+TNU) 20100629 v1 (2)" xfId="7007"/>
    <cellStyle name="_Table_01 AVP_ Project Infinitum_Petrobras_CRI_20100526" xfId="7006"/>
    <cellStyle name="_Table_01 AVP_ Project Infinitum_Petrobras_CRI_20100526_Quadro Comparativo_CRI 400_BR Properties (Modulos+TNU) 20100629 v1 (2)" xfId="7005"/>
    <cellStyle name="_Table_01 AVP_ Project Infinitum_Quadro Comparativo_CRI 400_BR Properties (Modulos+TNU) 20100629 v1 (2)" xfId="7004"/>
    <cellStyle name="_Table_02 TMX Brazil Management Projections_R$" xfId="7003"/>
    <cellStyle name="_Table_02 TMX Brazil Management Projections_R$_BR_Malls_CRI_20090819" xfId="7002"/>
    <cellStyle name="_Table_02 TMX Brazil Management Projections_R$_BR_Malls_CRI_20090819_Quadro Comparativo_CRI 400_BR Properties (Modulos+TNU) 20100629 v1 (2)" xfId="7001"/>
    <cellStyle name="_Table_02 TMX Brazil Management Projections_R$_BR_Malls_CRI_20090918" xfId="7000"/>
    <cellStyle name="_Table_02 TMX Brazil Management Projections_R$_BR_Malls_CRI_20090918_Quadro Comparativo_CRI 400_BR Properties (Modulos+TNU) 20100629 v1 (2)" xfId="6999"/>
    <cellStyle name="_Table_02 TMX Brazil Management Projections_R$_Petrobras_CRI_20100526" xfId="6998"/>
    <cellStyle name="_Table_02 TMX Brazil Management Projections_R$_Petrobras_CRI_20100526_Quadro Comparativo_CRI 400_BR Properties (Modulos+TNU) 20100629 v1 (2)" xfId="6997"/>
    <cellStyle name="_Table_02 TMX Brazil Management Projections_R$_Quadro Comparativo_CRI 400_BR Properties (Modulos+TNU) 20100629 v1 (2)" xfId="6996"/>
    <cellStyle name="_Table_02 WACC" xfId="6995"/>
    <cellStyle name="_Table_02 WACC_BR_Malls_CRI_20090819" xfId="6994"/>
    <cellStyle name="_Table_02 WACC_BR_Malls_CRI_20090819_Quadro Comparativo_CRI 400_BR Properties (Modulos+TNU) 20100629 v1 (2)" xfId="6993"/>
    <cellStyle name="_Table_02 WACC_BR_Malls_CRI_20090918" xfId="6992"/>
    <cellStyle name="_Table_02 WACC_BR_Malls_CRI_20090918_Quadro Comparativo_CRI 400_BR Properties (Modulos+TNU) 20100629 v1 (2)" xfId="6991"/>
    <cellStyle name="_Table_02 WACC_Petrobras_CRI_20100526" xfId="6990"/>
    <cellStyle name="_Table_02 WACC_Petrobras_CRI_20100526_Quadro Comparativo_CRI 400_BR Properties (Modulos+TNU) 20100629 v1 (2)" xfId="6989"/>
    <cellStyle name="_Table_02 WACC_Quadro Comparativo_CRI 400_BR Properties (Modulos+TNU) 20100629 v1 (2)" xfId="6988"/>
    <cellStyle name="_Table_05 WACC" xfId="6987"/>
    <cellStyle name="_Table_05 WACC_BR_Malls_CRI_20090819" xfId="6986"/>
    <cellStyle name="_Table_05 WACC_BR_Malls_CRI_20090819_Quadro Comparativo_CRI 400_BR Properties (Modulos+TNU) 20100629 v1 (2)" xfId="6985"/>
    <cellStyle name="_Table_05 WACC_BR_Malls_CRI_20090918" xfId="6984"/>
    <cellStyle name="_Table_05 WACC_BR_Malls_CRI_20090918_Quadro Comparativo_CRI 400_BR Properties (Modulos+TNU) 20100629 v1 (2)" xfId="6983"/>
    <cellStyle name="_Table_05 WACC_Petrobras_CRI_20100526" xfId="6982"/>
    <cellStyle name="_Table_05 WACC_Petrobras_CRI_20100526_Quadro Comparativo_CRI 400_BR Properties (Modulos+TNU) 20100629 v1 (2)" xfId="6981"/>
    <cellStyle name="_Table_05 WACC_Quadro Comparativo_CRI 400_BR Properties (Modulos+TNU) 20100629 v1 (2)" xfId="6980"/>
    <cellStyle name="_Table_10 yr UST data" xfId="6979"/>
    <cellStyle name="_Table_10 yr UST data_Quadro Comparativo_CRI 400_BR Properties (Modulos+TNU) 20100629 v1 (2)" xfId="6978"/>
    <cellStyle name="_Table_10 yr UST data_Tamboré 31-03-09" xfId="6977"/>
    <cellStyle name="_Table_10 yr UST data_Tamboré 31-03-09_BR_Malls_CRI_20090819" xfId="6976"/>
    <cellStyle name="_Table_10 yr UST data_Tamboré 31-03-09_BR_Malls_CRI_20090819_Quadro Comparativo_CRI 400_BR Properties (Modulos+TNU) 20100629 v1 (2)" xfId="6975"/>
    <cellStyle name="_Table_10 yr UST data_Tamboré 31-03-09_BR_Malls_CRI_20090918" xfId="6974"/>
    <cellStyle name="_Table_10 yr UST data_Tamboré 31-03-09_BR_Malls_CRI_20090918_Quadro Comparativo_CRI 400_BR Properties (Modulos+TNU) 20100629 v1 (2)" xfId="6973"/>
    <cellStyle name="_Table_10 yr UST data_Tamboré 31-03-09_Petrobras_CRI_20100526" xfId="6972"/>
    <cellStyle name="_Table_10 yr UST data_Tamboré 31-03-09_Petrobras_CRI_20100526_Quadro Comparativo_CRI 400_BR Properties (Modulos+TNU) 20100629 v1 (2)" xfId="6971"/>
    <cellStyle name="_Table_10 yr UST data_Tamboré 31-03-09_Quadro Comparativo_CRI 400_BR Properties (Modulos+TNU) 20100629 v1 (2)" xfId="6970"/>
    <cellStyle name="_Table_AVP_ NewCo" xfId="6969"/>
    <cellStyle name="_Table_AVP_ NewCo_BR_Malls_CRI_20090819" xfId="6968"/>
    <cellStyle name="_Table_AVP_ NewCo_BR_Malls_CRI_20090819_Quadro Comparativo_CRI 400_BR Properties (Modulos+TNU) 20100629 v1 (2)" xfId="6967"/>
    <cellStyle name="_Table_AVP_ NewCo_BR_Malls_CRI_20090918" xfId="6966"/>
    <cellStyle name="_Table_AVP_ NewCo_BR_Malls_CRI_20090918_Quadro Comparativo_CRI 400_BR Properties (Modulos+TNU) 20100629 v1 (2)" xfId="6965"/>
    <cellStyle name="_Table_AVP_ NewCo_Petrobras_CRI_20100526" xfId="6964"/>
    <cellStyle name="_Table_AVP_ NewCo_Petrobras_CRI_20100526_Quadro Comparativo_CRI 400_BR Properties (Modulos+TNU) 20100629 v1 (2)" xfId="6963"/>
    <cellStyle name="_Table_AVP_ NewCo_Quadro Comparativo_CRI 400_BR Properties (Modulos+TNU) 20100629 v1 (2)" xfId="6962"/>
    <cellStyle name="_Table_Beatles WACC Calculation" xfId="6961"/>
    <cellStyle name="_Table_Beatles WACC Calculation_BR_Malls_CRI_20090819" xfId="6960"/>
    <cellStyle name="_Table_Beatles WACC Calculation_BR_Malls_CRI_20090819_Quadro Comparativo_CRI 400_BR Properties (Modulos+TNU) 20100629 v1 (2)" xfId="6959"/>
    <cellStyle name="_Table_Beatles WACC Calculation_BR_Malls_CRI_20090918" xfId="6958"/>
    <cellStyle name="_Table_Beatles WACC Calculation_BR_Malls_CRI_20090918_Quadro Comparativo_CRI 400_BR Properties (Modulos+TNU) 20100629 v1 (2)" xfId="6957"/>
    <cellStyle name="_Table_Beatles WACC Calculation_Petrobras_CRI_20100526" xfId="6956"/>
    <cellStyle name="_Table_Beatles WACC Calculation_Petrobras_CRI_20100526_Quadro Comparativo_CRI 400_BR Properties (Modulos+TNU) 20100629 v1 (2)" xfId="6955"/>
    <cellStyle name="_Table_Beatles WACC Calculation_Quadro Comparativo_CRI 400_BR Properties (Modulos+TNU) 20100629 v1 (2)" xfId="6954"/>
    <cellStyle name="_Table_Quadro Comparativo_CRI 400_BR Properties (Modulos+TNU) 20100629 v1 (2)" xfId="6953"/>
    <cellStyle name="_Table_Tamboré 31-03-09" xfId="6952"/>
    <cellStyle name="_Table_Tamboré 31-03-09_BR_Malls_CRI_20090819" xfId="6951"/>
    <cellStyle name="_Table_Tamboré 31-03-09_BR_Malls_CRI_20090819_Quadro Comparativo_CRI 400_BR Properties (Modulos+TNU) 20100629 v1 (2)" xfId="6950"/>
    <cellStyle name="_Table_Tamboré 31-03-09_BR_Malls_CRI_20090918" xfId="6949"/>
    <cellStyle name="_Table_Tamboré 31-03-09_BR_Malls_CRI_20090918_Quadro Comparativo_CRI 400_BR Properties (Modulos+TNU) 20100629 v1 (2)" xfId="6948"/>
    <cellStyle name="_Table_Tamboré 31-03-09_Petrobras_CRI_20100526" xfId="9171"/>
    <cellStyle name="_Table_Tamboré 31-03-09_Petrobras_CRI_20100526_Quadro Comparativo_CRI 400_BR Properties (Modulos+TNU) 20100629 v1 (2)" xfId="6947"/>
    <cellStyle name="_Table_Tamboré 31-03-09_Quadro Comparativo_CRI 400_BR Properties (Modulos+TNU) 20100629 v1 (2)" xfId="6946"/>
    <cellStyle name="_TableHead" xfId="5990"/>
    <cellStyle name="_TableHead_01 AVP_ Project Infinitum" xfId="9302"/>
    <cellStyle name="_TableHead_01 AVP_ Project Infinitum_BR_Malls_CRI_20090819" xfId="9170"/>
    <cellStyle name="_TableHead_01 AVP_ Project Infinitum_BR_Malls_CRI_20090819_Quadro Comparativo_CRI 400_BR Properties (Modulos+TNU) 20100629 v1 (2)" xfId="9169"/>
    <cellStyle name="_TableHead_01 AVP_ Project Infinitum_BR_Malls_CRI_20090918" xfId="9168"/>
    <cellStyle name="_TableHead_01 AVP_ Project Infinitum_BR_Malls_CRI_20090918_Quadro Comparativo_CRI 400_BR Properties (Modulos+TNU) 20100629 v1 (2)" xfId="9311"/>
    <cellStyle name="_TableHead_01 AVP_ Project Infinitum_Petrobras_CRI_20100526" xfId="6944"/>
    <cellStyle name="_TableHead_01 AVP_ Project Infinitum_Petrobras_CRI_20100526_Quadro Comparativo_CRI 400_BR Properties (Modulos+TNU) 20100629 v1 (2)" xfId="9166"/>
    <cellStyle name="_TableHead_01 AVP_ Project Infinitum_Quadro Comparativo_CRI 400_BR Properties (Modulos+TNU) 20100629 v1 (2)" xfId="9309"/>
    <cellStyle name="_TableHead_02 TMX Brazil Management Projections_R$" xfId="9167"/>
    <cellStyle name="_TableHead_02 TMX Brazil Management Projections_R$_BR_Malls_CRI_20090819" xfId="9310"/>
    <cellStyle name="_TableHead_02 TMX Brazil Management Projections_R$_BR_Malls_CRI_20090819_Quadro Comparativo_CRI 400_BR Properties (Modulos+TNU) 20100629 v1 (2)" xfId="6943"/>
    <cellStyle name="_TableHead_02 TMX Brazil Management Projections_R$_BR_Malls_CRI_20090918" xfId="6942"/>
    <cellStyle name="_TableHead_02 TMX Brazil Management Projections_R$_BR_Malls_CRI_20090918_Quadro Comparativo_CRI 400_BR Properties (Modulos+TNU) 20100629 v1 (2)" xfId="9164"/>
    <cellStyle name="_TableHead_02 TMX Brazil Management Projections_R$_Petrobras_CRI_20100526" xfId="9307"/>
    <cellStyle name="_TableHead_02 TMX Brazil Management Projections_R$_Petrobras_CRI_20100526_Quadro Comparativo_CRI 400_BR Properties (Modulos+TNU) 20100629 v1 (2)" xfId="6941"/>
    <cellStyle name="_TableHead_02 TMX Brazil Management Projections_R$_Quadro Comparativo_CRI 400_BR Properties (Modulos+TNU) 20100629 v1 (2)" xfId="9165"/>
    <cellStyle name="_TableHead_02 WACC" xfId="9308"/>
    <cellStyle name="_TableHead_02 WACC_BR_Malls_CRI_20090819" xfId="6940"/>
    <cellStyle name="_TableHead_02 WACC_BR_Malls_CRI_20090819_Quadro Comparativo_CRI 400_BR Properties (Modulos+TNU) 20100629 v1 (2)" xfId="6939"/>
    <cellStyle name="_TableHead_02 WACC_BR_Malls_CRI_20090918" xfId="6938"/>
    <cellStyle name="_TableHead_02 WACC_BR_Malls_CRI_20090918_Quadro Comparativo_CRI 400_BR Properties (Modulos+TNU) 20100629 v1 (2)" xfId="9162"/>
    <cellStyle name="_TableHead_02 WACC_Petrobras_CRI_20100526" xfId="9305"/>
    <cellStyle name="_TableHead_02 WACC_Petrobras_CRI_20100526_Quadro Comparativo_CRI 400_BR Properties (Modulos+TNU) 20100629 v1 (2)" xfId="6937"/>
    <cellStyle name="_TableHead_02 WACC_Quadro Comparativo_CRI 400_BR Properties (Modulos+TNU) 20100629 v1 (2)" xfId="6936"/>
    <cellStyle name="_TableHead_05 WACC" xfId="6935"/>
    <cellStyle name="_TableHead_05 WACC_BR_Malls_CRI_20090819" xfId="9163"/>
    <cellStyle name="_TableHead_05 WACC_BR_Malls_CRI_20090819_Quadro Comparativo_CRI 400_BR Properties (Modulos+TNU) 20100629 v1 (2)" xfId="9306"/>
    <cellStyle name="_TableHead_05 WACC_BR_Malls_CRI_20090918" xfId="6934"/>
    <cellStyle name="_TableHead_05 WACC_BR_Malls_CRI_20090918_Quadro Comparativo_CRI 400_BR Properties (Modulos+TNU) 20100629 v1 (2)" xfId="6933"/>
    <cellStyle name="_TableHead_05 WACC_Petrobras_CRI_20100526" xfId="6932"/>
    <cellStyle name="_TableHead_05 WACC_Petrobras_CRI_20100526_Quadro Comparativo_CRI 400_BR Properties (Modulos+TNU) 20100629 v1 (2)" xfId="6931"/>
    <cellStyle name="_TableHead_05 WACC_Quadro Comparativo_CRI 400_BR Properties (Modulos+TNU) 20100629 v1 (2)" xfId="6930"/>
    <cellStyle name="_TableHead_10 yr UST data" xfId="6929"/>
    <cellStyle name="_TableHead_10 yr UST data_Quadro Comparativo_CRI 400_BR Properties (Modulos+TNU) 20100629 v1 (2)" xfId="9160"/>
    <cellStyle name="_TableHead_10 yr UST data_Tamboré 31-03-09" xfId="9303"/>
    <cellStyle name="_TableHead_10 yr UST data_Tamboré 31-03-09_BR_Malls_CRI_20090819" xfId="6928"/>
    <cellStyle name="_TableHead_10 yr UST data_Tamboré 31-03-09_BR_Malls_CRI_20090819_Quadro Comparativo_CRI 400_BR Properties (Modulos+TNU) 20100629 v1 (2)" xfId="6927"/>
    <cellStyle name="_TableHead_10 yr UST data_Tamboré 31-03-09_BR_Malls_CRI_20090918" xfId="6926"/>
    <cellStyle name="_TableHead_10 yr UST data_Tamboré 31-03-09_BR_Malls_CRI_20090918_Quadro Comparativo_CRI 400_BR Properties (Modulos+TNU) 20100629 v1 (2)" xfId="6925"/>
    <cellStyle name="_TableHead_10 yr UST data_Tamboré 31-03-09_Petrobras_CRI_20100526" xfId="6924"/>
    <cellStyle name="_TableHead_10 yr UST data_Tamboré 31-03-09_Petrobras_CRI_20100526_Quadro Comparativo_CRI 400_BR Properties (Modulos+TNU) 20100629 v1 (2)" xfId="6923"/>
    <cellStyle name="_TableHead_10 yr UST data_Tamboré 31-03-09_Quadro Comparativo_CRI 400_BR Properties (Modulos+TNU) 20100629 v1 (2)" xfId="6922"/>
    <cellStyle name="_TableHead_AVP_ NewCo" xfId="9161"/>
    <cellStyle name="_TableHead_AVP_ NewCo_BR_Malls_CRI_20090819" xfId="9304"/>
    <cellStyle name="_TableHead_AVP_ NewCo_BR_Malls_CRI_20090819_Quadro Comparativo_CRI 400_BR Properties (Modulos+TNU) 20100629 v1 (2)" xfId="6921"/>
    <cellStyle name="_TableHead_AVP_ NewCo_BR_Malls_CRI_20090918" xfId="6920"/>
    <cellStyle name="_TableHead_AVP_ NewCo_BR_Malls_CRI_20090918_Quadro Comparativo_CRI 400_BR Properties (Modulos+TNU) 20100629 v1 (2)" xfId="6919"/>
    <cellStyle name="_TableHead_AVP_ NewCo_Petrobras_CRI_20100526" xfId="6918"/>
    <cellStyle name="_TableHead_AVP_ NewCo_Petrobras_CRI_20100526_Quadro Comparativo_CRI 400_BR Properties (Modulos+TNU) 20100629 v1 (2)" xfId="6917"/>
    <cellStyle name="_TableHead_AVP_ NewCo_Quadro Comparativo_CRI 400_BR Properties (Modulos+TNU) 20100629 v1 (2)" xfId="6916"/>
    <cellStyle name="_TableHead_Beatles WACC Calculation" xfId="6915"/>
    <cellStyle name="_TableHead_Beatles WACC Calculation_BR_Malls_CRI_20090819" xfId="6914"/>
    <cellStyle name="_TableHead_Beatles WACC Calculation_BR_Malls_CRI_20090819_Quadro Comparativo_CRI 400_BR Properties (Modulos+TNU) 20100629 v1 (2)" xfId="6913"/>
    <cellStyle name="_TableHead_Beatles WACC Calculation_BR_Malls_CRI_20090918" xfId="6912"/>
    <cellStyle name="_TableHead_Beatles WACC Calculation_BR_Malls_CRI_20090918_Quadro Comparativo_CRI 400_BR Properties (Modulos+TNU) 20100629 v1 (2)" xfId="6911"/>
    <cellStyle name="_TableHead_Beatles WACC Calculation_Petrobras_CRI_20100526" xfId="9159"/>
    <cellStyle name="_TableHead_Beatles WACC Calculation_Petrobras_CRI_20100526_Quadro Comparativo_CRI 400_BR Properties (Modulos+TNU) 20100629 v1 (2)" xfId="9158"/>
    <cellStyle name="_TableHead_Beatles WACC Calculation_Quadro Comparativo_CRI 400_BR Properties (Modulos+TNU) 20100629 v1 (2)" xfId="9157"/>
    <cellStyle name="_TableHead_KIARA Valuation Model" xfId="9301"/>
    <cellStyle name="_TableHead_KIARA Valuation Model_BR_Malls_CRI_20090819" xfId="6910"/>
    <cellStyle name="_TableHead_KIARA Valuation Model_BR_Malls_CRI_20090819_Quadro Comparativo_CRI 400_BR Properties (Modulos+TNU) 20100629 v1 (2)" xfId="9155"/>
    <cellStyle name="_TableHead_KIARA Valuation Model_BR_Malls_CRI_20090918" xfId="9299"/>
    <cellStyle name="_TableHead_KIARA Valuation Model_BR_Malls_CRI_20090918_Quadro Comparativo_CRI 400_BR Properties (Modulos+TNU) 20100629 v1 (2)" xfId="9156"/>
    <cellStyle name="_TableHead_KIARA Valuation Model_Petrobras_CRI_20100526" xfId="9300"/>
    <cellStyle name="_TableHead_KIARA Valuation Model_Petrobras_CRI_20100526_Quadro Comparativo_CRI 400_BR Properties (Modulos+TNU) 20100629 v1 (2)" xfId="6909"/>
    <cellStyle name="_TableHead_KIARA Valuation Model_Quadro Comparativo_CRI 400_BR Properties (Modulos+TNU) 20100629 v1 (2)" xfId="6908"/>
    <cellStyle name="_TableHead_Quadro Comparativo_CRI 400_BR Properties (Modulos+TNU) 20100629 v1 (2)" xfId="9153"/>
    <cellStyle name="_TableHead_Tamboré 31-03-09" xfId="9297"/>
    <cellStyle name="_TableHead_Tamboré 31-03-09_BR_Malls_CRI_20090819" xfId="6907"/>
    <cellStyle name="_TableHead_Tamboré 31-03-09_BR_Malls_CRI_20090819_Quadro Comparativo_CRI 400_BR Properties (Modulos+TNU) 20100629 v1 (2)" xfId="9154"/>
    <cellStyle name="_TableHead_Tamboré 31-03-09_BR_Malls_CRI_20090918" xfId="9298"/>
    <cellStyle name="_TableHead_Tamboré 31-03-09_BR_Malls_CRI_20090918_Quadro Comparativo_CRI 400_BR Properties (Modulos+TNU) 20100629 v1 (2)" xfId="6906"/>
    <cellStyle name="_TableHead_Tamboré 31-03-09_Petrobras_CRI_20100526" xfId="6905"/>
    <cellStyle name="_TableHead_Tamboré 31-03-09_Petrobras_CRI_20100526_Quadro Comparativo_CRI 400_BR Properties (Modulos+TNU) 20100629 v1 (2)" xfId="6904"/>
    <cellStyle name="_TableHead_Tamboré 31-03-09_Quadro Comparativo_CRI 400_BR Properties (Modulos+TNU) 20100629 v1 (2)" xfId="9151"/>
    <cellStyle name="_TableHeading" xfId="9295"/>
    <cellStyle name="_TableHeading_BR_Malls_CRI_20090819" xfId="6903"/>
    <cellStyle name="_TableHeading_BR_Malls_CRI_20090819_Quadro Comparativo_CRI 400_BR Properties (Modulos+TNU) 20100629 v1 (2)" xfId="6902"/>
    <cellStyle name="_TableHeading_BR_Malls_CRI_20090918" xfId="6901"/>
    <cellStyle name="_TableHeading_BR_Malls_CRI_20090918_Quadro Comparativo_CRI 400_BR Properties (Modulos+TNU) 20100629 v1 (2)" xfId="9152"/>
    <cellStyle name="_TableHeading_Petrobras_CRI_20100526" xfId="9296"/>
    <cellStyle name="_TableHeading_Petrobras_CRI_20100526_Quadro Comparativo_CRI 400_BR Properties (Modulos+TNU) 20100629 v1 (2)" xfId="6900"/>
    <cellStyle name="_TableHeading_Quadro Comparativo_CRI 400_BR Properties (Modulos+TNU) 20100629 v1 (2)" xfId="6899"/>
    <cellStyle name="_TableRowBorder" xfId="6898"/>
    <cellStyle name="_TableRowBorder_Quadro Comparativo_CRI 400_BR Properties (Modulos+TNU) 20100629 v1 (2)" xfId="6897"/>
    <cellStyle name="_TableRowHead" xfId="6896"/>
    <cellStyle name="_TableRowHead_01 AVP_ Project Infinitum" xfId="6895"/>
    <cellStyle name="_TableRowHead_01 AVP_ Project Infinitum_BR_Malls_CRI_20090819" xfId="9149"/>
    <cellStyle name="_TableRowHead_01 AVP_ Project Infinitum_BR_Malls_CRI_20090918" xfId="9293"/>
    <cellStyle name="_TableRowHead_01 AVP_ Project Infinitum_Petrobras_CRI_20100526" xfId="6894"/>
    <cellStyle name="_TableRowHead_02 TMX Brazil Management Projections_R$" xfId="6893"/>
    <cellStyle name="_TableRowHead_02 TMX Brazil Management Projections_R$_BR_Malls_CRI_20090819" xfId="6892"/>
    <cellStyle name="_TableRowHead_02 TMX Brazil Management Projections_R$_BR_Malls_CRI_20090918" xfId="6891"/>
    <cellStyle name="_TableRowHead_02 TMX Brazil Management Projections_R$_Petrobras_CRI_20100526" xfId="6890"/>
    <cellStyle name="_TableRowHead_02 WACC" xfId="6889"/>
    <cellStyle name="_TableRowHead_02 WACC_BR_Malls_CRI_20090819" xfId="6888"/>
    <cellStyle name="_TableRowHead_02 WACC_BR_Malls_CRI_20090918" xfId="9150"/>
    <cellStyle name="_TableRowHead_02 WACC_Petrobras_CRI_20100526" xfId="9294"/>
    <cellStyle name="_TableRowHead_05 WACC" xfId="6887"/>
    <cellStyle name="_TableRowHead_05 WACC_BR_Malls_CRI_20090819" xfId="6886"/>
    <cellStyle name="_TableRowHead_05 WACC_BR_Malls_CRI_20090918" xfId="6885"/>
    <cellStyle name="_TableRowHead_05 WACC_Petrobras_CRI_20100526" xfId="6884"/>
    <cellStyle name="_TableRowHead_10 yr UST data" xfId="6883"/>
    <cellStyle name="_TableRowHead_10 yr UST data_Tamboré 31-03-09" xfId="6882"/>
    <cellStyle name="_TableRowHead_10 yr UST data_Tamboré 31-03-09_BR_Malls_CRI_20090819" xfId="6881"/>
    <cellStyle name="_TableRowHead_10 yr UST data_Tamboré 31-03-09_BR_Malls_CRI_20090918" xfId="6880"/>
    <cellStyle name="_TableRowHead_10 yr UST data_Tamboré 31-03-09_Petrobras_CRI_20100526" xfId="6879"/>
    <cellStyle name="_TableRowHead_AVP_ NewCo" xfId="6878"/>
    <cellStyle name="_TableRowHead_AVP_ NewCo_BR_Malls_CRI_20090819" xfId="6877"/>
    <cellStyle name="_TableRowHead_AVP_ NewCo_BR_Malls_CRI_20090918" xfId="9148"/>
    <cellStyle name="_TableRowHead_AVP_ NewCo_Petrobras_CRI_20100526" xfId="9147"/>
    <cellStyle name="_TableRowHead_Beatles WACC Calculation" xfId="9146"/>
    <cellStyle name="_TableRowHead_Beatles WACC Calculation_BR_Malls_CRI_20090819" xfId="9558"/>
    <cellStyle name="_TableRowHead_Beatles WACC Calculation_BR_Malls_CRI_20090918" xfId="9145"/>
    <cellStyle name="_TableRowHead_Beatles WACC Calculation_Petrobras_CRI_20100526" xfId="9144"/>
    <cellStyle name="_TableRowHead_Tamboré 31-03-09" xfId="9557"/>
    <cellStyle name="_TableRowHead_Tamboré 31-03-09_BR_Malls_CRI_20090819" xfId="9143"/>
    <cellStyle name="_TableRowHead_Tamboré 31-03-09_BR_Malls_CRI_20090918" xfId="9142"/>
    <cellStyle name="_TableRowHead_Tamboré 31-03-09_Petrobras_CRI_20100526" xfId="9140"/>
    <cellStyle name="_TableRowHeading" xfId="9292"/>
    <cellStyle name="_TableRowHeading_BR_Malls_CRI_20090819" xfId="9141"/>
    <cellStyle name="_TableRowHeading_BR_Malls_CRI_20090918" xfId="6876"/>
    <cellStyle name="_TableRowHeading_Petrobras_CRI_20100526" xfId="6875"/>
    <cellStyle name="_TableSuperHead" xfId="9138"/>
    <cellStyle name="_TableSuperHead_01 AVP_ Project Infinitum" xfId="9290"/>
    <cellStyle name="_TableSuperHead_01 AVP_ Project Infinitum_BR_Malls_CRI_20090819" xfId="9139"/>
    <cellStyle name="_TableSuperHead_01 AVP_ Project Infinitum_BR_Malls_CRI_20090918" xfId="9291"/>
    <cellStyle name="_TableSuperHead_01 AVP_ Project Infinitum_Petrobras_CRI_20100526" xfId="6874"/>
    <cellStyle name="_TableSuperHead_02 TMX Brazil Management Projections_R$" xfId="6873"/>
    <cellStyle name="_TableSuperHead_02 TMX Brazil Management Projections_R$_BR_Malls_CRI_20090819" xfId="6872"/>
    <cellStyle name="_TableSuperHead_02 TMX Brazil Management Projections_R$_BR_Malls_CRI_20090918" xfId="9137"/>
    <cellStyle name="_TableSuperHead_02 TMX Brazil Management Projections_R$_Petrobras_CRI_20100526" xfId="9136"/>
    <cellStyle name="_TableSuperHead_02 WACC" xfId="9135"/>
    <cellStyle name="_TableSuperHead_02 WACC_BR_Malls_CRI_20090819" xfId="9134"/>
    <cellStyle name="_TableSuperHead_02 WACC_BR_Malls_CRI_20090918" xfId="9556"/>
    <cellStyle name="_TableSuperHead_02 WACC_Petrobras_CRI_20100526" xfId="9133"/>
    <cellStyle name="_TableSuperHead_05 WACC" xfId="9132"/>
    <cellStyle name="_TableSuperHead_05 WACC_BR_Malls_CRI_20090819" xfId="9555"/>
    <cellStyle name="_TableSuperHead_05 WACC_BR_Malls_CRI_20090918" xfId="9131"/>
    <cellStyle name="_TableSuperHead_05 WACC_Petrobras_CRI_20100526" xfId="9130"/>
    <cellStyle name="_TableSuperHead_10 yr UST data" xfId="9554"/>
    <cellStyle name="_TableSuperHead_10 yr UST data_Tamboré 31-03-09" xfId="9129"/>
    <cellStyle name="_TableSuperHead_10 yr UST data_Tamboré 31-03-09_BR_Malls_CRI_20090819" xfId="9128"/>
    <cellStyle name="_TableSuperHead_10 yr UST data_Tamboré 31-03-09_BR_Malls_CRI_20090918" xfId="9126"/>
    <cellStyle name="_TableSuperHead_10 yr UST data_Tamboré 31-03-09_Petrobras_CRI_20100526" xfId="9289"/>
    <cellStyle name="_TableSuperHead_AVP_ NewCo" xfId="9127"/>
    <cellStyle name="_TableSuperHead_AVP_ NewCo_BR_Malls_CRI_20090819" xfId="6871"/>
    <cellStyle name="_TableSuperHead_AVP_ NewCo_BR_Malls_CRI_20090918" xfId="6870"/>
    <cellStyle name="_TableSuperHead_AVP_ NewCo_Petrobras_CRI_20100526" xfId="9124"/>
    <cellStyle name="_TableSuperHead_Beatles WACC Calculation" xfId="9287"/>
    <cellStyle name="_TableSuperHead_Beatles WACC Calculation_BR_Malls_CRI_20090819" xfId="9125"/>
    <cellStyle name="_TableSuperHead_Beatles WACC Calculation_BR_Malls_CRI_20090918" xfId="9288"/>
    <cellStyle name="_TableSuperHead_Beatles WACC Calculation_Petrobras_CRI_20100526" xfId="6869"/>
    <cellStyle name="_TableSuperHead_Tamboré 31-03-09" xfId="6868"/>
    <cellStyle name="_TableSuperHead_Tamboré 31-03-09_BR_Malls_CRI_20090819" xfId="6867"/>
    <cellStyle name="_TableSuperHead_Tamboré 31-03-09_BR_Malls_CRI_20090918" xfId="9123"/>
    <cellStyle name="_TableSuperHead_Tamboré 31-03-09_Petrobras_CRI_20100526" xfId="9122"/>
    <cellStyle name="_TableSuperHeading" xfId="9121"/>
    <cellStyle name="_TableSuperHeading_BR_Malls_CRI_20090819" xfId="9120"/>
    <cellStyle name="_TableSuperHeading_BR_Malls_CRI_20090918" xfId="9553"/>
    <cellStyle name="_TableSuperHeading_Petrobras_CRI_20100526" xfId="9119"/>
    <cellStyle name="_TableText" xfId="9118"/>
    <cellStyle name="_TableText_BR_Malls_CRI_20090819" xfId="9552"/>
    <cellStyle name="_TableText_BR_Malls_CRI_20090918" xfId="9117"/>
    <cellStyle name="_TableText_Petrobras_CRI_20100526" xfId="9116"/>
    <cellStyle name="À " xfId="87"/>
    <cellStyle name="À  2" xfId="2530"/>
    <cellStyle name="À  3" xfId="2225"/>
    <cellStyle name="0%" xfId="9551"/>
    <cellStyle name="0,0_x000d__x000a_NA_x000d__x000a_" xfId="88"/>
    <cellStyle name="0,0_x000d__x000a_NA_x000d__x000a_ 2" xfId="13665"/>
    <cellStyle name="0,0_x000d__x000a_NA_x000d__x000a_ 2 2" xfId="15735"/>
    <cellStyle name="0,0_x000d__x000a_NA_x000d__x000a_ 2 3" xfId="15442"/>
    <cellStyle name="0,0_x000d__x000a_NA_x000d__x000a_ 3" xfId="9115"/>
    <cellStyle name="0,000" xfId="9114"/>
    <cellStyle name="0,000.0" xfId="9112"/>
    <cellStyle name="0,000.00" xfId="9286"/>
    <cellStyle name="0,000.000" xfId="9113"/>
    <cellStyle name="0,000.0000" xfId="6866"/>
    <cellStyle name="0.0%" xfId="6865"/>
    <cellStyle name="0.00" xfId="9110"/>
    <cellStyle name="0.00%" xfId="9284"/>
    <cellStyle name="0.000" xfId="9111"/>
    <cellStyle name="07S_RF (2)" xfId="89"/>
    <cellStyle name="1 Decimal" xfId="9285"/>
    <cellStyle name="1,comma" xfId="6864"/>
    <cellStyle name="2 Decimals" xfId="6863"/>
    <cellStyle name="20% - Accent1" xfId="2789"/>
    <cellStyle name="20% - Accent1 2" xfId="90"/>
    <cellStyle name="20% - Accent1 2 2" xfId="91"/>
    <cellStyle name="20% - Accent1 2 2 2" xfId="5322"/>
    <cellStyle name="20% - Accent1 2 2 2 2" xfId="14842"/>
    <cellStyle name="20% - Accent1 2 2 2 3" xfId="9282"/>
    <cellStyle name="20% - Accent1 2 2 3" xfId="2790"/>
    <cellStyle name="20% - Accent1 2 2 3 2" xfId="13933"/>
    <cellStyle name="20% - Accent1 2 2 3 3" xfId="13666"/>
    <cellStyle name="20% - Accent1 2 2 4" xfId="6862"/>
    <cellStyle name="20% - Accent1 2 3" xfId="2791"/>
    <cellStyle name="20% - Accent1 2 3 2" xfId="13934"/>
    <cellStyle name="20% - Accent1 2 3 3" xfId="6861"/>
    <cellStyle name="20% - Accent1 2_Client" xfId="2792"/>
    <cellStyle name="20% - Accent1 3" xfId="2793"/>
    <cellStyle name="20% - Accent1 3 2" xfId="9109"/>
    <cellStyle name="20% - Accent1 3 3" xfId="13935"/>
    <cellStyle name="20% - Accent1 3 4" xfId="6860"/>
    <cellStyle name="20% - Accent1 4" xfId="2794"/>
    <cellStyle name="20% - Accent1 4 2" xfId="13936"/>
    <cellStyle name="20% - Accent1 4 3" xfId="9283"/>
    <cellStyle name="20% - Accent1 5" xfId="2795"/>
    <cellStyle name="20% - Accent1 6" xfId="2796"/>
    <cellStyle name="20% - Accent1 7" xfId="2797"/>
    <cellStyle name="20% - Accent1_CAC" xfId="2798"/>
    <cellStyle name="20% - Accent2" xfId="2799"/>
    <cellStyle name="20% - Accent2 2" xfId="92"/>
    <cellStyle name="20% - Accent2 2 2" xfId="93"/>
    <cellStyle name="20% - Accent2 2 2 2" xfId="5324"/>
    <cellStyle name="20% - Accent2 2 2 2 2" xfId="14843"/>
    <cellStyle name="20% - Accent2 2 2 2 3" xfId="6857"/>
    <cellStyle name="20% - Accent2 2 2 3" xfId="2800"/>
    <cellStyle name="20% - Accent2 2 2 3 2" xfId="13937"/>
    <cellStyle name="20% - Accent2 2 2 3 3" xfId="13667"/>
    <cellStyle name="20% - Accent2 2 2 4" xfId="6858"/>
    <cellStyle name="20% - Accent2 2 3" xfId="2801"/>
    <cellStyle name="20% - Accent2 2 3 2" xfId="13938"/>
    <cellStyle name="20% - Accent2 2 3 3" xfId="9108"/>
    <cellStyle name="20% - Accent2 2_Client" xfId="2802"/>
    <cellStyle name="20% - Accent2 3" xfId="2803"/>
    <cellStyle name="20% - Accent2 3 2" xfId="9106"/>
    <cellStyle name="20% - Accent2 3 3" xfId="13939"/>
    <cellStyle name="20% - Accent2 3 4" xfId="9107"/>
    <cellStyle name="20% - Accent2 4" xfId="2804"/>
    <cellStyle name="20% - Accent2 4 2" xfId="13940"/>
    <cellStyle name="20% - Accent2 4 3" xfId="9105"/>
    <cellStyle name="20% - Accent2 5" xfId="2805"/>
    <cellStyle name="20% - Accent2 6" xfId="2806"/>
    <cellStyle name="20% - Accent2 7" xfId="2807"/>
    <cellStyle name="20% - Accent2_CAC" xfId="2808"/>
    <cellStyle name="20% - Accent3" xfId="2809"/>
    <cellStyle name="20% - Accent3 2" xfId="94"/>
    <cellStyle name="20% - Accent3 2 2" xfId="95"/>
    <cellStyle name="20% - Accent3 2 2 2" xfId="5325"/>
    <cellStyle name="20% - Accent3 2 2 2 2" xfId="14844"/>
    <cellStyle name="20% - Accent3 2 2 2 3" xfId="9103"/>
    <cellStyle name="20% - Accent3 2 2 3" xfId="2810"/>
    <cellStyle name="20% - Accent3 2 2 3 2" xfId="13943"/>
    <cellStyle name="20% - Accent3 2 2 3 3" xfId="13668"/>
    <cellStyle name="20% - Accent3 2 2 4" xfId="9104"/>
    <cellStyle name="20% - Accent3 2 3" xfId="2811"/>
    <cellStyle name="20% - Accent3 2 3 2" xfId="13944"/>
    <cellStyle name="20% - Accent3 2 3 3" xfId="9550"/>
    <cellStyle name="20% - Accent3 2_Client" xfId="2812"/>
    <cellStyle name="20% - Accent3 3" xfId="2813"/>
    <cellStyle name="20% - Accent3 3 2" xfId="9101"/>
    <cellStyle name="20% - Accent3 3 3" xfId="13945"/>
    <cellStyle name="20% - Accent3 3 4" xfId="9102"/>
    <cellStyle name="20% - Accent3 4" xfId="2814"/>
    <cellStyle name="20% - Accent3 4 2" xfId="13946"/>
    <cellStyle name="20% - Accent3 4 3" xfId="9549"/>
    <cellStyle name="20% - Accent3_CAC" xfId="2815"/>
    <cellStyle name="20% - Accent4" xfId="2816"/>
    <cellStyle name="20% - Accent4 2" xfId="96"/>
    <cellStyle name="20% - Accent4 2 2" xfId="97"/>
    <cellStyle name="20% - Accent4 2 2 2" xfId="5326"/>
    <cellStyle name="20% - Accent4 2 2 2 2" xfId="14845"/>
    <cellStyle name="20% - Accent4 2 2 2 3" xfId="9098"/>
    <cellStyle name="20% - Accent4 2 2 3" xfId="2817"/>
    <cellStyle name="20% - Accent4 2 2 3 2" xfId="13947"/>
    <cellStyle name="20% - Accent4 2 2 3 3" xfId="13669"/>
    <cellStyle name="20% - Accent4 2 2 4" xfId="9100"/>
    <cellStyle name="20% - Accent4 2 3" xfId="2818"/>
    <cellStyle name="20% - Accent4 2 3 2" xfId="13948"/>
    <cellStyle name="20% - Accent4 2 3 3" xfId="9281"/>
    <cellStyle name="20% - Accent4 2_Client" xfId="2819"/>
    <cellStyle name="20% - Accent4 3" xfId="2820"/>
    <cellStyle name="20% - Accent4 3 2" xfId="6856"/>
    <cellStyle name="20% - Accent4 3 3" xfId="13949"/>
    <cellStyle name="20% - Accent4 3 4" xfId="9099"/>
    <cellStyle name="20% - Accent4 4" xfId="2821"/>
    <cellStyle name="20% - Accent4 4 2" xfId="13950"/>
    <cellStyle name="20% - Accent4 4 3" xfId="6855"/>
    <cellStyle name="20% - Accent4 5" xfId="2822"/>
    <cellStyle name="20% - Accent4 6" xfId="2823"/>
    <cellStyle name="20% - Accent4 7" xfId="2824"/>
    <cellStyle name="20% - Accent4_CAC" xfId="2825"/>
    <cellStyle name="20% - Accent5" xfId="2826"/>
    <cellStyle name="20% - Accent5 2" xfId="98"/>
    <cellStyle name="20% - Accent5 2 2" xfId="99"/>
    <cellStyle name="20% - Accent5 2 2 2" xfId="9280"/>
    <cellStyle name="20% - Accent5 2 3" xfId="9097"/>
    <cellStyle name="20% - Accent5 3" xfId="2827"/>
    <cellStyle name="20% - Accent5 3 2" xfId="6854"/>
    <cellStyle name="20% - Accent5 4" xfId="2828"/>
    <cellStyle name="20% - Accent5 4 2" xfId="13951"/>
    <cellStyle name="20% - Accent5 4 3" xfId="6853"/>
    <cellStyle name="20% - Accent5_Negocio" xfId="2829"/>
    <cellStyle name="20% - Accent6" xfId="2830"/>
    <cellStyle name="20% - Accent6 2" xfId="100"/>
    <cellStyle name="20% - Accent6 2 2" xfId="101"/>
    <cellStyle name="20% - Accent6 2 2 2" xfId="5327"/>
    <cellStyle name="20% - Accent6 2 2 2 2" xfId="14846"/>
    <cellStyle name="20% - Accent6 2 2 2 3" xfId="9096"/>
    <cellStyle name="20% - Accent6 2 2 3" xfId="2831"/>
    <cellStyle name="20% - Accent6 2 2 3 2" xfId="13952"/>
    <cellStyle name="20% - Accent6 2 2 3 3" xfId="13670"/>
    <cellStyle name="20% - Accent6 2 2 4" xfId="6852"/>
    <cellStyle name="20% - Accent6 2 3" xfId="2832"/>
    <cellStyle name="20% - Accent6 2 3 2" xfId="13953"/>
    <cellStyle name="20% - Accent6 2 3 3" xfId="9095"/>
    <cellStyle name="20% - Accent6 2_Client" xfId="2833"/>
    <cellStyle name="20% - Accent6 3" xfId="2834"/>
    <cellStyle name="20% - Accent6 3 2" xfId="9093"/>
    <cellStyle name="20% - Accent6 3 3" xfId="13954"/>
    <cellStyle name="20% - Accent6 3 4" xfId="9094"/>
    <cellStyle name="20% - Accent6 4" xfId="2835"/>
    <cellStyle name="20% - Accent6 4 2" xfId="13955"/>
    <cellStyle name="20% - Accent6 4 3" xfId="9548"/>
    <cellStyle name="20% - Accent6_CAC" xfId="2836"/>
    <cellStyle name="20% - Ênfase1" xfId="22" builtinId="30" customBuiltin="1"/>
    <cellStyle name="20% - Ênfase1 10" xfId="2837"/>
    <cellStyle name="20% - Ênfase1 10 2" xfId="13956"/>
    <cellStyle name="20% - Ênfase1 10 3" xfId="9092"/>
    <cellStyle name="20% - Ênfase1 11" xfId="2838"/>
    <cellStyle name="20% - Ênfase1 11 2" xfId="13957"/>
    <cellStyle name="20% - Ênfase1 11 3" xfId="9091"/>
    <cellStyle name="20% - Ênfase1 12" xfId="2839"/>
    <cellStyle name="20% - Ênfase1 12 2" xfId="13958"/>
    <cellStyle name="20% - Ênfase1 12 3" xfId="9547"/>
    <cellStyle name="20% - Ênfase1 13" xfId="2840"/>
    <cellStyle name="20% - Ênfase1 13 2" xfId="13959"/>
    <cellStyle name="20% - Ênfase1 13 3" xfId="9090"/>
    <cellStyle name="20% - Ênfase1 14" xfId="2841"/>
    <cellStyle name="20% - Ênfase1 14 2" xfId="13960"/>
    <cellStyle name="20% - Ênfase1 14 3" xfId="9089"/>
    <cellStyle name="20% - Ênfase1 15" xfId="2842"/>
    <cellStyle name="20% - Ênfase1 15 2" xfId="13961"/>
    <cellStyle name="20% - Ênfase1 15 3" xfId="9546"/>
    <cellStyle name="20% - Ênfase1 16" xfId="2843"/>
    <cellStyle name="20% - Ênfase1 16 2" xfId="13962"/>
    <cellStyle name="20% - Ênfase1 16 3" xfId="9088"/>
    <cellStyle name="20% - Ênfase1 17" xfId="2844"/>
    <cellStyle name="20% - Ênfase1 18" xfId="2845"/>
    <cellStyle name="20% - Ênfase1 19" xfId="2846"/>
    <cellStyle name="20% - Ênfase1 2" xfId="2230"/>
    <cellStyle name="20% - Ênfase1 2 2" xfId="2848"/>
    <cellStyle name="20% - Ênfase1 2 2 2" xfId="13964"/>
    <cellStyle name="20% - Ênfase1 2 2 3" xfId="9086"/>
    <cellStyle name="20% - Ênfase1 2 3" xfId="2847"/>
    <cellStyle name="20% - Ênfase1 2 3 2" xfId="13963"/>
    <cellStyle name="20% - Ênfase1 2 3 3" xfId="9279"/>
    <cellStyle name="20% - Ênfase1 2 4" xfId="15326"/>
    <cellStyle name="20% - Ênfase1 2_Base RF" xfId="5455"/>
    <cellStyle name="20% - Ênfase1 20" xfId="2849"/>
    <cellStyle name="20% - Ênfase1 21" xfId="2850"/>
    <cellStyle name="20% - Ênfase1 21 2" xfId="2851"/>
    <cellStyle name="20% - Ênfase1 22" xfId="2852"/>
    <cellStyle name="20% - Ênfase1 23" xfId="2853"/>
    <cellStyle name="20% - Ênfase1 3" xfId="2854"/>
    <cellStyle name="20% - Ênfase1 3 2" xfId="6851"/>
    <cellStyle name="20% - Ênfase1 3 3" xfId="13965"/>
    <cellStyle name="20% - Ênfase1 3 4" xfId="9087"/>
    <cellStyle name="20% - Ênfase1 4" xfId="2855"/>
    <cellStyle name="20% - Ênfase1 4 2" xfId="13966"/>
    <cellStyle name="20% - Ênfase1 4 3" xfId="6850"/>
    <cellStyle name="20% - Ênfase1 5" xfId="2856"/>
    <cellStyle name="20% - Ênfase1 5 2" xfId="9085"/>
    <cellStyle name="20% - Ênfase1 5 2 2" xfId="9084"/>
    <cellStyle name="20% - Ênfase1 5 2 3" xfId="9278"/>
    <cellStyle name="20% - Ênfase1 5 3" xfId="6849"/>
    <cellStyle name="20% - Ênfase1 5 4" xfId="6848"/>
    <cellStyle name="20% - Ênfase1 5 5" xfId="6847"/>
    <cellStyle name="20% - Ênfase1 5 6" xfId="13967"/>
    <cellStyle name="20% - Ênfase1 5 7" xfId="9277"/>
    <cellStyle name="20% - Ênfase1 6" xfId="2857"/>
    <cellStyle name="20% - Ênfase1 6 2" xfId="13968"/>
    <cellStyle name="20% - Ênfase1 6 3" xfId="9083"/>
    <cellStyle name="20% - Ênfase1 7" xfId="2858"/>
    <cellStyle name="20% - Ênfase1 7 2" xfId="9081"/>
    <cellStyle name="20% - Ênfase1 7 3" xfId="9080"/>
    <cellStyle name="20% - Ênfase1 7 4" xfId="9276"/>
    <cellStyle name="20% - Ênfase1 7 5" xfId="13969"/>
    <cellStyle name="20% - Ênfase1 7 6" xfId="9082"/>
    <cellStyle name="20% - Ênfase1 8" xfId="2859"/>
    <cellStyle name="20% - Ênfase1 8 2" xfId="13970"/>
    <cellStyle name="20% - Ênfase1 8 3" xfId="6846"/>
    <cellStyle name="20% - Ênfase1 9" xfId="2860"/>
    <cellStyle name="20% - Ênfase1 9 2" xfId="13971"/>
    <cellStyle name="20% - Ênfase1 9 3" xfId="9078"/>
    <cellStyle name="20% - Ênfase2" xfId="26" builtinId="34" customBuiltin="1"/>
    <cellStyle name="20% - Ênfase2 10" xfId="2861"/>
    <cellStyle name="20% - Ênfase2 10 2" xfId="13972"/>
    <cellStyle name="20% - Ênfase2 10 3" xfId="9274"/>
    <cellStyle name="20% - Ênfase2 11" xfId="2862"/>
    <cellStyle name="20% - Ênfase2 11 2" xfId="13973"/>
    <cellStyle name="20% - Ênfase2 11 3" xfId="9079"/>
    <cellStyle name="20% - Ênfase2 12" xfId="2863"/>
    <cellStyle name="20% - Ênfase2 12 2" xfId="13974"/>
    <cellStyle name="20% - Ênfase2 12 3" xfId="9275"/>
    <cellStyle name="20% - Ênfase2 13" xfId="2864"/>
    <cellStyle name="20% - Ênfase2 13 2" xfId="13975"/>
    <cellStyle name="20% - Ênfase2 13 3" xfId="6845"/>
    <cellStyle name="20% - Ênfase2 14" xfId="2865"/>
    <cellStyle name="20% - Ênfase2 14 2" xfId="13976"/>
    <cellStyle name="20% - Ênfase2 14 3" xfId="6844"/>
    <cellStyle name="20% - Ênfase2 15" xfId="2866"/>
    <cellStyle name="20% - Ênfase2 15 2" xfId="13977"/>
    <cellStyle name="20% - Ênfase2 15 3" xfId="9076"/>
    <cellStyle name="20% - Ênfase2 16" xfId="2867"/>
    <cellStyle name="20% - Ênfase2 16 2" xfId="13978"/>
    <cellStyle name="20% - Ênfase2 16 3" xfId="9272"/>
    <cellStyle name="20% - Ênfase2 17" xfId="2868"/>
    <cellStyle name="20% - Ênfase2 18" xfId="2869"/>
    <cellStyle name="20% - Ênfase2 19" xfId="2870"/>
    <cellStyle name="20% - Ênfase2 2" xfId="2226"/>
    <cellStyle name="20% - Ênfase2 2 2" xfId="2872"/>
    <cellStyle name="20% - Ênfase2 2 2 2" xfId="13980"/>
    <cellStyle name="20% - Ênfase2 2 2 3" xfId="9077"/>
    <cellStyle name="20% - Ênfase2 2 3" xfId="2871"/>
    <cellStyle name="20% - Ênfase2 2 3 2" xfId="13979"/>
    <cellStyle name="20% - Ênfase2 2 3 3" xfId="9273"/>
    <cellStyle name="20% - Ênfase2 2 4" xfId="15322"/>
    <cellStyle name="20% - Ênfase2 2_Base RF" xfId="5456"/>
    <cellStyle name="20% - Ênfase2 20" xfId="2873"/>
    <cellStyle name="20% - Ênfase2 21" xfId="2874"/>
    <cellStyle name="20% - Ênfase2 21 2" xfId="2875"/>
    <cellStyle name="20% - Ênfase2 22" xfId="2876"/>
    <cellStyle name="20% - Ênfase2 23" xfId="2877"/>
    <cellStyle name="20% - Ênfase2 3" xfId="2878"/>
    <cellStyle name="20% - Ênfase2 3 2" xfId="6842"/>
    <cellStyle name="20% - Ênfase2 3 3" xfId="13981"/>
    <cellStyle name="20% - Ênfase2 3 4" xfId="6843"/>
    <cellStyle name="20% - Ênfase2 4" xfId="2879"/>
    <cellStyle name="20% - Ênfase2 4 2" xfId="13982"/>
    <cellStyle name="20% - Ênfase2 4 3" xfId="6841"/>
    <cellStyle name="20% - Ênfase2 5" xfId="2880"/>
    <cellStyle name="20% - Ênfase2 5 2" xfId="9270"/>
    <cellStyle name="20% - Ênfase2 5 2 2" xfId="6840"/>
    <cellStyle name="20% - Ênfase2 5 2 3" xfId="6839"/>
    <cellStyle name="20% - Ênfase2 5 3" xfId="6838"/>
    <cellStyle name="20% - Ênfase2 5 4" xfId="9075"/>
    <cellStyle name="20% - Ênfase2 5 5" xfId="9271"/>
    <cellStyle name="20% - Ênfase2 5 6" xfId="13983"/>
    <cellStyle name="20% - Ênfase2 5 7" xfId="9074"/>
    <cellStyle name="20% - Ênfase2 6" xfId="2881"/>
    <cellStyle name="20% - Ênfase2 6 2" xfId="13984"/>
    <cellStyle name="20% - Ênfase2 6 3" xfId="6837"/>
    <cellStyle name="20% - Ênfase2 7" xfId="2882"/>
    <cellStyle name="20% - Ênfase2 7 2" xfId="6835"/>
    <cellStyle name="20% - Ênfase2 7 3" xfId="6834"/>
    <cellStyle name="20% - Ênfase2 7 4" xfId="6833"/>
    <cellStyle name="20% - Ênfase2 7 5" xfId="13985"/>
    <cellStyle name="20% - Ênfase2 7 6" xfId="6836"/>
    <cellStyle name="20% - Ênfase2 8" xfId="2883"/>
    <cellStyle name="20% - Ênfase2 8 2" xfId="13986"/>
    <cellStyle name="20% - Ênfase2 8 3" xfId="9071"/>
    <cellStyle name="20% - Ênfase2 9" xfId="2884"/>
    <cellStyle name="20% - Ênfase2 9 2" xfId="13987"/>
    <cellStyle name="20% - Ênfase2 9 3" xfId="9267"/>
    <cellStyle name="20% - Ênfase3" xfId="30" builtinId="38" customBuiltin="1"/>
    <cellStyle name="20% - Ênfase3 10" xfId="2885"/>
    <cellStyle name="20% - Ênfase3 10 2" xfId="13988"/>
    <cellStyle name="20% - Ênfase3 10 3" xfId="6832"/>
    <cellStyle name="20% - Ênfase3 11" xfId="2886"/>
    <cellStyle name="20% - Ênfase3 11 2" xfId="13989"/>
    <cellStyle name="20% - Ênfase3 11 3" xfId="6831"/>
    <cellStyle name="20% - Ênfase3 12" xfId="2887"/>
    <cellStyle name="20% - Ênfase3 12 2" xfId="13990"/>
    <cellStyle name="20% - Ênfase3 12 3" xfId="6830"/>
    <cellStyle name="20% - Ênfase3 13" xfId="2888"/>
    <cellStyle name="20% - Ênfase3 13 2" xfId="13991"/>
    <cellStyle name="20% - Ênfase3 13 3" xfId="9073"/>
    <cellStyle name="20% - Ênfase3 14" xfId="2889"/>
    <cellStyle name="20% - Ênfase3 14 2" xfId="13992"/>
    <cellStyle name="20% - Ênfase3 14 3" xfId="9269"/>
    <cellStyle name="20% - Ênfase3 15" xfId="2890"/>
    <cellStyle name="20% - Ênfase3 15 2" xfId="13993"/>
    <cellStyle name="20% - Ênfase3 15 3" xfId="6829"/>
    <cellStyle name="20% - Ênfase3 16" xfId="2891"/>
    <cellStyle name="20% - Ênfase3 16 2" xfId="13994"/>
    <cellStyle name="20% - Ênfase3 16 3" xfId="6828"/>
    <cellStyle name="20% - Ênfase3 17" xfId="2892"/>
    <cellStyle name="20% - Ênfase3 18" xfId="2893"/>
    <cellStyle name="20% - Ênfase3 19" xfId="2894"/>
    <cellStyle name="20% - Ênfase3 2" xfId="2504"/>
    <cellStyle name="20% - Ênfase3 2 2" xfId="2896"/>
    <cellStyle name="20% - Ênfase3 2 2 2" xfId="13996"/>
    <cellStyle name="20% - Ênfase3 2 2 3" xfId="6827"/>
    <cellStyle name="20% - Ênfase3 2 3" xfId="2895"/>
    <cellStyle name="20% - Ênfase3 2 3 2" xfId="13995"/>
    <cellStyle name="20% - Ênfase3 2 3 3" xfId="9072"/>
    <cellStyle name="20% - Ênfase3 2 4" xfId="15355"/>
    <cellStyle name="20% - Ênfase3 2_Base RF" xfId="5457"/>
    <cellStyle name="20% - Ênfase3 20" xfId="2897"/>
    <cellStyle name="20% - Ênfase3 21" xfId="2898"/>
    <cellStyle name="20% - Ênfase3 22" xfId="2899"/>
    <cellStyle name="20% - Ênfase3 3" xfId="2900"/>
    <cellStyle name="20% - Ênfase3 3 2" xfId="6826"/>
    <cellStyle name="20% - Ênfase3 3 3" xfId="13997"/>
    <cellStyle name="20% - Ênfase3 3 4" xfId="9268"/>
    <cellStyle name="20% - Ênfase3 4" xfId="2901"/>
    <cellStyle name="20% - Ênfase3 4 2" xfId="13998"/>
    <cellStyle name="20% - Ênfase3 4 3" xfId="6825"/>
    <cellStyle name="20% - Ênfase3 5" xfId="2902"/>
    <cellStyle name="20% - Ênfase3 5 2" xfId="6823"/>
    <cellStyle name="20% - Ênfase3 5 2 2" xfId="6822"/>
    <cellStyle name="20% - Ênfase3 5 2 3" xfId="6821"/>
    <cellStyle name="20% - Ênfase3 5 3" xfId="6820"/>
    <cellStyle name="20% - Ênfase3 5 4" xfId="6819"/>
    <cellStyle name="20% - Ênfase3 5 5" xfId="6818"/>
    <cellStyle name="20% - Ênfase3 5 6" xfId="13999"/>
    <cellStyle name="20% - Ênfase3 5 7" xfId="6824"/>
    <cellStyle name="20% - Ênfase3 6" xfId="2903"/>
    <cellStyle name="20% - Ênfase3 6 2" xfId="14000"/>
    <cellStyle name="20% - Ênfase3 6 3" xfId="9264"/>
    <cellStyle name="20% - Ênfase3 7" xfId="2904"/>
    <cellStyle name="20% - Ênfase3 7 2" xfId="6816"/>
    <cellStyle name="20% - Ênfase3 7 3" xfId="6815"/>
    <cellStyle name="20% - Ênfase3 7 4" xfId="6814"/>
    <cellStyle name="20% - Ênfase3 7 5" xfId="14001"/>
    <cellStyle name="20% - Ênfase3 7 6" xfId="6817"/>
    <cellStyle name="20% - Ênfase3 8" xfId="2905"/>
    <cellStyle name="20% - Ênfase3 8 2" xfId="14002"/>
    <cellStyle name="20% - Ênfase3 8 3" xfId="6813"/>
    <cellStyle name="20% - Ênfase3 9" xfId="2906"/>
    <cellStyle name="20% - Ênfase3 9 2" xfId="14003"/>
    <cellStyle name="20% - Ênfase3 9 3" xfId="6812"/>
    <cellStyle name="20% - Ênfase4" xfId="34" builtinId="42" customBuiltin="1"/>
    <cellStyle name="20% - Ênfase4 10" xfId="2907"/>
    <cellStyle name="20% - Ênfase4 10 2" xfId="14004"/>
    <cellStyle name="20% - Ênfase4 10 3" xfId="6811"/>
    <cellStyle name="20% - Ênfase4 11" xfId="2908"/>
    <cellStyle name="20% - Ênfase4 11 2" xfId="14005"/>
    <cellStyle name="20% - Ênfase4 11 3" xfId="9070"/>
    <cellStyle name="20% - Ênfase4 12" xfId="2909"/>
    <cellStyle name="20% - Ênfase4 12 2" xfId="14006"/>
    <cellStyle name="20% - Ênfase4 12 3" xfId="9266"/>
    <cellStyle name="20% - Ênfase4 13" xfId="2910"/>
    <cellStyle name="20% - Ênfase4 13 2" xfId="14007"/>
    <cellStyle name="20% - Ênfase4 13 3" xfId="6810"/>
    <cellStyle name="20% - Ênfase4 14" xfId="2911"/>
    <cellStyle name="20% - Ênfase4 14 2" xfId="14008"/>
    <cellStyle name="20% - Ênfase4 14 3" xfId="6809"/>
    <cellStyle name="20% - Ênfase4 15" xfId="2912"/>
    <cellStyle name="20% - Ênfase4 15 2" xfId="14009"/>
    <cellStyle name="20% - Ênfase4 15 3" xfId="6808"/>
    <cellStyle name="20% - Ênfase4 16" xfId="2913"/>
    <cellStyle name="20% - Ênfase4 16 2" xfId="14010"/>
    <cellStyle name="20% - Ênfase4 16 3" xfId="6807"/>
    <cellStyle name="20% - Ênfase4 17" xfId="2914"/>
    <cellStyle name="20% - Ênfase4 18" xfId="2915"/>
    <cellStyle name="20% - Ênfase4 19" xfId="2916"/>
    <cellStyle name="20% - Ênfase4 2" xfId="2508"/>
    <cellStyle name="20% - Ênfase4 2 2" xfId="2918"/>
    <cellStyle name="20% - Ênfase4 2 2 2" xfId="14012"/>
    <cellStyle name="20% - Ênfase4 2 2 3" xfId="6806"/>
    <cellStyle name="20% - Ênfase4 2 3" xfId="2917"/>
    <cellStyle name="20% - Ênfase4 2 3 2" xfId="14011"/>
    <cellStyle name="20% - Ênfase4 2 3 3" xfId="6805"/>
    <cellStyle name="20% - Ênfase4 2 4" xfId="15359"/>
    <cellStyle name="20% - Ênfase4 2_Base RF" xfId="5458"/>
    <cellStyle name="20% - Ênfase4 20" xfId="2919"/>
    <cellStyle name="20% - Ênfase4 21" xfId="2920"/>
    <cellStyle name="20% - Ênfase4 21 2" xfId="2921"/>
    <cellStyle name="20% - Ênfase4 22" xfId="2922"/>
    <cellStyle name="20% - Ênfase4 23" xfId="2923"/>
    <cellStyle name="20% - Ênfase4 3" xfId="2924"/>
    <cellStyle name="20% - Ênfase4 3 2" xfId="9069"/>
    <cellStyle name="20% - Ênfase4 3 3" xfId="14013"/>
    <cellStyle name="20% - Ênfase4 3 4" xfId="6804"/>
    <cellStyle name="20% - Ênfase4 4" xfId="2925"/>
    <cellStyle name="20% - Ênfase4 4 2" xfId="14014"/>
    <cellStyle name="20% - Ênfase4 4 3" xfId="9265"/>
    <cellStyle name="20% - Ênfase4 5" xfId="2926"/>
    <cellStyle name="20% - Ênfase4 5 2" xfId="6802"/>
    <cellStyle name="20% - Ênfase4 5 2 2" xfId="6801"/>
    <cellStyle name="20% - Ênfase4 5 2 3" xfId="6800"/>
    <cellStyle name="20% - Ênfase4 5 3" xfId="6799"/>
    <cellStyle name="20% - Ênfase4 5 4" xfId="6798"/>
    <cellStyle name="20% - Ênfase4 5 5" xfId="6797"/>
    <cellStyle name="20% - Ênfase4 5 6" xfId="14015"/>
    <cellStyle name="20% - Ênfase4 5 7" xfId="6803"/>
    <cellStyle name="20% - Ênfase4 6" xfId="2927"/>
    <cellStyle name="20% - Ênfase4 6 2" xfId="14016"/>
    <cellStyle name="20% - Ênfase4 6 3" xfId="6796"/>
    <cellStyle name="20% - Ênfase4 7" xfId="2928"/>
    <cellStyle name="20% - Ênfase4 7 2" xfId="6794"/>
    <cellStyle name="20% - Ênfase4 7 3" xfId="6793"/>
    <cellStyle name="20% - Ênfase4 7 4" xfId="6792"/>
    <cellStyle name="20% - Ênfase4 7 5" xfId="14017"/>
    <cellStyle name="20% - Ênfase4 7 6" xfId="6795"/>
    <cellStyle name="20% - Ênfase4 8" xfId="2929"/>
    <cellStyle name="20% - Ênfase4 8 2" xfId="14018"/>
    <cellStyle name="20% - Ênfase4 8 3" xfId="6791"/>
    <cellStyle name="20% - Ênfase4 9" xfId="2930"/>
    <cellStyle name="20% - Ênfase4 9 2" xfId="14019"/>
    <cellStyle name="20% - Ênfase4 9 3" xfId="6790"/>
    <cellStyle name="20% - Ênfase5" xfId="38" builtinId="46" customBuiltin="1"/>
    <cellStyle name="20% - Ênfase5 10" xfId="2931"/>
    <cellStyle name="20% - Ênfase5 10 2" xfId="14020"/>
    <cellStyle name="20% - Ênfase5 10 3" xfId="6789"/>
    <cellStyle name="20% - Ênfase5 11" xfId="2932"/>
    <cellStyle name="20% - Ênfase5 11 2" xfId="14021"/>
    <cellStyle name="20% - Ênfase5 11 3" xfId="6788"/>
    <cellStyle name="20% - Ênfase5 12" xfId="2933"/>
    <cellStyle name="20% - Ênfase5 12 2" xfId="14022"/>
    <cellStyle name="20% - Ênfase5 12 3" xfId="6787"/>
    <cellStyle name="20% - Ênfase5 13" xfId="2934"/>
    <cellStyle name="20% - Ênfase5 13 2" xfId="14023"/>
    <cellStyle name="20% - Ênfase5 13 3" xfId="6786"/>
    <cellStyle name="20% - Ênfase5 14" xfId="2935"/>
    <cellStyle name="20% - Ênfase5 15" xfId="2936"/>
    <cellStyle name="20% - Ênfase5 15 2" xfId="14024"/>
    <cellStyle name="20% - Ênfase5 15 3" xfId="9068"/>
    <cellStyle name="20% - Ênfase5 16" xfId="2937"/>
    <cellStyle name="20% - Ênfase5 16 2" xfId="14025"/>
    <cellStyle name="20% - Ênfase5 16 3" xfId="9545"/>
    <cellStyle name="20% - Ênfase5 17" xfId="2938"/>
    <cellStyle name="20% - Ênfase5 18" xfId="2939"/>
    <cellStyle name="20% - Ênfase5 19" xfId="2940"/>
    <cellStyle name="20% - Ênfase5 2" xfId="2512"/>
    <cellStyle name="20% - Ênfase5 2 2" xfId="2942"/>
    <cellStyle name="20% - Ênfase5 2 2 2" xfId="14026"/>
    <cellStyle name="20% - Ênfase5 2 2 3" xfId="9067"/>
    <cellStyle name="20% - Ênfase5 2 3" xfId="2941"/>
    <cellStyle name="20% - Ênfase5 2 4" xfId="15363"/>
    <cellStyle name="20% - Ênfase5 2_Base RF" xfId="5459"/>
    <cellStyle name="20% - Ênfase5 20" xfId="2943"/>
    <cellStyle name="20% - Ênfase5 21" xfId="2944"/>
    <cellStyle name="20% - Ênfase5 21 2" xfId="2945"/>
    <cellStyle name="20% - Ênfase5 22" xfId="2946"/>
    <cellStyle name="20% - Ênfase5 3" xfId="2947"/>
    <cellStyle name="20% - Ênfase5 3 2" xfId="9066"/>
    <cellStyle name="20% - Ênfase5 3 3" xfId="14027"/>
    <cellStyle name="20% - Ênfase5 3 4" xfId="9263"/>
    <cellStyle name="20% - Ênfase5 4" xfId="2948"/>
    <cellStyle name="20% - Ênfase5 4 2" xfId="14028"/>
    <cellStyle name="20% - Ênfase5 4 3" xfId="6785"/>
    <cellStyle name="20% - Ênfase5 5" xfId="2949"/>
    <cellStyle name="20% - Ênfase5 5 2" xfId="9262"/>
    <cellStyle name="20% - Ênfase5 5 2 2" xfId="9065"/>
    <cellStyle name="20% - Ênfase5 5 2 3" xfId="6784"/>
    <cellStyle name="20% - Ênfase5 5 3" xfId="9062"/>
    <cellStyle name="20% - Ênfase5 5 4" xfId="9261"/>
    <cellStyle name="20% - Ênfase5 5 5" xfId="9063"/>
    <cellStyle name="20% - Ênfase5 5 6" xfId="14029"/>
    <cellStyle name="20% - Ênfase5 5 7" xfId="9064"/>
    <cellStyle name="20% - Ênfase5 6" xfId="2950"/>
    <cellStyle name="20% - Ênfase5 6 2" xfId="14030"/>
    <cellStyle name="20% - Ênfase5 6 3" xfId="6783"/>
    <cellStyle name="20% - Ênfase5 7" xfId="2951"/>
    <cellStyle name="20% - Ênfase5 7 2" xfId="9260"/>
    <cellStyle name="20% - Ênfase5 7 3" xfId="9061"/>
    <cellStyle name="20% - Ênfase5 7 4" xfId="6782"/>
    <cellStyle name="20% - Ênfase5 7 5" xfId="14031"/>
    <cellStyle name="20% - Ênfase5 7 6" xfId="9060"/>
    <cellStyle name="20% - Ênfase5 8" xfId="2952"/>
    <cellStyle name="20% - Ênfase5 8 2" xfId="14032"/>
    <cellStyle name="20% - Ênfase5 8 3" xfId="9050"/>
    <cellStyle name="20% - Ênfase5 9" xfId="2953"/>
    <cellStyle name="20% - Ênfase5 9 2" xfId="14033"/>
    <cellStyle name="20% - Ênfase5 9 3" xfId="9259"/>
    <cellStyle name="20% - Ênfase6" xfId="42" builtinId="50" customBuiltin="1"/>
    <cellStyle name="20% - Ênfase6 10" xfId="2954"/>
    <cellStyle name="20% - Ênfase6 10 2" xfId="14034"/>
    <cellStyle name="20% - Ênfase6 10 3" xfId="9059"/>
    <cellStyle name="20% - Ênfase6 11" xfId="2955"/>
    <cellStyle name="20% - Ênfase6 11 2" xfId="14035"/>
    <cellStyle name="20% - Ênfase6 11 3" xfId="9058"/>
    <cellStyle name="20% - Ênfase6 12" xfId="2956"/>
    <cellStyle name="20% - Ênfase6 12 2" xfId="14036"/>
    <cellStyle name="20% - Ênfase6 12 3" xfId="9544"/>
    <cellStyle name="20% - Ênfase6 13" xfId="2957"/>
    <cellStyle name="20% - Ênfase6 13 2" xfId="14037"/>
    <cellStyle name="20% - Ênfase6 13 3" xfId="9057"/>
    <cellStyle name="20% - Ênfase6 14" xfId="2958"/>
    <cellStyle name="20% - Ênfase6 14 2" xfId="14038"/>
    <cellStyle name="20% - Ênfase6 14 3" xfId="9056"/>
    <cellStyle name="20% - Ênfase6 15" xfId="2959"/>
    <cellStyle name="20% - Ênfase6 15 2" xfId="14039"/>
    <cellStyle name="20% - Ênfase6 15 3" xfId="9543"/>
    <cellStyle name="20% - Ênfase6 16" xfId="2960"/>
    <cellStyle name="20% - Ênfase6 16 2" xfId="14040"/>
    <cellStyle name="20% - Ênfase6 16 3" xfId="9055"/>
    <cellStyle name="20% - Ênfase6 17" xfId="2961"/>
    <cellStyle name="20% - Ênfase6 18" xfId="2962"/>
    <cellStyle name="20% - Ênfase6 19" xfId="2963"/>
    <cellStyle name="20% - Ênfase6 2" xfId="2516"/>
    <cellStyle name="20% - Ênfase6 2 2" xfId="2965"/>
    <cellStyle name="20% - Ênfase6 2 2 2" xfId="14042"/>
    <cellStyle name="20% - Ênfase6 2 2 3" xfId="9542"/>
    <cellStyle name="20% - Ênfase6 2 3" xfId="2964"/>
    <cellStyle name="20% - Ênfase6 2 3 2" xfId="14041"/>
    <cellStyle name="20% - Ênfase6 2 3 3" xfId="9054"/>
    <cellStyle name="20% - Ênfase6 2 4" xfId="15367"/>
    <cellStyle name="20% - Ênfase6 2_Base RF" xfId="5460"/>
    <cellStyle name="20% - Ênfase6 20" xfId="2966"/>
    <cellStyle name="20% - Ênfase6 21" xfId="2967"/>
    <cellStyle name="20% - Ênfase6 22" xfId="2968"/>
    <cellStyle name="20% - Ênfase6 3" xfId="2969"/>
    <cellStyle name="20% - Ênfase6 3 2" xfId="9541"/>
    <cellStyle name="20% - Ênfase6 3 3" xfId="14043"/>
    <cellStyle name="20% - Ênfase6 3 4" xfId="9053"/>
    <cellStyle name="20% - Ênfase6 4" xfId="2970"/>
    <cellStyle name="20% - Ênfase6 4 2" xfId="14044"/>
    <cellStyle name="20% - Ênfase6 4 3" xfId="9052"/>
    <cellStyle name="20% - Ênfase6 5" xfId="2971"/>
    <cellStyle name="20% - Ênfase6 5 2" xfId="6781"/>
    <cellStyle name="20% - Ênfase6 5 2 2" xfId="9048"/>
    <cellStyle name="20% - Ênfase6 5 2 3" xfId="9049"/>
    <cellStyle name="20% - Ênfase6 5 3" xfId="6780"/>
    <cellStyle name="20% - Ênfase6 5 4" xfId="9045"/>
    <cellStyle name="20% - Ênfase6 5 5" xfId="9047"/>
    <cellStyle name="20% - Ênfase6 5 6" xfId="14045"/>
    <cellStyle name="20% - Ênfase6 5 7" xfId="9051"/>
    <cellStyle name="20% - Ênfase6 6" xfId="2972"/>
    <cellStyle name="20% - Ênfase6 6 2" xfId="14046"/>
    <cellStyle name="20% - Ênfase6 6 3" xfId="9046"/>
    <cellStyle name="20% - Ênfase6 7" xfId="2973"/>
    <cellStyle name="20% - Ênfase6 7 2" xfId="9044"/>
    <cellStyle name="20% - Ênfase6 7 3" xfId="9540"/>
    <cellStyle name="20% - Ênfase6 7 4" xfId="9043"/>
    <cellStyle name="20% - Ênfase6 7 5" xfId="14047"/>
    <cellStyle name="20% - Ênfase6 7 6" xfId="6779"/>
    <cellStyle name="20% - Ênfase6 8" xfId="2974"/>
    <cellStyle name="20% - Ênfase6 8 2" xfId="14048"/>
    <cellStyle name="20% - Ênfase6 8 3" xfId="9042"/>
    <cellStyle name="20% - Ênfase6 9" xfId="2975"/>
    <cellStyle name="20% - Ênfase6 9 2" xfId="14049"/>
    <cellStyle name="20% - Ênfase6 9 3" xfId="9539"/>
    <cellStyle name="20% - Énfasis1" xfId="2976"/>
    <cellStyle name="20% - Énfasis2" xfId="2977"/>
    <cellStyle name="20% - Énfasis3" xfId="2978"/>
    <cellStyle name="20% - Énfasis4" xfId="2979"/>
    <cellStyle name="20% - Énfasis5" xfId="2980"/>
    <cellStyle name="20% - Énfasis6" xfId="2981"/>
    <cellStyle name="3 Decimals" xfId="9041"/>
    <cellStyle name="40% - Accent1" xfId="2982"/>
    <cellStyle name="40% - Accent1 2" xfId="102"/>
    <cellStyle name="40% - Accent1 2 2" xfId="103"/>
    <cellStyle name="40% - Accent1 2 2 2" xfId="5328"/>
    <cellStyle name="40% - Accent1 2 2 2 2" xfId="14847"/>
    <cellStyle name="40% - Accent1 2 2 2 3" xfId="9538"/>
    <cellStyle name="40% - Accent1 2 2 3" xfId="2983"/>
    <cellStyle name="40% - Accent1 2 2 3 2" xfId="14050"/>
    <cellStyle name="40% - Accent1 2 2 3 3" xfId="13671"/>
    <cellStyle name="40% - Accent1 2 2 4" xfId="9040"/>
    <cellStyle name="40% - Accent1 2 3" xfId="2984"/>
    <cellStyle name="40% - Accent1 2 3 2" xfId="14051"/>
    <cellStyle name="40% - Accent1 2 3 3" xfId="9038"/>
    <cellStyle name="40% - Accent1 2_Client" xfId="2985"/>
    <cellStyle name="40% - Accent1 3" xfId="2986"/>
    <cellStyle name="40% - Accent1 3 2" xfId="9039"/>
    <cellStyle name="40% - Accent1 3 3" xfId="14052"/>
    <cellStyle name="40% - Accent1 3 4" xfId="9488"/>
    <cellStyle name="40% - Accent1 4" xfId="2987"/>
    <cellStyle name="40% - Accent1 4 2" xfId="14053"/>
    <cellStyle name="40% - Accent1 4 3" xfId="7303"/>
    <cellStyle name="40% - Accent1 5" xfId="2988"/>
    <cellStyle name="40% - Accent1 6" xfId="2989"/>
    <cellStyle name="40% - Accent1 7" xfId="2990"/>
    <cellStyle name="40% - Accent1_CAC" xfId="2991"/>
    <cellStyle name="40% - Accent2" xfId="2992"/>
    <cellStyle name="40% - Accent2 2" xfId="104"/>
    <cellStyle name="40% - Accent2 2 2" xfId="105"/>
    <cellStyle name="40% - Accent2 2 2 2" xfId="9037"/>
    <cellStyle name="40% - Accent2 2 3" xfId="9491"/>
    <cellStyle name="40% - Accent2 3" xfId="2993"/>
    <cellStyle name="40% - Accent2 3 2" xfId="7298"/>
    <cellStyle name="40% - Accent2 4" xfId="9537"/>
    <cellStyle name="40% - Accent2_Negocio" xfId="2994"/>
    <cellStyle name="40% - Accent3" xfId="2995"/>
    <cellStyle name="40% - Accent3 2" xfId="106"/>
    <cellStyle name="40% - Accent3 2 2" xfId="107"/>
    <cellStyle name="40% - Accent3 2 2 2" xfId="5329"/>
    <cellStyle name="40% - Accent3 2 2 2 2" xfId="14848"/>
    <cellStyle name="40% - Accent3 2 2 2 3" xfId="9036"/>
    <cellStyle name="40% - Accent3 2 2 3" xfId="2996"/>
    <cellStyle name="40% - Accent3 2 2 3 2" xfId="14054"/>
    <cellStyle name="40% - Accent3 2 2 3 3" xfId="13672"/>
    <cellStyle name="40% - Accent3 2 2 4" xfId="9487"/>
    <cellStyle name="40% - Accent3 2 3" xfId="2997"/>
    <cellStyle name="40% - Accent3 2 3 2" xfId="14055"/>
    <cellStyle name="40% - Accent3 2 3 3" xfId="9035"/>
    <cellStyle name="40% - Accent3 2_Client" xfId="2998"/>
    <cellStyle name="40% - Accent3 3" xfId="2999"/>
    <cellStyle name="40% - Accent3 3 2" xfId="7614"/>
    <cellStyle name="40% - Accent3 3 3" xfId="14056"/>
    <cellStyle name="40% - Accent3 3 4" xfId="7297"/>
    <cellStyle name="40% - Accent3 4" xfId="3000"/>
    <cellStyle name="40% - Accent3 4 2" xfId="14057"/>
    <cellStyle name="40% - Accent3 4 3" xfId="9027"/>
    <cellStyle name="40% - Accent3_CAC" xfId="3001"/>
    <cellStyle name="40% - Accent4" xfId="3002"/>
    <cellStyle name="40% - Accent4 2" xfId="108"/>
    <cellStyle name="40% - Accent4 2 2" xfId="109"/>
    <cellStyle name="40% - Accent4 2 2 2" xfId="5330"/>
    <cellStyle name="40% - Accent4 2 2 2 2" xfId="14849"/>
    <cellStyle name="40% - Accent4 2 2 2 3" xfId="9033"/>
    <cellStyle name="40% - Accent4 2 2 3" xfId="3003"/>
    <cellStyle name="40% - Accent4 2 2 3 2" xfId="14058"/>
    <cellStyle name="40% - Accent4 2 2 3 3" xfId="13673"/>
    <cellStyle name="40% - Accent4 2 2 4" xfId="9034"/>
    <cellStyle name="40% - Accent4 2 3" xfId="3004"/>
    <cellStyle name="40% - Accent4 2 3 2" xfId="14059"/>
    <cellStyle name="40% - Accent4 2 3 3" xfId="9536"/>
    <cellStyle name="40% - Accent4 2_Client" xfId="3005"/>
    <cellStyle name="40% - Accent4 3" xfId="3006"/>
    <cellStyle name="40% - Accent4 3 2" xfId="9031"/>
    <cellStyle name="40% - Accent4 3 3" xfId="14060"/>
    <cellStyle name="40% - Accent4 3 4" xfId="9032"/>
    <cellStyle name="40% - Accent4 4" xfId="3007"/>
    <cellStyle name="40% - Accent4 4 2" xfId="14061"/>
    <cellStyle name="40% - Accent4 4 3" xfId="9535"/>
    <cellStyle name="40% - Accent4 5" xfId="3008"/>
    <cellStyle name="40% - Accent4 6" xfId="3009"/>
    <cellStyle name="40% - Accent4 7" xfId="3010"/>
    <cellStyle name="40% - Accent4_CAC" xfId="3011"/>
    <cellStyle name="40% - Accent5" xfId="3012"/>
    <cellStyle name="40% - Accent5 2" xfId="110"/>
    <cellStyle name="40% - Accent5 2 2" xfId="111"/>
    <cellStyle name="40% - Accent5 2 2 2" xfId="5331"/>
    <cellStyle name="40% - Accent5 2 2 2 2" xfId="14850"/>
    <cellStyle name="40% - Accent5 2 2 2 3" xfId="9534"/>
    <cellStyle name="40% - Accent5 2 2 3" xfId="3013"/>
    <cellStyle name="40% - Accent5 2 2 3 2" xfId="14062"/>
    <cellStyle name="40% - Accent5 2 2 3 3" xfId="13674"/>
    <cellStyle name="40% - Accent5 2 2 4" xfId="9030"/>
    <cellStyle name="40% - Accent5 2 3" xfId="3014"/>
    <cellStyle name="40% - Accent5 2 3 2" xfId="14063"/>
    <cellStyle name="40% - Accent5 2 3 3" xfId="9029"/>
    <cellStyle name="40% - Accent5 2_Client" xfId="3015"/>
    <cellStyle name="40% - Accent5 3" xfId="3016"/>
    <cellStyle name="40% - Accent5 3 2" xfId="6778"/>
    <cellStyle name="40% - Accent5 3 3" xfId="14064"/>
    <cellStyle name="40% - Accent5 3 4" xfId="9028"/>
    <cellStyle name="40% - Accent5 4" xfId="3017"/>
    <cellStyle name="40% - Accent5 4 2" xfId="14065"/>
    <cellStyle name="40% - Accent5 4 3" xfId="9026"/>
    <cellStyle name="40% - Accent5 5" xfId="3018"/>
    <cellStyle name="40% - Accent5 6" xfId="3019"/>
    <cellStyle name="40% - Accent5 7" xfId="3020"/>
    <cellStyle name="40% - Accent5_CAC" xfId="3021"/>
    <cellStyle name="40% - Accent6" xfId="3022"/>
    <cellStyle name="40% - Accent6 2" xfId="112"/>
    <cellStyle name="40% - Accent6 2 2" xfId="113"/>
    <cellStyle name="40% - Accent6 2 2 2" xfId="5332"/>
    <cellStyle name="40% - Accent6 2 2 2 2" xfId="14851"/>
    <cellStyle name="40% - Accent6 2 2 2 3" xfId="9024"/>
    <cellStyle name="40% - Accent6 2 2 3" xfId="3023"/>
    <cellStyle name="40% - Accent6 2 2 3 2" xfId="14066"/>
    <cellStyle name="40% - Accent6 2 2 3 3" xfId="13675"/>
    <cellStyle name="40% - Accent6 2 2 4" xfId="9025"/>
    <cellStyle name="40% - Accent6 2 3" xfId="3024"/>
    <cellStyle name="40% - Accent6 2 3 2" xfId="14067"/>
    <cellStyle name="40% - Accent6 2 3 3" xfId="9023"/>
    <cellStyle name="40% - Accent6 2_Client" xfId="3025"/>
    <cellStyle name="40% - Accent6 3" xfId="3026"/>
    <cellStyle name="40% - Accent6 3 2" xfId="6777"/>
    <cellStyle name="40% - Accent6 3 3" xfId="14068"/>
    <cellStyle name="40% - Accent6 3 4" xfId="9022"/>
    <cellStyle name="40% - Accent6 4" xfId="3027"/>
    <cellStyle name="40% - Accent6 4 2" xfId="14069"/>
    <cellStyle name="40% - Accent6 4 3" xfId="6776"/>
    <cellStyle name="40% - Accent6 5" xfId="3028"/>
    <cellStyle name="40% - Accent6 6" xfId="3029"/>
    <cellStyle name="40% - Accent6 7" xfId="3030"/>
    <cellStyle name="40% - Accent6_CAC" xfId="3031"/>
    <cellStyle name="40% - Ênfase1" xfId="23" builtinId="31" customBuiltin="1"/>
    <cellStyle name="40% - Ênfase1 10" xfId="3032"/>
    <cellStyle name="40% - Ênfase1 10 2" xfId="14070"/>
    <cellStyle name="40% - Ênfase1 10 3" xfId="6775"/>
    <cellStyle name="40% - Ênfase1 11" xfId="3033"/>
    <cellStyle name="40% - Ênfase1 11 2" xfId="14071"/>
    <cellStyle name="40% - Ênfase1 11 3" xfId="6774"/>
    <cellStyle name="40% - Ênfase1 12" xfId="3034"/>
    <cellStyle name="40% - Ênfase1 12 2" xfId="14072"/>
    <cellStyle name="40% - Ênfase1 12 3" xfId="6773"/>
    <cellStyle name="40% - Ênfase1 13" xfId="3035"/>
    <cellStyle name="40% - Ênfase1 13 2" xfId="14073"/>
    <cellStyle name="40% - Ênfase1 13 3" xfId="6772"/>
    <cellStyle name="40% - Ênfase1 14" xfId="3036"/>
    <cellStyle name="40% - Ênfase1 14 2" xfId="14074"/>
    <cellStyle name="40% - Ênfase1 14 3" xfId="6771"/>
    <cellStyle name="40% - Ênfase1 15" xfId="3037"/>
    <cellStyle name="40% - Ênfase1 15 2" xfId="14075"/>
    <cellStyle name="40% - Ênfase1 15 3" xfId="6770"/>
    <cellStyle name="40% - Ênfase1 16" xfId="3038"/>
    <cellStyle name="40% - Ênfase1 16 2" xfId="14076"/>
    <cellStyle name="40% - Ênfase1 16 3" xfId="6769"/>
    <cellStyle name="40% - Ênfase1 17" xfId="3039"/>
    <cellStyle name="40% - Ênfase1 18" xfId="3040"/>
    <cellStyle name="40% - Ênfase1 19" xfId="3041"/>
    <cellStyle name="40% - Ênfase1 2" xfId="2229"/>
    <cellStyle name="40% - Ênfase1 2 2" xfId="3043"/>
    <cellStyle name="40% - Ênfase1 2 2 2" xfId="14078"/>
    <cellStyle name="40% - Ênfase1 2 2 3" xfId="6768"/>
    <cellStyle name="40% - Ênfase1 2 3" xfId="3042"/>
    <cellStyle name="40% - Ênfase1 2 3 2" xfId="14077"/>
    <cellStyle name="40% - Ênfase1 2 3 3" xfId="6767"/>
    <cellStyle name="40% - Ênfase1 2 4" xfId="15325"/>
    <cellStyle name="40% - Ênfase1 2_Base RF" xfId="5461"/>
    <cellStyle name="40% - Ênfase1 20" xfId="3044"/>
    <cellStyle name="40% - Ênfase1 21" xfId="3045"/>
    <cellStyle name="40% - Ênfase1 21 2" xfId="3046"/>
    <cellStyle name="40% - Ênfase1 22" xfId="3047"/>
    <cellStyle name="40% - Ênfase1 23" xfId="3048"/>
    <cellStyle name="40% - Ênfase1 3" xfId="3049"/>
    <cellStyle name="40% - Ênfase1 3 2" xfId="6765"/>
    <cellStyle name="40% - Ênfase1 3 3" xfId="14079"/>
    <cellStyle name="40% - Ênfase1 3 4" xfId="6766"/>
    <cellStyle name="40% - Ênfase1 4" xfId="3050"/>
    <cellStyle name="40% - Ênfase1 4 2" xfId="14080"/>
    <cellStyle name="40% - Ênfase1 4 3" xfId="6764"/>
    <cellStyle name="40% - Ênfase1 5" xfId="3051"/>
    <cellStyle name="40% - Ênfase1 5 2" xfId="6762"/>
    <cellStyle name="40% - Ênfase1 5 2 2" xfId="6761"/>
    <cellStyle name="40% - Ênfase1 5 2 3" xfId="6760"/>
    <cellStyle name="40% - Ênfase1 5 3" xfId="6759"/>
    <cellStyle name="40% - Ênfase1 5 4" xfId="6758"/>
    <cellStyle name="40% - Ênfase1 5 5" xfId="6757"/>
    <cellStyle name="40% - Ênfase1 5 6" xfId="14081"/>
    <cellStyle name="40% - Ênfase1 5 7" xfId="6763"/>
    <cellStyle name="40% - Ênfase1 6" xfId="3052"/>
    <cellStyle name="40% - Ênfase1 6 2" xfId="14082"/>
    <cellStyle name="40% - Ênfase1 6 3" xfId="6756"/>
    <cellStyle name="40% - Ênfase1 7" xfId="3053"/>
    <cellStyle name="40% - Ênfase1 7 2" xfId="6754"/>
    <cellStyle name="40% - Ênfase1 7 3" xfId="6753"/>
    <cellStyle name="40% - Ênfase1 7 4" xfId="6752"/>
    <cellStyle name="40% - Ênfase1 7 5" xfId="14083"/>
    <cellStyle name="40% - Ênfase1 7 6" xfId="6755"/>
    <cellStyle name="40% - Ênfase1 8" xfId="3054"/>
    <cellStyle name="40% - Ênfase1 8 2" xfId="14084"/>
    <cellStyle name="40% - Ênfase1 8 3" xfId="6751"/>
    <cellStyle name="40% - Ênfase1 9" xfId="3055"/>
    <cellStyle name="40% - Ênfase1 9 2" xfId="14085"/>
    <cellStyle name="40% - Ênfase1 9 3" xfId="6750"/>
    <cellStyle name="40% - Ênfase2" xfId="27" builtinId="35" customBuiltin="1"/>
    <cellStyle name="40% - Ênfase2 10" xfId="3056"/>
    <cellStyle name="40% - Ênfase2 10 2" xfId="14086"/>
    <cellStyle name="40% - Ênfase2 10 3" xfId="6749"/>
    <cellStyle name="40% - Ênfase2 11" xfId="3057"/>
    <cellStyle name="40% - Ênfase2 11 2" xfId="14087"/>
    <cellStyle name="40% - Ênfase2 11 3" xfId="6748"/>
    <cellStyle name="40% - Ênfase2 12" xfId="3058"/>
    <cellStyle name="40% - Ênfase2 12 2" xfId="14088"/>
    <cellStyle name="40% - Ênfase2 12 3" xfId="6747"/>
    <cellStyle name="40% - Ênfase2 13" xfId="3059"/>
    <cellStyle name="40% - Ênfase2 13 2" xfId="14089"/>
    <cellStyle name="40% - Ênfase2 13 3" xfId="6746"/>
    <cellStyle name="40% - Ênfase2 14" xfId="3060"/>
    <cellStyle name="40% - Ênfase2 15" xfId="3061"/>
    <cellStyle name="40% - Ênfase2 15 2" xfId="14090"/>
    <cellStyle name="40% - Ênfase2 15 3" xfId="6745"/>
    <cellStyle name="40% - Ênfase2 16" xfId="3062"/>
    <cellStyle name="40% - Ênfase2 16 2" xfId="14091"/>
    <cellStyle name="40% - Ênfase2 16 3" xfId="6744"/>
    <cellStyle name="40% - Ênfase2 17" xfId="3063"/>
    <cellStyle name="40% - Ênfase2 18" xfId="3064"/>
    <cellStyle name="40% - Ênfase2 19" xfId="3065"/>
    <cellStyle name="40% - Ênfase2 2" xfId="2501"/>
    <cellStyle name="40% - Ênfase2 2 2" xfId="3067"/>
    <cellStyle name="40% - Ênfase2 2 2 2" xfId="14092"/>
    <cellStyle name="40% - Ênfase2 2 2 3" xfId="6743"/>
    <cellStyle name="40% - Ênfase2 2 3" xfId="3066"/>
    <cellStyle name="40% - Ênfase2 2 4" xfId="15352"/>
    <cellStyle name="40% - Ênfase2 2_Base RF" xfId="5462"/>
    <cellStyle name="40% - Ênfase2 20" xfId="3068"/>
    <cellStyle name="40% - Ênfase2 21" xfId="3069"/>
    <cellStyle name="40% - Ênfase2 22" xfId="3070"/>
    <cellStyle name="40% - Ênfase2 3" xfId="3071"/>
    <cellStyle name="40% - Ênfase2 3 2" xfId="6741"/>
    <cellStyle name="40% - Ênfase2 3 3" xfId="14093"/>
    <cellStyle name="40% - Ênfase2 3 4" xfId="6742"/>
    <cellStyle name="40% - Ênfase2 4" xfId="3072"/>
    <cellStyle name="40% - Ênfase2 4 2" xfId="14094"/>
    <cellStyle name="40% - Ênfase2 4 3" xfId="6740"/>
    <cellStyle name="40% - Ênfase2 5" xfId="3073"/>
    <cellStyle name="40% - Ênfase2 5 2" xfId="6738"/>
    <cellStyle name="40% - Ênfase2 5 2 2" xfId="6737"/>
    <cellStyle name="40% - Ênfase2 5 2 3" xfId="6736"/>
    <cellStyle name="40% - Ênfase2 5 3" xfId="6735"/>
    <cellStyle name="40% - Ênfase2 5 4" xfId="6734"/>
    <cellStyle name="40% - Ênfase2 5 5" xfId="6733"/>
    <cellStyle name="40% - Ênfase2 5 6" xfId="14095"/>
    <cellStyle name="40% - Ênfase2 5 7" xfId="6739"/>
    <cellStyle name="40% - Ênfase2 6" xfId="3074"/>
    <cellStyle name="40% - Ênfase2 6 2" xfId="14096"/>
    <cellStyle name="40% - Ênfase2 6 3" xfId="6732"/>
    <cellStyle name="40% - Ênfase2 7" xfId="3075"/>
    <cellStyle name="40% - Ênfase2 7 2" xfId="6730"/>
    <cellStyle name="40% - Ênfase2 7 3" xfId="6729"/>
    <cellStyle name="40% - Ênfase2 7 4" xfId="6728"/>
    <cellStyle name="40% - Ênfase2 7 5" xfId="14097"/>
    <cellStyle name="40% - Ênfase2 7 6" xfId="6731"/>
    <cellStyle name="40% - Ênfase2 8" xfId="3076"/>
    <cellStyle name="40% - Ênfase2 8 2" xfId="14098"/>
    <cellStyle name="40% - Ênfase2 8 3" xfId="6727"/>
    <cellStyle name="40% - Ênfase2 9" xfId="3077"/>
    <cellStyle name="40% - Ênfase2 9 2" xfId="14099"/>
    <cellStyle name="40% - Ênfase2 9 3" xfId="6726"/>
    <cellStyle name="40% - Ênfase3" xfId="31" builtinId="39" customBuiltin="1"/>
    <cellStyle name="40% - Ênfase3 10" xfId="3078"/>
    <cellStyle name="40% - Ênfase3 10 2" xfId="14100"/>
    <cellStyle name="40% - Ênfase3 10 3" xfId="6725"/>
    <cellStyle name="40% - Ênfase3 11" xfId="3079"/>
    <cellStyle name="40% - Ênfase3 11 2" xfId="14101"/>
    <cellStyle name="40% - Ênfase3 11 3" xfId="6724"/>
    <cellStyle name="40% - Ênfase3 12" xfId="3080"/>
    <cellStyle name="40% - Ênfase3 12 2" xfId="14102"/>
    <cellStyle name="40% - Ênfase3 12 3" xfId="6723"/>
    <cellStyle name="40% - Ênfase3 13" xfId="3081"/>
    <cellStyle name="40% - Ênfase3 13 2" xfId="14103"/>
    <cellStyle name="40% - Ênfase3 13 3" xfId="6722"/>
    <cellStyle name="40% - Ênfase3 14" xfId="3082"/>
    <cellStyle name="40% - Ênfase3 14 2" xfId="14104"/>
    <cellStyle name="40% - Ênfase3 14 3" xfId="6721"/>
    <cellStyle name="40% - Ênfase3 15" xfId="3083"/>
    <cellStyle name="40% - Ênfase3 15 2" xfId="14105"/>
    <cellStyle name="40% - Ênfase3 15 3" xfId="6720"/>
    <cellStyle name="40% - Ênfase3 16" xfId="3084"/>
    <cellStyle name="40% - Ênfase3 16 2" xfId="14106"/>
    <cellStyle name="40% - Ênfase3 16 3" xfId="6719"/>
    <cellStyle name="40% - Ênfase3 17" xfId="3085"/>
    <cellStyle name="40% - Ênfase3 18" xfId="3086"/>
    <cellStyle name="40% - Ênfase3 19" xfId="3087"/>
    <cellStyle name="40% - Ênfase3 2" xfId="2505"/>
    <cellStyle name="40% - Ênfase3 2 2" xfId="3089"/>
    <cellStyle name="40% - Ênfase3 2 2 2" xfId="14108"/>
    <cellStyle name="40% - Ênfase3 2 2 3" xfId="6718"/>
    <cellStyle name="40% - Ênfase3 2 3" xfId="3088"/>
    <cellStyle name="40% - Ênfase3 2 3 2" xfId="14107"/>
    <cellStyle name="40% - Ênfase3 2 3 3" xfId="6717"/>
    <cellStyle name="40% - Ênfase3 2 4" xfId="15356"/>
    <cellStyle name="40% - Ênfase3 2_Base RF" xfId="5463"/>
    <cellStyle name="40% - Ênfase3 20" xfId="3090"/>
    <cellStyle name="40% - Ênfase3 21" xfId="3091"/>
    <cellStyle name="40% - Ênfase3 22" xfId="3092"/>
    <cellStyle name="40% - Ênfase3 3" xfId="3093"/>
    <cellStyle name="40% - Ênfase3 3 2" xfId="6715"/>
    <cellStyle name="40% - Ênfase3 3 3" xfId="14109"/>
    <cellStyle name="40% - Ênfase3 3 4" xfId="6716"/>
    <cellStyle name="40% - Ênfase3 4" xfId="3094"/>
    <cellStyle name="40% - Ênfase3 4 2" xfId="14110"/>
    <cellStyle name="40% - Ênfase3 4 3" xfId="6714"/>
    <cellStyle name="40% - Ênfase3 5" xfId="3095"/>
    <cellStyle name="40% - Ênfase3 5 2" xfId="6712"/>
    <cellStyle name="40% - Ênfase3 5 2 2" xfId="6711"/>
    <cellStyle name="40% - Ênfase3 5 2 3" xfId="6710"/>
    <cellStyle name="40% - Ênfase3 5 3" xfId="6709"/>
    <cellStyle name="40% - Ênfase3 5 4" xfId="6708"/>
    <cellStyle name="40% - Ênfase3 5 5" xfId="6707"/>
    <cellStyle name="40% - Ênfase3 5 6" xfId="14111"/>
    <cellStyle name="40% - Ênfase3 5 7" xfId="6713"/>
    <cellStyle name="40% - Ênfase3 6" xfId="3096"/>
    <cellStyle name="40% - Ênfase3 6 2" xfId="14112"/>
    <cellStyle name="40% - Ênfase3 6 3" xfId="6706"/>
    <cellStyle name="40% - Ênfase3 7" xfId="3097"/>
    <cellStyle name="40% - Ênfase3 7 2" xfId="6704"/>
    <cellStyle name="40% - Ênfase3 7 3" xfId="6703"/>
    <cellStyle name="40% - Ênfase3 7 4" xfId="6702"/>
    <cellStyle name="40% - Ênfase3 7 5" xfId="14113"/>
    <cellStyle name="40% - Ênfase3 7 6" xfId="6705"/>
    <cellStyle name="40% - Ênfase3 8" xfId="3098"/>
    <cellStyle name="40% - Ênfase3 8 2" xfId="14114"/>
    <cellStyle name="40% - Ênfase3 8 3" xfId="6701"/>
    <cellStyle name="40% - Ênfase3 9" xfId="3099"/>
    <cellStyle name="40% - Ênfase3 9 2" xfId="14115"/>
    <cellStyle name="40% - Ênfase3 9 3" xfId="6700"/>
    <cellStyle name="40% - Ênfase4" xfId="35" builtinId="43" customBuiltin="1"/>
    <cellStyle name="40% - Ênfase4 10" xfId="3100"/>
    <cellStyle name="40% - Ênfase4 10 2" xfId="14116"/>
    <cellStyle name="40% - Ênfase4 10 3" xfId="6699"/>
    <cellStyle name="40% - Ênfase4 11" xfId="3101"/>
    <cellStyle name="40% - Ênfase4 11 2" xfId="14117"/>
    <cellStyle name="40% - Ênfase4 11 3" xfId="6698"/>
    <cellStyle name="40% - Ênfase4 12" xfId="3102"/>
    <cellStyle name="40% - Ênfase4 12 2" xfId="14118"/>
    <cellStyle name="40% - Ênfase4 12 3" xfId="6697"/>
    <cellStyle name="40% - Ênfase4 13" xfId="3103"/>
    <cellStyle name="40% - Ênfase4 13 2" xfId="14119"/>
    <cellStyle name="40% - Ênfase4 13 3" xfId="6696"/>
    <cellStyle name="40% - Ênfase4 14" xfId="3104"/>
    <cellStyle name="40% - Ênfase4 14 2" xfId="14120"/>
    <cellStyle name="40% - Ênfase4 14 3" xfId="6695"/>
    <cellStyle name="40% - Ênfase4 15" xfId="3105"/>
    <cellStyle name="40% - Ênfase4 15 2" xfId="14121"/>
    <cellStyle name="40% - Ênfase4 15 3" xfId="6694"/>
    <cellStyle name="40% - Ênfase4 16" xfId="3106"/>
    <cellStyle name="40% - Ênfase4 16 2" xfId="14122"/>
    <cellStyle name="40% - Ênfase4 16 3" xfId="6693"/>
    <cellStyle name="40% - Ênfase4 17" xfId="3107"/>
    <cellStyle name="40% - Ênfase4 18" xfId="3108"/>
    <cellStyle name="40% - Ênfase4 19" xfId="3109"/>
    <cellStyle name="40% - Ênfase4 2" xfId="2509"/>
    <cellStyle name="40% - Ênfase4 2 2" xfId="3111"/>
    <cellStyle name="40% - Ênfase4 2 2 2" xfId="14124"/>
    <cellStyle name="40% - Ênfase4 2 2 3" xfId="6692"/>
    <cellStyle name="40% - Ênfase4 2 3" xfId="3110"/>
    <cellStyle name="40% - Ênfase4 2 3 2" xfId="14123"/>
    <cellStyle name="40% - Ênfase4 2 3 3" xfId="6691"/>
    <cellStyle name="40% - Ênfase4 2 4" xfId="15360"/>
    <cellStyle name="40% - Ênfase4 2_Base RF" xfId="5464"/>
    <cellStyle name="40% - Ênfase4 20" xfId="3112"/>
    <cellStyle name="40% - Ênfase4 21" xfId="3113"/>
    <cellStyle name="40% - Ênfase4 21 2" xfId="3114"/>
    <cellStyle name="40% - Ênfase4 22" xfId="3115"/>
    <cellStyle name="40% - Ênfase4 23" xfId="3116"/>
    <cellStyle name="40% - Ênfase4 3" xfId="3117"/>
    <cellStyle name="40% - Ênfase4 3 2" xfId="6689"/>
    <cellStyle name="40% - Ênfase4 3 3" xfId="14125"/>
    <cellStyle name="40% - Ênfase4 3 4" xfId="6690"/>
    <cellStyle name="40% - Ênfase4 4" xfId="3118"/>
    <cellStyle name="40% - Ênfase4 4 2" xfId="14126"/>
    <cellStyle name="40% - Ênfase4 4 3" xfId="6688"/>
    <cellStyle name="40% - Ênfase4 5" xfId="3119"/>
    <cellStyle name="40% - Ênfase4 5 2" xfId="6686"/>
    <cellStyle name="40% - Ênfase4 5 2 2" xfId="6685"/>
    <cellStyle name="40% - Ênfase4 5 2 3" xfId="6684"/>
    <cellStyle name="40% - Ênfase4 5 3" xfId="6683"/>
    <cellStyle name="40% - Ênfase4 5 4" xfId="6682"/>
    <cellStyle name="40% - Ênfase4 5 5" xfId="6681"/>
    <cellStyle name="40% - Ênfase4 5 6" xfId="14127"/>
    <cellStyle name="40% - Ênfase4 5 7" xfId="6687"/>
    <cellStyle name="40% - Ênfase4 6" xfId="3120"/>
    <cellStyle name="40% - Ênfase4 6 2" xfId="14128"/>
    <cellStyle name="40% - Ênfase4 6 3" xfId="6680"/>
    <cellStyle name="40% - Ênfase4 7" xfId="3121"/>
    <cellStyle name="40% - Ênfase4 7 2" xfId="6678"/>
    <cellStyle name="40% - Ênfase4 7 3" xfId="6677"/>
    <cellStyle name="40% - Ênfase4 7 4" xfId="6676"/>
    <cellStyle name="40% - Ênfase4 7 5" xfId="14129"/>
    <cellStyle name="40% - Ênfase4 7 6" xfId="6679"/>
    <cellStyle name="40% - Ênfase4 8" xfId="3122"/>
    <cellStyle name="40% - Ênfase4 8 2" xfId="14130"/>
    <cellStyle name="40% - Ênfase4 8 3" xfId="6675"/>
    <cellStyle name="40% - Ênfase4 9" xfId="3123"/>
    <cellStyle name="40% - Ênfase4 9 2" xfId="14131"/>
    <cellStyle name="40% - Ênfase4 9 3" xfId="6674"/>
    <cellStyle name="40% - Ênfase5" xfId="39" builtinId="47" customBuiltin="1"/>
    <cellStyle name="40% - Ênfase5 10" xfId="3124"/>
    <cellStyle name="40% - Ênfase5 10 2" xfId="14132"/>
    <cellStyle name="40% - Ênfase5 10 3" xfId="6673"/>
    <cellStyle name="40% - Ênfase5 11" xfId="3125"/>
    <cellStyle name="40% - Ênfase5 11 2" xfId="14133"/>
    <cellStyle name="40% - Ênfase5 11 3" xfId="6672"/>
    <cellStyle name="40% - Ênfase5 12" xfId="3126"/>
    <cellStyle name="40% - Ênfase5 12 2" xfId="14134"/>
    <cellStyle name="40% - Ênfase5 12 3" xfId="6671"/>
    <cellStyle name="40% - Ênfase5 13" xfId="3127"/>
    <cellStyle name="40% - Ênfase5 13 2" xfId="14135"/>
    <cellStyle name="40% - Ênfase5 13 3" xfId="6670"/>
    <cellStyle name="40% - Ênfase5 14" xfId="3128"/>
    <cellStyle name="40% - Ênfase5 14 2" xfId="14136"/>
    <cellStyle name="40% - Ênfase5 14 3" xfId="6669"/>
    <cellStyle name="40% - Ênfase5 15" xfId="3129"/>
    <cellStyle name="40% - Ênfase5 15 2" xfId="14137"/>
    <cellStyle name="40% - Ênfase5 15 3" xfId="6668"/>
    <cellStyle name="40% - Ênfase5 16" xfId="3130"/>
    <cellStyle name="40% - Ênfase5 16 2" xfId="14138"/>
    <cellStyle name="40% - Ênfase5 16 3" xfId="6667"/>
    <cellStyle name="40% - Ênfase5 17" xfId="3131"/>
    <cellStyle name="40% - Ênfase5 18" xfId="3132"/>
    <cellStyle name="40% - Ênfase5 19" xfId="3133"/>
    <cellStyle name="40% - Ênfase5 2" xfId="2513"/>
    <cellStyle name="40% - Ênfase5 2 2" xfId="3135"/>
    <cellStyle name="40% - Ênfase5 2 2 2" xfId="14140"/>
    <cellStyle name="40% - Ênfase5 2 2 3" xfId="9021"/>
    <cellStyle name="40% - Ênfase5 2 3" xfId="3134"/>
    <cellStyle name="40% - Ênfase5 2 3 2" xfId="14139"/>
    <cellStyle name="40% - Ênfase5 2 3 3" xfId="9258"/>
    <cellStyle name="40% - Ênfase5 2 4" xfId="15364"/>
    <cellStyle name="40% - Ênfase5 2_Base RF" xfId="5465"/>
    <cellStyle name="40% - Ênfase5 20" xfId="3136"/>
    <cellStyle name="40% - Ênfase5 21" xfId="3137"/>
    <cellStyle name="40% - Ênfase5 21 2" xfId="3138"/>
    <cellStyle name="40% - Ênfase5 22" xfId="3139"/>
    <cellStyle name="40% - Ênfase5 23" xfId="3140"/>
    <cellStyle name="40% - Ênfase5 3" xfId="3141"/>
    <cellStyle name="40% - Ênfase5 3 2" xfId="6665"/>
    <cellStyle name="40% - Ênfase5 3 3" xfId="14141"/>
    <cellStyle name="40% - Ênfase5 3 4" xfId="6666"/>
    <cellStyle name="40% - Ênfase5 4" xfId="3142"/>
    <cellStyle name="40% - Ênfase5 4 2" xfId="14142"/>
    <cellStyle name="40% - Ênfase5 4 3" xfId="6664"/>
    <cellStyle name="40% - Ênfase5 5" xfId="3143"/>
    <cellStyle name="40% - Ênfase5 5 2" xfId="6662"/>
    <cellStyle name="40% - Ênfase5 5 2 2" xfId="6661"/>
    <cellStyle name="40% - Ênfase5 5 2 3" xfId="6660"/>
    <cellStyle name="40% - Ênfase5 5 3" xfId="6659"/>
    <cellStyle name="40% - Ênfase5 5 4" xfId="6658"/>
    <cellStyle name="40% - Ênfase5 5 5" xfId="6657"/>
    <cellStyle name="40% - Ênfase5 5 6" xfId="14143"/>
    <cellStyle name="40% - Ênfase5 5 7" xfId="6663"/>
    <cellStyle name="40% - Ênfase5 6" xfId="3144"/>
    <cellStyle name="40% - Ênfase5 6 2" xfId="14144"/>
    <cellStyle name="40% - Ênfase5 6 3" xfId="6656"/>
    <cellStyle name="40% - Ênfase5 7" xfId="3145"/>
    <cellStyle name="40% - Ênfase5 7 2" xfId="6654"/>
    <cellStyle name="40% - Ênfase5 7 3" xfId="6653"/>
    <cellStyle name="40% - Ênfase5 7 4" xfId="6652"/>
    <cellStyle name="40% - Ênfase5 7 5" xfId="14145"/>
    <cellStyle name="40% - Ênfase5 7 6" xfId="6655"/>
    <cellStyle name="40% - Ênfase5 8" xfId="3146"/>
    <cellStyle name="40% - Ênfase5 8 2" xfId="14146"/>
    <cellStyle name="40% - Ênfase5 8 3" xfId="6651"/>
    <cellStyle name="40% - Ênfase5 9" xfId="3147"/>
    <cellStyle name="40% - Ênfase5 9 2" xfId="14147"/>
    <cellStyle name="40% - Ênfase5 9 3" xfId="6650"/>
    <cellStyle name="40% - Ênfase6" xfId="43" builtinId="51" customBuiltin="1"/>
    <cellStyle name="40% - Ênfase6 10" xfId="3148"/>
    <cellStyle name="40% - Ênfase6 10 2" xfId="14148"/>
    <cellStyle name="40% - Ênfase6 10 3" xfId="6649"/>
    <cellStyle name="40% - Ênfase6 11" xfId="3149"/>
    <cellStyle name="40% - Ênfase6 11 2" xfId="14149"/>
    <cellStyle name="40% - Ênfase6 11 3" xfId="6648"/>
    <cellStyle name="40% - Ênfase6 12" xfId="3150"/>
    <cellStyle name="40% - Ênfase6 12 2" xfId="14150"/>
    <cellStyle name="40% - Ênfase6 12 3" xfId="6647"/>
    <cellStyle name="40% - Ênfase6 13" xfId="3151"/>
    <cellStyle name="40% - Ênfase6 13 2" xfId="14151"/>
    <cellStyle name="40% - Ênfase6 13 3" xfId="6646"/>
    <cellStyle name="40% - Ênfase6 14" xfId="3152"/>
    <cellStyle name="40% - Ênfase6 14 2" xfId="14152"/>
    <cellStyle name="40% - Ênfase6 14 3" xfId="6645"/>
    <cellStyle name="40% - Ênfase6 15" xfId="3153"/>
    <cellStyle name="40% - Ênfase6 15 2" xfId="14153"/>
    <cellStyle name="40% - Ênfase6 15 3" xfId="6644"/>
    <cellStyle name="40% - Ênfase6 16" xfId="3154"/>
    <cellStyle name="40% - Ênfase6 16 2" xfId="14154"/>
    <cellStyle name="40% - Ênfase6 16 3" xfId="6643"/>
    <cellStyle name="40% - Ênfase6 17" xfId="3155"/>
    <cellStyle name="40% - Ênfase6 18" xfId="3156"/>
    <cellStyle name="40% - Ênfase6 19" xfId="3157"/>
    <cellStyle name="40% - Ênfase6 2" xfId="2517"/>
    <cellStyle name="40% - Ênfase6 2 2" xfId="3159"/>
    <cellStyle name="40% - Ênfase6 2 2 2" xfId="14156"/>
    <cellStyle name="40% - Ênfase6 2 2 3" xfId="6642"/>
    <cellStyle name="40% - Ênfase6 2 3" xfId="3158"/>
    <cellStyle name="40% - Ênfase6 2 3 2" xfId="14155"/>
    <cellStyle name="40% - Ênfase6 2 3 3" xfId="6641"/>
    <cellStyle name="40% - Ênfase6 2 4" xfId="15368"/>
    <cellStyle name="40% - Ênfase6 2_Base RF" xfId="5466"/>
    <cellStyle name="40% - Ênfase6 20" xfId="3160"/>
    <cellStyle name="40% - Ênfase6 21" xfId="3161"/>
    <cellStyle name="40% - Ênfase6 21 2" xfId="3162"/>
    <cellStyle name="40% - Ênfase6 22" xfId="3163"/>
    <cellStyle name="40% - Ênfase6 23" xfId="3164"/>
    <cellStyle name="40% - Ênfase6 3" xfId="3165"/>
    <cellStyle name="40% - Ênfase6 3 2" xfId="6639"/>
    <cellStyle name="40% - Ênfase6 3 3" xfId="14157"/>
    <cellStyle name="40% - Ênfase6 3 4" xfId="6640"/>
    <cellStyle name="40% - Ênfase6 4" xfId="3166"/>
    <cellStyle name="40% - Ênfase6 4 2" xfId="14158"/>
    <cellStyle name="40% - Ênfase6 4 3" xfId="6638"/>
    <cellStyle name="40% - Ênfase6 5" xfId="3167"/>
    <cellStyle name="40% - Ênfase6 5 2" xfId="6636"/>
    <cellStyle name="40% - Ênfase6 5 2 2" xfId="9020"/>
    <cellStyle name="40% - Ênfase6 5 2 3" xfId="9257"/>
    <cellStyle name="40% - Ênfase6 5 3" xfId="6635"/>
    <cellStyle name="40% - Ênfase6 5 4" xfId="6634"/>
    <cellStyle name="40% - Ênfase6 5 5" xfId="6633"/>
    <cellStyle name="40% - Ênfase6 5 6" xfId="14159"/>
    <cellStyle name="40% - Ênfase6 5 7" xfId="6637"/>
    <cellStyle name="40% - Ênfase6 6" xfId="3168"/>
    <cellStyle name="40% - Ênfase6 6 2" xfId="14160"/>
    <cellStyle name="40% - Ênfase6 6 3" xfId="6632"/>
    <cellStyle name="40% - Ênfase6 7" xfId="3169"/>
    <cellStyle name="40% - Ênfase6 7 2" xfId="9406"/>
    <cellStyle name="40% - Ênfase6 7 3" xfId="9018"/>
    <cellStyle name="40% - Ênfase6 7 4" xfId="9019"/>
    <cellStyle name="40% - Ênfase6 7 5" xfId="14161"/>
    <cellStyle name="40% - Ênfase6 7 6" xfId="5979"/>
    <cellStyle name="40% - Ênfase6 8" xfId="3170"/>
    <cellStyle name="40% - Ênfase6 8 2" xfId="14162"/>
    <cellStyle name="40% - Ênfase6 8 3" xfId="5977"/>
    <cellStyle name="40% - Ênfase6 9" xfId="3171"/>
    <cellStyle name="40% - Ênfase6 9 2" xfId="14163"/>
    <cellStyle name="40% - Ênfase6 9 3" xfId="9017"/>
    <cellStyle name="40% - Énfasis1" xfId="3172"/>
    <cellStyle name="40% - Énfasis2" xfId="3173"/>
    <cellStyle name="40% - Énfasis3" xfId="3174"/>
    <cellStyle name="40% - Énfasis4" xfId="3175"/>
    <cellStyle name="40% - Énfasis5" xfId="3176"/>
    <cellStyle name="40% - Énfasis6" xfId="3177"/>
    <cellStyle name="6_x0001_" xfId="114"/>
    <cellStyle name="60% - Accent1" xfId="3178"/>
    <cellStyle name="60% - Accent1 2" xfId="115"/>
    <cellStyle name="60% - Accent1 2 2" xfId="116"/>
    <cellStyle name="60% - Accent1 2 2 2" xfId="5333"/>
    <cellStyle name="60% - Accent1 2 2 3" xfId="3179"/>
    <cellStyle name="60% - Accent1 2 3" xfId="3180"/>
    <cellStyle name="60% - Accent1 2_Client" xfId="3181"/>
    <cellStyle name="60% - Accent1 3" xfId="3182"/>
    <cellStyle name="60% - Accent1 4" xfId="3183"/>
    <cellStyle name="60% - Accent1 5" xfId="3184"/>
    <cellStyle name="60% - Accent1 6" xfId="3185"/>
    <cellStyle name="60% - Accent1 7" xfId="3186"/>
    <cellStyle name="60% - Accent1_CAC" xfId="3187"/>
    <cellStyle name="60% - Accent2" xfId="3188"/>
    <cellStyle name="60% - Accent2 2" xfId="117"/>
    <cellStyle name="60% - Accent2 2 2" xfId="118"/>
    <cellStyle name="60% - Accent2 2 2 2" xfId="5334"/>
    <cellStyle name="60% - Accent2 2 2 3" xfId="3189"/>
    <cellStyle name="60% - Accent2 2 3" xfId="3190"/>
    <cellStyle name="60% - Accent2 2_Client" xfId="3191"/>
    <cellStyle name="60% - Accent2 3" xfId="3192"/>
    <cellStyle name="60% - Accent2 4" xfId="3193"/>
    <cellStyle name="60% - Accent2_CAC" xfId="3194"/>
    <cellStyle name="60% - Accent3" xfId="3195"/>
    <cellStyle name="60% - Accent3 2" xfId="119"/>
    <cellStyle name="60% - Accent3 2 2" xfId="120"/>
    <cellStyle name="60% - Accent3 2 2 2" xfId="5335"/>
    <cellStyle name="60% - Accent3 2 2 3" xfId="3196"/>
    <cellStyle name="60% - Accent3 2 3" xfId="3197"/>
    <cellStyle name="60% - Accent3 2_Client" xfId="3198"/>
    <cellStyle name="60% - Accent3 3" xfId="3199"/>
    <cellStyle name="60% - Accent3 4" xfId="3200"/>
    <cellStyle name="60% - Accent3 5" xfId="3201"/>
    <cellStyle name="60% - Accent3 6" xfId="3202"/>
    <cellStyle name="60% - Accent3 7" xfId="3203"/>
    <cellStyle name="60% - Accent3_CAC" xfId="3204"/>
    <cellStyle name="60% - Accent4" xfId="3205"/>
    <cellStyle name="60% - Accent4 2" xfId="121"/>
    <cellStyle name="60% - Accent4 2 2" xfId="122"/>
    <cellStyle name="60% - Accent4 2 2 2" xfId="5336"/>
    <cellStyle name="60% - Accent4 2 2 3" xfId="3206"/>
    <cellStyle name="60% - Accent4 2 3" xfId="3207"/>
    <cellStyle name="60% - Accent4 2_Client" xfId="3208"/>
    <cellStyle name="60% - Accent4 3" xfId="3209"/>
    <cellStyle name="60% - Accent4 4" xfId="3210"/>
    <cellStyle name="60% - Accent4 5" xfId="3211"/>
    <cellStyle name="60% - Accent4 6" xfId="3212"/>
    <cellStyle name="60% - Accent4 7" xfId="3213"/>
    <cellStyle name="60% - Accent4_CAC" xfId="3214"/>
    <cellStyle name="60% - Accent5" xfId="3215"/>
    <cellStyle name="60% - Accent5 2" xfId="123"/>
    <cellStyle name="60% - Accent5 2 2" xfId="124"/>
    <cellStyle name="60% - Accent5 2 2 2" xfId="5337"/>
    <cellStyle name="60% - Accent5 2 2 3" xfId="3216"/>
    <cellStyle name="60% - Accent5 2 3" xfId="3217"/>
    <cellStyle name="60% - Accent5 2_Client" xfId="3218"/>
    <cellStyle name="60% - Accent5 3" xfId="3219"/>
    <cellStyle name="60% - Accent5 4" xfId="3220"/>
    <cellStyle name="60% - Accent5_CAC" xfId="3221"/>
    <cellStyle name="60% - Accent6" xfId="3222"/>
    <cellStyle name="60% - Accent6 2" xfId="125"/>
    <cellStyle name="60% - Accent6 2 2" xfId="126"/>
    <cellStyle name="60% - Accent6 2 2 2" xfId="5338"/>
    <cellStyle name="60% - Accent6 2 2 3" xfId="3223"/>
    <cellStyle name="60% - Accent6 2 3" xfId="3224"/>
    <cellStyle name="60% - Accent6 2_Client" xfId="3225"/>
    <cellStyle name="60% - Accent6 3" xfId="3226"/>
    <cellStyle name="60% - Accent6 4" xfId="3227"/>
    <cellStyle name="60% - Accent6 5" xfId="3228"/>
    <cellStyle name="60% - Accent6 6" xfId="3229"/>
    <cellStyle name="60% - Accent6 7" xfId="3230"/>
    <cellStyle name="60% - Accent6_CAC" xfId="3231"/>
    <cellStyle name="60% - Ênfase1" xfId="24" builtinId="32" customBuiltin="1"/>
    <cellStyle name="60% - Ênfase1 10" xfId="3232"/>
    <cellStyle name="60% - Ênfase1 10 2" xfId="14164"/>
    <cellStyle name="60% - Ênfase1 10 3" xfId="9016"/>
    <cellStyle name="60% - Ênfase1 11" xfId="3233"/>
    <cellStyle name="60% - Ênfase1 11 2" xfId="14165"/>
    <cellStyle name="60% - Ênfase1 11 3" xfId="6631"/>
    <cellStyle name="60% - Ênfase1 12" xfId="3234"/>
    <cellStyle name="60% - Ênfase1 12 2" xfId="14166"/>
    <cellStyle name="60% - Ênfase1 12 3" xfId="9015"/>
    <cellStyle name="60% - Ênfase1 13" xfId="3235"/>
    <cellStyle name="60% - Ênfase1 13 2" xfId="14167"/>
    <cellStyle name="60% - Ênfase1 13 3" xfId="9014"/>
    <cellStyle name="60% - Ênfase1 14" xfId="3236"/>
    <cellStyle name="60% - Ênfase1 14 2" xfId="14168"/>
    <cellStyle name="60% - Ênfase1 14 3" xfId="6630"/>
    <cellStyle name="60% - Ênfase1 15" xfId="3237"/>
    <cellStyle name="60% - Ênfase1 16" xfId="3238"/>
    <cellStyle name="60% - Ênfase1 17" xfId="3239"/>
    <cellStyle name="60% - Ênfase1 18" xfId="3240"/>
    <cellStyle name="60% - Ênfase1 19" xfId="3241"/>
    <cellStyle name="60% - Ênfase1 2" xfId="2228"/>
    <cellStyle name="60% - Ênfase1 2 2" xfId="3243"/>
    <cellStyle name="60% - Ênfase1 2 2 2" xfId="14169"/>
    <cellStyle name="60% - Ênfase1 2 2 3" xfId="9013"/>
    <cellStyle name="60% - Ênfase1 2 3" xfId="3242"/>
    <cellStyle name="60% - Ênfase1 2 4" xfId="15324"/>
    <cellStyle name="60% - Ênfase1 2_Base RF" xfId="5467"/>
    <cellStyle name="60% - Ênfase1 20" xfId="3244"/>
    <cellStyle name="60% - Ênfase1 21" xfId="3245"/>
    <cellStyle name="60% - Ênfase1 21 2" xfId="3246"/>
    <cellStyle name="60% - Ênfase1 22" xfId="3247"/>
    <cellStyle name="60% - Ênfase1 23" xfId="3248"/>
    <cellStyle name="60% - Ênfase1 3" xfId="3249"/>
    <cellStyle name="60% - Ênfase1 3 2" xfId="14170"/>
    <cellStyle name="60% - Ênfase1 3 3" xfId="6629"/>
    <cellStyle name="60% - Ênfase1 4" xfId="3250"/>
    <cellStyle name="60% - Ênfase1 4 2" xfId="14171"/>
    <cellStyle name="60% - Ênfase1 4 3" xfId="9012"/>
    <cellStyle name="60% - Ênfase1 5" xfId="3251"/>
    <cellStyle name="60% - Ênfase1 5 2" xfId="14172"/>
    <cellStyle name="60% - Ênfase1 5 3" xfId="6628"/>
    <cellStyle name="60% - Ênfase1 6" xfId="3252"/>
    <cellStyle name="60% - Ênfase1 6 2" xfId="14173"/>
    <cellStyle name="60% - Ênfase1 6 3" xfId="6627"/>
    <cellStyle name="60% - Ênfase1 7" xfId="3253"/>
    <cellStyle name="60% - Ênfase1 7 2" xfId="14174"/>
    <cellStyle name="60% - Ênfase1 7 3" xfId="9011"/>
    <cellStyle name="60% - Ênfase1 8" xfId="3254"/>
    <cellStyle name="60% - Ênfase1 8 2" xfId="14175"/>
    <cellStyle name="60% - Ênfase1 8 3" xfId="9010"/>
    <cellStyle name="60% - Ênfase1 9" xfId="3255"/>
    <cellStyle name="60% - Ênfase1 9 2" xfId="14176"/>
    <cellStyle name="60% - Ênfase1 9 3" xfId="6626"/>
    <cellStyle name="60% - Ênfase2" xfId="28" builtinId="36" customBuiltin="1"/>
    <cellStyle name="60% - Ênfase2 10" xfId="3256"/>
    <cellStyle name="60% - Ênfase2 10 2" xfId="14177"/>
    <cellStyle name="60% - Ênfase2 10 3" xfId="6625"/>
    <cellStyle name="60% - Ênfase2 11" xfId="3257"/>
    <cellStyle name="60% - Ênfase2 11 2" xfId="14178"/>
    <cellStyle name="60% - Ênfase2 11 3" xfId="9403"/>
    <cellStyle name="60% - Ênfase2 12" xfId="3258"/>
    <cellStyle name="60% - Ênfase2 12 2" xfId="14179"/>
    <cellStyle name="60% - Ênfase2 12 3" xfId="9402"/>
    <cellStyle name="60% - Ênfase2 13" xfId="3259"/>
    <cellStyle name="60% - Ênfase2 13 2" xfId="14180"/>
    <cellStyle name="60% - Ênfase2 13 3" xfId="9401"/>
    <cellStyle name="60% - Ênfase2 14" xfId="3260"/>
    <cellStyle name="60% - Ênfase2 14 2" xfId="14181"/>
    <cellStyle name="60% - Ênfase2 14 3" xfId="9400"/>
    <cellStyle name="60% - Ênfase2 15" xfId="3261"/>
    <cellStyle name="60% - Ênfase2 16" xfId="3262"/>
    <cellStyle name="60% - Ênfase2 17" xfId="3263"/>
    <cellStyle name="60% - Ênfase2 18" xfId="3264"/>
    <cellStyle name="60% - Ênfase2 19" xfId="3265"/>
    <cellStyle name="60% - Ênfase2 2" xfId="2502"/>
    <cellStyle name="60% - Ênfase2 2 2" xfId="3267"/>
    <cellStyle name="60% - Ênfase2 2 2 2" xfId="14182"/>
    <cellStyle name="60% - Ênfase2 2 2 3" xfId="9009"/>
    <cellStyle name="60% - Ênfase2 2 3" xfId="3266"/>
    <cellStyle name="60% - Ênfase2 2 4" xfId="15353"/>
    <cellStyle name="60% - Ênfase2 2_Base RF" xfId="5468"/>
    <cellStyle name="60% - Ênfase2 20" xfId="3268"/>
    <cellStyle name="60% - Ênfase2 21" xfId="3269"/>
    <cellStyle name="60% - Ênfase2 22" xfId="3270"/>
    <cellStyle name="60% - Ênfase2 3" xfId="3271"/>
    <cellStyle name="60% - Ênfase2 3 2" xfId="14183"/>
    <cellStyle name="60% - Ênfase2 3 3" xfId="6624"/>
    <cellStyle name="60% - Ênfase2 4" xfId="3272"/>
    <cellStyle name="60% - Ênfase2 4 2" xfId="14184"/>
    <cellStyle name="60% - Ênfase2 4 3" xfId="6623"/>
    <cellStyle name="60% - Ênfase2 5" xfId="3273"/>
    <cellStyle name="60% - Ênfase2 5 2" xfId="14185"/>
    <cellStyle name="60% - Ênfase2 5 3" xfId="9397"/>
    <cellStyle name="60% - Ênfase2 6" xfId="3274"/>
    <cellStyle name="60% - Ênfase2 6 2" xfId="14186"/>
    <cellStyle name="60% - Ênfase2 6 3" xfId="9396"/>
    <cellStyle name="60% - Ênfase2 7" xfId="3275"/>
    <cellStyle name="60% - Ênfase2 7 2" xfId="14187"/>
    <cellStyle name="60% - Ênfase2 7 3" xfId="9395"/>
    <cellStyle name="60% - Ênfase2 8" xfId="3276"/>
    <cellStyle name="60% - Ênfase2 8 2" xfId="14188"/>
    <cellStyle name="60% - Ênfase2 8 3" xfId="9394"/>
    <cellStyle name="60% - Ênfase2 9" xfId="3277"/>
    <cellStyle name="60% - Ênfase2 9 2" xfId="14189"/>
    <cellStyle name="60% - Ênfase2 9 3" xfId="9389"/>
    <cellStyle name="60% - Ênfase3" xfId="32" builtinId="40" customBuiltin="1"/>
    <cellStyle name="60% - Ênfase3 10" xfId="3278"/>
    <cellStyle name="60% - Ênfase3 10 2" xfId="14190"/>
    <cellStyle name="60% - Ênfase3 10 3" xfId="9387"/>
    <cellStyle name="60% - Ênfase3 11" xfId="3279"/>
    <cellStyle name="60% - Ênfase3 11 2" xfId="14191"/>
    <cellStyle name="60% - Ênfase3 11 3" xfId="9384"/>
    <cellStyle name="60% - Ênfase3 12" xfId="3280"/>
    <cellStyle name="60% - Ênfase3 12 2" xfId="14192"/>
    <cellStyle name="60% - Ênfase3 12 3" xfId="9383"/>
    <cellStyle name="60% - Ênfase3 13" xfId="3281"/>
    <cellStyle name="60% - Ênfase3 13 2" xfId="14193"/>
    <cellStyle name="60% - Ênfase3 13 3" xfId="9380"/>
    <cellStyle name="60% - Ênfase3 14" xfId="3282"/>
    <cellStyle name="60% - Ênfase3 14 2" xfId="14194"/>
    <cellStyle name="60% - Ênfase3 14 3" xfId="9379"/>
    <cellStyle name="60% - Ênfase3 15" xfId="3283"/>
    <cellStyle name="60% - Ênfase3 16" xfId="3284"/>
    <cellStyle name="60% - Ênfase3 17" xfId="3285"/>
    <cellStyle name="60% - Ênfase3 18" xfId="3286"/>
    <cellStyle name="60% - Ênfase3 19" xfId="3287"/>
    <cellStyle name="60% - Ênfase3 2" xfId="2506"/>
    <cellStyle name="60% - Ênfase3 2 2" xfId="3289"/>
    <cellStyle name="60% - Ênfase3 2 2 2" xfId="14195"/>
    <cellStyle name="60% - Ênfase3 2 2 3" xfId="9008"/>
    <cellStyle name="60% - Ênfase3 2 3" xfId="3288"/>
    <cellStyle name="60% - Ênfase3 2 4" xfId="15357"/>
    <cellStyle name="60% - Ênfase3 2_Base RF" xfId="5469"/>
    <cellStyle name="60% - Ênfase3 20" xfId="3290"/>
    <cellStyle name="60% - Ênfase3 21" xfId="3291"/>
    <cellStyle name="60% - Ênfase3 21 2" xfId="3292"/>
    <cellStyle name="60% - Ênfase3 22" xfId="3293"/>
    <cellStyle name="60% - Ênfase3 23" xfId="3294"/>
    <cellStyle name="60% - Ênfase3 3" xfId="3295"/>
    <cellStyle name="60% - Ênfase3 3 2" xfId="14196"/>
    <cellStyle name="60% - Ênfase3 3 3" xfId="6622"/>
    <cellStyle name="60% - Ênfase3 4" xfId="3296"/>
    <cellStyle name="60% - Ênfase3 4 2" xfId="14197"/>
    <cellStyle name="60% - Ênfase3 4 3" xfId="6621"/>
    <cellStyle name="60% - Ênfase3 5" xfId="3297"/>
    <cellStyle name="60% - Ênfase3 5 2" xfId="14198"/>
    <cellStyle name="60% - Ênfase3 5 3" xfId="9378"/>
    <cellStyle name="60% - Ênfase3 6" xfId="3298"/>
    <cellStyle name="60% - Ênfase3 6 2" xfId="14199"/>
    <cellStyle name="60% - Ênfase3 6 3" xfId="9374"/>
    <cellStyle name="60% - Ênfase3 7" xfId="3299"/>
    <cellStyle name="60% - Ênfase3 7 2" xfId="14200"/>
    <cellStyle name="60% - Ênfase3 7 3" xfId="9373"/>
    <cellStyle name="60% - Ênfase3 8" xfId="3300"/>
    <cellStyle name="60% - Ênfase3 8 2" xfId="14201"/>
    <cellStyle name="60% - Ênfase3 8 3" xfId="9371"/>
    <cellStyle name="60% - Ênfase3 9" xfId="3301"/>
    <cellStyle name="60% - Ênfase3 9 2" xfId="14202"/>
    <cellStyle name="60% - Ênfase3 9 3" xfId="9369"/>
    <cellStyle name="60% - Ênfase4" xfId="36" builtinId="44" customBuiltin="1"/>
    <cellStyle name="60% - Ênfase4 10" xfId="3302"/>
    <cellStyle name="60% - Ênfase4 10 2" xfId="14203"/>
    <cellStyle name="60% - Ênfase4 10 3" xfId="9242"/>
    <cellStyle name="60% - Ênfase4 11" xfId="3303"/>
    <cellStyle name="60% - Ênfase4 11 2" xfId="14204"/>
    <cellStyle name="60% - Ênfase4 11 3" xfId="9405"/>
    <cellStyle name="60% - Ênfase4 12" xfId="3304"/>
    <cellStyle name="60% - Ênfase4 12 2" xfId="14205"/>
    <cellStyle name="60% - Ênfase4 12 3" xfId="9241"/>
    <cellStyle name="60% - Ênfase4 13" xfId="3305"/>
    <cellStyle name="60% - Ênfase4 13 2" xfId="14206"/>
    <cellStyle name="60% - Ênfase4 13 3" xfId="9404"/>
    <cellStyle name="60% - Ênfase4 14" xfId="3306"/>
    <cellStyle name="60% - Ênfase4 14 2" xfId="14207"/>
    <cellStyle name="60% - Ênfase4 14 3" xfId="9240"/>
    <cellStyle name="60% - Ênfase4 15" xfId="3307"/>
    <cellStyle name="60% - Ênfase4 16" xfId="3308"/>
    <cellStyle name="60% - Ênfase4 17" xfId="3309"/>
    <cellStyle name="60% - Ênfase4 18" xfId="3310"/>
    <cellStyle name="60% - Ênfase4 19" xfId="3311"/>
    <cellStyle name="60% - Ênfase4 2" xfId="2510"/>
    <cellStyle name="60% - Ênfase4 2 2" xfId="3313"/>
    <cellStyle name="60% - Ênfase4 2 2 2" xfId="14208"/>
    <cellStyle name="60% - Ênfase4 2 2 3" xfId="9239"/>
    <cellStyle name="60% - Ênfase4 2 3" xfId="3312"/>
    <cellStyle name="60% - Ênfase4 2 4" xfId="15361"/>
    <cellStyle name="60% - Ênfase4 2_Base RF" xfId="5470"/>
    <cellStyle name="60% - Ênfase4 20" xfId="3314"/>
    <cellStyle name="60% - Ênfase4 21" xfId="3315"/>
    <cellStyle name="60% - Ênfase4 21 2" xfId="3316"/>
    <cellStyle name="60% - Ênfase4 22" xfId="3317"/>
    <cellStyle name="60% - Ênfase4 23" xfId="3318"/>
    <cellStyle name="60% - Ênfase4 3" xfId="3319"/>
    <cellStyle name="60% - Ênfase4 3 2" xfId="14209"/>
    <cellStyle name="60% - Ênfase4 3 3" xfId="9007"/>
    <cellStyle name="60% - Ênfase4 4" xfId="3320"/>
    <cellStyle name="60% - Ênfase4 4 2" xfId="14210"/>
    <cellStyle name="60% - Ênfase4 4 3" xfId="9533"/>
    <cellStyle name="60% - Ênfase4 5" xfId="3321"/>
    <cellStyle name="60% - Ênfase4 5 2" xfId="14211"/>
    <cellStyle name="60% - Ênfase4 5 3" xfId="7477"/>
    <cellStyle name="60% - Ênfase4 6" xfId="3322"/>
    <cellStyle name="60% - Ênfase4 6 2" xfId="14212"/>
    <cellStyle name="60% - Ênfase4 6 3" xfId="9006"/>
    <cellStyle name="60% - Ênfase4 7" xfId="3323"/>
    <cellStyle name="60% - Ênfase4 7 2" xfId="14213"/>
    <cellStyle name="60% - Ênfase4 7 3" xfId="9484"/>
    <cellStyle name="60% - Ênfase4 8" xfId="3324"/>
    <cellStyle name="60% - Ênfase4 8 2" xfId="14214"/>
    <cellStyle name="60% - Ênfase4 8 3" xfId="6619"/>
    <cellStyle name="60% - Ênfase4 9" xfId="3325"/>
    <cellStyle name="60% - Ênfase4 9 2" xfId="14215"/>
    <cellStyle name="60% - Ênfase4 9 3" xfId="6620"/>
    <cellStyle name="60% - Ênfase5" xfId="40" builtinId="48" customBuiltin="1"/>
    <cellStyle name="60% - Ênfase5 10" xfId="3326"/>
    <cellStyle name="60% - Ênfase5 10 2" xfId="14216"/>
    <cellStyle name="60% - Ênfase5 10 3" xfId="5991"/>
    <cellStyle name="60% - Ênfase5 11" xfId="3327"/>
    <cellStyle name="60% - Ênfase5 11 2" xfId="14217"/>
    <cellStyle name="60% - Ênfase5 11 3" xfId="9005"/>
    <cellStyle name="60% - Ênfase5 12" xfId="3328"/>
    <cellStyle name="60% - Ênfase5 12 2" xfId="14218"/>
    <cellStyle name="60% - Ênfase5 12 3" xfId="9004"/>
    <cellStyle name="60% - Ênfase5 13" xfId="3329"/>
    <cellStyle name="60% - Ênfase5 13 2" xfId="14219"/>
    <cellStyle name="60% - Ênfase5 13 3" xfId="9003"/>
    <cellStyle name="60% - Ênfase5 14" xfId="3330"/>
    <cellStyle name="60% - Ênfase5 14 2" xfId="14220"/>
    <cellStyle name="60% - Ênfase5 14 3" xfId="9532"/>
    <cellStyle name="60% - Ênfase5 15" xfId="3331"/>
    <cellStyle name="60% - Ênfase5 16" xfId="3332"/>
    <cellStyle name="60% - Ênfase5 17" xfId="3333"/>
    <cellStyle name="60% - Ênfase5 18" xfId="3334"/>
    <cellStyle name="60% - Ênfase5 19" xfId="3335"/>
    <cellStyle name="60% - Ênfase5 2" xfId="2514"/>
    <cellStyle name="60% - Ênfase5 2 2" xfId="3337"/>
    <cellStyle name="60% - Ênfase5 2 2 2" xfId="14221"/>
    <cellStyle name="60% - Ênfase5 2 2 3" xfId="9002"/>
    <cellStyle name="60% - Ênfase5 2 3" xfId="3336"/>
    <cellStyle name="60% - Ênfase5 2 4" xfId="15365"/>
    <cellStyle name="60% - Ênfase5 2_Base RF" xfId="5471"/>
    <cellStyle name="60% - Ênfase5 20" xfId="3338"/>
    <cellStyle name="60% - Ênfase5 21" xfId="3339"/>
    <cellStyle name="60% - Ênfase5 22" xfId="3340"/>
    <cellStyle name="60% - Ênfase5 3" xfId="3341"/>
    <cellStyle name="60% - Ênfase5 3 2" xfId="14222"/>
    <cellStyle name="60% - Ênfase5 3 3" xfId="9001"/>
    <cellStyle name="60% - Ênfase5 4" xfId="3342"/>
    <cellStyle name="60% - Ênfase5 4 2" xfId="14223"/>
    <cellStyle name="60% - Ênfase5 4 3" xfId="9530"/>
    <cellStyle name="60% - Ênfase5 5" xfId="3343"/>
    <cellStyle name="60% - Ênfase5 5 2" xfId="14224"/>
    <cellStyle name="60% - Ênfase5 5 3" xfId="9000"/>
    <cellStyle name="60% - Ênfase5 6" xfId="3344"/>
    <cellStyle name="60% - Ênfase5 6 2" xfId="14225"/>
    <cellStyle name="60% - Ênfase5 6 3" xfId="9531"/>
    <cellStyle name="60% - Ênfase5 7" xfId="3345"/>
    <cellStyle name="60% - Ênfase5 7 2" xfId="14226"/>
    <cellStyle name="60% - Ênfase5 7 3" xfId="8999"/>
    <cellStyle name="60% - Ênfase5 8" xfId="3346"/>
    <cellStyle name="60% - Ênfase5 8 2" xfId="14227"/>
    <cellStyle name="60% - Ênfase5 8 3" xfId="8998"/>
    <cellStyle name="60% - Ênfase5 9" xfId="3347"/>
    <cellStyle name="60% - Ênfase5 9 2" xfId="14228"/>
    <cellStyle name="60% - Ênfase5 9 3" xfId="8997"/>
    <cellStyle name="60% - Ênfase6" xfId="44" builtinId="52" customBuiltin="1"/>
    <cellStyle name="60% - Ênfase6 10" xfId="3348"/>
    <cellStyle name="60% - Ênfase6 10 2" xfId="14229"/>
    <cellStyle name="60% - Ênfase6 10 3" xfId="8996"/>
    <cellStyle name="60% - Ênfase6 11" xfId="3349"/>
    <cellStyle name="60% - Ênfase6 11 2" xfId="14230"/>
    <cellStyle name="60% - Ênfase6 11 3" xfId="9528"/>
    <cellStyle name="60% - Ênfase6 12" xfId="3350"/>
    <cellStyle name="60% - Ênfase6 12 2" xfId="14231"/>
    <cellStyle name="60% - Ênfase6 12 3" xfId="8995"/>
    <cellStyle name="60% - Ênfase6 13" xfId="3351"/>
    <cellStyle name="60% - Ênfase6 13 2" xfId="14232"/>
    <cellStyle name="60% - Ênfase6 13 3" xfId="9529"/>
    <cellStyle name="60% - Ênfase6 14" xfId="3352"/>
    <cellStyle name="60% - Ênfase6 14 2" xfId="14233"/>
    <cellStyle name="60% - Ênfase6 14 3" xfId="8994"/>
    <cellStyle name="60% - Ênfase6 15" xfId="3353"/>
    <cellStyle name="60% - Ênfase6 16" xfId="3354"/>
    <cellStyle name="60% - Ênfase6 17" xfId="3355"/>
    <cellStyle name="60% - Ênfase6 18" xfId="3356"/>
    <cellStyle name="60% - Ênfase6 19" xfId="3357"/>
    <cellStyle name="60% - Ênfase6 2" xfId="2518"/>
    <cellStyle name="60% - Ênfase6 2 2" xfId="3359"/>
    <cellStyle name="60% - Ênfase6 2 2 2" xfId="14234"/>
    <cellStyle name="60% - Ênfase6 2 2 3" xfId="8993"/>
    <cellStyle name="60% - Ênfase6 2 3" xfId="3358"/>
    <cellStyle name="60% - Ênfase6 2 4" xfId="15369"/>
    <cellStyle name="60% - Ênfase6 2_Base RF" xfId="5472"/>
    <cellStyle name="60% - Ênfase6 20" xfId="3360"/>
    <cellStyle name="60% - Ênfase6 21" xfId="3361"/>
    <cellStyle name="60% - Ênfase6 21 2" xfId="3362"/>
    <cellStyle name="60% - Ênfase6 22" xfId="3363"/>
    <cellStyle name="60% - Ênfase6 23" xfId="3364"/>
    <cellStyle name="60% - Ênfase6 3" xfId="3365"/>
    <cellStyle name="60% - Ênfase6 3 2" xfId="14235"/>
    <cellStyle name="60% - Ênfase6 3 3" xfId="8992"/>
    <cellStyle name="60% - Ênfase6 4" xfId="3366"/>
    <cellStyle name="60% - Ênfase6 4 2" xfId="14236"/>
    <cellStyle name="60% - Ênfase6 4 3" xfId="8991"/>
    <cellStyle name="60% - Ênfase6 5" xfId="3367"/>
    <cellStyle name="60% - Ênfase6 5 2" xfId="14237"/>
    <cellStyle name="60% - Ênfase6 5 3" xfId="8990"/>
    <cellStyle name="60% - Ênfase6 6" xfId="3368"/>
    <cellStyle name="60% - Ênfase6 6 2" xfId="14238"/>
    <cellStyle name="60% - Ênfase6 6 3" xfId="8989"/>
    <cellStyle name="60% - Ênfase6 7" xfId="3369"/>
    <cellStyle name="60% - Ênfase6 7 2" xfId="14239"/>
    <cellStyle name="60% - Ênfase6 7 3" xfId="8988"/>
    <cellStyle name="60% - Ênfase6 8" xfId="3370"/>
    <cellStyle name="60% - Ênfase6 8 2" xfId="14240"/>
    <cellStyle name="60% - Ênfase6 8 3" xfId="8874"/>
    <cellStyle name="60% - Ênfase6 9" xfId="3371"/>
    <cellStyle name="60% - Ênfase6 9 2" xfId="14241"/>
    <cellStyle name="60% - Ênfase6 9 3" xfId="8987"/>
    <cellStyle name="60% - Énfasis1" xfId="3372"/>
    <cellStyle name="60% - Énfasis2" xfId="3373"/>
    <cellStyle name="60% - Énfasis3" xfId="3374"/>
    <cellStyle name="60% - Énfasis4" xfId="3375"/>
    <cellStyle name="60% - Énfasis5" xfId="3376"/>
    <cellStyle name="60% - Énfasis6" xfId="3377"/>
    <cellStyle name="6A" xfId="127"/>
    <cellStyle name="8" xfId="8986"/>
    <cellStyle name="8_EMT Financial Projections" xfId="8985"/>
    <cellStyle name="8_EMT Financial Projections_Quadro Comparativo_CRI 400_BR Properties (Modulos+TNU) 20100629 v1 (2)" xfId="8984"/>
    <cellStyle name="8_EMT model base case 20_09" xfId="8983"/>
    <cellStyle name="8_EMT model base case 20_09_Quadro Comparativo_CRI 400_BR Properties (Modulos+TNU) 20100629 v1 (2)" xfId="8982"/>
    <cellStyle name="8_Executive Summary Nova projeção" xfId="8981"/>
    <cellStyle name="8_Executive Summary Nova projeção_Quadro Comparativo_CRI 400_BR Properties (Modulos+TNU) 20100629 v1 (2)" xfId="8980"/>
    <cellStyle name="8_Executive Summary Nova projeção1" xfId="8979"/>
    <cellStyle name="8_Executive Summary Nova projeção1_Quadro Comparativo_CRI 400_BR Properties (Modulos+TNU) 20100629 v1 (2)" xfId="8978"/>
    <cellStyle name="8_Quadro Comparativo_CRI 400_BR Properties (Modulos+TNU) 20100629 v1 (2)" xfId="8977"/>
    <cellStyle name="9" xfId="8976"/>
    <cellStyle name="Accent1" xfId="3378"/>
    <cellStyle name="Accent1 2" xfId="128"/>
    <cellStyle name="Accent1 2 2" xfId="129"/>
    <cellStyle name="Accent1 2 2 2" xfId="5339"/>
    <cellStyle name="Accent1 2 2 3" xfId="3379"/>
    <cellStyle name="Accent1 2 3" xfId="3380"/>
    <cellStyle name="Accent1 2_Client" xfId="3381"/>
    <cellStyle name="Accent1 3" xfId="3382"/>
    <cellStyle name="Accent1 4" xfId="3383"/>
    <cellStyle name="Accent1 5" xfId="3384"/>
    <cellStyle name="Accent1 6" xfId="3385"/>
    <cellStyle name="Accent1 7" xfId="3386"/>
    <cellStyle name="Accent1_CAC" xfId="3387"/>
    <cellStyle name="Accent2" xfId="3388"/>
    <cellStyle name="Accent2 2" xfId="130"/>
    <cellStyle name="Accent2 2 2" xfId="131"/>
    <cellStyle name="Accent2 2 2 2" xfId="5340"/>
    <cellStyle name="Accent2 2 2 3" xfId="3389"/>
    <cellStyle name="Accent2 2 3" xfId="3390"/>
    <cellStyle name="Accent2 2_Client" xfId="3391"/>
    <cellStyle name="Accent2 3" xfId="3392"/>
    <cellStyle name="Accent2 4" xfId="3393"/>
    <cellStyle name="Accent2_CAC" xfId="3394"/>
    <cellStyle name="Accent3" xfId="3395"/>
    <cellStyle name="Accent3 2" xfId="132"/>
    <cellStyle name="Accent3 2 2" xfId="133"/>
    <cellStyle name="Accent3 2 2 2" xfId="5341"/>
    <cellStyle name="Accent3 2 2 3" xfId="3396"/>
    <cellStyle name="Accent3 2 3" xfId="3397"/>
    <cellStyle name="Accent3 2_Client" xfId="3398"/>
    <cellStyle name="Accent3 3" xfId="3399"/>
    <cellStyle name="Accent3 4" xfId="3400"/>
    <cellStyle name="Accent3_CAC" xfId="3401"/>
    <cellStyle name="Accent4" xfId="3402"/>
    <cellStyle name="Accent4 2" xfId="134"/>
    <cellStyle name="Accent4 2 2" xfId="135"/>
    <cellStyle name="Accent4 2 2 2" xfId="5343"/>
    <cellStyle name="Accent4 2 2 3" xfId="3403"/>
    <cellStyle name="Accent4 2 3" xfId="3404"/>
    <cellStyle name="Accent4 2_Client" xfId="3405"/>
    <cellStyle name="Accent4 3" xfId="3406"/>
    <cellStyle name="Accent4 4" xfId="3407"/>
    <cellStyle name="Accent4_CAC" xfId="3408"/>
    <cellStyle name="Accent5" xfId="3409"/>
    <cellStyle name="Accent5 2" xfId="137"/>
    <cellStyle name="Accent5 2 2" xfId="138"/>
    <cellStyle name="Accent5 3" xfId="3410"/>
    <cellStyle name="Accent5_Negocio" xfId="3411"/>
    <cellStyle name="Accent6" xfId="3412"/>
    <cellStyle name="Accent6 2" xfId="139"/>
    <cellStyle name="Accent6 2 2" xfId="140"/>
    <cellStyle name="Accent6 2 2 2" xfId="5344"/>
    <cellStyle name="Accent6 2 2 3" xfId="3413"/>
    <cellStyle name="Accent6 2 3" xfId="3414"/>
    <cellStyle name="Accent6 2_Client" xfId="3415"/>
    <cellStyle name="Accent6 3" xfId="3416"/>
    <cellStyle name="Accent6 4" xfId="3417"/>
    <cellStyle name="Accent6_CAC" xfId="3418"/>
    <cellStyle name="Acctg" xfId="8975"/>
    <cellStyle name="Acctg$" xfId="8974"/>
    <cellStyle name="Acctg_Trading Comps 2" xfId="8973"/>
    <cellStyle name="AFINE" xfId="8972"/>
    <cellStyle name="al (2)" xfId="141"/>
    <cellStyle name="Alexandre" xfId="8971"/>
    <cellStyle name="ALPercent" xfId="3419"/>
    <cellStyle name="Año" xfId="8970"/>
    <cellStyle name="Arial 10" xfId="8969"/>
    <cellStyle name="Arial 12" xfId="8968"/>
    <cellStyle name="Array" xfId="8967"/>
    <cellStyle name="B" xfId="142"/>
    <cellStyle name="background" xfId="8966"/>
    <cellStyle name="Bad" xfId="3420"/>
    <cellStyle name="Bad 2" xfId="144"/>
    <cellStyle name="Bad 2 2" xfId="145"/>
    <cellStyle name="Bad 2 2 2" xfId="5345"/>
    <cellStyle name="Bad 2 2 3" xfId="3421"/>
    <cellStyle name="Bad 2 3" xfId="3422"/>
    <cellStyle name="Bad 2_Client" xfId="3423"/>
    <cellStyle name="Bad 3" xfId="3424"/>
    <cellStyle name="Bad 4" xfId="3425"/>
    <cellStyle name="Bad_CAC" xfId="3426"/>
    <cellStyle name="blank" xfId="8965"/>
    <cellStyle name="blue" xfId="8964"/>
    <cellStyle name="Body" xfId="146"/>
    <cellStyle name="Body 2" xfId="13676"/>
    <cellStyle name="Body 3" xfId="8963"/>
    <cellStyle name="Bom" xfId="9" builtinId="26" customBuiltin="1"/>
    <cellStyle name="Bom 10" xfId="3427"/>
    <cellStyle name="Bom 10 2" xfId="14242"/>
    <cellStyle name="Bom 10 3" xfId="8962"/>
    <cellStyle name="Bom 11" xfId="3428"/>
    <cellStyle name="Bom 11 2" xfId="14243"/>
    <cellStyle name="Bom 11 3" xfId="8961"/>
    <cellStyle name="Bom 12" xfId="3429"/>
    <cellStyle name="Bom 12 2" xfId="14244"/>
    <cellStyle name="Bom 12 3" xfId="8960"/>
    <cellStyle name="Bom 13" xfId="3430"/>
    <cellStyle name="Bom 13 2" xfId="14245"/>
    <cellStyle name="Bom 13 3" xfId="8959"/>
    <cellStyle name="Bom 14" xfId="3431"/>
    <cellStyle name="Bom 14 2" xfId="14246"/>
    <cellStyle name="Bom 14 3" xfId="8958"/>
    <cellStyle name="Bom 15" xfId="3432"/>
    <cellStyle name="Bom 16" xfId="3433"/>
    <cellStyle name="Bom 17" xfId="3434"/>
    <cellStyle name="Bom 18" xfId="3435"/>
    <cellStyle name="Bom 19" xfId="3436"/>
    <cellStyle name="Bom 2" xfId="147"/>
    <cellStyle name="Bom 2 2" xfId="3438"/>
    <cellStyle name="Bom 2 2 2" xfId="14247"/>
    <cellStyle name="Bom 2 2 3" xfId="8956"/>
    <cellStyle name="Bom 2 3" xfId="5346"/>
    <cellStyle name="Bom 2 3 2" xfId="14852"/>
    <cellStyle name="Bom 2 3 3" xfId="8957"/>
    <cellStyle name="Bom 2 4" xfId="3437"/>
    <cellStyle name="Bom 20" xfId="3439"/>
    <cellStyle name="Bom 21" xfId="3440"/>
    <cellStyle name="Bom 22" xfId="3441"/>
    <cellStyle name="Bom 3" xfId="2242"/>
    <cellStyle name="Bom 3 2" xfId="3442"/>
    <cellStyle name="Bom 3 3" xfId="13870"/>
    <cellStyle name="Bom 3 4" xfId="8955"/>
    <cellStyle name="Bom 3_Base RF" xfId="5473"/>
    <cellStyle name="Bom 4" xfId="3443"/>
    <cellStyle name="Bom 4 2" xfId="14248"/>
    <cellStyle name="Bom 4 3" xfId="8954"/>
    <cellStyle name="Bom 5" xfId="3444"/>
    <cellStyle name="Bom 5 2" xfId="14249"/>
    <cellStyle name="Bom 5 3" xfId="8953"/>
    <cellStyle name="Bom 6" xfId="3445"/>
    <cellStyle name="Bom 6 2" xfId="14250"/>
    <cellStyle name="Bom 6 3" xfId="8952"/>
    <cellStyle name="Bom 7" xfId="3446"/>
    <cellStyle name="Bom 7 2" xfId="14251"/>
    <cellStyle name="Bom 7 3" xfId="8951"/>
    <cellStyle name="Bom 8" xfId="3447"/>
    <cellStyle name="Bom 8 2" xfId="14252"/>
    <cellStyle name="Bom 8 3" xfId="8950"/>
    <cellStyle name="Bom 9" xfId="3448"/>
    <cellStyle name="Bom 9 2" xfId="14253"/>
    <cellStyle name="Bom 9 3" xfId="8949"/>
    <cellStyle name="bookman top border" xfId="3449"/>
    <cellStyle name="Border Heavy" xfId="8948"/>
    <cellStyle name="Border Thin" xfId="8947"/>
    <cellStyle name="British Pound" xfId="8946"/>
    <cellStyle name="Buena" xfId="3450"/>
    <cellStyle name="C" xfId="148"/>
    <cellStyle name="C 2" xfId="15433"/>
    <cellStyle name="Calc Currency (0)" xfId="149"/>
    <cellStyle name="Calc Currency (0) 2" xfId="13677"/>
    <cellStyle name="Calc Currency (0) 3" xfId="8945"/>
    <cellStyle name="Calculation" xfId="3451"/>
    <cellStyle name="Calculation 2" xfId="150"/>
    <cellStyle name="Calculation 2 2" xfId="151"/>
    <cellStyle name="Calculation 2 2 2" xfId="152"/>
    <cellStyle name="Calculation 2 2 2 2" xfId="5348"/>
    <cellStyle name="Calculation 2 2 2 3" xfId="3453"/>
    <cellStyle name="Calculation 2 2 3" xfId="5347"/>
    <cellStyle name="Calculation 2 2 4" xfId="3452"/>
    <cellStyle name="Calculation 2 3" xfId="153"/>
    <cellStyle name="Calculation 2 3 2" xfId="3455"/>
    <cellStyle name="Calculation 2 3 3" xfId="5349"/>
    <cellStyle name="Calculation 2 3 4" xfId="3454"/>
    <cellStyle name="Calculation 2 4" xfId="3456"/>
    <cellStyle name="Calculation 2_Client" xfId="3457"/>
    <cellStyle name="Calculation 3" xfId="3458"/>
    <cellStyle name="Calculation 3 2" xfId="3459"/>
    <cellStyle name="Calculation 4" xfId="3460"/>
    <cellStyle name="Calculation 4 2" xfId="3461"/>
    <cellStyle name="Calculation 5" xfId="3462"/>
    <cellStyle name="Calculation 5 2" xfId="3463"/>
    <cellStyle name="Calculation 6" xfId="3464"/>
    <cellStyle name="Calculation 6 2" xfId="3465"/>
    <cellStyle name="Calculation 7" xfId="3466"/>
    <cellStyle name="Calculation 7 2" xfId="3467"/>
    <cellStyle name="Calculation 8" xfId="3468"/>
    <cellStyle name="Calculation 9" xfId="3469"/>
    <cellStyle name="Calculation_CAC" xfId="3470"/>
    <cellStyle name="Cálculo" xfId="14" builtinId="22" customBuiltin="1"/>
    <cellStyle name="Cálculo 10" xfId="3471"/>
    <cellStyle name="Cálculo 10 2" xfId="3472"/>
    <cellStyle name="Cálculo 10 3" xfId="3473"/>
    <cellStyle name="Cálculo 10 4" xfId="14254"/>
    <cellStyle name="Cálculo 10 5" xfId="8944"/>
    <cellStyle name="Cálculo 11" xfId="3474"/>
    <cellStyle name="Cálculo 11 2" xfId="3475"/>
    <cellStyle name="Cálculo 11 3" xfId="3476"/>
    <cellStyle name="Cálculo 11 4" xfId="14255"/>
    <cellStyle name="Cálculo 11 5" xfId="8943"/>
    <cellStyle name="Cálculo 12" xfId="3477"/>
    <cellStyle name="Cálculo 12 2" xfId="3478"/>
    <cellStyle name="Cálculo 12 3" xfId="3479"/>
    <cellStyle name="Cálculo 12 4" xfId="14256"/>
    <cellStyle name="Cálculo 12 5" xfId="8942"/>
    <cellStyle name="Cálculo 13" xfId="3480"/>
    <cellStyle name="Cálculo 13 2" xfId="3481"/>
    <cellStyle name="Cálculo 13 3" xfId="3482"/>
    <cellStyle name="Cálculo 13 4" xfId="14257"/>
    <cellStyle name="Cálculo 13 5" xfId="8941"/>
    <cellStyle name="Cálculo 14" xfId="3483"/>
    <cellStyle name="Cálculo 14 2" xfId="3484"/>
    <cellStyle name="Cálculo 14 3" xfId="3485"/>
    <cellStyle name="Cálculo 14 4" xfId="14258"/>
    <cellStyle name="Cálculo 14 5" xfId="8940"/>
    <cellStyle name="Cálculo 15" xfId="3486"/>
    <cellStyle name="Cálculo 15 2" xfId="3487"/>
    <cellStyle name="Cálculo 15 3" xfId="3488"/>
    <cellStyle name="Cálculo 16" xfId="3489"/>
    <cellStyle name="Cálculo 16 2" xfId="3490"/>
    <cellStyle name="Cálculo 16 3" xfId="3491"/>
    <cellStyle name="Cálculo 17" xfId="3492"/>
    <cellStyle name="Cálculo 17 2" xfId="3493"/>
    <cellStyle name="Cálculo 17 3" xfId="3494"/>
    <cellStyle name="Cálculo 18" xfId="3495"/>
    <cellStyle name="Cálculo 18 2" xfId="3496"/>
    <cellStyle name="Cálculo 18 3" xfId="3497"/>
    <cellStyle name="Cálculo 18 4" xfId="59"/>
    <cellStyle name="Cálculo 19" xfId="3498"/>
    <cellStyle name="Cálculo 19 2" xfId="3499"/>
    <cellStyle name="Cálculo 19 3" xfId="3500"/>
    <cellStyle name="Cálculo 2" xfId="154"/>
    <cellStyle name="Cálculo 2 2" xfId="3502"/>
    <cellStyle name="Cálculo 2 2 2" xfId="3503"/>
    <cellStyle name="Cálculo 2 2 3" xfId="3504"/>
    <cellStyle name="Cálculo 2 2 4" xfId="14259"/>
    <cellStyle name="Cálculo 2 2 5" xfId="8938"/>
    <cellStyle name="Cálculo 2 3" xfId="3505"/>
    <cellStyle name="Cálculo 2 3 2" xfId="14260"/>
    <cellStyle name="Cálculo 2 3 3" xfId="8939"/>
    <cellStyle name="Cálculo 2 4" xfId="3506"/>
    <cellStyle name="Cálculo 2 5" xfId="5350"/>
    <cellStyle name="Cálculo 2 6" xfId="3501"/>
    <cellStyle name="Cálculo 20" xfId="3507"/>
    <cellStyle name="Cálculo 20 2" xfId="3508"/>
    <cellStyle name="Cálculo 20 3" xfId="3509"/>
    <cellStyle name="Cálculo 21" xfId="3510"/>
    <cellStyle name="Cálculo 21 2" xfId="3511"/>
    <cellStyle name="Cálculo 21 3" xfId="3512"/>
    <cellStyle name="Cálculo 21 4" xfId="3513"/>
    <cellStyle name="Cálculo 22" xfId="3514"/>
    <cellStyle name="Cálculo 22 2" xfId="3515"/>
    <cellStyle name="Cálculo 22 3" xfId="3516"/>
    <cellStyle name="Cálculo 23" xfId="3517"/>
    <cellStyle name="Cálculo 23 2" xfId="3518"/>
    <cellStyle name="Cálculo 3" xfId="2237"/>
    <cellStyle name="Cálculo 3 2" xfId="3520"/>
    <cellStyle name="Cálculo 3 3" xfId="3521"/>
    <cellStyle name="Cálculo 3 4" xfId="3519"/>
    <cellStyle name="Cálculo 3 5" xfId="13868"/>
    <cellStyle name="Cálculo 3 6" xfId="8937"/>
    <cellStyle name="Cálculo 3_Base RF" xfId="5474"/>
    <cellStyle name="Cálculo 4" xfId="3522"/>
    <cellStyle name="Cálculo 4 2" xfId="3523"/>
    <cellStyle name="Cálculo 4 3" xfId="3524"/>
    <cellStyle name="Cálculo 4 4" xfId="14261"/>
    <cellStyle name="Cálculo 4 5" xfId="8936"/>
    <cellStyle name="Cálculo 5" xfId="3525"/>
    <cellStyle name="Cálculo 5 2" xfId="3526"/>
    <cellStyle name="Cálculo 5 3" xfId="3527"/>
    <cellStyle name="Cálculo 5 4" xfId="14262"/>
    <cellStyle name="Cálculo 5 5" xfId="8935"/>
    <cellStyle name="Cálculo 6" xfId="3528"/>
    <cellStyle name="Cálculo 6 2" xfId="3529"/>
    <cellStyle name="Cálculo 6 3" xfId="3530"/>
    <cellStyle name="Cálculo 6 4" xfId="14263"/>
    <cellStyle name="Cálculo 6 5" xfId="8934"/>
    <cellStyle name="Cálculo 7" xfId="3531"/>
    <cellStyle name="Cálculo 7 2" xfId="3532"/>
    <cellStyle name="Cálculo 7 3" xfId="3533"/>
    <cellStyle name="Cálculo 7 4" xfId="14264"/>
    <cellStyle name="Cálculo 7 5" xfId="8933"/>
    <cellStyle name="Cálculo 8" xfId="3534"/>
    <cellStyle name="Cálculo 8 2" xfId="3535"/>
    <cellStyle name="Cálculo 8 3" xfId="3536"/>
    <cellStyle name="Cálculo 8 4" xfId="14265"/>
    <cellStyle name="Cálculo 8 5" xfId="8932"/>
    <cellStyle name="Cálculo 9" xfId="3537"/>
    <cellStyle name="Cálculo 9 2" xfId="3538"/>
    <cellStyle name="Cálculo 9 3" xfId="3539"/>
    <cellStyle name="Cálculo 9 4" xfId="14266"/>
    <cellStyle name="Cálculo 9 5" xfId="8931"/>
    <cellStyle name="Cancel" xfId="8930"/>
    <cellStyle name="Carteira" xfId="3540"/>
    <cellStyle name="category" xfId="8929"/>
    <cellStyle name="Celda de comprobación" xfId="3541"/>
    <cellStyle name="Celda vinculada" xfId="3542"/>
    <cellStyle name="Célula de Verificação" xfId="16" builtinId="23" customBuiltin="1"/>
    <cellStyle name="Célula de Verificação 10" xfId="3543"/>
    <cellStyle name="Célula de Verificação 10 2" xfId="14267"/>
    <cellStyle name="Célula de Verificação 10 3" xfId="8928"/>
    <cellStyle name="Célula de Verificação 11" xfId="3544"/>
    <cellStyle name="Célula de Verificação 11 2" xfId="14268"/>
    <cellStyle name="Célula de Verificação 11 3" xfId="8927"/>
    <cellStyle name="Célula de Verificação 12" xfId="3545"/>
    <cellStyle name="Célula de Verificação 13" xfId="3546"/>
    <cellStyle name="Célula de Verificação 13 2" xfId="14269"/>
    <cellStyle name="Célula de Verificação 13 3" xfId="8926"/>
    <cellStyle name="Célula de Verificação 14" xfId="3547"/>
    <cellStyle name="Célula de Verificação 14 2" xfId="14270"/>
    <cellStyle name="Célula de Verificação 14 3" xfId="8925"/>
    <cellStyle name="Célula de Verificação 15" xfId="3548"/>
    <cellStyle name="Célula de Verificação 16" xfId="3549"/>
    <cellStyle name="Célula de Verificação 17" xfId="3550"/>
    <cellStyle name="Célula de Verificação 18" xfId="3551"/>
    <cellStyle name="Célula de Verificação 19" xfId="3552"/>
    <cellStyle name="Célula de Verificação 2" xfId="155"/>
    <cellStyle name="Célula de Verificação 2 2" xfId="3553"/>
    <cellStyle name="Célula de Verificação 2 3" xfId="8924"/>
    <cellStyle name="Célula de Verificação 20" xfId="3554"/>
    <cellStyle name="Célula de Verificação 21" xfId="3555"/>
    <cellStyle name="Célula de Verificação 22" xfId="3556"/>
    <cellStyle name="Célula de Verificação 3" xfId="2235"/>
    <cellStyle name="Célula de Verificação 3 2" xfId="3557"/>
    <cellStyle name="Célula de Verificação 3 3" xfId="13866"/>
    <cellStyle name="Célula de Verificação 3 4" xfId="8923"/>
    <cellStyle name="Célula de Verificação 3_Base RF" xfId="5475"/>
    <cellStyle name="Célula de Verificação 4" xfId="3558"/>
    <cellStyle name="Célula de Verificação 4 2" xfId="14271"/>
    <cellStyle name="Célula de Verificação 4 3" xfId="8922"/>
    <cellStyle name="Célula de Verificação 5" xfId="3559"/>
    <cellStyle name="Célula de Verificação 5 2" xfId="14272"/>
    <cellStyle name="Célula de Verificação 5 3" xfId="8921"/>
    <cellStyle name="Célula de Verificação 6" xfId="3560"/>
    <cellStyle name="Célula de Verificação 6 2" xfId="14273"/>
    <cellStyle name="Célula de Verificação 6 3" xfId="8920"/>
    <cellStyle name="Célula de Verificação 7" xfId="3561"/>
    <cellStyle name="Célula de Verificação 7 2" xfId="14274"/>
    <cellStyle name="Célula de Verificação 7 3" xfId="8919"/>
    <cellStyle name="Célula de Verificação 8" xfId="3562"/>
    <cellStyle name="Célula de Verificação 8 2" xfId="14275"/>
    <cellStyle name="Célula de Verificação 8 3" xfId="8918"/>
    <cellStyle name="Célula de Verificação 9" xfId="3563"/>
    <cellStyle name="Célula de Verificação 9 2" xfId="14276"/>
    <cellStyle name="Célula de Verificação 9 3" xfId="8917"/>
    <cellStyle name="Célula Vinculada" xfId="15" builtinId="24" customBuiltin="1"/>
    <cellStyle name="Célula Vinculada 10" xfId="3564"/>
    <cellStyle name="Célula Vinculada 10 2" xfId="14277"/>
    <cellStyle name="Célula Vinculada 10 3" xfId="8916"/>
    <cellStyle name="Célula Vinculada 11" xfId="3565"/>
    <cellStyle name="Célula Vinculada 11 2" xfId="14278"/>
    <cellStyle name="Célula Vinculada 11 3" xfId="8915"/>
    <cellStyle name="Célula Vinculada 12" xfId="3566"/>
    <cellStyle name="Célula Vinculada 12 2" xfId="14279"/>
    <cellStyle name="Célula Vinculada 12 3" xfId="8914"/>
    <cellStyle name="Célula Vinculada 13" xfId="3567"/>
    <cellStyle name="Célula Vinculada 13 2" xfId="14280"/>
    <cellStyle name="Célula Vinculada 13 3" xfId="8913"/>
    <cellStyle name="Célula Vinculada 14" xfId="3568"/>
    <cellStyle name="Célula Vinculada 14 2" xfId="14281"/>
    <cellStyle name="Célula Vinculada 14 3" xfId="8912"/>
    <cellStyle name="Célula Vinculada 15" xfId="3569"/>
    <cellStyle name="Célula Vinculada 16" xfId="3570"/>
    <cellStyle name="Célula Vinculada 17" xfId="3571"/>
    <cellStyle name="Célula Vinculada 18" xfId="3572"/>
    <cellStyle name="Célula Vinculada 19" xfId="3573"/>
    <cellStyle name="Célula Vinculada 2" xfId="156"/>
    <cellStyle name="Célula Vinculada 2 2" xfId="3575"/>
    <cellStyle name="Célula Vinculada 2 2 2" xfId="14282"/>
    <cellStyle name="Célula Vinculada 2 2 3" xfId="8910"/>
    <cellStyle name="Célula Vinculada 2 3" xfId="5351"/>
    <cellStyle name="Célula Vinculada 2 3 2" xfId="14853"/>
    <cellStyle name="Célula Vinculada 2 3 3" xfId="8911"/>
    <cellStyle name="Célula Vinculada 2 4" xfId="3574"/>
    <cellStyle name="Célula Vinculada 20" xfId="3576"/>
    <cellStyle name="Célula Vinculada 21" xfId="3577"/>
    <cellStyle name="Célula Vinculada 22" xfId="3578"/>
    <cellStyle name="Célula Vinculada 3" xfId="2236"/>
    <cellStyle name="Célula Vinculada 3 2" xfId="3579"/>
    <cellStyle name="Célula Vinculada 3 3" xfId="13867"/>
    <cellStyle name="Célula Vinculada 3 4" xfId="8909"/>
    <cellStyle name="Célula Vinculada 3_Base RF" xfId="5476"/>
    <cellStyle name="Célula Vinculada 4" xfId="3580"/>
    <cellStyle name="Célula Vinculada 4 2" xfId="14283"/>
    <cellStyle name="Célula Vinculada 4 3" xfId="8908"/>
    <cellStyle name="Célula Vinculada 5" xfId="3581"/>
    <cellStyle name="Célula Vinculada 5 2" xfId="14284"/>
    <cellStyle name="Célula Vinculada 5 3" xfId="8907"/>
    <cellStyle name="Célula Vinculada 6" xfId="3582"/>
    <cellStyle name="Célula Vinculada 6 2" xfId="14285"/>
    <cellStyle name="Célula Vinculada 6 3" xfId="8906"/>
    <cellStyle name="Célula Vinculada 7" xfId="3583"/>
    <cellStyle name="Célula Vinculada 7 2" xfId="14286"/>
    <cellStyle name="Célula Vinculada 7 3" xfId="8905"/>
    <cellStyle name="Célula Vinculada 8" xfId="3584"/>
    <cellStyle name="Célula Vinculada 8 2" xfId="14287"/>
    <cellStyle name="Célula Vinculada 8 3" xfId="8904"/>
    <cellStyle name="Célula Vinculada 9" xfId="3585"/>
    <cellStyle name="Célula Vinculada 9 2" xfId="14288"/>
    <cellStyle name="Célula Vinculada 9 3" xfId="8903"/>
    <cellStyle name="Check Cell" xfId="3586"/>
    <cellStyle name="Check Cell 2" xfId="157"/>
    <cellStyle name="Check Cell 2 2" xfId="158"/>
    <cellStyle name="Check Cell_Checagem Mov_Soberano" xfId="4993"/>
    <cellStyle name="Code" xfId="8902"/>
    <cellStyle name="Code Section" xfId="8901"/>
    <cellStyle name="Comma [1]" xfId="159"/>
    <cellStyle name="Comma [1] 2" xfId="8899"/>
    <cellStyle name="Comma [1] 3" xfId="13678"/>
    <cellStyle name="Comma [1] 4" xfId="8900"/>
    <cellStyle name="Comma [2]" xfId="8898"/>
    <cellStyle name="Comma [3]" xfId="8897"/>
    <cellStyle name="Comma 0" xfId="8896"/>
    <cellStyle name="Comma 0*" xfId="8895"/>
    <cellStyle name="Comma 0_Budget 2001 - Business Plan" xfId="8894"/>
    <cellStyle name="Comma 10" xfId="160"/>
    <cellStyle name="Comma 10 2" xfId="161"/>
    <cellStyle name="Comma 10 2 2" xfId="2532"/>
    <cellStyle name="Comma 10 2 3" xfId="2251"/>
    <cellStyle name="Comma 10 2 4" xfId="3588"/>
    <cellStyle name="Comma 10 3" xfId="162"/>
    <cellStyle name="Comma 10 3 2" xfId="2533"/>
    <cellStyle name="Comma 10 3 3" xfId="2252"/>
    <cellStyle name="Comma 10 4" xfId="163"/>
    <cellStyle name="Comma 10 4 2" xfId="2534"/>
    <cellStyle name="Comma 10 4 3" xfId="2253"/>
    <cellStyle name="Comma 10 5" xfId="164"/>
    <cellStyle name="Comma 10 5 2" xfId="2535"/>
    <cellStyle name="Comma 10 5 3" xfId="2254"/>
    <cellStyle name="Comma 10 6" xfId="165"/>
    <cellStyle name="Comma 10 6 2" xfId="2536"/>
    <cellStyle name="Comma 10 6 3" xfId="2255"/>
    <cellStyle name="Comma 10 7" xfId="2531"/>
    <cellStyle name="Comma 10 8" xfId="2250"/>
    <cellStyle name="Comma 10 9" xfId="3587"/>
    <cellStyle name="Comma 11" xfId="166"/>
    <cellStyle name="Comma 11 2" xfId="167"/>
    <cellStyle name="Comma 11 2 2" xfId="2538"/>
    <cellStyle name="Comma 11 2 3" xfId="2257"/>
    <cellStyle name="Comma 11 3" xfId="168"/>
    <cellStyle name="Comma 11 3 2" xfId="2539"/>
    <cellStyle name="Comma 11 3 3" xfId="2258"/>
    <cellStyle name="Comma 11 4" xfId="169"/>
    <cellStyle name="Comma 11 4 2" xfId="2540"/>
    <cellStyle name="Comma 11 4 3" xfId="2259"/>
    <cellStyle name="Comma 11 5" xfId="170"/>
    <cellStyle name="Comma 11 5 2" xfId="2541"/>
    <cellStyle name="Comma 11 5 3" xfId="2260"/>
    <cellStyle name="Comma 11 6" xfId="171"/>
    <cellStyle name="Comma 11 6 2" xfId="2542"/>
    <cellStyle name="Comma 11 6 3" xfId="2261"/>
    <cellStyle name="Comma 11 7" xfId="2537"/>
    <cellStyle name="Comma 11 8" xfId="2256"/>
    <cellStyle name="Comma 11 9" xfId="3589"/>
    <cellStyle name="Comma 12" xfId="172"/>
    <cellStyle name="Comma 12 2" xfId="173"/>
    <cellStyle name="Comma 12 2 2" xfId="2544"/>
    <cellStyle name="Comma 12 2 3" xfId="2263"/>
    <cellStyle name="Comma 12 3" xfId="174"/>
    <cellStyle name="Comma 12 3 2" xfId="2545"/>
    <cellStyle name="Comma 12 3 3" xfId="2264"/>
    <cellStyle name="Comma 12 4" xfId="175"/>
    <cellStyle name="Comma 12 4 2" xfId="2546"/>
    <cellStyle name="Comma 12 4 3" xfId="2265"/>
    <cellStyle name="Comma 12 5" xfId="176"/>
    <cellStyle name="Comma 12 5 2" xfId="2547"/>
    <cellStyle name="Comma 12 5 3" xfId="2266"/>
    <cellStyle name="Comma 12 6" xfId="177"/>
    <cellStyle name="Comma 12 6 2" xfId="2548"/>
    <cellStyle name="Comma 12 6 3" xfId="2267"/>
    <cellStyle name="Comma 12 7" xfId="2543"/>
    <cellStyle name="Comma 12 8" xfId="2262"/>
    <cellStyle name="Comma 13" xfId="178"/>
    <cellStyle name="Comma 13 2" xfId="179"/>
    <cellStyle name="Comma 13 2 2" xfId="2550"/>
    <cellStyle name="Comma 13 2 3" xfId="2269"/>
    <cellStyle name="Comma 13 3" xfId="180"/>
    <cellStyle name="Comma 13 3 2" xfId="2551"/>
    <cellStyle name="Comma 13 3 3" xfId="2270"/>
    <cellStyle name="Comma 13 4" xfId="181"/>
    <cellStyle name="Comma 13 4 2" xfId="2552"/>
    <cellStyle name="Comma 13 4 3" xfId="2271"/>
    <cellStyle name="Comma 13 5" xfId="182"/>
    <cellStyle name="Comma 13 5 2" xfId="2553"/>
    <cellStyle name="Comma 13 5 3" xfId="2272"/>
    <cellStyle name="Comma 13 6" xfId="183"/>
    <cellStyle name="Comma 13 6 2" xfId="2554"/>
    <cellStyle name="Comma 13 6 3" xfId="2273"/>
    <cellStyle name="Comma 13 7" xfId="2549"/>
    <cellStyle name="Comma 13 8" xfId="2268"/>
    <cellStyle name="Comma 14" xfId="184"/>
    <cellStyle name="Comma 14 2" xfId="185"/>
    <cellStyle name="Comma 14 2 2" xfId="2556"/>
    <cellStyle name="Comma 14 2 3" xfId="2275"/>
    <cellStyle name="Comma 14 3" xfId="186"/>
    <cellStyle name="Comma 14 3 2" xfId="2557"/>
    <cellStyle name="Comma 14 3 3" xfId="2276"/>
    <cellStyle name="Comma 14 4" xfId="187"/>
    <cellStyle name="Comma 14 4 2" xfId="2558"/>
    <cellStyle name="Comma 14 4 3" xfId="2277"/>
    <cellStyle name="Comma 14 5" xfId="188"/>
    <cellStyle name="Comma 14 5 2" xfId="2559"/>
    <cellStyle name="Comma 14 5 3" xfId="2278"/>
    <cellStyle name="Comma 14 6" xfId="189"/>
    <cellStyle name="Comma 14 6 2" xfId="2560"/>
    <cellStyle name="Comma 14 6 3" xfId="2279"/>
    <cellStyle name="Comma 14 7" xfId="2555"/>
    <cellStyle name="Comma 14 8" xfId="2274"/>
    <cellStyle name="Comma 15" xfId="190"/>
    <cellStyle name="Comma 15 2" xfId="2561"/>
    <cellStyle name="Comma 15 3" xfId="2280"/>
    <cellStyle name="Comma 16" xfId="191"/>
    <cellStyle name="Comma 16 2" xfId="2562"/>
    <cellStyle name="Comma 16 3" xfId="2281"/>
    <cellStyle name="Comma 17" xfId="192"/>
    <cellStyle name="Comma 17 2" xfId="2563"/>
    <cellStyle name="Comma 17 3" xfId="2282"/>
    <cellStyle name="Comma 18" xfId="193"/>
    <cellStyle name="Comma 18 2" xfId="2564"/>
    <cellStyle name="Comma 18 3" xfId="2283"/>
    <cellStyle name="Comma 19" xfId="194"/>
    <cellStyle name="Comma 19 2" xfId="2565"/>
    <cellStyle name="Comma 19 3" xfId="2284"/>
    <cellStyle name="Comma 2" xfId="62"/>
    <cellStyle name="Comma 2 10" xfId="196"/>
    <cellStyle name="Comma 2 10 2" xfId="2566"/>
    <cellStyle name="Comma 2 10 3" xfId="2285"/>
    <cellStyle name="Comma 2 11" xfId="197"/>
    <cellStyle name="Comma 2 11 2" xfId="2567"/>
    <cellStyle name="Comma 2 11 3" xfId="2286"/>
    <cellStyle name="Comma 2 12" xfId="198"/>
    <cellStyle name="Comma 2 12 2" xfId="2568"/>
    <cellStyle name="Comma 2 12 3" xfId="2287"/>
    <cellStyle name="Comma 2 13" xfId="199"/>
    <cellStyle name="Comma 2 13 2" xfId="2569"/>
    <cellStyle name="Comma 2 13 3" xfId="2288"/>
    <cellStyle name="Comma 2 14" xfId="200"/>
    <cellStyle name="Comma 2 15" xfId="201"/>
    <cellStyle name="Comma 2 15 2" xfId="2570"/>
    <cellStyle name="Comma 2 15 3" xfId="2289"/>
    <cellStyle name="Comma 2 16" xfId="202"/>
    <cellStyle name="Comma 2 16 2" xfId="2571"/>
    <cellStyle name="Comma 2 16 3" xfId="2290"/>
    <cellStyle name="Comma 2 17" xfId="203"/>
    <cellStyle name="Comma 2 17 2" xfId="2572"/>
    <cellStyle name="Comma 2 17 3" xfId="2291"/>
    <cellStyle name="Comma 2 18" xfId="204"/>
    <cellStyle name="Comma 2 18 2" xfId="2573"/>
    <cellStyle name="Comma 2 18 3" xfId="2292"/>
    <cellStyle name="Comma 2 19" xfId="205"/>
    <cellStyle name="Comma 2 2" xfId="82"/>
    <cellStyle name="Comma 2 2 2" xfId="207"/>
    <cellStyle name="Comma 2 2 2 2" xfId="208"/>
    <cellStyle name="Comma 2 2 2 2 2" xfId="2575"/>
    <cellStyle name="Comma 2 2 2 2 3" xfId="2295"/>
    <cellStyle name="Comma 2 2 2 3" xfId="2574"/>
    <cellStyle name="Comma 2 2 2 3 2" xfId="4995"/>
    <cellStyle name="Comma 2 2 2 3 3" xfId="15371"/>
    <cellStyle name="Comma 2 2 2 4" xfId="2294"/>
    <cellStyle name="Comma 2 2 2 4 2" xfId="5353"/>
    <cellStyle name="Comma 2 2 2 4 3" xfId="15335"/>
    <cellStyle name="Comma 2 2 2 5" xfId="3592"/>
    <cellStyle name="Comma 2 2 3" xfId="209"/>
    <cellStyle name="Comma 2 2 3 2" xfId="2576"/>
    <cellStyle name="Comma 2 2 3 3" xfId="2296"/>
    <cellStyle name="Comma 2 2 4" xfId="206"/>
    <cellStyle name="Comma 2 2 4 2" xfId="5352"/>
    <cellStyle name="Comma 2 2 4 3" xfId="4994"/>
    <cellStyle name="Comma 2 2 5" xfId="2528"/>
    <cellStyle name="Comma 2 2 6" xfId="2293"/>
    <cellStyle name="Comma 2 2 7" xfId="3591"/>
    <cellStyle name="Comma 2 20" xfId="210"/>
    <cellStyle name="Comma 2 21" xfId="211"/>
    <cellStyle name="Comma 2 22" xfId="212"/>
    <cellStyle name="Comma 2 23" xfId="213"/>
    <cellStyle name="Comma 2 24" xfId="214"/>
    <cellStyle name="Comma 2 25" xfId="215"/>
    <cellStyle name="Comma 2 26" xfId="216"/>
    <cellStyle name="Comma 2 27" xfId="217"/>
    <cellStyle name="Comma 2 28" xfId="143"/>
    <cellStyle name="Comma 2 29" xfId="195"/>
    <cellStyle name="Comma 2 3" xfId="218"/>
    <cellStyle name="Comma 2 3 2" xfId="2577"/>
    <cellStyle name="Comma 2 3 2 2" xfId="3594"/>
    <cellStyle name="Comma 2 3 2 3" xfId="15372"/>
    <cellStyle name="Comma 2 3 3" xfId="2297"/>
    <cellStyle name="Comma 2 3 3 2" xfId="5354"/>
    <cellStyle name="Comma 2 3 3 3" xfId="15336"/>
    <cellStyle name="Comma 2 3 4" xfId="3593"/>
    <cellStyle name="Comma 2 30" xfId="68"/>
    <cellStyle name="Comma 2 31" xfId="2248"/>
    <cellStyle name="Comma 2 31 2" xfId="13875"/>
    <cellStyle name="Comma 2 31 3" xfId="13652"/>
    <cellStyle name="Comma 2 32" xfId="8893"/>
    <cellStyle name="Comma 2 4" xfId="219"/>
    <cellStyle name="Comma 2 4 2" xfId="2578"/>
    <cellStyle name="Comma 2 4 2 2" xfId="3596"/>
    <cellStyle name="Comma 2 4 2 3" xfId="15373"/>
    <cellStyle name="Comma 2 4 3" xfId="2298"/>
    <cellStyle name="Comma 2 4 3 2" xfId="5355"/>
    <cellStyle name="Comma 2 4 3 3" xfId="15337"/>
    <cellStyle name="Comma 2 4 4" xfId="3595"/>
    <cellStyle name="Comma 2 5" xfId="220"/>
    <cellStyle name="Comma 2 5 2" xfId="2579"/>
    <cellStyle name="Comma 2 5 3" xfId="2299"/>
    <cellStyle name="Comma 2 6" xfId="221"/>
    <cellStyle name="Comma 2 6 2" xfId="2580"/>
    <cellStyle name="Comma 2 6 3" xfId="2300"/>
    <cellStyle name="Comma 2 6 4" xfId="3597"/>
    <cellStyle name="Comma 2 7" xfId="222"/>
    <cellStyle name="Comma 2 7 2" xfId="2581"/>
    <cellStyle name="Comma 2 7 3" xfId="2301"/>
    <cellStyle name="Comma 2 7 4" xfId="3590"/>
    <cellStyle name="Comma 2 8" xfId="223"/>
    <cellStyle name="Comma 2 8 2" xfId="2582"/>
    <cellStyle name="Comma 2 8 3" xfId="2302"/>
    <cellStyle name="Comma 2 9" xfId="224"/>
    <cellStyle name="Comma 2 9 2" xfId="2583"/>
    <cellStyle name="Comma 2 9 3" xfId="2303"/>
    <cellStyle name="Comma 2_Compras" xfId="225"/>
    <cellStyle name="Comma 20" xfId="226"/>
    <cellStyle name="Comma 20 2" xfId="2584"/>
    <cellStyle name="Comma 20 3" xfId="2304"/>
    <cellStyle name="Comma 21" xfId="227"/>
    <cellStyle name="Comma 21 2" xfId="2585"/>
    <cellStyle name="Comma 21 3" xfId="2305"/>
    <cellStyle name="Comma 22" xfId="228"/>
    <cellStyle name="Comma 22 2" xfId="2586"/>
    <cellStyle name="Comma 22 3" xfId="2306"/>
    <cellStyle name="Comma 23" xfId="229"/>
    <cellStyle name="Comma 23 2" xfId="2587"/>
    <cellStyle name="Comma 23 3" xfId="2307"/>
    <cellStyle name="Comma 24" xfId="230"/>
    <cellStyle name="Comma 24 2" xfId="2588"/>
    <cellStyle name="Comma 24 3" xfId="2308"/>
    <cellStyle name="Comma 25" xfId="231"/>
    <cellStyle name="Comma 25 2" xfId="2589"/>
    <cellStyle name="Comma 25 3" xfId="2309"/>
    <cellStyle name="Comma 26" xfId="232"/>
    <cellStyle name="Comma 26 2" xfId="2590"/>
    <cellStyle name="Comma 26 3" xfId="2310"/>
    <cellStyle name="Comma 27" xfId="233"/>
    <cellStyle name="Comma 27 2" xfId="2591"/>
    <cellStyle name="Comma 27 3" xfId="2311"/>
    <cellStyle name="Comma 28" xfId="234"/>
    <cellStyle name="Comma 28 2" xfId="2592"/>
    <cellStyle name="Comma 28 3" xfId="2312"/>
    <cellStyle name="Comma 29" xfId="235"/>
    <cellStyle name="Comma 29 2" xfId="2593"/>
    <cellStyle name="Comma 29 3" xfId="2313"/>
    <cellStyle name="Comma 3" xfId="3598"/>
    <cellStyle name="Comma 3 10" xfId="236"/>
    <cellStyle name="Comma 3 10 2" xfId="2594"/>
    <cellStyle name="Comma 3 10 3" xfId="2314"/>
    <cellStyle name="Comma 3 11" xfId="237"/>
    <cellStyle name="Comma 3 11 2" xfId="2595"/>
    <cellStyle name="Comma 3 11 3" xfId="2315"/>
    <cellStyle name="Comma 3 12" xfId="238"/>
    <cellStyle name="Comma 3 12 2" xfId="2596"/>
    <cellStyle name="Comma 3 12 3" xfId="2316"/>
    <cellStyle name="Comma 3 13" xfId="239"/>
    <cellStyle name="Comma 3 13 2" xfId="2597"/>
    <cellStyle name="Comma 3 13 3" xfId="2317"/>
    <cellStyle name="Comma 3 14" xfId="240"/>
    <cellStyle name="Comma 3 14 2" xfId="2598"/>
    <cellStyle name="Comma 3 14 3" xfId="2318"/>
    <cellStyle name="Comma 3 15" xfId="241"/>
    <cellStyle name="Comma 3 15 2" xfId="2599"/>
    <cellStyle name="Comma 3 15 3" xfId="2319"/>
    <cellStyle name="Comma 3 16" xfId="242"/>
    <cellStyle name="Comma 3 16 2" xfId="2600"/>
    <cellStyle name="Comma 3 16 3" xfId="2320"/>
    <cellStyle name="Comma 3 17" xfId="243"/>
    <cellStyle name="Comma 3 17 2" xfId="2601"/>
    <cellStyle name="Comma 3 17 3" xfId="2321"/>
    <cellStyle name="Comma 3 2" xfId="244"/>
    <cellStyle name="Comma 3 2 2" xfId="245"/>
    <cellStyle name="Comma 3 2 3" xfId="2602"/>
    <cellStyle name="Comma 3 2 3 2" xfId="4996"/>
    <cellStyle name="Comma 3 2 3 3" xfId="15374"/>
    <cellStyle name="Comma 3 2 4" xfId="2322"/>
    <cellStyle name="Comma 3 2 4 2" xfId="5356"/>
    <cellStyle name="Comma 3 2 4 3" xfId="15338"/>
    <cellStyle name="Comma 3 2 5" xfId="3599"/>
    <cellStyle name="Comma 3 3" xfId="246"/>
    <cellStyle name="Comma 3 3 2" xfId="2603"/>
    <cellStyle name="Comma 3 3 3" xfId="2323"/>
    <cellStyle name="Comma 3 3 4" xfId="3600"/>
    <cellStyle name="Comma 3 4" xfId="247"/>
    <cellStyle name="Comma 3 4 2" xfId="2604"/>
    <cellStyle name="Comma 3 4 2 2" xfId="3602"/>
    <cellStyle name="Comma 3 4 2 3" xfId="15375"/>
    <cellStyle name="Comma 3 4 3" xfId="2324"/>
    <cellStyle name="Comma 3 4 3 2" xfId="5357"/>
    <cellStyle name="Comma 3 4 3 3" xfId="15339"/>
    <cellStyle name="Comma 3 4 4" xfId="3601"/>
    <cellStyle name="Comma 3 5" xfId="248"/>
    <cellStyle name="Comma 3 5 2" xfId="2605"/>
    <cellStyle name="Comma 3 5 2 2" xfId="3604"/>
    <cellStyle name="Comma 3 5 2 3" xfId="15376"/>
    <cellStyle name="Comma 3 5 3" xfId="2325"/>
    <cellStyle name="Comma 3 5 3 2" xfId="5358"/>
    <cellStyle name="Comma 3 5 3 3" xfId="15340"/>
    <cellStyle name="Comma 3 5 4" xfId="3603"/>
    <cellStyle name="Comma 3 6" xfId="249"/>
    <cellStyle name="Comma 3 6 2" xfId="2606"/>
    <cellStyle name="Comma 3 6 3" xfId="2326"/>
    <cellStyle name="Comma 3 6 4" xfId="3605"/>
    <cellStyle name="Comma 3 7" xfId="250"/>
    <cellStyle name="Comma 3 7 2" xfId="2607"/>
    <cellStyle name="Comma 3 7 3" xfId="2327"/>
    <cellStyle name="Comma 3 8" xfId="251"/>
    <cellStyle name="Comma 3 8 2" xfId="2608"/>
    <cellStyle name="Comma 3 8 3" xfId="2328"/>
    <cellStyle name="Comma 3 9" xfId="252"/>
    <cellStyle name="Comma 3 9 2" xfId="2609"/>
    <cellStyle name="Comma 3 9 3" xfId="2329"/>
    <cellStyle name="Comma 3_Client" xfId="3606"/>
    <cellStyle name="Comma 30" xfId="253"/>
    <cellStyle name="Comma 30 2" xfId="2610"/>
    <cellStyle name="Comma 30 3" xfId="2330"/>
    <cellStyle name="Comma 31" xfId="254"/>
    <cellStyle name="Comma 31 2" xfId="2611"/>
    <cellStyle name="Comma 31 3" xfId="2331"/>
    <cellStyle name="Comma 32" xfId="255"/>
    <cellStyle name="Comma 32 2" xfId="2612"/>
    <cellStyle name="Comma 32 3" xfId="2332"/>
    <cellStyle name="Comma 33" xfId="256"/>
    <cellStyle name="Comma 33 2" xfId="2613"/>
    <cellStyle name="Comma 33 3" xfId="2333"/>
    <cellStyle name="Comma 34" xfId="257"/>
    <cellStyle name="Comma 34 2" xfId="2614"/>
    <cellStyle name="Comma 34 3" xfId="2334"/>
    <cellStyle name="Comma 35" xfId="258"/>
    <cellStyle name="Comma 35 2" xfId="2615"/>
    <cellStyle name="Comma 35 3" xfId="2335"/>
    <cellStyle name="Comma 36" xfId="259"/>
    <cellStyle name="Comma 36 2" xfId="2616"/>
    <cellStyle name="Comma 36 3" xfId="2336"/>
    <cellStyle name="Comma 37" xfId="260"/>
    <cellStyle name="Comma 37 2" xfId="2617"/>
    <cellStyle name="Comma 37 3" xfId="2337"/>
    <cellStyle name="Comma 38" xfId="261"/>
    <cellStyle name="Comma 38 2" xfId="2618"/>
    <cellStyle name="Comma 38 3" xfId="2338"/>
    <cellStyle name="Comma 39" xfId="262"/>
    <cellStyle name="Comma 39 2" xfId="2619"/>
    <cellStyle name="Comma 39 3" xfId="2339"/>
    <cellStyle name="Comma 4" xfId="263"/>
    <cellStyle name="Comma 4 2" xfId="264"/>
    <cellStyle name="Comma 4 2 2" xfId="2621"/>
    <cellStyle name="Comma 4 2 3" xfId="2341"/>
    <cellStyle name="Comma 4 2 4" xfId="3608"/>
    <cellStyle name="Comma 4 3" xfId="265"/>
    <cellStyle name="Comma 4 3 2" xfId="2622"/>
    <cellStyle name="Comma 4 3 2 2" xfId="3610"/>
    <cellStyle name="Comma 4 3 2 3" xfId="15377"/>
    <cellStyle name="Comma 4 3 3" xfId="2342"/>
    <cellStyle name="Comma 4 3 3 2" xfId="5359"/>
    <cellStyle name="Comma 4 3 3 3" xfId="15341"/>
    <cellStyle name="Comma 4 3 4" xfId="3609"/>
    <cellStyle name="Comma 4 4" xfId="266"/>
    <cellStyle name="Comma 4 4 2" xfId="2623"/>
    <cellStyle name="Comma 4 4 2 2" xfId="3612"/>
    <cellStyle name="Comma 4 4 2 3" xfId="15378"/>
    <cellStyle name="Comma 4 4 3" xfId="2343"/>
    <cellStyle name="Comma 4 4 3 2" xfId="5360"/>
    <cellStyle name="Comma 4 4 3 3" xfId="15342"/>
    <cellStyle name="Comma 4 4 4" xfId="3611"/>
    <cellStyle name="Comma 4 5" xfId="267"/>
    <cellStyle name="Comma 4 5 2" xfId="2624"/>
    <cellStyle name="Comma 4 5 3" xfId="2344"/>
    <cellStyle name="Comma 4 5 4" xfId="3613"/>
    <cellStyle name="Comma 4 6" xfId="268"/>
    <cellStyle name="Comma 4 6 2" xfId="2625"/>
    <cellStyle name="Comma 4 6 3" xfId="2345"/>
    <cellStyle name="Comma 4 7" xfId="2620"/>
    <cellStyle name="Comma 4 8" xfId="2340"/>
    <cellStyle name="Comma 4 9" xfId="3607"/>
    <cellStyle name="Comma 40" xfId="269"/>
    <cellStyle name="Comma 40 2" xfId="2626"/>
    <cellStyle name="Comma 40 3" xfId="2346"/>
    <cellStyle name="Comma 41" xfId="270"/>
    <cellStyle name="Comma 41 2" xfId="2627"/>
    <cellStyle name="Comma 41 3" xfId="2347"/>
    <cellStyle name="Comma 42" xfId="271"/>
    <cellStyle name="Comma 42 2" xfId="2628"/>
    <cellStyle name="Comma 42 3" xfId="2348"/>
    <cellStyle name="Comma 43" xfId="272"/>
    <cellStyle name="Comma 43 2" xfId="2629"/>
    <cellStyle name="Comma 43 3" xfId="2349"/>
    <cellStyle name="Comma 44" xfId="273"/>
    <cellStyle name="Comma 5" xfId="274"/>
    <cellStyle name="Comma 5 2" xfId="275"/>
    <cellStyle name="Comma 5 2 2" xfId="2631"/>
    <cellStyle name="Comma 5 2 2 2" xfId="4997"/>
    <cellStyle name="Comma 5 2 2 3" xfId="15379"/>
    <cellStyle name="Comma 5 2 3" xfId="2351"/>
    <cellStyle name="Comma 5 2 3 2" xfId="5362"/>
    <cellStyle name="Comma 5 2 3 3" xfId="15343"/>
    <cellStyle name="Comma 5 2 4" xfId="3615"/>
    <cellStyle name="Comma 5 3" xfId="276"/>
    <cellStyle name="Comma 5 3 2" xfId="2632"/>
    <cellStyle name="Comma 5 3 2 2" xfId="3617"/>
    <cellStyle name="Comma 5 3 2 3" xfId="15380"/>
    <cellStyle name="Comma 5 3 3" xfId="2352"/>
    <cellStyle name="Comma 5 3 3 2" xfId="5363"/>
    <cellStyle name="Comma 5 3 3 3" xfId="15344"/>
    <cellStyle name="Comma 5 3 4" xfId="3616"/>
    <cellStyle name="Comma 5 4" xfId="277"/>
    <cellStyle name="Comma 5 4 2" xfId="2633"/>
    <cellStyle name="Comma 5 4 2 2" xfId="3619"/>
    <cellStyle name="Comma 5 4 2 3" xfId="15381"/>
    <cellStyle name="Comma 5 4 3" xfId="2353"/>
    <cellStyle name="Comma 5 4 3 2" xfId="5364"/>
    <cellStyle name="Comma 5 4 3 3" xfId="15345"/>
    <cellStyle name="Comma 5 4 4" xfId="3618"/>
    <cellStyle name="Comma 5 5" xfId="278"/>
    <cellStyle name="Comma 5 5 2" xfId="2634"/>
    <cellStyle name="Comma 5 5 3" xfId="2354"/>
    <cellStyle name="Comma 5 5 4" xfId="3620"/>
    <cellStyle name="Comma 5 6" xfId="279"/>
    <cellStyle name="Comma 5 6 2" xfId="2635"/>
    <cellStyle name="Comma 5 6 3" xfId="2355"/>
    <cellStyle name="Comma 5 7" xfId="2630"/>
    <cellStyle name="Comma 5 8" xfId="2350"/>
    <cellStyle name="Comma 5 9" xfId="3614"/>
    <cellStyle name="Comma 6" xfId="280"/>
    <cellStyle name="Comma 6 10" xfId="3621"/>
    <cellStyle name="Comma 6 2" xfId="281"/>
    <cellStyle name="Comma 6 2 10" xfId="282"/>
    <cellStyle name="Comma 6 2 10 2" xfId="2637"/>
    <cellStyle name="Comma 6 2 10 3" xfId="2357"/>
    <cellStyle name="Comma 6 2 11" xfId="283"/>
    <cellStyle name="Comma 6 2 11 2" xfId="2638"/>
    <cellStyle name="Comma 6 2 11 3" xfId="2358"/>
    <cellStyle name="Comma 6 2 12" xfId="284"/>
    <cellStyle name="Comma 6 2 12 2" xfId="2639"/>
    <cellStyle name="Comma 6 2 12 3" xfId="2359"/>
    <cellStyle name="Comma 6 2 13" xfId="285"/>
    <cellStyle name="Comma 6 2 13 2" xfId="2640"/>
    <cellStyle name="Comma 6 2 13 3" xfId="2360"/>
    <cellStyle name="Comma 6 2 14" xfId="286"/>
    <cellStyle name="Comma 6 2 14 2" xfId="2641"/>
    <cellStyle name="Comma 6 2 14 3" xfId="2361"/>
    <cellStyle name="Comma 6 2 2" xfId="287"/>
    <cellStyle name="Comma 6 2 2 10" xfId="288"/>
    <cellStyle name="Comma 6 2 2 11" xfId="2642"/>
    <cellStyle name="Comma 6 2 2 12" xfId="2362"/>
    <cellStyle name="Comma 6 2 2 2" xfId="289"/>
    <cellStyle name="Comma 6 2 2 3" xfId="290"/>
    <cellStyle name="Comma 6 2 2 4" xfId="291"/>
    <cellStyle name="Comma 6 2 2 5" xfId="292"/>
    <cellStyle name="Comma 6 2 2 6" xfId="293"/>
    <cellStyle name="Comma 6 2 2 7" xfId="294"/>
    <cellStyle name="Comma 6 2 2 8" xfId="295"/>
    <cellStyle name="Comma 6 2 2 9" xfId="296"/>
    <cellStyle name="Comma 6 2 3" xfId="297"/>
    <cellStyle name="Comma 6 2 4" xfId="298"/>
    <cellStyle name="Comma 6 2 5" xfId="299"/>
    <cellStyle name="Comma 6 2 6" xfId="300"/>
    <cellStyle name="Comma 6 2 7" xfId="301"/>
    <cellStyle name="Comma 6 2 7 2" xfId="2643"/>
    <cellStyle name="Comma 6 2 7 3" xfId="2363"/>
    <cellStyle name="Comma 6 2 8" xfId="302"/>
    <cellStyle name="Comma 6 2 8 2" xfId="2644"/>
    <cellStyle name="Comma 6 2 8 3" xfId="2364"/>
    <cellStyle name="Comma 6 2 9" xfId="303"/>
    <cellStyle name="Comma 6 2 9 2" xfId="2645"/>
    <cellStyle name="Comma 6 2 9 3" xfId="2365"/>
    <cellStyle name="Comma 6 3" xfId="304"/>
    <cellStyle name="Comma 6 3 2" xfId="2646"/>
    <cellStyle name="Comma 6 3 3" xfId="2366"/>
    <cellStyle name="Comma 6 4" xfId="305"/>
    <cellStyle name="Comma 6 4 2" xfId="2647"/>
    <cellStyle name="Comma 6 4 3" xfId="2367"/>
    <cellStyle name="Comma 6 5" xfId="306"/>
    <cellStyle name="Comma 6 5 2" xfId="2648"/>
    <cellStyle name="Comma 6 5 3" xfId="2368"/>
    <cellStyle name="Comma 6 6" xfId="307"/>
    <cellStyle name="Comma 6 7" xfId="308"/>
    <cellStyle name="Comma 6 7 2" xfId="2649"/>
    <cellStyle name="Comma 6 7 3" xfId="2369"/>
    <cellStyle name="Comma 6 8" xfId="2636"/>
    <cellStyle name="Comma 6 9" xfId="2356"/>
    <cellStyle name="Comma 7" xfId="309"/>
    <cellStyle name="Comma 7 2" xfId="310"/>
    <cellStyle name="Comma 7 2 2" xfId="2651"/>
    <cellStyle name="Comma 7 2 3" xfId="2371"/>
    <cellStyle name="Comma 7 2 4" xfId="3623"/>
    <cellStyle name="Comma 7 3" xfId="311"/>
    <cellStyle name="Comma 7 3 2" xfId="2652"/>
    <cellStyle name="Comma 7 3 3" xfId="2372"/>
    <cellStyle name="Comma 7 4" xfId="312"/>
    <cellStyle name="Comma 7 4 2" xfId="2653"/>
    <cellStyle name="Comma 7 4 3" xfId="2373"/>
    <cellStyle name="Comma 7 5" xfId="313"/>
    <cellStyle name="Comma 7 5 2" xfId="2654"/>
    <cellStyle name="Comma 7 5 3" xfId="2374"/>
    <cellStyle name="Comma 7 6" xfId="314"/>
    <cellStyle name="Comma 7 6 2" xfId="2655"/>
    <cellStyle name="Comma 7 6 3" xfId="2375"/>
    <cellStyle name="Comma 7 7" xfId="2650"/>
    <cellStyle name="Comma 7 8" xfId="2370"/>
    <cellStyle name="Comma 7 9" xfId="3622"/>
    <cellStyle name="Comma 8" xfId="315"/>
    <cellStyle name="Comma 8 2" xfId="316"/>
    <cellStyle name="Comma 8 2 2" xfId="2657"/>
    <cellStyle name="Comma 8 2 3" xfId="2377"/>
    <cellStyle name="Comma 8 2 4" xfId="3625"/>
    <cellStyle name="Comma 8 3" xfId="317"/>
    <cellStyle name="Comma 8 3 2" xfId="2658"/>
    <cellStyle name="Comma 8 3 3" xfId="2378"/>
    <cellStyle name="Comma 8 4" xfId="318"/>
    <cellStyle name="Comma 8 4 2" xfId="2659"/>
    <cellStyle name="Comma 8 4 3" xfId="2379"/>
    <cellStyle name="Comma 8 5" xfId="319"/>
    <cellStyle name="Comma 8 5 2" xfId="2660"/>
    <cellStyle name="Comma 8 5 3" xfId="2380"/>
    <cellStyle name="Comma 8 6" xfId="320"/>
    <cellStyle name="Comma 8 6 2" xfId="2661"/>
    <cellStyle name="Comma 8 6 3" xfId="2381"/>
    <cellStyle name="Comma 8 7" xfId="2656"/>
    <cellStyle name="Comma 8 8" xfId="2376"/>
    <cellStyle name="Comma 8 9" xfId="3624"/>
    <cellStyle name="Comma 9" xfId="321"/>
    <cellStyle name="Comma 9 2" xfId="322"/>
    <cellStyle name="Comma 9 2 2" xfId="2663"/>
    <cellStyle name="Comma 9 2 3" xfId="2383"/>
    <cellStyle name="Comma 9 2 4" xfId="3627"/>
    <cellStyle name="Comma 9 3" xfId="323"/>
    <cellStyle name="Comma 9 3 2" xfId="2664"/>
    <cellStyle name="Comma 9 3 3" xfId="2384"/>
    <cellStyle name="Comma 9 4" xfId="324"/>
    <cellStyle name="Comma 9 4 2" xfId="2665"/>
    <cellStyle name="Comma 9 4 3" xfId="2385"/>
    <cellStyle name="Comma 9 5" xfId="325"/>
    <cellStyle name="Comma 9 5 2" xfId="2666"/>
    <cellStyle name="Comma 9 5 3" xfId="2386"/>
    <cellStyle name="Comma 9 6" xfId="326"/>
    <cellStyle name="Comma 9 6 2" xfId="2667"/>
    <cellStyle name="Comma 9 6 3" xfId="2387"/>
    <cellStyle name="Comma 9 7" xfId="2662"/>
    <cellStyle name="Comma 9 8" xfId="2382"/>
    <cellStyle name="Comma 9 9" xfId="3626"/>
    <cellStyle name="Comma, 1 dec" xfId="8892"/>
    <cellStyle name="Comma_AOT 29022008" xfId="4998"/>
    <cellStyle name="Comma0" xfId="3628"/>
    <cellStyle name="Copied" xfId="327"/>
    <cellStyle name="Currency $" xfId="8891"/>
    <cellStyle name="Currency [0] _BI0396" xfId="328"/>
    <cellStyle name="Currency [0] 4_x0007_CG306D" xfId="329"/>
    <cellStyle name="Currency [1]" xfId="330"/>
    <cellStyle name="Currency [1] 2" xfId="13679"/>
    <cellStyle name="Currency [1] 3" xfId="8890"/>
    <cellStyle name="Currency [2]" xfId="8889"/>
    <cellStyle name="Currency [2] 2" xfId="8888"/>
    <cellStyle name="Currency [3]" xfId="8887"/>
    <cellStyle name="Currency [3] 2" xfId="8886"/>
    <cellStyle name="Currency 0" xfId="8885"/>
    <cellStyle name="Currency 10" xfId="331"/>
    <cellStyle name="Currency 10 2" xfId="332"/>
    <cellStyle name="Currency 10 3" xfId="333"/>
    <cellStyle name="Currency 10 4" xfId="334"/>
    <cellStyle name="Currency 10 5" xfId="335"/>
    <cellStyle name="Currency 10 6" xfId="336"/>
    <cellStyle name="Currency 11" xfId="337"/>
    <cellStyle name="Currency 11 2" xfId="338"/>
    <cellStyle name="Currency 11 3" xfId="339"/>
    <cellStyle name="Currency 11 4" xfId="340"/>
    <cellStyle name="Currency 11 5" xfId="341"/>
    <cellStyle name="Currency 11 6" xfId="342"/>
    <cellStyle name="Currency 12" xfId="343"/>
    <cellStyle name="Currency 12 2" xfId="344"/>
    <cellStyle name="Currency 12 3" xfId="345"/>
    <cellStyle name="Currency 12 4" xfId="346"/>
    <cellStyle name="Currency 12 5" xfId="347"/>
    <cellStyle name="Currency 12 6" xfId="348"/>
    <cellStyle name="Currency 13" xfId="349"/>
    <cellStyle name="Currency 13 2" xfId="350"/>
    <cellStyle name="Currency 13 3" xfId="351"/>
    <cellStyle name="Currency 13 4" xfId="352"/>
    <cellStyle name="Currency 13 5" xfId="353"/>
    <cellStyle name="Currency 13 6" xfId="354"/>
    <cellStyle name="Currency 14" xfId="355"/>
    <cellStyle name="Currency 14 2" xfId="356"/>
    <cellStyle name="Currency 14 3" xfId="357"/>
    <cellStyle name="Currency 14 4" xfId="358"/>
    <cellStyle name="Currency 14 5" xfId="359"/>
    <cellStyle name="Currency 14 6" xfId="360"/>
    <cellStyle name="Currency 15" xfId="361"/>
    <cellStyle name="Currency 16" xfId="362"/>
    <cellStyle name="Currency 17" xfId="363"/>
    <cellStyle name="Currency 18" xfId="364"/>
    <cellStyle name="Currency 19" xfId="365"/>
    <cellStyle name="Currency 2" xfId="64"/>
    <cellStyle name="Currency 2 10" xfId="366"/>
    <cellStyle name="Currency 2 11" xfId="367"/>
    <cellStyle name="Currency 2 12" xfId="368"/>
    <cellStyle name="Currency 2 13" xfId="369"/>
    <cellStyle name="Currency 2 14" xfId="370"/>
    <cellStyle name="Currency 2 15" xfId="371"/>
    <cellStyle name="Currency 2 16" xfId="372"/>
    <cellStyle name="Currency 2 17" xfId="373"/>
    <cellStyle name="Currency 2 18" xfId="5365"/>
    <cellStyle name="Currency 2 19" xfId="3629"/>
    <cellStyle name="Currency 2 19 2" xfId="14289"/>
    <cellStyle name="Currency 2 19 3" xfId="8884"/>
    <cellStyle name="Currency 2 2" xfId="374"/>
    <cellStyle name="Currency 2 2 2" xfId="4999"/>
    <cellStyle name="Currency 2 2 3" xfId="3630"/>
    <cellStyle name="Currency 2 3" xfId="375"/>
    <cellStyle name="Currency 2 3 2" xfId="5366"/>
    <cellStyle name="Currency 2 3 3" xfId="3631"/>
    <cellStyle name="Currency 2 4" xfId="376"/>
    <cellStyle name="Currency 2 4 2" xfId="5367"/>
    <cellStyle name="Currency 2 4 3" xfId="3632"/>
    <cellStyle name="Currency 2 5" xfId="377"/>
    <cellStyle name="Currency 2 5 2" xfId="5368"/>
    <cellStyle name="Currency 2 5 3" xfId="3633"/>
    <cellStyle name="Currency 2 6" xfId="378"/>
    <cellStyle name="Currency 2 7" xfId="379"/>
    <cellStyle name="Currency 2 8" xfId="380"/>
    <cellStyle name="Currency 2 9" xfId="381"/>
    <cellStyle name="Currency 2_Compras" xfId="382"/>
    <cellStyle name="Currency 20" xfId="383"/>
    <cellStyle name="Currency 21" xfId="384"/>
    <cellStyle name="Currency 22" xfId="385"/>
    <cellStyle name="Currency 23" xfId="386"/>
    <cellStyle name="Currency 24" xfId="387"/>
    <cellStyle name="Currency 25" xfId="388"/>
    <cellStyle name="Currency 26" xfId="389"/>
    <cellStyle name="Currency 27" xfId="390"/>
    <cellStyle name="Currency 28" xfId="391"/>
    <cellStyle name="Currency 29" xfId="392"/>
    <cellStyle name="Currency 3" xfId="3634"/>
    <cellStyle name="Currency 3 10" xfId="393"/>
    <cellStyle name="Currency 3 11" xfId="394"/>
    <cellStyle name="Currency 3 12" xfId="395"/>
    <cellStyle name="Currency 3 13" xfId="396"/>
    <cellStyle name="Currency 3 14" xfId="397"/>
    <cellStyle name="Currency 3 15" xfId="398"/>
    <cellStyle name="Currency 3 16" xfId="399"/>
    <cellStyle name="Currency 3 17" xfId="400"/>
    <cellStyle name="Currency 3 2" xfId="401"/>
    <cellStyle name="Currency 3 3" xfId="402"/>
    <cellStyle name="Currency 3 4" xfId="403"/>
    <cellStyle name="Currency 3 5" xfId="404"/>
    <cellStyle name="Currency 3 6" xfId="405"/>
    <cellStyle name="Currency 3 7" xfId="406"/>
    <cellStyle name="Currency 3 8" xfId="407"/>
    <cellStyle name="Currency 3 9" xfId="408"/>
    <cellStyle name="Currency 30" xfId="409"/>
    <cellStyle name="Currency 4" xfId="410"/>
    <cellStyle name="Currency 4 2" xfId="411"/>
    <cellStyle name="Currency 4 2 2" xfId="5369"/>
    <cellStyle name="Currency 4 2 3" xfId="3636"/>
    <cellStyle name="Currency 4 3" xfId="412"/>
    <cellStyle name="Currency 4 3 2" xfId="3638"/>
    <cellStyle name="Currency 4 3 3" xfId="5370"/>
    <cellStyle name="Currency 4 3 4" xfId="3637"/>
    <cellStyle name="Currency 4 4" xfId="413"/>
    <cellStyle name="Currency 4 4 2" xfId="3640"/>
    <cellStyle name="Currency 4 4 3" xfId="5371"/>
    <cellStyle name="Currency 4 4 4" xfId="3639"/>
    <cellStyle name="Currency 4 5" xfId="414"/>
    <cellStyle name="Currency 4 5 2" xfId="5372"/>
    <cellStyle name="Currency 4 5 3" xfId="3641"/>
    <cellStyle name="Currency 4 6" xfId="415"/>
    <cellStyle name="Currency 4 7" xfId="3635"/>
    <cellStyle name="Currency 5" xfId="416"/>
    <cellStyle name="Currency 5 2" xfId="417"/>
    <cellStyle name="Currency 5 2 2" xfId="5373"/>
    <cellStyle name="Currency 5 2 3" xfId="3643"/>
    <cellStyle name="Currency 5 3" xfId="418"/>
    <cellStyle name="Currency 5 4" xfId="419"/>
    <cellStyle name="Currency 5 5" xfId="420"/>
    <cellStyle name="Currency 5 6" xfId="421"/>
    <cellStyle name="Currency 5 7" xfId="3642"/>
    <cellStyle name="Currency 6" xfId="422"/>
    <cellStyle name="Currency 6 2" xfId="423"/>
    <cellStyle name="Currency 6 3" xfId="424"/>
    <cellStyle name="Currency 6 4" xfId="425"/>
    <cellStyle name="Currency 6 5" xfId="426"/>
    <cellStyle name="Currency 6 6" xfId="427"/>
    <cellStyle name="Currency 7" xfId="428"/>
    <cellStyle name="Currency 7 2" xfId="429"/>
    <cellStyle name="Currency 7 3" xfId="430"/>
    <cellStyle name="Currency 7 4" xfId="431"/>
    <cellStyle name="Currency 7 5" xfId="432"/>
    <cellStyle name="Currency 7 6" xfId="433"/>
    <cellStyle name="Currency 8" xfId="434"/>
    <cellStyle name="Currency 8 2" xfId="435"/>
    <cellStyle name="Currency 8 3" xfId="436"/>
    <cellStyle name="Currency 8 4" xfId="437"/>
    <cellStyle name="Currency 8 5" xfId="438"/>
    <cellStyle name="Currency 8 6" xfId="439"/>
    <cellStyle name="Currency 9" xfId="440"/>
    <cellStyle name="Currency 9 2" xfId="441"/>
    <cellStyle name="Currency 9 3" xfId="442"/>
    <cellStyle name="Currency 9 4" xfId="443"/>
    <cellStyle name="Currency 9 5" xfId="444"/>
    <cellStyle name="Currency 9 6" xfId="445"/>
    <cellStyle name="Currency_Emolumentos-IDI" xfId="3644"/>
    <cellStyle name="Currency0" xfId="3645"/>
    <cellStyle name="Currsmall" xfId="8883"/>
    <cellStyle name="Data Link" xfId="8882"/>
    <cellStyle name="date" xfId="3646"/>
    <cellStyle name="Date [d-mmm-yy]" xfId="8880"/>
    <cellStyle name="Date [mm-d-yy]" xfId="8879"/>
    <cellStyle name="Date [mm-d-yyyy]" xfId="8878"/>
    <cellStyle name="Date [mmm-d-yyyy]" xfId="8877"/>
    <cellStyle name="Date [mmm-yy]" xfId="8876"/>
    <cellStyle name="Date [mmm-yyyy]" xfId="8875"/>
    <cellStyle name="date 10" xfId="14879"/>
    <cellStyle name="date 11" xfId="14874"/>
    <cellStyle name="date 12" xfId="14891"/>
    <cellStyle name="Date 13" xfId="8881"/>
    <cellStyle name="Date 14" xfId="14390"/>
    <cellStyle name="Date 2" xfId="6618"/>
    <cellStyle name="Date 2 2" xfId="15708"/>
    <cellStyle name="date 2 3" xfId="15440"/>
    <cellStyle name="date 3" xfId="14290"/>
    <cellStyle name="date 4" xfId="14889"/>
    <cellStyle name="Date 4 2" xfId="15228"/>
    <cellStyle name="Date 4 2 2" xfId="15863"/>
    <cellStyle name="date 4 2 3" xfId="15755"/>
    <cellStyle name="date 4 3" xfId="15243"/>
    <cellStyle name="date 4 4" xfId="15270"/>
    <cellStyle name="date 4 5" xfId="16329"/>
    <cellStyle name="date 5" xfId="14890"/>
    <cellStyle name="Date 5 2" xfId="15233"/>
    <cellStyle name="Date 5 2 2" xfId="15867"/>
    <cellStyle name="date 5 2 3" xfId="15756"/>
    <cellStyle name="date 5 3" xfId="15244"/>
    <cellStyle name="date 5 4" xfId="15271"/>
    <cellStyle name="date 5 5" xfId="16330"/>
    <cellStyle name="date 6" xfId="14883"/>
    <cellStyle name="date 7" xfId="14876"/>
    <cellStyle name="date 8" xfId="14871"/>
    <cellStyle name="date 9" xfId="14877"/>
    <cellStyle name="Date Aligned" xfId="8873"/>
    <cellStyle name="Date_BR_Malls_CRI_20090819" xfId="8872"/>
    <cellStyle name="Date2" xfId="8871"/>
    <cellStyle name="Dates" xfId="8870"/>
    <cellStyle name="Datum" xfId="8869"/>
    <cellStyle name="default" xfId="8868"/>
    <cellStyle name="Destaque" xfId="8867"/>
    <cellStyle name="Dezimal [0]_revenue" xfId="8866"/>
    <cellStyle name="Dezimal_airt-rev" xfId="6617"/>
    <cellStyle name="División" xfId="6616"/>
    <cellStyle name="dollar" xfId="6615"/>
    <cellStyle name="Dollars" xfId="446"/>
    <cellStyle name="Dollars 2" xfId="13680"/>
    <cellStyle name="dollars 3" xfId="6614"/>
    <cellStyle name="dollars 4" xfId="13709"/>
    <cellStyle name="dollars 5" xfId="13844"/>
    <cellStyle name="dollars 6" xfId="13846"/>
    <cellStyle name="dollars 7" xfId="13719"/>
    <cellStyle name="dollars 8" xfId="13845"/>
    <cellStyle name="dollars 9" xfId="13843"/>
    <cellStyle name="Dotted Line" xfId="6613"/>
    <cellStyle name="Double Accounting" xfId="6612"/>
    <cellStyle name="Encabezado 4" xfId="3647"/>
    <cellStyle name="Ênfase1" xfId="21" builtinId="29" customBuiltin="1"/>
    <cellStyle name="Ênfase1 10" xfId="3648"/>
    <cellStyle name="Ênfase1 10 2" xfId="14291"/>
    <cellStyle name="Ênfase1 10 3" xfId="5944"/>
    <cellStyle name="Ênfase1 11" xfId="3649"/>
    <cellStyle name="Ênfase1 11 2" xfId="14292"/>
    <cellStyle name="Ênfase1 11 3" xfId="6611"/>
    <cellStyle name="Ênfase1 12" xfId="3650"/>
    <cellStyle name="Ênfase1 12 2" xfId="14293"/>
    <cellStyle name="Ênfase1 12 3" xfId="8865"/>
    <cellStyle name="Ênfase1 13" xfId="3651"/>
    <cellStyle name="Ênfase1 13 2" xfId="14294"/>
    <cellStyle name="Ênfase1 13 3" xfId="8864"/>
    <cellStyle name="Ênfase1 14" xfId="3652"/>
    <cellStyle name="Ênfase1 14 2" xfId="14295"/>
    <cellStyle name="Ênfase1 14 3" xfId="8863"/>
    <cellStyle name="Ênfase1 15" xfId="3653"/>
    <cellStyle name="Ênfase1 16" xfId="3654"/>
    <cellStyle name="Ênfase1 17" xfId="3655"/>
    <cellStyle name="Ênfase1 18" xfId="3656"/>
    <cellStyle name="Ênfase1 19" xfId="3657"/>
    <cellStyle name="Ênfase1 2" xfId="2231"/>
    <cellStyle name="Ênfase1 2 2" xfId="3659"/>
    <cellStyle name="Ênfase1 2 2 2" xfId="14297"/>
    <cellStyle name="Ênfase1 2 2 3" xfId="6610"/>
    <cellStyle name="Ênfase1 2 3" xfId="3658"/>
    <cellStyle name="Ênfase1 2 4" xfId="15327"/>
    <cellStyle name="Ênfase1 2_Base RF" xfId="5477"/>
    <cellStyle name="Ênfase1 20" xfId="3660"/>
    <cellStyle name="Ênfase1 21" xfId="3661"/>
    <cellStyle name="Ênfase1 21 2" xfId="3662"/>
    <cellStyle name="Ênfase1 22" xfId="3663"/>
    <cellStyle name="Ênfase1 23" xfId="3664"/>
    <cellStyle name="Ênfase1 3" xfId="3665"/>
    <cellStyle name="Ênfase1 3 2" xfId="14299"/>
    <cellStyle name="Ênfase1 3 3" xfId="6609"/>
    <cellStyle name="Ênfase1 4" xfId="3666"/>
    <cellStyle name="Ênfase1 4 2" xfId="14300"/>
    <cellStyle name="Ênfase1 4 3" xfId="8862"/>
    <cellStyle name="Ênfase1 5" xfId="3667"/>
    <cellStyle name="Ênfase1 5 2" xfId="14301"/>
    <cellStyle name="Ênfase1 5 3" xfId="8861"/>
    <cellStyle name="Ênfase1 6" xfId="3668"/>
    <cellStyle name="Ênfase1 6 2" xfId="14302"/>
    <cellStyle name="Ênfase1 6 3" xfId="8860"/>
    <cellStyle name="Ênfase1 7" xfId="3669"/>
    <cellStyle name="Ênfase1 7 2" xfId="14303"/>
    <cellStyle name="Ênfase1 7 3" xfId="8859"/>
    <cellStyle name="Ênfase1 8" xfId="3670"/>
    <cellStyle name="Ênfase1 8 2" xfId="14304"/>
    <cellStyle name="Ênfase1 8 3" xfId="8858"/>
    <cellStyle name="Ênfase1 9" xfId="3671"/>
    <cellStyle name="Ênfase1 9 2" xfId="14305"/>
    <cellStyle name="Ênfase1 9 3" xfId="8857"/>
    <cellStyle name="Ênfase2" xfId="25" builtinId="33" customBuiltin="1"/>
    <cellStyle name="Ênfase2 10" xfId="3672"/>
    <cellStyle name="Ênfase2 10 2" xfId="14306"/>
    <cellStyle name="Ênfase2 10 3" xfId="8856"/>
    <cellStyle name="Ênfase2 11" xfId="3673"/>
    <cellStyle name="Ênfase2 11 2" xfId="14307"/>
    <cellStyle name="Ênfase2 11 3" xfId="9527"/>
    <cellStyle name="Ênfase2 12" xfId="3674"/>
    <cellStyle name="Ênfase2 12 2" xfId="14308"/>
    <cellStyle name="Ênfase2 12 3" xfId="8855"/>
    <cellStyle name="Ênfase2 13" xfId="3675"/>
    <cellStyle name="Ênfase2 13 2" xfId="14309"/>
    <cellStyle name="Ênfase2 13 3" xfId="7315"/>
    <cellStyle name="Ênfase2 14" xfId="3676"/>
    <cellStyle name="Ênfase2 14 2" xfId="14310"/>
    <cellStyle name="Ênfase2 14 3" xfId="8854"/>
    <cellStyle name="Ênfase2 15" xfId="3677"/>
    <cellStyle name="Ênfase2 16" xfId="3678"/>
    <cellStyle name="Ênfase2 17" xfId="3679"/>
    <cellStyle name="Ênfase2 18" xfId="3680"/>
    <cellStyle name="Ênfase2 19" xfId="3681"/>
    <cellStyle name="Ênfase2 2" xfId="2227"/>
    <cellStyle name="Ênfase2 2 2" xfId="3683"/>
    <cellStyle name="Ênfase2 2 2 2" xfId="14311"/>
    <cellStyle name="Ênfase2 2 2 3" xfId="8853"/>
    <cellStyle name="Ênfase2 2 3" xfId="3682"/>
    <cellStyle name="Ênfase2 2 4" xfId="15323"/>
    <cellStyle name="Ênfase2 2_Base RF" xfId="5478"/>
    <cellStyle name="Ênfase2 20" xfId="3684"/>
    <cellStyle name="Ênfase2 21" xfId="3685"/>
    <cellStyle name="Ênfase2 22" xfId="3686"/>
    <cellStyle name="Ênfase2 3" xfId="3687"/>
    <cellStyle name="Ênfase2 3 2" xfId="14312"/>
    <cellStyle name="Ênfase2 3 3" xfId="8851"/>
    <cellStyle name="Ênfase2 4" xfId="3688"/>
    <cellStyle name="Ênfase2 4 2" xfId="14313"/>
    <cellStyle name="Ênfase2 4 3" xfId="9483"/>
    <cellStyle name="Ênfase2 5" xfId="3689"/>
    <cellStyle name="Ênfase2 5 2" xfId="14314"/>
    <cellStyle name="Ênfase2 5 3" xfId="8852"/>
    <cellStyle name="Ênfase2 6" xfId="3690"/>
    <cellStyle name="Ênfase2 6 2" xfId="14315"/>
    <cellStyle name="Ênfase2 6 3" xfId="6608"/>
    <cellStyle name="Ênfase2 7" xfId="3691"/>
    <cellStyle name="Ênfase2 7 2" xfId="14316"/>
    <cellStyle name="Ênfase2 7 3" xfId="8850"/>
    <cellStyle name="Ênfase2 8" xfId="3692"/>
    <cellStyle name="Ênfase2 8 2" xfId="14317"/>
    <cellStyle name="Ênfase2 8 3" xfId="8849"/>
    <cellStyle name="Ênfase2 9" xfId="3693"/>
    <cellStyle name="Ênfase2 9 2" xfId="14318"/>
    <cellStyle name="Ênfase2 9 3" xfId="8848"/>
    <cellStyle name="Ênfase3" xfId="29" builtinId="37" customBuiltin="1"/>
    <cellStyle name="Ênfase3 10" xfId="3694"/>
    <cellStyle name="Ênfase3 10 2" xfId="14319"/>
    <cellStyle name="Ênfase3 10 3" xfId="8847"/>
    <cellStyle name="Ênfase3 11" xfId="3695"/>
    <cellStyle name="Ênfase3 11 2" xfId="14320"/>
    <cellStyle name="Ênfase3 11 3" xfId="8846"/>
    <cellStyle name="Ênfase3 12" xfId="3696"/>
    <cellStyle name="Ênfase3 12 2" xfId="14321"/>
    <cellStyle name="Ênfase3 12 3" xfId="8845"/>
    <cellStyle name="Ênfase3 13" xfId="3697"/>
    <cellStyle name="Ênfase3 13 2" xfId="14322"/>
    <cellStyle name="Ênfase3 13 3" xfId="8844"/>
    <cellStyle name="Ênfase3 14" xfId="3698"/>
    <cellStyle name="Ênfase3 14 2" xfId="14323"/>
    <cellStyle name="Ênfase3 14 3" xfId="8843"/>
    <cellStyle name="Ênfase3 15" xfId="3699"/>
    <cellStyle name="Ênfase3 16" xfId="3700"/>
    <cellStyle name="Ênfase3 17" xfId="3701"/>
    <cellStyle name="Ênfase3 18" xfId="3702"/>
    <cellStyle name="Ênfase3 19" xfId="3703"/>
    <cellStyle name="Ênfase3 2" xfId="2503"/>
    <cellStyle name="Ênfase3 2 2" xfId="3705"/>
    <cellStyle name="Ênfase3 2 2 2" xfId="14324"/>
    <cellStyle name="Ênfase3 2 2 3" xfId="8842"/>
    <cellStyle name="Ênfase3 2 3" xfId="3704"/>
    <cellStyle name="Ênfase3 2 4" xfId="15354"/>
    <cellStyle name="Ênfase3 2_Base RF" xfId="5479"/>
    <cellStyle name="Ênfase3 20" xfId="3706"/>
    <cellStyle name="Ênfase3 21" xfId="3707"/>
    <cellStyle name="Ênfase3 22" xfId="3708"/>
    <cellStyle name="Ênfase3 3" xfId="3709"/>
    <cellStyle name="Ênfase3 3 2" xfId="14325"/>
    <cellStyle name="Ênfase3 3 3" xfId="5947"/>
    <cellStyle name="Ênfase3 4" xfId="3710"/>
    <cellStyle name="Ênfase3 4 2" xfId="14326"/>
    <cellStyle name="Ênfase3 4 3" xfId="6607"/>
    <cellStyle name="Ênfase3 5" xfId="3711"/>
    <cellStyle name="Ênfase3 5 2" xfId="14327"/>
    <cellStyle name="Ênfase3 5 3" xfId="6606"/>
    <cellStyle name="Ênfase3 6" xfId="3712"/>
    <cellStyle name="Ênfase3 6 2" xfId="14328"/>
    <cellStyle name="Ênfase3 6 3" xfId="6605"/>
    <cellStyle name="Ênfase3 7" xfId="3713"/>
    <cellStyle name="Ênfase3 7 2" xfId="14329"/>
    <cellStyle name="Ênfase3 7 3" xfId="6604"/>
    <cellStyle name="Ênfase3 8" xfId="3714"/>
    <cellStyle name="Ênfase3 8 2" xfId="14330"/>
    <cellStyle name="Ênfase3 8 3" xfId="6603"/>
    <cellStyle name="Ênfase3 9" xfId="3715"/>
    <cellStyle name="Ênfase3 9 2" xfId="14331"/>
    <cellStyle name="Ênfase3 9 3" xfId="6602"/>
    <cellStyle name="Ênfase4" xfId="33" builtinId="41" customBuiltin="1"/>
    <cellStyle name="Ênfase4 10" xfId="3716"/>
    <cellStyle name="Ênfase4 10 2" xfId="14332"/>
    <cellStyle name="Ênfase4 10 3" xfId="6601"/>
    <cellStyle name="Ênfase4 11" xfId="3717"/>
    <cellStyle name="Ênfase4 11 2" xfId="14333"/>
    <cellStyle name="Ênfase4 11 3" xfId="6600"/>
    <cellStyle name="Ênfase4 12" xfId="3718"/>
    <cellStyle name="Ênfase4 12 2" xfId="14334"/>
    <cellStyle name="Ênfase4 12 3" xfId="8841"/>
    <cellStyle name="Ênfase4 13" xfId="3719"/>
    <cellStyle name="Ênfase4 13 2" xfId="14335"/>
    <cellStyle name="Ênfase4 13 3" xfId="9256"/>
    <cellStyle name="Ênfase4 14" xfId="3720"/>
    <cellStyle name="Ênfase4 14 2" xfId="14336"/>
    <cellStyle name="Ênfase4 14 3" xfId="6599"/>
    <cellStyle name="Ênfase4 15" xfId="3721"/>
    <cellStyle name="Ênfase4 16" xfId="3722"/>
    <cellStyle name="Ênfase4 17" xfId="3723"/>
    <cellStyle name="Ênfase4 18" xfId="3724"/>
    <cellStyle name="Ênfase4 19" xfId="3725"/>
    <cellStyle name="Ênfase4 2" xfId="2507"/>
    <cellStyle name="Ênfase4 2 2" xfId="3727"/>
    <cellStyle name="Ênfase4 2 2 2" xfId="14337"/>
    <cellStyle name="Ênfase4 2 2 3" xfId="7475"/>
    <cellStyle name="Ênfase4 2 3" xfId="3726"/>
    <cellStyle name="Ênfase4 2 4" xfId="15358"/>
    <cellStyle name="Ênfase4 2_Base RF" xfId="5480"/>
    <cellStyle name="Ênfase4 20" xfId="3728"/>
    <cellStyle name="Ênfase4 21" xfId="3729"/>
    <cellStyle name="Ênfase4 22" xfId="3730"/>
    <cellStyle name="Ênfase4 3" xfId="3731"/>
    <cellStyle name="Ênfase4 3 2" xfId="14338"/>
    <cellStyle name="Ênfase4 3 3" xfId="7302"/>
    <cellStyle name="Ênfase4 4" xfId="3732"/>
    <cellStyle name="Ênfase4 4 2" xfId="14339"/>
    <cellStyle name="Ênfase4 4 3" xfId="6598"/>
    <cellStyle name="Ênfase4 5" xfId="3733"/>
    <cellStyle name="Ênfase4 5 2" xfId="14340"/>
    <cellStyle name="Ênfase4 5 3" xfId="5987"/>
    <cellStyle name="Ênfase4 6" xfId="3734"/>
    <cellStyle name="Ênfase4 6 2" xfId="14341"/>
    <cellStyle name="Ênfase4 6 3" xfId="7474"/>
    <cellStyle name="Ênfase4 7" xfId="3735"/>
    <cellStyle name="Ênfase4 7 2" xfId="14342"/>
    <cellStyle name="Ênfase4 7 3" xfId="7301"/>
    <cellStyle name="Ênfase4 8" xfId="3736"/>
    <cellStyle name="Ênfase4 8 2" xfId="14343"/>
    <cellStyle name="Ênfase4 8 3" xfId="8840"/>
    <cellStyle name="Ênfase4 9" xfId="3737"/>
    <cellStyle name="Ênfase4 9 2" xfId="14344"/>
    <cellStyle name="Ênfase4 9 3" xfId="9490"/>
    <cellStyle name="Ênfase5" xfId="37" builtinId="45" customBuiltin="1"/>
    <cellStyle name="Ênfase5 10" xfId="3738"/>
    <cellStyle name="Ênfase5 10 2" xfId="14345"/>
    <cellStyle name="Ênfase5 10 3" xfId="6597"/>
    <cellStyle name="Ênfase5 11" xfId="3739"/>
    <cellStyle name="Ênfase5 11 2" xfId="14346"/>
    <cellStyle name="Ênfase5 11 3" xfId="5984"/>
    <cellStyle name="Ênfase5 12" xfId="3740"/>
    <cellStyle name="Ênfase5 13" xfId="3741"/>
    <cellStyle name="Ênfase5 13 2" xfId="14347"/>
    <cellStyle name="Ênfase5 13 3" xfId="9496"/>
    <cellStyle name="Ênfase5 14" xfId="3742"/>
    <cellStyle name="Ênfase5 14 2" xfId="14348"/>
    <cellStyle name="Ênfase5 14 3" xfId="7473"/>
    <cellStyle name="Ênfase5 15" xfId="3743"/>
    <cellStyle name="Ênfase5 16" xfId="3744"/>
    <cellStyle name="Ênfase5 17" xfId="3745"/>
    <cellStyle name="Ênfase5 18" xfId="3746"/>
    <cellStyle name="Ênfase5 19" xfId="3747"/>
    <cellStyle name="Ênfase5 2" xfId="2511"/>
    <cellStyle name="Ênfase5 2 2" xfId="3749"/>
    <cellStyle name="Ênfase5 2 3" xfId="3748"/>
    <cellStyle name="Ênfase5 2 4" xfId="15362"/>
    <cellStyle name="Ênfase5 2_Base RF" xfId="5481"/>
    <cellStyle name="Ênfase5 20" xfId="3750"/>
    <cellStyle name="Ênfase5 21" xfId="3751"/>
    <cellStyle name="Ênfase5 22" xfId="3752"/>
    <cellStyle name="Ênfase5 3" xfId="3753"/>
    <cellStyle name="Ênfase5 3 2" xfId="14349"/>
    <cellStyle name="Ênfase5 3 3" xfId="7300"/>
    <cellStyle name="Ênfase5 4" xfId="3754"/>
    <cellStyle name="Ênfase5 4 2" xfId="14350"/>
    <cellStyle name="Ênfase5 4 3" xfId="6596"/>
    <cellStyle name="Ênfase5 5" xfId="3755"/>
    <cellStyle name="Ênfase5 5 2" xfId="14351"/>
    <cellStyle name="Ênfase5 5 3" xfId="5982"/>
    <cellStyle name="Ênfase5 6" xfId="3756"/>
    <cellStyle name="Ênfase5 6 2" xfId="14352"/>
    <cellStyle name="Ênfase5 6 3" xfId="7472"/>
    <cellStyle name="Ênfase5 7" xfId="3757"/>
    <cellStyle name="Ênfase5 7 2" xfId="14353"/>
    <cellStyle name="Ênfase5 7 3" xfId="9255"/>
    <cellStyle name="Ênfase5 8" xfId="3758"/>
    <cellStyle name="Ênfase5 8 2" xfId="14354"/>
    <cellStyle name="Ênfase5 8 3" xfId="9492"/>
    <cellStyle name="Ênfase5 9" xfId="3759"/>
    <cellStyle name="Ênfase5 9 2" xfId="14355"/>
    <cellStyle name="Ênfase5 9 3" xfId="7299"/>
    <cellStyle name="Ênfase6" xfId="41" builtinId="49" customBuiltin="1"/>
    <cellStyle name="Ênfase6 10" xfId="3760"/>
    <cellStyle name="Ênfase6 10 2" xfId="14356"/>
    <cellStyle name="Ênfase6 10 3" xfId="5992"/>
    <cellStyle name="Ênfase6 11" xfId="3761"/>
    <cellStyle name="Ênfase6 11 2" xfId="14357"/>
    <cellStyle name="Ênfase6 11 3" xfId="8839"/>
    <cellStyle name="Ênfase6 12" xfId="3762"/>
    <cellStyle name="Ênfase6 12 2" xfId="14358"/>
    <cellStyle name="Ênfase6 12 3" xfId="9482"/>
    <cellStyle name="Ênfase6 13" xfId="3763"/>
    <cellStyle name="Ênfase6 13 2" xfId="14359"/>
    <cellStyle name="Ênfase6 13 3" xfId="6595"/>
    <cellStyle name="Ênfase6 14" xfId="3764"/>
    <cellStyle name="Ênfase6 14 2" xfId="14360"/>
    <cellStyle name="Ênfase6 14 3" xfId="5981"/>
    <cellStyle name="Ênfase6 15" xfId="3765"/>
    <cellStyle name="Ênfase6 16" xfId="3766"/>
    <cellStyle name="Ênfase6 17" xfId="3767"/>
    <cellStyle name="Ênfase6 18" xfId="3768"/>
    <cellStyle name="Ênfase6 19" xfId="3769"/>
    <cellStyle name="Ênfase6 2" xfId="2515"/>
    <cellStyle name="Ênfase6 2 2" xfId="3771"/>
    <cellStyle name="Ênfase6 2 2 2" xfId="14361"/>
    <cellStyle name="Ênfase6 2 2 3" xfId="8838"/>
    <cellStyle name="Ênfase6 2 3" xfId="3770"/>
    <cellStyle name="Ênfase6 2 4" xfId="15366"/>
    <cellStyle name="Ênfase6 2_Base RF" xfId="5482"/>
    <cellStyle name="Ênfase6 20" xfId="3772"/>
    <cellStyle name="Ênfase6 21" xfId="3773"/>
    <cellStyle name="Ênfase6 22" xfId="3774"/>
    <cellStyle name="Ênfase6 3" xfId="3775"/>
    <cellStyle name="Ênfase6 3 2" xfId="14362"/>
    <cellStyle name="Ênfase6 3 3" xfId="8837"/>
    <cellStyle name="Ênfase6 4" xfId="3776"/>
    <cellStyle name="Ênfase6 4 2" xfId="14363"/>
    <cellStyle name="Ênfase6 4 3" xfId="8836"/>
    <cellStyle name="Ênfase6 5" xfId="3777"/>
    <cellStyle name="Ênfase6 5 2" xfId="14364"/>
    <cellStyle name="Ênfase6 5 3" xfId="8835"/>
    <cellStyle name="Ênfase6 6" xfId="3778"/>
    <cellStyle name="Ênfase6 6 2" xfId="14365"/>
    <cellStyle name="Ênfase6 6 3" xfId="8834"/>
    <cellStyle name="Ênfase6 7" xfId="3779"/>
    <cellStyle name="Ênfase6 7 2" xfId="14366"/>
    <cellStyle name="Ênfase6 7 3" xfId="7471"/>
    <cellStyle name="Ênfase6 8" xfId="3780"/>
    <cellStyle name="Ênfase6 8 2" xfId="14367"/>
    <cellStyle name="Ênfase6 8 3" xfId="8833"/>
    <cellStyle name="Ênfase6 9" xfId="3781"/>
    <cellStyle name="Ênfase6 9 2" xfId="14368"/>
    <cellStyle name="Ênfase6 9 3" xfId="9481"/>
    <cellStyle name="Énfasis1" xfId="3782"/>
    <cellStyle name="Énfasis2" xfId="3783"/>
    <cellStyle name="Énfasis3" xfId="3784"/>
    <cellStyle name="Énfasis4" xfId="3785"/>
    <cellStyle name="Énfasis5" xfId="3786"/>
    <cellStyle name="Énfasis6" xfId="3787"/>
    <cellStyle name="Entered" xfId="447"/>
    <cellStyle name="Entrada" xfId="12" builtinId="20" customBuiltin="1"/>
    <cellStyle name="Entrada 10" xfId="3788"/>
    <cellStyle name="Entrada 10 2" xfId="3789"/>
    <cellStyle name="Entrada 10 3" xfId="3790"/>
    <cellStyle name="Entrada 10 4" xfId="14369"/>
    <cellStyle name="Entrada 10 5" xfId="6594"/>
    <cellStyle name="Entrada 11" xfId="3791"/>
    <cellStyle name="Entrada 11 2" xfId="3792"/>
    <cellStyle name="Entrada 11 3" xfId="3793"/>
    <cellStyle name="Entrada 11 4" xfId="14370"/>
    <cellStyle name="Entrada 11 5" xfId="5980"/>
    <cellStyle name="Entrada 12" xfId="3794"/>
    <cellStyle name="Entrada 12 2" xfId="3795"/>
    <cellStyle name="Entrada 12 3" xfId="3796"/>
    <cellStyle name="Entrada 12 4" xfId="14371"/>
    <cellStyle name="Entrada 12 5" xfId="8824"/>
    <cellStyle name="Entrada 13" xfId="3797"/>
    <cellStyle name="Entrada 13 2" xfId="3798"/>
    <cellStyle name="Entrada 13 3" xfId="3799"/>
    <cellStyle name="Entrada 13 4" xfId="14372"/>
    <cellStyle name="Entrada 13 5" xfId="8832"/>
    <cellStyle name="Entrada 14" xfId="3800"/>
    <cellStyle name="Entrada 14 2" xfId="3801"/>
    <cellStyle name="Entrada 14 3" xfId="3802"/>
    <cellStyle name="Entrada 14 4" xfId="14373"/>
    <cellStyle name="Entrada 14 5" xfId="8831"/>
    <cellStyle name="Entrada 15" xfId="3803"/>
    <cellStyle name="Entrada 15 2" xfId="3804"/>
    <cellStyle name="Entrada 15 3" xfId="3805"/>
    <cellStyle name="Entrada 16" xfId="3806"/>
    <cellStyle name="Entrada 16 2" xfId="3807"/>
    <cellStyle name="Entrada 16 3" xfId="3808"/>
    <cellStyle name="Entrada 17" xfId="3809"/>
    <cellStyle name="Entrada 17 2" xfId="3810"/>
    <cellStyle name="Entrada 17 3" xfId="3811"/>
    <cellStyle name="Entrada 18" xfId="3812"/>
    <cellStyle name="Entrada 18 2" xfId="3813"/>
    <cellStyle name="Entrada 18 3" xfId="3814"/>
    <cellStyle name="Entrada 19" xfId="3815"/>
    <cellStyle name="Entrada 19 2" xfId="3816"/>
    <cellStyle name="Entrada 19 3" xfId="3817"/>
    <cellStyle name="Entrada 2" xfId="449"/>
    <cellStyle name="Entrada 2 2" xfId="3819"/>
    <cellStyle name="Entrada 2 2 2" xfId="3820"/>
    <cellStyle name="Entrada 2 2 3" xfId="3821"/>
    <cellStyle name="Entrada 2 2 4" xfId="14374"/>
    <cellStyle name="Entrada 2 2 5" xfId="8828"/>
    <cellStyle name="Entrada 2 3" xfId="3822"/>
    <cellStyle name="Entrada 2 3 2" xfId="14375"/>
    <cellStyle name="Entrada 2 3 3" xfId="8830"/>
    <cellStyle name="Entrada 2 4" xfId="3823"/>
    <cellStyle name="Entrada 2 5" xfId="5375"/>
    <cellStyle name="Entrada 2 6" xfId="3818"/>
    <cellStyle name="Entrada 20" xfId="3824"/>
    <cellStyle name="Entrada 20 2" xfId="3825"/>
    <cellStyle name="Entrada 20 3" xfId="3826"/>
    <cellStyle name="Entrada 21" xfId="3827"/>
    <cellStyle name="Entrada 21 2" xfId="3828"/>
    <cellStyle name="Entrada 21 3" xfId="3829"/>
    <cellStyle name="Entrada 22" xfId="3830"/>
    <cellStyle name="Entrada 22 2" xfId="3831"/>
    <cellStyle name="Entrada 22 3" xfId="3832"/>
    <cellStyle name="Entrada 3" xfId="448"/>
    <cellStyle name="Entrada 3 2" xfId="3834"/>
    <cellStyle name="Entrada 3 2 2" xfId="14376"/>
    <cellStyle name="Entrada 3 2 3" xfId="13681"/>
    <cellStyle name="Entrada 3 3" xfId="3835"/>
    <cellStyle name="Entrada 3 3 2" xfId="14377"/>
    <cellStyle name="Entrada 3 3 3" xfId="8829"/>
    <cellStyle name="Entrada 3 4" xfId="5374"/>
    <cellStyle name="Entrada 3 5" xfId="3833"/>
    <cellStyle name="Entrada 4" xfId="2239"/>
    <cellStyle name="Entrada 4 2" xfId="3837"/>
    <cellStyle name="Entrada 4 3" xfId="3838"/>
    <cellStyle name="Entrada 4 4" xfId="3836"/>
    <cellStyle name="Entrada 4 5" xfId="15332"/>
    <cellStyle name="Entrada 4_Base RF" xfId="5483"/>
    <cellStyle name="Entrada 5" xfId="3839"/>
    <cellStyle name="Entrada 5 2" xfId="3840"/>
    <cellStyle name="Entrada 5 3" xfId="3841"/>
    <cellStyle name="Entrada 5 4" xfId="14378"/>
    <cellStyle name="Entrada 5 5" xfId="8827"/>
    <cellStyle name="Entrada 6" xfId="3842"/>
    <cellStyle name="Entrada 6 2" xfId="3843"/>
    <cellStyle name="Entrada 6 3" xfId="3844"/>
    <cellStyle name="Entrada 6 4" xfId="14379"/>
    <cellStyle name="Entrada 6 5" xfId="6593"/>
    <cellStyle name="Entrada 7" xfId="3845"/>
    <cellStyle name="Entrada 7 2" xfId="3846"/>
    <cellStyle name="Entrada 7 3" xfId="3847"/>
    <cellStyle name="Entrada 7 4" xfId="14380"/>
    <cellStyle name="Entrada 7 5" xfId="8825"/>
    <cellStyle name="Entrada 8" xfId="3848"/>
    <cellStyle name="Entrada 8 2" xfId="3849"/>
    <cellStyle name="Entrada 8 3" xfId="3850"/>
    <cellStyle name="Entrada 8 4" xfId="14381"/>
    <cellStyle name="Entrada 8 5" xfId="9409"/>
    <cellStyle name="Entrada 9" xfId="3851"/>
    <cellStyle name="Entrada 9 2" xfId="3852"/>
    <cellStyle name="Entrada 9 3" xfId="3853"/>
    <cellStyle name="Entrada 9 4" xfId="14382"/>
    <cellStyle name="Entrada 9 5" xfId="8826"/>
    <cellStyle name="Entry" xfId="3854"/>
    <cellStyle name="Equinox Automatic" xfId="3855"/>
    <cellStyle name="Equinox Automatic 2" xfId="3856"/>
    <cellStyle name="Equinox Automatic_CAC" xfId="3857"/>
    <cellStyle name="Equinox Blue Text" xfId="3858"/>
    <cellStyle name="Equinox DkRed Text" xfId="3859"/>
    <cellStyle name="Equinox Grey Text" xfId="3860"/>
    <cellStyle name="Equinox Greyout" xfId="3861"/>
    <cellStyle name="Equinox Inactive" xfId="3862"/>
    <cellStyle name="Equinox Red Text" xfId="3863"/>
    <cellStyle name="Estilo 1" xfId="450"/>
    <cellStyle name="Estilo 1 2" xfId="3865"/>
    <cellStyle name="Estilo 1 2 2" xfId="14383"/>
    <cellStyle name="Estilo 1 2 3" xfId="5978"/>
    <cellStyle name="Estilo 1 3" xfId="3866"/>
    <cellStyle name="Estilo 1 3 2" xfId="14384"/>
    <cellStyle name="Estilo 1 3 3" xfId="13618"/>
    <cellStyle name="Estilo 1 4" xfId="3867"/>
    <cellStyle name="Estilo 1 4 2" xfId="14385"/>
    <cellStyle name="Estilo 1 4 3" xfId="13682"/>
    <cellStyle name="Estilo 1 5" xfId="5000"/>
    <cellStyle name="Estilo 1 5 2" xfId="14779"/>
    <cellStyle name="Estilo 1 5 3" xfId="5994"/>
    <cellStyle name="Estilo 1 6" xfId="3864"/>
    <cellStyle name="Estilo 1_Base P&amp;L" xfId="3868"/>
    <cellStyle name="Estilo 2" xfId="3869"/>
    <cellStyle name="Estilo 2 2" xfId="14386"/>
    <cellStyle name="Estilo 2 3" xfId="5988"/>
    <cellStyle name="Euro" xfId="451"/>
    <cellStyle name="Euro 10" xfId="452"/>
    <cellStyle name="Euro 10 2" xfId="5377"/>
    <cellStyle name="Euro 10 3" xfId="3871"/>
    <cellStyle name="Euro 11" xfId="453"/>
    <cellStyle name="Euro 11 2" xfId="5378"/>
    <cellStyle name="Euro 11 3" xfId="3872"/>
    <cellStyle name="Euro 12" xfId="3873"/>
    <cellStyle name="Euro 12 2" xfId="3874"/>
    <cellStyle name="Euro 12 2 2" xfId="14387"/>
    <cellStyle name="Euro 12 2 3" xfId="7288"/>
    <cellStyle name="Euro 12 3" xfId="5376"/>
    <cellStyle name="Euro 13" xfId="3875"/>
    <cellStyle name="Euro 14" xfId="3876"/>
    <cellStyle name="Euro 14 2" xfId="14388"/>
    <cellStyle name="Euro 14 3" xfId="13683"/>
    <cellStyle name="Euro 15" xfId="3877"/>
    <cellStyle name="Euro 15 2" xfId="14389"/>
    <cellStyle name="Euro 15 3" xfId="6592"/>
    <cellStyle name="Euro 16" xfId="3878"/>
    <cellStyle name="Euro 17" xfId="3879"/>
    <cellStyle name="Euro 18" xfId="3880"/>
    <cellStyle name="Euro 19" xfId="3881"/>
    <cellStyle name="Euro 2" xfId="454"/>
    <cellStyle name="Euro 2 10" xfId="455"/>
    <cellStyle name="Euro 2 11" xfId="5379"/>
    <cellStyle name="Euro 2 12" xfId="3882"/>
    <cellStyle name="Euro 2 12 2" xfId="14391"/>
    <cellStyle name="Euro 2 12 3" xfId="13593"/>
    <cellStyle name="Euro 2 2" xfId="456"/>
    <cellStyle name="Euro 2 2 2" xfId="5380"/>
    <cellStyle name="Euro 2 2 3" xfId="3883"/>
    <cellStyle name="Euro 2 3" xfId="457"/>
    <cellStyle name="Euro 2 3 2" xfId="5381"/>
    <cellStyle name="Euro 2 3 3" xfId="3884"/>
    <cellStyle name="Euro 2 4" xfId="458"/>
    <cellStyle name="Euro 2 4 2" xfId="5382"/>
    <cellStyle name="Euro 2 4 3" xfId="3885"/>
    <cellStyle name="Euro 2 5" xfId="459"/>
    <cellStyle name="Euro 2 6" xfId="460"/>
    <cellStyle name="Euro 2 7" xfId="461"/>
    <cellStyle name="Euro 2 8" xfId="462"/>
    <cellStyle name="Euro 2 9" xfId="463"/>
    <cellStyle name="Euro 20" xfId="3870"/>
    <cellStyle name="Euro 3" xfId="464"/>
    <cellStyle name="Euro 3 2" xfId="3887"/>
    <cellStyle name="Euro 3 2 2" xfId="14392"/>
    <cellStyle name="Euro 3 2 3" xfId="13684"/>
    <cellStyle name="Euro 3 3" xfId="3888"/>
    <cellStyle name="Euro 3 3 2" xfId="14393"/>
    <cellStyle name="Euro 3 3 3" xfId="13619"/>
    <cellStyle name="Euro 3 4" xfId="3889"/>
    <cellStyle name="Euro 3 5" xfId="5383"/>
    <cellStyle name="Euro 3 6" xfId="3886"/>
    <cellStyle name="Euro 4" xfId="465"/>
    <cellStyle name="Euro 4 2" xfId="3891"/>
    <cellStyle name="Euro 4 3" xfId="3892"/>
    <cellStyle name="Euro 4 4" xfId="3893"/>
    <cellStyle name="Euro 4 5" xfId="5384"/>
    <cellStyle name="Euro 4 6" xfId="3890"/>
    <cellStyle name="Euro 5" xfId="466"/>
    <cellStyle name="Euro 5 2" xfId="5385"/>
    <cellStyle name="Euro 5 3" xfId="3894"/>
    <cellStyle name="Euro 6" xfId="467"/>
    <cellStyle name="Euro 6 2" xfId="5386"/>
    <cellStyle name="Euro 6 3" xfId="3895"/>
    <cellStyle name="Euro 7" xfId="468"/>
    <cellStyle name="Euro 7 2" xfId="5387"/>
    <cellStyle name="Euro 7 3" xfId="3896"/>
    <cellStyle name="Euro 8" xfId="469"/>
    <cellStyle name="Euro 8 2" xfId="3898"/>
    <cellStyle name="Euro 8 3" xfId="5388"/>
    <cellStyle name="Euro 8 4" xfId="3897"/>
    <cellStyle name="Euro 9" xfId="470"/>
    <cellStyle name="Euro 9 2" xfId="3900"/>
    <cellStyle name="Euro 9 3" xfId="5389"/>
    <cellStyle name="Euro 9 4" xfId="3899"/>
    <cellStyle name="Euro_Vol USD" xfId="3901"/>
    <cellStyle name="Explanatory Text" xfId="3902"/>
    <cellStyle name="Explanatory Text 2" xfId="471"/>
    <cellStyle name="Explanatory Text 2 2" xfId="472"/>
    <cellStyle name="Explanatory Text 3" xfId="3903"/>
    <cellStyle name="Explanatory Text_Negocio" xfId="3904"/>
    <cellStyle name="Fixed" xfId="6591"/>
    <cellStyle name="Fixed [0]" xfId="9254"/>
    <cellStyle name="Fixlong" xfId="8823"/>
    <cellStyle name="Flashing" xfId="3905"/>
    <cellStyle name="Flashing 2" xfId="3906"/>
    <cellStyle name="Flashing 2 2" xfId="3907"/>
    <cellStyle name="Flashing 3" xfId="3908"/>
    <cellStyle name="Flashing 3 2" xfId="3909"/>
    <cellStyle name="Flashing 4" xfId="3910"/>
    <cellStyle name="Flashing 4 2" xfId="3911"/>
    <cellStyle name="Flashing 5" xfId="3912"/>
    <cellStyle name="Flashing 5 2" xfId="3913"/>
    <cellStyle name="Flashing 6" xfId="3914"/>
    <cellStyle name="Flashing_CAC" xfId="3915"/>
    <cellStyle name="Footnote" xfId="6590"/>
    <cellStyle name="forma" xfId="6589"/>
    <cellStyle name="Genaro" xfId="3916"/>
    <cellStyle name="Good" xfId="3917"/>
    <cellStyle name="Good 2" xfId="473"/>
    <cellStyle name="Good 2 2" xfId="474"/>
    <cellStyle name="Good 3" xfId="3918"/>
    <cellStyle name="Grey" xfId="475"/>
    <cellStyle name="Grey 2" xfId="13685"/>
    <cellStyle name="Grey 2 2" xfId="15736"/>
    <cellStyle name="Grey 2 3" xfId="15448"/>
    <cellStyle name="Grey 3" xfId="8822"/>
    <cellStyle name="H1 (2)_FCG046A" xfId="476"/>
    <cellStyle name="hard no." xfId="6588"/>
    <cellStyle name="hard no. 2" xfId="6587"/>
    <cellStyle name="hard no. 3" xfId="13620"/>
    <cellStyle name="Hard Percent" xfId="9253"/>
    <cellStyle name="HEADER" xfId="8821"/>
    <cellStyle name="Header1" xfId="477"/>
    <cellStyle name="Header2" xfId="478"/>
    <cellStyle name="Header2 10" xfId="479"/>
    <cellStyle name="Header2 10 2" xfId="480"/>
    <cellStyle name="Header2 11" xfId="481"/>
    <cellStyle name="Header2 2" xfId="482"/>
    <cellStyle name="Header2 2 2" xfId="483"/>
    <cellStyle name="Header2 2 2 2" xfId="484"/>
    <cellStyle name="Header2 2 2 2 2" xfId="485"/>
    <cellStyle name="Header2 2 2 2 2 2" xfId="486"/>
    <cellStyle name="Header2 2 2 2 2 2 2" xfId="487"/>
    <cellStyle name="Header2 2 2 2 2 3" xfId="488"/>
    <cellStyle name="Header2 2 2 2 3" xfId="489"/>
    <cellStyle name="Header2 2 2 2 3 2" xfId="490"/>
    <cellStyle name="Header2 2 2 2 4" xfId="491"/>
    <cellStyle name="Header2 2 2 3" xfId="492"/>
    <cellStyle name="Header2 2 2 3 2" xfId="493"/>
    <cellStyle name="Header2 2 2 3 2 2" xfId="494"/>
    <cellStyle name="Header2 2 2 3 3" xfId="495"/>
    <cellStyle name="Header2 2 2 4" xfId="496"/>
    <cellStyle name="Header2 2 2 4 2" xfId="497"/>
    <cellStyle name="Header2 2 2 5" xfId="498"/>
    <cellStyle name="Header2 2 3" xfId="499"/>
    <cellStyle name="Header2 2 3 2" xfId="500"/>
    <cellStyle name="Header2 2 3 2 2" xfId="501"/>
    <cellStyle name="Header2 2 3 2 2 2" xfId="502"/>
    <cellStyle name="Header2 2 3 2 3" xfId="503"/>
    <cellStyle name="Header2 2 3 3" xfId="504"/>
    <cellStyle name="Header2 2 3 3 2" xfId="505"/>
    <cellStyle name="Header2 2 3 4" xfId="506"/>
    <cellStyle name="Header2 2 4" xfId="507"/>
    <cellStyle name="Header2 2 4 2" xfId="508"/>
    <cellStyle name="Header2 2 4 2 2" xfId="509"/>
    <cellStyle name="Header2 2 4 3" xfId="510"/>
    <cellStyle name="Header2 2 5" xfId="511"/>
    <cellStyle name="Header2 2 5 2" xfId="512"/>
    <cellStyle name="Header2 2 6" xfId="513"/>
    <cellStyle name="Header2 3" xfId="514"/>
    <cellStyle name="Header2 3 2" xfId="515"/>
    <cellStyle name="Header2 3 2 2" xfId="516"/>
    <cellStyle name="Header2 3 2 2 2" xfId="517"/>
    <cellStyle name="Header2 3 2 2 2 2" xfId="518"/>
    <cellStyle name="Header2 3 2 2 2 2 2" xfId="519"/>
    <cellStyle name="Header2 3 2 2 2 3" xfId="520"/>
    <cellStyle name="Header2 3 2 2 3" xfId="521"/>
    <cellStyle name="Header2 3 2 2 3 2" xfId="522"/>
    <cellStyle name="Header2 3 2 2 4" xfId="523"/>
    <cellStyle name="Header2 3 2 3" xfId="524"/>
    <cellStyle name="Header2 3 2 3 2" xfId="525"/>
    <cellStyle name="Header2 3 2 3 2 2" xfId="526"/>
    <cellStyle name="Header2 3 2 3 3" xfId="527"/>
    <cellStyle name="Header2 3 2 4" xfId="528"/>
    <cellStyle name="Header2 3 2 4 2" xfId="529"/>
    <cellStyle name="Header2 3 2 5" xfId="530"/>
    <cellStyle name="Header2 3 3" xfId="531"/>
    <cellStyle name="Header2 3 3 2" xfId="532"/>
    <cellStyle name="Header2 3 3 2 2" xfId="533"/>
    <cellStyle name="Header2 3 3 2 2 2" xfId="534"/>
    <cellStyle name="Header2 3 3 2 3" xfId="535"/>
    <cellStyle name="Header2 3 3 3" xfId="536"/>
    <cellStyle name="Header2 3 3 3 2" xfId="537"/>
    <cellStyle name="Header2 3 3 4" xfId="538"/>
    <cellStyle name="Header2 3 4" xfId="539"/>
    <cellStyle name="Header2 3 4 2" xfId="540"/>
    <cellStyle name="Header2 3 4 2 2" xfId="541"/>
    <cellStyle name="Header2 3 4 3" xfId="542"/>
    <cellStyle name="Header2 3 5" xfId="543"/>
    <cellStyle name="Header2 3 5 2" xfId="544"/>
    <cellStyle name="Header2 3 6" xfId="545"/>
    <cellStyle name="Header2 4" xfId="546"/>
    <cellStyle name="Header2 4 2" xfId="547"/>
    <cellStyle name="Header2 4 2 2" xfId="548"/>
    <cellStyle name="Header2 4 2 2 2" xfId="549"/>
    <cellStyle name="Header2 4 2 2 2 2" xfId="550"/>
    <cellStyle name="Header2 4 2 2 2 2 2" xfId="551"/>
    <cellStyle name="Header2 4 2 2 2 3" xfId="552"/>
    <cellStyle name="Header2 4 2 2 3" xfId="553"/>
    <cellStyle name="Header2 4 2 2 3 2" xfId="554"/>
    <cellStyle name="Header2 4 2 2 4" xfId="555"/>
    <cellStyle name="Header2 4 2 3" xfId="556"/>
    <cellStyle name="Header2 4 2 3 2" xfId="557"/>
    <cellStyle name="Header2 4 2 3 2 2" xfId="558"/>
    <cellStyle name="Header2 4 2 3 3" xfId="559"/>
    <cellStyle name="Header2 4 2 4" xfId="560"/>
    <cellStyle name="Header2 4 2 4 2" xfId="561"/>
    <cellStyle name="Header2 4 2 5" xfId="562"/>
    <cellStyle name="Header2 4 3" xfId="563"/>
    <cellStyle name="Header2 4 3 2" xfId="564"/>
    <cellStyle name="Header2 4 3 2 2" xfId="565"/>
    <cellStyle name="Header2 4 3 2 2 2" xfId="566"/>
    <cellStyle name="Header2 4 3 2 3" xfId="567"/>
    <cellStyle name="Header2 4 3 3" xfId="568"/>
    <cellStyle name="Header2 4 3 3 2" xfId="569"/>
    <cellStyle name="Header2 4 3 4" xfId="570"/>
    <cellStyle name="Header2 4 4" xfId="571"/>
    <cellStyle name="Header2 4 4 2" xfId="572"/>
    <cellStyle name="Header2 4 4 2 2" xfId="573"/>
    <cellStyle name="Header2 4 4 3" xfId="574"/>
    <cellStyle name="Header2 4 5" xfId="575"/>
    <cellStyle name="Header2 4 5 2" xfId="576"/>
    <cellStyle name="Header2 4 6" xfId="577"/>
    <cellStyle name="Header2 5" xfId="578"/>
    <cellStyle name="Header2 5 2" xfId="579"/>
    <cellStyle name="Header2 5 2 2" xfId="580"/>
    <cellStyle name="Header2 5 2 2 2" xfId="581"/>
    <cellStyle name="Header2 5 2 2 2 2" xfId="582"/>
    <cellStyle name="Header2 5 2 2 3" xfId="583"/>
    <cellStyle name="Header2 5 2 3" xfId="584"/>
    <cellStyle name="Header2 5 2 3 2" xfId="585"/>
    <cellStyle name="Header2 5 2 4" xfId="586"/>
    <cellStyle name="Header2 5 3" xfId="587"/>
    <cellStyle name="Header2 5 3 2" xfId="588"/>
    <cellStyle name="Header2 5 3 2 2" xfId="589"/>
    <cellStyle name="Header2 5 3 3" xfId="590"/>
    <cellStyle name="Header2 5 4" xfId="591"/>
    <cellStyle name="Header2 5 4 2" xfId="592"/>
    <cellStyle name="Header2 5 5" xfId="593"/>
    <cellStyle name="Header2 6" xfId="594"/>
    <cellStyle name="Header2 6 2" xfId="595"/>
    <cellStyle name="Header2 6 2 2" xfId="596"/>
    <cellStyle name="Header2 6 2 2 2" xfId="597"/>
    <cellStyle name="Header2 6 2 2 2 2" xfId="598"/>
    <cellStyle name="Header2 6 2 2 3" xfId="599"/>
    <cellStyle name="Header2 6 2 3" xfId="600"/>
    <cellStyle name="Header2 6 2 3 2" xfId="601"/>
    <cellStyle name="Header2 6 2 4" xfId="602"/>
    <cellStyle name="Header2 6 3" xfId="603"/>
    <cellStyle name="Header2 6 3 2" xfId="604"/>
    <cellStyle name="Header2 6 3 2 2" xfId="605"/>
    <cellStyle name="Header2 6 3 3" xfId="606"/>
    <cellStyle name="Header2 6 4" xfId="607"/>
    <cellStyle name="Header2 6 4 2" xfId="608"/>
    <cellStyle name="Header2 6 5" xfId="609"/>
    <cellStyle name="Header2 7" xfId="610"/>
    <cellStyle name="Header2 7 2" xfId="611"/>
    <cellStyle name="Header2 7 2 2" xfId="612"/>
    <cellStyle name="Header2 7 2 2 2" xfId="613"/>
    <cellStyle name="Header2 7 2 3" xfId="614"/>
    <cellStyle name="Header2 7 3" xfId="615"/>
    <cellStyle name="Header2 7 3 2" xfId="616"/>
    <cellStyle name="Header2 7 4" xfId="617"/>
    <cellStyle name="Header2 8" xfId="618"/>
    <cellStyle name="Header2 8 2" xfId="619"/>
    <cellStyle name="Header2 8 2 2" xfId="620"/>
    <cellStyle name="Header2 8 2 2 2" xfId="621"/>
    <cellStyle name="Header2 8 2 3" xfId="622"/>
    <cellStyle name="Header2 8 3" xfId="623"/>
    <cellStyle name="Header2 8 3 2" xfId="624"/>
    <cellStyle name="Header2 8 4" xfId="625"/>
    <cellStyle name="Header2 9" xfId="626"/>
    <cellStyle name="Header2 9 2" xfId="627"/>
    <cellStyle name="Header2 9 2 2" xfId="628"/>
    <cellStyle name="Header2 9 3" xfId="629"/>
    <cellStyle name="heading" xfId="630"/>
    <cellStyle name="Heading 1" xfId="3920"/>
    <cellStyle name="Heading 1 2" xfId="631"/>
    <cellStyle name="Heading 1 2 2" xfId="632"/>
    <cellStyle name="Heading 1 2 2 2" xfId="5391"/>
    <cellStyle name="Heading 1 2 2 3" xfId="3921"/>
    <cellStyle name="Heading 1 2 3" xfId="3922"/>
    <cellStyle name="Heading 1 2_Client" xfId="3923"/>
    <cellStyle name="Heading 1 3" xfId="3924"/>
    <cellStyle name="Heading 1 4" xfId="3925"/>
    <cellStyle name="Heading 1 5" xfId="3926"/>
    <cellStyle name="Heading 1 6" xfId="3927"/>
    <cellStyle name="Heading 1 7" xfId="3928"/>
    <cellStyle name="Heading 1_CAC" xfId="3929"/>
    <cellStyle name="heading 10" xfId="5447"/>
    <cellStyle name="heading 100" xfId="15666"/>
    <cellStyle name="heading 101" xfId="15674"/>
    <cellStyle name="heading 102" xfId="15672"/>
    <cellStyle name="heading 103" xfId="15665"/>
    <cellStyle name="heading 104" xfId="15671"/>
    <cellStyle name="heading 105" xfId="15669"/>
    <cellStyle name="heading 106" xfId="15677"/>
    <cellStyle name="heading 107" xfId="15679"/>
    <cellStyle name="heading 108" xfId="15685"/>
    <cellStyle name="heading 109" xfId="15689"/>
    <cellStyle name="heading 11" xfId="5451"/>
    <cellStyle name="heading 110" xfId="15682"/>
    <cellStyle name="heading 111" xfId="15700"/>
    <cellStyle name="heading 112" xfId="15694"/>
    <cellStyle name="heading 113" xfId="15683"/>
    <cellStyle name="heading 114" xfId="15691"/>
    <cellStyle name="heading 115" xfId="15695"/>
    <cellStyle name="heading 116" xfId="15702"/>
    <cellStyle name="heading 117" xfId="15696"/>
    <cellStyle name="heading 118" xfId="15705"/>
    <cellStyle name="heading 119" xfId="15703"/>
    <cellStyle name="heading 12" xfId="5448"/>
    <cellStyle name="heading 120" xfId="15706"/>
    <cellStyle name="heading 121" xfId="15739"/>
    <cellStyle name="heading 122" xfId="15741"/>
    <cellStyle name="heading 123" xfId="15743"/>
    <cellStyle name="heading 124" xfId="15745"/>
    <cellStyle name="heading 125" xfId="15748"/>
    <cellStyle name="heading 126" xfId="15752"/>
    <cellStyle name="heading 127" xfId="15750"/>
    <cellStyle name="heading 128" xfId="15761"/>
    <cellStyle name="heading 129" xfId="15769"/>
    <cellStyle name="heading 13" xfId="3919"/>
    <cellStyle name="heading 130" xfId="15844"/>
    <cellStyle name="heading 131" xfId="15790"/>
    <cellStyle name="heading 132" xfId="15821"/>
    <cellStyle name="heading 133" xfId="15851"/>
    <cellStyle name="heading 134" xfId="15873"/>
    <cellStyle name="heading 135" xfId="15929"/>
    <cellStyle name="heading 136" xfId="15880"/>
    <cellStyle name="heading 137" xfId="15919"/>
    <cellStyle name="heading 138" xfId="15902"/>
    <cellStyle name="heading 139" xfId="15944"/>
    <cellStyle name="heading 14" xfId="15320"/>
    <cellStyle name="heading 140" xfId="15875"/>
    <cellStyle name="heading 141" xfId="15941"/>
    <cellStyle name="heading 142" xfId="15903"/>
    <cellStyle name="heading 143" xfId="15917"/>
    <cellStyle name="heading 144" xfId="15895"/>
    <cellStyle name="heading 145" xfId="15904"/>
    <cellStyle name="heading 146" xfId="15939"/>
    <cellStyle name="heading 147" xfId="15955"/>
    <cellStyle name="heading 148" xfId="15959"/>
    <cellStyle name="heading 149" xfId="15951"/>
    <cellStyle name="heading 15" xfId="15389"/>
    <cellStyle name="heading 150" xfId="15958"/>
    <cellStyle name="heading 151" xfId="15952"/>
    <cellStyle name="heading 152" xfId="15983"/>
    <cellStyle name="heading 153" xfId="15971"/>
    <cellStyle name="heading 154" xfId="15984"/>
    <cellStyle name="heading 155" xfId="15988"/>
    <cellStyle name="heading 156" xfId="15996"/>
    <cellStyle name="heading 157" xfId="16055"/>
    <cellStyle name="heading 158" xfId="16004"/>
    <cellStyle name="heading 159" xfId="16045"/>
    <cellStyle name="heading 16" xfId="15392"/>
    <cellStyle name="heading 160" xfId="16028"/>
    <cellStyle name="heading 161" xfId="16057"/>
    <cellStyle name="heading 162" xfId="16059"/>
    <cellStyle name="heading 163" xfId="16043"/>
    <cellStyle name="heading 164" xfId="16063"/>
    <cellStyle name="heading 165" xfId="16037"/>
    <cellStyle name="heading 166" xfId="16017"/>
    <cellStyle name="heading 167" xfId="16070"/>
    <cellStyle name="heading 168" xfId="16086"/>
    <cellStyle name="heading 169" xfId="16069"/>
    <cellStyle name="heading 17" xfId="15394"/>
    <cellStyle name="heading 170" xfId="16081"/>
    <cellStyle name="heading 171" xfId="16094"/>
    <cellStyle name="heading 172" xfId="16108"/>
    <cellStyle name="heading 173" xfId="16099"/>
    <cellStyle name="heading 174" xfId="16112"/>
    <cellStyle name="heading 175" xfId="16126"/>
    <cellStyle name="heading 176" xfId="16129"/>
    <cellStyle name="heading 177" xfId="16140"/>
    <cellStyle name="heading 178" xfId="16285"/>
    <cellStyle name="heading 179" xfId="16159"/>
    <cellStyle name="heading 18" xfId="15401"/>
    <cellStyle name="heading 180" xfId="16264"/>
    <cellStyle name="heading 181" xfId="16219"/>
    <cellStyle name="heading 182" xfId="16232"/>
    <cellStyle name="heading 183" xfId="16184"/>
    <cellStyle name="heading 184" xfId="16163"/>
    <cellStyle name="heading 185" xfId="16263"/>
    <cellStyle name="heading 186" xfId="16220"/>
    <cellStyle name="heading 187" xfId="16231"/>
    <cellStyle name="heading 188" xfId="16193"/>
    <cellStyle name="heading 189" xfId="16243"/>
    <cellStyle name="heading 19" xfId="15398"/>
    <cellStyle name="heading 190" xfId="16182"/>
    <cellStyle name="heading 191" xfId="16157"/>
    <cellStyle name="heading 192" xfId="16269"/>
    <cellStyle name="heading 193" xfId="16215"/>
    <cellStyle name="heading 194" xfId="16284"/>
    <cellStyle name="heading 195" xfId="16175"/>
    <cellStyle name="heading 196" xfId="16240"/>
    <cellStyle name="heading 197" xfId="16143"/>
    <cellStyle name="heading 198" xfId="16281"/>
    <cellStyle name="heading 199" xfId="16137"/>
    <cellStyle name="Heading 2" xfId="3930"/>
    <cellStyle name="Heading 2 2" xfId="633"/>
    <cellStyle name="Heading 2 2 2" xfId="634"/>
    <cellStyle name="Heading 2 2 2 2" xfId="5392"/>
    <cellStyle name="Heading 2 2 2 3" xfId="3931"/>
    <cellStyle name="Heading 2 2 3" xfId="3932"/>
    <cellStyle name="Heading 2 2_Client" xfId="3933"/>
    <cellStyle name="Heading 2 3" xfId="3934"/>
    <cellStyle name="Heading 2 4" xfId="3935"/>
    <cellStyle name="Heading 2 5" xfId="3936"/>
    <cellStyle name="Heading 2 6" xfId="3937"/>
    <cellStyle name="Heading 2 7" xfId="3938"/>
    <cellStyle name="Heading 2_CAC" xfId="3939"/>
    <cellStyle name="heading 20" xfId="15399"/>
    <cellStyle name="heading 200" xfId="16287"/>
    <cellStyle name="heading 201" xfId="16298"/>
    <cellStyle name="heading 202" xfId="16304"/>
    <cellStyle name="heading 203" xfId="15288"/>
    <cellStyle name="heading 21" xfId="15400"/>
    <cellStyle name="heading 22" xfId="15404"/>
    <cellStyle name="heading 23" xfId="15415"/>
    <cellStyle name="heading 24" xfId="15411"/>
    <cellStyle name="heading 25" xfId="15412"/>
    <cellStyle name="heading 26" xfId="15403"/>
    <cellStyle name="heading 27" xfId="15407"/>
    <cellStyle name="heading 28" xfId="15414"/>
    <cellStyle name="heading 29" xfId="15419"/>
    <cellStyle name="Heading 3" xfId="3940"/>
    <cellStyle name="Heading 3 2" xfId="635"/>
    <cellStyle name="Heading 3 2 2" xfId="636"/>
    <cellStyle name="Heading 3 2 2 2" xfId="5393"/>
    <cellStyle name="Heading 3 2 2 3" xfId="3941"/>
    <cellStyle name="Heading 3 2 3" xfId="3942"/>
    <cellStyle name="Heading 3 2_Client" xfId="3943"/>
    <cellStyle name="Heading 3 3" xfId="3944"/>
    <cellStyle name="Heading 3 4" xfId="3945"/>
    <cellStyle name="Heading 3 5" xfId="3946"/>
    <cellStyle name="Heading 3 6" xfId="3947"/>
    <cellStyle name="Heading 3 7" xfId="3948"/>
    <cellStyle name="Heading 3_CAC" xfId="3949"/>
    <cellStyle name="heading 30" xfId="15417"/>
    <cellStyle name="heading 31" xfId="15422"/>
    <cellStyle name="heading 32" xfId="15425"/>
    <cellStyle name="heading 33" xfId="15424"/>
    <cellStyle name="heading 34" xfId="15428"/>
    <cellStyle name="heading 35" xfId="15432"/>
    <cellStyle name="heading 36" xfId="15446"/>
    <cellStyle name="heading 37" xfId="15439"/>
    <cellStyle name="heading 38" xfId="15441"/>
    <cellStyle name="heading 39" xfId="15452"/>
    <cellStyle name="Heading 4" xfId="3950"/>
    <cellStyle name="Heading 4 2" xfId="637"/>
    <cellStyle name="Heading 4 2 2" xfId="638"/>
    <cellStyle name="Heading 4 2 2 2" xfId="5394"/>
    <cellStyle name="Heading 4 2 2 3" xfId="3951"/>
    <cellStyle name="Heading 4 2 3" xfId="3952"/>
    <cellStyle name="Heading 4 2_Client" xfId="3953"/>
    <cellStyle name="Heading 4 3" xfId="3954"/>
    <cellStyle name="Heading 4 4" xfId="3955"/>
    <cellStyle name="Heading 4_CAC" xfId="3956"/>
    <cellStyle name="heading 40" xfId="15449"/>
    <cellStyle name="heading 41" xfId="15450"/>
    <cellStyle name="heading 42" xfId="15465"/>
    <cellStyle name="heading 43" xfId="15457"/>
    <cellStyle name="heading 44" xfId="15461"/>
    <cellStyle name="heading 45" xfId="15453"/>
    <cellStyle name="heading 46" xfId="15463"/>
    <cellStyle name="heading 47" xfId="15468"/>
    <cellStyle name="heading 48" xfId="15467"/>
    <cellStyle name="heading 49" xfId="15470"/>
    <cellStyle name="heading 5" xfId="5390"/>
    <cellStyle name="heading 50" xfId="15474"/>
    <cellStyle name="heading 51" xfId="15475"/>
    <cellStyle name="heading 52" xfId="15481"/>
    <cellStyle name="heading 53" xfId="15479"/>
    <cellStyle name="heading 54" xfId="15480"/>
    <cellStyle name="heading 55" xfId="15488"/>
    <cellStyle name="heading 56" xfId="15520"/>
    <cellStyle name="heading 57" xfId="15510"/>
    <cellStyle name="heading 58" xfId="15514"/>
    <cellStyle name="heading 59" xfId="15529"/>
    <cellStyle name="heading 6" xfId="5402"/>
    <cellStyle name="heading 60" xfId="15526"/>
    <cellStyle name="heading 61" xfId="15497"/>
    <cellStyle name="heading 62" xfId="15512"/>
    <cellStyle name="heading 63" xfId="15548"/>
    <cellStyle name="heading 64" xfId="15592"/>
    <cellStyle name="heading 65" xfId="15552"/>
    <cellStyle name="heading 66" xfId="15596"/>
    <cellStyle name="heading 67" xfId="15600"/>
    <cellStyle name="heading 68" xfId="15604"/>
    <cellStyle name="heading 69" xfId="15617"/>
    <cellStyle name="heading 7" xfId="5323"/>
    <cellStyle name="heading 70" xfId="15601"/>
    <cellStyle name="heading 71" xfId="15603"/>
    <cellStyle name="heading 72" xfId="15614"/>
    <cellStyle name="heading 73" xfId="15610"/>
    <cellStyle name="heading 74" xfId="15602"/>
    <cellStyle name="heading 75" xfId="15616"/>
    <cellStyle name="heading 76" xfId="15608"/>
    <cellStyle name="heading 77" xfId="15606"/>
    <cellStyle name="heading 78" xfId="15624"/>
    <cellStyle name="heading 79" xfId="15658"/>
    <cellStyle name="heading 8" xfId="5401"/>
    <cellStyle name="heading 80" xfId="15621"/>
    <cellStyle name="heading 81" xfId="15623"/>
    <cellStyle name="heading 82" xfId="15638"/>
    <cellStyle name="heading 83" xfId="15664"/>
    <cellStyle name="heading 84" xfId="15626"/>
    <cellStyle name="heading 85" xfId="15634"/>
    <cellStyle name="heading 86" xfId="15659"/>
    <cellStyle name="heading 87" xfId="15641"/>
    <cellStyle name="heading 88" xfId="15651"/>
    <cellStyle name="heading 89" xfId="15635"/>
    <cellStyle name="heading 9" xfId="5440"/>
    <cellStyle name="heading 90" xfId="15654"/>
    <cellStyle name="heading 91" xfId="15632"/>
    <cellStyle name="heading 92" xfId="15661"/>
    <cellStyle name="heading 93" xfId="15656"/>
    <cellStyle name="heading 94" xfId="15645"/>
    <cellStyle name="heading 95" xfId="15648"/>
    <cellStyle name="heading 96" xfId="15636"/>
    <cellStyle name="heading 97" xfId="15653"/>
    <cellStyle name="heading 98" xfId="15625"/>
    <cellStyle name="heading 99" xfId="15622"/>
    <cellStyle name="heading_COTACOES" xfId="5001"/>
    <cellStyle name="Helv" xfId="6586"/>
    <cellStyle name="Hiperlink 2" xfId="8820"/>
    <cellStyle name="Hiperlink 3" xfId="6585"/>
    <cellStyle name="Hipervínculo visitado_ecu_HSII-Goldman" xfId="639"/>
    <cellStyle name="Hipervínculo_ecu_HSII-Goldman" xfId="640"/>
    <cellStyle name="Hyperliᯮk segui᫤o" xfId="6584"/>
    <cellStyle name="Hyperlink 2" xfId="3957"/>
    <cellStyle name="Hyperlink 2 2" xfId="5311"/>
    <cellStyle name="Hyperlink 2 3" xfId="14394"/>
    <cellStyle name="Hyperlink 3" xfId="3958"/>
    <cellStyle name="Hyperlink 3 2" xfId="3959"/>
    <cellStyle name="Hyperlink 4" xfId="3960"/>
    <cellStyle name="Hyperlink 5" xfId="3961"/>
    <cellStyle name="Hyp᧥rlink_A᫬exandre" xfId="8819"/>
    <cellStyle name="Incorrecto" xfId="3962"/>
    <cellStyle name="Incorreto" xfId="10" builtinId="27" customBuiltin="1"/>
    <cellStyle name="Incorreto 10" xfId="3963"/>
    <cellStyle name="Incorreto 10 2" xfId="14395"/>
    <cellStyle name="Incorreto 10 3" xfId="6583"/>
    <cellStyle name="Incorreto 11" xfId="3964"/>
    <cellStyle name="Incorreto 11 2" xfId="14396"/>
    <cellStyle name="Incorreto 11 3" xfId="6582"/>
    <cellStyle name="Incorreto 12" xfId="3965"/>
    <cellStyle name="Incorreto 12 2" xfId="14397"/>
    <cellStyle name="Incorreto 12 3" xfId="8818"/>
    <cellStyle name="Incorreto 13" xfId="3966"/>
    <cellStyle name="Incorreto 13 2" xfId="14398"/>
    <cellStyle name="Incorreto 13 3" xfId="6581"/>
    <cellStyle name="Incorreto 14" xfId="3967"/>
    <cellStyle name="Incorreto 14 2" xfId="14399"/>
    <cellStyle name="Incorreto 14 3" xfId="6580"/>
    <cellStyle name="Incorreto 15" xfId="3968"/>
    <cellStyle name="Incorreto 16" xfId="3969"/>
    <cellStyle name="Incorreto 17" xfId="3970"/>
    <cellStyle name="Incorreto 18" xfId="3971"/>
    <cellStyle name="Incorreto 19" xfId="3972"/>
    <cellStyle name="Incorreto 2" xfId="2241"/>
    <cellStyle name="Incorreto 2 2" xfId="3974"/>
    <cellStyle name="Incorreto 2 2 2" xfId="14400"/>
    <cellStyle name="Incorreto 2 2 3" xfId="6579"/>
    <cellStyle name="Incorreto 2 3" xfId="3973"/>
    <cellStyle name="Incorreto 2 4" xfId="15333"/>
    <cellStyle name="Incorreto 2_Base RF" xfId="5484"/>
    <cellStyle name="Incorreto 20" xfId="3975"/>
    <cellStyle name="Incorreto 21" xfId="3976"/>
    <cellStyle name="Incorreto 22" xfId="3977"/>
    <cellStyle name="Incorreto 3" xfId="3978"/>
    <cellStyle name="Incorreto 3 2" xfId="14401"/>
    <cellStyle name="Incorreto 3 3" xfId="6578"/>
    <cellStyle name="Incorreto 4" xfId="3979"/>
    <cellStyle name="Incorreto 4 2" xfId="14402"/>
    <cellStyle name="Incorreto 4 3" xfId="8817"/>
    <cellStyle name="Incorreto 5" xfId="3980"/>
    <cellStyle name="Incorreto 5 2" xfId="14403"/>
    <cellStyle name="Incorreto 5 3" xfId="6577"/>
    <cellStyle name="Incorreto 6" xfId="3981"/>
    <cellStyle name="Incorreto 6 2" xfId="14404"/>
    <cellStyle name="Incorreto 6 3" xfId="6576"/>
    <cellStyle name="Incorreto 7" xfId="3982"/>
    <cellStyle name="Incorreto 7 2" xfId="14405"/>
    <cellStyle name="Incorreto 7 3" xfId="8816"/>
    <cellStyle name="Incorreto 8" xfId="3983"/>
    <cellStyle name="Incorreto 8 2" xfId="14406"/>
    <cellStyle name="Incorreto 8 3" xfId="6575"/>
    <cellStyle name="Incorreto 9" xfId="3984"/>
    <cellStyle name="Incorreto 9 2" xfId="14407"/>
    <cellStyle name="Incorreto 9 3" xfId="6574"/>
    <cellStyle name="Indefinido" xfId="641"/>
    <cellStyle name="Indefinido 2" xfId="3985"/>
    <cellStyle name="Indefinido 3" xfId="3986"/>
    <cellStyle name="Input" xfId="3987"/>
    <cellStyle name="Input (%)" xfId="9398"/>
    <cellStyle name="Input (£m)" xfId="9393"/>
    <cellStyle name="Input (No)" xfId="9390"/>
    <cellStyle name="Input (x)" xfId="9392"/>
    <cellStyle name="Input [yellow]" xfId="642"/>
    <cellStyle name="Input [yellow] 10" xfId="9391"/>
    <cellStyle name="Input [yellow] 2" xfId="643"/>
    <cellStyle name="Input [yellow] 2 2" xfId="644"/>
    <cellStyle name="Input [yellow] 2 2 2" xfId="645"/>
    <cellStyle name="Input [yellow] 2 2 2 2" xfId="646"/>
    <cellStyle name="Input [yellow] 2 3" xfId="647"/>
    <cellStyle name="Input [yellow] 3" xfId="648"/>
    <cellStyle name="Input [yellow] 3 2" xfId="649"/>
    <cellStyle name="Input [yellow] 3 2 2" xfId="650"/>
    <cellStyle name="Input [yellow] 3 2 2 2" xfId="651"/>
    <cellStyle name="Input [yellow] 3 2 2 2 2" xfId="652"/>
    <cellStyle name="Input [yellow] 4" xfId="653"/>
    <cellStyle name="Input [yellow] 4 2" xfId="654"/>
    <cellStyle name="Input [yellow] 4 2 2" xfId="655"/>
    <cellStyle name="Input [yellow] 5" xfId="656"/>
    <cellStyle name="Input [yellow] 5 2" xfId="657"/>
    <cellStyle name="Input [yellow] 5 2 2" xfId="658"/>
    <cellStyle name="Input [yellow] 6" xfId="659"/>
    <cellStyle name="Input [yellow] 6 2" xfId="660"/>
    <cellStyle name="Input [yellow] 6 2 2" xfId="661"/>
    <cellStyle name="Input [yellow] 6 2 2 2" xfId="662"/>
    <cellStyle name="Input [yellow] 6 3" xfId="663"/>
    <cellStyle name="Input [yellow] 6 3 2" xfId="664"/>
    <cellStyle name="Input [yellow] 7" xfId="665"/>
    <cellStyle name="Input [yellow] 8" xfId="666"/>
    <cellStyle name="Input [yellow] 9" xfId="13686"/>
    <cellStyle name="Input 10" xfId="667"/>
    <cellStyle name="Input 10 2" xfId="668"/>
    <cellStyle name="Input 11" xfId="669"/>
    <cellStyle name="Input 11 2" xfId="670"/>
    <cellStyle name="Input 12" xfId="5002"/>
    <cellStyle name="Input 13" xfId="5241"/>
    <cellStyle name="Input 14" xfId="5245"/>
    <cellStyle name="Input 15" xfId="5248"/>
    <cellStyle name="Input 16" xfId="5254"/>
    <cellStyle name="Input 17" xfId="5258"/>
    <cellStyle name="Input 18" xfId="5253"/>
    <cellStyle name="Input 19" xfId="5265"/>
    <cellStyle name="Input 2" xfId="671"/>
    <cellStyle name="Input 2 2" xfId="672"/>
    <cellStyle name="Input 2 2 2" xfId="673"/>
    <cellStyle name="Input 2 3" xfId="674"/>
    <cellStyle name="Input 2 4" xfId="5395"/>
    <cellStyle name="Input 2 5" xfId="3988"/>
    <cellStyle name="Input 2 5 2" xfId="14409"/>
    <cellStyle name="Input 2 5 3" xfId="9386"/>
    <cellStyle name="Input 20" xfId="5268"/>
    <cellStyle name="Input 21" xfId="5273"/>
    <cellStyle name="Input 22" xfId="5276"/>
    <cellStyle name="Input 23" xfId="5282"/>
    <cellStyle name="Input 24" xfId="5287"/>
    <cellStyle name="Input 25" xfId="5281"/>
    <cellStyle name="Input 26" xfId="5288"/>
    <cellStyle name="Input 27" xfId="5297"/>
    <cellStyle name="Input 28" xfId="5300"/>
    <cellStyle name="Input 29" xfId="14408"/>
    <cellStyle name="Input 3" xfId="675"/>
    <cellStyle name="Input 3 2" xfId="676"/>
    <cellStyle name="Input 3 3" xfId="3989"/>
    <cellStyle name="Input 30" xfId="14893"/>
    <cellStyle name="Input 30 2" xfId="15229"/>
    <cellStyle name="Input 30 2 2" xfId="15864"/>
    <cellStyle name="Input 30 2 3" xfId="15757"/>
    <cellStyle name="Input 30 3" xfId="15245"/>
    <cellStyle name="Input 31" xfId="14888"/>
    <cellStyle name="Input 31 2" xfId="15227"/>
    <cellStyle name="Input 31 2 2" xfId="15862"/>
    <cellStyle name="Input 31 2 3" xfId="15754"/>
    <cellStyle name="Input 31 3" xfId="15242"/>
    <cellStyle name="Input 32" xfId="14875"/>
    <cellStyle name="Input 33" xfId="14878"/>
    <cellStyle name="Input 34" xfId="14895"/>
    <cellStyle name="Input 35" xfId="14886"/>
    <cellStyle name="Input 36" xfId="14903"/>
    <cellStyle name="Input 37" xfId="14898"/>
    <cellStyle name="Input 38" xfId="14873"/>
    <cellStyle name="Input 39" xfId="9399"/>
    <cellStyle name="Input 4" xfId="677"/>
    <cellStyle name="Input 4 2" xfId="678"/>
    <cellStyle name="Input 4 3" xfId="3990"/>
    <cellStyle name="Input 40" xfId="14298"/>
    <cellStyle name="Input 5" xfId="679"/>
    <cellStyle name="Input 5 2" xfId="680"/>
    <cellStyle name="Input 5 3" xfId="3991"/>
    <cellStyle name="Input 6" xfId="681"/>
    <cellStyle name="Input 6 2" xfId="682"/>
    <cellStyle name="Input 6 3" xfId="3992"/>
    <cellStyle name="Input 7" xfId="683"/>
    <cellStyle name="Input 7 2" xfId="684"/>
    <cellStyle name="Input 7 3" xfId="3993"/>
    <cellStyle name="Input 8" xfId="685"/>
    <cellStyle name="Input 8 2" xfId="686"/>
    <cellStyle name="Input 8 3" xfId="3994"/>
    <cellStyle name="Input 9" xfId="687"/>
    <cellStyle name="Input 9 2" xfId="688"/>
    <cellStyle name="Input comment text" xfId="3995"/>
    <cellStyle name="Input Currency" xfId="9385"/>
    <cellStyle name="Input date" xfId="3996"/>
    <cellStyle name="Input date 2" xfId="14410"/>
    <cellStyle name="Input date 2 2" xfId="15738"/>
    <cellStyle name="Input date 2 3" xfId="15443"/>
    <cellStyle name="Input Date 3" xfId="9382"/>
    <cellStyle name="Input Date 4" xfId="14296"/>
    <cellStyle name="Input Fixed [0]" xfId="8815"/>
    <cellStyle name="Input Float" xfId="3997"/>
    <cellStyle name="Input Normal" xfId="9480"/>
    <cellStyle name="Input Percent" xfId="3998"/>
    <cellStyle name="Input Percent [2]" xfId="6572"/>
    <cellStyle name="Input Percent 10" xfId="14899"/>
    <cellStyle name="Input Percent 11" xfId="14884"/>
    <cellStyle name="Input Percent 12" xfId="6573"/>
    <cellStyle name="Input Percent 13" xfId="7613"/>
    <cellStyle name="Input Percent 2" xfId="14411"/>
    <cellStyle name="Input Percent 3" xfId="14894"/>
    <cellStyle name="Input Percent 3 2" xfId="15230"/>
    <cellStyle name="Input Percent 3 2 2" xfId="15865"/>
    <cellStyle name="Input Percent 3 2 3" xfId="15758"/>
    <cellStyle name="Input Percent 3 3" xfId="15246"/>
    <cellStyle name="Input Percent 4" xfId="14882"/>
    <cellStyle name="Input Percent 4 2" xfId="15232"/>
    <cellStyle name="Input Percent 4 2 2" xfId="15866"/>
    <cellStyle name="Input Percent 4 2 3" xfId="15753"/>
    <cellStyle name="Input Percent 4 3" xfId="15241"/>
    <cellStyle name="Input Percent 5" xfId="14885"/>
    <cellStyle name="Input Percent 6" xfId="14896"/>
    <cellStyle name="Input Percent 7" xfId="14880"/>
    <cellStyle name="Input Percent 8" xfId="14887"/>
    <cellStyle name="Input Percent 9" xfId="14897"/>
    <cellStyle name="Input Percent_~2144771" xfId="6571"/>
    <cellStyle name="Input Titles" xfId="6570"/>
    <cellStyle name="Input_$cell" xfId="9381"/>
    <cellStyle name="InputNormal" xfId="9375"/>
    <cellStyle name="Jason" xfId="9377"/>
    <cellStyle name="Jason 2" xfId="9376"/>
    <cellStyle name="Jason 3" xfId="13621"/>
    <cellStyle name="Komma [0]_TELEMAN" xfId="689"/>
    <cellStyle name="Komma_TELEMAN" xfId="690"/>
    <cellStyle name="LinhaFinaAbaixo" xfId="3999"/>
    <cellStyle name="Linked Cell" xfId="4000"/>
    <cellStyle name="Linked Cell 2" xfId="691"/>
    <cellStyle name="Linked Cell 2 2" xfId="692"/>
    <cellStyle name="Linked Cell 3" xfId="4001"/>
    <cellStyle name="Linked Cell_Checagem Mov_Soberano" xfId="5003"/>
    <cellStyle name="MacroCode" xfId="9372"/>
    <cellStyle name="material" xfId="9370"/>
    <cellStyle name="Mike" xfId="9252"/>
    <cellStyle name="Millares [0]_~6544762" xfId="693"/>
    <cellStyle name="Millares_~6544762" xfId="694"/>
    <cellStyle name="Model" xfId="6569"/>
    <cellStyle name="Moeda" xfId="2" builtinId="4"/>
    <cellStyle name="Moeda 10" xfId="695"/>
    <cellStyle name="Moeda 10 10" xfId="6567"/>
    <cellStyle name="Moeda 10 11" xfId="6566"/>
    <cellStyle name="Moeda 10 12" xfId="6565"/>
    <cellStyle name="Moeda 10 12 2" xfId="6564"/>
    <cellStyle name="Moeda 10 13" xfId="13687"/>
    <cellStyle name="Moeda 10 14" xfId="6568"/>
    <cellStyle name="Moeda 10 2" xfId="6563"/>
    <cellStyle name="Moeda 10 3" xfId="6562"/>
    <cellStyle name="Moeda 10 3 2" xfId="6561"/>
    <cellStyle name="Moeda 10 4" xfId="6560"/>
    <cellStyle name="Moeda 10 4 2" xfId="6559"/>
    <cellStyle name="Moeda 10 5" xfId="6558"/>
    <cellStyle name="Moeda 10 5 10" xfId="6557"/>
    <cellStyle name="Moeda 10 5 10 2" xfId="6556"/>
    <cellStyle name="Moeda 10 5 2" xfId="6555"/>
    <cellStyle name="Moeda 10 5 3" xfId="6554"/>
    <cellStyle name="Moeda 10 5 3 2" xfId="6553"/>
    <cellStyle name="Moeda 10 5 4" xfId="6552"/>
    <cellStyle name="Moeda 10 5 4 2" xfId="6551"/>
    <cellStyle name="Moeda 10 5 5" xfId="6550"/>
    <cellStyle name="Moeda 10 5 6" xfId="6549"/>
    <cellStyle name="Moeda 10 5 7" xfId="6548"/>
    <cellStyle name="Moeda 10 5 7 2" xfId="6547"/>
    <cellStyle name="Moeda 10 5 8" xfId="6546"/>
    <cellStyle name="Moeda 10 5 8 2" xfId="6545"/>
    <cellStyle name="Moeda 10 5 9" xfId="6544"/>
    <cellStyle name="Moeda 10 5 9 2" xfId="6543"/>
    <cellStyle name="Moeda 10 6" xfId="6542"/>
    <cellStyle name="Moeda 10 6 2" xfId="6541"/>
    <cellStyle name="Moeda 10 7" xfId="8814"/>
    <cellStyle name="Moeda 10 8" xfId="8813"/>
    <cellStyle name="Moeda 10 8 2" xfId="8812"/>
    <cellStyle name="Moeda 10 9" xfId="6540"/>
    <cellStyle name="Moeda 10 9 2" xfId="8811"/>
    <cellStyle name="Moeda 11" xfId="66"/>
    <cellStyle name="Moeda 11 2" xfId="13783"/>
    <cellStyle name="Moeda 11 3" xfId="8810"/>
    <cellStyle name="Moeda 12" xfId="5976"/>
    <cellStyle name="Moeda 12 2" xfId="8809"/>
    <cellStyle name="Moeda 13" xfId="8808"/>
    <cellStyle name="Moeda 14" xfId="8807"/>
    <cellStyle name="Moeda 15" xfId="8806"/>
    <cellStyle name="Moeda 15 2" xfId="8805"/>
    <cellStyle name="Moeda 16" xfId="8804"/>
    <cellStyle name="Moeda 17" xfId="8803"/>
    <cellStyle name="Moeda 17 2" xfId="8802"/>
    <cellStyle name="Moeda 18" xfId="9526"/>
    <cellStyle name="Moeda 19" xfId="8800"/>
    <cellStyle name="Moeda 2" xfId="49"/>
    <cellStyle name="Moeda 2 10" xfId="7316"/>
    <cellStyle name="Moeda 2 10 2" xfId="8799"/>
    <cellStyle name="Moeda 2 11" xfId="8798"/>
    <cellStyle name="Moeda 2 11 2" xfId="8797"/>
    <cellStyle name="Moeda 2 12" xfId="8796"/>
    <cellStyle name="Moeda 2 12 2" xfId="8795"/>
    <cellStyle name="Moeda 2 13" xfId="8794"/>
    <cellStyle name="Moeda 2 14" xfId="8793"/>
    <cellStyle name="Moeda 2 14 2" xfId="8792"/>
    <cellStyle name="Moeda 2 14 2 2" xfId="8791"/>
    <cellStyle name="Moeda 2 14 3" xfId="8790"/>
    <cellStyle name="Moeda 2 14 4" xfId="5946"/>
    <cellStyle name="Moeda 2 14 4 2" xfId="8789"/>
    <cellStyle name="Moeda 2 14 5" xfId="8788"/>
    <cellStyle name="Moeda 2 14 5 2" xfId="8787"/>
    <cellStyle name="Moeda 2 15" xfId="8786"/>
    <cellStyle name="Moeda 2 15 2" xfId="8785"/>
    <cellStyle name="Moeda 2 15 2 2" xfId="9407"/>
    <cellStyle name="Moeda 2 15 3" xfId="8784"/>
    <cellStyle name="Moeda 2 15 4" xfId="6539"/>
    <cellStyle name="Moeda 2 15 4 2" xfId="6538"/>
    <cellStyle name="Moeda 2 15 5" xfId="9251"/>
    <cellStyle name="Moeda 2 15 5 2" xfId="9489"/>
    <cellStyle name="Moeda 2 16" xfId="9485"/>
    <cellStyle name="Moeda 2 16 2" xfId="9411"/>
    <cellStyle name="Moeda 2 17" xfId="9486"/>
    <cellStyle name="Moeda 2 18" xfId="9475"/>
    <cellStyle name="Moeda 2 18 2" xfId="8783"/>
    <cellStyle name="Moeda 2 19" xfId="8782"/>
    <cellStyle name="Moeda 2 19 2" xfId="8781"/>
    <cellStyle name="Moeda 2 2" xfId="83"/>
    <cellStyle name="Moeda 2 2 2" xfId="4004"/>
    <cellStyle name="Moeda 2 2 2 2" xfId="5321"/>
    <cellStyle name="Moeda 2 2 2 3" xfId="8779"/>
    <cellStyle name="Moeda 2 2 2 4" xfId="14413"/>
    <cellStyle name="Moeda 2 2 3" xfId="4003"/>
    <cellStyle name="Moeda 2 2 4" xfId="13664"/>
    <cellStyle name="Moeda 2 2 5" xfId="8780"/>
    <cellStyle name="Moeda 2 20" xfId="8778"/>
    <cellStyle name="Moeda 2 21" xfId="9479"/>
    <cellStyle name="Moeda 2 21 2" xfId="6537"/>
    <cellStyle name="Moeda 2 22" xfId="6536"/>
    <cellStyle name="Moeda 2 23" xfId="8777"/>
    <cellStyle name="Moeda 2 24" xfId="8776"/>
    <cellStyle name="Moeda 2 24 2" xfId="8775"/>
    <cellStyle name="Moeda 2 25" xfId="8774"/>
    <cellStyle name="Moeda 2 25 2" xfId="8773"/>
    <cellStyle name="Moeda 2 26" xfId="8772"/>
    <cellStyle name="Moeda 2 26 2" xfId="8771"/>
    <cellStyle name="Moeda 2 27" xfId="13655"/>
    <cellStyle name="Moeda 2 28" xfId="8801"/>
    <cellStyle name="Moeda 2 3" xfId="696"/>
    <cellStyle name="Moeda 2 3 2" xfId="4005"/>
    <cellStyle name="Moeda 2 3 3" xfId="8770"/>
    <cellStyle name="Moeda 2 4" xfId="2389"/>
    <cellStyle name="Moeda 2 4 10" xfId="8768"/>
    <cellStyle name="Moeda 2 4 10 2" xfId="9478"/>
    <cellStyle name="Moeda 2 4 11" xfId="6535"/>
    <cellStyle name="Moeda 2 4 12" xfId="6534"/>
    <cellStyle name="Moeda 2 4 12 2" xfId="8767"/>
    <cellStyle name="Moeda 2 4 12 2 2" xfId="8766"/>
    <cellStyle name="Moeda 2 4 12 3" xfId="8765"/>
    <cellStyle name="Moeda 2 4 12 4" xfId="8764"/>
    <cellStyle name="Moeda 2 4 12 4 2" xfId="8763"/>
    <cellStyle name="Moeda 2 4 12 5" xfId="8762"/>
    <cellStyle name="Moeda 2 4 12 5 2" xfId="8761"/>
    <cellStyle name="Moeda 2 4 13" xfId="8760"/>
    <cellStyle name="Moeda 2 4 13 2" xfId="8759"/>
    <cellStyle name="Moeda 2 4 13 2 2" xfId="8758"/>
    <cellStyle name="Moeda 2 4 13 3" xfId="9477"/>
    <cellStyle name="Moeda 2 4 13 4" xfId="6533"/>
    <cellStyle name="Moeda 2 4 13 4 2" xfId="6532"/>
    <cellStyle name="Moeda 2 4 13 5" xfId="8757"/>
    <cellStyle name="Moeda 2 4 13 5 2" xfId="8746"/>
    <cellStyle name="Moeda 2 4 14" xfId="9494"/>
    <cellStyle name="Moeda 2 4 14 2" xfId="9495"/>
    <cellStyle name="Moeda 2 4 15" xfId="9493"/>
    <cellStyle name="Moeda 2 4 16" xfId="8756"/>
    <cellStyle name="Moeda 2 4 16 2" xfId="8755"/>
    <cellStyle name="Moeda 2 4 17" xfId="8754"/>
    <cellStyle name="Moeda 2 4 17 2" xfId="8753"/>
    <cellStyle name="Moeda 2 4 18" xfId="8752"/>
    <cellStyle name="Moeda 2 4 19" xfId="8751"/>
    <cellStyle name="Moeda 2 4 2" xfId="4007"/>
    <cellStyle name="Moeda 2 4 2 2" xfId="8749"/>
    <cellStyle name="Moeda 2 4 2 3" xfId="8748"/>
    <cellStyle name="Moeda 2 4 2 4" xfId="9476"/>
    <cellStyle name="Moeda 2 4 2 4 2" xfId="6531"/>
    <cellStyle name="Moeda 2 4 2 4 2 2" xfId="6530"/>
    <cellStyle name="Moeda 2 4 2 4 3" xfId="8747"/>
    <cellStyle name="Moeda 2 4 2 4 4" xfId="6529"/>
    <cellStyle name="Moeda 2 4 2 4 4 2" xfId="6528"/>
    <cellStyle name="Moeda 2 4 2 4 5" xfId="6527"/>
    <cellStyle name="Moeda 2 4 2 4 5 2" xfId="6526"/>
    <cellStyle name="Moeda 2 4 2 5" xfId="6525"/>
    <cellStyle name="Moeda 2 4 2 5 2" xfId="6524"/>
    <cellStyle name="Moeda 2 4 2 5 2 2" xfId="6523"/>
    <cellStyle name="Moeda 2 4 2 5 3" xfId="6522"/>
    <cellStyle name="Moeda 2 4 2 5 4" xfId="6521"/>
    <cellStyle name="Moeda 2 4 2 5 4 2" xfId="6520"/>
    <cellStyle name="Moeda 2 4 2 5 5" xfId="6519"/>
    <cellStyle name="Moeda 2 4 2 5 5 2" xfId="6518"/>
    <cellStyle name="Moeda 2 4 2 6" xfId="14415"/>
    <cellStyle name="Moeda 2 4 2 7" xfId="8750"/>
    <cellStyle name="Moeda 2 4 20" xfId="6517"/>
    <cellStyle name="Moeda 2 4 20 2" xfId="6516"/>
    <cellStyle name="Moeda 2 4 21" xfId="6515"/>
    <cellStyle name="Moeda 2 4 21 2" xfId="6514"/>
    <cellStyle name="Moeda 2 4 22" xfId="6513"/>
    <cellStyle name="Moeda 2 4 22 2" xfId="6512"/>
    <cellStyle name="Moeda 2 4 23" xfId="13878"/>
    <cellStyle name="Moeda 2 4 24" xfId="8769"/>
    <cellStyle name="Moeda 2 4 3" xfId="4006"/>
    <cellStyle name="Moeda 2 4 3 2" xfId="14414"/>
    <cellStyle name="Moeda 2 4 3 3" xfId="6511"/>
    <cellStyle name="Moeda 2 4 4" xfId="6510"/>
    <cellStyle name="Moeda 2 4 4 2" xfId="6509"/>
    <cellStyle name="Moeda 2 4 4 3" xfId="15709"/>
    <cellStyle name="Moeda 2 4 4 4" xfId="15346"/>
    <cellStyle name="Moeda 2 4 5" xfId="6508"/>
    <cellStyle name="Moeda 2 4 5 2" xfId="6507"/>
    <cellStyle name="Moeda 2 4 5 2 2" xfId="6506"/>
    <cellStyle name="Moeda 2 4 5 3" xfId="6505"/>
    <cellStyle name="Moeda 2 4 6" xfId="6504"/>
    <cellStyle name="Moeda 2 4 6 10" xfId="6503"/>
    <cellStyle name="Moeda 2 4 6 10 2" xfId="6502"/>
    <cellStyle name="Moeda 2 4 6 2" xfId="6501"/>
    <cellStyle name="Moeda 2 4 6 3" xfId="6500"/>
    <cellStyle name="Moeda 2 4 6 3 2" xfId="6499"/>
    <cellStyle name="Moeda 2 4 6 4" xfId="6498"/>
    <cellStyle name="Moeda 2 4 6 4 2" xfId="6497"/>
    <cellStyle name="Moeda 2 4 6 5" xfId="6496"/>
    <cellStyle name="Moeda 2 4 6 6" xfId="6495"/>
    <cellStyle name="Moeda 2 4 6 7" xfId="6494"/>
    <cellStyle name="Moeda 2 4 6 7 2" xfId="6493"/>
    <cellStyle name="Moeda 2 4 6 8" xfId="6492"/>
    <cellStyle name="Moeda 2 4 6 8 2" xfId="6491"/>
    <cellStyle name="Moeda 2 4 6 9" xfId="6490"/>
    <cellStyle name="Moeda 2 4 6 9 2" xfId="6489"/>
    <cellStyle name="Moeda 2 4 7" xfId="6488"/>
    <cellStyle name="Moeda 2 4 8" xfId="6487"/>
    <cellStyle name="Moeda 2 4 8 2" xfId="6486"/>
    <cellStyle name="Moeda 2 4 9" xfId="6485"/>
    <cellStyle name="Moeda 2 4 9 2" xfId="6484"/>
    <cellStyle name="Moeda 2 5" xfId="4008"/>
    <cellStyle name="Moeda 2 5 2" xfId="4009"/>
    <cellStyle name="Moeda 2 5 2 2" xfId="14417"/>
    <cellStyle name="Moeda 2 5 2 3" xfId="6482"/>
    <cellStyle name="Moeda 2 5 3" xfId="14416"/>
    <cellStyle name="Moeda 2 5 4" xfId="6483"/>
    <cellStyle name="Moeda 2 6" xfId="4010"/>
    <cellStyle name="Moeda 2 6 2" xfId="6480"/>
    <cellStyle name="Moeda 2 6 3" xfId="14418"/>
    <cellStyle name="Moeda 2 6 4" xfId="6481"/>
    <cellStyle name="Moeda 2 7" xfId="4002"/>
    <cellStyle name="Moeda 2 7 2" xfId="6478"/>
    <cellStyle name="Moeda 2 7 2 2" xfId="6477"/>
    <cellStyle name="Moeda 2 7 3" xfId="6476"/>
    <cellStyle name="Moeda 2 7 4" xfId="14412"/>
    <cellStyle name="Moeda 2 7 5" xfId="6479"/>
    <cellStyle name="Moeda 2 8" xfId="6475"/>
    <cellStyle name="Moeda 2 8 10" xfId="6474"/>
    <cellStyle name="Moeda 2 8 10 2" xfId="6473"/>
    <cellStyle name="Moeda 2 8 2" xfId="6472"/>
    <cellStyle name="Moeda 2 8 3" xfId="6471"/>
    <cellStyle name="Moeda 2 8 3 2" xfId="6470"/>
    <cellStyle name="Moeda 2 8 4" xfId="6469"/>
    <cellStyle name="Moeda 2 8 4 2" xfId="6468"/>
    <cellStyle name="Moeda 2 8 5" xfId="6467"/>
    <cellStyle name="Moeda 2 8 6" xfId="6466"/>
    <cellStyle name="Moeda 2 8 7" xfId="6465"/>
    <cellStyle name="Moeda 2 8 7 2" xfId="6464"/>
    <cellStyle name="Moeda 2 8 8" xfId="6463"/>
    <cellStyle name="Moeda 2 8 8 2" xfId="6462"/>
    <cellStyle name="Moeda 2 8 9" xfId="6461"/>
    <cellStyle name="Moeda 2 8 9 2" xfId="6460"/>
    <cellStyle name="Moeda 2 9" xfId="6459"/>
    <cellStyle name="Moeda 20" xfId="6458"/>
    <cellStyle name="Moeda 20 10" xfId="6457"/>
    <cellStyle name="Moeda 20 10 2" xfId="6456"/>
    <cellStyle name="Moeda 20 2" xfId="6455"/>
    <cellStyle name="Moeda 20 3" xfId="6454"/>
    <cellStyle name="Moeda 20 3 2" xfId="6453"/>
    <cellStyle name="Moeda 20 4" xfId="6452"/>
    <cellStyle name="Moeda 20 4 2" xfId="6451"/>
    <cellStyle name="Moeda 20 5" xfId="6450"/>
    <cellStyle name="Moeda 20 6" xfId="6449"/>
    <cellStyle name="Moeda 20 7" xfId="6448"/>
    <cellStyle name="Moeda 20 7 2" xfId="6447"/>
    <cellStyle name="Moeda 20 8" xfId="6446"/>
    <cellStyle name="Moeda 20 8 2" xfId="6445"/>
    <cellStyle name="Moeda 20 9" xfId="6444"/>
    <cellStyle name="Moeda 20 9 2" xfId="6443"/>
    <cellStyle name="Moeda 21" xfId="6442"/>
    <cellStyle name="Moeda 22" xfId="6441"/>
    <cellStyle name="Moeda 22 2" xfId="6440"/>
    <cellStyle name="Moeda 23" xfId="6439"/>
    <cellStyle name="Moeda 24" xfId="6438"/>
    <cellStyle name="Moeda 24 2" xfId="6437"/>
    <cellStyle name="Moeda 25" xfId="6436"/>
    <cellStyle name="Moeda 25 2" xfId="6435"/>
    <cellStyle name="Moeda 26" xfId="6434"/>
    <cellStyle name="Moeda 27" xfId="6433"/>
    <cellStyle name="Moeda 28" xfId="6432"/>
    <cellStyle name="Moeda 28 2" xfId="6431"/>
    <cellStyle name="Moeda 29" xfId="13615"/>
    <cellStyle name="Moeda 3" xfId="52"/>
    <cellStyle name="Moeda 3 2" xfId="697"/>
    <cellStyle name="Moeda 3 2 10" xfId="6428"/>
    <cellStyle name="Moeda 3 2 10 2" xfId="6427"/>
    <cellStyle name="Moeda 3 2 11" xfId="6426"/>
    <cellStyle name="Moeda 3 2 12" xfId="6425"/>
    <cellStyle name="Moeda 3 2 12 2" xfId="6424"/>
    <cellStyle name="Moeda 3 2 12 2 2" xfId="6423"/>
    <cellStyle name="Moeda 3 2 12 3" xfId="6422"/>
    <cellStyle name="Moeda 3 2 12 4" xfId="6421"/>
    <cellStyle name="Moeda 3 2 12 4 2" xfId="6420"/>
    <cellStyle name="Moeda 3 2 12 5" xfId="6419"/>
    <cellStyle name="Moeda 3 2 12 5 2" xfId="6418"/>
    <cellStyle name="Moeda 3 2 13" xfId="6417"/>
    <cellStyle name="Moeda 3 2 13 2" xfId="6416"/>
    <cellStyle name="Moeda 3 2 13 2 2" xfId="6415"/>
    <cellStyle name="Moeda 3 2 13 3" xfId="6414"/>
    <cellStyle name="Moeda 3 2 13 4" xfId="6413"/>
    <cellStyle name="Moeda 3 2 13 4 2" xfId="6412"/>
    <cellStyle name="Moeda 3 2 13 5" xfId="6411"/>
    <cellStyle name="Moeda 3 2 13 5 2" xfId="6410"/>
    <cellStyle name="Moeda 3 2 14" xfId="6409"/>
    <cellStyle name="Moeda 3 2 14 2" xfId="6408"/>
    <cellStyle name="Moeda 3 2 15" xfId="6407"/>
    <cellStyle name="Moeda 3 2 16" xfId="6406"/>
    <cellStyle name="Moeda 3 2 16 2" xfId="6405"/>
    <cellStyle name="Moeda 3 2 17" xfId="6404"/>
    <cellStyle name="Moeda 3 2 17 2" xfId="6403"/>
    <cellStyle name="Moeda 3 2 18" xfId="6402"/>
    <cellStyle name="Moeda 3 2 19" xfId="6401"/>
    <cellStyle name="Moeda 3 2 2" xfId="5396"/>
    <cellStyle name="Moeda 3 2 2 2" xfId="6399"/>
    <cellStyle name="Moeda 3 2 2 3" xfId="6398"/>
    <cellStyle name="Moeda 3 2 2 4" xfId="6397"/>
    <cellStyle name="Moeda 3 2 2 4 2" xfId="6396"/>
    <cellStyle name="Moeda 3 2 2 4 2 2" xfId="6395"/>
    <cellStyle name="Moeda 3 2 2 4 3" xfId="6394"/>
    <cellStyle name="Moeda 3 2 2 4 4" xfId="6393"/>
    <cellStyle name="Moeda 3 2 2 4 4 2" xfId="6392"/>
    <cellStyle name="Moeda 3 2 2 4 5" xfId="6391"/>
    <cellStyle name="Moeda 3 2 2 4 5 2" xfId="6390"/>
    <cellStyle name="Moeda 3 2 2 5" xfId="6389"/>
    <cellStyle name="Moeda 3 2 2 5 2" xfId="6388"/>
    <cellStyle name="Moeda 3 2 2 5 2 2" xfId="6387"/>
    <cellStyle name="Moeda 3 2 2 5 3" xfId="6386"/>
    <cellStyle name="Moeda 3 2 2 5 4" xfId="6385"/>
    <cellStyle name="Moeda 3 2 2 5 4 2" xfId="6384"/>
    <cellStyle name="Moeda 3 2 2 5 5" xfId="6383"/>
    <cellStyle name="Moeda 3 2 2 5 5 2" xfId="6382"/>
    <cellStyle name="Moeda 3 2 2 6" xfId="14854"/>
    <cellStyle name="Moeda 3 2 2 7" xfId="6400"/>
    <cellStyle name="Moeda 3 2 20" xfId="6381"/>
    <cellStyle name="Moeda 3 2 20 2" xfId="6380"/>
    <cellStyle name="Moeda 3 2 21" xfId="6379"/>
    <cellStyle name="Moeda 3 2 21 2" xfId="6378"/>
    <cellStyle name="Moeda 3 2 22" xfId="6377"/>
    <cellStyle name="Moeda 3 2 22 2" xfId="6376"/>
    <cellStyle name="Moeda 3 2 23" xfId="13688"/>
    <cellStyle name="Moeda 3 2 24" xfId="6429"/>
    <cellStyle name="Moeda 3 2 3" xfId="4012"/>
    <cellStyle name="Moeda 3 2 4" xfId="6375"/>
    <cellStyle name="Moeda 3 2 4 2" xfId="8745"/>
    <cellStyle name="Moeda 3 2 5" xfId="6374"/>
    <cellStyle name="Moeda 3 2 5 2" xfId="6373"/>
    <cellStyle name="Moeda 3 2 5 2 2" xfId="8744"/>
    <cellStyle name="Moeda 3 2 5 3" xfId="8743"/>
    <cellStyle name="Moeda 3 2 6" xfId="8742"/>
    <cellStyle name="Moeda 3 2 6 10" xfId="8741"/>
    <cellStyle name="Moeda 3 2 6 10 2" xfId="8740"/>
    <cellStyle name="Moeda 3 2 6 2" xfId="8739"/>
    <cellStyle name="Moeda 3 2 6 3" xfId="8738"/>
    <cellStyle name="Moeda 3 2 6 3 2" xfId="8737"/>
    <cellStyle name="Moeda 3 2 6 4" xfId="8736"/>
    <cellStyle name="Moeda 3 2 6 4 2" xfId="8735"/>
    <cellStyle name="Moeda 3 2 6 5" xfId="8734"/>
    <cellStyle name="Moeda 3 2 6 6" xfId="8733"/>
    <cellStyle name="Moeda 3 2 6 7" xfId="8732"/>
    <cellStyle name="Moeda 3 2 6 7 2" xfId="8731"/>
    <cellStyle name="Moeda 3 2 6 8" xfId="8730"/>
    <cellStyle name="Moeda 3 2 6 8 2" xfId="6372"/>
    <cellStyle name="Moeda 3 2 6 9" xfId="6371"/>
    <cellStyle name="Moeda 3 2 6 9 2" xfId="8729"/>
    <cellStyle name="Moeda 3 2 7" xfId="8728"/>
    <cellStyle name="Moeda 3 2 8" xfId="8726"/>
    <cellStyle name="Moeda 3 2 8 2" xfId="9474"/>
    <cellStyle name="Moeda 3 2 9" xfId="8727"/>
    <cellStyle name="Moeda 3 2 9 2" xfId="6370"/>
    <cellStyle name="Moeda 3 3" xfId="2519"/>
    <cellStyle name="Moeda 3 3 2" xfId="4013"/>
    <cellStyle name="Moeda 3 3 3" xfId="15370"/>
    <cellStyle name="Moeda 3 4" xfId="4014"/>
    <cellStyle name="Moeda 3 4 2" xfId="14419"/>
    <cellStyle name="Moeda 3 4 3" xfId="6430"/>
    <cellStyle name="Moeda 3 5" xfId="4015"/>
    <cellStyle name="Moeda 3 6" xfId="4016"/>
    <cellStyle name="Moeda 3 7" xfId="4017"/>
    <cellStyle name="Moeda 3 8" xfId="4011"/>
    <cellStyle name="Moeda 30" xfId="13647"/>
    <cellStyle name="Moeda 31" xfId="9232"/>
    <cellStyle name="Moeda 32" xfId="14864"/>
    <cellStyle name="Moeda 33" xfId="15226"/>
    <cellStyle name="Moeda 34" xfId="15225"/>
    <cellStyle name="Moeda 4" xfId="56"/>
    <cellStyle name="Moeda 4 2" xfId="698"/>
    <cellStyle name="Moeda 4 2 2" xfId="5397"/>
    <cellStyle name="Moeda 4 2 3" xfId="4018"/>
    <cellStyle name="Moeda 4 3" xfId="74"/>
    <cellStyle name="Moeda 4 4" xfId="2218"/>
    <cellStyle name="Moeda 4 4 2" xfId="5445"/>
    <cellStyle name="Moeda 4 4 3" xfId="5004"/>
    <cellStyle name="Moeda 4 5" xfId="2520"/>
    <cellStyle name="Moeda 4 5 2" xfId="13857"/>
    <cellStyle name="Moeda 4 5 3" xfId="13660"/>
    <cellStyle name="Moeda 5" xfId="57"/>
    <cellStyle name="Moeda 5 10" xfId="9473"/>
    <cellStyle name="Moeda 5 10 2" xfId="8725"/>
    <cellStyle name="Moeda 5 11" xfId="6369"/>
    <cellStyle name="Moeda 5 12" xfId="8723"/>
    <cellStyle name="Moeda 5 12 2" xfId="9472"/>
    <cellStyle name="Moeda 5 12 2 2" xfId="6368"/>
    <cellStyle name="Moeda 5 12 3" xfId="8722"/>
    <cellStyle name="Moeda 5 12 4" xfId="9471"/>
    <cellStyle name="Moeda 5 12 4 2" xfId="6367"/>
    <cellStyle name="Moeda 5 12 5" xfId="8721"/>
    <cellStyle name="Moeda 5 12 5 2" xfId="9470"/>
    <cellStyle name="Moeda 5 13" xfId="6366"/>
    <cellStyle name="Moeda 5 13 2" xfId="8717"/>
    <cellStyle name="Moeda 5 13 2 2" xfId="9469"/>
    <cellStyle name="Moeda 5 13 3" xfId="8720"/>
    <cellStyle name="Moeda 5 13 4" xfId="8719"/>
    <cellStyle name="Moeda 5 13 4 2" xfId="8718"/>
    <cellStyle name="Moeda 5 13 5" xfId="6365"/>
    <cellStyle name="Moeda 5 13 5 2" xfId="8713"/>
    <cellStyle name="Moeda 5 14" xfId="9468"/>
    <cellStyle name="Moeda 5 14 2" xfId="8716"/>
    <cellStyle name="Moeda 5 15" xfId="8715"/>
    <cellStyle name="Moeda 5 16" xfId="8714"/>
    <cellStyle name="Moeda 5 16 2" xfId="6364"/>
    <cellStyle name="Moeda 5 17" xfId="8698"/>
    <cellStyle name="Moeda 5 17 2" xfId="6363"/>
    <cellStyle name="Moeda 5 18" xfId="6362"/>
    <cellStyle name="Moeda 5 19" xfId="6361"/>
    <cellStyle name="Moeda 5 2" xfId="699"/>
    <cellStyle name="Moeda 5 2 2" xfId="6359"/>
    <cellStyle name="Moeda 5 2 3" xfId="8712"/>
    <cellStyle name="Moeda 5 2 4" xfId="9467"/>
    <cellStyle name="Moeda 5 2 4 2" xfId="6358"/>
    <cellStyle name="Moeda 5 2 4 2 2" xfId="8711"/>
    <cellStyle name="Moeda 5 2 4 3" xfId="9466"/>
    <cellStyle name="Moeda 5 2 4 4" xfId="6357"/>
    <cellStyle name="Moeda 5 2 4 4 2" xfId="8710"/>
    <cellStyle name="Moeda 5 2 4 5" xfId="9465"/>
    <cellStyle name="Moeda 5 2 4 5 2" xfId="6356"/>
    <cellStyle name="Moeda 5 2 5" xfId="8709"/>
    <cellStyle name="Moeda 5 2 5 2" xfId="9464"/>
    <cellStyle name="Moeda 5 2 5 2 2" xfId="6355"/>
    <cellStyle name="Moeda 5 2 5 3" xfId="6354"/>
    <cellStyle name="Moeda 5 2 5 4" xfId="8708"/>
    <cellStyle name="Moeda 5 2 5 4 2" xfId="8707"/>
    <cellStyle name="Moeda 5 2 5 5" xfId="8706"/>
    <cellStyle name="Moeda 5 2 5 5 2" xfId="8705"/>
    <cellStyle name="Moeda 5 2 6" xfId="13788"/>
    <cellStyle name="Moeda 5 2 7" xfId="6360"/>
    <cellStyle name="Moeda 5 20" xfId="8704"/>
    <cellStyle name="Moeda 5 20 2" xfId="8703"/>
    <cellStyle name="Moeda 5 21" xfId="8702"/>
    <cellStyle name="Moeda 5 21 2" xfId="9461"/>
    <cellStyle name="Moeda 5 22" xfId="8701"/>
    <cellStyle name="Moeda 5 22 2" xfId="8700"/>
    <cellStyle name="Moeda 5 23" xfId="13689"/>
    <cellStyle name="Moeda 5 24" xfId="8724"/>
    <cellStyle name="Moeda 5 3" xfId="2219"/>
    <cellStyle name="Moeda 5 3 2" xfId="5446"/>
    <cellStyle name="Moeda 5 3 3" xfId="4020"/>
    <cellStyle name="Moeda 5 4" xfId="2521"/>
    <cellStyle name="Moeda 5 4 2" xfId="5452"/>
    <cellStyle name="Moeda 5 4 2 2" xfId="14863"/>
    <cellStyle name="Moeda 5 4 2 3" xfId="6353"/>
    <cellStyle name="Moeda 5 4 3" xfId="4019"/>
    <cellStyle name="Moeda 5 4 4" xfId="13858"/>
    <cellStyle name="Moeda 5 4 5" xfId="9463"/>
    <cellStyle name="Moeda 5 5" xfId="8699"/>
    <cellStyle name="Moeda 5 5 2" xfId="9462"/>
    <cellStyle name="Moeda 5 5 2 2" xfId="6352"/>
    <cellStyle name="Moeda 5 5 3" xfId="6351"/>
    <cellStyle name="Moeda 5 6" xfId="8697"/>
    <cellStyle name="Moeda 5 6 10" xfId="8696"/>
    <cellStyle name="Moeda 5 6 10 2" xfId="8692"/>
    <cellStyle name="Moeda 5 6 2" xfId="9250"/>
    <cellStyle name="Moeda 5 6 3" xfId="8695"/>
    <cellStyle name="Moeda 5 6 3 2" xfId="8694"/>
    <cellStyle name="Moeda 5 6 4" xfId="8693"/>
    <cellStyle name="Moeda 5 6 4 2" xfId="6350"/>
    <cellStyle name="Moeda 5 6 5" xfId="8691"/>
    <cellStyle name="Moeda 5 6 6" xfId="8690"/>
    <cellStyle name="Moeda 5 6 7" xfId="8689"/>
    <cellStyle name="Moeda 5 6 7 2" xfId="8688"/>
    <cellStyle name="Moeda 5 6 8" xfId="8687"/>
    <cellStyle name="Moeda 5 6 8 2" xfId="8686"/>
    <cellStyle name="Moeda 5 6 9" xfId="8685"/>
    <cellStyle name="Moeda 5 6 9 2" xfId="8684"/>
    <cellStyle name="Moeda 5 7" xfId="8683"/>
    <cellStyle name="Moeda 5 8" xfId="8682"/>
    <cellStyle name="Moeda 5 8 2" xfId="8681"/>
    <cellStyle name="Moeda 5 9" xfId="8680"/>
    <cellStyle name="Moeda 5 9 2" xfId="8679"/>
    <cellStyle name="Moeda 6" xfId="60"/>
    <cellStyle name="Moeda 6 10" xfId="8677"/>
    <cellStyle name="Moeda 6 10 2" xfId="8676"/>
    <cellStyle name="Moeda 6 11" xfId="8675"/>
    <cellStyle name="Moeda 6 12" xfId="8674"/>
    <cellStyle name="Moeda 6 12 2" xfId="8673"/>
    <cellStyle name="Moeda 6 12 2 2" xfId="8672"/>
    <cellStyle name="Moeda 6 12 3" xfId="8671"/>
    <cellStyle name="Moeda 6 12 4" xfId="8670"/>
    <cellStyle name="Moeda 6 12 4 2" xfId="8669"/>
    <cellStyle name="Moeda 6 12 5" xfId="8668"/>
    <cellStyle name="Moeda 6 12 5 2" xfId="8667"/>
    <cellStyle name="Moeda 6 13" xfId="9525"/>
    <cellStyle name="Moeda 6 13 2" xfId="8664"/>
    <cellStyle name="Moeda 6 13 2 2" xfId="8666"/>
    <cellStyle name="Moeda 6 13 3" xfId="8665"/>
    <cellStyle name="Moeda 6 13 4" xfId="7314"/>
    <cellStyle name="Moeda 6 13 4 2" xfId="8661"/>
    <cellStyle name="Moeda 6 13 5" xfId="9459"/>
    <cellStyle name="Moeda 6 13 5 2" xfId="8663"/>
    <cellStyle name="Moeda 6 14" xfId="8662"/>
    <cellStyle name="Moeda 6 14 2" xfId="6348"/>
    <cellStyle name="Moeda 6 15" xfId="8660"/>
    <cellStyle name="Moeda 6 16" xfId="8659"/>
    <cellStyle name="Moeda 6 16 2" xfId="8658"/>
    <cellStyle name="Moeda 6 17" xfId="8657"/>
    <cellStyle name="Moeda 6 17 2" xfId="8656"/>
    <cellStyle name="Moeda 6 18" xfId="8655"/>
    <cellStyle name="Moeda 6 19" xfId="8654"/>
    <cellStyle name="Moeda 6 2" xfId="700"/>
    <cellStyle name="Moeda 6 2 2" xfId="5441"/>
    <cellStyle name="Moeda 6 2 2 2" xfId="14862"/>
    <cellStyle name="Moeda 6 2 2 3" xfId="8652"/>
    <cellStyle name="Moeda 6 2 3" xfId="4021"/>
    <cellStyle name="Moeda 6 2 3 2" xfId="14420"/>
    <cellStyle name="Moeda 6 2 3 3" xfId="8646"/>
    <cellStyle name="Moeda 6 2 4" xfId="9460"/>
    <cellStyle name="Moeda 6 2 4 2" xfId="8651"/>
    <cellStyle name="Moeda 6 2 4 2 2" xfId="8650"/>
    <cellStyle name="Moeda 6 2 4 3" xfId="8649"/>
    <cellStyle name="Moeda 6 2 4 4" xfId="8648"/>
    <cellStyle name="Moeda 6 2 4 4 2" xfId="8647"/>
    <cellStyle name="Moeda 6 2 4 5" xfId="6349"/>
    <cellStyle name="Moeda 6 2 4 5 2" xfId="8645"/>
    <cellStyle name="Moeda 6 2 5" xfId="8644"/>
    <cellStyle name="Moeda 6 2 5 2" xfId="8643"/>
    <cellStyle name="Moeda 6 2 5 2 2" xfId="8642"/>
    <cellStyle name="Moeda 6 2 5 3" xfId="8641"/>
    <cellStyle name="Moeda 6 2 5 4" xfId="8640"/>
    <cellStyle name="Moeda 6 2 5 4 2" xfId="8639"/>
    <cellStyle name="Moeda 6 2 5 5" xfId="8638"/>
    <cellStyle name="Moeda 6 2 5 5 2" xfId="8637"/>
    <cellStyle name="Moeda 6 2 6" xfId="13789"/>
    <cellStyle name="Moeda 6 2 7" xfId="8653"/>
    <cellStyle name="Moeda 6 20" xfId="8636"/>
    <cellStyle name="Moeda 6 20 2" xfId="8635"/>
    <cellStyle name="Moeda 6 21" xfId="8634"/>
    <cellStyle name="Moeda 6 21 2" xfId="8633"/>
    <cellStyle name="Moeda 6 22" xfId="8632"/>
    <cellStyle name="Moeda 6 22 2" xfId="8631"/>
    <cellStyle name="Moeda 6 23" xfId="13690"/>
    <cellStyle name="Moeda 6 24" xfId="8678"/>
    <cellStyle name="Moeda 6 3" xfId="2221"/>
    <cellStyle name="Moeda 6 3 2" xfId="13784"/>
    <cellStyle name="Moeda 6 3 3" xfId="8630"/>
    <cellStyle name="Moeda 6 4" xfId="2522"/>
    <cellStyle name="Moeda 6 4 2" xfId="8628"/>
    <cellStyle name="Moeda 6 4 3" xfId="13860"/>
    <cellStyle name="Moeda 6 4 4" xfId="8629"/>
    <cellStyle name="Moeda 6 5" xfId="8627"/>
    <cellStyle name="Moeda 6 5 2" xfId="8626"/>
    <cellStyle name="Moeda 6 5 2 2" xfId="8625"/>
    <cellStyle name="Moeda 6 5 3" xfId="8624"/>
    <cellStyle name="Moeda 6 6" xfId="8623"/>
    <cellStyle name="Moeda 6 6 10" xfId="8622"/>
    <cellStyle name="Moeda 6 6 10 2" xfId="8621"/>
    <cellStyle name="Moeda 6 6 2" xfId="8620"/>
    <cellStyle name="Moeda 6 6 3" xfId="8619"/>
    <cellStyle name="Moeda 6 6 3 2" xfId="8618"/>
    <cellStyle name="Moeda 6 6 4" xfId="8617"/>
    <cellStyle name="Moeda 6 6 4 2" xfId="8616"/>
    <cellStyle name="Moeda 6 6 5" xfId="5948"/>
    <cellStyle name="Moeda 6 6 6" xfId="6347"/>
    <cellStyle name="Moeda 6 6 7" xfId="8615"/>
    <cellStyle name="Moeda 6 6 7 2" xfId="8614"/>
    <cellStyle name="Moeda 6 6 8" xfId="8613"/>
    <cellStyle name="Moeda 6 6 8 2" xfId="8612"/>
    <cellStyle name="Moeda 6 6 9" xfId="8611"/>
    <cellStyle name="Moeda 6 6 9 2" xfId="8610"/>
    <cellStyle name="Moeda 6 7" xfId="8609"/>
    <cellStyle name="Moeda 6 8" xfId="8608"/>
    <cellStyle name="Moeda 6 8 2" xfId="8607"/>
    <cellStyle name="Moeda 6 9" xfId="8606"/>
    <cellStyle name="Moeda 6 9 2" xfId="8605"/>
    <cellStyle name="Moeda 7" xfId="65"/>
    <cellStyle name="Moeda 7 10" xfId="8603"/>
    <cellStyle name="Moeda 7 10 2" xfId="8602"/>
    <cellStyle name="Moeda 7 11" xfId="8601"/>
    <cellStyle name="Moeda 7 12" xfId="8600"/>
    <cellStyle name="Moeda 7 12 2" xfId="9524"/>
    <cellStyle name="Moeda 7 12 2 2" xfId="8598"/>
    <cellStyle name="Moeda 7 12 3" xfId="8599"/>
    <cellStyle name="Moeda 7 12 4" xfId="7467"/>
    <cellStyle name="Moeda 7 12 4 2" xfId="8597"/>
    <cellStyle name="Moeda 7 12 5" xfId="8596"/>
    <cellStyle name="Moeda 7 12 5 2" xfId="8595"/>
    <cellStyle name="Moeda 7 13" xfId="8594"/>
    <cellStyle name="Moeda 7 13 2" xfId="8593"/>
    <cellStyle name="Moeda 7 13 2 2" xfId="8592"/>
    <cellStyle name="Moeda 7 13 3" xfId="8591"/>
    <cellStyle name="Moeda 7 13 4" xfId="8590"/>
    <cellStyle name="Moeda 7 13 4 2" xfId="8589"/>
    <cellStyle name="Moeda 7 13 5" xfId="8588"/>
    <cellStyle name="Moeda 7 13 5 2" xfId="5972"/>
    <cellStyle name="Moeda 7 14" xfId="8587"/>
    <cellStyle name="Moeda 7 14 2" xfId="8586"/>
    <cellStyle name="Moeda 7 15" xfId="8585"/>
    <cellStyle name="Moeda 7 16" xfId="8584"/>
    <cellStyle name="Moeda 7 16 2" xfId="8583"/>
    <cellStyle name="Moeda 7 17" xfId="8582"/>
    <cellStyle name="Moeda 7 17 2" xfId="8581"/>
    <cellStyle name="Moeda 7 18" xfId="8580"/>
    <cellStyle name="Moeda 7 19" xfId="8579"/>
    <cellStyle name="Moeda 7 2" xfId="701"/>
    <cellStyle name="Moeda 7 2 2" xfId="9523"/>
    <cellStyle name="Moeda 7 2 3" xfId="8576"/>
    <cellStyle name="Moeda 7 2 4" xfId="8577"/>
    <cellStyle name="Moeda 7 2 4 2" xfId="7463"/>
    <cellStyle name="Moeda 7 2 4 2 2" xfId="8575"/>
    <cellStyle name="Moeda 7 2 4 3" xfId="8574"/>
    <cellStyle name="Moeda 7 2 4 4" xfId="8573"/>
    <cellStyle name="Moeda 7 2 4 4 2" xfId="8572"/>
    <cellStyle name="Moeda 7 2 4 5" xfId="8571"/>
    <cellStyle name="Moeda 7 2 4 5 2" xfId="8570"/>
    <cellStyle name="Moeda 7 2 5" xfId="8569"/>
    <cellStyle name="Moeda 7 2 5 2" xfId="8568"/>
    <cellStyle name="Moeda 7 2 5 2 2" xfId="8567"/>
    <cellStyle name="Moeda 7 2 5 3" xfId="8566"/>
    <cellStyle name="Moeda 7 2 5 4" xfId="5968"/>
    <cellStyle name="Moeda 7 2 5 4 2" xfId="8565"/>
    <cellStyle name="Moeda 7 2 5 5" xfId="8564"/>
    <cellStyle name="Moeda 7 2 5 5 2" xfId="8563"/>
    <cellStyle name="Moeda 7 2 6" xfId="13790"/>
    <cellStyle name="Moeda 7 2 7" xfId="8578"/>
    <cellStyle name="Moeda 7 20" xfId="8562"/>
    <cellStyle name="Moeda 7 20 2" xfId="8561"/>
    <cellStyle name="Moeda 7 21" xfId="8560"/>
    <cellStyle name="Moeda 7 21 2" xfId="8559"/>
    <cellStyle name="Moeda 7 22" xfId="8558"/>
    <cellStyle name="Moeda 7 22 2" xfId="8557"/>
    <cellStyle name="Moeda 7 23" xfId="13691"/>
    <cellStyle name="Moeda 7 24" xfId="8604"/>
    <cellStyle name="Moeda 7 3" xfId="2223"/>
    <cellStyle name="Moeda 7 3 2" xfId="13786"/>
    <cellStyle name="Moeda 7 3 3" xfId="8556"/>
    <cellStyle name="Moeda 7 4" xfId="2523"/>
    <cellStyle name="Moeda 7 4 2" xfId="8554"/>
    <cellStyle name="Moeda 7 4 3" xfId="13862"/>
    <cellStyle name="Moeda 7 4 4" xfId="9522"/>
    <cellStyle name="Moeda 7 5" xfId="8555"/>
    <cellStyle name="Moeda 7 5 2" xfId="7459"/>
    <cellStyle name="Moeda 7 5 2 2" xfId="8553"/>
    <cellStyle name="Moeda 7 5 3" xfId="8552"/>
    <cellStyle name="Moeda 7 6" xfId="8551"/>
    <cellStyle name="Moeda 7 6 10" xfId="8550"/>
    <cellStyle name="Moeda 7 6 10 2" xfId="8549"/>
    <cellStyle name="Moeda 7 6 2" xfId="8548"/>
    <cellStyle name="Moeda 7 6 3" xfId="8547"/>
    <cellStyle name="Moeda 7 6 3 2" xfId="8546"/>
    <cellStyle name="Moeda 7 6 4" xfId="8545"/>
    <cellStyle name="Moeda 7 6 4 2" xfId="8544"/>
    <cellStyle name="Moeda 7 6 5" xfId="5964"/>
    <cellStyle name="Moeda 7 6 6" xfId="8543"/>
    <cellStyle name="Moeda 7 6 7" xfId="8542"/>
    <cellStyle name="Moeda 7 6 7 2" xfId="8541"/>
    <cellStyle name="Moeda 7 6 8" xfId="8540"/>
    <cellStyle name="Moeda 7 6 8 2" xfId="8539"/>
    <cellStyle name="Moeda 7 6 9" xfId="8538"/>
    <cellStyle name="Moeda 7 6 9 2" xfId="8537"/>
    <cellStyle name="Moeda 7 7" xfId="8536"/>
    <cellStyle name="Moeda 7 8" xfId="8535"/>
    <cellStyle name="Moeda 7 8 2" xfId="8534"/>
    <cellStyle name="Moeda 7 9" xfId="9521"/>
    <cellStyle name="Moeda 7 9 2" xfId="8532"/>
    <cellStyle name="Moeda 8" xfId="702"/>
    <cellStyle name="Moeda 8 10" xfId="7456"/>
    <cellStyle name="Moeda 8 10 2" xfId="8531"/>
    <cellStyle name="Moeda 8 11" xfId="8530"/>
    <cellStyle name="Moeda 8 12" xfId="8529"/>
    <cellStyle name="Moeda 8 12 2" xfId="8528"/>
    <cellStyle name="Moeda 8 12 2 2" xfId="8527"/>
    <cellStyle name="Moeda 8 12 3" xfId="8526"/>
    <cellStyle name="Moeda 8 12 4" xfId="8525"/>
    <cellStyle name="Moeda 8 12 4 2" xfId="8524"/>
    <cellStyle name="Moeda 8 12 5" xfId="8523"/>
    <cellStyle name="Moeda 8 12 5 2" xfId="8522"/>
    <cellStyle name="Moeda 8 13" xfId="5960"/>
    <cellStyle name="Moeda 8 13 2" xfId="8521"/>
    <cellStyle name="Moeda 8 13 2 2" xfId="8520"/>
    <cellStyle name="Moeda 8 13 3" xfId="8519"/>
    <cellStyle name="Moeda 8 13 4" xfId="8518"/>
    <cellStyle name="Moeda 8 13 4 2" xfId="8517"/>
    <cellStyle name="Moeda 8 13 5" xfId="8516"/>
    <cellStyle name="Moeda 8 13 5 2" xfId="8515"/>
    <cellStyle name="Moeda 8 14" xfId="8514"/>
    <cellStyle name="Moeda 8 14 2" xfId="8513"/>
    <cellStyle name="Moeda 8 15" xfId="8512"/>
    <cellStyle name="Moeda 8 16" xfId="9520"/>
    <cellStyle name="Moeda 8 16 2" xfId="8510"/>
    <cellStyle name="Moeda 8 17" xfId="8511"/>
    <cellStyle name="Moeda 8 17 2" xfId="7306"/>
    <cellStyle name="Moeda 8 18" xfId="8509"/>
    <cellStyle name="Moeda 8 19" xfId="8508"/>
    <cellStyle name="Moeda 8 2" xfId="8507"/>
    <cellStyle name="Moeda 8 2 2" xfId="8506"/>
    <cellStyle name="Moeda 8 20" xfId="8505"/>
    <cellStyle name="Moeda 8 20 2" xfId="8504"/>
    <cellStyle name="Moeda 8 21" xfId="8503"/>
    <cellStyle name="Moeda 8 21 2" xfId="8502"/>
    <cellStyle name="Moeda 8 22" xfId="8501"/>
    <cellStyle name="Moeda 8 22 2" xfId="8500"/>
    <cellStyle name="Moeda 8 23" xfId="13692"/>
    <cellStyle name="Moeda 8 24" xfId="8533"/>
    <cellStyle name="Moeda 8 3" xfId="5956"/>
    <cellStyle name="Moeda 8 4" xfId="8499"/>
    <cellStyle name="Moeda 8 4 2" xfId="8498"/>
    <cellStyle name="Moeda 8 5" xfId="8497"/>
    <cellStyle name="Moeda 8 5 2" xfId="8496"/>
    <cellStyle name="Moeda 8 5 2 2" xfId="8495"/>
    <cellStyle name="Moeda 8 5 3" xfId="8494"/>
    <cellStyle name="Moeda 8 6" xfId="8493"/>
    <cellStyle name="Moeda 8 6 10" xfId="8492"/>
    <cellStyle name="Moeda 8 6 10 2" xfId="8491"/>
    <cellStyle name="Moeda 8 6 2" xfId="8490"/>
    <cellStyle name="Moeda 8 6 3" xfId="8489"/>
    <cellStyle name="Moeda 8 6 3 2" xfId="8488"/>
    <cellStyle name="Moeda 8 6 4" xfId="9519"/>
    <cellStyle name="Moeda 8 6 4 2" xfId="8486"/>
    <cellStyle name="Moeda 8 6 5" xfId="8487"/>
    <cellStyle name="Moeda 8 6 6" xfId="7310"/>
    <cellStyle name="Moeda 8 6 7" xfId="8485"/>
    <cellStyle name="Moeda 8 6 7 2" xfId="8484"/>
    <cellStyle name="Moeda 8 6 8" xfId="8483"/>
    <cellStyle name="Moeda 8 6 8 2" xfId="8482"/>
    <cellStyle name="Moeda 8 6 9" xfId="8481"/>
    <cellStyle name="Moeda 8 6 9 2" xfId="8480"/>
    <cellStyle name="Moeda 8 7" xfId="8479"/>
    <cellStyle name="Moeda 8 8" xfId="8478"/>
    <cellStyle name="Moeda 8 8 2" xfId="8477"/>
    <cellStyle name="Moeda 8 9" xfId="8476"/>
    <cellStyle name="Moeda 8 9 2" xfId="5952"/>
    <cellStyle name="Moeda 9" xfId="703"/>
    <cellStyle name="Moeda 9 10" xfId="6346"/>
    <cellStyle name="Moeda 9 10 2" xfId="8474"/>
    <cellStyle name="Moeda 9 11" xfId="8473"/>
    <cellStyle name="Moeda 9 12" xfId="8472"/>
    <cellStyle name="Moeda 9 12 2" xfId="6345"/>
    <cellStyle name="Moeda 9 12 2 2" xfId="6344"/>
    <cellStyle name="Moeda 9 12 3" xfId="6343"/>
    <cellStyle name="Moeda 9 12 4" xfId="6342"/>
    <cellStyle name="Moeda 9 12 4 2" xfId="6341"/>
    <cellStyle name="Moeda 9 12 5" xfId="6340"/>
    <cellStyle name="Moeda 9 12 5 2" xfId="6339"/>
    <cellStyle name="Moeda 9 13" xfId="6338"/>
    <cellStyle name="Moeda 9 13 2" xfId="6337"/>
    <cellStyle name="Moeda 9 13 2 2" xfId="6336"/>
    <cellStyle name="Moeda 9 13 3" xfId="6335"/>
    <cellStyle name="Moeda 9 13 4" xfId="6334"/>
    <cellStyle name="Moeda 9 13 4 2" xfId="6333"/>
    <cellStyle name="Moeda 9 13 5" xfId="6332"/>
    <cellStyle name="Moeda 9 13 5 2" xfId="6331"/>
    <cellStyle name="Moeda 9 14" xfId="6330"/>
    <cellStyle name="Moeda 9 14 2" xfId="6329"/>
    <cellStyle name="Moeda 9 15" xfId="6328"/>
    <cellStyle name="Moeda 9 16" xfId="6327"/>
    <cellStyle name="Moeda 9 16 2" xfId="6326"/>
    <cellStyle name="Moeda 9 17" xfId="6325"/>
    <cellStyle name="Moeda 9 17 2" xfId="6324"/>
    <cellStyle name="Moeda 9 18" xfId="6323"/>
    <cellStyle name="Moeda 9 19" xfId="6322"/>
    <cellStyle name="Moeda 9 2" xfId="5005"/>
    <cellStyle name="Moeda 9 2 2" xfId="6321"/>
    <cellStyle name="Moeda 9 2 3" xfId="14780"/>
    <cellStyle name="Moeda 9 2 4" xfId="8470"/>
    <cellStyle name="Moeda 9 20" xfId="6320"/>
    <cellStyle name="Moeda 9 20 2" xfId="6319"/>
    <cellStyle name="Moeda 9 21" xfId="6318"/>
    <cellStyle name="Moeda 9 21 2" xfId="8471"/>
    <cellStyle name="Moeda 9 22" xfId="9458"/>
    <cellStyle name="Moeda 9 22 2" xfId="6317"/>
    <cellStyle name="Moeda 9 23" xfId="13693"/>
    <cellStyle name="Moeda 9 24" xfId="8475"/>
    <cellStyle name="Moeda 9 3" xfId="4022"/>
    <cellStyle name="Moeda 9 3 2" xfId="14421"/>
    <cellStyle name="Moeda 9 3 3" xfId="6316"/>
    <cellStyle name="Moeda 9 4" xfId="8463"/>
    <cellStyle name="Moeda 9 4 2" xfId="6315"/>
    <cellStyle name="Moeda 9 5" xfId="8469"/>
    <cellStyle name="Moeda 9 5 2" xfId="9457"/>
    <cellStyle name="Moeda 9 5 2 2" xfId="6314"/>
    <cellStyle name="Moeda 9 5 3" xfId="8467"/>
    <cellStyle name="Moeda 9 6" xfId="9456"/>
    <cellStyle name="Moeda 9 6 10" xfId="8468"/>
    <cellStyle name="Moeda 9 6 10 2" xfId="6313"/>
    <cellStyle name="Moeda 9 6 2" xfId="8465"/>
    <cellStyle name="Moeda 9 6 3" xfId="9455"/>
    <cellStyle name="Moeda 9 6 3 2" xfId="8466"/>
    <cellStyle name="Moeda 9 6 4" xfId="6312"/>
    <cellStyle name="Moeda 9 6 4 2" xfId="8464"/>
    <cellStyle name="Moeda 9 6 5" xfId="9454"/>
    <cellStyle name="Moeda 9 6 6" xfId="6311"/>
    <cellStyle name="Moeda 9 6 7" xfId="6310"/>
    <cellStyle name="Moeda 9 6 7 2" xfId="6309"/>
    <cellStyle name="Moeda 9 6 8" xfId="6308"/>
    <cellStyle name="Moeda 9 6 8 2" xfId="6307"/>
    <cellStyle name="Moeda 9 6 9" xfId="6306"/>
    <cellStyle name="Moeda 9 6 9 2" xfId="6305"/>
    <cellStyle name="Moeda 9 7" xfId="6304"/>
    <cellStyle name="Moeda 9 8" xfId="6303"/>
    <cellStyle name="Moeda 9 8 2" xfId="6302"/>
    <cellStyle name="Moeda 9 9" xfId="6301"/>
    <cellStyle name="Moeda 9 9 2" xfId="6300"/>
    <cellStyle name="Moedaᦠ[0]" xfId="6299"/>
    <cellStyle name="Moneda [0]_~6544762" xfId="704"/>
    <cellStyle name="Moneda_~6544762" xfId="705"/>
    <cellStyle name="Morgan" xfId="6298"/>
    <cellStyle name="MS_English" xfId="706"/>
    <cellStyle name="Multiple" xfId="707"/>
    <cellStyle name="Multiple [0]" xfId="708"/>
    <cellStyle name="Multiple [1]" xfId="709"/>
    <cellStyle name="Multiple [1] 2" xfId="6295"/>
    <cellStyle name="Multiple [1] 3" xfId="13695"/>
    <cellStyle name="Multiple [1] 4" xfId="6296"/>
    <cellStyle name="Multiple 10" xfId="13802"/>
    <cellStyle name="Multiple 11" xfId="13842"/>
    <cellStyle name="Multiple 12" xfId="13815"/>
    <cellStyle name="Multiple 13" xfId="13829"/>
    <cellStyle name="Multiple 14" xfId="13847"/>
    <cellStyle name="Multiple 15" xfId="13725"/>
    <cellStyle name="Multiple 2" xfId="13694"/>
    <cellStyle name="Multiple 3" xfId="13801"/>
    <cellStyle name="Multiple 4" xfId="6297"/>
    <cellStyle name="Multiple 5" xfId="13850"/>
    <cellStyle name="Multiple 6" xfId="13854"/>
    <cellStyle name="Multiple 7" xfId="13852"/>
    <cellStyle name="Multiple 8" xfId="13853"/>
    <cellStyle name="Multiple 9" xfId="13851"/>
    <cellStyle name="Multiple_Asian_Power_Compacq_JJ" xfId="6294"/>
    <cellStyle name="NA is zero" xfId="6293"/>
    <cellStyle name="nal (2)_RF (2)" xfId="710"/>
    <cellStyle name="Neutra" xfId="11" builtinId="28" customBuiltin="1"/>
    <cellStyle name="Neutra 10" xfId="4023"/>
    <cellStyle name="Neutra 10 2" xfId="14422"/>
    <cellStyle name="Neutra 10 3" xfId="8462"/>
    <cellStyle name="Neutra 11" xfId="4024"/>
    <cellStyle name="Neutra 11 2" xfId="14423"/>
    <cellStyle name="Neutra 11 3" xfId="6292"/>
    <cellStyle name="Neutra 12" xfId="4025"/>
    <cellStyle name="Neutra 12 2" xfId="14424"/>
    <cellStyle name="Neutra 12 3" xfId="6291"/>
    <cellStyle name="Neutra 13" xfId="4026"/>
    <cellStyle name="Neutra 13 2" xfId="14425"/>
    <cellStyle name="Neutra 13 3" xfId="6290"/>
    <cellStyle name="Neutra 14" xfId="4027"/>
    <cellStyle name="Neutra 14 2" xfId="14426"/>
    <cellStyle name="Neutra 14 3" xfId="6289"/>
    <cellStyle name="Neutra 15" xfId="4028"/>
    <cellStyle name="Neutra 16" xfId="4029"/>
    <cellStyle name="Neutra 17" xfId="4030"/>
    <cellStyle name="Neutra 18" xfId="4031"/>
    <cellStyle name="Neutra 19" xfId="4032"/>
    <cellStyle name="Neutra 2" xfId="711"/>
    <cellStyle name="Neutra 2 2" xfId="4034"/>
    <cellStyle name="Neutra 2 2 2" xfId="14427"/>
    <cellStyle name="Neutra 2 2 3" xfId="6287"/>
    <cellStyle name="Neutra 2 3" xfId="5398"/>
    <cellStyle name="Neutra 2 3 2" xfId="14855"/>
    <cellStyle name="Neutra 2 3 3" xfId="6288"/>
    <cellStyle name="Neutra 2 4" xfId="4033"/>
    <cellStyle name="Neutra 20" xfId="4035"/>
    <cellStyle name="Neutra 21" xfId="4036"/>
    <cellStyle name="Neutra 22" xfId="4037"/>
    <cellStyle name="Neutra 3" xfId="2240"/>
    <cellStyle name="Neutra 3 2" xfId="4038"/>
    <cellStyle name="Neutra 3 3" xfId="13869"/>
    <cellStyle name="Neutra 3 4" xfId="6286"/>
    <cellStyle name="Neutra 3_Base RF" xfId="5485"/>
    <cellStyle name="Neutra 4" xfId="4039"/>
    <cellStyle name="Neutra 4 2" xfId="14428"/>
    <cellStyle name="Neutra 4 3" xfId="6285"/>
    <cellStyle name="Neutra 5" xfId="4040"/>
    <cellStyle name="Neutra 5 2" xfId="14429"/>
    <cellStyle name="Neutra 5 3" xfId="6284"/>
    <cellStyle name="Neutra 6" xfId="4041"/>
    <cellStyle name="Neutra 6 2" xfId="14430"/>
    <cellStyle name="Neutra 6 3" xfId="6283"/>
    <cellStyle name="Neutra 7" xfId="4042"/>
    <cellStyle name="Neutra 7 2" xfId="14431"/>
    <cellStyle name="Neutra 7 3" xfId="6282"/>
    <cellStyle name="Neutra 8" xfId="4043"/>
    <cellStyle name="Neutra 8 2" xfId="14432"/>
    <cellStyle name="Neutra 8 3" xfId="6281"/>
    <cellStyle name="Neutra 9" xfId="4044"/>
    <cellStyle name="Neutra 9 2" xfId="14433"/>
    <cellStyle name="Neutra 9 3" xfId="6280"/>
    <cellStyle name="Neutral" xfId="4045"/>
    <cellStyle name="Neutral 2" xfId="712"/>
    <cellStyle name="Neutral 2 2" xfId="713"/>
    <cellStyle name="Neutral 3" xfId="4046"/>
    <cellStyle name="newstyle" xfId="4047"/>
    <cellStyle name="newstyle 2" xfId="4048"/>
    <cellStyle name="newstyle 2 2" xfId="15436"/>
    <cellStyle name="newstyle 3" xfId="15438"/>
    <cellStyle name="newstyle_CAC" xfId="4049"/>
    <cellStyle name="no dec" xfId="6279"/>
    <cellStyle name="No Decimal" xfId="8461"/>
    <cellStyle name="No-definido" xfId="714"/>
    <cellStyle name="Normal" xfId="0" builtinId="0"/>
    <cellStyle name="Normal - Estilo1" xfId="9453"/>
    <cellStyle name="Normal - Estilo2" xfId="6278"/>
    <cellStyle name="Normal - Estilo3" xfId="8460"/>
    <cellStyle name="Normal - Estilo4" xfId="9452"/>
    <cellStyle name="Normal - Estilo5" xfId="6277"/>
    <cellStyle name="Normal - Estilo6" xfId="8459"/>
    <cellStyle name="Normal - Estilo7" xfId="9451"/>
    <cellStyle name="Normal - Estilo8" xfId="6276"/>
    <cellStyle name="Normal - Style1" xfId="715"/>
    <cellStyle name="Normal - Style1 2" xfId="13696"/>
    <cellStyle name="Normal - Style1 3" xfId="8458"/>
    <cellStyle name="Normal - Style5" xfId="716"/>
    <cellStyle name="Normal - Style6" xfId="717"/>
    <cellStyle name="Normal - Style7" xfId="718"/>
    <cellStyle name="Normal - Style8" xfId="719"/>
    <cellStyle name="Normal (%)" xfId="9249"/>
    <cellStyle name="Normal (£m)" xfId="6275"/>
    <cellStyle name="Normal (No)" xfId="8457"/>
    <cellStyle name="Normal (x)" xfId="9450"/>
    <cellStyle name="Normal [0]" xfId="6274"/>
    <cellStyle name="Normal [1]" xfId="6273"/>
    <cellStyle name="Normal [2]" xfId="6272"/>
    <cellStyle name="Normal [3]" xfId="6271"/>
    <cellStyle name="Normal 10" xfId="720"/>
    <cellStyle name="Normal 10 10" xfId="4050"/>
    <cellStyle name="Normal 10 11" xfId="4051"/>
    <cellStyle name="Normal 10 12" xfId="4052"/>
    <cellStyle name="Normal 10 13" xfId="4053"/>
    <cellStyle name="Normal 10 14" xfId="4054"/>
    <cellStyle name="Normal 10 15" xfId="4055"/>
    <cellStyle name="Normal 10 16" xfId="4056"/>
    <cellStyle name="Normal 10 17" xfId="4057"/>
    <cellStyle name="Normal 10 2" xfId="721"/>
    <cellStyle name="Normal 10 2 10" xfId="4059"/>
    <cellStyle name="Normal 10 2 11" xfId="4060"/>
    <cellStyle name="Normal 10 2 12" xfId="4061"/>
    <cellStyle name="Normal 10 2 13" xfId="4062"/>
    <cellStyle name="Normal 10 2 14" xfId="4063"/>
    <cellStyle name="Normal 10 2 15" xfId="4064"/>
    <cellStyle name="Normal 10 2 16" xfId="4065"/>
    <cellStyle name="Normal 10 2 17" xfId="4066"/>
    <cellStyle name="Normal 10 2 2" xfId="4067"/>
    <cellStyle name="Normal 10 2 2 10" xfId="4068"/>
    <cellStyle name="Normal 10 2 2 11" xfId="4069"/>
    <cellStyle name="Normal 10 2 2 12" xfId="4070"/>
    <cellStyle name="Normal 10 2 2 13" xfId="4071"/>
    <cellStyle name="Normal 10 2 2 14" xfId="4072"/>
    <cellStyle name="Normal 10 2 2 15" xfId="4073"/>
    <cellStyle name="Normal 10 2 2 16" xfId="4074"/>
    <cellStyle name="Normal 10 2 2 2" xfId="4075"/>
    <cellStyle name="Normal 10 2 2 2 10" xfId="4076"/>
    <cellStyle name="Normal 10 2 2 2 11" xfId="4077"/>
    <cellStyle name="Normal 10 2 2 2 12" xfId="4078"/>
    <cellStyle name="Normal 10 2 2 2 13" xfId="4079"/>
    <cellStyle name="Normal 10 2 2 2 2" xfId="4080"/>
    <cellStyle name="Normal 10 2 2 2 2 10" xfId="4081"/>
    <cellStyle name="Normal 10 2 2 2 2 11" xfId="4082"/>
    <cellStyle name="Normal 10 2 2 2 2 12" xfId="4083"/>
    <cellStyle name="Normal 10 2 2 2 2 13" xfId="4084"/>
    <cellStyle name="Normal 10 2 2 2 2 2" xfId="4085"/>
    <cellStyle name="Normal 10 2 2 2 2 2 10" xfId="4086"/>
    <cellStyle name="Normal 10 2 2 2 2 2 11" xfId="4087"/>
    <cellStyle name="Normal 10 2 2 2 2 2 12" xfId="4088"/>
    <cellStyle name="Normal 10 2 2 2 2 2 2" xfId="4089"/>
    <cellStyle name="Normal 10 2 2 2 2 2 2 10" xfId="4090"/>
    <cellStyle name="Normal 10 2 2 2 2 2 2 11" xfId="4091"/>
    <cellStyle name="Normal 10 2 2 2 2 2 2 12" xfId="4092"/>
    <cellStyle name="Normal 10 2 2 2 2 2 2 2" xfId="4093"/>
    <cellStyle name="Normal 10 2 2 2 2 2 2 2 10" xfId="4094"/>
    <cellStyle name="Normal 10 2 2 2 2 2 2 2 11" xfId="4095"/>
    <cellStyle name="Normal 10 2 2 2 2 2 2 2 2" xfId="4096"/>
    <cellStyle name="Normal 10 2 2 2 2 2 2 2 3" xfId="4097"/>
    <cellStyle name="Normal 10 2 2 2 2 2 2 2 4" xfId="4098"/>
    <cellStyle name="Normal 10 2 2 2 2 2 2 2 5" xfId="4099"/>
    <cellStyle name="Normal 10 2 2 2 2 2 2 2 6" xfId="4100"/>
    <cellStyle name="Normal 10 2 2 2 2 2 2 2 7" xfId="4101"/>
    <cellStyle name="Normal 10 2 2 2 2 2 2 2 8" xfId="4102"/>
    <cellStyle name="Normal 10 2 2 2 2 2 2 2 9" xfId="4103"/>
    <cellStyle name="Normal 10 2 2 2 2 2 2 3" xfId="4104"/>
    <cellStyle name="Normal 10 2 2 2 2 2 2 4" xfId="4105"/>
    <cellStyle name="Normal 10 2 2 2 2 2 2 5" xfId="4106"/>
    <cellStyle name="Normal 10 2 2 2 2 2 2 6" xfId="4107"/>
    <cellStyle name="Normal 10 2 2 2 2 2 2 7" xfId="4108"/>
    <cellStyle name="Normal 10 2 2 2 2 2 2 8" xfId="4109"/>
    <cellStyle name="Normal 10 2 2 2 2 2 2 9" xfId="4110"/>
    <cellStyle name="Normal 10 2 2 2 2 2 3" xfId="4111"/>
    <cellStyle name="Normal 10 2 2 2 2 2 3 10" xfId="4112"/>
    <cellStyle name="Normal 10 2 2 2 2 2 3 11" xfId="4113"/>
    <cellStyle name="Normal 10 2 2 2 2 2 3 2" xfId="4114"/>
    <cellStyle name="Normal 10 2 2 2 2 2 3 3" xfId="4115"/>
    <cellStyle name="Normal 10 2 2 2 2 2 3 4" xfId="4116"/>
    <cellStyle name="Normal 10 2 2 2 2 2 3 5" xfId="4117"/>
    <cellStyle name="Normal 10 2 2 2 2 2 3 6" xfId="4118"/>
    <cellStyle name="Normal 10 2 2 2 2 2 3 7" xfId="4119"/>
    <cellStyle name="Normal 10 2 2 2 2 2 3 8" xfId="4120"/>
    <cellStyle name="Normal 10 2 2 2 2 2 3 9" xfId="4121"/>
    <cellStyle name="Normal 10 2 2 2 2 2 4" xfId="4122"/>
    <cellStyle name="Normal 10 2 2 2 2 2 5" xfId="4123"/>
    <cellStyle name="Normal 10 2 2 2 2 2 6" xfId="4124"/>
    <cellStyle name="Normal 10 2 2 2 2 2 7" xfId="4125"/>
    <cellStyle name="Normal 10 2 2 2 2 2 8" xfId="4126"/>
    <cellStyle name="Normal 10 2 2 2 2 2 9" xfId="4127"/>
    <cellStyle name="Normal 10 2 2 2 2 3" xfId="4128"/>
    <cellStyle name="Normal 10 2 2 2 2 3 10" xfId="4129"/>
    <cellStyle name="Normal 10 2 2 2 2 3 11" xfId="4130"/>
    <cellStyle name="Normal 10 2 2 2 2 3 2" xfId="4131"/>
    <cellStyle name="Normal 10 2 2 2 2 3 3" xfId="4132"/>
    <cellStyle name="Normal 10 2 2 2 2 3 4" xfId="4133"/>
    <cellStyle name="Normal 10 2 2 2 2 3 5" xfId="4134"/>
    <cellStyle name="Normal 10 2 2 2 2 3 6" xfId="4135"/>
    <cellStyle name="Normal 10 2 2 2 2 3 7" xfId="4136"/>
    <cellStyle name="Normal 10 2 2 2 2 3 8" xfId="4137"/>
    <cellStyle name="Normal 10 2 2 2 2 3 9" xfId="4138"/>
    <cellStyle name="Normal 10 2 2 2 2 4" xfId="4139"/>
    <cellStyle name="Normal 10 2 2 2 2 5" xfId="4140"/>
    <cellStyle name="Normal 10 2 2 2 2 6" xfId="4141"/>
    <cellStyle name="Normal 10 2 2 2 2 7" xfId="4142"/>
    <cellStyle name="Normal 10 2 2 2 2 8" xfId="4143"/>
    <cellStyle name="Normal 10 2 2 2 2 9" xfId="4144"/>
    <cellStyle name="Normal 10 2 2 2 3" xfId="4145"/>
    <cellStyle name="Normal 10 2 2 2 3 10" xfId="4146"/>
    <cellStyle name="Normal 10 2 2 2 3 11" xfId="4147"/>
    <cellStyle name="Normal 10 2 2 2 3 12" xfId="4148"/>
    <cellStyle name="Normal 10 2 2 2 3 2" xfId="4149"/>
    <cellStyle name="Normal 10 2 2 2 3 2 10" xfId="4150"/>
    <cellStyle name="Normal 10 2 2 2 3 2 2" xfId="4151"/>
    <cellStyle name="Normal 10 2 2 2 3 2 3" xfId="4152"/>
    <cellStyle name="Normal 10 2 2 2 3 2 4" xfId="4153"/>
    <cellStyle name="Normal 10 2 2 2 3 2 5" xfId="4154"/>
    <cellStyle name="Normal 10 2 2 2 3 2 6" xfId="4155"/>
    <cellStyle name="Normal 10 2 2 2 3 2 7" xfId="4156"/>
    <cellStyle name="Normal 10 2 2 2 3 2 8" xfId="4157"/>
    <cellStyle name="Normal 10 2 2 2 3 2 9" xfId="4158"/>
    <cellStyle name="Normal 10 2 2 2 3 3" xfId="4159"/>
    <cellStyle name="Normal 10 2 2 2 3 4" xfId="4160"/>
    <cellStyle name="Normal 10 2 2 2 3 5" xfId="4161"/>
    <cellStyle name="Normal 10 2 2 2 3 6" xfId="4162"/>
    <cellStyle name="Normal 10 2 2 2 3 7" xfId="4163"/>
    <cellStyle name="Normal 10 2 2 2 3 8" xfId="4164"/>
    <cellStyle name="Normal 10 2 2 2 3 9" xfId="4165"/>
    <cellStyle name="Normal 10 2 2 2 4" xfId="4166"/>
    <cellStyle name="Normal 10 2 2 2 4 10" xfId="4167"/>
    <cellStyle name="Normal 10 2 2 2 4 11" xfId="4168"/>
    <cellStyle name="Normal 10 2 2 2 4 2" xfId="4169"/>
    <cellStyle name="Normal 10 2 2 2 4 3" xfId="4170"/>
    <cellStyle name="Normal 10 2 2 2 4 4" xfId="4171"/>
    <cellStyle name="Normal 10 2 2 2 4 5" xfId="4172"/>
    <cellStyle name="Normal 10 2 2 2 4 6" xfId="4173"/>
    <cellStyle name="Normal 10 2 2 2 4 7" xfId="4174"/>
    <cellStyle name="Normal 10 2 2 2 4 8" xfId="4175"/>
    <cellStyle name="Normal 10 2 2 2 4 9" xfId="4176"/>
    <cellStyle name="Normal 10 2 2 2 5" xfId="4177"/>
    <cellStyle name="Normal 10 2 2 2 6" xfId="4178"/>
    <cellStyle name="Normal 10 2 2 2 7" xfId="4179"/>
    <cellStyle name="Normal 10 2 2 2 8" xfId="4180"/>
    <cellStyle name="Normal 10 2 2 2 9" xfId="4181"/>
    <cellStyle name="Normal 10 2 2 3" xfId="4182"/>
    <cellStyle name="Normal 10 2 2 4" xfId="4183"/>
    <cellStyle name="Normal 10 2 2 5" xfId="4184"/>
    <cellStyle name="Normal 10 2 3" xfId="4058"/>
    <cellStyle name="Normal 10 2 3 2" xfId="14434"/>
    <cellStyle name="Normal 10 2 3 3" xfId="6269"/>
    <cellStyle name="Normal 10 3" xfId="13697"/>
    <cellStyle name="Normal 10 4" xfId="6270"/>
    <cellStyle name="Normal 10_CAC" xfId="4185"/>
    <cellStyle name="Normal 100" xfId="4186"/>
    <cellStyle name="Normal 100 2" xfId="4187"/>
    <cellStyle name="Normal 100 2 2" xfId="14436"/>
    <cellStyle name="Normal 100 2 3" xfId="6267"/>
    <cellStyle name="Normal 100 3" xfId="5986"/>
    <cellStyle name="Normal 100 4" xfId="14435"/>
    <cellStyle name="Normal 100 5" xfId="6268"/>
    <cellStyle name="Normal 101" xfId="4188"/>
    <cellStyle name="Normal 101 2" xfId="4189"/>
    <cellStyle name="Normal 101 2 2" xfId="14438"/>
    <cellStyle name="Normal 101 2 3" xfId="6265"/>
    <cellStyle name="Normal 101 3" xfId="6264"/>
    <cellStyle name="Normal 101 4" xfId="14437"/>
    <cellStyle name="Normal 101 5" xfId="6266"/>
    <cellStyle name="Normal 102" xfId="4190"/>
    <cellStyle name="Normal 102 2" xfId="4191"/>
    <cellStyle name="Normal 102 2 2" xfId="4192"/>
    <cellStyle name="Normal 102 2_Base RF" xfId="5487"/>
    <cellStyle name="Normal 102 3" xfId="4193"/>
    <cellStyle name="Normal 102_Base RF" xfId="5486"/>
    <cellStyle name="Normal 103" xfId="4194"/>
    <cellStyle name="Normal 103 2" xfId="6262"/>
    <cellStyle name="Normal 103 3" xfId="6261"/>
    <cellStyle name="Normal 103 4" xfId="14439"/>
    <cellStyle name="Normal 103 5" xfId="6263"/>
    <cellStyle name="Normal 104" xfId="4195"/>
    <cellStyle name="Normal 104 2" xfId="4196"/>
    <cellStyle name="Normal 104 2 2" xfId="4197"/>
    <cellStyle name="Normal 104 2 3" xfId="14441"/>
    <cellStyle name="Normal 104 2 4" xfId="6259"/>
    <cellStyle name="Normal 104 2_Base RF" xfId="5489"/>
    <cellStyle name="Normal 104 3" xfId="4198"/>
    <cellStyle name="Normal 104 3 2" xfId="14442"/>
    <cellStyle name="Normal 104 3 3" xfId="6258"/>
    <cellStyle name="Normal 104 3_Base RF" xfId="14905"/>
    <cellStyle name="Normal 104 4" xfId="14440"/>
    <cellStyle name="Normal 104 5" xfId="6260"/>
    <cellStyle name="Normal 104_Base RF" xfId="5488"/>
    <cellStyle name="Normal 105" xfId="4199"/>
    <cellStyle name="Normal 105 2" xfId="6256"/>
    <cellStyle name="Normal 105 3" xfId="6255"/>
    <cellStyle name="Normal 105 4" xfId="14443"/>
    <cellStyle name="Normal 105 5" xfId="6257"/>
    <cellStyle name="Normal 106" xfId="4200"/>
    <cellStyle name="Normal 106 2" xfId="4201"/>
    <cellStyle name="Normal 106_Base RF" xfId="5490"/>
    <cellStyle name="Normal 107" xfId="4202"/>
    <cellStyle name="Normal 107 2" xfId="6253"/>
    <cellStyle name="Normal 107 3" xfId="6252"/>
    <cellStyle name="Normal 107 4" xfId="14444"/>
    <cellStyle name="Normal 107 5" xfId="6254"/>
    <cellStyle name="Normal 108" xfId="4203"/>
    <cellStyle name="Normal 108 2" xfId="6250"/>
    <cellStyle name="Normal 108 3" xfId="6249"/>
    <cellStyle name="Normal 108 4" xfId="14445"/>
    <cellStyle name="Normal 108 5" xfId="6251"/>
    <cellStyle name="Normal 108_Base RF" xfId="14906"/>
    <cellStyle name="Normal 109" xfId="4204"/>
    <cellStyle name="Normal 109 2" xfId="14446"/>
    <cellStyle name="Normal 109 3" xfId="6248"/>
    <cellStyle name="Normal 11" xfId="72"/>
    <cellStyle name="Normal 11 2" xfId="723"/>
    <cellStyle name="Normal 11 2 2" xfId="13698"/>
    <cellStyle name="Normal 11 2 3" xfId="6246"/>
    <cellStyle name="Normal 11 3" xfId="722"/>
    <cellStyle name="Normal 11 3 2" xfId="5399"/>
    <cellStyle name="Normal 11 3 3" xfId="4205"/>
    <cellStyle name="Normal 11 3 3 2" xfId="14447"/>
    <cellStyle name="Normal 11 3 3 3" xfId="6245"/>
    <cellStyle name="Normal 11 4" xfId="2527"/>
    <cellStyle name="Normal 11 4 2" xfId="13914"/>
    <cellStyle name="Normal 11 4 3" xfId="6244"/>
    <cellStyle name="Normal 11 4_Base RF" xfId="14907"/>
    <cellStyle name="Normal 11 5" xfId="6243"/>
    <cellStyle name="Normal 11 6" xfId="6242"/>
    <cellStyle name="Normal 11 7" xfId="6241"/>
    <cellStyle name="Normal 11 8" xfId="13658"/>
    <cellStyle name="Normal 11 9" xfId="6247"/>
    <cellStyle name="Normal 11_Base RF" xfId="5491"/>
    <cellStyle name="Normal 110" xfId="4206"/>
    <cellStyle name="Normal 110 2" xfId="14448"/>
    <cellStyle name="Normal 110 3" xfId="6240"/>
    <cellStyle name="Normal 111" xfId="4987"/>
    <cellStyle name="Normal 111 2" xfId="5307"/>
    <cellStyle name="Normal 111 2 2" xfId="14832"/>
    <cellStyle name="Normal 111 2 3" xfId="6238"/>
    <cellStyle name="Normal 111 3" xfId="6237"/>
    <cellStyle name="Normal 111 4" xfId="14773"/>
    <cellStyle name="Normal 111 5" xfId="6239"/>
    <cellStyle name="Normal 112" xfId="4988"/>
    <cellStyle name="Normal 112 2" xfId="5308"/>
    <cellStyle name="Normal 112 3" xfId="14774"/>
    <cellStyle name="Normal 112 4" xfId="6236"/>
    <cellStyle name="Normal 113" xfId="4989"/>
    <cellStyle name="Normal 113 2" xfId="5309"/>
    <cellStyle name="Normal 113 2 2" xfId="14833"/>
    <cellStyle name="Normal 113 2 3" xfId="6234"/>
    <cellStyle name="Normal 113 3" xfId="6233"/>
    <cellStyle name="Normal 113 4" xfId="14775"/>
    <cellStyle name="Normal 113 5" xfId="6235"/>
    <cellStyle name="Normal 114" xfId="4992"/>
    <cellStyle name="Normal 114 2" xfId="6231"/>
    <cellStyle name="Normal 114 3" xfId="6230"/>
    <cellStyle name="Normal 114 4" xfId="14778"/>
    <cellStyle name="Normal 114 5" xfId="6232"/>
    <cellStyle name="Normal 115" xfId="5240"/>
    <cellStyle name="Normal 115 2" xfId="14813"/>
    <cellStyle name="Normal 115 3" xfId="8456"/>
    <cellStyle name="Normal 116" xfId="5244"/>
    <cellStyle name="Normal 116 2" xfId="8454"/>
    <cellStyle name="Normal 116 3" xfId="7448"/>
    <cellStyle name="Normal 116 4" xfId="14814"/>
    <cellStyle name="Normal 116 5" xfId="9248"/>
    <cellStyle name="Normal 117" xfId="5250"/>
    <cellStyle name="Normal 117 2" xfId="14815"/>
    <cellStyle name="Normal 117 3" xfId="7607"/>
    <cellStyle name="Normal 118" xfId="5252"/>
    <cellStyle name="Normal 118 2" xfId="7612"/>
    <cellStyle name="Normal 118 3" xfId="6229"/>
    <cellStyle name="Normal 118 4" xfId="14816"/>
    <cellStyle name="Normal 118 5" xfId="7453"/>
    <cellStyle name="Normal 119" xfId="5261"/>
    <cellStyle name="Normal 119 2" xfId="7611"/>
    <cellStyle name="Normal 119 3" xfId="6228"/>
    <cellStyle name="Normal 119 4" xfId="14817"/>
    <cellStyle name="Normal 119 5" xfId="7452"/>
    <cellStyle name="Normal 12" xfId="724"/>
    <cellStyle name="Normal 12 2" xfId="725"/>
    <cellStyle name="Normal 12 3" xfId="4207"/>
    <cellStyle name="Normal 12 3 2" xfId="14449"/>
    <cellStyle name="Normal 12 3 3" xfId="13699"/>
    <cellStyle name="Normal 12 4" xfId="7451"/>
    <cellStyle name="Normal 12_CAC" xfId="4208"/>
    <cellStyle name="Normal 120" xfId="5263"/>
    <cellStyle name="Normal 120 2" xfId="6227"/>
    <cellStyle name="Normal 120 3" xfId="7450"/>
    <cellStyle name="Normal 120 4" xfId="7609"/>
    <cellStyle name="Normal 120 5" xfId="14818"/>
    <cellStyle name="Normal 120 6" xfId="7610"/>
    <cellStyle name="Normal 121" xfId="5264"/>
    <cellStyle name="Normal 121 2" xfId="8455"/>
    <cellStyle name="Normal 121 3" xfId="7449"/>
    <cellStyle name="Normal 121 4" xfId="14819"/>
    <cellStyle name="Normal 121 5" xfId="6226"/>
    <cellStyle name="Normal 122" xfId="5270"/>
    <cellStyle name="Normal 122 2" xfId="14820"/>
    <cellStyle name="Normal 122 3" xfId="7608"/>
    <cellStyle name="Normal 123" xfId="5272"/>
    <cellStyle name="Normal 123 2" xfId="14821"/>
    <cellStyle name="Normal 123 3" xfId="6225"/>
    <cellStyle name="Normal 124" xfId="5278"/>
    <cellStyle name="Normal 124 2" xfId="14822"/>
    <cellStyle name="Normal 124 3" xfId="6224"/>
    <cellStyle name="Normal 125" xfId="5280"/>
    <cellStyle name="Normal 125 2" xfId="14823"/>
    <cellStyle name="Normal 125 3" xfId="8452"/>
    <cellStyle name="Normal 126" xfId="5291"/>
    <cellStyle name="Normal 126 2" xfId="7601"/>
    <cellStyle name="Normal 126 3" xfId="7447"/>
    <cellStyle name="Normal 126 4" xfId="14824"/>
    <cellStyle name="Normal 126 5" xfId="7442"/>
    <cellStyle name="Normal 127" xfId="5294"/>
    <cellStyle name="Normal 127 2" xfId="6223"/>
    <cellStyle name="Normal 127 3" xfId="7446"/>
    <cellStyle name="Normal 127 4" xfId="14825"/>
    <cellStyle name="Normal 127 5" xfId="7606"/>
    <cellStyle name="Normal 128" xfId="5295"/>
    <cellStyle name="Normal 128 2" xfId="6222"/>
    <cellStyle name="Normal 128 3" xfId="7445"/>
    <cellStyle name="Normal 128 4" xfId="14826"/>
    <cellStyle name="Normal 128 5" xfId="7605"/>
    <cellStyle name="Normal 129" xfId="5296"/>
    <cellStyle name="Normal 129 2" xfId="6221"/>
    <cellStyle name="Normal 129 3" xfId="7444"/>
    <cellStyle name="Normal 129 4" xfId="14827"/>
    <cellStyle name="Normal 129 5" xfId="7604"/>
    <cellStyle name="Normal 13" xfId="726"/>
    <cellStyle name="Normal 13 2" xfId="727"/>
    <cellStyle name="Normal 13 3" xfId="4209"/>
    <cellStyle name="Normal 13 3 2" xfId="14450"/>
    <cellStyle name="Normal 13 3 3" xfId="13700"/>
    <cellStyle name="Normal 13 4" xfId="7603"/>
    <cellStyle name="Normal 13_CAC" xfId="4210"/>
    <cellStyle name="Normal 130" xfId="5302"/>
    <cellStyle name="Normal 130 2" xfId="8453"/>
    <cellStyle name="Normal 130 3" xfId="7443"/>
    <cellStyle name="Normal 130 4" xfId="14828"/>
    <cellStyle name="Normal 130 5" xfId="6220"/>
    <cellStyle name="Normal 131" xfId="5304"/>
    <cellStyle name="Normal 131 2" xfId="6219"/>
    <cellStyle name="Normal 131 3" xfId="6218"/>
    <cellStyle name="Normal 131 4" xfId="14829"/>
    <cellStyle name="Normal 131 5" xfId="7602"/>
    <cellStyle name="Normal 132" xfId="5305"/>
    <cellStyle name="Normal 132 2" xfId="7436"/>
    <cellStyle name="Normal 132 3" xfId="7595"/>
    <cellStyle name="Normal 132 4" xfId="14830"/>
    <cellStyle name="Normal 132 5" xfId="8450"/>
    <cellStyle name="Normal 133" xfId="5306"/>
    <cellStyle name="Normal 133 2" xfId="7600"/>
    <cellStyle name="Normal 133 3" xfId="6217"/>
    <cellStyle name="Normal 133 4" xfId="14831"/>
    <cellStyle name="Normal 133 5" xfId="7441"/>
    <cellStyle name="Normal 134" xfId="7440"/>
    <cellStyle name="Normal 134 2" xfId="7599"/>
    <cellStyle name="Normal 134 3" xfId="6216"/>
    <cellStyle name="Normal 134 4" xfId="15710"/>
    <cellStyle name="Normal 134 5" xfId="15466"/>
    <cellStyle name="Normal 135" xfId="7439"/>
    <cellStyle name="Normal 135 2" xfId="7598"/>
    <cellStyle name="Normal 135 3" xfId="6215"/>
    <cellStyle name="Normal 136" xfId="7438"/>
    <cellStyle name="Normal 136 2" xfId="7597"/>
    <cellStyle name="Normal 136 3" xfId="6214"/>
    <cellStyle name="Normal 137" xfId="8451"/>
    <cellStyle name="Normal 137 2" xfId="7437"/>
    <cellStyle name="Normal 137 3" xfId="7596"/>
    <cellStyle name="Normal 138" xfId="6213"/>
    <cellStyle name="Normal 138 2" xfId="6212"/>
    <cellStyle name="Normal 138 3" xfId="7422"/>
    <cellStyle name="Normal 139" xfId="7581"/>
    <cellStyle name="Normal 139 2" xfId="7435"/>
    <cellStyle name="Normal 139 3" xfId="7594"/>
    <cellStyle name="Normal 14" xfId="728"/>
    <cellStyle name="Normal 14 2" xfId="729"/>
    <cellStyle name="Normal 14 3" xfId="4211"/>
    <cellStyle name="Normal 14 3 2" xfId="14451"/>
    <cellStyle name="Normal 14 3 3" xfId="13701"/>
    <cellStyle name="Normal 14 4" xfId="6211"/>
    <cellStyle name="Normal 14_CAC" xfId="4212"/>
    <cellStyle name="Normal 140" xfId="6210"/>
    <cellStyle name="Normal 140 2" xfId="7434"/>
    <cellStyle name="Normal 140 3" xfId="7593"/>
    <cellStyle name="Normal 141" xfId="6209"/>
    <cellStyle name="Normal 141 2" xfId="7433"/>
    <cellStyle name="Normal 141 3" xfId="7592"/>
    <cellStyle name="Normal 142" xfId="6208"/>
    <cellStyle name="Normal 143" xfId="7432"/>
    <cellStyle name="Normal 143 2" xfId="7591"/>
    <cellStyle name="Normal 143 3" xfId="6207"/>
    <cellStyle name="Normal 144" xfId="7431"/>
    <cellStyle name="Normal 144 2" xfId="7590"/>
    <cellStyle name="Normal 144 3" xfId="6206"/>
    <cellStyle name="Normal 145" xfId="7430"/>
    <cellStyle name="Normal 145 2" xfId="7589"/>
    <cellStyle name="Normal 145 3" xfId="6205"/>
    <cellStyle name="Normal 146" xfId="7429"/>
    <cellStyle name="Normal 147" xfId="7588"/>
    <cellStyle name="Normal 148" xfId="6204"/>
    <cellStyle name="Normal 149" xfId="6203"/>
    <cellStyle name="Normal 149 2" xfId="6202"/>
    <cellStyle name="Normal 15" xfId="730"/>
    <cellStyle name="Normal 15 2" xfId="731"/>
    <cellStyle name="Normal 15 3" xfId="6201"/>
    <cellStyle name="Normal 15_CAC" xfId="4213"/>
    <cellStyle name="Normal 150" xfId="6200"/>
    <cellStyle name="Normal 151" xfId="6199"/>
    <cellStyle name="Normal 152" xfId="6198"/>
    <cellStyle name="Normal 152 2" xfId="6197"/>
    <cellStyle name="Normal 153" xfId="6196"/>
    <cellStyle name="Normal 154" xfId="6195"/>
    <cellStyle name="Normal 155" xfId="6194"/>
    <cellStyle name="Normal 155 2" xfId="15283"/>
    <cellStyle name="Normal 156" xfId="6193"/>
    <cellStyle name="Normal 157" xfId="6192"/>
    <cellStyle name="Normal 158" xfId="7428"/>
    <cellStyle name="Normal 159" xfId="7587"/>
    <cellStyle name="Normal 16" xfId="732"/>
    <cellStyle name="Normal 16 2" xfId="4214"/>
    <cellStyle name="Normal 16 3" xfId="6191"/>
    <cellStyle name="Normal 16_CAC" xfId="4215"/>
    <cellStyle name="Normal 160" xfId="6190"/>
    <cellStyle name="Normal 160 2" xfId="7427"/>
    <cellStyle name="Normal 160 3" xfId="7586"/>
    <cellStyle name="Normal 160 3 2" xfId="6189"/>
    <cellStyle name="Normal 161" xfId="7426"/>
    <cellStyle name="Normal 161 2" xfId="7585"/>
    <cellStyle name="Normal 162" xfId="6188"/>
    <cellStyle name="Normal 162 2" xfId="7425"/>
    <cellStyle name="Normal 163" xfId="7584"/>
    <cellStyle name="Normal 164" xfId="6187"/>
    <cellStyle name="Normal 165" xfId="7424"/>
    <cellStyle name="Normal 165 2" xfId="7583"/>
    <cellStyle name="Normal 166" xfId="6186"/>
    <cellStyle name="Normal 167" xfId="7423"/>
    <cellStyle name="Normal 168" xfId="7582"/>
    <cellStyle name="Normal 169" xfId="6185"/>
    <cellStyle name="Normal 17" xfId="733"/>
    <cellStyle name="Normal 17 2" xfId="4216"/>
    <cellStyle name="Normal 17 3" xfId="6184"/>
    <cellStyle name="Normal 17_CAC" xfId="4217"/>
    <cellStyle name="Normal 170" xfId="8449"/>
    <cellStyle name="Normal 171" xfId="6183"/>
    <cellStyle name="Normal 172" xfId="8442"/>
    <cellStyle name="Normal 173" xfId="7416"/>
    <cellStyle name="Normal 174" xfId="7575"/>
    <cellStyle name="Normal 175" xfId="7421"/>
    <cellStyle name="Normal 176" xfId="7580"/>
    <cellStyle name="Normal 177" xfId="6182"/>
    <cellStyle name="Normal 178" xfId="8448"/>
    <cellStyle name="Normal 179" xfId="7420"/>
    <cellStyle name="Normal 18" xfId="734"/>
    <cellStyle name="Normal 18 2" xfId="4218"/>
    <cellStyle name="Normal 18 2 2" xfId="14452"/>
    <cellStyle name="Normal 18 2 3" xfId="6181"/>
    <cellStyle name="Normal 18 3" xfId="13702"/>
    <cellStyle name="Normal 18 4" xfId="7579"/>
    <cellStyle name="Normal 18 5" xfId="4219"/>
    <cellStyle name="Normal 18 5 2" xfId="4220"/>
    <cellStyle name="Normal 18 5_CAC" xfId="4221"/>
    <cellStyle name="Normal 18_CAC" xfId="4222"/>
    <cellStyle name="Normal 180" xfId="8446"/>
    <cellStyle name="Normal 181" xfId="9449"/>
    <cellStyle name="Normal 182" xfId="7419"/>
    <cellStyle name="Normal 183" xfId="8447"/>
    <cellStyle name="Normal 184" xfId="7578"/>
    <cellStyle name="Normal 185" xfId="6180"/>
    <cellStyle name="Normal 186" xfId="8444"/>
    <cellStyle name="Normal 187" xfId="9448"/>
    <cellStyle name="Normal 188" xfId="7418"/>
    <cellStyle name="Normal 189" xfId="8445"/>
    <cellStyle name="Normal 19" xfId="735"/>
    <cellStyle name="Normal 19 2" xfId="736"/>
    <cellStyle name="Normal 19 3" xfId="13703"/>
    <cellStyle name="Normal 19 4" xfId="7577"/>
    <cellStyle name="Normal 19_CAC" xfId="4223"/>
    <cellStyle name="Normal 190" xfId="6179"/>
    <cellStyle name="Normal 191" xfId="8443"/>
    <cellStyle name="Normal 192" xfId="9447"/>
    <cellStyle name="Normal 193" xfId="7417"/>
    <cellStyle name="Normal 194" xfId="9247"/>
    <cellStyle name="Normal 195" xfId="7576"/>
    <cellStyle name="Normal 196" xfId="6178"/>
    <cellStyle name="Normal 197" xfId="6177"/>
    <cellStyle name="Normal 198" xfId="6176"/>
    <cellStyle name="Normal 199" xfId="7415"/>
    <cellStyle name="Normal 2" xfId="46"/>
    <cellStyle name="Normal 2 10" xfId="4225"/>
    <cellStyle name="Normal 2 10 2" xfId="14454"/>
    <cellStyle name="Normal 2 10 3" xfId="9237"/>
    <cellStyle name="Normal 2 10_Base RF" xfId="14908"/>
    <cellStyle name="Normal 2 100" xfId="16434"/>
    <cellStyle name="Normal 2 101" xfId="16435"/>
    <cellStyle name="Normal 2 102" xfId="16436"/>
    <cellStyle name="Normal 2 103" xfId="16437"/>
    <cellStyle name="Normal 2 104" xfId="16438"/>
    <cellStyle name="Normal 2 105" xfId="16439"/>
    <cellStyle name="Normal 2 106" xfId="16440"/>
    <cellStyle name="Normal 2 107" xfId="16441"/>
    <cellStyle name="Normal 2 108" xfId="16442"/>
    <cellStyle name="Normal 2 109" xfId="16443"/>
    <cellStyle name="Normal 2 11" xfId="4224"/>
    <cellStyle name="Normal 2 11 2" xfId="14453"/>
    <cellStyle name="Normal 2 11 3" xfId="7574"/>
    <cellStyle name="Normal 2 110" xfId="16444"/>
    <cellStyle name="Normal 2 111" xfId="16445"/>
    <cellStyle name="Normal 2 112" xfId="16446"/>
    <cellStyle name="Normal 2 113" xfId="16447"/>
    <cellStyle name="Normal 2 114" xfId="16448"/>
    <cellStyle name="Normal 2 115" xfId="16449"/>
    <cellStyle name="Normal 2 116" xfId="16450"/>
    <cellStyle name="Normal 2 117" xfId="16451"/>
    <cellStyle name="Normal 2 118" xfId="16452"/>
    <cellStyle name="Normal 2 119" xfId="16453"/>
    <cellStyle name="Normal 2 12" xfId="5310"/>
    <cellStyle name="Normal 2 120" xfId="16454"/>
    <cellStyle name="Normal 2 121" xfId="16455"/>
    <cellStyle name="Normal 2 122" xfId="16456"/>
    <cellStyle name="Normal 2 123" xfId="16457"/>
    <cellStyle name="Normal 2 124" xfId="16458"/>
    <cellStyle name="Normal 2 125" xfId="16459"/>
    <cellStyle name="Normal 2 126" xfId="16460"/>
    <cellStyle name="Normal 2 127" xfId="16461"/>
    <cellStyle name="Normal 2 13" xfId="15213"/>
    <cellStyle name="Normal 2 14" xfId="15214"/>
    <cellStyle name="Normal 2 15" xfId="15215"/>
    <cellStyle name="Normal 2 16" xfId="15216"/>
    <cellStyle name="Normal 2 17" xfId="15217"/>
    <cellStyle name="Normal 2 18" xfId="15222"/>
    <cellStyle name="Normal 2 19" xfId="15223"/>
    <cellStyle name="Normal 2 2" xfId="50"/>
    <cellStyle name="Normal 2 2 2" xfId="737"/>
    <cellStyle name="Normal 2 2 2 10" xfId="738"/>
    <cellStyle name="Normal 2 2 2 10 2" xfId="739"/>
    <cellStyle name="Normal 2 2 2 11" xfId="740"/>
    <cellStyle name="Normal 2 2 2 12" xfId="5006"/>
    <cellStyle name="Normal 2 2 2 13" xfId="4226"/>
    <cellStyle name="Normal 2 2 2 2" xfId="741"/>
    <cellStyle name="Normal 2 2 2 2 2" xfId="742"/>
    <cellStyle name="Normal 2 2 2 2 2 2" xfId="743"/>
    <cellStyle name="Normal 2 2 2 2 2 2 2" xfId="744"/>
    <cellStyle name="Normal 2 2 2 2 2 2 2 2" xfId="745"/>
    <cellStyle name="Normal 2 2 2 2 2 2 2 2 2" xfId="746"/>
    <cellStyle name="Normal 2 2 2 2 2 2 2 3" xfId="747"/>
    <cellStyle name="Normal 2 2 2 2 2 2 3" xfId="748"/>
    <cellStyle name="Normal 2 2 2 2 2 2 3 2" xfId="749"/>
    <cellStyle name="Normal 2 2 2 2 2 2 4" xfId="750"/>
    <cellStyle name="Normal 2 2 2 2 2 3" xfId="751"/>
    <cellStyle name="Normal 2 2 2 2 2 3 2" xfId="752"/>
    <cellStyle name="Normal 2 2 2 2 2 3 2 2" xfId="753"/>
    <cellStyle name="Normal 2 2 2 2 2 3 3" xfId="754"/>
    <cellStyle name="Normal 2 2 2 2 2 4" xfId="755"/>
    <cellStyle name="Normal 2 2 2 2 2 4 2" xfId="756"/>
    <cellStyle name="Normal 2 2 2 2 2 5" xfId="757"/>
    <cellStyle name="Normal 2 2 2 2 2 6" xfId="13704"/>
    <cellStyle name="Normal 2 2 2 2 2 7" xfId="6175"/>
    <cellStyle name="Normal 2 2 2 2 3" xfId="758"/>
    <cellStyle name="Normal 2 2 2 2 3 2" xfId="759"/>
    <cellStyle name="Normal 2 2 2 2 3 2 2" xfId="760"/>
    <cellStyle name="Normal 2 2 2 2 3 2 2 2" xfId="761"/>
    <cellStyle name="Normal 2 2 2 2 3 2 3" xfId="762"/>
    <cellStyle name="Normal 2 2 2 2 3 3" xfId="763"/>
    <cellStyle name="Normal 2 2 2 2 3 3 2" xfId="764"/>
    <cellStyle name="Normal 2 2 2 2 3 4" xfId="765"/>
    <cellStyle name="Normal 2 2 2 2 4" xfId="766"/>
    <cellStyle name="Normal 2 2 2 2 4 2" xfId="767"/>
    <cellStyle name="Normal 2 2 2 2 4 2 2" xfId="768"/>
    <cellStyle name="Normal 2 2 2 2 4 3" xfId="769"/>
    <cellStyle name="Normal 2 2 2 2 5" xfId="770"/>
    <cellStyle name="Normal 2 2 2 2 5 2" xfId="771"/>
    <cellStyle name="Normal 2 2 2 2 6" xfId="772"/>
    <cellStyle name="Normal 2 2 2 2 7" xfId="5007"/>
    <cellStyle name="Normal 2 2 2 2 8" xfId="4227"/>
    <cellStyle name="Normal 2 2 2 3" xfId="773"/>
    <cellStyle name="Normal 2 2 2 3 2" xfId="774"/>
    <cellStyle name="Normal 2 2 2 3 2 2" xfId="775"/>
    <cellStyle name="Normal 2 2 2 3 2 2 2" xfId="776"/>
    <cellStyle name="Normal 2 2 2 3 2 2 2 2" xfId="777"/>
    <cellStyle name="Normal 2 2 2 3 2 2 2 2 2" xfId="778"/>
    <cellStyle name="Normal 2 2 2 3 2 2 2 3" xfId="779"/>
    <cellStyle name="Normal 2 2 2 3 2 2 3" xfId="780"/>
    <cellStyle name="Normal 2 2 2 3 2 2 3 2" xfId="781"/>
    <cellStyle name="Normal 2 2 2 3 2 2 4" xfId="782"/>
    <cellStyle name="Normal 2 2 2 3 2 3" xfId="783"/>
    <cellStyle name="Normal 2 2 2 3 2 3 2" xfId="784"/>
    <cellStyle name="Normal 2 2 2 3 2 3 2 2" xfId="785"/>
    <cellStyle name="Normal 2 2 2 3 2 3 3" xfId="786"/>
    <cellStyle name="Normal 2 2 2 3 2 4" xfId="787"/>
    <cellStyle name="Normal 2 2 2 3 2 4 2" xfId="788"/>
    <cellStyle name="Normal 2 2 2 3 2 5" xfId="789"/>
    <cellStyle name="Normal 2 2 2 3 3" xfId="790"/>
    <cellStyle name="Normal 2 2 2 3 3 2" xfId="791"/>
    <cellStyle name="Normal 2 2 2 3 3 2 2" xfId="792"/>
    <cellStyle name="Normal 2 2 2 3 3 2 2 2" xfId="793"/>
    <cellStyle name="Normal 2 2 2 3 3 2 3" xfId="794"/>
    <cellStyle name="Normal 2 2 2 3 3 3" xfId="795"/>
    <cellStyle name="Normal 2 2 2 3 3 3 2" xfId="796"/>
    <cellStyle name="Normal 2 2 2 3 3 4" xfId="797"/>
    <cellStyle name="Normal 2 2 2 3 4" xfId="798"/>
    <cellStyle name="Normal 2 2 2 3 4 2" xfId="799"/>
    <cellStyle name="Normal 2 2 2 3 4 2 2" xfId="800"/>
    <cellStyle name="Normal 2 2 2 3 4 3" xfId="801"/>
    <cellStyle name="Normal 2 2 2 3 5" xfId="802"/>
    <cellStyle name="Normal 2 2 2 3 5 2" xfId="803"/>
    <cellStyle name="Normal 2 2 2 3 6" xfId="804"/>
    <cellStyle name="Normal 2 2 2 3 7" xfId="13705"/>
    <cellStyle name="Normal 2 2 2 3 8" xfId="7414"/>
    <cellStyle name="Normal 2 2 2 4" xfId="805"/>
    <cellStyle name="Normal 2 2 2 4 2" xfId="806"/>
    <cellStyle name="Normal 2 2 2 4 2 2" xfId="807"/>
    <cellStyle name="Normal 2 2 2 4 2 2 2" xfId="808"/>
    <cellStyle name="Normal 2 2 2 4 2 2 2 2" xfId="809"/>
    <cellStyle name="Normal 2 2 2 4 2 2 2 2 2" xfId="810"/>
    <cellStyle name="Normal 2 2 2 4 2 2 2 3" xfId="811"/>
    <cellStyle name="Normal 2 2 2 4 2 2 3" xfId="812"/>
    <cellStyle name="Normal 2 2 2 4 2 2 3 2" xfId="813"/>
    <cellStyle name="Normal 2 2 2 4 2 2 4" xfId="814"/>
    <cellStyle name="Normal 2 2 2 4 2 3" xfId="815"/>
    <cellStyle name="Normal 2 2 2 4 2 3 2" xfId="816"/>
    <cellStyle name="Normal 2 2 2 4 2 3 2 2" xfId="817"/>
    <cellStyle name="Normal 2 2 2 4 2 3 3" xfId="818"/>
    <cellStyle name="Normal 2 2 2 4 2 4" xfId="819"/>
    <cellStyle name="Normal 2 2 2 4 2 4 2" xfId="820"/>
    <cellStyle name="Normal 2 2 2 4 2 5" xfId="821"/>
    <cellStyle name="Normal 2 2 2 4 3" xfId="822"/>
    <cellStyle name="Normal 2 2 2 4 3 2" xfId="823"/>
    <cellStyle name="Normal 2 2 2 4 3 2 2" xfId="824"/>
    <cellStyle name="Normal 2 2 2 4 3 2 2 2" xfId="825"/>
    <cellStyle name="Normal 2 2 2 4 3 2 3" xfId="826"/>
    <cellStyle name="Normal 2 2 2 4 3 3" xfId="827"/>
    <cellStyle name="Normal 2 2 2 4 3 3 2" xfId="828"/>
    <cellStyle name="Normal 2 2 2 4 3 4" xfId="829"/>
    <cellStyle name="Normal 2 2 2 4 4" xfId="830"/>
    <cellStyle name="Normal 2 2 2 4 4 2" xfId="831"/>
    <cellStyle name="Normal 2 2 2 4 4 2 2" xfId="832"/>
    <cellStyle name="Normal 2 2 2 4 4 3" xfId="833"/>
    <cellStyle name="Normal 2 2 2 4 5" xfId="834"/>
    <cellStyle name="Normal 2 2 2 4 5 2" xfId="835"/>
    <cellStyle name="Normal 2 2 2 4 6" xfId="836"/>
    <cellStyle name="Normal 2 2 2 5" xfId="837"/>
    <cellStyle name="Normal 2 2 2 5 2" xfId="838"/>
    <cellStyle name="Normal 2 2 2 5 2 2" xfId="839"/>
    <cellStyle name="Normal 2 2 2 5 2 2 2" xfId="840"/>
    <cellStyle name="Normal 2 2 2 5 2 2 2 2" xfId="841"/>
    <cellStyle name="Normal 2 2 2 5 2 2 3" xfId="842"/>
    <cellStyle name="Normal 2 2 2 5 2 3" xfId="843"/>
    <cellStyle name="Normal 2 2 2 5 2 3 2" xfId="844"/>
    <cellStyle name="Normal 2 2 2 5 2 4" xfId="845"/>
    <cellStyle name="Normal 2 2 2 5 3" xfId="846"/>
    <cellStyle name="Normal 2 2 2 5 3 2" xfId="847"/>
    <cellStyle name="Normal 2 2 2 5 3 2 2" xfId="848"/>
    <cellStyle name="Normal 2 2 2 5 3 3" xfId="849"/>
    <cellStyle name="Normal 2 2 2 5 4" xfId="850"/>
    <cellStyle name="Normal 2 2 2 5 4 2" xfId="851"/>
    <cellStyle name="Normal 2 2 2 5 5" xfId="852"/>
    <cellStyle name="Normal 2 2 2 6" xfId="853"/>
    <cellStyle name="Normal 2 2 2 6 2" xfId="854"/>
    <cellStyle name="Normal 2 2 2 6 2 2" xfId="855"/>
    <cellStyle name="Normal 2 2 2 6 2 2 2" xfId="856"/>
    <cellStyle name="Normal 2 2 2 6 2 2 2 2" xfId="857"/>
    <cellStyle name="Normal 2 2 2 6 2 2 3" xfId="858"/>
    <cellStyle name="Normal 2 2 2 6 2 3" xfId="859"/>
    <cellStyle name="Normal 2 2 2 6 2 3 2" xfId="860"/>
    <cellStyle name="Normal 2 2 2 6 2 4" xfId="861"/>
    <cellStyle name="Normal 2 2 2 6 3" xfId="862"/>
    <cellStyle name="Normal 2 2 2 6 3 2" xfId="863"/>
    <cellStyle name="Normal 2 2 2 6 3 2 2" xfId="864"/>
    <cellStyle name="Normal 2 2 2 6 3 3" xfId="865"/>
    <cellStyle name="Normal 2 2 2 6 4" xfId="866"/>
    <cellStyle name="Normal 2 2 2 6 4 2" xfId="867"/>
    <cellStyle name="Normal 2 2 2 6 5" xfId="868"/>
    <cellStyle name="Normal 2 2 2 7" xfId="869"/>
    <cellStyle name="Normal 2 2 2 7 2" xfId="870"/>
    <cellStyle name="Normal 2 2 2 7 2 2" xfId="871"/>
    <cellStyle name="Normal 2 2 2 7 2 2 2" xfId="872"/>
    <cellStyle name="Normal 2 2 2 7 2 3" xfId="873"/>
    <cellStyle name="Normal 2 2 2 7 3" xfId="874"/>
    <cellStyle name="Normal 2 2 2 7 3 2" xfId="875"/>
    <cellStyle name="Normal 2 2 2 7 4" xfId="876"/>
    <cellStyle name="Normal 2 2 2 8" xfId="877"/>
    <cellStyle name="Normal 2 2 2 8 2" xfId="878"/>
    <cellStyle name="Normal 2 2 2 8 2 2" xfId="879"/>
    <cellStyle name="Normal 2 2 2 8 2 2 2" xfId="880"/>
    <cellStyle name="Normal 2 2 2 8 2 3" xfId="881"/>
    <cellStyle name="Normal 2 2 2 8 3" xfId="882"/>
    <cellStyle name="Normal 2 2 2 8 3 2" xfId="883"/>
    <cellStyle name="Normal 2 2 2 8 4" xfId="884"/>
    <cellStyle name="Normal 2 2 2 9" xfId="885"/>
    <cellStyle name="Normal 2 2 2 9 2" xfId="886"/>
    <cellStyle name="Normal 2 2 2 9 2 2" xfId="887"/>
    <cellStyle name="Normal 2 2 2 9 3" xfId="888"/>
    <cellStyle name="Normal 2 2 3" xfId="889"/>
    <cellStyle name="Normal 2 2 3 2" xfId="890"/>
    <cellStyle name="Normal 2 2 4" xfId="4228"/>
    <cellStyle name="Normal 2 2 4 2" xfId="4229"/>
    <cellStyle name="Normal 2 2 5" xfId="4230"/>
    <cellStyle name="Normal 2 2 5 2" xfId="4231"/>
    <cellStyle name="Normal 2 2 6" xfId="4232"/>
    <cellStyle name="Normal 2 2_ATUAL" xfId="4233"/>
    <cellStyle name="Normal 2 20" xfId="15221"/>
    <cellStyle name="Normal 2 21" xfId="15218"/>
    <cellStyle name="Normal 2 22" xfId="15219"/>
    <cellStyle name="Normal 2 23" xfId="15220"/>
    <cellStyle name="Normal 2 24" xfId="15224"/>
    <cellStyle name="Normal 2 25" xfId="15231"/>
    <cellStyle name="Normal 2 26" xfId="15234"/>
    <cellStyle name="Normal 2 27" xfId="15235"/>
    <cellStyle name="Normal 2 28" xfId="15236"/>
    <cellStyle name="Normal 2 29" xfId="15237"/>
    <cellStyle name="Normal 2 3" xfId="891"/>
    <cellStyle name="Normal 2 3 10" xfId="15528"/>
    <cellStyle name="Normal 2 3 11" xfId="15499"/>
    <cellStyle name="Normal 2 3 12" xfId="15284"/>
    <cellStyle name="Normal 2 3 2" xfId="4235"/>
    <cellStyle name="Normal 2 3 2 2" xfId="4236"/>
    <cellStyle name="Normal 2 3 2 3" xfId="14455"/>
    <cellStyle name="Normal 2 3 2 4" xfId="13706"/>
    <cellStyle name="Normal 2 3 2_Base RF" xfId="5492"/>
    <cellStyle name="Normal 2 3 3" xfId="4237"/>
    <cellStyle name="Normal 2 3 3 2" xfId="4238"/>
    <cellStyle name="Normal 2 3 3_Base RF" xfId="5493"/>
    <cellStyle name="Normal 2 3 4" xfId="4239"/>
    <cellStyle name="Normal 2 3 4 2" xfId="4240"/>
    <cellStyle name="Normal 2 3 4_Base RF" xfId="5494"/>
    <cellStyle name="Normal 2 3 5" xfId="4241"/>
    <cellStyle name="Normal 2 3 6" xfId="4242"/>
    <cellStyle name="Normal 2 3 7" xfId="4243"/>
    <cellStyle name="Normal 2 3 8" xfId="4234"/>
    <cellStyle name="Normal 2 3 9" xfId="2774"/>
    <cellStyle name="Normal 2 30" xfId="15239"/>
    <cellStyle name="Normal 2 31" xfId="15240"/>
    <cellStyle name="Normal 2 32" xfId="15247"/>
    <cellStyle name="Normal 2 33" xfId="15248"/>
    <cellStyle name="Normal 2 34" xfId="15249"/>
    <cellStyle name="Normal 2 35" xfId="15250"/>
    <cellStyle name="Normal 2 36" xfId="15251"/>
    <cellStyle name="Normal 2 37" xfId="15252"/>
    <cellStyle name="Normal 2 38" xfId="15253"/>
    <cellStyle name="Normal 2 39" xfId="15254"/>
    <cellStyle name="Normal 2 4" xfId="2211"/>
    <cellStyle name="Normal 2 4 2" xfId="4245"/>
    <cellStyle name="Normal 2 4 3" xfId="4246"/>
    <cellStyle name="Normal 2 4 4" xfId="5429"/>
    <cellStyle name="Normal 2 4 5" xfId="4244"/>
    <cellStyle name="Normal 2 4_Base RF" xfId="5495"/>
    <cellStyle name="Normal 2 40" xfId="15255"/>
    <cellStyle name="Normal 2 41" xfId="15256"/>
    <cellStyle name="Normal 2 42" xfId="15257"/>
    <cellStyle name="Normal 2 43" xfId="15258"/>
    <cellStyle name="Normal 2 44" xfId="15259"/>
    <cellStyle name="Normal 2 45" xfId="15260"/>
    <cellStyle name="Normal 2 46" xfId="15261"/>
    <cellStyle name="Normal 2 47" xfId="15262"/>
    <cellStyle name="Normal 2 48" xfId="15263"/>
    <cellStyle name="Normal 2 49" xfId="15265"/>
    <cellStyle name="Normal 2 5" xfId="2217"/>
    <cellStyle name="Normal 2 5 2" xfId="4248"/>
    <cellStyle name="Normal 2 5 3" xfId="5444"/>
    <cellStyle name="Normal 2 5 4" xfId="4247"/>
    <cellStyle name="Normal 2 5_Base RF" xfId="5496"/>
    <cellStyle name="Normal 2 50" xfId="15266"/>
    <cellStyle name="Normal 2 51" xfId="15267"/>
    <cellStyle name="Normal 2 52" xfId="15268"/>
    <cellStyle name="Normal 2 53" xfId="15269"/>
    <cellStyle name="Normal 2 54" xfId="16321"/>
    <cellStyle name="Normal 2 55" xfId="16322"/>
    <cellStyle name="Normal 2 56" xfId="16323"/>
    <cellStyle name="Normal 2 57" xfId="16324"/>
    <cellStyle name="Normal 2 58" xfId="16326"/>
    <cellStyle name="Normal 2 59" xfId="16325"/>
    <cellStyle name="Normal 2 6" xfId="2224"/>
    <cellStyle name="Normal 2 6 2" xfId="4250"/>
    <cellStyle name="Normal 2 6 3" xfId="5438"/>
    <cellStyle name="Normal 2 6 4" xfId="4249"/>
    <cellStyle name="Normal 2 6_Base RF" xfId="5497"/>
    <cellStyle name="Normal 2 60" xfId="16327"/>
    <cellStyle name="Normal 2 61" xfId="16328"/>
    <cellStyle name="Normal 2 62" xfId="16350"/>
    <cellStyle name="Normal 2 63" xfId="16351"/>
    <cellStyle name="Normal 2 64" xfId="16349"/>
    <cellStyle name="Normal 2 65" xfId="16352"/>
    <cellStyle name="Normal 2 66" xfId="16348"/>
    <cellStyle name="Normal 2 67" xfId="16353"/>
    <cellStyle name="Normal 2 68" xfId="16388"/>
    <cellStyle name="Normal 2 69" xfId="16390"/>
    <cellStyle name="Normal 2 7" xfId="4251"/>
    <cellStyle name="Normal 2 7 2" xfId="14456"/>
    <cellStyle name="Normal 2 7 3" xfId="7291"/>
    <cellStyle name="Normal 2 70" xfId="16391"/>
    <cellStyle name="Normal 2 71" xfId="16392"/>
    <cellStyle name="Normal 2 72" xfId="16398"/>
    <cellStyle name="Normal 2 73" xfId="16400"/>
    <cellStyle name="Normal 2 74" xfId="16399"/>
    <cellStyle name="Normal 2 75" xfId="16397"/>
    <cellStyle name="Normal 2 76" xfId="16395"/>
    <cellStyle name="Normal 2 77" xfId="16396"/>
    <cellStyle name="Normal 2 78" xfId="16394"/>
    <cellStyle name="Normal 2 79" xfId="16393"/>
    <cellStyle name="Normal 2 8" xfId="4252"/>
    <cellStyle name="Normal 2 8 2" xfId="4253"/>
    <cellStyle name="Normal 2 8 3" xfId="14457"/>
    <cellStyle name="Normal 2 8 4" xfId="7290"/>
    <cellStyle name="Normal 2 8_Base RF" xfId="5498"/>
    <cellStyle name="Normal 2 80" xfId="16414"/>
    <cellStyle name="Normal 2 81" xfId="16415"/>
    <cellStyle name="Normal 2 82" xfId="16416"/>
    <cellStyle name="Normal 2 83" xfId="16417"/>
    <cellStyle name="Normal 2 84" xfId="16418"/>
    <cellStyle name="Normal 2 85" xfId="16419"/>
    <cellStyle name="Normal 2 86" xfId="16420"/>
    <cellStyle name="Normal 2 87" xfId="16421"/>
    <cellStyle name="Normal 2 88" xfId="16422"/>
    <cellStyle name="Normal 2 89" xfId="16423"/>
    <cellStyle name="Normal 2 9" xfId="4254"/>
    <cellStyle name="Normal 2 9 2" xfId="4255"/>
    <cellStyle name="Normal 2 9 3" xfId="14458"/>
    <cellStyle name="Normal 2 9 4" xfId="7289"/>
    <cellStyle name="Normal 2 9_Base RF" xfId="5499"/>
    <cellStyle name="Normal 2 90" xfId="16424"/>
    <cellStyle name="Normal 2 91" xfId="16425"/>
    <cellStyle name="Normal 2 92" xfId="16426"/>
    <cellStyle name="Normal 2 93" xfId="16427"/>
    <cellStyle name="Normal 2 94" xfId="16428"/>
    <cellStyle name="Normal 2 95" xfId="16429"/>
    <cellStyle name="Normal 2 96" xfId="16430"/>
    <cellStyle name="Normal 2 97" xfId="16431"/>
    <cellStyle name="Normal 2 98" xfId="16432"/>
    <cellStyle name="Normal 2 99" xfId="16433"/>
    <cellStyle name="Normal 2_Adiciona" xfId="4256"/>
    <cellStyle name="Normal 20" xfId="892"/>
    <cellStyle name="Normal 20 10" xfId="4258"/>
    <cellStyle name="Normal 20 11" xfId="4259"/>
    <cellStyle name="Normal 20 12" xfId="4257"/>
    <cellStyle name="Normal 20 2" xfId="893"/>
    <cellStyle name="Normal 20 2 2" xfId="4261"/>
    <cellStyle name="Normal 20 2 3" xfId="4260"/>
    <cellStyle name="Normal 20 3" xfId="894"/>
    <cellStyle name="Normal 20 3 10" xfId="15484"/>
    <cellStyle name="Normal 20 3 2" xfId="4263"/>
    <cellStyle name="Normal 20 3 2 2" xfId="4264"/>
    <cellStyle name="Normal 20 3 2_Base RF" xfId="5500"/>
    <cellStyle name="Normal 20 3 3" xfId="4265"/>
    <cellStyle name="Normal 20 3 3 2" xfId="4266"/>
    <cellStyle name="Normal 20 3 3_Base RF" xfId="5501"/>
    <cellStyle name="Normal 20 3 4" xfId="4267"/>
    <cellStyle name="Normal 20 3 4 2" xfId="4268"/>
    <cellStyle name="Normal 20 3 4_Base RF" xfId="5502"/>
    <cellStyle name="Normal 20 3 5" xfId="4269"/>
    <cellStyle name="Normal 20 3 5 2" xfId="4270"/>
    <cellStyle name="Normal 20 3 5_Base RF" xfId="5503"/>
    <cellStyle name="Normal 20 3 6" xfId="4271"/>
    <cellStyle name="Normal 20 3 7" xfId="4272"/>
    <cellStyle name="Normal 20 3 8" xfId="5008"/>
    <cellStyle name="Normal 20 3 9" xfId="4262"/>
    <cellStyle name="Normal 20 4" xfId="895"/>
    <cellStyle name="Normal 20 4 2" xfId="4274"/>
    <cellStyle name="Normal 20 4 3" xfId="5009"/>
    <cellStyle name="Normal 20 4 4" xfId="4273"/>
    <cellStyle name="Normal 20 5" xfId="896"/>
    <cellStyle name="Normal 20 5 2" xfId="4276"/>
    <cellStyle name="Normal 20 5 3" xfId="5010"/>
    <cellStyle name="Normal 20 5 4" xfId="4275"/>
    <cellStyle name="Normal 20 6" xfId="897"/>
    <cellStyle name="Normal 20 6 2" xfId="4278"/>
    <cellStyle name="Normal 20 6 3" xfId="5011"/>
    <cellStyle name="Normal 20 6 4" xfId="4277"/>
    <cellStyle name="Normal 20 7" xfId="898"/>
    <cellStyle name="Normal 20 7 2" xfId="4280"/>
    <cellStyle name="Normal 20 7 3" xfId="5012"/>
    <cellStyle name="Normal 20 7 4" xfId="4279"/>
    <cellStyle name="Normal 20 8" xfId="4281"/>
    <cellStyle name="Normal 20 8 2" xfId="4282"/>
    <cellStyle name="Normal 20 8 3" xfId="14459"/>
    <cellStyle name="Normal 20 8 4" xfId="13707"/>
    <cellStyle name="Normal 20 8_Base RF" xfId="5504"/>
    <cellStyle name="Normal 20 9" xfId="4283"/>
    <cellStyle name="Normal 20 9 2" xfId="14460"/>
    <cellStyle name="Normal 20 9 3" xfId="6174"/>
    <cellStyle name="Normal 20 9_Base RF" xfId="14909"/>
    <cellStyle name="Normal 20_ATUAL" xfId="4284"/>
    <cellStyle name="Normal 200" xfId="7413"/>
    <cellStyle name="Normal 201" xfId="7573"/>
    <cellStyle name="Normal 202" xfId="6173"/>
    <cellStyle name="Normal 203" xfId="7412"/>
    <cellStyle name="Normal 204" xfId="7572"/>
    <cellStyle name="Normal 205" xfId="6172"/>
    <cellStyle name="Normal 206" xfId="8435"/>
    <cellStyle name="Normal 207" xfId="7406"/>
    <cellStyle name="Normal 208" xfId="7566"/>
    <cellStyle name="Normal 209" xfId="7411"/>
    <cellStyle name="Normal 21" xfId="899"/>
    <cellStyle name="Normal 21 2" xfId="900"/>
    <cellStyle name="Normal 21 2 2" xfId="901"/>
    <cellStyle name="Normal 21 2 2 2" xfId="902"/>
    <cellStyle name="Normal 21 2 2 2 2" xfId="903"/>
    <cellStyle name="Normal 21 2 2 2 2 2" xfId="904"/>
    <cellStyle name="Normal 21 2 2 2 2 2 2" xfId="905"/>
    <cellStyle name="Normal 21 2 2 2 2 3" xfId="906"/>
    <cellStyle name="Normal 21 2 2 2 3" xfId="907"/>
    <cellStyle name="Normal 21 2 2 2 3 2" xfId="908"/>
    <cellStyle name="Normal 21 2 2 2 4" xfId="909"/>
    <cellStyle name="Normal 21 2 2 3" xfId="910"/>
    <cellStyle name="Normal 21 2 2 3 2" xfId="911"/>
    <cellStyle name="Normal 21 2 2 3 2 2" xfId="912"/>
    <cellStyle name="Normal 21 2 2 3 3" xfId="913"/>
    <cellStyle name="Normal 21 2 2 4" xfId="914"/>
    <cellStyle name="Normal 21 2 2 4 2" xfId="915"/>
    <cellStyle name="Normal 21 2 2 5" xfId="916"/>
    <cellStyle name="Normal 21 2 2 6" xfId="5014"/>
    <cellStyle name="Normal 21 2 2 7" xfId="4285"/>
    <cellStyle name="Normal 21 2 3" xfId="917"/>
    <cellStyle name="Normal 21 2 3 2" xfId="918"/>
    <cellStyle name="Normal 21 2 3 2 2" xfId="919"/>
    <cellStyle name="Normal 21 2 3 2 2 2" xfId="920"/>
    <cellStyle name="Normal 21 2 3 2 3" xfId="921"/>
    <cellStyle name="Normal 21 2 3 3" xfId="922"/>
    <cellStyle name="Normal 21 2 3 3 2" xfId="923"/>
    <cellStyle name="Normal 21 2 3 4" xfId="924"/>
    <cellStyle name="Normal 21 2 3 5" xfId="5015"/>
    <cellStyle name="Normal 21 2 3 6" xfId="4286"/>
    <cellStyle name="Normal 21 2 4" xfId="925"/>
    <cellStyle name="Normal 21 2 4 2" xfId="926"/>
    <cellStyle name="Normal 21 2 4 2 2" xfId="927"/>
    <cellStyle name="Normal 21 2 4 3" xfId="928"/>
    <cellStyle name="Normal 21 2 5" xfId="929"/>
    <cellStyle name="Normal 21 2 5 2" xfId="930"/>
    <cellStyle name="Normal 21 2 6" xfId="931"/>
    <cellStyle name="Normal 21 2 7" xfId="5013"/>
    <cellStyle name="Normal 21 3" xfId="932"/>
    <cellStyle name="Normal 21 3 2" xfId="933"/>
    <cellStyle name="Normal 21 3 2 2" xfId="934"/>
    <cellStyle name="Normal 21 3 2 2 2" xfId="935"/>
    <cellStyle name="Normal 21 3 2 2 2 2" xfId="936"/>
    <cellStyle name="Normal 21 3 2 2 3" xfId="937"/>
    <cellStyle name="Normal 21 3 2 3" xfId="938"/>
    <cellStyle name="Normal 21 3 2 3 2" xfId="939"/>
    <cellStyle name="Normal 21 3 2 4" xfId="940"/>
    <cellStyle name="Normal 21 3 2 5" xfId="5017"/>
    <cellStyle name="Normal 21 3 2 6" xfId="4288"/>
    <cellStyle name="Normal 21 3 3" xfId="941"/>
    <cellStyle name="Normal 21 3 3 2" xfId="942"/>
    <cellStyle name="Normal 21 3 3 2 2" xfId="943"/>
    <cellStyle name="Normal 21 3 3 3" xfId="944"/>
    <cellStyle name="Normal 21 3 3 4" xfId="5018"/>
    <cellStyle name="Normal 21 3 3 5" xfId="4289"/>
    <cellStyle name="Normal 21 3 4" xfId="945"/>
    <cellStyle name="Normal 21 3 4 2" xfId="946"/>
    <cellStyle name="Normal 21 3 5" xfId="947"/>
    <cellStyle name="Normal 21 3 6" xfId="5016"/>
    <cellStyle name="Normal 21 3 7" xfId="4287"/>
    <cellStyle name="Normal 21 4" xfId="948"/>
    <cellStyle name="Normal 21 4 2" xfId="949"/>
    <cellStyle name="Normal 21 4 2 2" xfId="950"/>
    <cellStyle name="Normal 21 4 2 2 2" xfId="951"/>
    <cellStyle name="Normal 21 4 2 3" xfId="952"/>
    <cellStyle name="Normal 21 4 2 4" xfId="5020"/>
    <cellStyle name="Normal 21 4 2 5" xfId="4291"/>
    <cellStyle name="Normal 21 4 3" xfId="953"/>
    <cellStyle name="Normal 21 4 3 2" xfId="954"/>
    <cellStyle name="Normal 21 4 4" xfId="955"/>
    <cellStyle name="Normal 21 4 5" xfId="5019"/>
    <cellStyle name="Normal 21 4 6" xfId="4290"/>
    <cellStyle name="Normal 21 5" xfId="956"/>
    <cellStyle name="Normal 21 5 2" xfId="957"/>
    <cellStyle name="Normal 21 5 2 2" xfId="958"/>
    <cellStyle name="Normal 21 5 2 3" xfId="5022"/>
    <cellStyle name="Normal 21 5 2 4" xfId="4293"/>
    <cellStyle name="Normal 21 5 3" xfId="959"/>
    <cellStyle name="Normal 21 5 4" xfId="5021"/>
    <cellStyle name="Normal 21 5 5" xfId="4292"/>
    <cellStyle name="Normal 21 6" xfId="960"/>
    <cellStyle name="Normal 21 6 2" xfId="961"/>
    <cellStyle name="Normal 21 6 2 2" xfId="5024"/>
    <cellStyle name="Normal 21 6 2 3" xfId="4295"/>
    <cellStyle name="Normal 21 6 3" xfId="5023"/>
    <cellStyle name="Normal 21 6 4" xfId="4294"/>
    <cellStyle name="Normal 21 7" xfId="962"/>
    <cellStyle name="Normal 21 7 2" xfId="5025"/>
    <cellStyle name="Normal 21 7 3" xfId="4296"/>
    <cellStyle name="Normal 21 8" xfId="4297"/>
    <cellStyle name="Normal 21 8 2" xfId="14461"/>
    <cellStyle name="Normal 21 8 3" xfId="13708"/>
    <cellStyle name="Normal 21 8_Base RF" xfId="14910"/>
    <cellStyle name="Normal 21 9" xfId="4298"/>
    <cellStyle name="Normal 21 9 2" xfId="14462"/>
    <cellStyle name="Normal 21 9 3" xfId="7571"/>
    <cellStyle name="Normal 21 9_Base RF" xfId="14911"/>
    <cellStyle name="Normal 21_CAC" xfId="4299"/>
    <cellStyle name="Normal 210" xfId="6171"/>
    <cellStyle name="Normal 211" xfId="8441"/>
    <cellStyle name="Normal 212" xfId="7410"/>
    <cellStyle name="Normal 213" xfId="7570"/>
    <cellStyle name="Normal 214" xfId="6170"/>
    <cellStyle name="Normal 215" xfId="8439"/>
    <cellStyle name="Normal 216" xfId="9446"/>
    <cellStyle name="Normal 217" xfId="7409"/>
    <cellStyle name="Normal 218" xfId="8440"/>
    <cellStyle name="Normal 219" xfId="7569"/>
    <cellStyle name="Normal 22" xfId="963"/>
    <cellStyle name="Normal 22 10" xfId="13821"/>
    <cellStyle name="Normal 22 2" xfId="964"/>
    <cellStyle name="Normal 22 2 2" xfId="965"/>
    <cellStyle name="Normal 22 2 2 2" xfId="5027"/>
    <cellStyle name="Normal 22 2 2 3" xfId="4300"/>
    <cellStyle name="Normal 22 2 3" xfId="4301"/>
    <cellStyle name="Normal 22 2 4" xfId="5026"/>
    <cellStyle name="Normal 22 2_NDF" xfId="966"/>
    <cellStyle name="Normal 22 3" xfId="967"/>
    <cellStyle name="Normal 22 3 2" xfId="4303"/>
    <cellStyle name="Normal 22 3 3" xfId="5028"/>
    <cellStyle name="Normal 22 3 4" xfId="4302"/>
    <cellStyle name="Normal 22 4" xfId="4304"/>
    <cellStyle name="Normal 22 4 2" xfId="4305"/>
    <cellStyle name="Normal 22 4 3" xfId="14463"/>
    <cellStyle name="Normal 22 4 4" xfId="13710"/>
    <cellStyle name="Normal 22 4_Base RF" xfId="5505"/>
    <cellStyle name="Normal 22 5" xfId="4306"/>
    <cellStyle name="Normal 22 5 2" xfId="4307"/>
    <cellStyle name="Normal 22 5 3" xfId="14464"/>
    <cellStyle name="Normal 22 5 4" xfId="6169"/>
    <cellStyle name="Normal 22 5_Base RF" xfId="5506"/>
    <cellStyle name="Normal 22 6" xfId="4308"/>
    <cellStyle name="Normal 22 6 2" xfId="4309"/>
    <cellStyle name="Normal 22 6 3" xfId="14465"/>
    <cellStyle name="Normal 22 6 4" xfId="13803"/>
    <cellStyle name="Normal 22 6_Base RF" xfId="5507"/>
    <cellStyle name="Normal 22 7" xfId="4310"/>
    <cellStyle name="Normal 22 7 2" xfId="14466"/>
    <cellStyle name="Normal 22 7 3" xfId="13841"/>
    <cellStyle name="Normal 22 7_Base RF" xfId="14912"/>
    <cellStyle name="Normal 22 8" xfId="4311"/>
    <cellStyle name="Normal 22 8 2" xfId="14467"/>
    <cellStyle name="Normal 22 8 3" xfId="13816"/>
    <cellStyle name="Normal 22 8_Base RF" xfId="14913"/>
    <cellStyle name="Normal 22 9" xfId="4312"/>
    <cellStyle name="Normal 22 9 2" xfId="14468"/>
    <cellStyle name="Normal 22 9 3" xfId="13828"/>
    <cellStyle name="Normal 22 9_Base RF" xfId="14914"/>
    <cellStyle name="Normal 22_CAC" xfId="4313"/>
    <cellStyle name="Normal 220" xfId="8437"/>
    <cellStyle name="Normal 221" xfId="9445"/>
    <cellStyle name="Normal 222" xfId="7408"/>
    <cellStyle name="Normal 223" xfId="8438"/>
    <cellStyle name="Normal 224" xfId="7568"/>
    <cellStyle name="Normal 225" xfId="6168"/>
    <cellStyle name="Normal 226" xfId="8436"/>
    <cellStyle name="Normal 227" xfId="7407"/>
    <cellStyle name="Normal 228" xfId="7567"/>
    <cellStyle name="Normal 229" xfId="6167"/>
    <cellStyle name="Normal 23" xfId="968"/>
    <cellStyle name="Normal 23 10" xfId="5029"/>
    <cellStyle name="Normal 23 10 2" xfId="14781"/>
    <cellStyle name="Normal 23 10 3" xfId="13848"/>
    <cellStyle name="Normal 23 2" xfId="969"/>
    <cellStyle name="Normal 23 2 2" xfId="970"/>
    <cellStyle name="Normal 23 2 2 2" xfId="5031"/>
    <cellStyle name="Normal 23 2 2 3" xfId="4315"/>
    <cellStyle name="Normal 23 2 3" xfId="5030"/>
    <cellStyle name="Normal 23 2 4" xfId="4314"/>
    <cellStyle name="Normal 23 2_NDF" xfId="971"/>
    <cellStyle name="Normal 23 3" xfId="972"/>
    <cellStyle name="Normal 23 3 2" xfId="4317"/>
    <cellStyle name="Normal 23 3 3" xfId="5032"/>
    <cellStyle name="Normal 23 3 4" xfId="4316"/>
    <cellStyle name="Normal 23 4" xfId="4318"/>
    <cellStyle name="Normal 23 4 2" xfId="4319"/>
    <cellStyle name="Normal 23 4 3" xfId="14469"/>
    <cellStyle name="Normal 23 4 4" xfId="13711"/>
    <cellStyle name="Normal 23 4_Base RF" xfId="5508"/>
    <cellStyle name="Normal 23 5" xfId="4320"/>
    <cellStyle name="Normal 23 5 2" xfId="4321"/>
    <cellStyle name="Normal 23 5 3" xfId="14470"/>
    <cellStyle name="Normal 23 5 4" xfId="6166"/>
    <cellStyle name="Normal 23 5_Base RF" xfId="5509"/>
    <cellStyle name="Normal 23 6" xfId="4322"/>
    <cellStyle name="Normal 23 6 2" xfId="4323"/>
    <cellStyle name="Normal 23 6 3" xfId="14471"/>
    <cellStyle name="Normal 23 6 4" xfId="13804"/>
    <cellStyle name="Normal 23 6_Base RF" xfId="5510"/>
    <cellStyle name="Normal 23 7" xfId="4324"/>
    <cellStyle name="Normal 23 7 2" xfId="14472"/>
    <cellStyle name="Normal 23 7 3" xfId="13840"/>
    <cellStyle name="Normal 23 7_Base RF" xfId="14915"/>
    <cellStyle name="Normal 23 8" xfId="4325"/>
    <cellStyle name="Normal 23 8 2" xfId="14473"/>
    <cellStyle name="Normal 23 8 3" xfId="13817"/>
    <cellStyle name="Normal 23 8_Base RF" xfId="14916"/>
    <cellStyle name="Normal 23 9" xfId="4326"/>
    <cellStyle name="Normal 23 9 2" xfId="14474"/>
    <cellStyle name="Normal 23 9 3" xfId="13827"/>
    <cellStyle name="Normal 23 9_Base RF" xfId="14917"/>
    <cellStyle name="Normal 23_CAC" xfId="4327"/>
    <cellStyle name="Normal 230" xfId="7405"/>
    <cellStyle name="Normal 231" xfId="7565"/>
    <cellStyle name="Normal 232" xfId="6165"/>
    <cellStyle name="Normal 233" xfId="7404"/>
    <cellStyle name="Normal 234" xfId="7564"/>
    <cellStyle name="Normal 235" xfId="6164"/>
    <cellStyle name="Normal 236" xfId="7403"/>
    <cellStyle name="Normal 237" xfId="7563"/>
    <cellStyle name="Normal 238" xfId="6163"/>
    <cellStyle name="Normal 239" xfId="7402"/>
    <cellStyle name="Normal 24" xfId="973"/>
    <cellStyle name="Normal 24 2" xfId="974"/>
    <cellStyle name="Normal 24 2 2" xfId="975"/>
    <cellStyle name="Normal 24 2 2 2" xfId="13713"/>
    <cellStyle name="Normal 24 2 2 3" xfId="7401"/>
    <cellStyle name="Normal 24 2 3" xfId="5034"/>
    <cellStyle name="Normal 24 2 3 2" xfId="14782"/>
    <cellStyle name="Normal 24 2 3 3" xfId="7561"/>
    <cellStyle name="Normal 24 2 4" xfId="4328"/>
    <cellStyle name="Normal 24 2 4 2" xfId="14475"/>
    <cellStyle name="Normal 24 2 4 3" xfId="13712"/>
    <cellStyle name="Normal 24 2 5" xfId="6162"/>
    <cellStyle name="Normal 24 2_NDF" xfId="976"/>
    <cellStyle name="Normal 24 3" xfId="977"/>
    <cellStyle name="Normal 24 3 2" xfId="13714"/>
    <cellStyle name="Normal 24 3 3" xfId="6161"/>
    <cellStyle name="Normal 24 4" xfId="5033"/>
    <cellStyle name="Normal 24 5" xfId="7562"/>
    <cellStyle name="Normal 24_NDF" xfId="978"/>
    <cellStyle name="Normal 240" xfId="7400"/>
    <cellStyle name="Normal 241" xfId="7560"/>
    <cellStyle name="Normal 242" xfId="6160"/>
    <cellStyle name="Normal 243" xfId="7399"/>
    <cellStyle name="Normal 244" xfId="7559"/>
    <cellStyle name="Normal 245" xfId="6159"/>
    <cellStyle name="Normal 246" xfId="7398"/>
    <cellStyle name="Normal 247" xfId="7558"/>
    <cellStyle name="Normal 248" xfId="6158"/>
    <cellStyle name="Normal 249" xfId="7397"/>
    <cellStyle name="Normal 25" xfId="979"/>
    <cellStyle name="Normal 25 10" xfId="13849"/>
    <cellStyle name="Normal 25 2" xfId="980"/>
    <cellStyle name="Normal 25 2 2" xfId="981"/>
    <cellStyle name="Normal 25 2 2 2" xfId="5036"/>
    <cellStyle name="Normal 25 2 2 3" xfId="4330"/>
    <cellStyle name="Normal 25 2 3" xfId="5035"/>
    <cellStyle name="Normal 25 2 4" xfId="4329"/>
    <cellStyle name="Normal 25 2_NDF" xfId="982"/>
    <cellStyle name="Normal 25 3" xfId="983"/>
    <cellStyle name="Normal 25 3 2" xfId="4332"/>
    <cellStyle name="Normal 25 3 3" xfId="5037"/>
    <cellStyle name="Normal 25 3 4" xfId="4331"/>
    <cellStyle name="Normal 25 4" xfId="4333"/>
    <cellStyle name="Normal 25 4 2" xfId="4334"/>
    <cellStyle name="Normal 25 4 3" xfId="14476"/>
    <cellStyle name="Normal 25 4 4" xfId="13715"/>
    <cellStyle name="Normal 25 4_Base RF" xfId="5511"/>
    <cellStyle name="Normal 25 5" xfId="4335"/>
    <cellStyle name="Normal 25 5 2" xfId="4336"/>
    <cellStyle name="Normal 25 5 3" xfId="14477"/>
    <cellStyle name="Normal 25 5 4" xfId="7557"/>
    <cellStyle name="Normal 25 5_Base RF" xfId="5512"/>
    <cellStyle name="Normal 25 6" xfId="4337"/>
    <cellStyle name="Normal 25 6 2" xfId="4338"/>
    <cellStyle name="Normal 25 6 3" xfId="14478"/>
    <cellStyle name="Normal 25 6 4" xfId="13805"/>
    <cellStyle name="Normal 25 6_Base RF" xfId="5513"/>
    <cellStyle name="Normal 25 7" xfId="4339"/>
    <cellStyle name="Normal 25 7 2" xfId="14479"/>
    <cellStyle name="Normal 25 7 3" xfId="13839"/>
    <cellStyle name="Normal 25 7_Base RF" xfId="14918"/>
    <cellStyle name="Normal 25 8" xfId="4340"/>
    <cellStyle name="Normal 25 8 2" xfId="14480"/>
    <cellStyle name="Normal 25 8 3" xfId="13818"/>
    <cellStyle name="Normal 25 8_Base RF" xfId="14919"/>
    <cellStyle name="Normal 25 9" xfId="4341"/>
    <cellStyle name="Normal 25 9 2" xfId="14481"/>
    <cellStyle name="Normal 25 9 3" xfId="13826"/>
    <cellStyle name="Normal 25 9_Base RF" xfId="14920"/>
    <cellStyle name="Normal 25_CAC" xfId="4342"/>
    <cellStyle name="Normal 250" xfId="6157"/>
    <cellStyle name="Normal 251" xfId="7396"/>
    <cellStyle name="Normal 252" xfId="7556"/>
    <cellStyle name="Normal 253" xfId="6156"/>
    <cellStyle name="Normal 254" xfId="8434"/>
    <cellStyle name="Normal 255" xfId="7395"/>
    <cellStyle name="Normal 256" xfId="7555"/>
    <cellStyle name="Normal 257" xfId="6155"/>
    <cellStyle name="Normal 258" xfId="7394"/>
    <cellStyle name="Normal 259" xfId="7554"/>
    <cellStyle name="Normal 26" xfId="984"/>
    <cellStyle name="Normal 26 10" xfId="13822"/>
    <cellStyle name="Normal 26 2" xfId="985"/>
    <cellStyle name="Normal 26 2 2" xfId="986"/>
    <cellStyle name="Normal 26 2 2 2" xfId="5039"/>
    <cellStyle name="Normal 26 2 2 3" xfId="4344"/>
    <cellStyle name="Normal 26 2 3" xfId="5038"/>
    <cellStyle name="Normal 26 2 4" xfId="4343"/>
    <cellStyle name="Normal 26 2_NDF" xfId="987"/>
    <cellStyle name="Normal 26 3" xfId="988"/>
    <cellStyle name="Normal 26 3 2" xfId="4346"/>
    <cellStyle name="Normal 26 3 3" xfId="5040"/>
    <cellStyle name="Normal 26 3 4" xfId="4345"/>
    <cellStyle name="Normal 26 4" xfId="4347"/>
    <cellStyle name="Normal 26 4 2" xfId="4348"/>
    <cellStyle name="Normal 26 4 3" xfId="14482"/>
    <cellStyle name="Normal 26 4 4" xfId="13716"/>
    <cellStyle name="Normal 26 4_Base RF" xfId="5514"/>
    <cellStyle name="Normal 26 5" xfId="4349"/>
    <cellStyle name="Normal 26 5 2" xfId="4350"/>
    <cellStyle name="Normal 26 5 3" xfId="14483"/>
    <cellStyle name="Normal 26 5 4" xfId="6154"/>
    <cellStyle name="Normal 26 5_Base RF" xfId="5515"/>
    <cellStyle name="Normal 26 6" xfId="4351"/>
    <cellStyle name="Normal 26 6 2" xfId="4352"/>
    <cellStyle name="Normal 26 6 3" xfId="14484"/>
    <cellStyle name="Normal 26 6 4" xfId="13806"/>
    <cellStyle name="Normal 26 6_Base RF" xfId="5516"/>
    <cellStyle name="Normal 26 7" xfId="4353"/>
    <cellStyle name="Normal 26 7 2" xfId="14485"/>
    <cellStyle name="Normal 26 7 3" xfId="13838"/>
    <cellStyle name="Normal 26 7_Base RF" xfId="14921"/>
    <cellStyle name="Normal 26 8" xfId="4354"/>
    <cellStyle name="Normal 26 8 2" xfId="14486"/>
    <cellStyle name="Normal 26 8 3" xfId="13819"/>
    <cellStyle name="Normal 26 8_Base RF" xfId="14922"/>
    <cellStyle name="Normal 26 9" xfId="4355"/>
    <cellStyle name="Normal 26 9 2" xfId="14487"/>
    <cellStyle name="Normal 26 9 3" xfId="13825"/>
    <cellStyle name="Normal 26 9_Base RF" xfId="14923"/>
    <cellStyle name="Normal 26_CAC" xfId="4356"/>
    <cellStyle name="Normal 260" xfId="7393"/>
    <cellStyle name="Normal 261" xfId="7553"/>
    <cellStyle name="Normal 262" xfId="6153"/>
    <cellStyle name="Normal 263" xfId="8433"/>
    <cellStyle name="Normal 264" xfId="7392"/>
    <cellStyle name="Normal 265" xfId="7552"/>
    <cellStyle name="Normal 266" xfId="6152"/>
    <cellStyle name="Normal 267" xfId="8431"/>
    <cellStyle name="Normal 268" xfId="9444"/>
    <cellStyle name="Normal 269" xfId="7391"/>
    <cellStyle name="Normal 27" xfId="989"/>
    <cellStyle name="Normal 27 10" xfId="13823"/>
    <cellStyle name="Normal 27 2" xfId="990"/>
    <cellStyle name="Normal 27 2 2" xfId="991"/>
    <cellStyle name="Normal 27 2 2 2" xfId="5042"/>
    <cellStyle name="Normal 27 2 2 3" xfId="4358"/>
    <cellStyle name="Normal 27 2 3" xfId="5041"/>
    <cellStyle name="Normal 27 2 4" xfId="4357"/>
    <cellStyle name="Normal 27 2_NDF" xfId="992"/>
    <cellStyle name="Normal 27 3" xfId="993"/>
    <cellStyle name="Normal 27 3 2" xfId="4360"/>
    <cellStyle name="Normal 27 3 3" xfId="5043"/>
    <cellStyle name="Normal 27 3 4" xfId="4359"/>
    <cellStyle name="Normal 27 4" xfId="4361"/>
    <cellStyle name="Normal 27 4 2" xfId="4362"/>
    <cellStyle name="Normal 27 4 3" xfId="14488"/>
    <cellStyle name="Normal 27 4 4" xfId="13717"/>
    <cellStyle name="Normal 27 4_Base RF" xfId="5517"/>
    <cellStyle name="Normal 27 5" xfId="4363"/>
    <cellStyle name="Normal 27 5 2" xfId="4364"/>
    <cellStyle name="Normal 27 5 3" xfId="14489"/>
    <cellStyle name="Normal 27 5 4" xfId="8432"/>
    <cellStyle name="Normal 27 5_Base RF" xfId="5518"/>
    <cellStyle name="Normal 27 6" xfId="4365"/>
    <cellStyle name="Normal 27 6 2" xfId="14490"/>
    <cellStyle name="Normal 27 6 3" xfId="13807"/>
    <cellStyle name="Normal 27 6_Base RF" xfId="14924"/>
    <cellStyle name="Normal 27 7" xfId="4366"/>
    <cellStyle name="Normal 27 7 2" xfId="14491"/>
    <cellStyle name="Normal 27 7 3" xfId="13837"/>
    <cellStyle name="Normal 27 7_Base RF" xfId="14925"/>
    <cellStyle name="Normal 27 8" xfId="4367"/>
    <cellStyle name="Normal 27 8 2" xfId="14492"/>
    <cellStyle name="Normal 27 8 3" xfId="13820"/>
    <cellStyle name="Normal 27 8_Base RF" xfId="14926"/>
    <cellStyle name="Normal 27 9" xfId="13824"/>
    <cellStyle name="Normal 27_NDF" xfId="994"/>
    <cellStyle name="Normal 270" xfId="7551"/>
    <cellStyle name="Normal 271" xfId="6151"/>
    <cellStyle name="Normal 272" xfId="8429"/>
    <cellStyle name="Normal 273" xfId="9443"/>
    <cellStyle name="Normal 274" xfId="7390"/>
    <cellStyle name="Normal 275" xfId="8430"/>
    <cellStyle name="Normal 276" xfId="7550"/>
    <cellStyle name="Normal 277" xfId="6150"/>
    <cellStyle name="Normal 278" xfId="8428"/>
    <cellStyle name="Normal 279" xfId="7389"/>
    <cellStyle name="Normal 28" xfId="995"/>
    <cellStyle name="Normal 28 10" xfId="13836"/>
    <cellStyle name="Normal 28 2" xfId="996"/>
    <cellStyle name="Normal 28 2 2" xfId="997"/>
    <cellStyle name="Normal 28 2 2 2" xfId="998"/>
    <cellStyle name="Normal 28 2 2 2 2" xfId="999"/>
    <cellStyle name="Normal 28 2 2 2 2 2" xfId="1000"/>
    <cellStyle name="Normal 28 2 2 2 3" xfId="1001"/>
    <cellStyle name="Normal 28 2 2 3" xfId="1002"/>
    <cellStyle name="Normal 28 2 2 3 2" xfId="1003"/>
    <cellStyle name="Normal 28 2 2 4" xfId="1004"/>
    <cellStyle name="Normal 28 2 2 5" xfId="5045"/>
    <cellStyle name="Normal 28 2 2 6" xfId="4369"/>
    <cellStyle name="Normal 28 2 3" xfId="1005"/>
    <cellStyle name="Normal 28 2 3 2" xfId="1006"/>
    <cellStyle name="Normal 28 2 3 2 2" xfId="1007"/>
    <cellStyle name="Normal 28 2 3 3" xfId="1008"/>
    <cellStyle name="Normal 28 2 4" xfId="1009"/>
    <cellStyle name="Normal 28 2 4 2" xfId="1010"/>
    <cellStyle name="Normal 28 2 5" xfId="1011"/>
    <cellStyle name="Normal 28 2 6" xfId="5044"/>
    <cellStyle name="Normal 28 2 7" xfId="4368"/>
    <cellStyle name="Normal 28 2_NDF" xfId="1012"/>
    <cellStyle name="Normal 28 3" xfId="1013"/>
    <cellStyle name="Normal 28 3 2" xfId="1014"/>
    <cellStyle name="Normal 28 3 2 2" xfId="1015"/>
    <cellStyle name="Normal 28 3 2 2 2" xfId="1016"/>
    <cellStyle name="Normal 28 3 2 3" xfId="1017"/>
    <cellStyle name="Normal 28 3 2 4" xfId="5047"/>
    <cellStyle name="Normal 28 3 2 5" xfId="4371"/>
    <cellStyle name="Normal 28 3 3" xfId="1018"/>
    <cellStyle name="Normal 28 3 3 2" xfId="1019"/>
    <cellStyle name="Normal 28 3 4" xfId="1020"/>
    <cellStyle name="Normal 28 3 5" xfId="5046"/>
    <cellStyle name="Normal 28 3 6" xfId="4370"/>
    <cellStyle name="Normal 28 4" xfId="1021"/>
    <cellStyle name="Normal 28 4 2" xfId="1022"/>
    <cellStyle name="Normal 28 4 2 2" xfId="1023"/>
    <cellStyle name="Normal 28 4 2 3" xfId="5049"/>
    <cellStyle name="Normal 28 4 2 4" xfId="4373"/>
    <cellStyle name="Normal 28 4 3" xfId="1024"/>
    <cellStyle name="Normal 28 4 4" xfId="5048"/>
    <cellStyle name="Normal 28 4 5" xfId="4372"/>
    <cellStyle name="Normal 28 5" xfId="1025"/>
    <cellStyle name="Normal 28 5 2" xfId="1026"/>
    <cellStyle name="Normal 28 5 2 2" xfId="5051"/>
    <cellStyle name="Normal 28 5 2 3" xfId="4375"/>
    <cellStyle name="Normal 28 5 3" xfId="5050"/>
    <cellStyle name="Normal 28 5 4" xfId="4374"/>
    <cellStyle name="Normal 28 6" xfId="1027"/>
    <cellStyle name="Normal 28 6 2" xfId="5052"/>
    <cellStyle name="Normal 28 6 3" xfId="4376"/>
    <cellStyle name="Normal 28 7" xfId="4377"/>
    <cellStyle name="Normal 28 7 2" xfId="14493"/>
    <cellStyle name="Normal 28 7 3" xfId="13718"/>
    <cellStyle name="Normal 28 7_Base RF" xfId="14927"/>
    <cellStyle name="Normal 28 8" xfId="4378"/>
    <cellStyle name="Normal 28 8 2" xfId="14494"/>
    <cellStyle name="Normal 28 8 3" xfId="7549"/>
    <cellStyle name="Normal 28 8_Base RF" xfId="14928"/>
    <cellStyle name="Normal 28 9" xfId="13808"/>
    <cellStyle name="Normal 28_NDF" xfId="1028"/>
    <cellStyle name="Normal 280" xfId="6149"/>
    <cellStyle name="Normal 281" xfId="8427"/>
    <cellStyle name="Normal 282" xfId="9442"/>
    <cellStyle name="Normal 283" xfId="7388"/>
    <cellStyle name="Normal 284" xfId="9246"/>
    <cellStyle name="Normal 285" xfId="7548"/>
    <cellStyle name="Normal 286" xfId="6148"/>
    <cellStyle name="Normal 287" xfId="6147"/>
    <cellStyle name="Normal 288" xfId="7387"/>
    <cellStyle name="Normal 289" xfId="7547"/>
    <cellStyle name="Normal 29" xfId="1029"/>
    <cellStyle name="Normal 29 10" xfId="13835"/>
    <cellStyle name="Normal 29 2" xfId="1030"/>
    <cellStyle name="Normal 29 2 2" xfId="1031"/>
    <cellStyle name="Normal 29 2 2 2" xfId="1032"/>
    <cellStyle name="Normal 29 2 2 2 2" xfId="1033"/>
    <cellStyle name="Normal 29 2 2 2 2 2" xfId="1034"/>
    <cellStyle name="Normal 29 2 2 2 3" xfId="1035"/>
    <cellStyle name="Normal 29 2 2 3" xfId="1036"/>
    <cellStyle name="Normal 29 2 2 3 2" xfId="1037"/>
    <cellStyle name="Normal 29 2 2 4" xfId="1038"/>
    <cellStyle name="Normal 29 2 2 5" xfId="5055"/>
    <cellStyle name="Normal 29 2 2 6" xfId="4380"/>
    <cellStyle name="Normal 29 2 3" xfId="1039"/>
    <cellStyle name="Normal 29 2 3 2" xfId="1040"/>
    <cellStyle name="Normal 29 2 3 2 2" xfId="1041"/>
    <cellStyle name="Normal 29 2 3 3" xfId="1042"/>
    <cellStyle name="Normal 29 2 4" xfId="1043"/>
    <cellStyle name="Normal 29 2 4 2" xfId="1044"/>
    <cellStyle name="Normal 29 2 5" xfId="1045"/>
    <cellStyle name="Normal 29 2 6" xfId="5054"/>
    <cellStyle name="Normal 29 2 7" xfId="4379"/>
    <cellStyle name="Normal 29 2_NDF" xfId="1046"/>
    <cellStyle name="Normal 29 3" xfId="1047"/>
    <cellStyle name="Normal 29 3 2" xfId="1048"/>
    <cellStyle name="Normal 29 3 2 2" xfId="1049"/>
    <cellStyle name="Normal 29 3 2 2 2" xfId="1050"/>
    <cellStyle name="Normal 29 3 2 3" xfId="1051"/>
    <cellStyle name="Normal 29 3 2 4" xfId="5057"/>
    <cellStyle name="Normal 29 3 2 5" xfId="4382"/>
    <cellStyle name="Normal 29 3 3" xfId="1052"/>
    <cellStyle name="Normal 29 3 3 2" xfId="1053"/>
    <cellStyle name="Normal 29 3 4" xfId="1054"/>
    <cellStyle name="Normal 29 3 5" xfId="5056"/>
    <cellStyle name="Normal 29 3 6" xfId="4381"/>
    <cellStyle name="Normal 29 4" xfId="1055"/>
    <cellStyle name="Normal 29 4 2" xfId="1056"/>
    <cellStyle name="Normal 29 4 2 2" xfId="1057"/>
    <cellStyle name="Normal 29 4 2 3" xfId="5059"/>
    <cellStyle name="Normal 29 4 2 4" xfId="4384"/>
    <cellStyle name="Normal 29 4 3" xfId="1058"/>
    <cellStyle name="Normal 29 4 4" xfId="5058"/>
    <cellStyle name="Normal 29 4 5" xfId="4383"/>
    <cellStyle name="Normal 29 5" xfId="1059"/>
    <cellStyle name="Normal 29 5 2" xfId="1060"/>
    <cellStyle name="Normal 29 5 2 2" xfId="5061"/>
    <cellStyle name="Normal 29 5 2 3" xfId="4386"/>
    <cellStyle name="Normal 29 5 3" xfId="5060"/>
    <cellStyle name="Normal 29 5 4" xfId="4385"/>
    <cellStyle name="Normal 29 6" xfId="1061"/>
    <cellStyle name="Normal 29 6 2" xfId="5062"/>
    <cellStyle name="Normal 29 6 3" xfId="4387"/>
    <cellStyle name="Normal 29 7" xfId="4388"/>
    <cellStyle name="Normal 29 7 2" xfId="14495"/>
    <cellStyle name="Normal 29 7 3" xfId="13720"/>
    <cellStyle name="Normal 29 7_Base RF" xfId="14929"/>
    <cellStyle name="Normal 29 8" xfId="4389"/>
    <cellStyle name="Normal 29 8 2" xfId="14496"/>
    <cellStyle name="Normal 29 8 3" xfId="6146"/>
    <cellStyle name="Normal 29 8_Base RF" xfId="14930"/>
    <cellStyle name="Normal 29 9" xfId="5053"/>
    <cellStyle name="Normal 29 9 2" xfId="14783"/>
    <cellStyle name="Normal 29 9 3" xfId="13809"/>
    <cellStyle name="Normal 290" xfId="7386"/>
    <cellStyle name="Normal 291" xfId="7546"/>
    <cellStyle name="Normal 292" xfId="6145"/>
    <cellStyle name="Normal 293" xfId="7385"/>
    <cellStyle name="Normal 294" xfId="7545"/>
    <cellStyle name="Normal 295" xfId="6144"/>
    <cellStyle name="Normal 296" xfId="7384"/>
    <cellStyle name="Normal 297" xfId="7544"/>
    <cellStyle name="Normal 298" xfId="6143"/>
    <cellStyle name="Normal 299" xfId="7383"/>
    <cellStyle name="Normal 3" xfId="70"/>
    <cellStyle name="Normal 3 2" xfId="1063"/>
    <cellStyle name="Normal 3 2 2" xfId="1064"/>
    <cellStyle name="Normal 3 2 2 10" xfId="4390"/>
    <cellStyle name="Normal 3 2 2 2" xfId="1065"/>
    <cellStyle name="Normal 3 2 2 2 2" xfId="1066"/>
    <cellStyle name="Normal 3 2 2 2 2 2" xfId="1067"/>
    <cellStyle name="Normal 3 2 2 2 2 2 2" xfId="1068"/>
    <cellStyle name="Normal 3 2 2 2 2 2 2 2" xfId="1069"/>
    <cellStyle name="Normal 3 2 2 2 2 2 2 2 2" xfId="1070"/>
    <cellStyle name="Normal 3 2 2 2 2 2 2 3" xfId="1071"/>
    <cellStyle name="Normal 3 2 2 2 2 2 3" xfId="1072"/>
    <cellStyle name="Normal 3 2 2 2 2 2 3 2" xfId="1073"/>
    <cellStyle name="Normal 3 2 2 2 2 2 4" xfId="1074"/>
    <cellStyle name="Normal 3 2 2 2 2 2 4 2" xfId="1075"/>
    <cellStyle name="Normal 3 2 2 2 2 3" xfId="1076"/>
    <cellStyle name="Normal 3 2 2 2 2 3 2" xfId="1077"/>
    <cellStyle name="Normal 3 2 2 2 2 3 2 2" xfId="1078"/>
    <cellStyle name="Normal 3 2 2 2 2 3 3" xfId="1079"/>
    <cellStyle name="Normal 3 2 2 2 2 4" xfId="1080"/>
    <cellStyle name="Normal 3 2 2 2 2 4 2" xfId="1081"/>
    <cellStyle name="Normal 3 2 2 2 2 5" xfId="1082"/>
    <cellStyle name="Normal 3 2 2 2 3" xfId="1083"/>
    <cellStyle name="Normal 3 2 2 2 3 2" xfId="1084"/>
    <cellStyle name="Normal 3 2 2 2 3 2 2" xfId="1085"/>
    <cellStyle name="Normal 3 2 2 2 3 2 2 2" xfId="1086"/>
    <cellStyle name="Normal 3 2 2 2 3 2 3" xfId="1087"/>
    <cellStyle name="Normal 3 2 2 2 3 3" xfId="1088"/>
    <cellStyle name="Normal 3 2 2 2 3 3 2" xfId="1089"/>
    <cellStyle name="Normal 3 2 2 2 3 4" xfId="1090"/>
    <cellStyle name="Normal 3 2 2 2 4" xfId="1091"/>
    <cellStyle name="Normal 3 2 2 2 4 2" xfId="1092"/>
    <cellStyle name="Normal 3 2 2 2 4 2 2" xfId="1093"/>
    <cellStyle name="Normal 3 2 2 2 4 3" xfId="1094"/>
    <cellStyle name="Normal 3 2 2 2 5" xfId="1095"/>
    <cellStyle name="Normal 3 2 2 2 5 2" xfId="1096"/>
    <cellStyle name="Normal 3 2 2 2 6" xfId="1097"/>
    <cellStyle name="Normal 3 2 2 3" xfId="1098"/>
    <cellStyle name="Normal 3 2 2 3 2" xfId="1099"/>
    <cellStyle name="Normal 3 2 2 3 2 2" xfId="1100"/>
    <cellStyle name="Normal 3 2 2 3 2 2 2" xfId="1101"/>
    <cellStyle name="Normal 3 2 2 3 2 2 2 2" xfId="1102"/>
    <cellStyle name="Normal 3 2 2 3 2 2 3" xfId="1103"/>
    <cellStyle name="Normal 3 2 2 3 2 3" xfId="1104"/>
    <cellStyle name="Normal 3 2 2 3 2 3 2" xfId="1105"/>
    <cellStyle name="Normal 3 2 2 3 2 4" xfId="1106"/>
    <cellStyle name="Normal 3 2 2 3 3" xfId="1107"/>
    <cellStyle name="Normal 3 2 2 3 3 2" xfId="1108"/>
    <cellStyle name="Normal 3 2 2 3 3 2 2" xfId="1109"/>
    <cellStyle name="Normal 3 2 2 3 3 3" xfId="1110"/>
    <cellStyle name="Normal 3 2 2 3 4" xfId="1111"/>
    <cellStyle name="Normal 3 2 2 3 4 2" xfId="1112"/>
    <cellStyle name="Normal 3 2 2 3 5" xfId="1113"/>
    <cellStyle name="Normal 3 2 2 4" xfId="1114"/>
    <cellStyle name="Normal 3 2 2 4 2" xfId="1115"/>
    <cellStyle name="Normal 3 2 2 4 2 2" xfId="1116"/>
    <cellStyle name="Normal 3 2 2 4 2 2 2" xfId="1117"/>
    <cellStyle name="Normal 3 2 2 4 2 3" xfId="1118"/>
    <cellStyle name="Normal 3 2 2 4 3" xfId="1119"/>
    <cellStyle name="Normal 3 2 2 4 3 2" xfId="1120"/>
    <cellStyle name="Normal 3 2 2 4 4" xfId="1121"/>
    <cellStyle name="Normal 3 2 2 5" xfId="1122"/>
    <cellStyle name="Normal 3 2 2 5 2" xfId="1123"/>
    <cellStyle name="Normal 3 2 2 5 2 2" xfId="1124"/>
    <cellStyle name="Normal 3 2 2 5 3" xfId="1125"/>
    <cellStyle name="Normal 3 2 2 6" xfId="1126"/>
    <cellStyle name="Normal 3 2 2 6 2" xfId="1127"/>
    <cellStyle name="Normal 3 2 2 7" xfId="1128"/>
    <cellStyle name="Normal 3 2 2 7 2" xfId="1129"/>
    <cellStyle name="Normal 3 2 2 8" xfId="1130"/>
    <cellStyle name="Normal 3 2 2 9" xfId="5063"/>
    <cellStyle name="Normal 3 2 3" xfId="7543"/>
    <cellStyle name="Normal 3 3" xfId="1062"/>
    <cellStyle name="Normal 3 3 2" xfId="4391"/>
    <cellStyle name="Normal 3 3 3" xfId="7382"/>
    <cellStyle name="Normal 3 4" xfId="2526"/>
    <cellStyle name="Normal 3 4 2" xfId="4393"/>
    <cellStyle name="Normal 3 4 2 2" xfId="14497"/>
    <cellStyle name="Normal 3 4 2 3" xfId="13792"/>
    <cellStyle name="Normal 3 4 3" xfId="5316"/>
    <cellStyle name="Normal 3 4 3 2" xfId="14837"/>
    <cellStyle name="Normal 3 4 3 3" xfId="6142"/>
    <cellStyle name="Normal 3 4 3_Base RF" xfId="14931"/>
    <cellStyle name="Normal 3 4 4" xfId="4392"/>
    <cellStyle name="Normal 3 4_Base RF" xfId="5520"/>
    <cellStyle name="Normal 3 5" xfId="4394"/>
    <cellStyle name="Normal 3 5 2" xfId="14498"/>
    <cellStyle name="Normal 3 5 3" xfId="7381"/>
    <cellStyle name="Normal 3 6" xfId="13622"/>
    <cellStyle name="Normal 3 7" xfId="13656"/>
    <cellStyle name="Normal 3_Base RF" xfId="5519"/>
    <cellStyle name="Normal 30" xfId="1131"/>
    <cellStyle name="Normal 30 10" xfId="13834"/>
    <cellStyle name="Normal 30 2" xfId="1132"/>
    <cellStyle name="Normal 30 2 2" xfId="1133"/>
    <cellStyle name="Normal 30 2 2 2" xfId="1134"/>
    <cellStyle name="Normal 30 2 2 2 2" xfId="1135"/>
    <cellStyle name="Normal 30 2 2 2 2 2" xfId="1136"/>
    <cellStyle name="Normal 30 2 2 2 3" xfId="1137"/>
    <cellStyle name="Normal 30 2 2 3" xfId="1138"/>
    <cellStyle name="Normal 30 2 2 3 2" xfId="1139"/>
    <cellStyle name="Normal 30 2 2 4" xfId="1140"/>
    <cellStyle name="Normal 30 2 2 5" xfId="5065"/>
    <cellStyle name="Normal 30 2 2 6" xfId="4396"/>
    <cellStyle name="Normal 30 2 3" xfId="1141"/>
    <cellStyle name="Normal 30 2 3 2" xfId="1142"/>
    <cellStyle name="Normal 30 2 3 2 2" xfId="1143"/>
    <cellStyle name="Normal 30 2 3 3" xfId="1144"/>
    <cellStyle name="Normal 30 2 4" xfId="1145"/>
    <cellStyle name="Normal 30 2 4 2" xfId="1146"/>
    <cellStyle name="Normal 30 2 5" xfId="1147"/>
    <cellStyle name="Normal 30 2 6" xfId="5064"/>
    <cellStyle name="Normal 30 2 7" xfId="4395"/>
    <cellStyle name="Normal 30 2_NDF" xfId="1148"/>
    <cellStyle name="Normal 30 3" xfId="1149"/>
    <cellStyle name="Normal 30 3 2" xfId="1150"/>
    <cellStyle name="Normal 30 3 2 2" xfId="1151"/>
    <cellStyle name="Normal 30 3 2 2 2" xfId="1152"/>
    <cellStyle name="Normal 30 3 2 3" xfId="1153"/>
    <cellStyle name="Normal 30 3 2 4" xfId="5067"/>
    <cellStyle name="Normal 30 3 2 5" xfId="4398"/>
    <cellStyle name="Normal 30 3 3" xfId="1154"/>
    <cellStyle name="Normal 30 3 3 2" xfId="1155"/>
    <cellStyle name="Normal 30 3 4" xfId="1156"/>
    <cellStyle name="Normal 30 3 5" xfId="5066"/>
    <cellStyle name="Normal 30 3 6" xfId="4397"/>
    <cellStyle name="Normal 30 4" xfId="1157"/>
    <cellStyle name="Normal 30 4 2" xfId="1158"/>
    <cellStyle name="Normal 30 4 2 2" xfId="1159"/>
    <cellStyle name="Normal 30 4 2 3" xfId="5069"/>
    <cellStyle name="Normal 30 4 2 4" xfId="4400"/>
    <cellStyle name="Normal 30 4 3" xfId="1160"/>
    <cellStyle name="Normal 30 4 4" xfId="5068"/>
    <cellStyle name="Normal 30 4 5" xfId="4399"/>
    <cellStyle name="Normal 30 5" xfId="1161"/>
    <cellStyle name="Normal 30 5 2" xfId="1162"/>
    <cellStyle name="Normal 30 5 2 2" xfId="5071"/>
    <cellStyle name="Normal 30 5 2 3" xfId="4402"/>
    <cellStyle name="Normal 30 5 3" xfId="5070"/>
    <cellStyle name="Normal 30 5 4" xfId="4401"/>
    <cellStyle name="Normal 30 6" xfId="1163"/>
    <cellStyle name="Normal 30 6 2" xfId="5072"/>
    <cellStyle name="Normal 30 6 3" xfId="4403"/>
    <cellStyle name="Normal 30 7" xfId="4404"/>
    <cellStyle name="Normal 30 7 2" xfId="14499"/>
    <cellStyle name="Normal 30 7 3" xfId="13721"/>
    <cellStyle name="Normal 30 7_Base RF" xfId="14932"/>
    <cellStyle name="Normal 30 8" xfId="4405"/>
    <cellStyle name="Normal 30 8 2" xfId="14500"/>
    <cellStyle name="Normal 30 8 3" xfId="7542"/>
    <cellStyle name="Normal 30 8_Base RF" xfId="14933"/>
    <cellStyle name="Normal 30 9" xfId="13810"/>
    <cellStyle name="Normal 30_NDF" xfId="1164"/>
    <cellStyle name="Normal 300" xfId="13592"/>
    <cellStyle name="Normal 301" xfId="13595"/>
    <cellStyle name="Normal 302" xfId="13617"/>
    <cellStyle name="Normal 303" xfId="13627"/>
    <cellStyle name="Normal 304" xfId="13616"/>
    <cellStyle name="Normal 305" xfId="13644"/>
    <cellStyle name="Normal 306" xfId="13646"/>
    <cellStyle name="Normal 307" xfId="13856"/>
    <cellStyle name="Normal 307 2" xfId="14866"/>
    <cellStyle name="Normal 308" xfId="14868"/>
    <cellStyle name="Normal 308 2" xfId="14867"/>
    <cellStyle name="Normal 31" xfId="1165"/>
    <cellStyle name="Normal 31 10" xfId="13833"/>
    <cellStyle name="Normal 31 2" xfId="1166"/>
    <cellStyle name="Normal 31 2 2" xfId="1167"/>
    <cellStyle name="Normal 31 2 2 2" xfId="1168"/>
    <cellStyle name="Normal 31 2 2 2 2" xfId="1169"/>
    <cellStyle name="Normal 31 2 2 2 2 2" xfId="1170"/>
    <cellStyle name="Normal 31 2 2 2 3" xfId="1171"/>
    <cellStyle name="Normal 31 2 2 3" xfId="1172"/>
    <cellStyle name="Normal 31 2 2 3 2" xfId="1173"/>
    <cellStyle name="Normal 31 2 2 4" xfId="1174"/>
    <cellStyle name="Normal 31 2 2 5" xfId="5074"/>
    <cellStyle name="Normal 31 2 2 6" xfId="4407"/>
    <cellStyle name="Normal 31 2 3" xfId="1175"/>
    <cellStyle name="Normal 31 2 3 2" xfId="1176"/>
    <cellStyle name="Normal 31 2 3 2 2" xfId="1177"/>
    <cellStyle name="Normal 31 2 3 3" xfId="1178"/>
    <cellStyle name="Normal 31 2 4" xfId="1179"/>
    <cellStyle name="Normal 31 2 4 2" xfId="1180"/>
    <cellStyle name="Normal 31 2 5" xfId="1181"/>
    <cellStyle name="Normal 31 2 6" xfId="5073"/>
    <cellStyle name="Normal 31 2 7" xfId="4406"/>
    <cellStyle name="Normal 31 2_NDF" xfId="1182"/>
    <cellStyle name="Normal 31 3" xfId="1183"/>
    <cellStyle name="Normal 31 3 2" xfId="1184"/>
    <cellStyle name="Normal 31 3 2 2" xfId="1185"/>
    <cellStyle name="Normal 31 3 2 2 2" xfId="1186"/>
    <cellStyle name="Normal 31 3 2 3" xfId="1187"/>
    <cellStyle name="Normal 31 3 2 4" xfId="5076"/>
    <cellStyle name="Normal 31 3 2 5" xfId="4409"/>
    <cellStyle name="Normal 31 3 3" xfId="1188"/>
    <cellStyle name="Normal 31 3 3 2" xfId="1189"/>
    <cellStyle name="Normal 31 3 4" xfId="1190"/>
    <cellStyle name="Normal 31 3 5" xfId="5075"/>
    <cellStyle name="Normal 31 3 6" xfId="4408"/>
    <cellStyle name="Normal 31 4" xfId="1191"/>
    <cellStyle name="Normal 31 4 2" xfId="1192"/>
    <cellStyle name="Normal 31 4 2 2" xfId="1193"/>
    <cellStyle name="Normal 31 4 2 3" xfId="5078"/>
    <cellStyle name="Normal 31 4 2 4" xfId="4411"/>
    <cellStyle name="Normal 31 4 3" xfId="1194"/>
    <cellStyle name="Normal 31 4 4" xfId="5077"/>
    <cellStyle name="Normal 31 4 5" xfId="4410"/>
    <cellStyle name="Normal 31 5" xfId="1195"/>
    <cellStyle name="Normal 31 5 2" xfId="1196"/>
    <cellStyle name="Normal 31 5 2 2" xfId="5080"/>
    <cellStyle name="Normal 31 5 2 3" xfId="4413"/>
    <cellStyle name="Normal 31 5 3" xfId="5079"/>
    <cellStyle name="Normal 31 5 4" xfId="4412"/>
    <cellStyle name="Normal 31 6" xfId="1197"/>
    <cellStyle name="Normal 31 6 2" xfId="5081"/>
    <cellStyle name="Normal 31 6 3" xfId="4414"/>
    <cellStyle name="Normal 31 7" xfId="4415"/>
    <cellStyle name="Normal 31 7 2" xfId="14501"/>
    <cellStyle name="Normal 31 7 3" xfId="13722"/>
    <cellStyle name="Normal 31 7_Base RF" xfId="14934"/>
    <cellStyle name="Normal 31 8" xfId="4416"/>
    <cellStyle name="Normal 31 8 2" xfId="14502"/>
    <cellStyle name="Normal 31 8 3" xfId="6141"/>
    <cellStyle name="Normal 31 8_Base RF" xfId="14935"/>
    <cellStyle name="Normal 31 9" xfId="13811"/>
    <cellStyle name="Normal 32" xfId="1198"/>
    <cellStyle name="Normal 32 10" xfId="13832"/>
    <cellStyle name="Normal 32 2" xfId="1199"/>
    <cellStyle name="Normal 32 2 2" xfId="1200"/>
    <cellStyle name="Normal 32 2 2 2" xfId="1201"/>
    <cellStyle name="Normal 32 2 2 2 2" xfId="1202"/>
    <cellStyle name="Normal 32 2 2 2 2 2" xfId="1203"/>
    <cellStyle name="Normal 32 2 2 2 3" xfId="1204"/>
    <cellStyle name="Normal 32 2 2 3" xfId="1205"/>
    <cellStyle name="Normal 32 2 2 3 2" xfId="1206"/>
    <cellStyle name="Normal 32 2 2 4" xfId="1207"/>
    <cellStyle name="Normal 32 2 2 5" xfId="5084"/>
    <cellStyle name="Normal 32 2 2 6" xfId="4418"/>
    <cellStyle name="Normal 32 2 3" xfId="1208"/>
    <cellStyle name="Normal 32 2 3 2" xfId="1209"/>
    <cellStyle name="Normal 32 2 3 2 2" xfId="1210"/>
    <cellStyle name="Normal 32 2 3 3" xfId="1211"/>
    <cellStyle name="Normal 32 2 4" xfId="1212"/>
    <cellStyle name="Normal 32 2 4 2" xfId="1213"/>
    <cellStyle name="Normal 32 2 5" xfId="1214"/>
    <cellStyle name="Normal 32 2 6" xfId="5083"/>
    <cellStyle name="Normal 32 2 7" xfId="4417"/>
    <cellStyle name="Normal 32 2_NDF" xfId="1215"/>
    <cellStyle name="Normal 32 3" xfId="1216"/>
    <cellStyle name="Normal 32 3 2" xfId="1217"/>
    <cellStyle name="Normal 32 3 2 2" xfId="1218"/>
    <cellStyle name="Normal 32 3 2 2 2" xfId="1219"/>
    <cellStyle name="Normal 32 3 2 3" xfId="1220"/>
    <cellStyle name="Normal 32 3 2 4" xfId="5086"/>
    <cellStyle name="Normal 32 3 2 5" xfId="4420"/>
    <cellStyle name="Normal 32 3 3" xfId="1221"/>
    <cellStyle name="Normal 32 3 3 2" xfId="1222"/>
    <cellStyle name="Normal 32 3 4" xfId="1223"/>
    <cellStyle name="Normal 32 3 5" xfId="5085"/>
    <cellStyle name="Normal 32 3 6" xfId="4419"/>
    <cellStyle name="Normal 32 4" xfId="1224"/>
    <cellStyle name="Normal 32 4 2" xfId="1225"/>
    <cellStyle name="Normal 32 4 2 2" xfId="1226"/>
    <cellStyle name="Normal 32 4 2 3" xfId="5088"/>
    <cellStyle name="Normal 32 4 2 4" xfId="4422"/>
    <cellStyle name="Normal 32 4 3" xfId="1227"/>
    <cellStyle name="Normal 32 4 4" xfId="5087"/>
    <cellStyle name="Normal 32 4 5" xfId="4421"/>
    <cellStyle name="Normal 32 5" xfId="1228"/>
    <cellStyle name="Normal 32 5 2" xfId="1229"/>
    <cellStyle name="Normal 32 5 2 2" xfId="5090"/>
    <cellStyle name="Normal 32 5 2 3" xfId="4424"/>
    <cellStyle name="Normal 32 5 3" xfId="5089"/>
    <cellStyle name="Normal 32 5 4" xfId="4423"/>
    <cellStyle name="Normal 32 6" xfId="1230"/>
    <cellStyle name="Normal 32 6 2" xfId="5091"/>
    <cellStyle name="Normal 32 6 3" xfId="4425"/>
    <cellStyle name="Normal 32 7" xfId="4426"/>
    <cellStyle name="Normal 32 7 2" xfId="14503"/>
    <cellStyle name="Normal 32 7 3" xfId="13723"/>
    <cellStyle name="Normal 32 7_Base RF" xfId="14936"/>
    <cellStyle name="Normal 32 8" xfId="4427"/>
    <cellStyle name="Normal 32 8 2" xfId="14504"/>
    <cellStyle name="Normal 32 8 3" xfId="7380"/>
    <cellStyle name="Normal 32 8_Base RF" xfId="14937"/>
    <cellStyle name="Normal 32 9" xfId="5082"/>
    <cellStyle name="Normal 32 9 2" xfId="14784"/>
    <cellStyle name="Normal 32 9 3" xfId="13812"/>
    <cellStyle name="Normal 32_NDF" xfId="1231"/>
    <cellStyle name="Normal 322" xfId="15264"/>
    <cellStyle name="Normal 33" xfId="1232"/>
    <cellStyle name="Normal 33 10" xfId="13831"/>
    <cellStyle name="Normal 33 2" xfId="1233"/>
    <cellStyle name="Normal 33 2 2" xfId="1234"/>
    <cellStyle name="Normal 33 2 2 2" xfId="1235"/>
    <cellStyle name="Normal 33 2 2 2 2" xfId="1236"/>
    <cellStyle name="Normal 33 2 2 2 2 2" xfId="1237"/>
    <cellStyle name="Normal 33 2 2 2 3" xfId="1238"/>
    <cellStyle name="Normal 33 2 2 3" xfId="1239"/>
    <cellStyle name="Normal 33 2 2 3 2" xfId="1240"/>
    <cellStyle name="Normal 33 2 2 4" xfId="1241"/>
    <cellStyle name="Normal 33 2 2 5" xfId="5094"/>
    <cellStyle name="Normal 33 2 2 6" xfId="4430"/>
    <cellStyle name="Normal 33 2 3" xfId="1242"/>
    <cellStyle name="Normal 33 2 3 2" xfId="1243"/>
    <cellStyle name="Normal 33 2 3 2 2" xfId="1244"/>
    <cellStyle name="Normal 33 2 3 3" xfId="1245"/>
    <cellStyle name="Normal 33 2 4" xfId="1246"/>
    <cellStyle name="Normal 33 2 4 2" xfId="1247"/>
    <cellStyle name="Normal 33 2 5" xfId="1248"/>
    <cellStyle name="Normal 33 2 6" xfId="5093"/>
    <cellStyle name="Normal 33 2 7" xfId="4429"/>
    <cellStyle name="Normal 33 2_NDF" xfId="1249"/>
    <cellStyle name="Normal 33 3" xfId="1250"/>
    <cellStyle name="Normal 33 3 2" xfId="1251"/>
    <cellStyle name="Normal 33 3 2 2" xfId="1252"/>
    <cellStyle name="Normal 33 3 2 2 2" xfId="1253"/>
    <cellStyle name="Normal 33 3 2 3" xfId="1254"/>
    <cellStyle name="Normal 33 3 2 4" xfId="5096"/>
    <cellStyle name="Normal 33 3 2 5" xfId="4432"/>
    <cellStyle name="Normal 33 3 3" xfId="1255"/>
    <cellStyle name="Normal 33 3 3 2" xfId="1256"/>
    <cellStyle name="Normal 33 3 4" xfId="1257"/>
    <cellStyle name="Normal 33 3 5" xfId="5095"/>
    <cellStyle name="Normal 33 3 6" xfId="4431"/>
    <cellStyle name="Normal 33 4" xfId="1258"/>
    <cellStyle name="Normal 33 4 2" xfId="1259"/>
    <cellStyle name="Normal 33 4 2 2" xfId="1260"/>
    <cellStyle name="Normal 33 4 2 3" xfId="5098"/>
    <cellStyle name="Normal 33 4 2 4" xfId="4434"/>
    <cellStyle name="Normal 33 4 3" xfId="1261"/>
    <cellStyle name="Normal 33 4 4" xfId="5097"/>
    <cellStyle name="Normal 33 4 5" xfId="4433"/>
    <cellStyle name="Normal 33 5" xfId="1262"/>
    <cellStyle name="Normal 33 5 2" xfId="1263"/>
    <cellStyle name="Normal 33 5 2 2" xfId="5100"/>
    <cellStyle name="Normal 33 5 2 3" xfId="4436"/>
    <cellStyle name="Normal 33 5 3" xfId="5099"/>
    <cellStyle name="Normal 33 5 4" xfId="4435"/>
    <cellStyle name="Normal 33 6" xfId="1264"/>
    <cellStyle name="Normal 33 6 2" xfId="5101"/>
    <cellStyle name="Normal 33 6 3" xfId="4437"/>
    <cellStyle name="Normal 33 7" xfId="4438"/>
    <cellStyle name="Normal 33 7 2" xfId="14506"/>
    <cellStyle name="Normal 33 7 3" xfId="13724"/>
    <cellStyle name="Normal 33 7_Base RF" xfId="14938"/>
    <cellStyle name="Normal 33 8" xfId="5092"/>
    <cellStyle name="Normal 33 8 2" xfId="14785"/>
    <cellStyle name="Normal 33 8 3" xfId="7541"/>
    <cellStyle name="Normal 33 9" xfId="4428"/>
    <cellStyle name="Normal 33 9 2" xfId="14505"/>
    <cellStyle name="Normal 33 9 3" xfId="13813"/>
    <cellStyle name="Normal 33 9_Base RF" xfId="14939"/>
    <cellStyle name="Normal 33_NDF" xfId="1265"/>
    <cellStyle name="Normal 34" xfId="1266"/>
    <cellStyle name="Normal 34 10" xfId="13830"/>
    <cellStyle name="Normal 34 2" xfId="1267"/>
    <cellStyle name="Normal 34 2 2" xfId="1268"/>
    <cellStyle name="Normal 34 2 2 2" xfId="1269"/>
    <cellStyle name="Normal 34 2 2 2 2" xfId="1270"/>
    <cellStyle name="Normal 34 2 2 2 2 2" xfId="1271"/>
    <cellStyle name="Normal 34 2 2 2 3" xfId="1272"/>
    <cellStyle name="Normal 34 2 2 3" xfId="1273"/>
    <cellStyle name="Normal 34 2 2 3 2" xfId="1274"/>
    <cellStyle name="Normal 34 2 2 4" xfId="1275"/>
    <cellStyle name="Normal 34 2 2 5" xfId="5104"/>
    <cellStyle name="Normal 34 2 2 6" xfId="4441"/>
    <cellStyle name="Normal 34 2 3" xfId="1276"/>
    <cellStyle name="Normal 34 2 3 2" xfId="1277"/>
    <cellStyle name="Normal 34 2 3 2 2" xfId="1278"/>
    <cellStyle name="Normal 34 2 3 3" xfId="1279"/>
    <cellStyle name="Normal 34 2 4" xfId="1280"/>
    <cellStyle name="Normal 34 2 4 2" xfId="1281"/>
    <cellStyle name="Normal 34 2 5" xfId="1282"/>
    <cellStyle name="Normal 34 2 6" xfId="5103"/>
    <cellStyle name="Normal 34 2 7" xfId="4440"/>
    <cellStyle name="Normal 34 2_NDF" xfId="1283"/>
    <cellStyle name="Normal 34 3" xfId="1284"/>
    <cellStyle name="Normal 34 3 2" xfId="1285"/>
    <cellStyle name="Normal 34 3 2 2" xfId="1286"/>
    <cellStyle name="Normal 34 3 2 2 2" xfId="1287"/>
    <cellStyle name="Normal 34 3 2 3" xfId="1288"/>
    <cellStyle name="Normal 34 3 3" xfId="1289"/>
    <cellStyle name="Normal 34 3 3 2" xfId="1290"/>
    <cellStyle name="Normal 34 3 4" xfId="1291"/>
    <cellStyle name="Normal 34 3 5" xfId="5105"/>
    <cellStyle name="Normal 34 3 6" xfId="4442"/>
    <cellStyle name="Normal 34 4" xfId="1292"/>
    <cellStyle name="Normal 34 4 2" xfId="1293"/>
    <cellStyle name="Normal 34 4 2 2" xfId="1294"/>
    <cellStyle name="Normal 34 4 3" xfId="1295"/>
    <cellStyle name="Normal 34 5" xfId="1296"/>
    <cellStyle name="Normal 34 5 2" xfId="1297"/>
    <cellStyle name="Normal 34 6" xfId="1298"/>
    <cellStyle name="Normal 34 7" xfId="5102"/>
    <cellStyle name="Normal 34 8" xfId="4439"/>
    <cellStyle name="Normal 34 8 2" xfId="14507"/>
    <cellStyle name="Normal 34 8 3" xfId="6140"/>
    <cellStyle name="Normal 34 8_Base RF" xfId="14940"/>
    <cellStyle name="Normal 34 9" xfId="13814"/>
    <cellStyle name="Normal 34_NDF" xfId="1299"/>
    <cellStyle name="Normal 35" xfId="1300"/>
    <cellStyle name="Normal 35 2" xfId="1301"/>
    <cellStyle name="Normal 35 2 2" xfId="1302"/>
    <cellStyle name="Normal 35 2 2 2" xfId="1303"/>
    <cellStyle name="Normal 35 2 2 2 2" xfId="1304"/>
    <cellStyle name="Normal 35 2 2 2 2 2" xfId="1305"/>
    <cellStyle name="Normal 35 2 2 2 3" xfId="1306"/>
    <cellStyle name="Normal 35 2 2 3" xfId="1307"/>
    <cellStyle name="Normal 35 2 2 3 2" xfId="1308"/>
    <cellStyle name="Normal 35 2 2 4" xfId="1309"/>
    <cellStyle name="Normal 35 2 2 5" xfId="5108"/>
    <cellStyle name="Normal 35 2 2 6" xfId="4445"/>
    <cellStyle name="Normal 35 2 3" xfId="1310"/>
    <cellStyle name="Normal 35 2 3 2" xfId="1311"/>
    <cellStyle name="Normal 35 2 3 2 2" xfId="1312"/>
    <cellStyle name="Normal 35 2 3 3" xfId="1313"/>
    <cellStyle name="Normal 35 2 4" xfId="1314"/>
    <cellStyle name="Normal 35 2 4 2" xfId="1315"/>
    <cellStyle name="Normal 35 2 5" xfId="1316"/>
    <cellStyle name="Normal 35 2 6" xfId="5107"/>
    <cellStyle name="Normal 35 2 7" xfId="4444"/>
    <cellStyle name="Normal 35 3" xfId="1317"/>
    <cellStyle name="Normal 35 3 2" xfId="1318"/>
    <cellStyle name="Normal 35 3 2 2" xfId="1319"/>
    <cellStyle name="Normal 35 3 2 2 2" xfId="1320"/>
    <cellStyle name="Normal 35 3 2 3" xfId="1321"/>
    <cellStyle name="Normal 35 3 3" xfId="1322"/>
    <cellStyle name="Normal 35 3 3 2" xfId="1323"/>
    <cellStyle name="Normal 35 3 4" xfId="1324"/>
    <cellStyle name="Normal 35 3 5" xfId="5109"/>
    <cellStyle name="Normal 35 3 6" xfId="4446"/>
    <cellStyle name="Normal 35 4" xfId="1325"/>
    <cellStyle name="Normal 35 4 2" xfId="1326"/>
    <cellStyle name="Normal 35 4 2 2" xfId="1327"/>
    <cellStyle name="Normal 35 4 3" xfId="1328"/>
    <cellStyle name="Normal 35 5" xfId="1329"/>
    <cellStyle name="Normal 35 5 2" xfId="1330"/>
    <cellStyle name="Normal 35 6" xfId="1331"/>
    <cellStyle name="Normal 35 7" xfId="5106"/>
    <cellStyle name="Normal 35 8" xfId="4443"/>
    <cellStyle name="Normal 35 8 2" xfId="14508"/>
    <cellStyle name="Normal 35 8 3" xfId="8426"/>
    <cellStyle name="Normal 35 8_Base RF" xfId="14941"/>
    <cellStyle name="Normal 36" xfId="1332"/>
    <cellStyle name="Normal 36 2" xfId="1333"/>
    <cellStyle name="Normal 36 2 2" xfId="1334"/>
    <cellStyle name="Normal 36 2 2 2" xfId="1335"/>
    <cellStyle name="Normal 36 2 2 2 2" xfId="1336"/>
    <cellStyle name="Normal 36 2 2 2 2 2" xfId="1337"/>
    <cellStyle name="Normal 36 2 2 2 3" xfId="1338"/>
    <cellStyle name="Normal 36 2 2 3" xfId="1339"/>
    <cellStyle name="Normal 36 2 2 3 2" xfId="1340"/>
    <cellStyle name="Normal 36 2 2 4" xfId="1341"/>
    <cellStyle name="Normal 36 2 2 5" xfId="5112"/>
    <cellStyle name="Normal 36 2 2 6" xfId="4449"/>
    <cellStyle name="Normal 36 2 3" xfId="1342"/>
    <cellStyle name="Normal 36 2 3 2" xfId="1343"/>
    <cellStyle name="Normal 36 2 3 2 2" xfId="1344"/>
    <cellStyle name="Normal 36 2 3 3" xfId="1345"/>
    <cellStyle name="Normal 36 2 4" xfId="1346"/>
    <cellStyle name="Normal 36 2 4 2" xfId="1347"/>
    <cellStyle name="Normal 36 2 5" xfId="1348"/>
    <cellStyle name="Normal 36 2 6" xfId="5111"/>
    <cellStyle name="Normal 36 2 7" xfId="4448"/>
    <cellStyle name="Normal 36 3" xfId="1349"/>
    <cellStyle name="Normal 36 3 2" xfId="1350"/>
    <cellStyle name="Normal 36 3 2 2" xfId="1351"/>
    <cellStyle name="Normal 36 3 2 2 2" xfId="1352"/>
    <cellStyle name="Normal 36 3 2 3" xfId="1353"/>
    <cellStyle name="Normal 36 3 3" xfId="1354"/>
    <cellStyle name="Normal 36 3 3 2" xfId="1355"/>
    <cellStyle name="Normal 36 3 4" xfId="1356"/>
    <cellStyle name="Normal 36 3 5" xfId="5113"/>
    <cellStyle name="Normal 36 3 6" xfId="4450"/>
    <cellStyle name="Normal 36 4" xfId="1357"/>
    <cellStyle name="Normal 36 4 2" xfId="1358"/>
    <cellStyle name="Normal 36 4 2 2" xfId="1359"/>
    <cellStyle name="Normal 36 4 3" xfId="1360"/>
    <cellStyle name="Normal 36 5" xfId="1361"/>
    <cellStyle name="Normal 36 5 2" xfId="1362"/>
    <cellStyle name="Normal 36 6" xfId="1363"/>
    <cellStyle name="Normal 36 7" xfId="5110"/>
    <cellStyle name="Normal 36 8" xfId="4447"/>
    <cellStyle name="Normal 36 8 2" xfId="14509"/>
    <cellStyle name="Normal 36 8 3" xfId="7379"/>
    <cellStyle name="Normal 36 8_Base RF" xfId="14942"/>
    <cellStyle name="Normal 37" xfId="1364"/>
    <cellStyle name="Normal 37 2" xfId="1365"/>
    <cellStyle name="Normal 37 2 2" xfId="1366"/>
    <cellStyle name="Normal 37 2 2 2" xfId="1367"/>
    <cellStyle name="Normal 37 2 2 2 2" xfId="1368"/>
    <cellStyle name="Normal 37 2 2 2 2 2" xfId="1369"/>
    <cellStyle name="Normal 37 2 2 2 3" xfId="1370"/>
    <cellStyle name="Normal 37 2 2 3" xfId="1371"/>
    <cellStyle name="Normal 37 2 2 3 2" xfId="1372"/>
    <cellStyle name="Normal 37 2 2 4" xfId="1373"/>
    <cellStyle name="Normal 37 2 2 5" xfId="5116"/>
    <cellStyle name="Normal 37 2 2 6" xfId="4453"/>
    <cellStyle name="Normal 37 2 3" xfId="1374"/>
    <cellStyle name="Normal 37 2 3 2" xfId="1375"/>
    <cellStyle name="Normal 37 2 3 2 2" xfId="1376"/>
    <cellStyle name="Normal 37 2 3 3" xfId="1377"/>
    <cellStyle name="Normal 37 2 3 4" xfId="5117"/>
    <cellStyle name="Normal 37 2 3 5" xfId="4454"/>
    <cellStyle name="Normal 37 2 4" xfId="1378"/>
    <cellStyle name="Normal 37 2 4 2" xfId="1379"/>
    <cellStyle name="Normal 37 2 5" xfId="1380"/>
    <cellStyle name="Normal 37 2 6" xfId="5115"/>
    <cellStyle name="Normal 37 2 7" xfId="4452"/>
    <cellStyle name="Normal 37 3" xfId="1381"/>
    <cellStyle name="Normal 37 3 2" xfId="1382"/>
    <cellStyle name="Normal 37 3 2 2" xfId="1383"/>
    <cellStyle name="Normal 37 3 2 2 2" xfId="1384"/>
    <cellStyle name="Normal 37 3 2 3" xfId="1385"/>
    <cellStyle name="Normal 37 3 3" xfId="1386"/>
    <cellStyle name="Normal 37 3 3 2" xfId="1387"/>
    <cellStyle name="Normal 37 3 4" xfId="1388"/>
    <cellStyle name="Normal 37 3 5" xfId="5118"/>
    <cellStyle name="Normal 37 3 6" xfId="4455"/>
    <cellStyle name="Normal 37 4" xfId="1389"/>
    <cellStyle name="Normal 37 4 2" xfId="1390"/>
    <cellStyle name="Normal 37 4 2 2" xfId="1391"/>
    <cellStyle name="Normal 37 4 3" xfId="1392"/>
    <cellStyle name="Normal 37 5" xfId="1393"/>
    <cellStyle name="Normal 37 5 2" xfId="1394"/>
    <cellStyle name="Normal 37 6" xfId="1395"/>
    <cellStyle name="Normal 37 7" xfId="5114"/>
    <cellStyle name="Normal 37 8" xfId="4451"/>
    <cellStyle name="Normal 37 8 2" xfId="14510"/>
    <cellStyle name="Normal 37 8 3" xfId="7540"/>
    <cellStyle name="Normal 37 8_Base RF" xfId="14943"/>
    <cellStyle name="Normal 38" xfId="1396"/>
    <cellStyle name="Normal 38 2" xfId="1397"/>
    <cellStyle name="Normal 38 2 2" xfId="1398"/>
    <cellStyle name="Normal 38 2 2 2" xfId="1399"/>
    <cellStyle name="Normal 38 2 2 2 2" xfId="1400"/>
    <cellStyle name="Normal 38 2 2 2 2 2" xfId="1401"/>
    <cellStyle name="Normal 38 2 2 2 3" xfId="1402"/>
    <cellStyle name="Normal 38 2 2 3" xfId="1403"/>
    <cellStyle name="Normal 38 2 2 3 2" xfId="1404"/>
    <cellStyle name="Normal 38 2 2 4" xfId="1405"/>
    <cellStyle name="Normal 38 2 2 5" xfId="5121"/>
    <cellStyle name="Normal 38 2 2 6" xfId="4458"/>
    <cellStyle name="Normal 38 2 3" xfId="1406"/>
    <cellStyle name="Normal 38 2 3 2" xfId="1407"/>
    <cellStyle name="Normal 38 2 3 2 2" xfId="1408"/>
    <cellStyle name="Normal 38 2 3 3" xfId="1409"/>
    <cellStyle name="Normal 38 2 3 4" xfId="5122"/>
    <cellStyle name="Normal 38 2 3 5" xfId="4459"/>
    <cellStyle name="Normal 38 2 4" xfId="1410"/>
    <cellStyle name="Normal 38 2 4 2" xfId="1411"/>
    <cellStyle name="Normal 38 2 5" xfId="1412"/>
    <cellStyle name="Normal 38 2 6" xfId="5120"/>
    <cellStyle name="Normal 38 2 7" xfId="4457"/>
    <cellStyle name="Normal 38 3" xfId="1413"/>
    <cellStyle name="Normal 38 3 2" xfId="1414"/>
    <cellStyle name="Normal 38 3 2 2" xfId="1415"/>
    <cellStyle name="Normal 38 3 2 2 2" xfId="1416"/>
    <cellStyle name="Normal 38 3 2 3" xfId="1417"/>
    <cellStyle name="Normal 38 3 3" xfId="1418"/>
    <cellStyle name="Normal 38 3 3 2" xfId="1419"/>
    <cellStyle name="Normal 38 3 4" xfId="1420"/>
    <cellStyle name="Normal 38 3 5" xfId="5123"/>
    <cellStyle name="Normal 38 3 6" xfId="4460"/>
    <cellStyle name="Normal 38 4" xfId="1421"/>
    <cellStyle name="Normal 38 4 2" xfId="1422"/>
    <cellStyle name="Normal 38 4 2 2" xfId="1423"/>
    <cellStyle name="Normal 38 4 3" xfId="1424"/>
    <cellStyle name="Normal 38 5" xfId="1425"/>
    <cellStyle name="Normal 38 5 2" xfId="1426"/>
    <cellStyle name="Normal 38 6" xfId="1427"/>
    <cellStyle name="Normal 38 7" xfId="5119"/>
    <cellStyle name="Normal 38 8" xfId="4456"/>
    <cellStyle name="Normal 38 8 2" xfId="14511"/>
    <cellStyle name="Normal 38 8 3" xfId="6139"/>
    <cellStyle name="Normal 38 8_Base RF" xfId="14944"/>
    <cellStyle name="Normal 39" xfId="1428"/>
    <cellStyle name="Normal 39 2" xfId="1429"/>
    <cellStyle name="Normal 39 2 2" xfId="1430"/>
    <cellStyle name="Normal 39 2 2 2" xfId="1431"/>
    <cellStyle name="Normal 39 2 2 2 2" xfId="1432"/>
    <cellStyle name="Normal 39 2 2 2 2 2" xfId="1433"/>
    <cellStyle name="Normal 39 2 2 2 3" xfId="1434"/>
    <cellStyle name="Normal 39 2 2 3" xfId="1435"/>
    <cellStyle name="Normal 39 2 2 3 2" xfId="1436"/>
    <cellStyle name="Normal 39 2 2 4" xfId="1437"/>
    <cellStyle name="Normal 39 2 2 5" xfId="5126"/>
    <cellStyle name="Normal 39 2 2 6" xfId="4463"/>
    <cellStyle name="Normal 39 2 3" xfId="1438"/>
    <cellStyle name="Normal 39 2 3 2" xfId="1439"/>
    <cellStyle name="Normal 39 2 3 2 2" xfId="1440"/>
    <cellStyle name="Normal 39 2 3 3" xfId="1441"/>
    <cellStyle name="Normal 39 2 3 4" xfId="5127"/>
    <cellStyle name="Normal 39 2 3 5" xfId="4464"/>
    <cellStyle name="Normal 39 2 4" xfId="1442"/>
    <cellStyle name="Normal 39 2 4 2" xfId="1443"/>
    <cellStyle name="Normal 39 2 5" xfId="1444"/>
    <cellStyle name="Normal 39 2 6" xfId="5125"/>
    <cellStyle name="Normal 39 2 7" xfId="4462"/>
    <cellStyle name="Normal 39 3" xfId="1445"/>
    <cellStyle name="Normal 39 3 2" xfId="1446"/>
    <cellStyle name="Normal 39 3 2 2" xfId="1447"/>
    <cellStyle name="Normal 39 3 2 2 2" xfId="1448"/>
    <cellStyle name="Normal 39 3 2 3" xfId="1449"/>
    <cellStyle name="Normal 39 3 3" xfId="1450"/>
    <cellStyle name="Normal 39 3 3 2" xfId="1451"/>
    <cellStyle name="Normal 39 3 4" xfId="1452"/>
    <cellStyle name="Normal 39 3 5" xfId="5128"/>
    <cellStyle name="Normal 39 3 6" xfId="4465"/>
    <cellStyle name="Normal 39 4" xfId="1453"/>
    <cellStyle name="Normal 39 4 2" xfId="1454"/>
    <cellStyle name="Normal 39 4 2 2" xfId="1455"/>
    <cellStyle name="Normal 39 4 3" xfId="1456"/>
    <cellStyle name="Normal 39 5" xfId="1457"/>
    <cellStyle name="Normal 39 5 2" xfId="1458"/>
    <cellStyle name="Normal 39 6" xfId="1459"/>
    <cellStyle name="Normal 39 7" xfId="5124"/>
    <cellStyle name="Normal 39 8" xfId="4461"/>
    <cellStyle name="Normal 39 8 2" xfId="14512"/>
    <cellStyle name="Normal 39 8 3" xfId="7378"/>
    <cellStyle name="Normal 39 8_Base RF" xfId="14945"/>
    <cellStyle name="Normal 4" xfId="78"/>
    <cellStyle name="Normal 4 2" xfId="81"/>
    <cellStyle name="Normal 4 2 2" xfId="7539"/>
    <cellStyle name="Normal 4 2 3" xfId="13624"/>
    <cellStyle name="Normal 4 3" xfId="2212"/>
    <cellStyle name="Normal 4 3 2" xfId="5430"/>
    <cellStyle name="Normal 4 3 3" xfId="4466"/>
    <cellStyle name="Normal 4 3_Base RF" xfId="5521"/>
    <cellStyle name="Normal 4 4" xfId="7377"/>
    <cellStyle name="Normal 4 5" xfId="7538"/>
    <cellStyle name="Normal 4 6" xfId="6138"/>
    <cellStyle name="Normal 4 6 2" xfId="7376"/>
    <cellStyle name="Normal 4 7" xfId="7537"/>
    <cellStyle name="Normal 4 8" xfId="13623"/>
    <cellStyle name="Normal 4_CAC" xfId="4467"/>
    <cellStyle name="Normal 40" xfId="1460"/>
    <cellStyle name="Normal 40 2" xfId="1461"/>
    <cellStyle name="Normal 40 2 2" xfId="1462"/>
    <cellStyle name="Normal 40 2 2 2" xfId="1463"/>
    <cellStyle name="Normal 40 2 2 2 2" xfId="1464"/>
    <cellStyle name="Normal 40 2 2 2 2 2" xfId="1465"/>
    <cellStyle name="Normal 40 2 2 2 3" xfId="1466"/>
    <cellStyle name="Normal 40 2 2 3" xfId="1467"/>
    <cellStyle name="Normal 40 2 2 3 2" xfId="1468"/>
    <cellStyle name="Normal 40 2 2 4" xfId="1469"/>
    <cellStyle name="Normal 40 2 2 5" xfId="5131"/>
    <cellStyle name="Normal 40 2 2 6" xfId="4470"/>
    <cellStyle name="Normal 40 2 3" xfId="1470"/>
    <cellStyle name="Normal 40 2 3 2" xfId="1471"/>
    <cellStyle name="Normal 40 2 3 2 2" xfId="1472"/>
    <cellStyle name="Normal 40 2 3 3" xfId="1473"/>
    <cellStyle name="Normal 40 2 3 4" xfId="5132"/>
    <cellStyle name="Normal 40 2 3 5" xfId="4471"/>
    <cellStyle name="Normal 40 2 4" xfId="1474"/>
    <cellStyle name="Normal 40 2 4 2" xfId="1475"/>
    <cellStyle name="Normal 40 2 5" xfId="1476"/>
    <cellStyle name="Normal 40 2 6" xfId="5130"/>
    <cellStyle name="Normal 40 2 7" xfId="4469"/>
    <cellStyle name="Normal 40 3" xfId="1477"/>
    <cellStyle name="Normal 40 3 2" xfId="1478"/>
    <cellStyle name="Normal 40 3 2 2" xfId="1479"/>
    <cellStyle name="Normal 40 3 2 2 2" xfId="1480"/>
    <cellStyle name="Normal 40 3 2 3" xfId="1481"/>
    <cellStyle name="Normal 40 3 3" xfId="1482"/>
    <cellStyle name="Normal 40 3 3 2" xfId="1483"/>
    <cellStyle name="Normal 40 3 4" xfId="1484"/>
    <cellStyle name="Normal 40 3 5" xfId="5133"/>
    <cellStyle name="Normal 40 3 6" xfId="4472"/>
    <cellStyle name="Normal 40 4" xfId="1485"/>
    <cellStyle name="Normal 40 4 2" xfId="1486"/>
    <cellStyle name="Normal 40 4 2 2" xfId="1487"/>
    <cellStyle name="Normal 40 4 3" xfId="1488"/>
    <cellStyle name="Normal 40 5" xfId="1489"/>
    <cellStyle name="Normal 40 5 2" xfId="1490"/>
    <cellStyle name="Normal 40 6" xfId="1491"/>
    <cellStyle name="Normal 40 7" xfId="5129"/>
    <cellStyle name="Normal 40 8" xfId="4468"/>
    <cellStyle name="Normal 40 8 2" xfId="14513"/>
    <cellStyle name="Normal 40 8 3" xfId="6137"/>
    <cellStyle name="Normal 40 8_Base RF" xfId="14946"/>
    <cellStyle name="Normal 41" xfId="1492"/>
    <cellStyle name="Normal 41 2" xfId="1493"/>
    <cellStyle name="Normal 41 2 2" xfId="1494"/>
    <cellStyle name="Normal 41 2 2 2" xfId="1495"/>
    <cellStyle name="Normal 41 2 2 2 2" xfId="1496"/>
    <cellStyle name="Normal 41 2 2 2 2 2" xfId="1497"/>
    <cellStyle name="Normal 41 2 2 2 3" xfId="1498"/>
    <cellStyle name="Normal 41 2 2 3" xfId="1499"/>
    <cellStyle name="Normal 41 2 2 3 2" xfId="1500"/>
    <cellStyle name="Normal 41 2 2 4" xfId="1501"/>
    <cellStyle name="Normal 41 2 2 5" xfId="5136"/>
    <cellStyle name="Normal 41 2 2 6" xfId="4475"/>
    <cellStyle name="Normal 41 2 3" xfId="1502"/>
    <cellStyle name="Normal 41 2 3 2" xfId="1503"/>
    <cellStyle name="Normal 41 2 3 2 2" xfId="1504"/>
    <cellStyle name="Normal 41 2 3 3" xfId="1505"/>
    <cellStyle name="Normal 41 2 3 4" xfId="5137"/>
    <cellStyle name="Normal 41 2 3 5" xfId="4476"/>
    <cellStyle name="Normal 41 2 4" xfId="1506"/>
    <cellStyle name="Normal 41 2 4 2" xfId="1507"/>
    <cellStyle name="Normal 41 2 5" xfId="1508"/>
    <cellStyle name="Normal 41 2 6" xfId="5135"/>
    <cellStyle name="Normal 41 2 7" xfId="4474"/>
    <cellStyle name="Normal 41 3" xfId="1509"/>
    <cellStyle name="Normal 41 3 2" xfId="1510"/>
    <cellStyle name="Normal 41 3 2 2" xfId="1511"/>
    <cellStyle name="Normal 41 3 2 2 2" xfId="1512"/>
    <cellStyle name="Normal 41 3 2 3" xfId="1513"/>
    <cellStyle name="Normal 41 3 3" xfId="1514"/>
    <cellStyle name="Normal 41 3 3 2" xfId="1515"/>
    <cellStyle name="Normal 41 3 4" xfId="1516"/>
    <cellStyle name="Normal 41 3 5" xfId="5138"/>
    <cellStyle name="Normal 41 3 6" xfId="4477"/>
    <cellStyle name="Normal 41 4" xfId="1517"/>
    <cellStyle name="Normal 41 4 2" xfId="1518"/>
    <cellStyle name="Normal 41 4 2 2" xfId="1519"/>
    <cellStyle name="Normal 41 4 3" xfId="1520"/>
    <cellStyle name="Normal 41 5" xfId="1521"/>
    <cellStyle name="Normal 41 5 2" xfId="1522"/>
    <cellStyle name="Normal 41 6" xfId="1523"/>
    <cellStyle name="Normal 41 7" xfId="5134"/>
    <cellStyle name="Normal 41 8" xfId="4473"/>
    <cellStyle name="Normal 41 8 2" xfId="14514"/>
    <cellStyle name="Normal 41 8 3" xfId="7375"/>
    <cellStyle name="Normal 41 8_Base RF" xfId="14947"/>
    <cellStyle name="Normal 42" xfId="1524"/>
    <cellStyle name="Normal 42 2" xfId="1525"/>
    <cellStyle name="Normal 42 2 2" xfId="1526"/>
    <cellStyle name="Normal 42 2 2 2" xfId="1527"/>
    <cellStyle name="Normal 42 2 2 2 2" xfId="1528"/>
    <cellStyle name="Normal 42 2 2 3" xfId="1529"/>
    <cellStyle name="Normal 42 2 2 4" xfId="5141"/>
    <cellStyle name="Normal 42 2 2 5" xfId="4480"/>
    <cellStyle name="Normal 42 2 3" xfId="1530"/>
    <cellStyle name="Normal 42 2 3 2" xfId="1531"/>
    <cellStyle name="Normal 42 2 3 3" xfId="5142"/>
    <cellStyle name="Normal 42 2 3 4" xfId="4481"/>
    <cellStyle name="Normal 42 2 4" xfId="1532"/>
    <cellStyle name="Normal 42 2 5" xfId="5140"/>
    <cellStyle name="Normal 42 2 6" xfId="4479"/>
    <cellStyle name="Normal 42 3" xfId="1533"/>
    <cellStyle name="Normal 42 3 2" xfId="1534"/>
    <cellStyle name="Normal 42 3 2 2" xfId="1535"/>
    <cellStyle name="Normal 42 3 3" xfId="1536"/>
    <cellStyle name="Normal 42 3 4" xfId="5143"/>
    <cellStyle name="Normal 42 3 5" xfId="4482"/>
    <cellStyle name="Normal 42 4" xfId="1537"/>
    <cellStyle name="Normal 42 4 2" xfId="1538"/>
    <cellStyle name="Normal 42 5" xfId="1539"/>
    <cellStyle name="Normal 42 6" xfId="5139"/>
    <cellStyle name="Normal 42 7" xfId="4478"/>
    <cellStyle name="Normal 42 7 2" xfId="14515"/>
    <cellStyle name="Normal 42 7 3" xfId="7536"/>
    <cellStyle name="Normal 42 7_Base RF" xfId="14948"/>
    <cellStyle name="Normal 43" xfId="1540"/>
    <cellStyle name="Normal 43 2" xfId="1541"/>
    <cellStyle name="Normal 43 2 2" xfId="1542"/>
    <cellStyle name="Normal 43 2 2 2" xfId="5146"/>
    <cellStyle name="Normal 43 2 2 3" xfId="4485"/>
    <cellStyle name="Normal 43 2 3" xfId="4486"/>
    <cellStyle name="Normal 43 2 4" xfId="5145"/>
    <cellStyle name="Normal 43 2 5" xfId="4484"/>
    <cellStyle name="Normal 43 3" xfId="1543"/>
    <cellStyle name="Normal 43 3 2" xfId="5147"/>
    <cellStyle name="Normal 43 3 3" xfId="4487"/>
    <cellStyle name="Normal 43 4" xfId="5144"/>
    <cellStyle name="Normal 43 5" xfId="4483"/>
    <cellStyle name="Normal 43 5 2" xfId="14516"/>
    <cellStyle name="Normal 43 5 3" xfId="6136"/>
    <cellStyle name="Normal 43 5_Base RF" xfId="14949"/>
    <cellStyle name="Normal 44" xfId="1544"/>
    <cellStyle name="Normal 44 2" xfId="1545"/>
    <cellStyle name="Normal 44 2 2" xfId="1546"/>
    <cellStyle name="Normal 44 2 2 2" xfId="1547"/>
    <cellStyle name="Normal 44 2 2 2 2" xfId="1548"/>
    <cellStyle name="Normal 44 2 2 3" xfId="1549"/>
    <cellStyle name="Normal 44 2 2 4" xfId="5150"/>
    <cellStyle name="Normal 44 2 2 5" xfId="4490"/>
    <cellStyle name="Normal 44 2 3" xfId="1550"/>
    <cellStyle name="Normal 44 2 3 2" xfId="1551"/>
    <cellStyle name="Normal 44 2 3 3" xfId="5151"/>
    <cellStyle name="Normal 44 2 3 4" xfId="4491"/>
    <cellStyle name="Normal 44 2 4" xfId="1552"/>
    <cellStyle name="Normal 44 2 5" xfId="5149"/>
    <cellStyle name="Normal 44 2 6" xfId="4489"/>
    <cellStyle name="Normal 44 3" xfId="1553"/>
    <cellStyle name="Normal 44 3 2" xfId="1554"/>
    <cellStyle name="Normal 44 3 2 2" xfId="1555"/>
    <cellStyle name="Normal 44 3 2 3" xfId="5153"/>
    <cellStyle name="Normal 44 3 2 4" xfId="4493"/>
    <cellStyle name="Normal 44 3 3" xfId="1556"/>
    <cellStyle name="Normal 44 3 4" xfId="5152"/>
    <cellStyle name="Normal 44 3 5" xfId="4492"/>
    <cellStyle name="Normal 44 4" xfId="1557"/>
    <cellStyle name="Normal 44 4 2" xfId="1558"/>
    <cellStyle name="Normal 44 5" xfId="1559"/>
    <cellStyle name="Normal 44 6" xfId="5148"/>
    <cellStyle name="Normal 44 7" xfId="4488"/>
    <cellStyle name="Normal 44 7 2" xfId="14517"/>
    <cellStyle name="Normal 44 7 3" xfId="7374"/>
    <cellStyle name="Normal 44 7_Base RF" xfId="14950"/>
    <cellStyle name="Normal 45" xfId="1560"/>
    <cellStyle name="Normal 45 2" xfId="1561"/>
    <cellStyle name="Normal 45 2 2" xfId="1562"/>
    <cellStyle name="Normal 45 2 2 2" xfId="1563"/>
    <cellStyle name="Normal 45 2 2 3" xfId="5156"/>
    <cellStyle name="Normal 45 2 2 4" xfId="4496"/>
    <cellStyle name="Normal 45 2 3" xfId="1564"/>
    <cellStyle name="Normal 45 2 4" xfId="5155"/>
    <cellStyle name="Normal 45 2 5" xfId="4495"/>
    <cellStyle name="Normal 45 3" xfId="1565"/>
    <cellStyle name="Normal 45 3 2" xfId="1566"/>
    <cellStyle name="Normal 45 3 3" xfId="5157"/>
    <cellStyle name="Normal 45 3 4" xfId="4497"/>
    <cellStyle name="Normal 45 4" xfId="1567"/>
    <cellStyle name="Normal 45 5" xfId="5154"/>
    <cellStyle name="Normal 45 6" xfId="4494"/>
    <cellStyle name="Normal 45 6 2" xfId="14518"/>
    <cellStyle name="Normal 45 6 3" xfId="7535"/>
    <cellStyle name="Normal 45 6_Base RF" xfId="14951"/>
    <cellStyle name="Normal 46" xfId="1568"/>
    <cellStyle name="Normal 46 2" xfId="1569"/>
    <cellStyle name="Normal 46 2 2" xfId="1570"/>
    <cellStyle name="Normal 46 2 2 2" xfId="5160"/>
    <cellStyle name="Normal 46 2 2 3" xfId="4500"/>
    <cellStyle name="Normal 46 2 3" xfId="5159"/>
    <cellStyle name="Normal 46 2 4" xfId="4499"/>
    <cellStyle name="Normal 46 3" xfId="1571"/>
    <cellStyle name="Normal 46 3 2" xfId="5161"/>
    <cellStyle name="Normal 46 3 3" xfId="4501"/>
    <cellStyle name="Normal 46 4" xfId="5158"/>
    <cellStyle name="Normal 46 5" xfId="4498"/>
    <cellStyle name="Normal 46 5 2" xfId="14519"/>
    <cellStyle name="Normal 46 5 3" xfId="6135"/>
    <cellStyle name="Normal 46 5_Base RF" xfId="14952"/>
    <cellStyle name="Normal 47" xfId="1572"/>
    <cellStyle name="Normal 47 2" xfId="1573"/>
    <cellStyle name="Normal 47 2 2" xfId="1574"/>
    <cellStyle name="Normal 47 2 2 2" xfId="1575"/>
    <cellStyle name="Normal 47 2 2 3" xfId="5164"/>
    <cellStyle name="Normal 47 2 2 4" xfId="4504"/>
    <cellStyle name="Normal 47 2 3" xfId="1576"/>
    <cellStyle name="Normal 47 2 4" xfId="5163"/>
    <cellStyle name="Normal 47 2 5" xfId="4503"/>
    <cellStyle name="Normal 47 3" xfId="1577"/>
    <cellStyle name="Normal 47 3 2" xfId="1578"/>
    <cellStyle name="Normal 47 3 3" xfId="5165"/>
    <cellStyle name="Normal 47 3 4" xfId="4505"/>
    <cellStyle name="Normal 47 4" xfId="1579"/>
    <cellStyle name="Normal 47 5" xfId="5162"/>
    <cellStyle name="Normal 47 6" xfId="4502"/>
    <cellStyle name="Normal 47 6 2" xfId="14520"/>
    <cellStyle name="Normal 47 6 3" xfId="7373"/>
    <cellStyle name="Normal 47 6_Base RF" xfId="14953"/>
    <cellStyle name="Normal 48" xfId="1580"/>
    <cellStyle name="Normal 48 2" xfId="1581"/>
    <cellStyle name="Normal 48 2 2" xfId="1582"/>
    <cellStyle name="Normal 48 2 2 2" xfId="1583"/>
    <cellStyle name="Normal 48 2 2 3" xfId="5168"/>
    <cellStyle name="Normal 48 2 2 4" xfId="4508"/>
    <cellStyle name="Normal 48 2 3" xfId="1584"/>
    <cellStyle name="Normal 48 2 4" xfId="5167"/>
    <cellStyle name="Normal 48 2 5" xfId="4507"/>
    <cellStyle name="Normal 48 2 5 2" xfId="14522"/>
    <cellStyle name="Normal 48 2 5 3" xfId="6134"/>
    <cellStyle name="Normal 48 2 5_Base RF" xfId="14954"/>
    <cellStyle name="Normal 48 3" xfId="1585"/>
    <cellStyle name="Normal 48 3 2" xfId="1586"/>
    <cellStyle name="Normal 48 3 3" xfId="5169"/>
    <cellStyle name="Normal 48 3 4" xfId="4509"/>
    <cellStyle name="Normal 48 4" xfId="1587"/>
    <cellStyle name="Normal 48 5" xfId="5166"/>
    <cellStyle name="Normal 48 6" xfId="4506"/>
    <cellStyle name="Normal 48 6 2" xfId="14521"/>
    <cellStyle name="Normal 48 6 3" xfId="7534"/>
    <cellStyle name="Normal 48 6_Base RF" xfId="14955"/>
    <cellStyle name="Normal 49" xfId="1588"/>
    <cellStyle name="Normal 49 2" xfId="1589"/>
    <cellStyle name="Normal 49 2 2" xfId="1590"/>
    <cellStyle name="Normal 49 2 2 2" xfId="5172"/>
    <cellStyle name="Normal 49 2 2 3" xfId="4512"/>
    <cellStyle name="Normal 49 2 3" xfId="5171"/>
    <cellStyle name="Normal 49 2 4" xfId="4511"/>
    <cellStyle name="Normal 49 2 4 2" xfId="14524"/>
    <cellStyle name="Normal 49 2 4 3" xfId="7533"/>
    <cellStyle name="Normal 49 2 4_Base RF" xfId="14956"/>
    <cellStyle name="Normal 49 3" xfId="1591"/>
    <cellStyle name="Normal 49 3 2" xfId="5173"/>
    <cellStyle name="Normal 49 3 3" xfId="4513"/>
    <cellStyle name="Normal 49 4" xfId="5170"/>
    <cellStyle name="Normal 49 5" xfId="4510"/>
    <cellStyle name="Normal 49 5 2" xfId="14523"/>
    <cellStyle name="Normal 49 5 3" xfId="7372"/>
    <cellStyle name="Normal 49 5_Base RF" xfId="14957"/>
    <cellStyle name="Normal 5" xfId="84"/>
    <cellStyle name="Normal 5 2" xfId="1592"/>
    <cellStyle name="Normal 5 2 2" xfId="5403"/>
    <cellStyle name="Normal 5 2 3" xfId="4514"/>
    <cellStyle name="Normal 5 2 3 2" xfId="14525"/>
    <cellStyle name="Normal 5 2 3 3" xfId="7371"/>
    <cellStyle name="Normal 5 3" xfId="2213"/>
    <cellStyle name="Normal 5 3 2" xfId="5431"/>
    <cellStyle name="Normal 5 3 3" xfId="4515"/>
    <cellStyle name="Normal 5 3_Base RF" xfId="5522"/>
    <cellStyle name="Normal 5 4" xfId="2216"/>
    <cellStyle name="Normal 5 4 2" xfId="5443"/>
    <cellStyle name="Normal 5 4 3" xfId="5174"/>
    <cellStyle name="Normal 5 5" xfId="2529"/>
    <cellStyle name="Normal 5 5 2" xfId="13915"/>
    <cellStyle name="Normal 5 5 3" xfId="6133"/>
    <cellStyle name="Normal 5_CAC" xfId="4516"/>
    <cellStyle name="Normal 50" xfId="1593"/>
    <cellStyle name="Normal 50 2" xfId="1594"/>
    <cellStyle name="Normal 50 2 2" xfId="4519"/>
    <cellStyle name="Normal 50 2 2 2" xfId="14526"/>
    <cellStyle name="Normal 50 2 2 3" xfId="13727"/>
    <cellStyle name="Normal 50 2 2_Base RF" xfId="14958"/>
    <cellStyle name="Normal 50 2 3" xfId="5176"/>
    <cellStyle name="Normal 50 2 3 2" xfId="14787"/>
    <cellStyle name="Normal 50 2 3 3" xfId="7370"/>
    <cellStyle name="Normal 50 2 4" xfId="4518"/>
    <cellStyle name="Normal 50 3" xfId="4520"/>
    <cellStyle name="Normal 50 3 2" xfId="14527"/>
    <cellStyle name="Normal 50 3 3" xfId="13726"/>
    <cellStyle name="Normal 50 3_Base RF" xfId="14959"/>
    <cellStyle name="Normal 50 4" xfId="5175"/>
    <cellStyle name="Normal 50 4 2" xfId="14786"/>
    <cellStyle name="Normal 50 4 3" xfId="6132"/>
    <cellStyle name="Normal 50 5" xfId="4517"/>
    <cellStyle name="Normal 51" xfId="1595"/>
    <cellStyle name="Normal 51 2" xfId="1596"/>
    <cellStyle name="Normal 51 2 2" xfId="1597"/>
    <cellStyle name="Normal 51 2 2 2" xfId="5179"/>
    <cellStyle name="Normal 51 2 2 3" xfId="4523"/>
    <cellStyle name="Normal 51 2 3" xfId="5178"/>
    <cellStyle name="Normal 51 2 4" xfId="4522"/>
    <cellStyle name="Normal 51 2 4 2" xfId="14529"/>
    <cellStyle name="Normal 51 2 4 3" xfId="6131"/>
    <cellStyle name="Normal 51 2 4_Base RF" xfId="14960"/>
    <cellStyle name="Normal 51 3" xfId="1598"/>
    <cellStyle name="Normal 51 3 2" xfId="5180"/>
    <cellStyle name="Normal 51 3 3" xfId="4524"/>
    <cellStyle name="Normal 51 4" xfId="5177"/>
    <cellStyle name="Normal 51 5" xfId="4521"/>
    <cellStyle name="Normal 51 5 2" xfId="14528"/>
    <cellStyle name="Normal 51 5 3" xfId="7532"/>
    <cellStyle name="Normal 51 5_Base RF" xfId="14961"/>
    <cellStyle name="Normal 52" xfId="1599"/>
    <cellStyle name="Normal 52 2" xfId="1600"/>
    <cellStyle name="Normal 52 2 2" xfId="1601"/>
    <cellStyle name="Normal 52 2 2 2" xfId="5183"/>
    <cellStyle name="Normal 52 2 2 3" xfId="4527"/>
    <cellStyle name="Normal 52 2 3" xfId="5182"/>
    <cellStyle name="Normal 52 2 4" xfId="4526"/>
    <cellStyle name="Normal 52 2 4 2" xfId="14531"/>
    <cellStyle name="Normal 52 2 4 3" xfId="7369"/>
    <cellStyle name="Normal 52 2 4_Base RF" xfId="14962"/>
    <cellStyle name="Normal 52 3" xfId="1602"/>
    <cellStyle name="Normal 52 3 2" xfId="5184"/>
    <cellStyle name="Normal 52 3 3" xfId="4528"/>
    <cellStyle name="Normal 52 4" xfId="5181"/>
    <cellStyle name="Normal 52 5" xfId="4525"/>
    <cellStyle name="Normal 52 5 2" xfId="14530"/>
    <cellStyle name="Normal 52 5 3" xfId="6130"/>
    <cellStyle name="Normal 52 5_Base RF" xfId="14963"/>
    <cellStyle name="Normal 53" xfId="1603"/>
    <cellStyle name="Normal 53 2" xfId="1604"/>
    <cellStyle name="Normal 53 2 2" xfId="1605"/>
    <cellStyle name="Normal 53 2 2 2" xfId="5187"/>
    <cellStyle name="Normal 53 2 2 3" xfId="4531"/>
    <cellStyle name="Normal 53 2 3" xfId="5186"/>
    <cellStyle name="Normal 53 2 4" xfId="4530"/>
    <cellStyle name="Normal 53 2 4 2" xfId="14533"/>
    <cellStyle name="Normal 53 2 4 3" xfId="6129"/>
    <cellStyle name="Normal 53 2 4_Base RF" xfId="14964"/>
    <cellStyle name="Normal 53 3" xfId="1606"/>
    <cellStyle name="Normal 53 3 2" xfId="5188"/>
    <cellStyle name="Normal 53 3 3" xfId="4532"/>
    <cellStyle name="Normal 53 4" xfId="5185"/>
    <cellStyle name="Normal 53 5" xfId="4529"/>
    <cellStyle name="Normal 53 5 2" xfId="14532"/>
    <cellStyle name="Normal 53 5 3" xfId="7531"/>
    <cellStyle name="Normal 53 5_Base RF" xfId="14965"/>
    <cellStyle name="Normal 54" xfId="1607"/>
    <cellStyle name="Normal 54 2" xfId="1608"/>
    <cellStyle name="Normal 54 2 2" xfId="4535"/>
    <cellStyle name="Normal 54 2 2 2" xfId="14534"/>
    <cellStyle name="Normal 54 2 2 3" xfId="13729"/>
    <cellStyle name="Normal 54 2 2_Base RF" xfId="14966"/>
    <cellStyle name="Normal 54 2 3" xfId="5190"/>
    <cellStyle name="Normal 54 2 3 2" xfId="14789"/>
    <cellStyle name="Normal 54 2 3 3" xfId="7530"/>
    <cellStyle name="Normal 54 2 4" xfId="4534"/>
    <cellStyle name="Normal 54 3" xfId="4536"/>
    <cellStyle name="Normal 54 3 2" xfId="14535"/>
    <cellStyle name="Normal 54 3 3" xfId="13728"/>
    <cellStyle name="Normal 54 3_Base RF" xfId="14967"/>
    <cellStyle name="Normal 54 4" xfId="5189"/>
    <cellStyle name="Normal 54 4 2" xfId="14788"/>
    <cellStyle name="Normal 54 4 3" xfId="7368"/>
    <cellStyle name="Normal 54 5" xfId="4533"/>
    <cellStyle name="Normal 55" xfId="1609"/>
    <cellStyle name="Normal 55 10" xfId="15800"/>
    <cellStyle name="Normal 55 2" xfId="1610"/>
    <cellStyle name="Normal 55 2 2" xfId="1611"/>
    <cellStyle name="Normal 55 2 2 2" xfId="5193"/>
    <cellStyle name="Normal 55 2 2 3" xfId="4539"/>
    <cellStyle name="Normal 55 2 3" xfId="5192"/>
    <cellStyle name="Normal 55 2 4" xfId="4538"/>
    <cellStyle name="Normal 55 2 4 2" xfId="14537"/>
    <cellStyle name="Normal 55 2 4 3" xfId="8419"/>
    <cellStyle name="Normal 55 2 4_Base RF" xfId="14968"/>
    <cellStyle name="Normal 55 3" xfId="1612"/>
    <cellStyle name="Normal 55 3 2" xfId="5194"/>
    <cellStyle name="Normal 55 3 3" xfId="4540"/>
    <cellStyle name="Normal 55 4" xfId="5191"/>
    <cellStyle name="Normal 55 5" xfId="4537"/>
    <cellStyle name="Normal 55 5 2" xfId="14536"/>
    <cellStyle name="Normal 55 5 3" xfId="6128"/>
    <cellStyle name="Normal 55 5_Base RF" xfId="14969"/>
    <cellStyle name="Normal 55 6" xfId="15762"/>
    <cellStyle name="Normal 55 7" xfId="15772"/>
    <cellStyle name="Normal 55 8" xfId="15843"/>
    <cellStyle name="Normal 55 9" xfId="15797"/>
    <cellStyle name="Normal 56" xfId="1613"/>
    <cellStyle name="Normal 56 2" xfId="1614"/>
    <cellStyle name="Normal 56 2 2" xfId="4543"/>
    <cellStyle name="Normal 56 2 2 2" xfId="14538"/>
    <cellStyle name="Normal 56 2 2 3" xfId="13731"/>
    <cellStyle name="Normal 56 2 2_Base RF" xfId="14970"/>
    <cellStyle name="Normal 56 2 3" xfId="5196"/>
    <cellStyle name="Normal 56 2 3 2" xfId="14791"/>
    <cellStyle name="Normal 56 2 3 3" xfId="7529"/>
    <cellStyle name="Normal 56 2 4" xfId="4542"/>
    <cellStyle name="Normal 56 3" xfId="4544"/>
    <cellStyle name="Normal 56 3 2" xfId="14539"/>
    <cellStyle name="Normal 56 3 3" xfId="13730"/>
    <cellStyle name="Normal 56 3_Base RF" xfId="14971"/>
    <cellStyle name="Normal 56 4" xfId="5195"/>
    <cellStyle name="Normal 56 4 2" xfId="14790"/>
    <cellStyle name="Normal 56 4 3" xfId="7367"/>
    <cellStyle name="Normal 56 5" xfId="4541"/>
    <cellStyle name="Normal 57" xfId="1615"/>
    <cellStyle name="Normal 57 2" xfId="1616"/>
    <cellStyle name="Normal 57 2 2" xfId="4547"/>
    <cellStyle name="Normal 57 2 2 2" xfId="14540"/>
    <cellStyle name="Normal 57 2 2 3" xfId="13733"/>
    <cellStyle name="Normal 57 2 2_Base RF" xfId="14972"/>
    <cellStyle name="Normal 57 2 3" xfId="5198"/>
    <cellStyle name="Normal 57 2 3 2" xfId="14793"/>
    <cellStyle name="Normal 57 2 3 3" xfId="8425"/>
    <cellStyle name="Normal 57 2 4" xfId="4546"/>
    <cellStyle name="Normal 57 3" xfId="4548"/>
    <cellStyle name="Normal 57 3 2" xfId="14541"/>
    <cellStyle name="Normal 57 3 3" xfId="13732"/>
    <cellStyle name="Normal 57 3_Base RF" xfId="14973"/>
    <cellStyle name="Normal 57 4" xfId="5197"/>
    <cellStyle name="Normal 57 4 2" xfId="14792"/>
    <cellStyle name="Normal 57 4 3" xfId="6127"/>
    <cellStyle name="Normal 57 5" xfId="4545"/>
    <cellStyle name="Normal 58" xfId="1617"/>
    <cellStyle name="Normal 58 2" xfId="1618"/>
    <cellStyle name="Normal 58 2 2" xfId="4551"/>
    <cellStyle name="Normal 58 2 2 2" xfId="14542"/>
    <cellStyle name="Normal 58 2 2 3" xfId="13735"/>
    <cellStyle name="Normal 58 2 2_Base RF" xfId="14974"/>
    <cellStyle name="Normal 58 2 3" xfId="5200"/>
    <cellStyle name="Normal 58 2 3 2" xfId="14795"/>
    <cellStyle name="Normal 58 2 3 3" xfId="7528"/>
    <cellStyle name="Normal 58 2 4" xfId="4550"/>
    <cellStyle name="Normal 58 3" xfId="4552"/>
    <cellStyle name="Normal 58 3 2" xfId="14543"/>
    <cellStyle name="Normal 58 3 3" xfId="13734"/>
    <cellStyle name="Normal 58 3_Base RF" xfId="14975"/>
    <cellStyle name="Normal 58 4" xfId="5199"/>
    <cellStyle name="Normal 58 4 2" xfId="14794"/>
    <cellStyle name="Normal 58 4 3" xfId="7366"/>
    <cellStyle name="Normal 58 5" xfId="4549"/>
    <cellStyle name="Normal 59" xfId="1619"/>
    <cellStyle name="Normal 59 2" xfId="1620"/>
    <cellStyle name="Normal 59 2 2" xfId="4555"/>
    <cellStyle name="Normal 59 2 2 2" xfId="14544"/>
    <cellStyle name="Normal 59 2 2 3" xfId="13737"/>
    <cellStyle name="Normal 59 2 2_Base RF" xfId="14976"/>
    <cellStyle name="Normal 59 2 3" xfId="5202"/>
    <cellStyle name="Normal 59 2 3 2" xfId="14797"/>
    <cellStyle name="Normal 59 2 3 3" xfId="7365"/>
    <cellStyle name="Normal 59 2 4" xfId="4554"/>
    <cellStyle name="Normal 59 3" xfId="4556"/>
    <cellStyle name="Normal 59 3 2" xfId="14545"/>
    <cellStyle name="Normal 59 3 3" xfId="13736"/>
    <cellStyle name="Normal 59 3_Base RF" xfId="14977"/>
    <cellStyle name="Normal 59 4" xfId="5201"/>
    <cellStyle name="Normal 59 4 2" xfId="14796"/>
    <cellStyle name="Normal 59 4 3" xfId="6126"/>
    <cellStyle name="Normal 59 5" xfId="4553"/>
    <cellStyle name="Normal 6" xfId="1621"/>
    <cellStyle name="Normal 6 10" xfId="15598"/>
    <cellStyle name="Normal 6 2" xfId="2214"/>
    <cellStyle name="Normal 6 2 2" xfId="5432"/>
    <cellStyle name="Normal 6 2 3" xfId="4558"/>
    <cellStyle name="Normal 6 2_Base RF" xfId="5523"/>
    <cellStyle name="Normal 6 3" xfId="5203"/>
    <cellStyle name="Normal 6 3 2" xfId="9441"/>
    <cellStyle name="Normal 6 3 3" xfId="14798"/>
    <cellStyle name="Normal 6 3 4" xfId="8423"/>
    <cellStyle name="Normal 6 4" xfId="4557"/>
    <cellStyle name="Normal 6 4 2" xfId="14546"/>
    <cellStyle name="Normal 6 4 3" xfId="13738"/>
    <cellStyle name="Normal 6 4_Base RF" xfId="14978"/>
    <cellStyle name="Normal 6 5" xfId="7527"/>
    <cellStyle name="Normal 6 5 2" xfId="15711"/>
    <cellStyle name="Normal 6 5 3" xfId="15503"/>
    <cellStyle name="Normal 6 6" xfId="15504"/>
    <cellStyle name="Normal 6 7" xfId="15562"/>
    <cellStyle name="Normal 6 8" xfId="15561"/>
    <cellStyle name="Normal 6 9" xfId="15576"/>
    <cellStyle name="Normal 6_CAC" xfId="4559"/>
    <cellStyle name="Normal 60" xfId="1622"/>
    <cellStyle name="Normal 60 2" xfId="1623"/>
    <cellStyle name="Normal 60 2 2" xfId="4562"/>
    <cellStyle name="Normal 60 2 2 2" xfId="14547"/>
    <cellStyle name="Normal 60 2 2 3" xfId="13740"/>
    <cellStyle name="Normal 60 2 2_Base RF" xfId="14979"/>
    <cellStyle name="Normal 60 2 3" xfId="5205"/>
    <cellStyle name="Normal 60 2 3 2" xfId="14800"/>
    <cellStyle name="Normal 60 2 3 3" xfId="8424"/>
    <cellStyle name="Normal 60 2 4" xfId="4561"/>
    <cellStyle name="Normal 60 3" xfId="4563"/>
    <cellStyle name="Normal 60 3 2" xfId="14548"/>
    <cellStyle name="Normal 60 3 3" xfId="13739"/>
    <cellStyle name="Normal 60 3_Base RF" xfId="14980"/>
    <cellStyle name="Normal 60 4" xfId="5204"/>
    <cellStyle name="Normal 60 4 2" xfId="14799"/>
    <cellStyle name="Normal 60 4 3" xfId="7364"/>
    <cellStyle name="Normal 60 5" xfId="4560"/>
    <cellStyle name="Normal 61" xfId="1624"/>
    <cellStyle name="Normal 61 10" xfId="15577"/>
    <cellStyle name="Normal 61 2" xfId="4565"/>
    <cellStyle name="Normal 61 2 2" xfId="4566"/>
    <cellStyle name="Normal 61 2 3" xfId="14549"/>
    <cellStyle name="Normal 61 2 4" xfId="6125"/>
    <cellStyle name="Normal 61 2_Base RF" xfId="5525"/>
    <cellStyle name="Normal 61 3" xfId="4567"/>
    <cellStyle name="Normal 61 3 2" xfId="14550"/>
    <cellStyle name="Normal 61 3 3" xfId="13741"/>
    <cellStyle name="Normal 61 3_Base RF" xfId="14981"/>
    <cellStyle name="Normal 61 4" xfId="5206"/>
    <cellStyle name="Normal 61 4 2" xfId="14801"/>
    <cellStyle name="Normal 61 4 3" xfId="7526"/>
    <cellStyle name="Normal 61 4_Base RF" xfId="14982"/>
    <cellStyle name="Normal 61 5" xfId="4564"/>
    <cellStyle name="Normal 61 6" xfId="15483"/>
    <cellStyle name="Normal 61 7" xfId="15494"/>
    <cellStyle name="Normal 61 8" xfId="15563"/>
    <cellStyle name="Normal 61 9" xfId="15560"/>
    <cellStyle name="Normal 61_Base RF" xfId="5524"/>
    <cellStyle name="Normal 62" xfId="1625"/>
    <cellStyle name="Normal 62 10" xfId="15578"/>
    <cellStyle name="Normal 62 2" xfId="4569"/>
    <cellStyle name="Normal 62 2 2" xfId="4570"/>
    <cellStyle name="Normal 62 2 3" xfId="14551"/>
    <cellStyle name="Normal 62 2 4" xfId="5989"/>
    <cellStyle name="Normal 62 2_Base RF" xfId="5527"/>
    <cellStyle name="Normal 62 3" xfId="4571"/>
    <cellStyle name="Normal 62 3 2" xfId="14552"/>
    <cellStyle name="Normal 62 3 3" xfId="13742"/>
    <cellStyle name="Normal 62 3_Base RF" xfId="14983"/>
    <cellStyle name="Normal 62 4" xfId="5207"/>
    <cellStyle name="Normal 62 4 2" xfId="14802"/>
    <cellStyle name="Normal 62 4 3" xfId="7318"/>
    <cellStyle name="Normal 62 4_Base RF" xfId="14984"/>
    <cellStyle name="Normal 62 5" xfId="4568"/>
    <cellStyle name="Normal 62 6" xfId="15515"/>
    <cellStyle name="Normal 62 7" xfId="15500"/>
    <cellStyle name="Normal 62 8" xfId="15564"/>
    <cellStyle name="Normal 62 9" xfId="15559"/>
    <cellStyle name="Normal 62_Base RF" xfId="5526"/>
    <cellStyle name="Normal 63" xfId="1626"/>
    <cellStyle name="Normal 63 10" xfId="15579"/>
    <cellStyle name="Normal 63 2" xfId="4573"/>
    <cellStyle name="Normal 63 2 2" xfId="4574"/>
    <cellStyle name="Normal 63 2_Base RF" xfId="5528"/>
    <cellStyle name="Normal 63 3" xfId="4575"/>
    <cellStyle name="Normal 63 3 2" xfId="14553"/>
    <cellStyle name="Normal 63 3 3" xfId="13743"/>
    <cellStyle name="Normal 63 3_Base RF" xfId="14985"/>
    <cellStyle name="Normal 63 4" xfId="5208"/>
    <cellStyle name="Normal 63 4 2" xfId="14803"/>
    <cellStyle name="Normal 63 4 3" xfId="8422"/>
    <cellStyle name="Normal 63 5" xfId="4572"/>
    <cellStyle name="Normal 63 6" xfId="15522"/>
    <cellStyle name="Normal 63 7" xfId="15521"/>
    <cellStyle name="Normal 63 8" xfId="15565"/>
    <cellStyle name="Normal 63 9" xfId="15591"/>
    <cellStyle name="Normal 64" xfId="1627"/>
    <cellStyle name="Normal 64 10" xfId="15580"/>
    <cellStyle name="Normal 64 2" xfId="4577"/>
    <cellStyle name="Normal 64 2 2" xfId="4578"/>
    <cellStyle name="Normal 64 2_Base RF" xfId="5529"/>
    <cellStyle name="Normal 64 3" xfId="4579"/>
    <cellStyle name="Normal 64 3 2" xfId="14554"/>
    <cellStyle name="Normal 64 3 3" xfId="13744"/>
    <cellStyle name="Normal 64 3_Base RF" xfId="14986"/>
    <cellStyle name="Normal 64 4" xfId="5209"/>
    <cellStyle name="Normal 64 4 2" xfId="14804"/>
    <cellStyle name="Normal 64 4 3" xfId="7363"/>
    <cellStyle name="Normal 64 5" xfId="4576"/>
    <cellStyle name="Normal 64 6" xfId="15518"/>
    <cellStyle name="Normal 64 7" xfId="15485"/>
    <cellStyle name="Normal 64 8" xfId="15566"/>
    <cellStyle name="Normal 64 9" xfId="15594"/>
    <cellStyle name="Normal 65" xfId="1628"/>
    <cellStyle name="Normal 65 10" xfId="15581"/>
    <cellStyle name="Normal 65 2" xfId="4581"/>
    <cellStyle name="Normal 65 2 2" xfId="4582"/>
    <cellStyle name="Normal 65 2_Base RF" xfId="5530"/>
    <cellStyle name="Normal 65 3" xfId="4583"/>
    <cellStyle name="Normal 65 3 2" xfId="14555"/>
    <cellStyle name="Normal 65 3 3" xfId="13745"/>
    <cellStyle name="Normal 65 3_Base RF" xfId="14987"/>
    <cellStyle name="Normal 65 4" xfId="5210"/>
    <cellStyle name="Normal 65 4 2" xfId="14805"/>
    <cellStyle name="Normal 65 4 3" xfId="7525"/>
    <cellStyle name="Normal 65 5" xfId="4580"/>
    <cellStyle name="Normal 65 6" xfId="15502"/>
    <cellStyle name="Normal 65 7" xfId="15486"/>
    <cellStyle name="Normal 65 8" xfId="15567"/>
    <cellStyle name="Normal 65 9" xfId="15558"/>
    <cellStyle name="Normal 66" xfId="1629"/>
    <cellStyle name="Normal 66 10" xfId="15582"/>
    <cellStyle name="Normal 66 2" xfId="4585"/>
    <cellStyle name="Normal 66 2 2" xfId="4586"/>
    <cellStyle name="Normal 66 2 3" xfId="14556"/>
    <cellStyle name="Normal 66 2 4" xfId="6052"/>
    <cellStyle name="Normal 66 2_Base RF" xfId="5532"/>
    <cellStyle name="Normal 66 3" xfId="4587"/>
    <cellStyle name="Normal 66 3 2" xfId="14557"/>
    <cellStyle name="Normal 66 3 3" xfId="13746"/>
    <cellStyle name="Normal 66 3_Base RF" xfId="14988"/>
    <cellStyle name="Normal 66 4" xfId="5211"/>
    <cellStyle name="Normal 66 4 2" xfId="14806"/>
    <cellStyle name="Normal 66 4 3" xfId="6103"/>
    <cellStyle name="Normal 66 4_Base RF" xfId="14989"/>
    <cellStyle name="Normal 66 5" xfId="4584"/>
    <cellStyle name="Normal 66 6" xfId="15498"/>
    <cellStyle name="Normal 66 7" xfId="15487"/>
    <cellStyle name="Normal 66 8" xfId="15568"/>
    <cellStyle name="Normal 66 9" xfId="15557"/>
    <cellStyle name="Normal 66_Base RF" xfId="5531"/>
    <cellStyle name="Normal 67" xfId="1630"/>
    <cellStyle name="Normal 67 2" xfId="1631"/>
    <cellStyle name="Normal 67 2 2" xfId="1632"/>
    <cellStyle name="Normal 67 2 2 2" xfId="5214"/>
    <cellStyle name="Normal 67 2 2 3" xfId="4590"/>
    <cellStyle name="Normal 67 2 3" xfId="5213"/>
    <cellStyle name="Normal 67 2 4" xfId="4589"/>
    <cellStyle name="Normal 67 2 4 2" xfId="14559"/>
    <cellStyle name="Normal 67 2 4 3" xfId="6123"/>
    <cellStyle name="Normal 67 2 4_Base RF" xfId="14990"/>
    <cellStyle name="Normal 67 3" xfId="1633"/>
    <cellStyle name="Normal 67 3 2" xfId="5215"/>
    <cellStyle name="Normal 67 3 3" xfId="4591"/>
    <cellStyle name="Normal 67 4" xfId="5212"/>
    <cellStyle name="Normal 67 5" xfId="4588"/>
    <cellStyle name="Normal 67 5 2" xfId="14558"/>
    <cellStyle name="Normal 67 5 3" xfId="6124"/>
    <cellStyle name="Normal 67 5_Base RF" xfId="14991"/>
    <cellStyle name="Normal 68" xfId="1634"/>
    <cellStyle name="Normal 68 10" xfId="15583"/>
    <cellStyle name="Normal 68 2" xfId="4593"/>
    <cellStyle name="Normal 68 2 2" xfId="4594"/>
    <cellStyle name="Normal 68 2 3" xfId="14560"/>
    <cellStyle name="Normal 68 2 4" xfId="13747"/>
    <cellStyle name="Normal 68 2_Base RF" xfId="5533"/>
    <cellStyle name="Normal 68 3" xfId="4595"/>
    <cellStyle name="Normal 68 4" xfId="5216"/>
    <cellStyle name="Normal 68 5" xfId="4592"/>
    <cellStyle name="Normal 68 6" xfId="15495"/>
    <cellStyle name="Normal 68 7" xfId="15507"/>
    <cellStyle name="Normal 68 8" xfId="15569"/>
    <cellStyle name="Normal 68 9" xfId="15556"/>
    <cellStyle name="Normal 69" xfId="1635"/>
    <cellStyle name="Normal 69 10" xfId="6122"/>
    <cellStyle name="Normal 69 10 2" xfId="15712"/>
    <cellStyle name="Normal 69 10 3" xfId="15584"/>
    <cellStyle name="Normal 69 2" xfId="4597"/>
    <cellStyle name="Normal 69 2 2" xfId="4598"/>
    <cellStyle name="Normal 69 2 2 2" xfId="14563"/>
    <cellStyle name="Normal 69 2 2 3" xfId="6120"/>
    <cellStyle name="Normal 69 2 2_Base RF" xfId="14992"/>
    <cellStyle name="Normal 69 2 3" xfId="6119"/>
    <cellStyle name="Normal 69 2 4" xfId="14562"/>
    <cellStyle name="Normal 69 2 5" xfId="6121"/>
    <cellStyle name="Normal 69 2_Base RF" xfId="5534"/>
    <cellStyle name="Normal 69 3" xfId="4599"/>
    <cellStyle name="Normal 69 3 2" xfId="14564"/>
    <cellStyle name="Normal 69 3 3" xfId="6118"/>
    <cellStyle name="Normal 69 3_Base RF" xfId="14993"/>
    <cellStyle name="Normal 69 4" xfId="5217"/>
    <cellStyle name="Normal 69 4 2" xfId="14807"/>
    <cellStyle name="Normal 69 4 3" xfId="8420"/>
    <cellStyle name="Normal 69 5" xfId="4596"/>
    <cellStyle name="Normal 69 5 2" xfId="14561"/>
    <cellStyle name="Normal 69 5 3" xfId="7359"/>
    <cellStyle name="Normal 69 5_Base RF" xfId="14994"/>
    <cellStyle name="Normal 69 6" xfId="7478"/>
    <cellStyle name="Normal 69 6 2" xfId="15713"/>
    <cellStyle name="Normal 69 6 3" xfId="15513"/>
    <cellStyle name="Normal 69 7" xfId="9244"/>
    <cellStyle name="Normal 69 7 2" xfId="15714"/>
    <cellStyle name="Normal 69 7 3" xfId="15523"/>
    <cellStyle name="Normal 69 8" xfId="9439"/>
    <cellStyle name="Normal 69 8 2" xfId="15715"/>
    <cellStyle name="Normal 69 8 3" xfId="15570"/>
    <cellStyle name="Normal 69 9" xfId="13748"/>
    <cellStyle name="Normal 7" xfId="1636"/>
    <cellStyle name="Normal 7 2" xfId="1637"/>
    <cellStyle name="Normal 7 2 2" xfId="7524"/>
    <cellStyle name="Normal 7 2 3" xfId="13750"/>
    <cellStyle name="Normal 7 2 4" xfId="7362"/>
    <cellStyle name="Normal 7 2_Base RF" xfId="14995"/>
    <cellStyle name="Normal 7 3" xfId="2215"/>
    <cellStyle name="Normal 7 3 2" xfId="13782"/>
    <cellStyle name="Normal 7 3 3" xfId="6117"/>
    <cellStyle name="Normal 7 3_Base RF" xfId="14996"/>
    <cellStyle name="Normal 7 4" xfId="8421"/>
    <cellStyle name="Normal 7 5" xfId="13749"/>
    <cellStyle name="Normal 7 6" xfId="6114"/>
    <cellStyle name="Normal 7_Base RF" xfId="5535"/>
    <cellStyle name="Normal 70" xfId="1638"/>
    <cellStyle name="Normal 70 10" xfId="9440"/>
    <cellStyle name="Normal 70 10 2" xfId="15716"/>
    <cellStyle name="Normal 70 10 3" xfId="15585"/>
    <cellStyle name="Normal 70 2" xfId="4601"/>
    <cellStyle name="Normal 70 2 2" xfId="4602"/>
    <cellStyle name="Normal 70 2 2 2" xfId="14567"/>
    <cellStyle name="Normal 70 2 2 3" xfId="9245"/>
    <cellStyle name="Normal 70 2 2_Base RF" xfId="14997"/>
    <cellStyle name="Normal 70 2 3" xfId="7522"/>
    <cellStyle name="Normal 70 2 4" xfId="14566"/>
    <cellStyle name="Normal 70 2 5" xfId="7360"/>
    <cellStyle name="Normal 70 2_Base RF" xfId="5536"/>
    <cellStyle name="Normal 70 3" xfId="4603"/>
    <cellStyle name="Normal 70 3 2" xfId="14568"/>
    <cellStyle name="Normal 70 3 3" xfId="7361"/>
    <cellStyle name="Normal 70 3_Base RF" xfId="14998"/>
    <cellStyle name="Normal 70 4" xfId="5218"/>
    <cellStyle name="Normal 70 4 2" xfId="14808"/>
    <cellStyle name="Normal 70 4 3" xfId="7523"/>
    <cellStyle name="Normal 70 5" xfId="4600"/>
    <cellStyle name="Normal 70 5 2" xfId="14565"/>
    <cellStyle name="Normal 70 5 3" xfId="6116"/>
    <cellStyle name="Normal 70 5_Base RF" xfId="14999"/>
    <cellStyle name="Normal 70 6" xfId="6115"/>
    <cellStyle name="Normal 70 6 2" xfId="15717"/>
    <cellStyle name="Normal 70 6 3" xfId="15517"/>
    <cellStyle name="Normal 70 7" xfId="5993"/>
    <cellStyle name="Normal 70 7 2" xfId="15718"/>
    <cellStyle name="Normal 70 7 3" xfId="15508"/>
    <cellStyle name="Normal 70 8" xfId="6113"/>
    <cellStyle name="Normal 70 8 2" xfId="15719"/>
    <cellStyle name="Normal 70 8 3" xfId="15571"/>
    <cellStyle name="Normal 70 9" xfId="13751"/>
    <cellStyle name="Normal 71" xfId="1639"/>
    <cellStyle name="Normal 71 10" xfId="15586"/>
    <cellStyle name="Normal 71 2" xfId="4605"/>
    <cellStyle name="Normal 71 2 2" xfId="4606"/>
    <cellStyle name="Normal 71 2 2 2" xfId="14571"/>
    <cellStyle name="Normal 71 2 2 3" xfId="6112"/>
    <cellStyle name="Normal 71 2 2_Base RF" xfId="15000"/>
    <cellStyle name="Normal 71 2 3" xfId="7357"/>
    <cellStyle name="Normal 71 2 4" xfId="14570"/>
    <cellStyle name="Normal 71 2 5" xfId="7521"/>
    <cellStyle name="Normal 71 2_Base RF" xfId="5537"/>
    <cellStyle name="Normal 71 3" xfId="4607"/>
    <cellStyle name="Normal 71 3 2" xfId="14572"/>
    <cellStyle name="Normal 71 3 3" xfId="7520"/>
    <cellStyle name="Normal 71 3_Base RF" xfId="15001"/>
    <cellStyle name="Normal 71 4" xfId="5219"/>
    <cellStyle name="Normal 71 4 2" xfId="14809"/>
    <cellStyle name="Normal 71 4 3" xfId="6111"/>
    <cellStyle name="Normal 71 5" xfId="4604"/>
    <cellStyle name="Normal 71 5 2" xfId="14569"/>
    <cellStyle name="Normal 71 5 3" xfId="7356"/>
    <cellStyle name="Normal 71 5_Base RF" xfId="15002"/>
    <cellStyle name="Normal 71 6" xfId="13752"/>
    <cellStyle name="Normal 71 7" xfId="7358"/>
    <cellStyle name="Normal 71 7 2" xfId="15720"/>
    <cellStyle name="Normal 71 7 3" xfId="15489"/>
    <cellStyle name="Normal 71 8" xfId="15572"/>
    <cellStyle name="Normal 71 9" xfId="15555"/>
    <cellStyle name="Normal 72" xfId="4608"/>
    <cellStyle name="Normal 72 10" xfId="7292"/>
    <cellStyle name="Normal 72 2" xfId="4609"/>
    <cellStyle name="Normal 72 2 2" xfId="4610"/>
    <cellStyle name="Normal 72 2 2 2" xfId="14575"/>
    <cellStyle name="Normal 72 2 2 3" xfId="7355"/>
    <cellStyle name="Normal 72 2 2_Base RF" xfId="15003"/>
    <cellStyle name="Normal 72 2 3" xfId="7518"/>
    <cellStyle name="Normal 72 2 4" xfId="14574"/>
    <cellStyle name="Normal 72 2 5" xfId="6110"/>
    <cellStyle name="Normal 72 2_Base RF" xfId="5539"/>
    <cellStyle name="Normal 72 3" xfId="4611"/>
    <cellStyle name="Normal 72 3 2" xfId="14576"/>
    <cellStyle name="Normal 72 3 3" xfId="6109"/>
    <cellStyle name="Normal 72 3_Base RF" xfId="15004"/>
    <cellStyle name="Normal 72 4" xfId="6108"/>
    <cellStyle name="Normal 72 5" xfId="7354"/>
    <cellStyle name="Normal 72 6" xfId="13794"/>
    <cellStyle name="Normal 72 7" xfId="7519"/>
    <cellStyle name="Normal 72 8" xfId="14573"/>
    <cellStyle name="Normal 72 9" xfId="9368"/>
    <cellStyle name="Normal 72_Base RF" xfId="5538"/>
    <cellStyle name="Normal 73" xfId="4612"/>
    <cellStyle name="Normal 73 2" xfId="4613"/>
    <cellStyle name="Normal 73 2 2" xfId="4614"/>
    <cellStyle name="Normal 73 2 3" xfId="14578"/>
    <cellStyle name="Normal 73 2 4" xfId="6107"/>
    <cellStyle name="Normal 73 2_Base RF" xfId="5541"/>
    <cellStyle name="Normal 73 3" xfId="4615"/>
    <cellStyle name="Normal 73 3 2" xfId="14579"/>
    <cellStyle name="Normal 73 3 3" xfId="13795"/>
    <cellStyle name="Normal 73 3_Base RF" xfId="15005"/>
    <cellStyle name="Normal 73 4" xfId="7517"/>
    <cellStyle name="Normal 73 5" xfId="14577"/>
    <cellStyle name="Normal 73 6" xfId="7286"/>
    <cellStyle name="Normal 73 7" xfId="7293"/>
    <cellStyle name="Normal 73_Base RF" xfId="5540"/>
    <cellStyle name="Normal 74" xfId="4616"/>
    <cellStyle name="Normal 74 2" xfId="4617"/>
    <cellStyle name="Normal 74 2 2" xfId="4618"/>
    <cellStyle name="Normal 74 2 3" xfId="14581"/>
    <cellStyle name="Normal 74 2 4" xfId="7516"/>
    <cellStyle name="Normal 74 2_Base RF" xfId="5543"/>
    <cellStyle name="Normal 74 3" xfId="4619"/>
    <cellStyle name="Normal 74 3 2" xfId="14582"/>
    <cellStyle name="Normal 74 3 3" xfId="13797"/>
    <cellStyle name="Normal 74 3_Base RF" xfId="15006"/>
    <cellStyle name="Normal 74 4" xfId="7353"/>
    <cellStyle name="Normal 74 5" xfId="14580"/>
    <cellStyle name="Normal 74 6" xfId="7284"/>
    <cellStyle name="Normal 74 7" xfId="7294"/>
    <cellStyle name="Normal 74_Base RF" xfId="5542"/>
    <cellStyle name="Normal 75" xfId="4620"/>
    <cellStyle name="Normal 75 2" xfId="4621"/>
    <cellStyle name="Normal 75 2 2" xfId="4622"/>
    <cellStyle name="Normal 75 2 3" xfId="14584"/>
    <cellStyle name="Normal 75 2 4" xfId="7352"/>
    <cellStyle name="Normal 75 2_Base RF" xfId="5545"/>
    <cellStyle name="Normal 75 3" xfId="4623"/>
    <cellStyle name="Normal 75 3 2" xfId="14585"/>
    <cellStyle name="Normal 75 3 3" xfId="13798"/>
    <cellStyle name="Normal 75 3_Base RF" xfId="15007"/>
    <cellStyle name="Normal 75 4" xfId="6106"/>
    <cellStyle name="Normal 75 5" xfId="14583"/>
    <cellStyle name="Normal 75 6" xfId="7283"/>
    <cellStyle name="Normal 75 7" xfId="7295"/>
    <cellStyle name="Normal 75_Base RF" xfId="5544"/>
    <cellStyle name="Normal 76" xfId="4624"/>
    <cellStyle name="Normal 76 2" xfId="4625"/>
    <cellStyle name="Normal 76 2 2" xfId="4626"/>
    <cellStyle name="Normal 76 2 3" xfId="14587"/>
    <cellStyle name="Normal 76 2 4" xfId="6105"/>
    <cellStyle name="Normal 76 2_Base RF" xfId="5547"/>
    <cellStyle name="Normal 76 3" xfId="4627"/>
    <cellStyle name="Normal 76 3 2" xfId="14588"/>
    <cellStyle name="Normal 76 3 3" xfId="13799"/>
    <cellStyle name="Normal 76 3_Base RF" xfId="15008"/>
    <cellStyle name="Normal 76 4" xfId="7515"/>
    <cellStyle name="Normal 76 5" xfId="14586"/>
    <cellStyle name="Normal 76 6" xfId="7282"/>
    <cellStyle name="Normal 76 7" xfId="7296"/>
    <cellStyle name="Normal 76_Base RF" xfId="5546"/>
    <cellStyle name="Normal 77" xfId="4628"/>
    <cellStyle name="Normal 77 2" xfId="4629"/>
    <cellStyle name="Normal 77 2 2" xfId="4630"/>
    <cellStyle name="Normal 77 2 3" xfId="14590"/>
    <cellStyle name="Normal 77 2 4" xfId="7514"/>
    <cellStyle name="Normal 77 2_Base RF" xfId="5549"/>
    <cellStyle name="Normal 77 3" xfId="4631"/>
    <cellStyle name="Normal 77 3 2" xfId="14591"/>
    <cellStyle name="Normal 77 3 3" xfId="13800"/>
    <cellStyle name="Normal 77 3_Base RF" xfId="15009"/>
    <cellStyle name="Normal 77 4" xfId="7351"/>
    <cellStyle name="Normal 77 5" xfId="14589"/>
    <cellStyle name="Normal 77 6" xfId="7281"/>
    <cellStyle name="Normal 77 7" xfId="14901"/>
    <cellStyle name="Normal 77_Base RF" xfId="5548"/>
    <cellStyle name="Normal 78" xfId="4632"/>
    <cellStyle name="Normal 78 2" xfId="4633"/>
    <cellStyle name="Normal 78 2 2" xfId="4634"/>
    <cellStyle name="Normal 78 2 3" xfId="14593"/>
    <cellStyle name="Normal 78 2 4" xfId="5985"/>
    <cellStyle name="Normal 78 2_Base RF" xfId="5551"/>
    <cellStyle name="Normal 78 3" xfId="4635"/>
    <cellStyle name="Normal 78 4" xfId="14592"/>
    <cellStyle name="Normal 78 5" xfId="6104"/>
    <cellStyle name="Normal 78_Base RF" xfId="5550"/>
    <cellStyle name="Normal 79" xfId="4636"/>
    <cellStyle name="Normal 79 2" xfId="4637"/>
    <cellStyle name="Normal 79 2 2" xfId="4638"/>
    <cellStyle name="Normal 79 2 3" xfId="14595"/>
    <cellStyle name="Normal 79 2 4" xfId="7513"/>
    <cellStyle name="Normal 79 2_Base RF" xfId="5553"/>
    <cellStyle name="Normal 79 3" xfId="4639"/>
    <cellStyle name="Normal 79 4" xfId="14594"/>
    <cellStyle name="Normal 79 5" xfId="7350"/>
    <cellStyle name="Normal 79_Base RF" xfId="5552"/>
    <cellStyle name="Normal 8" xfId="1640"/>
    <cellStyle name="Normal 8 2" xfId="4640"/>
    <cellStyle name="Normal 8 3" xfId="4641"/>
    <cellStyle name="Normal 8 3 2" xfId="6101"/>
    <cellStyle name="Normal 8 3 3" xfId="14596"/>
    <cellStyle name="Normal 8 3 4" xfId="7512"/>
    <cellStyle name="Normal 8 4" xfId="6102"/>
    <cellStyle name="Normal 8_Base RF" xfId="5554"/>
    <cellStyle name="Normal 80" xfId="4642"/>
    <cellStyle name="Normal 80 2" xfId="4643"/>
    <cellStyle name="Normal 80 2 2" xfId="4644"/>
    <cellStyle name="Normal 80 2 3" xfId="14598"/>
    <cellStyle name="Normal 80 2 4" xfId="7511"/>
    <cellStyle name="Normal 80 2_Base RF" xfId="5556"/>
    <cellStyle name="Normal 80 3" xfId="4645"/>
    <cellStyle name="Normal 80 4" xfId="14597"/>
    <cellStyle name="Normal 80 5" xfId="7349"/>
    <cellStyle name="Normal 80_Base RF" xfId="5555"/>
    <cellStyle name="Normal 81" xfId="4646"/>
    <cellStyle name="Normal 81 2" xfId="4647"/>
    <cellStyle name="Normal 81 2 2" xfId="4648"/>
    <cellStyle name="Normal 81 2 2 2" xfId="14601"/>
    <cellStyle name="Normal 81 2 2 3" xfId="7510"/>
    <cellStyle name="Normal 81 2 2_Base RF" xfId="15010"/>
    <cellStyle name="Normal 81 2 3" xfId="6099"/>
    <cellStyle name="Normal 81 2 4" xfId="14600"/>
    <cellStyle name="Normal 81 2 5" xfId="7348"/>
    <cellStyle name="Normal 81 2_Base RF" xfId="5558"/>
    <cellStyle name="Normal 81 3" xfId="4649"/>
    <cellStyle name="Normal 81 3 2" xfId="14602"/>
    <cellStyle name="Normal 81 3 3" xfId="7347"/>
    <cellStyle name="Normal 81 3_Base RF" xfId="15011"/>
    <cellStyle name="Normal 81 4" xfId="7509"/>
    <cellStyle name="Normal 81 5" xfId="6098"/>
    <cellStyle name="Normal 81 6" xfId="14599"/>
    <cellStyle name="Normal 81 7" xfId="6100"/>
    <cellStyle name="Normal 81_Base RF" xfId="5557"/>
    <cellStyle name="Normal 82" xfId="4650"/>
    <cellStyle name="Normal 82 2" xfId="4651"/>
    <cellStyle name="Normal 82 2 2" xfId="4652"/>
    <cellStyle name="Normal 82 2 2 2" xfId="14605"/>
    <cellStyle name="Normal 82 2 2 3" xfId="7346"/>
    <cellStyle name="Normal 82 2 2_Base RF" xfId="15012"/>
    <cellStyle name="Normal 82 2 3" xfId="7508"/>
    <cellStyle name="Normal 82 2 4" xfId="14604"/>
    <cellStyle name="Normal 82 2 5" xfId="7503"/>
    <cellStyle name="Normal 82 2_Base RF" xfId="5560"/>
    <cellStyle name="Normal 82 3" xfId="4653"/>
    <cellStyle name="Normal 82 3 2" xfId="14606"/>
    <cellStyle name="Normal 82 3 3" xfId="6097"/>
    <cellStyle name="Normal 82 3_Base RF" xfId="15013"/>
    <cellStyle name="Normal 82 4" xfId="7345"/>
    <cellStyle name="Normal 82 5" xfId="7507"/>
    <cellStyle name="Normal 82 6" xfId="14603"/>
    <cellStyle name="Normal 82 7" xfId="7341"/>
    <cellStyle name="Normal 82_Base RF" xfId="5559"/>
    <cellStyle name="Normal 83" xfId="4654"/>
    <cellStyle name="Normal 83 2" xfId="4655"/>
    <cellStyle name="Normal 83 2 2" xfId="4656"/>
    <cellStyle name="Normal 83 2 2 2" xfId="14609"/>
    <cellStyle name="Normal 83 2 2 3" xfId="7506"/>
    <cellStyle name="Normal 83 2 2_Base RF" xfId="15014"/>
    <cellStyle name="Normal 83 2 3" xfId="6095"/>
    <cellStyle name="Normal 83 2 4" xfId="14608"/>
    <cellStyle name="Normal 83 2 5" xfId="7344"/>
    <cellStyle name="Normal 83 2_Base RF" xfId="5562"/>
    <cellStyle name="Normal 83 3" xfId="4657"/>
    <cellStyle name="Normal 83 3 2" xfId="14610"/>
    <cellStyle name="Normal 83 3 3" xfId="7343"/>
    <cellStyle name="Normal 83 3_Base RF" xfId="15015"/>
    <cellStyle name="Normal 83 4" xfId="7505"/>
    <cellStyle name="Normal 83 5" xfId="6094"/>
    <cellStyle name="Normal 83 6" xfId="14607"/>
    <cellStyle name="Normal 83 7" xfId="6096"/>
    <cellStyle name="Normal 83_Base RF" xfId="5561"/>
    <cellStyle name="Normal 84" xfId="4658"/>
    <cellStyle name="Normal 84 2" xfId="4659"/>
    <cellStyle name="Normal 84 2 2" xfId="4660"/>
    <cellStyle name="Normal 84 2 2 2" xfId="14613"/>
    <cellStyle name="Normal 84 2 2 3" xfId="6093"/>
    <cellStyle name="Normal 84 2 2_Base RF" xfId="15016"/>
    <cellStyle name="Normal 84 2 3" xfId="6092"/>
    <cellStyle name="Normal 84 2 4" xfId="14612"/>
    <cellStyle name="Normal 84 2 5" xfId="7504"/>
    <cellStyle name="Normal 84 2_Base RF" xfId="5564"/>
    <cellStyle name="Normal 84 3" xfId="4661"/>
    <cellStyle name="Normal 84 3 2" xfId="14614"/>
    <cellStyle name="Normal 84 3 3" xfId="7335"/>
    <cellStyle name="Normal 84 3_Base RF" xfId="15017"/>
    <cellStyle name="Normal 84 4" xfId="7497"/>
    <cellStyle name="Normal 84 5" xfId="7340"/>
    <cellStyle name="Normal 84 6" xfId="14611"/>
    <cellStyle name="Normal 84 7" xfId="7342"/>
    <cellStyle name="Normal 84_Base RF" xfId="5563"/>
    <cellStyle name="Normal 85" xfId="4662"/>
    <cellStyle name="Normal 85 2" xfId="4663"/>
    <cellStyle name="Normal 85 2 2" xfId="4664"/>
    <cellStyle name="Normal 85 2 2 2" xfId="14617"/>
    <cellStyle name="Normal 85 2 2 3" xfId="7339"/>
    <cellStyle name="Normal 85 2 2_Base RF" xfId="15018"/>
    <cellStyle name="Normal 85 2 3" xfId="7501"/>
    <cellStyle name="Normal 85 2 4" xfId="14616"/>
    <cellStyle name="Normal 85 2 5" xfId="6091"/>
    <cellStyle name="Normal 85 2_Base RF" xfId="5566"/>
    <cellStyle name="Normal 85 3" xfId="4665"/>
    <cellStyle name="Normal 85 3 2" xfId="14618"/>
    <cellStyle name="Normal 85 3 3" xfId="6090"/>
    <cellStyle name="Normal 85 3_Base RF" xfId="15019"/>
    <cellStyle name="Normal 85 4" xfId="7338"/>
    <cellStyle name="Normal 85 5" xfId="7500"/>
    <cellStyle name="Normal 85 6" xfId="14615"/>
    <cellStyle name="Normal 85 7" xfId="7502"/>
    <cellStyle name="Normal 85_Base RF" xfId="5565"/>
    <cellStyle name="Normal 86" xfId="4666"/>
    <cellStyle name="Normal 86 2" xfId="4667"/>
    <cellStyle name="Normal 86 2 2" xfId="4668"/>
    <cellStyle name="Normal 86 2 2 2" xfId="14621"/>
    <cellStyle name="Normal 86 2 2 3" xfId="7499"/>
    <cellStyle name="Normal 86 2 2_Base RF" xfId="15020"/>
    <cellStyle name="Normal 86 2 3" xfId="6088"/>
    <cellStyle name="Normal 86 2 4" xfId="14620"/>
    <cellStyle name="Normal 86 2 5" xfId="7337"/>
    <cellStyle name="Normal 86 2_Base RF" xfId="5568"/>
    <cellStyle name="Normal 86 3" xfId="4669"/>
    <cellStyle name="Normal 86 3 2" xfId="14622"/>
    <cellStyle name="Normal 86 3 3" xfId="7336"/>
    <cellStyle name="Normal 86 3_Base RF" xfId="15021"/>
    <cellStyle name="Normal 86 4" xfId="7498"/>
    <cellStyle name="Normal 86 5" xfId="6087"/>
    <cellStyle name="Normal 86 6" xfId="14619"/>
    <cellStyle name="Normal 86 7" xfId="6089"/>
    <cellStyle name="Normal 86_Base RF" xfId="5567"/>
    <cellStyle name="Normal 87" xfId="4670"/>
    <cellStyle name="Normal 87 2" xfId="4671"/>
    <cellStyle name="Normal 87 2 2" xfId="4672"/>
    <cellStyle name="Normal 87 2_Base RF" xfId="5570"/>
    <cellStyle name="Normal 87 3" xfId="4673"/>
    <cellStyle name="Normal 87_Base RF" xfId="5569"/>
    <cellStyle name="Normal 88" xfId="4674"/>
    <cellStyle name="Normal 88 2" xfId="4675"/>
    <cellStyle name="Normal 88 2 2" xfId="4676"/>
    <cellStyle name="Normal 88 2_Base RF" xfId="5572"/>
    <cellStyle name="Normal 88 3" xfId="4677"/>
    <cellStyle name="Normal 88 4" xfId="14623"/>
    <cellStyle name="Normal 88 5" xfId="7330"/>
    <cellStyle name="Normal 88 6" xfId="13942"/>
    <cellStyle name="Normal 88_Base RF" xfId="5571"/>
    <cellStyle name="Normal 89" xfId="4678"/>
    <cellStyle name="Normal 89 2" xfId="4679"/>
    <cellStyle name="Normal 89 2 2" xfId="4680"/>
    <cellStyle name="Normal 89 2_Base RF" xfId="5574"/>
    <cellStyle name="Normal 89 3" xfId="4681"/>
    <cellStyle name="Normal 89 4" xfId="14624"/>
    <cellStyle name="Normal 89 5" xfId="7492"/>
    <cellStyle name="Normal 89 6" xfId="13941"/>
    <cellStyle name="Normal 89_Base RF" xfId="5573"/>
    <cellStyle name="Normal 9" xfId="69"/>
    <cellStyle name="Normal 9 2" xfId="1641"/>
    <cellStyle name="Normal 9 2 2" xfId="13753"/>
    <cellStyle name="Normal 9 2 3" xfId="7496"/>
    <cellStyle name="Normal 9 2_Base RF" xfId="15022"/>
    <cellStyle name="Normal 9 3" xfId="2525"/>
    <cellStyle name="Normal 9 3 2" xfId="4683"/>
    <cellStyle name="Normal 9 3 3" xfId="13913"/>
    <cellStyle name="Normal 9 3 4" xfId="6086"/>
    <cellStyle name="Normal 9 3_Base RF" xfId="5576"/>
    <cellStyle name="Normal 9 4" xfId="4682"/>
    <cellStyle name="Normal 9 4 2" xfId="14625"/>
    <cellStyle name="Normal 9 4 3" xfId="13653"/>
    <cellStyle name="Normal 9 4_Base RF" xfId="15023"/>
    <cellStyle name="Normal 9 5" xfId="7334"/>
    <cellStyle name="Normal 9_Base RF" xfId="5575"/>
    <cellStyle name="Normal 90" xfId="4684"/>
    <cellStyle name="Normal 90 2" xfId="4685"/>
    <cellStyle name="Normal 90 2 2" xfId="4686"/>
    <cellStyle name="Normal 90 2_Base RF" xfId="5578"/>
    <cellStyle name="Normal 90 3" xfId="4687"/>
    <cellStyle name="Normal 90 4" xfId="14626"/>
    <cellStyle name="Normal 90 5" xfId="7333"/>
    <cellStyle name="Normal 90 6" xfId="6859"/>
    <cellStyle name="Normal 90_Base RF" xfId="5577"/>
    <cellStyle name="Normal 91" xfId="4688"/>
    <cellStyle name="Normal 91 2" xfId="4689"/>
    <cellStyle name="Normal 91 2 2" xfId="4690"/>
    <cellStyle name="Normal 91 2 3" xfId="14628"/>
    <cellStyle name="Normal 91 2 4" xfId="6085"/>
    <cellStyle name="Normal 91 2_Base RF" xfId="5580"/>
    <cellStyle name="Normal 91 3" xfId="4691"/>
    <cellStyle name="Normal 91 3 2" xfId="14629"/>
    <cellStyle name="Normal 91 3 3" xfId="7332"/>
    <cellStyle name="Normal 91 3_Base RF" xfId="15024"/>
    <cellStyle name="Normal 91 4" xfId="7494"/>
    <cellStyle name="Normal 91 5" xfId="14627"/>
    <cellStyle name="Normal 91 6" xfId="7495"/>
    <cellStyle name="Normal 91_Base RF" xfId="5579"/>
    <cellStyle name="Normal 92" xfId="4692"/>
    <cellStyle name="Normal 92 2" xfId="4693"/>
    <cellStyle name="Normal 92 2 2" xfId="4694"/>
    <cellStyle name="Normal 92 2 3" xfId="14631"/>
    <cellStyle name="Normal 92 2 4" xfId="7331"/>
    <cellStyle name="Normal 92 2_Base RF" xfId="5582"/>
    <cellStyle name="Normal 92 3" xfId="4695"/>
    <cellStyle name="Normal 92 3 2" xfId="14632"/>
    <cellStyle name="Normal 92 3 3" xfId="7493"/>
    <cellStyle name="Normal 92 3_Base RF" xfId="15025"/>
    <cellStyle name="Normal 92 4" xfId="6083"/>
    <cellStyle name="Normal 92 5" xfId="14630"/>
    <cellStyle name="Normal 92 6" xfId="6084"/>
    <cellStyle name="Normal 92_Base RF" xfId="5581"/>
    <cellStyle name="Normal 93" xfId="4696"/>
    <cellStyle name="Normal 93 2" xfId="4697"/>
    <cellStyle name="Normal 93 2 2" xfId="4698"/>
    <cellStyle name="Normal 93 2_Base RF" xfId="5584"/>
    <cellStyle name="Normal 93 3" xfId="4699"/>
    <cellStyle name="Normal 93_Base RF" xfId="5583"/>
    <cellStyle name="Normal 94" xfId="4700"/>
    <cellStyle name="Normal 94 2" xfId="4701"/>
    <cellStyle name="Normal 94 2 2" xfId="4702"/>
    <cellStyle name="Normal 94 2_Base RF" xfId="5586"/>
    <cellStyle name="Normal 94 3" xfId="4703"/>
    <cellStyle name="Normal 94_Base RF" xfId="5585"/>
    <cellStyle name="Normal 95" xfId="4704"/>
    <cellStyle name="Normal 95 2" xfId="4705"/>
    <cellStyle name="Normal 95 2 2" xfId="4706"/>
    <cellStyle name="Normal 95 2 3" xfId="14634"/>
    <cellStyle name="Normal 95 2 4" xfId="6081"/>
    <cellStyle name="Normal 95 2_Base RF" xfId="5588"/>
    <cellStyle name="Normal 95 3" xfId="4707"/>
    <cellStyle name="Normal 95 3 2" xfId="14635"/>
    <cellStyle name="Normal 95 3 3" xfId="8418"/>
    <cellStyle name="Normal 95 3_Base RF" xfId="15026"/>
    <cellStyle name="Normal 95 4" xfId="14633"/>
    <cellStyle name="Normal 95 5" xfId="6082"/>
    <cellStyle name="Normal 95_Base RF" xfId="5587"/>
    <cellStyle name="Normal 96" xfId="4708"/>
    <cellStyle name="Normal 96 2" xfId="4709"/>
    <cellStyle name="Normal 96 2 2" xfId="4710"/>
    <cellStyle name="Normal 96 2 3" xfId="14637"/>
    <cellStyle name="Normal 96 2 4" xfId="7486"/>
    <cellStyle name="Normal 96 2_Base RF" xfId="5590"/>
    <cellStyle name="Normal 96 3" xfId="4711"/>
    <cellStyle name="Normal 96 3 2" xfId="14638"/>
    <cellStyle name="Normal 96 3 3" xfId="7329"/>
    <cellStyle name="Normal 96 3_Base RF" xfId="15027"/>
    <cellStyle name="Normal 96 4" xfId="14636"/>
    <cellStyle name="Normal 96 5" xfId="7325"/>
    <cellStyle name="Normal 96_Base RF" xfId="5589"/>
    <cellStyle name="Normal 97" xfId="4712"/>
    <cellStyle name="Normal 97 2" xfId="4713"/>
    <cellStyle name="Normal 97 2 2" xfId="4714"/>
    <cellStyle name="Normal 97 2 3" xfId="14640"/>
    <cellStyle name="Normal 97 2 4" xfId="6080"/>
    <cellStyle name="Normal 97 2_Base RF" xfId="5592"/>
    <cellStyle name="Normal 97 3" xfId="4715"/>
    <cellStyle name="Normal 97 3 2" xfId="14641"/>
    <cellStyle name="Normal 97 3 3" xfId="7328"/>
    <cellStyle name="Normal 97 3_Base RF" xfId="15028"/>
    <cellStyle name="Normal 97 4" xfId="14639"/>
    <cellStyle name="Normal 97 5" xfId="7491"/>
    <cellStyle name="Normal 97_Base RF" xfId="5591"/>
    <cellStyle name="Normal 98" xfId="1642"/>
    <cellStyle name="Normal 98 10" xfId="15587"/>
    <cellStyle name="Normal 98 2" xfId="4717"/>
    <cellStyle name="Normal 98 2 2" xfId="4718"/>
    <cellStyle name="Normal 98 2 2 2" xfId="14643"/>
    <cellStyle name="Normal 98 2 2 3" xfId="7327"/>
    <cellStyle name="Normal 98 2 2_Base RF" xfId="15029"/>
    <cellStyle name="Normal 98 2 3" xfId="7489"/>
    <cellStyle name="Normal 98 2 4" xfId="14642"/>
    <cellStyle name="Normal 98 2 5" xfId="6079"/>
    <cellStyle name="Normal 98 2_Base RF" xfId="5594"/>
    <cellStyle name="Normal 98 3" xfId="4719"/>
    <cellStyle name="Normal 98 3 2" xfId="14644"/>
    <cellStyle name="Normal 98 3 3" xfId="13754"/>
    <cellStyle name="Normal 98 3_Base RF" xfId="15030"/>
    <cellStyle name="Normal 98 4" xfId="4990"/>
    <cellStyle name="Normal 98 4 2" xfId="14776"/>
    <cellStyle name="Normal 98 4 3" xfId="7490"/>
    <cellStyle name="Normal 98 4_Base RF" xfId="15031"/>
    <cellStyle name="Normal 98 5" xfId="4716"/>
    <cellStyle name="Normal 98 6" xfId="15506"/>
    <cellStyle name="Normal 98 7" xfId="15509"/>
    <cellStyle name="Normal 98 8" xfId="15573"/>
    <cellStyle name="Normal 98 9" xfId="15554"/>
    <cellStyle name="Normal 98_Base RF" xfId="5593"/>
    <cellStyle name="Normal 99" xfId="4720"/>
    <cellStyle name="Normal 99 2" xfId="4721"/>
    <cellStyle name="Normal 99 2 2" xfId="4722"/>
    <cellStyle name="Normal 99 2_Base RF" xfId="5596"/>
    <cellStyle name="Normal 99 3" xfId="4723"/>
    <cellStyle name="Normal 99 3 2" xfId="14645"/>
    <cellStyle name="Normal 99 3 3" xfId="7488"/>
    <cellStyle name="Normal 99 3_Base RF" xfId="15032"/>
    <cellStyle name="Normal 99 4" xfId="6077"/>
    <cellStyle name="Normal 99 5" xfId="6078"/>
    <cellStyle name="Normal 99 6" xfId="9388"/>
    <cellStyle name="Normal 99_Base RF" xfId="5595"/>
    <cellStyle name="Normal Bold" xfId="7326"/>
    <cellStyle name="Normal Pct" xfId="7487"/>
    <cellStyle name="NormalBold" xfId="6076"/>
    <cellStyle name="NormalGB" xfId="6075"/>
    <cellStyle name="NormalText" xfId="4724"/>
    <cellStyle name="NorV_x0002_Ã_x0012_ ìÀ _x0012_" xfId="1643"/>
    <cellStyle name="Nota" xfId="18" builtinId="10" customBuiltin="1"/>
    <cellStyle name="Nota 10" xfId="8416"/>
    <cellStyle name="Nota 10 2" xfId="7319"/>
    <cellStyle name="Nota 10 2 2" xfId="7480"/>
    <cellStyle name="Nota 10 3" xfId="7324"/>
    <cellStyle name="Nota 11" xfId="7485"/>
    <cellStyle name="Nota 12" xfId="6074"/>
    <cellStyle name="Nota 12 2" xfId="7323"/>
    <cellStyle name="Nota 12 2 2" xfId="7484"/>
    <cellStyle name="Nota 12 3" xfId="6073"/>
    <cellStyle name="Nota 13" xfId="7322"/>
    <cellStyle name="Nota 14" xfId="7483"/>
    <cellStyle name="Nota 14 2" xfId="6072"/>
    <cellStyle name="Nota 15" xfId="7321"/>
    <cellStyle name="Nota 16" xfId="7482"/>
    <cellStyle name="Nota 16 2" xfId="6071"/>
    <cellStyle name="Nota 16 2 2" xfId="8417"/>
    <cellStyle name="Nota 16 3" xfId="7320"/>
    <cellStyle name="Nota 17" xfId="7481"/>
    <cellStyle name="Nota 17 2" xfId="6070"/>
    <cellStyle name="Nota 17 3" xfId="6069"/>
    <cellStyle name="Nota 17 3 2" xfId="6068"/>
    <cellStyle name="Nota 17 4" xfId="9243"/>
    <cellStyle name="Nota 18" xfId="6067"/>
    <cellStyle name="Nota 19" xfId="6066"/>
    <cellStyle name="Nota 19 10" xfId="8415"/>
    <cellStyle name="Nota 19 10 2" xfId="8414"/>
    <cellStyle name="Nota 19 2" xfId="8413"/>
    <cellStyle name="Nota 19 3" xfId="8412"/>
    <cellStyle name="Nota 19 3 2" xfId="8411"/>
    <cellStyle name="Nota 19 4" xfId="8410"/>
    <cellStyle name="Nota 19 4 2" xfId="8409"/>
    <cellStyle name="Nota 19 5" xfId="9518"/>
    <cellStyle name="Nota 19 6" xfId="8408"/>
    <cellStyle name="Nota 19 7" xfId="7312"/>
    <cellStyle name="Nota 19 7 2" xfId="8407"/>
    <cellStyle name="Nota 19 8" xfId="8406"/>
    <cellStyle name="Nota 19 8 2" xfId="8405"/>
    <cellStyle name="Nota 19 9" xfId="8403"/>
    <cellStyle name="Nota 19 9 2" xfId="9438"/>
    <cellStyle name="Nota 2" xfId="1644"/>
    <cellStyle name="Nota 2 10" xfId="6065"/>
    <cellStyle name="Nota 2 10 2" xfId="8402"/>
    <cellStyle name="Nota 2 11" xfId="8401"/>
    <cellStyle name="Nota 2 12" xfId="8400"/>
    <cellStyle name="Nota 2 12 2" xfId="8399"/>
    <cellStyle name="Nota 2 12 2 2" xfId="8398"/>
    <cellStyle name="Nota 2 12 3" xfId="8397"/>
    <cellStyle name="Nota 2 12 4" xfId="8396"/>
    <cellStyle name="Nota 2 12 4 2" xfId="8395"/>
    <cellStyle name="Nota 2 12 5" xfId="8394"/>
    <cellStyle name="Nota 2 12 5 2" xfId="8393"/>
    <cellStyle name="Nota 2 13" xfId="5950"/>
    <cellStyle name="Nota 2 13 2" xfId="8392"/>
    <cellStyle name="Nota 2 13 2 2" xfId="8391"/>
    <cellStyle name="Nota 2 13 3" xfId="8390"/>
    <cellStyle name="Nota 2 13 4" xfId="8389"/>
    <cellStyle name="Nota 2 13 4 2" xfId="8388"/>
    <cellStyle name="Nota 2 13 5" xfId="8387"/>
    <cellStyle name="Nota 2 13 5 2" xfId="9517"/>
    <cellStyle name="Nota 2 14" xfId="8386"/>
    <cellStyle name="Nota 2 14 2" xfId="7311"/>
    <cellStyle name="Nota 2 15" xfId="8385"/>
    <cellStyle name="Nota 2 16" xfId="8384"/>
    <cellStyle name="Nota 2 16 2" xfId="8383"/>
    <cellStyle name="Nota 2 17" xfId="8382"/>
    <cellStyle name="Nota 2 17 2" xfId="6064"/>
    <cellStyle name="Nota 2 18" xfId="8381"/>
    <cellStyle name="Nota 2 19" xfId="8380"/>
    <cellStyle name="Nota 2 2" xfId="4725"/>
    <cellStyle name="Nota 2 2 2" xfId="8378"/>
    <cellStyle name="Nota 2 2 3" xfId="8377"/>
    <cellStyle name="Nota 2 2 4" xfId="8376"/>
    <cellStyle name="Nota 2 2 4 2" xfId="8375"/>
    <cellStyle name="Nota 2 2 4 2 2" xfId="8374"/>
    <cellStyle name="Nota 2 2 4 3" xfId="8373"/>
    <cellStyle name="Nota 2 2 4 4" xfId="8372"/>
    <cellStyle name="Nota 2 2 4 4 2" xfId="5951"/>
    <cellStyle name="Nota 2 2 4 5" xfId="8371"/>
    <cellStyle name="Nota 2 2 4 5 2" xfId="8370"/>
    <cellStyle name="Nota 2 2 5" xfId="8369"/>
    <cellStyle name="Nota 2 2 5 2" xfId="8368"/>
    <cellStyle name="Nota 2 2 5 2 2" xfId="8367"/>
    <cellStyle name="Nota 2 2 5 3" xfId="8366"/>
    <cellStyle name="Nota 2 2 5 4" xfId="8365"/>
    <cellStyle name="Nota 2 2 5 4 2" xfId="8364"/>
    <cellStyle name="Nota 2 2 5 5" xfId="8363"/>
    <cellStyle name="Nota 2 2 5 5 2" xfId="8362"/>
    <cellStyle name="Nota 2 2 6" xfId="14646"/>
    <cellStyle name="Nota 2 2 7" xfId="8379"/>
    <cellStyle name="Nota 2 2_Base RF" xfId="15033"/>
    <cellStyle name="Nota 2 20" xfId="8361"/>
    <cellStyle name="Nota 2 21" xfId="8360"/>
    <cellStyle name="Nota 2 21 2" xfId="8359"/>
    <cellStyle name="Nota 2 22" xfId="8358"/>
    <cellStyle name="Nota 2 22 2" xfId="8357"/>
    <cellStyle name="Nota 2 23" xfId="8356"/>
    <cellStyle name="Nota 2 23 2" xfId="8355"/>
    <cellStyle name="Nota 2 24" xfId="13755"/>
    <cellStyle name="Nota 2 25" xfId="8404"/>
    <cellStyle name="Nota 2 3" xfId="4726"/>
    <cellStyle name="Nota 2 3 2" xfId="14647"/>
    <cellStyle name="Nota 2 3 3" xfId="8354"/>
    <cellStyle name="Nota 2 3_Base RF" xfId="15034"/>
    <cellStyle name="Nota 2 4" xfId="8353"/>
    <cellStyle name="Nota 2 4 2" xfId="8352"/>
    <cellStyle name="Nota 2 5" xfId="8351"/>
    <cellStyle name="Nota 2 5 2" xfId="9516"/>
    <cellStyle name="Nota 2 5 2 2" xfId="8348"/>
    <cellStyle name="Nota 2 5 3" xfId="8350"/>
    <cellStyle name="Nota 2 6" xfId="8349"/>
    <cellStyle name="Nota 2 6 10" xfId="7313"/>
    <cellStyle name="Nota 2 6 10 2" xfId="8347"/>
    <cellStyle name="Nota 2 6 2" xfId="8346"/>
    <cellStyle name="Nota 2 6 3" xfId="8345"/>
    <cellStyle name="Nota 2 6 3 2" xfId="8344"/>
    <cellStyle name="Nota 2 6 4" xfId="8343"/>
    <cellStyle name="Nota 2 6 4 2" xfId="8342"/>
    <cellStyle name="Nota 2 6 5" xfId="8341"/>
    <cellStyle name="Nota 2 6 6" xfId="8340"/>
    <cellStyle name="Nota 2 6 7" xfId="8339"/>
    <cellStyle name="Nota 2 6 7 2" xfId="8338"/>
    <cellStyle name="Nota 2 6 8" xfId="8337"/>
    <cellStyle name="Nota 2 6 8 2" xfId="8336"/>
    <cellStyle name="Nota 2 6 9" xfId="8330"/>
    <cellStyle name="Nota 2 6 9 2" xfId="9437"/>
    <cellStyle name="Nota 2 7" xfId="8335"/>
    <cellStyle name="Nota 2 8" xfId="8334"/>
    <cellStyle name="Nota 2 8 2" xfId="8333"/>
    <cellStyle name="Nota 2 9" xfId="8332"/>
    <cellStyle name="Nota 2 9 2" xfId="8331"/>
    <cellStyle name="Nota 2_Base RF" xfId="5597"/>
    <cellStyle name="Nota 20" xfId="6063"/>
    <cellStyle name="Nota 21" xfId="8329"/>
    <cellStyle name="Nota 21 2" xfId="8328"/>
    <cellStyle name="Nota 21 3" xfId="8327"/>
    <cellStyle name="Nota 22" xfId="5983"/>
    <cellStyle name="Nota 22 2" xfId="8326"/>
    <cellStyle name="Nota 23" xfId="8325"/>
    <cellStyle name="Nota 23 2" xfId="8324"/>
    <cellStyle name="Nota 24" xfId="8323"/>
    <cellStyle name="Nota 25" xfId="8322"/>
    <cellStyle name="Nota 25 2" xfId="8321"/>
    <cellStyle name="Nota 25 2 2" xfId="8320"/>
    <cellStyle name="Nota 25 3" xfId="8319"/>
    <cellStyle name="Nota 26" xfId="8318"/>
    <cellStyle name="Nota 26 2" xfId="8317"/>
    <cellStyle name="Nota 27" xfId="8316"/>
    <cellStyle name="Nota 27 2" xfId="8315"/>
    <cellStyle name="Nota 28" xfId="8314"/>
    <cellStyle name="Nota 28 2" xfId="8313"/>
    <cellStyle name="Nota 29" xfId="8312"/>
    <cellStyle name="Nota 29 2" xfId="8311"/>
    <cellStyle name="Nota 3" xfId="2233"/>
    <cellStyle name="Nota 3 10" xfId="8309"/>
    <cellStyle name="Nota 3 10 2" xfId="8308"/>
    <cellStyle name="Nota 3 11" xfId="8307"/>
    <cellStyle name="Nota 3 12" xfId="8306"/>
    <cellStyle name="Nota 3 12 2" xfId="8305"/>
    <cellStyle name="Nota 3 12 2 2" xfId="8304"/>
    <cellStyle name="Nota 3 12 3" xfId="8303"/>
    <cellStyle name="Nota 3 12 4" xfId="8302"/>
    <cellStyle name="Nota 3 12 4 2" xfId="8301"/>
    <cellStyle name="Nota 3 12 5" xfId="8300"/>
    <cellStyle name="Nota 3 12 5 2" xfId="5949"/>
    <cellStyle name="Nota 3 13" xfId="8299"/>
    <cellStyle name="Nota 3 13 2" xfId="8298"/>
    <cellStyle name="Nota 3 13 2 2" xfId="8297"/>
    <cellStyle name="Nota 3 13 3" xfId="8296"/>
    <cellStyle name="Nota 3 13 4" xfId="8295"/>
    <cellStyle name="Nota 3 13 4 2" xfId="8294"/>
    <cellStyle name="Nota 3 13 5" xfId="8293"/>
    <cellStyle name="Nota 3 13 5 2" xfId="8292"/>
    <cellStyle name="Nota 3 14" xfId="8291"/>
    <cellStyle name="Nota 3 14 2" xfId="8290"/>
    <cellStyle name="Nota 3 15" xfId="8289"/>
    <cellStyle name="Nota 3 16" xfId="8288"/>
    <cellStyle name="Nota 3 16 2" xfId="8287"/>
    <cellStyle name="Nota 3 17" xfId="8286"/>
    <cellStyle name="Nota 3 17 2" xfId="8285"/>
    <cellStyle name="Nota 3 18" xfId="8283"/>
    <cellStyle name="Nota 3 19" xfId="9436"/>
    <cellStyle name="Nota 3 2" xfId="4728"/>
    <cellStyle name="Nota 3 2 2" xfId="6062"/>
    <cellStyle name="Nota 3 2 3" xfId="8281"/>
    <cellStyle name="Nota 3 2 4" xfId="9434"/>
    <cellStyle name="Nota 3 2 4 2" xfId="8282"/>
    <cellStyle name="Nota 3 2 4 2 2" xfId="9435"/>
    <cellStyle name="Nota 3 2 4 3" xfId="6061"/>
    <cellStyle name="Nota 3 2 4 4" xfId="6060"/>
    <cellStyle name="Nota 3 2 4 4 2" xfId="6059"/>
    <cellStyle name="Nota 3 2 4 5" xfId="8280"/>
    <cellStyle name="Nota 3 2 4 5 2" xfId="6058"/>
    <cellStyle name="Nota 3 2 5" xfId="6057"/>
    <cellStyle name="Nota 3 2 5 2" xfId="8279"/>
    <cellStyle name="Nota 3 2 5 2 2" xfId="8278"/>
    <cellStyle name="Nota 3 2 5 3" xfId="8277"/>
    <cellStyle name="Nota 3 2 5 4" xfId="8276"/>
    <cellStyle name="Nota 3 2 5 4 2" xfId="8275"/>
    <cellStyle name="Nota 3 2 5 5" xfId="8274"/>
    <cellStyle name="Nota 3 2 5 5 2" xfId="8273"/>
    <cellStyle name="Nota 3 2 6" xfId="14649"/>
    <cellStyle name="Nota 3 2 7" xfId="8284"/>
    <cellStyle name="Nota 3 2_Base RF" xfId="15035"/>
    <cellStyle name="Nota 3 20" xfId="8272"/>
    <cellStyle name="Nota 3 20 2" xfId="9515"/>
    <cellStyle name="Nota 3 21" xfId="8271"/>
    <cellStyle name="Nota 3 21 2" xfId="7317"/>
    <cellStyle name="Nota 3 22" xfId="8270"/>
    <cellStyle name="Nota 3 22 2" xfId="8269"/>
    <cellStyle name="Nota 3 23" xfId="13864"/>
    <cellStyle name="Nota 3 24" xfId="8310"/>
    <cellStyle name="Nota 3 25" xfId="15778"/>
    <cellStyle name="Nota 3 26" xfId="15837"/>
    <cellStyle name="Nota 3 27" xfId="15805"/>
    <cellStyle name="Nota 3 28" xfId="15815"/>
    <cellStyle name="Nota 3 29" xfId="15854"/>
    <cellStyle name="Nota 3 3" xfId="4729"/>
    <cellStyle name="Nota 3 3 2" xfId="14650"/>
    <cellStyle name="Nota 3 3 3" xfId="8268"/>
    <cellStyle name="Nota 3 3_Base RF" xfId="15036"/>
    <cellStyle name="Nota 3 30" xfId="15879"/>
    <cellStyle name="Nota 3 31" xfId="15921"/>
    <cellStyle name="Nota 3 32" xfId="15899"/>
    <cellStyle name="Nota 3 33" xfId="15908"/>
    <cellStyle name="Nota 3 34" xfId="15890"/>
    <cellStyle name="Nota 3 35" xfId="15926"/>
    <cellStyle name="Nota 3 36" xfId="15889"/>
    <cellStyle name="Nota 3 37" xfId="15913"/>
    <cellStyle name="Nota 3 38" xfId="15870"/>
    <cellStyle name="Nota 3 39" xfId="15911"/>
    <cellStyle name="Nota 3 4" xfId="4730"/>
    <cellStyle name="Nota 3 4 2" xfId="9433"/>
    <cellStyle name="Nota 3 4 3" xfId="14651"/>
    <cellStyle name="Nota 3 4 4" xfId="8266"/>
    <cellStyle name="Nota 3 4_Base RF" xfId="15037"/>
    <cellStyle name="Nota 3 40" xfId="15871"/>
    <cellStyle name="Nota 3 41" xfId="15964"/>
    <cellStyle name="Nota 3 42" xfId="15980"/>
    <cellStyle name="Nota 3 43" xfId="15977"/>
    <cellStyle name="Nota 3 44" xfId="15974"/>
    <cellStyle name="Nota 3 45" xfId="15991"/>
    <cellStyle name="Nota 3 46" xfId="16003"/>
    <cellStyle name="Nota 3 47" xfId="16048"/>
    <cellStyle name="Nota 3 48" xfId="16026"/>
    <cellStyle name="Nota 3 49" xfId="16036"/>
    <cellStyle name="Nota 3 5" xfId="4727"/>
    <cellStyle name="Nota 3 5 2" xfId="6056"/>
    <cellStyle name="Nota 3 5 2 2" xfId="8265"/>
    <cellStyle name="Nota 3 5 3" xfId="8264"/>
    <cellStyle name="Nota 3 5 4" xfId="14648"/>
    <cellStyle name="Nota 3 5 5" xfId="8267"/>
    <cellStyle name="Nota 3 5_Base RF" xfId="15038"/>
    <cellStyle name="Nota 3 50" xfId="15997"/>
    <cellStyle name="Nota 3 51" xfId="16065"/>
    <cellStyle name="Nota 3 52" xfId="16016"/>
    <cellStyle name="Nota 3 53" xfId="16047"/>
    <cellStyle name="Nota 3 54" xfId="16062"/>
    <cellStyle name="Nota 3 55" xfId="16012"/>
    <cellStyle name="Nota 3 56" xfId="16029"/>
    <cellStyle name="Nota 3 57" xfId="16074"/>
    <cellStyle name="Nota 3 58" xfId="16082"/>
    <cellStyle name="Nota 3 59" xfId="16077"/>
    <cellStyle name="Nota 3 6" xfId="8263"/>
    <cellStyle name="Nota 3 6 10" xfId="8262"/>
    <cellStyle name="Nota 3 6 10 2" xfId="8261"/>
    <cellStyle name="Nota 3 6 11" xfId="15721"/>
    <cellStyle name="Nota 3 6 12" xfId="15329"/>
    <cellStyle name="Nota 3 6 2" xfId="8260"/>
    <cellStyle name="Nota 3 6 3" xfId="8259"/>
    <cellStyle name="Nota 3 6 3 2" xfId="8258"/>
    <cellStyle name="Nota 3 6 4" xfId="8257"/>
    <cellStyle name="Nota 3 6 4 2" xfId="8256"/>
    <cellStyle name="Nota 3 6 5" xfId="5945"/>
    <cellStyle name="Nota 3 6 6" xfId="6055"/>
    <cellStyle name="Nota 3 6 7" xfId="8255"/>
    <cellStyle name="Nota 3 6 7 2" xfId="8254"/>
    <cellStyle name="Nota 3 6 8" xfId="8253"/>
    <cellStyle name="Nota 3 6 8 2" xfId="8252"/>
    <cellStyle name="Nota 3 6 9" xfId="8251"/>
    <cellStyle name="Nota 3 6 9 2" xfId="8250"/>
    <cellStyle name="Nota 3 60" xfId="16079"/>
    <cellStyle name="Nota 3 61" xfId="16097"/>
    <cellStyle name="Nota 3 62" xfId="16105"/>
    <cellStyle name="Nota 3 63" xfId="16102"/>
    <cellStyle name="Nota 3 64" xfId="16115"/>
    <cellStyle name="Nota 3 65" xfId="16123"/>
    <cellStyle name="Nota 3 66" xfId="16121"/>
    <cellStyle name="Nota 3 67" xfId="16158"/>
    <cellStyle name="Nota 3 68" xfId="16268"/>
    <cellStyle name="Nota 3 69" xfId="16216"/>
    <cellStyle name="Nota 3 7" xfId="9432"/>
    <cellStyle name="Nota 3 70" xfId="16234"/>
    <cellStyle name="Nota 3 71" xfId="16147"/>
    <cellStyle name="Nota 3 72" xfId="16277"/>
    <cellStyle name="Nota 3 73" xfId="16299"/>
    <cellStyle name="Nota 3 74" xfId="16253"/>
    <cellStyle name="Nota 3 75" xfId="16226"/>
    <cellStyle name="Nota 3 76" xfId="16303"/>
    <cellStyle name="Nota 3 77" xfId="16204"/>
    <cellStyle name="Nota 3 78" xfId="16170"/>
    <cellStyle name="Nota 3 79" xfId="16290"/>
    <cellStyle name="Nota 3 8" xfId="6054"/>
    <cellStyle name="Nota 3 8 2" xfId="6053"/>
    <cellStyle name="Nota 3 80" xfId="16209"/>
    <cellStyle name="Nota 3 81" xfId="16257"/>
    <cellStyle name="Nota 3 82" xfId="16178"/>
    <cellStyle name="Nota 3 83" xfId="16249"/>
    <cellStyle name="Nota 3 84" xfId="16190"/>
    <cellStyle name="Nota 3 85" xfId="16245"/>
    <cellStyle name="Nota 3 86" xfId="16181"/>
    <cellStyle name="Nota 3 87" xfId="16165"/>
    <cellStyle name="Nota 3 88" xfId="16262"/>
    <cellStyle name="Nota 3 89" xfId="16221"/>
    <cellStyle name="Nota 3 9" xfId="8249"/>
    <cellStyle name="Nota 3 9 2" xfId="6051"/>
    <cellStyle name="Nota 3 90" xfId="16230"/>
    <cellStyle name="Nota 3 91" xfId="16149"/>
    <cellStyle name="Nota 3 92" xfId="16207"/>
    <cellStyle name="Nota 3_Base RF" xfId="5598"/>
    <cellStyle name="Nota 30" xfId="8248"/>
    <cellStyle name="Nota 30 2" xfId="6050"/>
    <cellStyle name="Nota 31" xfId="8247"/>
    <cellStyle name="Nota 32" xfId="8246"/>
    <cellStyle name="Nota 32 2" xfId="8245"/>
    <cellStyle name="Nota 33" xfId="8244"/>
    <cellStyle name="Nota 34" xfId="8243"/>
    <cellStyle name="Nota 34 2" xfId="8242"/>
    <cellStyle name="Nota 35" xfId="9431"/>
    <cellStyle name="Nota 35 2" xfId="6049"/>
    <cellStyle name="Nota 36" xfId="6048"/>
    <cellStyle name="Nota 37" xfId="8241"/>
    <cellStyle name="Nota 38" xfId="8240"/>
    <cellStyle name="Nota 39" xfId="8239"/>
    <cellStyle name="Nota 39 2" xfId="6047"/>
    <cellStyle name="Nota 4" xfId="4731"/>
    <cellStyle name="Nota 4 10" xfId="8238"/>
    <cellStyle name="Nota 4 10 2" xfId="8237"/>
    <cellStyle name="Nota 4 11" xfId="8236"/>
    <cellStyle name="Nota 4 12" xfId="8235"/>
    <cellStyle name="Nota 4 12 2" xfId="8234"/>
    <cellStyle name="Nota 4 12 2 2" xfId="8233"/>
    <cellStyle name="Nota 4 12 3" xfId="8232"/>
    <cellStyle name="Nota 4 12 4" xfId="9430"/>
    <cellStyle name="Nota 4 12 4 2" xfId="6045"/>
    <cellStyle name="Nota 4 12 5" xfId="6044"/>
    <cellStyle name="Nota 4 12 5 2" xfId="8231"/>
    <cellStyle name="Nota 4 13" xfId="8230"/>
    <cellStyle name="Nota 4 13 2" xfId="8229"/>
    <cellStyle name="Nota 4 13 2 2" xfId="8228"/>
    <cellStyle name="Nota 4 13 3" xfId="8227"/>
    <cellStyle name="Nota 4 13 4" xfId="8226"/>
    <cellStyle name="Nota 4 13 4 2" xfId="8225"/>
    <cellStyle name="Nota 4 13 5" xfId="9429"/>
    <cellStyle name="Nota 4 13 5 2" xfId="6043"/>
    <cellStyle name="Nota 4 14" xfId="6042"/>
    <cellStyle name="Nota 4 14 2" xfId="8224"/>
    <cellStyle name="Nota 4 15" xfId="8223"/>
    <cellStyle name="Nota 4 16" xfId="8222"/>
    <cellStyle name="Nota 4 16 2" xfId="8221"/>
    <cellStyle name="Nota 4 17" xfId="8220"/>
    <cellStyle name="Nota 4 17 2" xfId="8219"/>
    <cellStyle name="Nota 4 18" xfId="8218"/>
    <cellStyle name="Nota 4 19" xfId="9428"/>
    <cellStyle name="Nota 4 2" xfId="4732"/>
    <cellStyle name="Nota 4 2 2" xfId="6040"/>
    <cellStyle name="Nota 4 2 3" xfId="8217"/>
    <cellStyle name="Nota 4 2 4" xfId="8216"/>
    <cellStyle name="Nota 4 2 4 2" xfId="8215"/>
    <cellStyle name="Nota 4 2 4 2 2" xfId="8214"/>
    <cellStyle name="Nota 4 2 4 3" xfId="8213"/>
    <cellStyle name="Nota 4 2 4 4" xfId="8212"/>
    <cellStyle name="Nota 4 2 4 4 2" xfId="8211"/>
    <cellStyle name="Nota 4 2 4 5" xfId="8210"/>
    <cellStyle name="Nota 4 2 4 5 2" xfId="8209"/>
    <cellStyle name="Nota 4 2 5" xfId="8208"/>
    <cellStyle name="Nota 4 2 5 2" xfId="9427"/>
    <cellStyle name="Nota 4 2 5 2 2" xfId="6039"/>
    <cellStyle name="Nota 4 2 5 3" xfId="6038"/>
    <cellStyle name="Nota 4 2 5 4" xfId="8207"/>
    <cellStyle name="Nota 4 2 5 4 2" xfId="6037"/>
    <cellStyle name="Nota 4 2 5 5" xfId="8206"/>
    <cellStyle name="Nota 4 2 5 5 2" xfId="8205"/>
    <cellStyle name="Nota 4 2 6" xfId="14653"/>
    <cellStyle name="Nota 4 2 7" xfId="6041"/>
    <cellStyle name="Nota 4 2_Base RF" xfId="15039"/>
    <cellStyle name="Nota 4 20" xfId="8204"/>
    <cellStyle name="Nota 4 20 2" xfId="8203"/>
    <cellStyle name="Nota 4 21" xfId="8202"/>
    <cellStyle name="Nota 4 21 2" xfId="8201"/>
    <cellStyle name="Nota 4 22" xfId="8200"/>
    <cellStyle name="Nota 4 22 2" xfId="8199"/>
    <cellStyle name="Nota 4 23" xfId="14652"/>
    <cellStyle name="Nota 4 24" xfId="6046"/>
    <cellStyle name="Nota 4 3" xfId="8198"/>
    <cellStyle name="Nota 4 4" xfId="8197"/>
    <cellStyle name="Nota 4 4 2" xfId="8196"/>
    <cellStyle name="Nota 4 5" xfId="8195"/>
    <cellStyle name="Nota 4 5 2" xfId="8194"/>
    <cellStyle name="Nota 4 5 2 2" xfId="8193"/>
    <cellStyle name="Nota 4 5 3" xfId="8192"/>
    <cellStyle name="Nota 4 6" xfId="8191"/>
    <cellStyle name="Nota 4 6 10" xfId="8190"/>
    <cellStyle name="Nota 4 6 10 2" xfId="8189"/>
    <cellStyle name="Nota 4 6 2" xfId="9514"/>
    <cellStyle name="Nota 4 6 3" xfId="8187"/>
    <cellStyle name="Nota 4 6 3 2" xfId="8188"/>
    <cellStyle name="Nota 4 6 4" xfId="7470"/>
    <cellStyle name="Nota 4 6 4 2" xfId="8186"/>
    <cellStyle name="Nota 4 6 5" xfId="8185"/>
    <cellStyle name="Nota 4 6 6" xfId="8184"/>
    <cellStyle name="Nota 4 6 7" xfId="8183"/>
    <cellStyle name="Nota 4 6 7 2" xfId="8182"/>
    <cellStyle name="Nota 4 6 8" xfId="8181"/>
    <cellStyle name="Nota 4 6 8 2" xfId="8180"/>
    <cellStyle name="Nota 4 6 9" xfId="8179"/>
    <cellStyle name="Nota 4 6 9 2" xfId="8178"/>
    <cellStyle name="Nota 4 7" xfId="8177"/>
    <cellStyle name="Nota 4 8" xfId="5975"/>
    <cellStyle name="Nota 4 8 2" xfId="8176"/>
    <cellStyle name="Nota 4 9" xfId="8175"/>
    <cellStyle name="Nota 4 9 2" xfId="8174"/>
    <cellStyle name="Nota 4_Base RF" xfId="5599"/>
    <cellStyle name="Nota 40" xfId="8173"/>
    <cellStyle name="Nota 40 2" xfId="8172"/>
    <cellStyle name="Nota 41" xfId="8171"/>
    <cellStyle name="Nota 41 2" xfId="8170"/>
    <cellStyle name="Nota 42" xfId="8169"/>
    <cellStyle name="Nota 42 2" xfId="8168"/>
    <cellStyle name="Nota 43" xfId="8167"/>
    <cellStyle name="Nota 43 2" xfId="9513"/>
    <cellStyle name="Nota 44" xfId="8165"/>
    <cellStyle name="Nota 44 2" xfId="8166"/>
    <cellStyle name="Nota 45" xfId="7466"/>
    <cellStyle name="Nota 45 2" xfId="8164"/>
    <cellStyle name="Nota 46" xfId="8163"/>
    <cellStyle name="Nota 46 2" xfId="8162"/>
    <cellStyle name="Nota 47" xfId="8161"/>
    <cellStyle name="Nota 47 2" xfId="8160"/>
    <cellStyle name="Nota 48" xfId="8159"/>
    <cellStyle name="Nota 48 2" xfId="8158"/>
    <cellStyle name="Nota 49" xfId="8157"/>
    <cellStyle name="Nota 49 2" xfId="8156"/>
    <cellStyle name="Nota 5" xfId="8155"/>
    <cellStyle name="Nota 5 10" xfId="5971"/>
    <cellStyle name="Nota 5 10 2" xfId="8154"/>
    <cellStyle name="Nota 5 11" xfId="8153"/>
    <cellStyle name="Nota 5 12" xfId="8152"/>
    <cellStyle name="Nota 5 12 2" xfId="8151"/>
    <cellStyle name="Nota 5 12 2 2" xfId="8150"/>
    <cellStyle name="Nota 5 12 3" xfId="8149"/>
    <cellStyle name="Nota 5 12 4" xfId="8148"/>
    <cellStyle name="Nota 5 12 4 2" xfId="8147"/>
    <cellStyle name="Nota 5 12 5" xfId="8146"/>
    <cellStyle name="Nota 5 12 5 2" xfId="8145"/>
    <cellStyle name="Nota 5 13" xfId="8144"/>
    <cellStyle name="Nota 5 13 2" xfId="8143"/>
    <cellStyle name="Nota 5 13 2 2" xfId="9512"/>
    <cellStyle name="Nota 5 13 3" xfId="8141"/>
    <cellStyle name="Nota 5 13 4" xfId="8142"/>
    <cellStyle name="Nota 5 13 4 2" xfId="7462"/>
    <cellStyle name="Nota 5 13 5" xfId="8140"/>
    <cellStyle name="Nota 5 13 5 2" xfId="8139"/>
    <cellStyle name="Nota 5 14" xfId="8138"/>
    <cellStyle name="Nota 5 14 2" xfId="8137"/>
    <cellStyle name="Nota 5 15" xfId="8136"/>
    <cellStyle name="Nota 5 16" xfId="8135"/>
    <cellStyle name="Nota 5 16 2" xfId="8134"/>
    <cellStyle name="Nota 5 17" xfId="8133"/>
    <cellStyle name="Nota 5 17 2" xfId="8132"/>
    <cellStyle name="Nota 5 18" xfId="8131"/>
    <cellStyle name="Nota 5 19" xfId="5967"/>
    <cellStyle name="Nota 5 2" xfId="8130"/>
    <cellStyle name="Nota 5 2 2" xfId="8129"/>
    <cellStyle name="Nota 5 20" xfId="8128"/>
    <cellStyle name="Nota 5 20 2" xfId="8127"/>
    <cellStyle name="Nota 5 21" xfId="8126"/>
    <cellStyle name="Nota 5 21 2" xfId="8125"/>
    <cellStyle name="Nota 5 22" xfId="8124"/>
    <cellStyle name="Nota 5 22 2" xfId="8123"/>
    <cellStyle name="Nota 5 3" xfId="8122"/>
    <cellStyle name="Nota 5 4" xfId="8121"/>
    <cellStyle name="Nota 5 4 2" xfId="8120"/>
    <cellStyle name="Nota 5 5" xfId="8119"/>
    <cellStyle name="Nota 5 5 2" xfId="9511"/>
    <cellStyle name="Nota 5 5 2 2" xfId="8117"/>
    <cellStyle name="Nota 5 5 3" xfId="8118"/>
    <cellStyle name="Nota 5 6" xfId="7458"/>
    <cellStyle name="Nota 5 6 10" xfId="8116"/>
    <cellStyle name="Nota 5 6 10 2" xfId="8115"/>
    <cellStyle name="Nota 5 6 2" xfId="8114"/>
    <cellStyle name="Nota 5 6 3" xfId="8113"/>
    <cellStyle name="Nota 5 6 3 2" xfId="8112"/>
    <cellStyle name="Nota 5 6 4" xfId="8111"/>
    <cellStyle name="Nota 5 6 4 2" xfId="8110"/>
    <cellStyle name="Nota 5 6 5" xfId="8109"/>
    <cellStyle name="Nota 5 6 6" xfId="8108"/>
    <cellStyle name="Nota 5 6 7" xfId="8107"/>
    <cellStyle name="Nota 5 6 7 2" xfId="5963"/>
    <cellStyle name="Nota 5 6 8" xfId="8106"/>
    <cellStyle name="Nota 5 6 8 2" xfId="8105"/>
    <cellStyle name="Nota 5 6 9" xfId="8104"/>
    <cellStyle name="Nota 5 6 9 2" xfId="8103"/>
    <cellStyle name="Nota 5 7" xfId="8102"/>
    <cellStyle name="Nota 5 8" xfId="8101"/>
    <cellStyle name="Nota 5 8 2" xfId="8100"/>
    <cellStyle name="Nota 5 9" xfId="8099"/>
    <cellStyle name="Nota 5 9 2" xfId="8098"/>
    <cellStyle name="Nota 50" xfId="8097"/>
    <cellStyle name="Nota 51" xfId="9510"/>
    <cellStyle name="Nota 51 2" xfId="8095"/>
    <cellStyle name="Nota 52" xfId="8096"/>
    <cellStyle name="Nota 52 2" xfId="7455"/>
    <cellStyle name="Nota 53" xfId="8094"/>
    <cellStyle name="Nota 53 2" xfId="8093"/>
    <cellStyle name="Nota 54" xfId="8092"/>
    <cellStyle name="Nota 54 2" xfId="8091"/>
    <cellStyle name="Nota 55" xfId="8090"/>
    <cellStyle name="Nota 55 2" xfId="8089"/>
    <cellStyle name="Nota 56" xfId="8088"/>
    <cellStyle name="Nota 56 2" xfId="8087"/>
    <cellStyle name="Nota 57" xfId="8086"/>
    <cellStyle name="Nota 57 2" xfId="8085"/>
    <cellStyle name="Nota 58" xfId="5959"/>
    <cellStyle name="Nota 58 2" xfId="8084"/>
    <cellStyle name="Nota 6" xfId="8083"/>
    <cellStyle name="Nota 6 10" xfId="8082"/>
    <cellStyle name="Nota 6 10 2" xfId="8081"/>
    <cellStyle name="Nota 6 10 2 2" xfId="8080"/>
    <cellStyle name="Nota 6 10 3" xfId="8079"/>
    <cellStyle name="Nota 6 11" xfId="8078"/>
    <cellStyle name="Nota 6 11 2" xfId="8077"/>
    <cellStyle name="Nota 6 12" xfId="8076"/>
    <cellStyle name="Nota 6 13" xfId="8075"/>
    <cellStyle name="Nota 6 14" xfId="8074"/>
    <cellStyle name="Nota 6 14 2" xfId="8073"/>
    <cellStyle name="Nota 6 15" xfId="9509"/>
    <cellStyle name="Nota 6 15 2" xfId="8071"/>
    <cellStyle name="Nota 6 16" xfId="8072"/>
    <cellStyle name="Nota 6 17" xfId="7307"/>
    <cellStyle name="Nota 6 18" xfId="8070"/>
    <cellStyle name="Nota 6 18 2" xfId="8069"/>
    <cellStyle name="Nota 6 19" xfId="8068"/>
    <cellStyle name="Nota 6 19 2" xfId="8067"/>
    <cellStyle name="Nota 6 2" xfId="8066"/>
    <cellStyle name="Nota 6 2 2" xfId="8065"/>
    <cellStyle name="Nota 6 2 2 2" xfId="8064"/>
    <cellStyle name="Nota 6 2 3" xfId="8063"/>
    <cellStyle name="Nota 6 20" xfId="8062"/>
    <cellStyle name="Nota 6 20 2" xfId="8061"/>
    <cellStyle name="Nota 6 3" xfId="5955"/>
    <cellStyle name="Nota 6 3 2" xfId="8060"/>
    <cellStyle name="Nota 6 3 2 2" xfId="8059"/>
    <cellStyle name="Nota 6 3 3" xfId="8058"/>
    <cellStyle name="Nota 6 4" xfId="8057"/>
    <cellStyle name="Nota 6 4 2" xfId="8056"/>
    <cellStyle name="Nota 6 4 2 2" xfId="8055"/>
    <cellStyle name="Nota 6 4 2 2 2" xfId="8054"/>
    <cellStyle name="Nota 6 4 2 3" xfId="8053"/>
    <cellStyle name="Nota 6 4 3" xfId="8052"/>
    <cellStyle name="Nota 6 4 3 2" xfId="9426"/>
    <cellStyle name="Nota 6 4 4" xfId="6036"/>
    <cellStyle name="Nota 6 5" xfId="6035"/>
    <cellStyle name="Nota 6 5 10" xfId="8051"/>
    <cellStyle name="Nota 6 5 10 2" xfId="8050"/>
    <cellStyle name="Nota 6 5 11" xfId="8049"/>
    <cellStyle name="Nota 6 5 11 2" xfId="8048"/>
    <cellStyle name="Nota 6 5 2" xfId="8047"/>
    <cellStyle name="Nota 6 5 2 2" xfId="8046"/>
    <cellStyle name="Nota 6 5 3" xfId="8045"/>
    <cellStyle name="Nota 6 5 3 2" xfId="9425"/>
    <cellStyle name="Nota 6 5 3 2 2" xfId="6034"/>
    <cellStyle name="Nota 6 5 3 3" xfId="6033"/>
    <cellStyle name="Nota 6 5 4" xfId="8044"/>
    <cellStyle name="Nota 6 5 4 2" xfId="8043"/>
    <cellStyle name="Nota 6 5 4 2 2" xfId="8042"/>
    <cellStyle name="Nota 6 5 4 3" xfId="8041"/>
    <cellStyle name="Nota 6 5 5" xfId="8040"/>
    <cellStyle name="Nota 6 5 5 2" xfId="8039"/>
    <cellStyle name="Nota 6 5 6" xfId="8038"/>
    <cellStyle name="Nota 6 5 6 2" xfId="8037"/>
    <cellStyle name="Nota 6 5 7" xfId="8036"/>
    <cellStyle name="Nota 6 5 7 2" xfId="8035"/>
    <cellStyle name="Nota 6 5 7 2 2" xfId="9424"/>
    <cellStyle name="Nota 6 5 7 3" xfId="6032"/>
    <cellStyle name="Nota 6 5 8" xfId="6031"/>
    <cellStyle name="Nota 6 5 8 2" xfId="8034"/>
    <cellStyle name="Nota 6 5 9" xfId="8033"/>
    <cellStyle name="Nota 6 6" xfId="8032"/>
    <cellStyle name="Nota 6 6 2" xfId="8031"/>
    <cellStyle name="Nota 6 7" xfId="8030"/>
    <cellStyle name="Nota 6 7 2" xfId="8029"/>
    <cellStyle name="Nota 6 7 2 2" xfId="8028"/>
    <cellStyle name="Nota 6 7 3" xfId="8027"/>
    <cellStyle name="Nota 6 8" xfId="8026"/>
    <cellStyle name="Nota 6 8 2" xfId="8025"/>
    <cellStyle name="Nota 6 8 2 2" xfId="9423"/>
    <cellStyle name="Nota 6 8 3" xfId="6030"/>
    <cellStyle name="Nota 6 9" xfId="6029"/>
    <cellStyle name="Nota 6 9 2" xfId="8024"/>
    <cellStyle name="Nota 6 9 2 2" xfId="8023"/>
    <cellStyle name="Nota 6 9 3" xfId="8022"/>
    <cellStyle name="Nota 7" xfId="8021"/>
    <cellStyle name="Nota 7 10" xfId="8020"/>
    <cellStyle name="Nota 7 11" xfId="8019"/>
    <cellStyle name="Nota 7 12" xfId="8018"/>
    <cellStyle name="Nota 7 12 2" xfId="9422"/>
    <cellStyle name="Nota 7 2" xfId="6028"/>
    <cellStyle name="Nota 7 3" xfId="6027"/>
    <cellStyle name="Nota 7 3 2" xfId="8017"/>
    <cellStyle name="Nota 7 4" xfId="8016"/>
    <cellStyle name="Nota 7 4 2" xfId="8015"/>
    <cellStyle name="Nota 7 5" xfId="8014"/>
    <cellStyle name="Nota 7 5 10" xfId="8013"/>
    <cellStyle name="Nota 7 5 10 2" xfId="8012"/>
    <cellStyle name="Nota 7 5 2" xfId="8011"/>
    <cellStyle name="Nota 7 5 3" xfId="8010"/>
    <cellStyle name="Nota 7 5 3 2" xfId="8009"/>
    <cellStyle name="Nota 7 5 4" xfId="8008"/>
    <cellStyle name="Nota 7 5 4 2" xfId="9421"/>
    <cellStyle name="Nota 7 5 5" xfId="6026"/>
    <cellStyle name="Nota 7 5 6" xfId="6025"/>
    <cellStyle name="Nota 7 5 7" xfId="8007"/>
    <cellStyle name="Nota 7 5 7 2" xfId="6024"/>
    <cellStyle name="Nota 7 5 8" xfId="8006"/>
    <cellStyle name="Nota 7 5 8 2" xfId="8005"/>
    <cellStyle name="Nota 7 5 9" xfId="8004"/>
    <cellStyle name="Nota 7 5 9 2" xfId="8003"/>
    <cellStyle name="Nota 7 6" xfId="8002"/>
    <cellStyle name="Nota 7 6 2" xfId="8001"/>
    <cellStyle name="Nota 7 7" xfId="8000"/>
    <cellStyle name="Nota 7 8" xfId="7999"/>
    <cellStyle name="Nota 7 8 2" xfId="7998"/>
    <cellStyle name="Nota 7 9" xfId="7997"/>
    <cellStyle name="Nota 7 9 2" xfId="7996"/>
    <cellStyle name="Nota 8" xfId="7995"/>
    <cellStyle name="Nota 8 10" xfId="7994"/>
    <cellStyle name="Nota 8 11" xfId="7993"/>
    <cellStyle name="Nota 8 12" xfId="7992"/>
    <cellStyle name="Nota 8 12 2" xfId="7991"/>
    <cellStyle name="Nota 8 2" xfId="7990"/>
    <cellStyle name="Nota 8 2 2" xfId="7989"/>
    <cellStyle name="Nota 8 2 2 2" xfId="9508"/>
    <cellStyle name="Nota 8 2 3" xfId="7987"/>
    <cellStyle name="Nota 8 3" xfId="7988"/>
    <cellStyle name="Nota 8 3 2" xfId="7469"/>
    <cellStyle name="Nota 8 3 2 2" xfId="7986"/>
    <cellStyle name="Nota 8 3 3" xfId="7985"/>
    <cellStyle name="Nota 8 4" xfId="7984"/>
    <cellStyle name="Nota 8 4 10" xfId="7983"/>
    <cellStyle name="Nota 8 4 10 2" xfId="7982"/>
    <cellStyle name="Nota 8 4 11" xfId="7981"/>
    <cellStyle name="Nota 8 4 11 2" xfId="7980"/>
    <cellStyle name="Nota 8 4 2" xfId="7979"/>
    <cellStyle name="Nota 8 4 2 2" xfId="7978"/>
    <cellStyle name="Nota 8 4 3" xfId="7977"/>
    <cellStyle name="Nota 8 4 3 2" xfId="5974"/>
    <cellStyle name="Nota 8 4 3 2 2" xfId="7976"/>
    <cellStyle name="Nota 8 4 3 3" xfId="7975"/>
    <cellStyle name="Nota 8 4 4" xfId="7974"/>
    <cellStyle name="Nota 8 4 4 2" xfId="7973"/>
    <cellStyle name="Nota 8 4 4 2 2" xfId="7972"/>
    <cellStyle name="Nota 8 4 4 3" xfId="7971"/>
    <cellStyle name="Nota 8 4 5" xfId="7970"/>
    <cellStyle name="Nota 8 4 5 2" xfId="7969"/>
    <cellStyle name="Nota 8 4 6" xfId="7968"/>
    <cellStyle name="Nota 8 4 6 2" xfId="7967"/>
    <cellStyle name="Nota 8 4 7" xfId="7966"/>
    <cellStyle name="Nota 8 4 7 2" xfId="7965"/>
    <cellStyle name="Nota 8 4 7 2 2" xfId="9507"/>
    <cellStyle name="Nota 8 4 7 3" xfId="7963"/>
    <cellStyle name="Nota 8 4 8" xfId="7964"/>
    <cellStyle name="Nota 8 4 8 2" xfId="7465"/>
    <cellStyle name="Nota 8 4 9" xfId="7962"/>
    <cellStyle name="Nota 8 5" xfId="7961"/>
    <cellStyle name="Nota 8 5 2" xfId="7960"/>
    <cellStyle name="Nota 8 5 2 2" xfId="7959"/>
    <cellStyle name="Nota 8 5 3" xfId="7958"/>
    <cellStyle name="Nota 8 6" xfId="7957"/>
    <cellStyle name="Nota 8 7" xfId="7956"/>
    <cellStyle name="Nota 8 8" xfId="7955"/>
    <cellStyle name="Nota 8 8 2" xfId="7954"/>
    <cellStyle name="Nota 8 9" xfId="7953"/>
    <cellStyle name="Nota 8 9 2" xfId="5970"/>
    <cellStyle name="Nota 9" xfId="7952"/>
    <cellStyle name="Nota 9 2" xfId="7951"/>
    <cellStyle name="Notas" xfId="4733"/>
    <cellStyle name="Notas 2" xfId="4734"/>
    <cellStyle name="Notas_Base RF" xfId="5600"/>
    <cellStyle name="Note" xfId="4735"/>
    <cellStyle name="Note 2" xfId="1645"/>
    <cellStyle name="Note 2 2" xfId="1646"/>
    <cellStyle name="Note 2 2 2" xfId="5404"/>
    <cellStyle name="Note 2 2 3" xfId="4737"/>
    <cellStyle name="Note 2 2_Base RF" xfId="5603"/>
    <cellStyle name="Note 2 3" xfId="5220"/>
    <cellStyle name="Note 2 4" xfId="4736"/>
    <cellStyle name="Note 2_Base RF" xfId="5602"/>
    <cellStyle name="Note 3" xfId="1647"/>
    <cellStyle name="Note 3 2" xfId="4739"/>
    <cellStyle name="Note 3 2 2" xfId="14654"/>
    <cellStyle name="Note 3 2 3" xfId="7950"/>
    <cellStyle name="Note 3 2_Base RF" xfId="15040"/>
    <cellStyle name="Note 3 3" xfId="5221"/>
    <cellStyle name="Note 3 4" xfId="4738"/>
    <cellStyle name="Note 3_Base RF" xfId="5604"/>
    <cellStyle name="Note 4" xfId="1648"/>
    <cellStyle name="Note 4 10" xfId="1649"/>
    <cellStyle name="Note 4 10 2" xfId="1650"/>
    <cellStyle name="Note 4 10_Base RF" xfId="5606"/>
    <cellStyle name="Note 4 100" xfId="15631"/>
    <cellStyle name="Note 4 101" xfId="15662"/>
    <cellStyle name="Note 4 102" xfId="15643"/>
    <cellStyle name="Note 4 103" xfId="15640"/>
    <cellStyle name="Note 4 104" xfId="15652"/>
    <cellStyle name="Note 4 105" xfId="15637"/>
    <cellStyle name="Note 4 106" xfId="15639"/>
    <cellStyle name="Note 4 107" xfId="15628"/>
    <cellStyle name="Note 4 108" xfId="15663"/>
    <cellStyle name="Note 4 109" xfId="15629"/>
    <cellStyle name="Note 4 11" xfId="1651"/>
    <cellStyle name="Note 4 110" xfId="15630"/>
    <cellStyle name="Note 4 111" xfId="15646"/>
    <cellStyle name="Note 4 112" xfId="15660"/>
    <cellStyle name="Note 4 113" xfId="15644"/>
    <cellStyle name="Note 4 114" xfId="15649"/>
    <cellStyle name="Note 4 115" xfId="15633"/>
    <cellStyle name="Note 4 116" xfId="15655"/>
    <cellStyle name="Note 4 117" xfId="15657"/>
    <cellStyle name="Note 4 118" xfId="15642"/>
    <cellStyle name="Note 4 119" xfId="15650"/>
    <cellStyle name="Note 4 12" xfId="5222"/>
    <cellStyle name="Note 4 120" xfId="15647"/>
    <cellStyle name="Note 4 121" xfId="15627"/>
    <cellStyle name="Note 4 122" xfId="15668"/>
    <cellStyle name="Note 4 123" xfId="15675"/>
    <cellStyle name="Note 4 124" xfId="15667"/>
    <cellStyle name="Note 4 125" xfId="15676"/>
    <cellStyle name="Note 4 126" xfId="15673"/>
    <cellStyle name="Note 4 127" xfId="15670"/>
    <cellStyle name="Note 4 128" xfId="15678"/>
    <cellStyle name="Note 4 129" xfId="15680"/>
    <cellStyle name="Note 4 13" xfId="5242"/>
    <cellStyle name="Note 4 130" xfId="15690"/>
    <cellStyle name="Note 4 131" xfId="15684"/>
    <cellStyle name="Note 4 132" xfId="15688"/>
    <cellStyle name="Note 4 133" xfId="15698"/>
    <cellStyle name="Note 4 134" xfId="15687"/>
    <cellStyle name="Note 4 135" xfId="15699"/>
    <cellStyle name="Note 4 136" xfId="15693"/>
    <cellStyle name="Note 4 137" xfId="15697"/>
    <cellStyle name="Note 4 138" xfId="15686"/>
    <cellStyle name="Note 4 139" xfId="15701"/>
    <cellStyle name="Note 4 14" xfId="5247"/>
    <cellStyle name="Note 4 140" xfId="15704"/>
    <cellStyle name="Note 4 141" xfId="15707"/>
    <cellStyle name="Note 4 142" xfId="15740"/>
    <cellStyle name="Note 4 143" xfId="15742"/>
    <cellStyle name="Note 4 144" xfId="15744"/>
    <cellStyle name="Note 4 145" xfId="15746"/>
    <cellStyle name="Note 4 146" xfId="15749"/>
    <cellStyle name="Note 4 147" xfId="15751"/>
    <cellStyle name="Note 4 148" xfId="15747"/>
    <cellStyle name="Note 4 149" xfId="15763"/>
    <cellStyle name="Note 4 15" xfId="5246"/>
    <cellStyle name="Note 4 150" xfId="15773"/>
    <cellStyle name="Note 4 151" xfId="15842"/>
    <cellStyle name="Note 4 152" xfId="15798"/>
    <cellStyle name="Note 4 153" xfId="15825"/>
    <cellStyle name="Note 4 154" xfId="15852"/>
    <cellStyle name="Note 4 155" xfId="15876"/>
    <cellStyle name="Note 4 156" xfId="15925"/>
    <cellStyle name="Note 4 157" xfId="15896"/>
    <cellStyle name="Note 4 158" xfId="15916"/>
    <cellStyle name="Note 4 159" xfId="15905"/>
    <cellStyle name="Note 4 16" xfId="5257"/>
    <cellStyle name="Note 4 160" xfId="15906"/>
    <cellStyle name="Note 4 161" xfId="15898"/>
    <cellStyle name="Note 4 162" xfId="15892"/>
    <cellStyle name="Note 4 163" xfId="15936"/>
    <cellStyle name="Note 4 164" xfId="15877"/>
    <cellStyle name="Note 4 165" xfId="15933"/>
    <cellStyle name="Note 4 166" xfId="15923"/>
    <cellStyle name="Note 4 167" xfId="15872"/>
    <cellStyle name="Note 4 168" xfId="15960"/>
    <cellStyle name="Note 4 169" xfId="15953"/>
    <cellStyle name="Note 4 17" xfId="5255"/>
    <cellStyle name="Note 4 170" xfId="15957"/>
    <cellStyle name="Note 4 171" xfId="15954"/>
    <cellStyle name="Note 4 172" xfId="15956"/>
    <cellStyle name="Note 4 173" xfId="15982"/>
    <cellStyle name="Note 4 174" xfId="15950"/>
    <cellStyle name="Note 4 175" xfId="15978"/>
    <cellStyle name="Note 4 176" xfId="15989"/>
    <cellStyle name="Note 4 177" xfId="16000"/>
    <cellStyle name="Note 4 178" xfId="16050"/>
    <cellStyle name="Note 4 179" xfId="15995"/>
    <cellStyle name="Note 4 18" xfId="5256"/>
    <cellStyle name="Note 4 180" xfId="16041"/>
    <cellStyle name="Note 4 181" xfId="16032"/>
    <cellStyle name="Note 4 182" xfId="15999"/>
    <cellStyle name="Note 4 183" xfId="16033"/>
    <cellStyle name="Note 4 184" xfId="16040"/>
    <cellStyle name="Note 4 185" xfId="16060"/>
    <cellStyle name="Note 4 186" xfId="16031"/>
    <cellStyle name="Note 4 187" xfId="16044"/>
    <cellStyle name="Note 4 188" xfId="16072"/>
    <cellStyle name="Note 4 189" xfId="16084"/>
    <cellStyle name="Note 4 19" xfId="5267"/>
    <cellStyle name="Note 4 190" xfId="16076"/>
    <cellStyle name="Note 4 191" xfId="16087"/>
    <cellStyle name="Note 4 192" xfId="16095"/>
    <cellStyle name="Note 4 193" xfId="16107"/>
    <cellStyle name="Note 4 194" xfId="16093"/>
    <cellStyle name="Note 4 195" xfId="16113"/>
    <cellStyle name="Note 4 196" xfId="16125"/>
    <cellStyle name="Note 4 197" xfId="16120"/>
    <cellStyle name="Note 4 198" xfId="16151"/>
    <cellStyle name="Note 4 199" xfId="16274"/>
    <cellStyle name="Note 4 2" xfId="1652"/>
    <cellStyle name="Note 4 2 2" xfId="1653"/>
    <cellStyle name="Note 4 2 2 2" xfId="1654"/>
    <cellStyle name="Note 4 2 2 2 2" xfId="1655"/>
    <cellStyle name="Note 4 2 2 2 2 2" xfId="1656"/>
    <cellStyle name="Note 4 2 2 2 2 2 2" xfId="1657"/>
    <cellStyle name="Note 4 2 2 2 2 2_Base RF" xfId="5611"/>
    <cellStyle name="Note 4 2 2 2 2 3" xfId="1658"/>
    <cellStyle name="Note 4 2 2 2 2_Base RF" xfId="5610"/>
    <cellStyle name="Note 4 2 2 2 3" xfId="1659"/>
    <cellStyle name="Note 4 2 2 2 3 2" xfId="1660"/>
    <cellStyle name="Note 4 2 2 2 3_Base RF" xfId="5612"/>
    <cellStyle name="Note 4 2 2 2 4" xfId="1661"/>
    <cellStyle name="Note 4 2 2 2_Base RF" xfId="5609"/>
    <cellStyle name="Note 4 2 2 3" xfId="1662"/>
    <cellStyle name="Note 4 2 2 3 2" xfId="1663"/>
    <cellStyle name="Note 4 2 2 3 2 2" xfId="1664"/>
    <cellStyle name="Note 4 2 2 3 2_Base RF" xfId="5614"/>
    <cellStyle name="Note 4 2 2 3 3" xfId="1665"/>
    <cellStyle name="Note 4 2 2 3_Base RF" xfId="5613"/>
    <cellStyle name="Note 4 2 2 4" xfId="1666"/>
    <cellStyle name="Note 4 2 2 4 2" xfId="1667"/>
    <cellStyle name="Note 4 2 2 4_Base RF" xfId="5615"/>
    <cellStyle name="Note 4 2 2 5" xfId="1668"/>
    <cellStyle name="Note 4 2 2_Base RF" xfId="5608"/>
    <cellStyle name="Note 4 2 3" xfId="1669"/>
    <cellStyle name="Note 4 2 3 2" xfId="1670"/>
    <cellStyle name="Note 4 2 3 2 2" xfId="1671"/>
    <cellStyle name="Note 4 2 3 2 2 2" xfId="1672"/>
    <cellStyle name="Note 4 2 3 2 2_Base RF" xfId="5618"/>
    <cellStyle name="Note 4 2 3 2 3" xfId="1673"/>
    <cellStyle name="Note 4 2 3 2_Base RF" xfId="5617"/>
    <cellStyle name="Note 4 2 3 3" xfId="1674"/>
    <cellStyle name="Note 4 2 3 3 2" xfId="1675"/>
    <cellStyle name="Note 4 2 3 3_Base RF" xfId="5619"/>
    <cellStyle name="Note 4 2 3 4" xfId="1676"/>
    <cellStyle name="Note 4 2 3_Base RF" xfId="5616"/>
    <cellStyle name="Note 4 2 4" xfId="1677"/>
    <cellStyle name="Note 4 2 4 2" xfId="1678"/>
    <cellStyle name="Note 4 2 4 2 2" xfId="1679"/>
    <cellStyle name="Note 4 2 4 2_Base RF" xfId="5621"/>
    <cellStyle name="Note 4 2 4 3" xfId="1680"/>
    <cellStyle name="Note 4 2 4_Base RF" xfId="5620"/>
    <cellStyle name="Note 4 2 5" xfId="1681"/>
    <cellStyle name="Note 4 2 5 2" xfId="1682"/>
    <cellStyle name="Note 4 2 5_Base RF" xfId="5622"/>
    <cellStyle name="Note 4 2 6" xfId="1683"/>
    <cellStyle name="Note 4 2_Base RF" xfId="5607"/>
    <cellStyle name="Note 4 20" xfId="5266"/>
    <cellStyle name="Note 4 200" xfId="16138"/>
    <cellStyle name="Note 4 201" xfId="16252"/>
    <cellStyle name="Note 4 202" xfId="16227"/>
    <cellStyle name="Note 4 203" xfId="16195"/>
    <cellStyle name="Note 4 204" xfId="16241"/>
    <cellStyle name="Note 4 205" xfId="16294"/>
    <cellStyle name="Note 4 206" xfId="16172"/>
    <cellStyle name="Note 4 207" xfId="16237"/>
    <cellStyle name="Note 4 208" xfId="16192"/>
    <cellStyle name="Note 4 209" xfId="16306"/>
    <cellStyle name="Note 4 21" xfId="5275"/>
    <cellStyle name="Note 4 210" xfId="16202"/>
    <cellStyle name="Note 4 211" xfId="16197"/>
    <cellStyle name="Note 4 212" xfId="16311"/>
    <cellStyle name="Note 4 213" xfId="16198"/>
    <cellStyle name="Note 4 214" xfId="16260"/>
    <cellStyle name="Note 4 215" xfId="16223"/>
    <cellStyle name="Note 4 216" xfId="16185"/>
    <cellStyle name="Note 4 217" xfId="16160"/>
    <cellStyle name="Note 4 218" xfId="16266"/>
    <cellStyle name="Note 4 219" xfId="16217"/>
    <cellStyle name="Note 4 22" xfId="5274"/>
    <cellStyle name="Note 4 220" xfId="16233"/>
    <cellStyle name="Note 4 221" xfId="16148"/>
    <cellStyle name="Note 4 222" xfId="16276"/>
    <cellStyle name="Note 4 223" xfId="16307"/>
    <cellStyle name="Note 4 23" xfId="5286"/>
    <cellStyle name="Note 4 24" xfId="5284"/>
    <cellStyle name="Note 4 25" xfId="5285"/>
    <cellStyle name="Note 4 26" xfId="5283"/>
    <cellStyle name="Note 4 27" xfId="5299"/>
    <cellStyle name="Note 4 28" xfId="5298"/>
    <cellStyle name="Note 4 29" xfId="5405"/>
    <cellStyle name="Note 4 3" xfId="1684"/>
    <cellStyle name="Note 4 3 2" xfId="1685"/>
    <cellStyle name="Note 4 3 2 2" xfId="1686"/>
    <cellStyle name="Note 4 3 2 2 2" xfId="1687"/>
    <cellStyle name="Note 4 3 2 2 2 2" xfId="1688"/>
    <cellStyle name="Note 4 3 2 2 2 2 2" xfId="1689"/>
    <cellStyle name="Note 4 3 2 2 2 2_Base RF" xfId="5627"/>
    <cellStyle name="Note 4 3 2 2 2 3" xfId="1690"/>
    <cellStyle name="Note 4 3 2 2 2_Base RF" xfId="5626"/>
    <cellStyle name="Note 4 3 2 2 3" xfId="1691"/>
    <cellStyle name="Note 4 3 2 2 3 2" xfId="1692"/>
    <cellStyle name="Note 4 3 2 2 3_Base RF" xfId="5628"/>
    <cellStyle name="Note 4 3 2 2 4" xfId="1693"/>
    <cellStyle name="Note 4 3 2 2_Base RF" xfId="5625"/>
    <cellStyle name="Note 4 3 2 3" xfId="1694"/>
    <cellStyle name="Note 4 3 2 3 2" xfId="1695"/>
    <cellStyle name="Note 4 3 2 3 2 2" xfId="1696"/>
    <cellStyle name="Note 4 3 2 3 2_Base RF" xfId="5630"/>
    <cellStyle name="Note 4 3 2 3 3" xfId="1697"/>
    <cellStyle name="Note 4 3 2 3_Base RF" xfId="5629"/>
    <cellStyle name="Note 4 3 2 4" xfId="1698"/>
    <cellStyle name="Note 4 3 2 4 2" xfId="1699"/>
    <cellStyle name="Note 4 3 2 4_Base RF" xfId="5631"/>
    <cellStyle name="Note 4 3 2 5" xfId="1700"/>
    <cellStyle name="Note 4 3 2_Base RF" xfId="5624"/>
    <cellStyle name="Note 4 3 3" xfId="1701"/>
    <cellStyle name="Note 4 3 3 2" xfId="1702"/>
    <cellStyle name="Note 4 3 3 2 2" xfId="1703"/>
    <cellStyle name="Note 4 3 3 2 2 2" xfId="1704"/>
    <cellStyle name="Note 4 3 3 2 2_Base RF" xfId="5634"/>
    <cellStyle name="Note 4 3 3 2 3" xfId="1705"/>
    <cellStyle name="Note 4 3 3 2_Base RF" xfId="5633"/>
    <cellStyle name="Note 4 3 3 3" xfId="1706"/>
    <cellStyle name="Note 4 3 3 3 2" xfId="1707"/>
    <cellStyle name="Note 4 3 3 3_Base RF" xfId="5635"/>
    <cellStyle name="Note 4 3 3 4" xfId="1708"/>
    <cellStyle name="Note 4 3 3_Base RF" xfId="5632"/>
    <cellStyle name="Note 4 3 4" xfId="1709"/>
    <cellStyle name="Note 4 3 4 2" xfId="1710"/>
    <cellStyle name="Note 4 3 4 2 2" xfId="1711"/>
    <cellStyle name="Note 4 3 4 2_Base RF" xfId="5637"/>
    <cellStyle name="Note 4 3 4 3" xfId="1712"/>
    <cellStyle name="Note 4 3 4_Base RF" xfId="5636"/>
    <cellStyle name="Note 4 3 5" xfId="1713"/>
    <cellStyle name="Note 4 3 5 2" xfId="1714"/>
    <cellStyle name="Note 4 3 5_Base RF" xfId="5638"/>
    <cellStyle name="Note 4 3 6" xfId="1715"/>
    <cellStyle name="Note 4 3_Base RF" xfId="5623"/>
    <cellStyle name="Note 4 30" xfId="5342"/>
    <cellStyle name="Note 4 31" xfId="5400"/>
    <cellStyle name="Note 4 32" xfId="5361"/>
    <cellStyle name="Note 4 33" xfId="5442"/>
    <cellStyle name="Note 4 34" xfId="5450"/>
    <cellStyle name="Note 4 35" xfId="5449"/>
    <cellStyle name="Note 4 36" xfId="5454"/>
    <cellStyle name="Note 4 37" xfId="15321"/>
    <cellStyle name="Note 4 38" xfId="15391"/>
    <cellStyle name="Note 4 39" xfId="15390"/>
    <cellStyle name="Note 4 4" xfId="1716"/>
    <cellStyle name="Note 4 4 2" xfId="1717"/>
    <cellStyle name="Note 4 4 2 2" xfId="1718"/>
    <cellStyle name="Note 4 4 2 2 2" xfId="1719"/>
    <cellStyle name="Note 4 4 2 2 2 2" xfId="1720"/>
    <cellStyle name="Note 4 4 2 2 2 2 2" xfId="1721"/>
    <cellStyle name="Note 4 4 2 2 2 2_Base RF" xfId="5643"/>
    <cellStyle name="Note 4 4 2 2 2 3" xfId="1722"/>
    <cellStyle name="Note 4 4 2 2 2_Base RF" xfId="5642"/>
    <cellStyle name="Note 4 4 2 2 3" xfId="1723"/>
    <cellStyle name="Note 4 4 2 2 3 2" xfId="1724"/>
    <cellStyle name="Note 4 4 2 2 3_Base RF" xfId="5644"/>
    <cellStyle name="Note 4 4 2 2 4" xfId="1725"/>
    <cellStyle name="Note 4 4 2 2_Base RF" xfId="5641"/>
    <cellStyle name="Note 4 4 2 3" xfId="1726"/>
    <cellStyle name="Note 4 4 2 3 2" xfId="1727"/>
    <cellStyle name="Note 4 4 2 3 2 2" xfId="1728"/>
    <cellStyle name="Note 4 4 2 3 2_Base RF" xfId="5646"/>
    <cellStyle name="Note 4 4 2 3 3" xfId="1729"/>
    <cellStyle name="Note 4 4 2 3_Base RF" xfId="5645"/>
    <cellStyle name="Note 4 4 2 4" xfId="1730"/>
    <cellStyle name="Note 4 4 2 4 2" xfId="1731"/>
    <cellStyle name="Note 4 4 2 4_Base RF" xfId="5647"/>
    <cellStyle name="Note 4 4 2 5" xfId="1732"/>
    <cellStyle name="Note 4 4 2_Base RF" xfId="5640"/>
    <cellStyle name="Note 4 4 3" xfId="1733"/>
    <cellStyle name="Note 4 4 3 2" xfId="1734"/>
    <cellStyle name="Note 4 4 3 2 2" xfId="1735"/>
    <cellStyle name="Note 4 4 3 2 2 2" xfId="1736"/>
    <cellStyle name="Note 4 4 3 2 2_Base RF" xfId="5650"/>
    <cellStyle name="Note 4 4 3 2 3" xfId="1737"/>
    <cellStyle name="Note 4 4 3 2_Base RF" xfId="5649"/>
    <cellStyle name="Note 4 4 3 3" xfId="1738"/>
    <cellStyle name="Note 4 4 3 3 2" xfId="1739"/>
    <cellStyle name="Note 4 4 3 3_Base RF" xfId="5651"/>
    <cellStyle name="Note 4 4 3 4" xfId="1740"/>
    <cellStyle name="Note 4 4 3_Base RF" xfId="5648"/>
    <cellStyle name="Note 4 4 4" xfId="1741"/>
    <cellStyle name="Note 4 4 4 2" xfId="1742"/>
    <cellStyle name="Note 4 4 4 2 2" xfId="1743"/>
    <cellStyle name="Note 4 4 4 2_Base RF" xfId="5653"/>
    <cellStyle name="Note 4 4 4 3" xfId="1744"/>
    <cellStyle name="Note 4 4 4_Base RF" xfId="5652"/>
    <cellStyle name="Note 4 4 5" xfId="1745"/>
    <cellStyle name="Note 4 4 5 2" xfId="1746"/>
    <cellStyle name="Note 4 4 5_Base RF" xfId="5654"/>
    <cellStyle name="Note 4 4 6" xfId="1747"/>
    <cellStyle name="Note 4 4_Base RF" xfId="5639"/>
    <cellStyle name="Note 4 40" xfId="15395"/>
    <cellStyle name="Note 4 41" xfId="15402"/>
    <cellStyle name="Note 4 42" xfId="15397"/>
    <cellStyle name="Note 4 43" xfId="15396"/>
    <cellStyle name="Note 4 44" xfId="15393"/>
    <cellStyle name="Note 4 45" xfId="15405"/>
    <cellStyle name="Note 4 46" xfId="15416"/>
    <cellStyle name="Note 4 47" xfId="15410"/>
    <cellStyle name="Note 4 48" xfId="15409"/>
    <cellStyle name="Note 4 49" xfId="15413"/>
    <cellStyle name="Note 4 5" xfId="1748"/>
    <cellStyle name="Note 4 5 2" xfId="1749"/>
    <cellStyle name="Note 4 5 2 2" xfId="1750"/>
    <cellStyle name="Note 4 5 2 2 2" xfId="1751"/>
    <cellStyle name="Note 4 5 2 2 2 2" xfId="1752"/>
    <cellStyle name="Note 4 5 2 2 2_Base RF" xfId="5658"/>
    <cellStyle name="Note 4 5 2 2 3" xfId="1753"/>
    <cellStyle name="Note 4 5 2 2_Base RF" xfId="5657"/>
    <cellStyle name="Note 4 5 2 3" xfId="1754"/>
    <cellStyle name="Note 4 5 2 3 2" xfId="1755"/>
    <cellStyle name="Note 4 5 2 3_Base RF" xfId="5659"/>
    <cellStyle name="Note 4 5 2 4" xfId="1756"/>
    <cellStyle name="Note 4 5 2_Base RF" xfId="5656"/>
    <cellStyle name="Note 4 5 3" xfId="1757"/>
    <cellStyle name="Note 4 5 3 2" xfId="1758"/>
    <cellStyle name="Note 4 5 3 2 2" xfId="1759"/>
    <cellStyle name="Note 4 5 3 2_Base RF" xfId="5661"/>
    <cellStyle name="Note 4 5 3 3" xfId="1760"/>
    <cellStyle name="Note 4 5 3_Base RF" xfId="5660"/>
    <cellStyle name="Note 4 5 4" xfId="1761"/>
    <cellStyle name="Note 4 5 4 2" xfId="1762"/>
    <cellStyle name="Note 4 5 4_Base RF" xfId="5662"/>
    <cellStyle name="Note 4 5 5" xfId="1763"/>
    <cellStyle name="Note 4 5_Base RF" xfId="5655"/>
    <cellStyle name="Note 4 50" xfId="15408"/>
    <cellStyle name="Note 4 51" xfId="15406"/>
    <cellStyle name="Note 4 52" xfId="15423"/>
    <cellStyle name="Note 4 53" xfId="15427"/>
    <cellStyle name="Note 4 54" xfId="15418"/>
    <cellStyle name="Note 4 55" xfId="15426"/>
    <cellStyle name="Note 4 56" xfId="15420"/>
    <cellStyle name="Note 4 57" xfId="15421"/>
    <cellStyle name="Note 4 58" xfId="15435"/>
    <cellStyle name="Note 4 59" xfId="15445"/>
    <cellStyle name="Note 4 6" xfId="1764"/>
    <cellStyle name="Note 4 6 2" xfId="1765"/>
    <cellStyle name="Note 4 6 2 2" xfId="1766"/>
    <cellStyle name="Note 4 6 2 2 2" xfId="1767"/>
    <cellStyle name="Note 4 6 2 2 2 2" xfId="1768"/>
    <cellStyle name="Note 4 6 2 2 2_Base RF" xfId="5666"/>
    <cellStyle name="Note 4 6 2 2 3" xfId="1769"/>
    <cellStyle name="Note 4 6 2 2_Base RF" xfId="5665"/>
    <cellStyle name="Note 4 6 2 3" xfId="1770"/>
    <cellStyle name="Note 4 6 2 3 2" xfId="1771"/>
    <cellStyle name="Note 4 6 2 3_Base RF" xfId="5667"/>
    <cellStyle name="Note 4 6 2 4" xfId="1772"/>
    <cellStyle name="Note 4 6 2_Base RF" xfId="5664"/>
    <cellStyle name="Note 4 6 3" xfId="1773"/>
    <cellStyle name="Note 4 6 3 2" xfId="1774"/>
    <cellStyle name="Note 4 6 3 2 2" xfId="1775"/>
    <cellStyle name="Note 4 6 3 2_Base RF" xfId="5669"/>
    <cellStyle name="Note 4 6 3 3" xfId="1776"/>
    <cellStyle name="Note 4 6 3_Base RF" xfId="5668"/>
    <cellStyle name="Note 4 6 4" xfId="1777"/>
    <cellStyle name="Note 4 6 4 2" xfId="1778"/>
    <cellStyle name="Note 4 6 4_Base RF" xfId="5670"/>
    <cellStyle name="Note 4 6 5" xfId="1779"/>
    <cellStyle name="Note 4 6_Base RF" xfId="5663"/>
    <cellStyle name="Note 4 60" xfId="15434"/>
    <cellStyle name="Note 4 61" xfId="15437"/>
    <cellStyle name="Note 4 62" xfId="15455"/>
    <cellStyle name="Note 4 63" xfId="15464"/>
    <cellStyle name="Note 4 64" xfId="15458"/>
    <cellStyle name="Note 4 65" xfId="15456"/>
    <cellStyle name="Note 4 66" xfId="15462"/>
    <cellStyle name="Note 4 67" xfId="15451"/>
    <cellStyle name="Note 4 68" xfId="15459"/>
    <cellStyle name="Note 4 69" xfId="15460"/>
    <cellStyle name="Note 4 7" xfId="1780"/>
    <cellStyle name="Note 4 7 2" xfId="1781"/>
    <cellStyle name="Note 4 7 2 2" xfId="1782"/>
    <cellStyle name="Note 4 7 2 2 2" xfId="1783"/>
    <cellStyle name="Note 4 7 2 2_Base RF" xfId="5673"/>
    <cellStyle name="Note 4 7 2 3" xfId="1784"/>
    <cellStyle name="Note 4 7 2_Base RF" xfId="5672"/>
    <cellStyle name="Note 4 7 3" xfId="1785"/>
    <cellStyle name="Note 4 7 3 2" xfId="1786"/>
    <cellStyle name="Note 4 7 3_Base RF" xfId="5674"/>
    <cellStyle name="Note 4 7 4" xfId="1787"/>
    <cellStyle name="Note 4 7_Base RF" xfId="5671"/>
    <cellStyle name="Note 4 70" xfId="15469"/>
    <cellStyle name="Note 4 71" xfId="15473"/>
    <cellStyle name="Note 4 72" xfId="15471"/>
    <cellStyle name="Note 4 73" xfId="15472"/>
    <cellStyle name="Note 4 74" xfId="15476"/>
    <cellStyle name="Note 4 75" xfId="15482"/>
    <cellStyle name="Note 4 76" xfId="15478"/>
    <cellStyle name="Note 4 77" xfId="15477"/>
    <cellStyle name="Note 4 78" xfId="15493"/>
    <cellStyle name="Note 4 79" xfId="15519"/>
    <cellStyle name="Note 4 8" xfId="1788"/>
    <cellStyle name="Note 4 8 2" xfId="1789"/>
    <cellStyle name="Note 4 8 2 2" xfId="1790"/>
    <cellStyle name="Note 4 8 2 2 2" xfId="1791"/>
    <cellStyle name="Note 4 8 2 2_Base RF" xfId="5677"/>
    <cellStyle name="Note 4 8 2 3" xfId="1792"/>
    <cellStyle name="Note 4 8 2_Base RF" xfId="5676"/>
    <cellStyle name="Note 4 8 3" xfId="1793"/>
    <cellStyle name="Note 4 8 3 2" xfId="1794"/>
    <cellStyle name="Note 4 8 3_Base RF" xfId="5678"/>
    <cellStyle name="Note 4 8 4" xfId="1795"/>
    <cellStyle name="Note 4 8_Base RF" xfId="5675"/>
    <cellStyle name="Note 4 80" xfId="15492"/>
    <cellStyle name="Note 4 81" xfId="15525"/>
    <cellStyle name="Note 4 82" xfId="15505"/>
    <cellStyle name="Note 4 83" xfId="15524"/>
    <cellStyle name="Note 4 84" xfId="15490"/>
    <cellStyle name="Note 4 85" xfId="15574"/>
    <cellStyle name="Note 4 86" xfId="15553"/>
    <cellStyle name="Note 4 87" xfId="15588"/>
    <cellStyle name="Note 4 88" xfId="15599"/>
    <cellStyle name="Note 4 89" xfId="15597"/>
    <cellStyle name="Note 4 9" xfId="1796"/>
    <cellStyle name="Note 4 9 2" xfId="1797"/>
    <cellStyle name="Note 4 9 2 2" xfId="1798"/>
    <cellStyle name="Note 4 9 2_Base RF" xfId="5680"/>
    <cellStyle name="Note 4 9 3" xfId="1799"/>
    <cellStyle name="Note 4 9_Base RF" xfId="5679"/>
    <cellStyle name="Note 4 90" xfId="15607"/>
    <cellStyle name="Note 4 91" xfId="15618"/>
    <cellStyle name="Note 4 92" xfId="15611"/>
    <cellStyle name="Note 4 93" xfId="15609"/>
    <cellStyle name="Note 4 94" xfId="15605"/>
    <cellStyle name="Note 4 95" xfId="15620"/>
    <cellStyle name="Note 4 96" xfId="15612"/>
    <cellStyle name="Note 4 97" xfId="15619"/>
    <cellStyle name="Note 4 98" xfId="15615"/>
    <cellStyle name="Note 4 99" xfId="15613"/>
    <cellStyle name="Note 4_Base RF" xfId="5605"/>
    <cellStyle name="Note 5" xfId="4740"/>
    <cellStyle name="Note_Base RF" xfId="5601"/>
    <cellStyle name="NPPESalesPct" xfId="7949"/>
    <cellStyle name="Number" xfId="7948"/>
    <cellStyle name="NWI%S" xfId="7947"/>
    <cellStyle name="N嗯rmal_Workbook1 Chart 2" xfId="7946"/>
    <cellStyle name="oft Excel]_x000d__x000a_Comment=The open=/f lines load custom functions into the Paste Function list._x000d__x000a_Maximized=3_x000d__x000a_Basics=1_x000d__x000a_A" xfId="1800"/>
    <cellStyle name="OT" xfId="7945"/>
    <cellStyle name="Output" xfId="4741"/>
    <cellStyle name="Output 2" xfId="1801"/>
    <cellStyle name="Output 2 2" xfId="1802"/>
    <cellStyle name="Output 2 2 2" xfId="4743"/>
    <cellStyle name="Output 2 2 3" xfId="5406"/>
    <cellStyle name="Output 2 2 4" xfId="4742"/>
    <cellStyle name="Output 2 2_Base RF" xfId="5683"/>
    <cellStyle name="Output 2 3" xfId="4744"/>
    <cellStyle name="Output 2 3 2" xfId="4745"/>
    <cellStyle name="Output 2 3_Base RF" xfId="5684"/>
    <cellStyle name="Output 2 4" xfId="4746"/>
    <cellStyle name="Output 2_Base RF" xfId="5682"/>
    <cellStyle name="Output 3" xfId="4747"/>
    <cellStyle name="Output 3 2" xfId="4748"/>
    <cellStyle name="Output 3_Base RF" xfId="5685"/>
    <cellStyle name="Output 4" xfId="4749"/>
    <cellStyle name="Output 4 2" xfId="4750"/>
    <cellStyle name="Output 4_Base RF" xfId="5686"/>
    <cellStyle name="Output 5" xfId="4751"/>
    <cellStyle name="Output 6" xfId="4752"/>
    <cellStyle name="Output Amounts" xfId="9506"/>
    <cellStyle name="Output Column Headings" xfId="7943"/>
    <cellStyle name="Output Line Items" xfId="7944"/>
    <cellStyle name="Output Percent" xfId="4753"/>
    <cellStyle name="Output Report Heading" xfId="7461"/>
    <cellStyle name="Output Report Title" xfId="7942"/>
    <cellStyle name="Output_Base RF" xfId="5681"/>
    <cellStyle name="Page Heading Large" xfId="7941"/>
    <cellStyle name="Page Heading Small" xfId="7940"/>
    <cellStyle name="Page Number" xfId="7939"/>
    <cellStyle name="Palavras" xfId="7938"/>
    <cellStyle name="PB Table Subtotal Row" xfId="4754"/>
    <cellStyle name="PB Table Total Row" xfId="4755"/>
    <cellStyle name="pc1" xfId="7937"/>
    <cellStyle name="pc1 2" xfId="7936"/>
    <cellStyle name="pc1 3" xfId="13625"/>
    <cellStyle name="pcent" xfId="7935"/>
    <cellStyle name="pcent 2" xfId="7934"/>
    <cellStyle name="pcent 3" xfId="13626"/>
    <cellStyle name="Percent [0]" xfId="1803"/>
    <cellStyle name="Percent [0] 2" xfId="13756"/>
    <cellStyle name="Percent [0] 3" xfId="7933"/>
    <cellStyle name="Percent [0]_Base RF" xfId="15041"/>
    <cellStyle name="Percent [1]" xfId="1804"/>
    <cellStyle name="Percent [1] 2" xfId="13757"/>
    <cellStyle name="Percent [1] 3" xfId="5966"/>
    <cellStyle name="Percent [1]_Base RF" xfId="15042"/>
    <cellStyle name="Percent [2]" xfId="1805"/>
    <cellStyle name="Percent 10" xfId="1806"/>
    <cellStyle name="Percent 10 2" xfId="1807"/>
    <cellStyle name="Percent 10 3" xfId="1808"/>
    <cellStyle name="Percent 10 4" xfId="1809"/>
    <cellStyle name="Percent 10 5" xfId="1810"/>
    <cellStyle name="Percent 10 6" xfId="1811"/>
    <cellStyle name="Percent 10 7" xfId="4756"/>
    <cellStyle name="Percent 10_Base RF" xfId="5687"/>
    <cellStyle name="Percent 11" xfId="1812"/>
    <cellStyle name="Percent 11 2" xfId="1813"/>
    <cellStyle name="Percent 11 3" xfId="1814"/>
    <cellStyle name="Percent 11 4" xfId="1815"/>
    <cellStyle name="Percent 11 5" xfId="1816"/>
    <cellStyle name="Percent 11 6" xfId="1817"/>
    <cellStyle name="Percent 11 7" xfId="4757"/>
    <cellStyle name="Percent 11_Base RF" xfId="5688"/>
    <cellStyle name="Percent 12" xfId="1818"/>
    <cellStyle name="Percent 12 2" xfId="1819"/>
    <cellStyle name="Percent 12 2 2" xfId="1820"/>
    <cellStyle name="Percent 12 2_Base RF" xfId="5690"/>
    <cellStyle name="Percent 12 3" xfId="1821"/>
    <cellStyle name="Percent 12 4" xfId="1822"/>
    <cellStyle name="Percent 12 5" xfId="1823"/>
    <cellStyle name="Percent 12 6" xfId="1824"/>
    <cellStyle name="Percent 12_Base RF" xfId="5689"/>
    <cellStyle name="Percent 13" xfId="1825"/>
    <cellStyle name="Percent 13 2" xfId="1826"/>
    <cellStyle name="Percent 13 3" xfId="1827"/>
    <cellStyle name="Percent 13 4" xfId="1828"/>
    <cellStyle name="Percent 13 5" xfId="1829"/>
    <cellStyle name="Percent 13 6" xfId="1830"/>
    <cellStyle name="Percent 13_Base RF" xfId="5691"/>
    <cellStyle name="Percent 14" xfId="1831"/>
    <cellStyle name="Percent 14 2" xfId="1832"/>
    <cellStyle name="Percent 14 3" xfId="1833"/>
    <cellStyle name="Percent 14 4" xfId="1834"/>
    <cellStyle name="Percent 14 5" xfId="1835"/>
    <cellStyle name="Percent 14 6" xfId="1836"/>
    <cellStyle name="Percent 14_Base RF" xfId="5692"/>
    <cellStyle name="Percent 15" xfId="1837"/>
    <cellStyle name="Percent 16" xfId="1838"/>
    <cellStyle name="Percent 17" xfId="1839"/>
    <cellStyle name="Percent 18" xfId="1840"/>
    <cellStyle name="Percent 19" xfId="1841"/>
    <cellStyle name="Percent 2" xfId="63"/>
    <cellStyle name="Percent 2 10" xfId="1843"/>
    <cellStyle name="Percent 2 11" xfId="1844"/>
    <cellStyle name="Percent 2 12" xfId="1845"/>
    <cellStyle name="Percent 2 13" xfId="1846"/>
    <cellStyle name="Percent 2 14" xfId="1847"/>
    <cellStyle name="Percent 2 15" xfId="1848"/>
    <cellStyle name="Percent 2 16" xfId="1849"/>
    <cellStyle name="Percent 2 17" xfId="1850"/>
    <cellStyle name="Percent 2 18" xfId="1851"/>
    <cellStyle name="Percent 2 19" xfId="1852"/>
    <cellStyle name="Percent 2 2" xfId="1853"/>
    <cellStyle name="Percent 2 2 10" xfId="1854"/>
    <cellStyle name="Percent 2 2 11" xfId="1855"/>
    <cellStyle name="Percent 2 2 12" xfId="1856"/>
    <cellStyle name="Percent 2 2 13" xfId="1857"/>
    <cellStyle name="Percent 2 2 14" xfId="1858"/>
    <cellStyle name="Percent 2 2 15" xfId="1859"/>
    <cellStyle name="Percent 2 2 16" xfId="1860"/>
    <cellStyle name="Percent 2 2 17" xfId="1861"/>
    <cellStyle name="Percent 2 2 2" xfId="1862"/>
    <cellStyle name="Percent 2 2 3" xfId="1863"/>
    <cellStyle name="Percent 2 2 4" xfId="1864"/>
    <cellStyle name="Percent 2 2 5" xfId="1865"/>
    <cellStyle name="Percent 2 2 6" xfId="1866"/>
    <cellStyle name="Percent 2 2 7" xfId="1867"/>
    <cellStyle name="Percent 2 2 8" xfId="1868"/>
    <cellStyle name="Percent 2 2 9" xfId="1869"/>
    <cellStyle name="Percent 2 2_Base RF" xfId="5694"/>
    <cellStyle name="Percent 2 20" xfId="1870"/>
    <cellStyle name="Percent 2 21" xfId="1871"/>
    <cellStyle name="Percent 2 22" xfId="1872"/>
    <cellStyle name="Percent 2 23" xfId="1873"/>
    <cellStyle name="Percent 2 24" xfId="1874"/>
    <cellStyle name="Percent 2 25" xfId="1875"/>
    <cellStyle name="Percent 2 26" xfId="1876"/>
    <cellStyle name="Percent 2 27" xfId="136"/>
    <cellStyle name="Percent 2 28" xfId="1842"/>
    <cellStyle name="Percent 2 29" xfId="2247"/>
    <cellStyle name="Percent 2 3" xfId="1877"/>
    <cellStyle name="Percent 2 3 10" xfId="15551"/>
    <cellStyle name="Percent 2 3 2" xfId="4759"/>
    <cellStyle name="Percent 2 3 3" xfId="4760"/>
    <cellStyle name="Percent 2 3 3 2" xfId="4761"/>
    <cellStyle name="Percent 2 3 3_Base RF" xfId="5696"/>
    <cellStyle name="Percent 2 3 4" xfId="4762"/>
    <cellStyle name="Percent 2 3 5" xfId="5407"/>
    <cellStyle name="Percent 2 3 6" xfId="4758"/>
    <cellStyle name="Percent 2 3 7" xfId="15501"/>
    <cellStyle name="Percent 2 3 8" xfId="15547"/>
    <cellStyle name="Percent 2 3 9" xfId="15575"/>
    <cellStyle name="Percent 2 3_Base RF" xfId="5695"/>
    <cellStyle name="Percent 2 4" xfId="1878"/>
    <cellStyle name="Percent 2 4 2" xfId="5408"/>
    <cellStyle name="Percent 2 4 3" xfId="4763"/>
    <cellStyle name="Percent 2 4_Base RF" xfId="5697"/>
    <cellStyle name="Percent 2 5" xfId="1879"/>
    <cellStyle name="Percent 2 6" xfId="1880"/>
    <cellStyle name="Percent 2 7" xfId="1881"/>
    <cellStyle name="Percent 2 8" xfId="1882"/>
    <cellStyle name="Percent 2 9" xfId="1883"/>
    <cellStyle name="Percent 2_Base RF" xfId="5693"/>
    <cellStyle name="Percent 20" xfId="1884"/>
    <cellStyle name="Percent 21" xfId="1885"/>
    <cellStyle name="Percent 22" xfId="1886"/>
    <cellStyle name="Percent 23" xfId="1887"/>
    <cellStyle name="Percent 24" xfId="1888"/>
    <cellStyle name="Percent 25" xfId="1889"/>
    <cellStyle name="Percent 26" xfId="1890"/>
    <cellStyle name="Percent 27" xfId="1891"/>
    <cellStyle name="Percent 28" xfId="1892"/>
    <cellStyle name="Percent 29" xfId="1893"/>
    <cellStyle name="Percent 3" xfId="4764"/>
    <cellStyle name="Percent 3 10" xfId="1894"/>
    <cellStyle name="Percent 3 11" xfId="1895"/>
    <cellStyle name="Percent 3 12" xfId="1896"/>
    <cellStyle name="Percent 3 13" xfId="1897"/>
    <cellStyle name="Percent 3 14" xfId="1898"/>
    <cellStyle name="Percent 3 15" xfId="1899"/>
    <cellStyle name="Percent 3 16" xfId="1900"/>
    <cellStyle name="Percent 3 17" xfId="1901"/>
    <cellStyle name="Percent 3 18" xfId="1902"/>
    <cellStyle name="Percent 3 2" xfId="1903"/>
    <cellStyle name="Percent 3 2 10" xfId="1904"/>
    <cellStyle name="Percent 3 2 11" xfId="1905"/>
    <cellStyle name="Percent 3 2 12" xfId="1906"/>
    <cellStyle name="Percent 3 2 13" xfId="1907"/>
    <cellStyle name="Percent 3 2 14" xfId="1908"/>
    <cellStyle name="Percent 3 2 15" xfId="1909"/>
    <cellStyle name="Percent 3 2 16" xfId="1910"/>
    <cellStyle name="Percent 3 2 17" xfId="1911"/>
    <cellStyle name="Percent 3 2 18" xfId="5409"/>
    <cellStyle name="Percent 3 2 2" xfId="1912"/>
    <cellStyle name="Percent 3 2 3" xfId="1913"/>
    <cellStyle name="Percent 3 2 4" xfId="1914"/>
    <cellStyle name="Percent 3 2 5" xfId="1915"/>
    <cellStyle name="Percent 3 2 6" xfId="1916"/>
    <cellStyle name="Percent 3 2 7" xfId="1917"/>
    <cellStyle name="Percent 3 2 8" xfId="1918"/>
    <cellStyle name="Percent 3 2 9" xfId="1919"/>
    <cellStyle name="Percent 3 2_Base RF" xfId="5699"/>
    <cellStyle name="Percent 3 3" xfId="1920"/>
    <cellStyle name="Percent 3 4" xfId="1921"/>
    <cellStyle name="Percent 3 5" xfId="1922"/>
    <cellStyle name="Percent 3 6" xfId="1923"/>
    <cellStyle name="Percent 3 7" xfId="1924"/>
    <cellStyle name="Percent 3 8" xfId="1925"/>
    <cellStyle name="Percent 3 9" xfId="1926"/>
    <cellStyle name="Percent 3_Base RF" xfId="5698"/>
    <cellStyle name="Percent 30" xfId="1927"/>
    <cellStyle name="Percent 31" xfId="1928"/>
    <cellStyle name="Percent 32" xfId="1929"/>
    <cellStyle name="Percent 33" xfId="1930"/>
    <cellStyle name="Percent 34" xfId="1931"/>
    <cellStyle name="Percent 35" xfId="1932"/>
    <cellStyle name="Percent 36" xfId="1933"/>
    <cellStyle name="Percent 37" xfId="1934"/>
    <cellStyle name="Percent 38" xfId="1935"/>
    <cellStyle name="Percent 39" xfId="1936"/>
    <cellStyle name="Percent 4" xfId="1937"/>
    <cellStyle name="Percent 4 2" xfId="1938"/>
    <cellStyle name="Percent 4 2 2" xfId="5223"/>
    <cellStyle name="Percent 4 2 3" xfId="4766"/>
    <cellStyle name="Percent 4 2_Base RF" xfId="5701"/>
    <cellStyle name="Percent 4 3" xfId="1939"/>
    <cellStyle name="Percent 4 3 2" xfId="4768"/>
    <cellStyle name="Percent 4 3 3" xfId="5410"/>
    <cellStyle name="Percent 4 3 4" xfId="4767"/>
    <cellStyle name="Percent 4 3_Base RF" xfId="5702"/>
    <cellStyle name="Percent 4 4" xfId="1940"/>
    <cellStyle name="Percent 4 4 2" xfId="4770"/>
    <cellStyle name="Percent 4 4 3" xfId="5411"/>
    <cellStyle name="Percent 4 4 4" xfId="4769"/>
    <cellStyle name="Percent 4 4_Base RF" xfId="5703"/>
    <cellStyle name="Percent 4 5" xfId="1941"/>
    <cellStyle name="Percent 4 5 2" xfId="5412"/>
    <cellStyle name="Percent 4 5 3" xfId="4771"/>
    <cellStyle name="Percent 4 5_Base RF" xfId="5704"/>
    <cellStyle name="Percent 4 6" xfId="1942"/>
    <cellStyle name="Percent 4 7" xfId="4765"/>
    <cellStyle name="Percent 4 8" xfId="15530"/>
    <cellStyle name="Percent 4 9" xfId="15289"/>
    <cellStyle name="Percent 4_Base RF" xfId="5700"/>
    <cellStyle name="Percent 40" xfId="1943"/>
    <cellStyle name="Percent 41" xfId="1944"/>
    <cellStyle name="Percent 42" xfId="1945"/>
    <cellStyle name="Percent 5" xfId="1946"/>
    <cellStyle name="Percent 5 2" xfId="1947"/>
    <cellStyle name="Percent 5 3" xfId="1948"/>
    <cellStyle name="Percent 5 4" xfId="1949"/>
    <cellStyle name="Percent 5 5" xfId="1950"/>
    <cellStyle name="Percent 5 6" xfId="1951"/>
    <cellStyle name="Percent 5_Base RF" xfId="5705"/>
    <cellStyle name="Percent 6" xfId="1952"/>
    <cellStyle name="Percent 6 2" xfId="1953"/>
    <cellStyle name="Percent 6 2 2" xfId="5413"/>
    <cellStyle name="Percent 6 2 3" xfId="4773"/>
    <cellStyle name="Percent 6 2_Base RF" xfId="5707"/>
    <cellStyle name="Percent 6 3" xfId="1954"/>
    <cellStyle name="Percent 6 4" xfId="1955"/>
    <cellStyle name="Percent 6 5" xfId="1956"/>
    <cellStyle name="Percent 6 6" xfId="1957"/>
    <cellStyle name="Percent 6 7" xfId="4772"/>
    <cellStyle name="Percent 6_Base RF" xfId="5706"/>
    <cellStyle name="Percent 7" xfId="1958"/>
    <cellStyle name="Percent 7 2" xfId="1959"/>
    <cellStyle name="Percent 7 3" xfId="1960"/>
    <cellStyle name="Percent 7 4" xfId="1961"/>
    <cellStyle name="Percent 7 5" xfId="1962"/>
    <cellStyle name="Percent 7 6" xfId="1963"/>
    <cellStyle name="Percent 7_Base RF" xfId="5708"/>
    <cellStyle name="Percent 8" xfId="1964"/>
    <cellStyle name="Percent 8 2" xfId="1965"/>
    <cellStyle name="Percent 8 3" xfId="1966"/>
    <cellStyle name="Percent 8 4" xfId="1967"/>
    <cellStyle name="Percent 8 5" xfId="1968"/>
    <cellStyle name="Percent 8 6" xfId="1969"/>
    <cellStyle name="Percent 8_Base RF" xfId="5709"/>
    <cellStyle name="Percent 9" xfId="1970"/>
    <cellStyle name="Percent 9 2" xfId="1971"/>
    <cellStyle name="Percent 9 2 2" xfId="5414"/>
    <cellStyle name="Percent 9 2 3" xfId="4775"/>
    <cellStyle name="Percent 9 2_Base RF" xfId="5711"/>
    <cellStyle name="Percent 9 3" xfId="1972"/>
    <cellStyle name="Percent 9 4" xfId="1973"/>
    <cellStyle name="Percent 9 5" xfId="1974"/>
    <cellStyle name="Percent 9 6" xfId="1975"/>
    <cellStyle name="Percent 9 7" xfId="4774"/>
    <cellStyle name="Percent 9_Base RF" xfId="5710"/>
    <cellStyle name="Percent Hard" xfId="7932"/>
    <cellStyle name="Percent Hard 2" xfId="7931"/>
    <cellStyle name="Percent_Pré-Análise Anual_AGV 60%-14.50% R$ 38.4MM" xfId="7930"/>
    <cellStyle name="PercentSales" xfId="7929"/>
    <cellStyle name="Perlong" xfId="7928"/>
    <cellStyle name="Porcentagem" xfId="3" builtinId="5"/>
    <cellStyle name="Porcentagem 10" xfId="1976"/>
    <cellStyle name="Porcentagem 11" xfId="1977"/>
    <cellStyle name="Porcentagem 11 2" xfId="1978"/>
    <cellStyle name="Porcentagem 11_Base RF" xfId="5712"/>
    <cellStyle name="Porcentagem 12" xfId="1979"/>
    <cellStyle name="Porcentagem 12 2" xfId="7926"/>
    <cellStyle name="Porcentagem 12 2 2" xfId="7925"/>
    <cellStyle name="Porcentagem 12 3" xfId="7924"/>
    <cellStyle name="Porcentagem 12 4" xfId="13758"/>
    <cellStyle name="Porcentagem 12 5" xfId="7927"/>
    <cellStyle name="Porcentagem 12_Base RF" xfId="15043"/>
    <cellStyle name="Porcentagem 13" xfId="2388"/>
    <cellStyle name="Porcentagem 13 2" xfId="13877"/>
    <cellStyle name="Porcentagem 13 3" xfId="7923"/>
    <cellStyle name="Porcentagem 13_Base RF" xfId="15044"/>
    <cellStyle name="Porcentagem 14" xfId="9505"/>
    <cellStyle name="Porcentagem 15" xfId="7921"/>
    <cellStyle name="Porcentagem 16" xfId="7922"/>
    <cellStyle name="Porcentagem 16 2" xfId="7457"/>
    <cellStyle name="Porcentagem 17" xfId="7920"/>
    <cellStyle name="Porcentagem 18" xfId="7919"/>
    <cellStyle name="Porcentagem 19" xfId="7918"/>
    <cellStyle name="Porcentagem 2" xfId="54"/>
    <cellStyle name="Porcentagem 2 2" xfId="4776"/>
    <cellStyle name="Porcentagem 2 2 2" xfId="4777"/>
    <cellStyle name="Porcentagem 2 2 3" xfId="4778"/>
    <cellStyle name="Porcentagem 2 2_Base RF" xfId="5714"/>
    <cellStyle name="Porcentagem 2 3" xfId="4779"/>
    <cellStyle name="Porcentagem 2 3 2" xfId="4780"/>
    <cellStyle name="Porcentagem 2 3 2 2" xfId="7914"/>
    <cellStyle name="Porcentagem 2 3 2 2 2" xfId="7913"/>
    <cellStyle name="Porcentagem 2 3 2 3" xfId="7912"/>
    <cellStyle name="Porcentagem 2 3 2 4" xfId="14656"/>
    <cellStyle name="Porcentagem 2 3 2 5" xfId="7915"/>
    <cellStyle name="Porcentagem 2 3 2_Base RF" xfId="15045"/>
    <cellStyle name="Porcentagem 2 3 3" xfId="4781"/>
    <cellStyle name="Porcentagem 2 3 3 2" xfId="7911"/>
    <cellStyle name="Porcentagem 2 3 3 3" xfId="14657"/>
    <cellStyle name="Porcentagem 2 3 3 4" xfId="5962"/>
    <cellStyle name="Porcentagem 2 3 3_Base RF" xfId="15046"/>
    <cellStyle name="Porcentagem 2 3 4" xfId="4782"/>
    <cellStyle name="Porcentagem 2 3 4 2" xfId="14658"/>
    <cellStyle name="Porcentagem 2 3 4 3" xfId="7910"/>
    <cellStyle name="Porcentagem 2 3 4_Base RF" xfId="15047"/>
    <cellStyle name="Porcentagem 2 3 5" xfId="14655"/>
    <cellStyle name="Porcentagem 2 3 6" xfId="7916"/>
    <cellStyle name="Porcentagem 2 3_Base RF" xfId="5715"/>
    <cellStyle name="Porcentagem 2 4" xfId="4783"/>
    <cellStyle name="Porcentagem 2 4 2" xfId="4784"/>
    <cellStyle name="Porcentagem 2 4 2 2" xfId="7907"/>
    <cellStyle name="Porcentagem 2 4 2 3" xfId="14660"/>
    <cellStyle name="Porcentagem 2 4 2 4" xfId="7908"/>
    <cellStyle name="Porcentagem 2 4 2_Base RF" xfId="15048"/>
    <cellStyle name="Porcentagem 2 4 3" xfId="4785"/>
    <cellStyle name="Porcentagem 2 4 3 2" xfId="14661"/>
    <cellStyle name="Porcentagem 2 4 3 3" xfId="7906"/>
    <cellStyle name="Porcentagem 2 4 3_Base RF" xfId="15049"/>
    <cellStyle name="Porcentagem 2 4 4" xfId="4786"/>
    <cellStyle name="Porcentagem 2 4 5" xfId="14659"/>
    <cellStyle name="Porcentagem 2 4 6" xfId="7909"/>
    <cellStyle name="Porcentagem 2 4_Base RF" xfId="5716"/>
    <cellStyle name="Porcentagem 2 5" xfId="4787"/>
    <cellStyle name="Porcentagem 2 5 2" xfId="4788"/>
    <cellStyle name="Porcentagem 2 5 2 2" xfId="14663"/>
    <cellStyle name="Porcentagem 2 5 2 3" xfId="7904"/>
    <cellStyle name="Porcentagem 2 5 2_Base RF" xfId="15050"/>
    <cellStyle name="Porcentagem 2 5 3" xfId="4789"/>
    <cellStyle name="Porcentagem 2 5 4" xfId="14662"/>
    <cellStyle name="Porcentagem 2 5 5" xfId="7905"/>
    <cellStyle name="Porcentagem 2 5_Base RF" xfId="5717"/>
    <cellStyle name="Porcentagem 2 6" xfId="4790"/>
    <cellStyle name="Porcentagem 2 6 2" xfId="14664"/>
    <cellStyle name="Porcentagem 2 6 3" xfId="7903"/>
    <cellStyle name="Porcentagem 2 6_Base RF" xfId="15051"/>
    <cellStyle name="Porcentagem 2 7" xfId="4791"/>
    <cellStyle name="Porcentagem 2 7 2" xfId="9504"/>
    <cellStyle name="Porcentagem 2 7 3" xfId="14665"/>
    <cellStyle name="Porcentagem 2 7 4" xfId="7902"/>
    <cellStyle name="Porcentagem 2 7_Base RF" xfId="15052"/>
    <cellStyle name="Porcentagem 2 8" xfId="7917"/>
    <cellStyle name="Porcentagem 2_Base RF" xfId="5713"/>
    <cellStyle name="Porcentagem 20" xfId="7900"/>
    <cellStyle name="Porcentagem 21" xfId="7901"/>
    <cellStyle name="Porcentagem 21 2" xfId="7454"/>
    <cellStyle name="Porcentagem 21 2 2" xfId="7899"/>
    <cellStyle name="Porcentagem 22" xfId="7898"/>
    <cellStyle name="Porcentagem 23" xfId="7897"/>
    <cellStyle name="Porcentagem 24" xfId="7896"/>
    <cellStyle name="Porcentagem 24 10" xfId="7895"/>
    <cellStyle name="Porcentagem 24 10 2" xfId="7894"/>
    <cellStyle name="Porcentagem 24 2" xfId="7893"/>
    <cellStyle name="Porcentagem 24 3" xfId="7892"/>
    <cellStyle name="Porcentagem 24 3 2" xfId="7891"/>
    <cellStyle name="Porcentagem 24 4" xfId="7890"/>
    <cellStyle name="Porcentagem 24 4 2" xfId="5958"/>
    <cellStyle name="Porcentagem 24 5" xfId="7889"/>
    <cellStyle name="Porcentagem 24 6" xfId="7888"/>
    <cellStyle name="Porcentagem 24 7" xfId="7887"/>
    <cellStyle name="Porcentagem 24 7 2" xfId="7886"/>
    <cellStyle name="Porcentagem 24 8" xfId="7885"/>
    <cellStyle name="Porcentagem 24 8 2" xfId="7884"/>
    <cellStyle name="Porcentagem 24 9" xfId="7883"/>
    <cellStyle name="Porcentagem 24 9 2" xfId="7882"/>
    <cellStyle name="Porcentagem 25" xfId="7881"/>
    <cellStyle name="Porcentagem 25 2" xfId="7880"/>
    <cellStyle name="Porcentagem 26" xfId="7879"/>
    <cellStyle name="Porcentagem 26 2" xfId="7878"/>
    <cellStyle name="Porcentagem 27" xfId="9503"/>
    <cellStyle name="Porcentagem 27 2" xfId="7876"/>
    <cellStyle name="Porcentagem 28" xfId="7877"/>
    <cellStyle name="Porcentagem 28 2" xfId="7308"/>
    <cellStyle name="Porcentagem 29" xfId="7875"/>
    <cellStyle name="Porcentagem 3" xfId="76"/>
    <cellStyle name="Porcentagem 3 10" xfId="15692"/>
    <cellStyle name="Porcentagem 3 2" xfId="79"/>
    <cellStyle name="Porcentagem 3 3" xfId="4792"/>
    <cellStyle name="Porcentagem 3 3 2" xfId="5319"/>
    <cellStyle name="Porcentagem 3 3 2 2" xfId="14840"/>
    <cellStyle name="Porcentagem 3 3 2 3" xfId="7287"/>
    <cellStyle name="Porcentagem 3 3 2_Base RF" xfId="15053"/>
    <cellStyle name="Porcentagem 3 3 3" xfId="14666"/>
    <cellStyle name="Porcentagem 3 3_Base RF" xfId="5719"/>
    <cellStyle name="Porcentagem 3 4" xfId="5312"/>
    <cellStyle name="Porcentagem 3 4 2" xfId="13791"/>
    <cellStyle name="Porcentagem 3 4 3" xfId="13628"/>
    <cellStyle name="Porcentagem 3 4_Base RF" xfId="15054"/>
    <cellStyle name="Porcentagem 3 5" xfId="15496"/>
    <cellStyle name="Porcentagem 3 6" xfId="15511"/>
    <cellStyle name="Porcentagem 3 7" xfId="15595"/>
    <cellStyle name="Porcentagem 3 8" xfId="15549"/>
    <cellStyle name="Porcentagem 3 9" xfId="15681"/>
    <cellStyle name="Porcentagem 3_Base RF" xfId="5718"/>
    <cellStyle name="Porcentagem 30" xfId="7874"/>
    <cellStyle name="Porcentagem 31" xfId="7873"/>
    <cellStyle name="Porcentagem 32" xfId="7872"/>
    <cellStyle name="Porcentagem 33" xfId="7871"/>
    <cellStyle name="Porcentagem 33 2" xfId="7870"/>
    <cellStyle name="Porcentagem 34" xfId="7869"/>
    <cellStyle name="Porcentagem 35" xfId="7868"/>
    <cellStyle name="Porcentagem 35 2" xfId="7867"/>
    <cellStyle name="Porcentagem 36" xfId="7866"/>
    <cellStyle name="Porcentagem 36 2" xfId="5954"/>
    <cellStyle name="Porcentagem 37" xfId="7865"/>
    <cellStyle name="Porcentagem 37 2" xfId="7864"/>
    <cellStyle name="Porcentagem 38" xfId="7863"/>
    <cellStyle name="Porcentagem 38 2" xfId="7862"/>
    <cellStyle name="Porcentagem 39" xfId="7861"/>
    <cellStyle name="Porcentagem 4" xfId="1980"/>
    <cellStyle name="Porcentagem 4 2" xfId="1981"/>
    <cellStyle name="Porcentagem 4 2 2" xfId="1982"/>
    <cellStyle name="Porcentagem 4 2 2 2" xfId="1983"/>
    <cellStyle name="Porcentagem 4 2 2 2 2" xfId="1984"/>
    <cellStyle name="Porcentagem 4 2 2 2 2 2" xfId="1985"/>
    <cellStyle name="Porcentagem 4 2 2 2 2_Base RF" xfId="5724"/>
    <cellStyle name="Porcentagem 4 2 2 2 3" xfId="1986"/>
    <cellStyle name="Porcentagem 4 2 2 2_Base RF" xfId="5723"/>
    <cellStyle name="Porcentagem 4 2 2 3" xfId="1987"/>
    <cellStyle name="Porcentagem 4 2 2 3 2" xfId="1988"/>
    <cellStyle name="Porcentagem 4 2 2 3_Base RF" xfId="5725"/>
    <cellStyle name="Porcentagem 4 2 2 4" xfId="1989"/>
    <cellStyle name="Porcentagem 4 2 2_Base RF" xfId="5722"/>
    <cellStyle name="Porcentagem 4 2 3" xfId="1990"/>
    <cellStyle name="Porcentagem 4 2 3 2" xfId="1991"/>
    <cellStyle name="Porcentagem 4 2 3 2 2" xfId="1992"/>
    <cellStyle name="Porcentagem 4 2 3 2_Base RF" xfId="5727"/>
    <cellStyle name="Porcentagem 4 2 3 3" xfId="1993"/>
    <cellStyle name="Porcentagem 4 2 3_Base RF" xfId="5726"/>
    <cellStyle name="Porcentagem 4 2 4" xfId="1994"/>
    <cellStyle name="Porcentagem 4 2 4 2" xfId="1995"/>
    <cellStyle name="Porcentagem 4 2 4_Base RF" xfId="5728"/>
    <cellStyle name="Porcentagem 4 2 5" xfId="1996"/>
    <cellStyle name="Porcentagem 4 2 6" xfId="13759"/>
    <cellStyle name="Porcentagem 4 2 7" xfId="7859"/>
    <cellStyle name="Porcentagem 4 2_Base RF" xfId="5721"/>
    <cellStyle name="Porcentagem 4 3" xfId="1997"/>
    <cellStyle name="Porcentagem 4 3 2" xfId="1998"/>
    <cellStyle name="Porcentagem 4 3 2 2" xfId="1999"/>
    <cellStyle name="Porcentagem 4 3 2 2 2" xfId="2000"/>
    <cellStyle name="Porcentagem 4 3 2 2_Base RF" xfId="5731"/>
    <cellStyle name="Porcentagem 4 3 2 3" xfId="2001"/>
    <cellStyle name="Porcentagem 4 3 2_Base RF" xfId="5730"/>
    <cellStyle name="Porcentagem 4 3 3" xfId="2002"/>
    <cellStyle name="Porcentagem 4 3 3 2" xfId="2003"/>
    <cellStyle name="Porcentagem 4 3 3_Base RF" xfId="5732"/>
    <cellStyle name="Porcentagem 4 3 4" xfId="2004"/>
    <cellStyle name="Porcentagem 4 3_Base RF" xfId="5729"/>
    <cellStyle name="Porcentagem 4 4" xfId="2005"/>
    <cellStyle name="Porcentagem 4 4 2" xfId="2006"/>
    <cellStyle name="Porcentagem 4 4 2 2" xfId="2007"/>
    <cellStyle name="Porcentagem 4 4 2_Base RF" xfId="5734"/>
    <cellStyle name="Porcentagem 4 4 3" xfId="2008"/>
    <cellStyle name="Porcentagem 4 4_Base RF" xfId="5733"/>
    <cellStyle name="Porcentagem 4 5" xfId="2009"/>
    <cellStyle name="Porcentagem 4 5 2" xfId="2010"/>
    <cellStyle name="Porcentagem 4 5 3" xfId="5224"/>
    <cellStyle name="Porcentagem 4 5 4" xfId="4793"/>
    <cellStyle name="Porcentagem 4 5_Base RF" xfId="5735"/>
    <cellStyle name="Porcentagem 4 6" xfId="2011"/>
    <cellStyle name="Porcentagem 4 7" xfId="7860"/>
    <cellStyle name="Porcentagem 4_Base RF" xfId="5720"/>
    <cellStyle name="Porcentagem 40" xfId="7858"/>
    <cellStyle name="Porcentagem 40 2" xfId="7857"/>
    <cellStyle name="Porcentagem 41" xfId="9420"/>
    <cellStyle name="Porcentagem 42" xfId="6023"/>
    <cellStyle name="Porcentagem 42 2" xfId="6022"/>
    <cellStyle name="Porcentagem 43" xfId="7856"/>
    <cellStyle name="Porcentagem 43 2" xfId="7855"/>
    <cellStyle name="Porcentagem 44" xfId="7854"/>
    <cellStyle name="Porcentagem 45" xfId="7853"/>
    <cellStyle name="Porcentagem 46" xfId="7852"/>
    <cellStyle name="Porcentagem 46 2" xfId="7851"/>
    <cellStyle name="Porcentagem 47" xfId="7850"/>
    <cellStyle name="Porcentagem 47 2" xfId="7849"/>
    <cellStyle name="Porcentagem 48" xfId="7848"/>
    <cellStyle name="Porcentagem 48 2" xfId="7847"/>
    <cellStyle name="Porcentagem 49" xfId="9419"/>
    <cellStyle name="Porcentagem 49 2" xfId="6021"/>
    <cellStyle name="Porcentagem 5" xfId="2012"/>
    <cellStyle name="Porcentagem 5 2" xfId="2013"/>
    <cellStyle name="Porcentagem 5 2 2" xfId="2014"/>
    <cellStyle name="Porcentagem 5 2 2 2" xfId="2015"/>
    <cellStyle name="Porcentagem 5 2 2 2 2" xfId="2016"/>
    <cellStyle name="Porcentagem 5 2 2 2 2 2" xfId="2017"/>
    <cellStyle name="Porcentagem 5 2 2 2 2_Base RF" xfId="5740"/>
    <cellStyle name="Porcentagem 5 2 2 2 3" xfId="2018"/>
    <cellStyle name="Porcentagem 5 2 2 2_Base RF" xfId="5739"/>
    <cellStyle name="Porcentagem 5 2 2 3" xfId="2019"/>
    <cellStyle name="Porcentagem 5 2 2 3 2" xfId="2020"/>
    <cellStyle name="Porcentagem 5 2 2 3_Base RF" xfId="5741"/>
    <cellStyle name="Porcentagem 5 2 2 4" xfId="2021"/>
    <cellStyle name="Porcentagem 5 2 2_Base RF" xfId="5738"/>
    <cellStyle name="Porcentagem 5 2 3" xfId="2022"/>
    <cellStyle name="Porcentagem 5 2 3 2" xfId="2023"/>
    <cellStyle name="Porcentagem 5 2 3 2 2" xfId="2024"/>
    <cellStyle name="Porcentagem 5 2 3 2_Base RF" xfId="5743"/>
    <cellStyle name="Porcentagem 5 2 3 3" xfId="2025"/>
    <cellStyle name="Porcentagem 5 2 3_Base RF" xfId="5742"/>
    <cellStyle name="Porcentagem 5 2 4" xfId="2026"/>
    <cellStyle name="Porcentagem 5 2 4 2" xfId="2027"/>
    <cellStyle name="Porcentagem 5 2 4_Base RF" xfId="5744"/>
    <cellStyle name="Porcentagem 5 2 5" xfId="2028"/>
    <cellStyle name="Porcentagem 5 2_Base RF" xfId="5737"/>
    <cellStyle name="Porcentagem 5 3" xfId="2029"/>
    <cellStyle name="Porcentagem 5 3 10" xfId="6020"/>
    <cellStyle name="Porcentagem 5 3 10 2" xfId="7846"/>
    <cellStyle name="Porcentagem 5 3 11" xfId="7845"/>
    <cellStyle name="Porcentagem 5 3 12" xfId="7844"/>
    <cellStyle name="Porcentagem 5 3 12 2" xfId="7843"/>
    <cellStyle name="Porcentagem 5 3 12 2 2" xfId="7842"/>
    <cellStyle name="Porcentagem 5 3 12 3" xfId="7841"/>
    <cellStyle name="Porcentagem 5 3 12 4" xfId="7840"/>
    <cellStyle name="Porcentagem 5 3 12 4 2" xfId="7839"/>
    <cellStyle name="Porcentagem 5 3 12 5" xfId="7838"/>
    <cellStyle name="Porcentagem 5 3 12 5 2" xfId="7837"/>
    <cellStyle name="Porcentagem 5 3 13" xfId="9418"/>
    <cellStyle name="Porcentagem 5 3 13 2" xfId="6019"/>
    <cellStyle name="Porcentagem 5 3 13 2 2" xfId="6018"/>
    <cellStyle name="Porcentagem 5 3 13 3" xfId="7836"/>
    <cellStyle name="Porcentagem 5 3 13 4" xfId="7835"/>
    <cellStyle name="Porcentagem 5 3 13 4 2" xfId="7834"/>
    <cellStyle name="Porcentagem 5 3 13 5" xfId="7833"/>
    <cellStyle name="Porcentagem 5 3 13 5 2" xfId="7832"/>
    <cellStyle name="Porcentagem 5 3 14" xfId="7831"/>
    <cellStyle name="Porcentagem 5 3 14 2" xfId="7830"/>
    <cellStyle name="Porcentagem 5 3 15" xfId="9417"/>
    <cellStyle name="Porcentagem 5 3 16" xfId="6017"/>
    <cellStyle name="Porcentagem 5 3 16 2" xfId="6016"/>
    <cellStyle name="Porcentagem 5 3 17" xfId="7829"/>
    <cellStyle name="Porcentagem 5 3 17 2" xfId="7828"/>
    <cellStyle name="Porcentagem 5 3 18" xfId="7827"/>
    <cellStyle name="Porcentagem 5 3 19" xfId="6015"/>
    <cellStyle name="Porcentagem 5 3 2" xfId="2030"/>
    <cellStyle name="Porcentagem 5 3 2 2" xfId="2031"/>
    <cellStyle name="Porcentagem 5 3 2 2 2" xfId="2032"/>
    <cellStyle name="Porcentagem 5 3 2 2_Base RF" xfId="5747"/>
    <cellStyle name="Porcentagem 5 3 2 3" xfId="2033"/>
    <cellStyle name="Porcentagem 5 3 2 4" xfId="6014"/>
    <cellStyle name="Porcentagem 5 3 2 4 2" xfId="7826"/>
    <cellStyle name="Porcentagem 5 3 2 4 2 2" xfId="7825"/>
    <cellStyle name="Porcentagem 5 3 2 4 3" xfId="7824"/>
    <cellStyle name="Porcentagem 5 3 2 4 4" xfId="7823"/>
    <cellStyle name="Porcentagem 5 3 2 4 4 2" xfId="7822"/>
    <cellStyle name="Porcentagem 5 3 2 4 5" xfId="7821"/>
    <cellStyle name="Porcentagem 5 3 2 4 5 2" xfId="7820"/>
    <cellStyle name="Porcentagem 5 3 2 5" xfId="7819"/>
    <cellStyle name="Porcentagem 5 3 2 5 2" xfId="7818"/>
    <cellStyle name="Porcentagem 5 3 2 5 2 2" xfId="7817"/>
    <cellStyle name="Porcentagem 5 3 2 5 3" xfId="9416"/>
    <cellStyle name="Porcentagem 5 3 2 5 4" xfId="6013"/>
    <cellStyle name="Porcentagem 5 3 2 5 4 2" xfId="6012"/>
    <cellStyle name="Porcentagem 5 3 2 5 5" xfId="7816"/>
    <cellStyle name="Porcentagem 5 3 2 5 5 2" xfId="7815"/>
    <cellStyle name="Porcentagem 5 3 2_Base RF" xfId="5746"/>
    <cellStyle name="Porcentagem 5 3 20" xfId="7814"/>
    <cellStyle name="Porcentagem 5 3 20 2" xfId="7813"/>
    <cellStyle name="Porcentagem 5 3 21" xfId="7812"/>
    <cellStyle name="Porcentagem 5 3 21 2" xfId="7811"/>
    <cellStyle name="Porcentagem 5 3 22" xfId="7810"/>
    <cellStyle name="Porcentagem 5 3 22 2" xfId="7809"/>
    <cellStyle name="Porcentagem 5 3 3" xfId="2034"/>
    <cellStyle name="Porcentagem 5 3 3 2" xfId="2035"/>
    <cellStyle name="Porcentagem 5 3 3_Base RF" xfId="5748"/>
    <cellStyle name="Porcentagem 5 3 4" xfId="2036"/>
    <cellStyle name="Porcentagem 5 3 4 2" xfId="7808"/>
    <cellStyle name="Porcentagem 5 3 4_Base RF" xfId="15055"/>
    <cellStyle name="Porcentagem 5 3 5" xfId="7807"/>
    <cellStyle name="Porcentagem 5 3 5 2" xfId="7806"/>
    <cellStyle name="Porcentagem 5 3 5 2 2" xfId="7805"/>
    <cellStyle name="Porcentagem 5 3 5 3" xfId="7804"/>
    <cellStyle name="Porcentagem 5 3 6" xfId="7803"/>
    <cellStyle name="Porcentagem 5 3 6 10" xfId="7802"/>
    <cellStyle name="Porcentagem 5 3 6 10 2" xfId="7801"/>
    <cellStyle name="Porcentagem 5 3 6 2" xfId="7800"/>
    <cellStyle name="Porcentagem 5 3 6 3" xfId="9502"/>
    <cellStyle name="Porcentagem 5 3 6 3 2" xfId="7798"/>
    <cellStyle name="Porcentagem 5 3 6 4" xfId="7799"/>
    <cellStyle name="Porcentagem 5 3 6 4 2" xfId="7468"/>
    <cellStyle name="Porcentagem 5 3 6 5" xfId="7797"/>
    <cellStyle name="Porcentagem 5 3 6 6" xfId="7796"/>
    <cellStyle name="Porcentagem 5 3 6 7" xfId="7795"/>
    <cellStyle name="Porcentagem 5 3 6 7 2" xfId="7794"/>
    <cellStyle name="Porcentagem 5 3 6 8" xfId="7793"/>
    <cellStyle name="Porcentagem 5 3 6 8 2" xfId="7792"/>
    <cellStyle name="Porcentagem 5 3 6 9" xfId="7791"/>
    <cellStyle name="Porcentagem 5 3 6 9 2" xfId="7790"/>
    <cellStyle name="Porcentagem 5 3 7" xfId="7789"/>
    <cellStyle name="Porcentagem 5 3 8" xfId="7788"/>
    <cellStyle name="Porcentagem 5 3 8 2" xfId="5973"/>
    <cellStyle name="Porcentagem 5 3 9" xfId="7787"/>
    <cellStyle name="Porcentagem 5 3 9 2" xfId="7786"/>
    <cellStyle name="Porcentagem 5 3_Base RF" xfId="5745"/>
    <cellStyle name="Porcentagem 5 4" xfId="2037"/>
    <cellStyle name="Porcentagem 5 4 2" xfId="2038"/>
    <cellStyle name="Porcentagem 5 4 2 2" xfId="2039"/>
    <cellStyle name="Porcentagem 5 4 2_Base RF" xfId="5750"/>
    <cellStyle name="Porcentagem 5 4 3" xfId="2040"/>
    <cellStyle name="Porcentagem 5 4_Base RF" xfId="5749"/>
    <cellStyle name="Porcentagem 5 5" xfId="2041"/>
    <cellStyle name="Porcentagem 5 5 2" xfId="2042"/>
    <cellStyle name="Porcentagem 5 5_Base RF" xfId="5751"/>
    <cellStyle name="Porcentagem 5 6" xfId="2043"/>
    <cellStyle name="Porcentagem 5_Base RF" xfId="5736"/>
    <cellStyle name="Porcentagem 50" xfId="13640"/>
    <cellStyle name="Porcentagem 51" xfId="9363"/>
    <cellStyle name="Porcentagem 6" xfId="2044"/>
    <cellStyle name="Porcentagem 6 10" xfId="7785"/>
    <cellStyle name="Porcentagem 6 10 2" xfId="7784"/>
    <cellStyle name="Porcentagem 6 11" xfId="7783"/>
    <cellStyle name="Porcentagem 6 12" xfId="7782"/>
    <cellStyle name="Porcentagem 6 12 2" xfId="7781"/>
    <cellStyle name="Porcentagem 6 12 2 2" xfId="7780"/>
    <cellStyle name="Porcentagem 6 12 3" xfId="7779"/>
    <cellStyle name="Porcentagem 6 12 4" xfId="7778"/>
    <cellStyle name="Porcentagem 6 12 4 2" xfId="7777"/>
    <cellStyle name="Porcentagem 6 12 5" xfId="9501"/>
    <cellStyle name="Porcentagem 6 12 5 2" xfId="7775"/>
    <cellStyle name="Porcentagem 6 13" xfId="7776"/>
    <cellStyle name="Porcentagem 6 13 2" xfId="7464"/>
    <cellStyle name="Porcentagem 6 13 2 2" xfId="7774"/>
    <cellStyle name="Porcentagem 6 13 3" xfId="7773"/>
    <cellStyle name="Porcentagem 6 13 4" xfId="7772"/>
    <cellStyle name="Porcentagem 6 13 4 2" xfId="7771"/>
    <cellStyle name="Porcentagem 6 13 5" xfId="7770"/>
    <cellStyle name="Porcentagem 6 13 5 2" xfId="7769"/>
    <cellStyle name="Porcentagem 6 14" xfId="7768"/>
    <cellStyle name="Porcentagem 6 14 2" xfId="7767"/>
    <cellStyle name="Porcentagem 6 15" xfId="7766"/>
    <cellStyle name="Porcentagem 6 16" xfId="7765"/>
    <cellStyle name="Porcentagem 6 16 2" xfId="5969"/>
    <cellStyle name="Porcentagem 6 17" xfId="7764"/>
    <cellStyle name="Porcentagem 6 17 2" xfId="7763"/>
    <cellStyle name="Porcentagem 6 18" xfId="7762"/>
    <cellStyle name="Porcentagem 6 19" xfId="7761"/>
    <cellStyle name="Porcentagem 6 2" xfId="2045"/>
    <cellStyle name="Porcentagem 6 2 2" xfId="2046"/>
    <cellStyle name="Porcentagem 6 2 2 2" xfId="2047"/>
    <cellStyle name="Porcentagem 6 2 2 2 2" xfId="2048"/>
    <cellStyle name="Porcentagem 6 2 2 2 2 2" xfId="2049"/>
    <cellStyle name="Porcentagem 6 2 2 2 2_Base RF" xfId="5756"/>
    <cellStyle name="Porcentagem 6 2 2 2 3" xfId="2050"/>
    <cellStyle name="Porcentagem 6 2 2 2_Base RF" xfId="5755"/>
    <cellStyle name="Porcentagem 6 2 2 3" xfId="2051"/>
    <cellStyle name="Porcentagem 6 2 2 3 2" xfId="2052"/>
    <cellStyle name="Porcentagem 6 2 2 3_Base RF" xfId="5757"/>
    <cellStyle name="Porcentagem 6 2 2 4" xfId="2053"/>
    <cellStyle name="Porcentagem 6 2 2_Base RF" xfId="5754"/>
    <cellStyle name="Porcentagem 6 2 3" xfId="2054"/>
    <cellStyle name="Porcentagem 6 2 3 2" xfId="2055"/>
    <cellStyle name="Porcentagem 6 2 3 2 2" xfId="2056"/>
    <cellStyle name="Porcentagem 6 2 3 2_Base RF" xfId="5759"/>
    <cellStyle name="Porcentagem 6 2 3 3" xfId="2057"/>
    <cellStyle name="Porcentagem 6 2 3_Base RF" xfId="5758"/>
    <cellStyle name="Porcentagem 6 2 4" xfId="2058"/>
    <cellStyle name="Porcentagem 6 2 4 2" xfId="2059"/>
    <cellStyle name="Porcentagem 6 2 4 2 2" xfId="7760"/>
    <cellStyle name="Porcentagem 6 2 4 2_Base RF" xfId="15056"/>
    <cellStyle name="Porcentagem 6 2 4 3" xfId="7759"/>
    <cellStyle name="Porcentagem 6 2 4 4" xfId="7758"/>
    <cellStyle name="Porcentagem 6 2 4 4 2" xfId="7757"/>
    <cellStyle name="Porcentagem 6 2 4 5" xfId="7756"/>
    <cellStyle name="Porcentagem 6 2 4 5 2" xfId="7755"/>
    <cellStyle name="Porcentagem 6 2 4_Base RF" xfId="5760"/>
    <cellStyle name="Porcentagem 6 2 5" xfId="2060"/>
    <cellStyle name="Porcentagem 6 2 5 2" xfId="7754"/>
    <cellStyle name="Porcentagem 6 2 5 2 2" xfId="7753"/>
    <cellStyle name="Porcentagem 6 2 5 3" xfId="9500"/>
    <cellStyle name="Porcentagem 6 2 5 4" xfId="7751"/>
    <cellStyle name="Porcentagem 6 2 5 4 2" xfId="7752"/>
    <cellStyle name="Porcentagem 6 2 5 5" xfId="7460"/>
    <cellStyle name="Porcentagem 6 2 5 5 2" xfId="7750"/>
    <cellStyle name="Porcentagem 6 2 5_Base RF" xfId="15057"/>
    <cellStyle name="Porcentagem 6 2 6" xfId="5226"/>
    <cellStyle name="Porcentagem 6 2 7" xfId="4795"/>
    <cellStyle name="Porcentagem 6 2 8" xfId="15532"/>
    <cellStyle name="Porcentagem 6 2 9" xfId="15291"/>
    <cellStyle name="Porcentagem 6 2_Base RF" xfId="5753"/>
    <cellStyle name="Porcentagem 6 20" xfId="7749"/>
    <cellStyle name="Porcentagem 6 20 2" xfId="7748"/>
    <cellStyle name="Porcentagem 6 21" xfId="7747"/>
    <cellStyle name="Porcentagem 6 21 2" xfId="7746"/>
    <cellStyle name="Porcentagem 6 22" xfId="7745"/>
    <cellStyle name="Porcentagem 6 22 2" xfId="7744"/>
    <cellStyle name="Porcentagem 6 23" xfId="15290"/>
    <cellStyle name="Porcentagem 6 3" xfId="2061"/>
    <cellStyle name="Porcentagem 6 3 2" xfId="2062"/>
    <cellStyle name="Porcentagem 6 3 2 2" xfId="2063"/>
    <cellStyle name="Porcentagem 6 3 2 2 2" xfId="2064"/>
    <cellStyle name="Porcentagem 6 3 2 2_Base RF" xfId="5763"/>
    <cellStyle name="Porcentagem 6 3 2 3" xfId="2065"/>
    <cellStyle name="Porcentagem 6 3 2_Base RF" xfId="5762"/>
    <cellStyle name="Porcentagem 6 3 3" xfId="2066"/>
    <cellStyle name="Porcentagem 6 3 3 2" xfId="2067"/>
    <cellStyle name="Porcentagem 6 3 3_Base RF" xfId="5764"/>
    <cellStyle name="Porcentagem 6 3 4" xfId="2068"/>
    <cellStyle name="Porcentagem 6 3_Base RF" xfId="5761"/>
    <cellStyle name="Porcentagem 6 4" xfId="2069"/>
    <cellStyle name="Porcentagem 6 4 2" xfId="2070"/>
    <cellStyle name="Porcentagem 6 4 2 2" xfId="2071"/>
    <cellStyle name="Porcentagem 6 4 2_Base RF" xfId="5766"/>
    <cellStyle name="Porcentagem 6 4 3" xfId="2072"/>
    <cellStyle name="Porcentagem 6 4_Base RF" xfId="5765"/>
    <cellStyle name="Porcentagem 6 5" xfId="2073"/>
    <cellStyle name="Porcentagem 6 5 2" xfId="2074"/>
    <cellStyle name="Porcentagem 6 5 2 2" xfId="7743"/>
    <cellStyle name="Porcentagem 6 5 2_Base RF" xfId="15058"/>
    <cellStyle name="Porcentagem 6 5 3" xfId="7742"/>
    <cellStyle name="Porcentagem 6 5_Base RF" xfId="5767"/>
    <cellStyle name="Porcentagem 6 6" xfId="2075"/>
    <cellStyle name="Porcentagem 6 6 10" xfId="7741"/>
    <cellStyle name="Porcentagem 6 6 10 2" xfId="5965"/>
    <cellStyle name="Porcentagem 6 6 2" xfId="7740"/>
    <cellStyle name="Porcentagem 6 6 3" xfId="7739"/>
    <cellStyle name="Porcentagem 6 6 3 2" xfId="7738"/>
    <cellStyle name="Porcentagem 6 6 4" xfId="7737"/>
    <cellStyle name="Porcentagem 6 6 4 2" xfId="7736"/>
    <cellStyle name="Porcentagem 6 6 5" xfId="7735"/>
    <cellStyle name="Porcentagem 6 6 6" xfId="7734"/>
    <cellStyle name="Porcentagem 6 6 7" xfId="7733"/>
    <cellStyle name="Porcentagem 6 6 7 2" xfId="7732"/>
    <cellStyle name="Porcentagem 6 6 8" xfId="7731"/>
    <cellStyle name="Porcentagem 6 6 8 2" xfId="9499"/>
    <cellStyle name="Porcentagem 6 6 9" xfId="7729"/>
    <cellStyle name="Porcentagem 6 6 9 2" xfId="7730"/>
    <cellStyle name="Porcentagem 6 6_Base RF" xfId="15059"/>
    <cellStyle name="Porcentagem 6 7" xfId="5225"/>
    <cellStyle name="Porcentagem 6 8" xfId="4794"/>
    <cellStyle name="Porcentagem 6 8 2" xfId="7727"/>
    <cellStyle name="Porcentagem 6 8 3" xfId="14667"/>
    <cellStyle name="Porcentagem 6 8 4" xfId="7728"/>
    <cellStyle name="Porcentagem 6 8_Base RF" xfId="15060"/>
    <cellStyle name="Porcentagem 6 9" xfId="7726"/>
    <cellStyle name="Porcentagem 6 9 2" xfId="7725"/>
    <cellStyle name="Porcentagem 6 9 3" xfId="15722"/>
    <cellStyle name="Porcentagem 6 9 4" xfId="15531"/>
    <cellStyle name="Porcentagem 6_Base RF" xfId="5752"/>
    <cellStyle name="Porcentagem 7" xfId="2076"/>
    <cellStyle name="Porcentagem 7 10" xfId="7723"/>
    <cellStyle name="Porcentagem 7 10 2" xfId="7722"/>
    <cellStyle name="Porcentagem 7 11" xfId="7721"/>
    <cellStyle name="Porcentagem 7 12" xfId="7720"/>
    <cellStyle name="Porcentagem 7 12 2" xfId="7719"/>
    <cellStyle name="Porcentagem 7 12 2 2" xfId="5961"/>
    <cellStyle name="Porcentagem 7 12 3" xfId="7718"/>
    <cellStyle name="Porcentagem 7 12 4" xfId="7717"/>
    <cellStyle name="Porcentagem 7 12 4 2" xfId="7716"/>
    <cellStyle name="Porcentagem 7 12 5" xfId="7715"/>
    <cellStyle name="Porcentagem 7 12 5 2" xfId="7714"/>
    <cellStyle name="Porcentagem 7 13" xfId="7713"/>
    <cellStyle name="Porcentagem 7 13 2" xfId="7712"/>
    <cellStyle name="Porcentagem 7 13 2 2" xfId="7711"/>
    <cellStyle name="Porcentagem 7 13 3" xfId="7710"/>
    <cellStyle name="Porcentagem 7 13 4" xfId="7709"/>
    <cellStyle name="Porcentagem 7 13 4 2" xfId="7708"/>
    <cellStyle name="Porcentagem 7 13 5" xfId="7707"/>
    <cellStyle name="Porcentagem 7 13 5 2" xfId="9498"/>
    <cellStyle name="Porcentagem 7 14" xfId="7705"/>
    <cellStyle name="Porcentagem 7 14 2" xfId="7706"/>
    <cellStyle name="Porcentagem 7 15" xfId="7305"/>
    <cellStyle name="Porcentagem 7 16" xfId="7704"/>
    <cellStyle name="Porcentagem 7 16 2" xfId="7703"/>
    <cellStyle name="Porcentagem 7 17" xfId="7702"/>
    <cellStyle name="Porcentagem 7 17 2" xfId="7701"/>
    <cellStyle name="Porcentagem 7 18" xfId="7700"/>
    <cellStyle name="Porcentagem 7 19" xfId="7699"/>
    <cellStyle name="Porcentagem 7 2" xfId="4796"/>
    <cellStyle name="Porcentagem 7 2 2" xfId="7697"/>
    <cellStyle name="Porcentagem 7 2 3" xfId="7696"/>
    <cellStyle name="Porcentagem 7 2 4" xfId="7695"/>
    <cellStyle name="Porcentagem 7 2 4 2" xfId="5957"/>
    <cellStyle name="Porcentagem 7 2 4 2 2" xfId="7694"/>
    <cellStyle name="Porcentagem 7 2 4 3" xfId="7693"/>
    <cellStyle name="Porcentagem 7 2 4 4" xfId="7692"/>
    <cellStyle name="Porcentagem 7 2 4 4 2" xfId="7691"/>
    <cellStyle name="Porcentagem 7 2 4 5" xfId="7690"/>
    <cellStyle name="Porcentagem 7 2 4 5 2" xfId="7689"/>
    <cellStyle name="Porcentagem 7 2 5" xfId="7688"/>
    <cellStyle name="Porcentagem 7 2 5 2" xfId="7687"/>
    <cellStyle name="Porcentagem 7 2 5 2 2" xfId="7686"/>
    <cellStyle name="Porcentagem 7 2 5 3" xfId="7685"/>
    <cellStyle name="Porcentagem 7 2 5 4" xfId="7684"/>
    <cellStyle name="Porcentagem 7 2 5 4 2" xfId="7683"/>
    <cellStyle name="Porcentagem 7 2 5 5" xfId="9497"/>
    <cellStyle name="Porcentagem 7 2 5 5 2" xfId="7681"/>
    <cellStyle name="Porcentagem 7 2 6" xfId="14668"/>
    <cellStyle name="Porcentagem 7 2 7" xfId="7698"/>
    <cellStyle name="Porcentagem 7 2_Base RF" xfId="15061"/>
    <cellStyle name="Porcentagem 7 20" xfId="7682"/>
    <cellStyle name="Porcentagem 7 20 2" xfId="7309"/>
    <cellStyle name="Porcentagem 7 21" xfId="7680"/>
    <cellStyle name="Porcentagem 7 21 2" xfId="7679"/>
    <cellStyle name="Porcentagem 7 22" xfId="7678"/>
    <cellStyle name="Porcentagem 7 22 2" xfId="7677"/>
    <cellStyle name="Porcentagem 7 23" xfId="13760"/>
    <cellStyle name="Porcentagem 7 24" xfId="7724"/>
    <cellStyle name="Porcentagem 7 3" xfId="4797"/>
    <cellStyle name="Porcentagem 7 3 2" xfId="14669"/>
    <cellStyle name="Porcentagem 7 3 3" xfId="7676"/>
    <cellStyle name="Porcentagem 7 3_Base RF" xfId="15062"/>
    <cellStyle name="Porcentagem 7 4" xfId="7675"/>
    <cellStyle name="Porcentagem 7 4 2" xfId="7674"/>
    <cellStyle name="Porcentagem 7 5" xfId="7673"/>
    <cellStyle name="Porcentagem 7 5 2" xfId="7672"/>
    <cellStyle name="Porcentagem 7 5 2 2" xfId="7671"/>
    <cellStyle name="Porcentagem 7 5 3" xfId="5953"/>
    <cellStyle name="Porcentagem 7 6" xfId="7670"/>
    <cellStyle name="Porcentagem 7 6 10" xfId="7669"/>
    <cellStyle name="Porcentagem 7 6 10 2" xfId="7668"/>
    <cellStyle name="Porcentagem 7 6 2" xfId="7667"/>
    <cellStyle name="Porcentagem 7 6 3" xfId="7666"/>
    <cellStyle name="Porcentagem 7 6 3 2" xfId="7665"/>
    <cellStyle name="Porcentagem 7 6 4" xfId="9415"/>
    <cellStyle name="Porcentagem 7 6 4 2" xfId="6011"/>
    <cellStyle name="Porcentagem 7 6 5" xfId="6010"/>
    <cellStyle name="Porcentagem 7 6 6" xfId="7664"/>
    <cellStyle name="Porcentagem 7 6 7" xfId="7663"/>
    <cellStyle name="Porcentagem 7 6 7 2" xfId="7662"/>
    <cellStyle name="Porcentagem 7 6 8" xfId="7661"/>
    <cellStyle name="Porcentagem 7 6 8 2" xfId="6009"/>
    <cellStyle name="Porcentagem 7 6 9" xfId="6008"/>
    <cellStyle name="Porcentagem 7 6 9 2" xfId="7660"/>
    <cellStyle name="Porcentagem 7 7" xfId="7659"/>
    <cellStyle name="Porcentagem 7 8" xfId="7658"/>
    <cellStyle name="Porcentagem 7 8 2" xfId="7657"/>
    <cellStyle name="Porcentagem 7 9" xfId="7656"/>
    <cellStyle name="Porcentagem 7 9 2" xfId="7655"/>
    <cellStyle name="Porcentagem 7_Base RF" xfId="5768"/>
    <cellStyle name="Porcentagem 8" xfId="2077"/>
    <cellStyle name="Porcentagem 8 10" xfId="7653"/>
    <cellStyle name="Porcentagem 8 10 2" xfId="7652"/>
    <cellStyle name="Porcentagem 8 11" xfId="7651"/>
    <cellStyle name="Porcentagem 8 12" xfId="9414"/>
    <cellStyle name="Porcentagem 8 12 2" xfId="6007"/>
    <cellStyle name="Porcentagem 8 12 2 2" xfId="6006"/>
    <cellStyle name="Porcentagem 8 12 3" xfId="7650"/>
    <cellStyle name="Porcentagem 8 12 4" xfId="7649"/>
    <cellStyle name="Porcentagem 8 12 4 2" xfId="7648"/>
    <cellStyle name="Porcentagem 8 12 5" xfId="7647"/>
    <cellStyle name="Porcentagem 8 12 5 2" xfId="7646"/>
    <cellStyle name="Porcentagem 8 13" xfId="7645"/>
    <cellStyle name="Porcentagem 8 13 2" xfId="7644"/>
    <cellStyle name="Porcentagem 8 13 2 2" xfId="9413"/>
    <cellStyle name="Porcentagem 8 13 3" xfId="6005"/>
    <cellStyle name="Porcentagem 8 13 4" xfId="6004"/>
    <cellStyle name="Porcentagem 8 13 4 2" xfId="7643"/>
    <cellStyle name="Porcentagem 8 13 5" xfId="7642"/>
    <cellStyle name="Porcentagem 8 13 5 2" xfId="7641"/>
    <cellStyle name="Porcentagem 8 14" xfId="7640"/>
    <cellStyle name="Porcentagem 8 14 2" xfId="7639"/>
    <cellStyle name="Porcentagem 8 15" xfId="7638"/>
    <cellStyle name="Porcentagem 8 16" xfId="7637"/>
    <cellStyle name="Porcentagem 8 16 2" xfId="7636"/>
    <cellStyle name="Porcentagem 8 17" xfId="7635"/>
    <cellStyle name="Porcentagem 8 17 2" xfId="7634"/>
    <cellStyle name="Porcentagem 8 18" xfId="9412"/>
    <cellStyle name="Porcentagem 8 19" xfId="6003"/>
    <cellStyle name="Porcentagem 8 2" xfId="4799"/>
    <cellStyle name="Porcentagem 8 2 2" xfId="7633"/>
    <cellStyle name="Porcentagem 8 2 3" xfId="14670"/>
    <cellStyle name="Porcentagem 8 2 4" xfId="6002"/>
    <cellStyle name="Porcentagem 8 2_Base RF" xfId="15063"/>
    <cellStyle name="Porcentagem 8 20" xfId="7632"/>
    <cellStyle name="Porcentagem 8 20 2" xfId="7631"/>
    <cellStyle name="Porcentagem 8 21" xfId="7630"/>
    <cellStyle name="Porcentagem 8 21 2" xfId="7629"/>
    <cellStyle name="Porcentagem 8 22" xfId="7628"/>
    <cellStyle name="Porcentagem 8 22 2" xfId="7627"/>
    <cellStyle name="Porcentagem 8 23" xfId="13761"/>
    <cellStyle name="Porcentagem 8 24" xfId="7654"/>
    <cellStyle name="Porcentagem 8 3" xfId="4798"/>
    <cellStyle name="Porcentagem 8 4" xfId="7626"/>
    <cellStyle name="Porcentagem 8 4 2" xfId="7625"/>
    <cellStyle name="Porcentagem 8 5" xfId="9410"/>
    <cellStyle name="Porcentagem 8 5 2" xfId="6001"/>
    <cellStyle name="Porcentagem 8 5 2 2" xfId="6000"/>
    <cellStyle name="Porcentagem 8 5 3" xfId="7624"/>
    <cellStyle name="Porcentagem 8 6" xfId="5999"/>
    <cellStyle name="Porcentagem 8 6 10" xfId="5998"/>
    <cellStyle name="Porcentagem 8 6 10 2" xfId="7304"/>
    <cellStyle name="Porcentagem 8 6 2" xfId="7479"/>
    <cellStyle name="Porcentagem 8 6 3" xfId="5997"/>
    <cellStyle name="Porcentagem 8 6 3 2" xfId="7623"/>
    <cellStyle name="Porcentagem 8 6 4" xfId="7622"/>
    <cellStyle name="Porcentagem 8 6 4 2" xfId="7621"/>
    <cellStyle name="Porcentagem 8 6 5" xfId="7620"/>
    <cellStyle name="Porcentagem 8 6 6" xfId="5996"/>
    <cellStyle name="Porcentagem 8 6 7" xfId="7619"/>
    <cellStyle name="Porcentagem 8 6 7 2" xfId="7618"/>
    <cellStyle name="Porcentagem 8 6 8" xfId="7617"/>
    <cellStyle name="Porcentagem 8 6 8 2" xfId="7616"/>
    <cellStyle name="Porcentagem 8 6 9" xfId="7615"/>
    <cellStyle name="Porcentagem 8 6 9 2" xfId="5995"/>
    <cellStyle name="Porcentagem 8 7" xfId="9561"/>
    <cellStyle name="Porcentagem 8 8" xfId="9562"/>
    <cellStyle name="Porcentagem 8 8 2" xfId="9563"/>
    <cellStyle name="Porcentagem 8 9" xfId="9564"/>
    <cellStyle name="Porcentagem 8 9 2" xfId="9565"/>
    <cellStyle name="Porcentagem 8_Base RF" xfId="5769"/>
    <cellStyle name="Porcentagem 9" xfId="2078"/>
    <cellStyle name="Porcentagem 9 10" xfId="9567"/>
    <cellStyle name="Porcentagem 9 11" xfId="9568"/>
    <cellStyle name="Porcentagem 9 12" xfId="9569"/>
    <cellStyle name="Porcentagem 9 12 2" xfId="9570"/>
    <cellStyle name="Porcentagem 9 13" xfId="13762"/>
    <cellStyle name="Porcentagem 9 14" xfId="9566"/>
    <cellStyle name="Porcentagem 9 2" xfId="5227"/>
    <cellStyle name="Porcentagem 9 2 2" xfId="14810"/>
    <cellStyle name="Porcentagem 9 2 3" xfId="9571"/>
    <cellStyle name="Porcentagem 9 2_Base RF" xfId="15064"/>
    <cellStyle name="Porcentagem 9 3" xfId="4800"/>
    <cellStyle name="Porcentagem 9 3 2" xfId="9572"/>
    <cellStyle name="Porcentagem 9 3_Base RF" xfId="15065"/>
    <cellStyle name="Porcentagem 9 4" xfId="9573"/>
    <cellStyle name="Porcentagem 9 4 2" xfId="9574"/>
    <cellStyle name="Porcentagem 9 5" xfId="9575"/>
    <cellStyle name="Porcentagem 9 5 10" xfId="9576"/>
    <cellStyle name="Porcentagem 9 5 10 2" xfId="9577"/>
    <cellStyle name="Porcentagem 9 5 2" xfId="9578"/>
    <cellStyle name="Porcentagem 9 5 3" xfId="9579"/>
    <cellStyle name="Porcentagem 9 5 3 2" xfId="9580"/>
    <cellStyle name="Porcentagem 9 5 4" xfId="9581"/>
    <cellStyle name="Porcentagem 9 5 4 2" xfId="9582"/>
    <cellStyle name="Porcentagem 9 5 5" xfId="9583"/>
    <cellStyle name="Porcentagem 9 5 6" xfId="9584"/>
    <cellStyle name="Porcentagem 9 5 7" xfId="9585"/>
    <cellStyle name="Porcentagem 9 5 7 2" xfId="9586"/>
    <cellStyle name="Porcentagem 9 5 8" xfId="9587"/>
    <cellStyle name="Porcentagem 9 5 8 2" xfId="9588"/>
    <cellStyle name="Porcentagem 9 5 9" xfId="9589"/>
    <cellStyle name="Porcentagem 9 5 9 2" xfId="9590"/>
    <cellStyle name="Porcentagem 9 6" xfId="9591"/>
    <cellStyle name="Porcentagem 9 6 2" xfId="9592"/>
    <cellStyle name="Porcentagem 9 7" xfId="9593"/>
    <cellStyle name="Porcentagem 9 8" xfId="9594"/>
    <cellStyle name="Porcentagem 9 8 2" xfId="9595"/>
    <cellStyle name="Porcentagem 9 9" xfId="9596"/>
    <cellStyle name="Porcentagem 9 9 2" xfId="9597"/>
    <cellStyle name="Porcentagem 9_Base RF" xfId="5770"/>
    <cellStyle name="Prozent_Anadat" xfId="9598"/>
    <cellStyle name="QP3_Control" xfId="4801"/>
    <cellStyle name="Red font" xfId="9599"/>
    <cellStyle name="Red Text" xfId="9600"/>
    <cellStyle name="RevList" xfId="2079"/>
    <cellStyle name="RF (2)" xfId="2080"/>
    <cellStyle name="Right" xfId="9601"/>
    <cellStyle name="Roadrunner" xfId="9602"/>
    <cellStyle name="Saída" xfId="13" builtinId="21" customBuiltin="1"/>
    <cellStyle name="Saída 10" xfId="9603"/>
    <cellStyle name="Saída 11" xfId="9604"/>
    <cellStyle name="Saída 12" xfId="9605"/>
    <cellStyle name="Saída 13" xfId="9606"/>
    <cellStyle name="Saída 14" xfId="9607"/>
    <cellStyle name="Saída 2" xfId="2238"/>
    <cellStyle name="Saída 2 10" xfId="15820"/>
    <cellStyle name="Saída 2 2" xfId="4803"/>
    <cellStyle name="Saída 2 2 2" xfId="14671"/>
    <cellStyle name="Saída 2 2 3" xfId="9608"/>
    <cellStyle name="Saída 2 2_Base RF" xfId="15066"/>
    <cellStyle name="Saída 2 3" xfId="4804"/>
    <cellStyle name="Saída 2 4" xfId="4805"/>
    <cellStyle name="Saída 2 5" xfId="4802"/>
    <cellStyle name="Saída 2 6" xfId="15331"/>
    <cellStyle name="Saída 2 7" xfId="15780"/>
    <cellStyle name="Saída 2 8" xfId="15835"/>
    <cellStyle name="Saída 2 9" xfId="15802"/>
    <cellStyle name="Saída 2_Base RF" xfId="5771"/>
    <cellStyle name="Saída 3" xfId="4806"/>
    <cellStyle name="Saída 3 2" xfId="4807"/>
    <cellStyle name="Saída 3 3" xfId="4808"/>
    <cellStyle name="Saída 3 4" xfId="14672"/>
    <cellStyle name="Saída 3 5" xfId="9609"/>
    <cellStyle name="Saída 3_Base RF" xfId="5772"/>
    <cellStyle name="Saída 4" xfId="4809"/>
    <cellStyle name="Saída 4 2" xfId="4810"/>
    <cellStyle name="Saída 4 3" xfId="14673"/>
    <cellStyle name="Saída 4 4" xfId="9610"/>
    <cellStyle name="Saída 4_Base RF" xfId="5773"/>
    <cellStyle name="Saída 5" xfId="9611"/>
    <cellStyle name="Saída 6" xfId="9612"/>
    <cellStyle name="Saída 7" xfId="9613"/>
    <cellStyle name="Saída 8" xfId="9614"/>
    <cellStyle name="Saída 9" xfId="9615"/>
    <cellStyle name="Salida" xfId="4811"/>
    <cellStyle name="Salida 2" xfId="4812"/>
    <cellStyle name="Salida_Base RF" xfId="5774"/>
    <cellStyle name="Salomon Logo" xfId="9616"/>
    <cellStyle name="Sep. milhar [0]" xfId="9617"/>
    <cellStyle name="Separador de milhares 10" xfId="2081"/>
    <cellStyle name="Separador de milhares 10 10" xfId="9619"/>
    <cellStyle name="Separador de milhares 10 10 2" xfId="9620"/>
    <cellStyle name="Separador de milhares 10 11" xfId="9621"/>
    <cellStyle name="Separador de milhares 10 12" xfId="9622"/>
    <cellStyle name="Separador de milhares 10 12 2" xfId="9623"/>
    <cellStyle name="Separador de milhares 10 12 2 2" xfId="9624"/>
    <cellStyle name="Separador de milhares 10 12 3" xfId="9625"/>
    <cellStyle name="Separador de milhares 10 12 4" xfId="9626"/>
    <cellStyle name="Separador de milhares 10 12 4 2" xfId="9627"/>
    <cellStyle name="Separador de milhares 10 12 5" xfId="9628"/>
    <cellStyle name="Separador de milhares 10 12 5 2" xfId="9629"/>
    <cellStyle name="Separador de milhares 10 13" xfId="9630"/>
    <cellStyle name="Separador de milhares 10 13 2" xfId="9631"/>
    <cellStyle name="Separador de milhares 10 13 2 2" xfId="9632"/>
    <cellStyle name="Separador de milhares 10 13 3" xfId="9633"/>
    <cellStyle name="Separador de milhares 10 13 4" xfId="9634"/>
    <cellStyle name="Separador de milhares 10 13 4 2" xfId="9635"/>
    <cellStyle name="Separador de milhares 10 13 5" xfId="9636"/>
    <cellStyle name="Separador de milhares 10 13 5 2" xfId="9637"/>
    <cellStyle name="Separador de milhares 10 14" xfId="9638"/>
    <cellStyle name="Separador de milhares 10 14 2" xfId="9639"/>
    <cellStyle name="Separador de milhares 10 15" xfId="9640"/>
    <cellStyle name="Separador de milhares 10 16" xfId="9641"/>
    <cellStyle name="Separador de milhares 10 16 2" xfId="9642"/>
    <cellStyle name="Separador de milhares 10 17" xfId="9643"/>
    <cellStyle name="Separador de milhares 10 17 2" xfId="9644"/>
    <cellStyle name="Separador de milhares 10 18" xfId="9645"/>
    <cellStyle name="Separador de milhares 10 19" xfId="9646"/>
    <cellStyle name="Separador de milhares 10 2" xfId="2082"/>
    <cellStyle name="Separador de milhares 10 2 2" xfId="2669"/>
    <cellStyle name="Separador de milhares 10 2 2 2" xfId="5229"/>
    <cellStyle name="Separador de milhares 10 2 2 3" xfId="13917"/>
    <cellStyle name="Separador de milhares 10 2 2 4" xfId="9648"/>
    <cellStyle name="Separador de milhares 10 2 2_Base RF" xfId="5777"/>
    <cellStyle name="Separador de milhares 10 2 3" xfId="2393"/>
    <cellStyle name="Separador de milhares 10 2 3 2" xfId="5416"/>
    <cellStyle name="Separador de milhares 10 2 3 3" xfId="13882"/>
    <cellStyle name="Separador de milhares 10 2 3 4" xfId="9649"/>
    <cellStyle name="Separador de milhares 10 2 3_Base RF" xfId="5778"/>
    <cellStyle name="Separador de milhares 10 2 4" xfId="4814"/>
    <cellStyle name="Separador de milhares 10 2 4 2" xfId="9651"/>
    <cellStyle name="Separador de milhares 10 2 4 2 2" xfId="9652"/>
    <cellStyle name="Separador de milhares 10 2 4 3" xfId="9653"/>
    <cellStyle name="Separador de milhares 10 2 4 4" xfId="9654"/>
    <cellStyle name="Separador de milhares 10 2 4 4 2" xfId="9655"/>
    <cellStyle name="Separador de milhares 10 2 4 5" xfId="9656"/>
    <cellStyle name="Separador de milhares 10 2 4 5 2" xfId="9657"/>
    <cellStyle name="Separador de milhares 10 2 4 6" xfId="14675"/>
    <cellStyle name="Separador de milhares 10 2 4 7" xfId="9650"/>
    <cellStyle name="Separador de milhares 10 2 4_Base RF" xfId="15067"/>
    <cellStyle name="Separador de milhares 10 2 5" xfId="9658"/>
    <cellStyle name="Separador de milhares 10 2 5 2" xfId="9659"/>
    <cellStyle name="Separador de milhares 10 2 5 2 2" xfId="9660"/>
    <cellStyle name="Separador de milhares 10 2 5 3" xfId="9661"/>
    <cellStyle name="Separador de milhares 10 2 5 4" xfId="9662"/>
    <cellStyle name="Separador de milhares 10 2 5 4 2" xfId="9663"/>
    <cellStyle name="Separador de milhares 10 2 5 5" xfId="9664"/>
    <cellStyle name="Separador de milhares 10 2 5 5 2" xfId="9665"/>
    <cellStyle name="Separador de milhares 10 2 5 6" xfId="15723"/>
    <cellStyle name="Separador de milhares 10 2 5 7" xfId="15534"/>
    <cellStyle name="Separador de milhares 10 2 6" xfId="13764"/>
    <cellStyle name="Separador de milhares 10 2 7" xfId="9647"/>
    <cellStyle name="Separador de milhares 10 2 8" xfId="15293"/>
    <cellStyle name="Separador de milhares 10 2_Base RF" xfId="5776"/>
    <cellStyle name="Separador de milhares 10 20" xfId="9666"/>
    <cellStyle name="Separador de milhares 10 20 2" xfId="9667"/>
    <cellStyle name="Separador de milhares 10 21" xfId="9668"/>
    <cellStyle name="Separador de milhares 10 21 2" xfId="9669"/>
    <cellStyle name="Separador de milhares 10 22" xfId="9670"/>
    <cellStyle name="Separador de milhares 10 22 2" xfId="9671"/>
    <cellStyle name="Separador de milhares 10 23" xfId="13763"/>
    <cellStyle name="Separador de milhares 10 24" xfId="9618"/>
    <cellStyle name="Separador de milhares 10 25" xfId="15292"/>
    <cellStyle name="Separador de milhares 10 3" xfId="2668"/>
    <cellStyle name="Separador de milhares 10 3 2" xfId="5228"/>
    <cellStyle name="Separador de milhares 10 3 3" xfId="13916"/>
    <cellStyle name="Separador de milhares 10 3 4" xfId="9672"/>
    <cellStyle name="Separador de milhares 10 3_Base RF" xfId="5779"/>
    <cellStyle name="Separador de milhares 10 4" xfId="2392"/>
    <cellStyle name="Separador de milhares 10 4 10" xfId="15881"/>
    <cellStyle name="Separador de milhares 10 4 2" xfId="5415"/>
    <cellStyle name="Separador de milhares 10 4 2 2" xfId="14856"/>
    <cellStyle name="Separador de milhares 10 4 2 3" xfId="9674"/>
    <cellStyle name="Separador de milhares 10 4 2_Base RF" xfId="15068"/>
    <cellStyle name="Separador de milhares 10 4 3" xfId="13881"/>
    <cellStyle name="Separador de milhares 10 4 4" xfId="9673"/>
    <cellStyle name="Separador de milhares 10 4 5" xfId="15787"/>
    <cellStyle name="Separador de milhares 10 4 6" xfId="15828"/>
    <cellStyle name="Separador de milhares 10 4 7" xfId="15804"/>
    <cellStyle name="Separador de milhares 10 4 8" xfId="15845"/>
    <cellStyle name="Separador de milhares 10 4 9" xfId="15857"/>
    <cellStyle name="Separador de milhares 10 4_Base RF" xfId="5780"/>
    <cellStyle name="Separador de milhares 10 5" xfId="4813"/>
    <cellStyle name="Separador de milhares 10 5 2" xfId="9676"/>
    <cellStyle name="Separador de milhares 10 5 2 2" xfId="9677"/>
    <cellStyle name="Separador de milhares 10 5 3" xfId="9678"/>
    <cellStyle name="Separador de milhares 10 5 4" xfId="14674"/>
    <cellStyle name="Separador de milhares 10 5 5" xfId="9675"/>
    <cellStyle name="Separador de milhares 10 5_Base RF" xfId="15069"/>
    <cellStyle name="Separador de milhares 10 6" xfId="9679"/>
    <cellStyle name="Separador de milhares 10 6 10" xfId="9680"/>
    <cellStyle name="Separador de milhares 10 6 10 2" xfId="9681"/>
    <cellStyle name="Separador de milhares 10 6 11" xfId="15724"/>
    <cellStyle name="Separador de milhares 10 6 12" xfId="15533"/>
    <cellStyle name="Separador de milhares 10 6 2" xfId="9682"/>
    <cellStyle name="Separador de milhares 10 6 3" xfId="9683"/>
    <cellStyle name="Separador de milhares 10 6 3 2" xfId="9684"/>
    <cellStyle name="Separador de milhares 10 6 4" xfId="9685"/>
    <cellStyle name="Separador de milhares 10 6 4 2" xfId="9686"/>
    <cellStyle name="Separador de milhares 10 6 5" xfId="9687"/>
    <cellStyle name="Separador de milhares 10 6 6" xfId="9688"/>
    <cellStyle name="Separador de milhares 10 6 7" xfId="9689"/>
    <cellStyle name="Separador de milhares 10 6 7 2" xfId="9690"/>
    <cellStyle name="Separador de milhares 10 6 8" xfId="9691"/>
    <cellStyle name="Separador de milhares 10 6 8 2" xfId="9692"/>
    <cellStyle name="Separador de milhares 10 6 9" xfId="9693"/>
    <cellStyle name="Separador de milhares 10 6 9 2" xfId="9694"/>
    <cellStyle name="Separador de milhares 10 7" xfId="9695"/>
    <cellStyle name="Separador de milhares 10 8" xfId="9696"/>
    <cellStyle name="Separador de milhares 10 8 2" xfId="9697"/>
    <cellStyle name="Separador de milhares 10 9" xfId="9698"/>
    <cellStyle name="Separador de milhares 10 9 2" xfId="9699"/>
    <cellStyle name="Separador de milhares 10_Base RF" xfId="5775"/>
    <cellStyle name="Separador de milhares 11" xfId="2083"/>
    <cellStyle name="Separador de milhares 11 10" xfId="9701"/>
    <cellStyle name="Separador de milhares 11 10 2" xfId="9702"/>
    <cellStyle name="Separador de milhares 11 11" xfId="9703"/>
    <cellStyle name="Separador de milhares 11 12" xfId="9704"/>
    <cellStyle name="Separador de milhares 11 12 2" xfId="9705"/>
    <cellStyle name="Separador de milhares 11 12 2 2" xfId="9706"/>
    <cellStyle name="Separador de milhares 11 12 3" xfId="9707"/>
    <cellStyle name="Separador de milhares 11 12 4" xfId="9708"/>
    <cellStyle name="Separador de milhares 11 12 4 2" xfId="9709"/>
    <cellStyle name="Separador de milhares 11 12 5" xfId="9710"/>
    <cellStyle name="Separador de milhares 11 12 5 2" xfId="9711"/>
    <cellStyle name="Separador de milhares 11 13" xfId="9712"/>
    <cellStyle name="Separador de milhares 11 13 2" xfId="9713"/>
    <cellStyle name="Separador de milhares 11 13 2 2" xfId="9714"/>
    <cellStyle name="Separador de milhares 11 13 3" xfId="9715"/>
    <cellStyle name="Separador de milhares 11 13 4" xfId="9716"/>
    <cellStyle name="Separador de milhares 11 13 4 2" xfId="9717"/>
    <cellStyle name="Separador de milhares 11 13 5" xfId="9718"/>
    <cellStyle name="Separador de milhares 11 13 5 2" xfId="9719"/>
    <cellStyle name="Separador de milhares 11 14" xfId="9720"/>
    <cellStyle name="Separador de milhares 11 14 2" xfId="9721"/>
    <cellStyle name="Separador de milhares 11 15" xfId="9722"/>
    <cellStyle name="Separador de milhares 11 16" xfId="9723"/>
    <cellStyle name="Separador de milhares 11 16 2" xfId="9724"/>
    <cellStyle name="Separador de milhares 11 17" xfId="9725"/>
    <cellStyle name="Separador de milhares 11 17 2" xfId="9726"/>
    <cellStyle name="Separador de milhares 11 18" xfId="9727"/>
    <cellStyle name="Separador de milhares 11 19" xfId="9728"/>
    <cellStyle name="Separador de milhares 11 2" xfId="2670"/>
    <cellStyle name="Separador de milhares 11 2 10" xfId="15808"/>
    <cellStyle name="Separador de milhares 11 2 2" xfId="4815"/>
    <cellStyle name="Separador de milhares 11 2 2 2" xfId="14676"/>
    <cellStyle name="Separador de milhares 11 2 2 3" xfId="9730"/>
    <cellStyle name="Separador de milhares 11 2 2_Base RF" xfId="15070"/>
    <cellStyle name="Separador de milhares 11 2 3" xfId="9731"/>
    <cellStyle name="Separador de milhares 11 2 3 2" xfId="15725"/>
    <cellStyle name="Separador de milhares 11 2 3 3" xfId="15382"/>
    <cellStyle name="Separador de milhares 11 2 4" xfId="9732"/>
    <cellStyle name="Separador de milhares 11 2 4 2" xfId="9733"/>
    <cellStyle name="Separador de milhares 11 2 4 2 2" xfId="9734"/>
    <cellStyle name="Separador de milhares 11 2 4 3" xfId="9735"/>
    <cellStyle name="Separador de milhares 11 2 4 4" xfId="9736"/>
    <cellStyle name="Separador de milhares 11 2 4 4 2" xfId="9737"/>
    <cellStyle name="Separador de milhares 11 2 4 5" xfId="9738"/>
    <cellStyle name="Separador de milhares 11 2 4 5 2" xfId="9739"/>
    <cellStyle name="Separador de milhares 11 2 5" xfId="9740"/>
    <cellStyle name="Separador de milhares 11 2 5 2" xfId="9741"/>
    <cellStyle name="Separador de milhares 11 2 5 2 2" xfId="9742"/>
    <cellStyle name="Separador de milhares 11 2 5 3" xfId="9743"/>
    <cellStyle name="Separador de milhares 11 2 5 4" xfId="9744"/>
    <cellStyle name="Separador de milhares 11 2 5 4 2" xfId="9745"/>
    <cellStyle name="Separador de milhares 11 2 5 5" xfId="9746"/>
    <cellStyle name="Separador de milhares 11 2 5 5 2" xfId="9747"/>
    <cellStyle name="Separador de milhares 11 2 6" xfId="13918"/>
    <cellStyle name="Separador de milhares 11 2 7" xfId="9729"/>
    <cellStyle name="Separador de milhares 11 2 8" xfId="15791"/>
    <cellStyle name="Separador de milhares 11 2 9" xfId="15824"/>
    <cellStyle name="Separador de milhares 11 2_Base RF" xfId="5782"/>
    <cellStyle name="Separador de milhares 11 20" xfId="9748"/>
    <cellStyle name="Separador de milhares 11 20 2" xfId="9749"/>
    <cellStyle name="Separador de milhares 11 21" xfId="9750"/>
    <cellStyle name="Separador de milhares 11 21 2" xfId="9751"/>
    <cellStyle name="Separador de milhares 11 22" xfId="9752"/>
    <cellStyle name="Separador de milhares 11 22 2" xfId="9753"/>
    <cellStyle name="Separador de milhares 11 23" xfId="13765"/>
    <cellStyle name="Separador de milhares 11 24" xfId="9700"/>
    <cellStyle name="Separador de milhares 11 25" xfId="15764"/>
    <cellStyle name="Separador de milhares 11 25 2" xfId="16338"/>
    <cellStyle name="Separador de milhares 11 25 3" xfId="16331"/>
    <cellStyle name="Separador de milhares 11 26" xfId="15774"/>
    <cellStyle name="Separador de milhares 11 27" xfId="15841"/>
    <cellStyle name="Separador de milhares 11 28" xfId="15770"/>
    <cellStyle name="Separador de milhares 11 29" xfId="15294"/>
    <cellStyle name="Separador de milhares 11 3" xfId="2394"/>
    <cellStyle name="Separador de milhares 11 3 2" xfId="5417"/>
    <cellStyle name="Separador de milhares 11 3 3" xfId="13883"/>
    <cellStyle name="Separador de milhares 11 3 4" xfId="9754"/>
    <cellStyle name="Separador de milhares 11 3_Base RF" xfId="5783"/>
    <cellStyle name="Separador de milhares 11 30" xfId="16358"/>
    <cellStyle name="Separador de milhares 11 31" xfId="16347"/>
    <cellStyle name="Separador de milhares 11 32" xfId="16354"/>
    <cellStyle name="Separador de milhares 11 33" xfId="16345"/>
    <cellStyle name="Separador de milhares 11 34" xfId="16356"/>
    <cellStyle name="Separador de milhares 11 35" xfId="16343"/>
    <cellStyle name="Separador de milhares 11 4" xfId="9755"/>
    <cellStyle name="Separador de milhares 11 4 2" xfId="9756"/>
    <cellStyle name="Separador de milhares 11 4 3" xfId="15726"/>
    <cellStyle name="Separador de milhares 11 4 4" xfId="15535"/>
    <cellStyle name="Separador de milhares 11 5" xfId="9757"/>
    <cellStyle name="Separador de milhares 11 5 2" xfId="9758"/>
    <cellStyle name="Separador de milhares 11 5 2 2" xfId="9759"/>
    <cellStyle name="Separador de milhares 11 5 3" xfId="9760"/>
    <cellStyle name="Separador de milhares 11 6" xfId="9761"/>
    <cellStyle name="Separador de milhares 11 6 10" xfId="9762"/>
    <cellStyle name="Separador de milhares 11 6 10 2" xfId="9763"/>
    <cellStyle name="Separador de milhares 11 6 2" xfId="9764"/>
    <cellStyle name="Separador de milhares 11 6 3" xfId="9765"/>
    <cellStyle name="Separador de milhares 11 6 3 2" xfId="9766"/>
    <cellStyle name="Separador de milhares 11 6 4" xfId="9767"/>
    <cellStyle name="Separador de milhares 11 6 4 2" xfId="9768"/>
    <cellStyle name="Separador de milhares 11 6 5" xfId="9769"/>
    <cellStyle name="Separador de milhares 11 6 6" xfId="9770"/>
    <cellStyle name="Separador de milhares 11 6 7" xfId="9771"/>
    <cellStyle name="Separador de milhares 11 6 7 2" xfId="9772"/>
    <cellStyle name="Separador de milhares 11 6 8" xfId="9773"/>
    <cellStyle name="Separador de milhares 11 6 8 2" xfId="9774"/>
    <cellStyle name="Separador de milhares 11 6 9" xfId="9775"/>
    <cellStyle name="Separador de milhares 11 6 9 2" xfId="9776"/>
    <cellStyle name="Separador de milhares 11 7" xfId="9777"/>
    <cellStyle name="Separador de milhares 11 8" xfId="9778"/>
    <cellStyle name="Separador de milhares 11 8 2" xfId="9779"/>
    <cellStyle name="Separador de milhares 11 9" xfId="9780"/>
    <cellStyle name="Separador de milhares 11 9 2" xfId="9781"/>
    <cellStyle name="Separador de milhares 11_Base RF" xfId="5781"/>
    <cellStyle name="Separador de milhares 12" xfId="2084"/>
    <cellStyle name="Separador de milhares 12 10" xfId="9783"/>
    <cellStyle name="Separador de milhares 12 10 2" xfId="9784"/>
    <cellStyle name="Separador de milhares 12 11" xfId="9785"/>
    <cellStyle name="Separador de milhares 12 12" xfId="9786"/>
    <cellStyle name="Separador de milhares 12 12 2" xfId="9787"/>
    <cellStyle name="Separador de milhares 12 12 2 2" xfId="9788"/>
    <cellStyle name="Separador de milhares 12 12 3" xfId="9789"/>
    <cellStyle name="Separador de milhares 12 12 4" xfId="9790"/>
    <cellStyle name="Separador de milhares 12 12 4 2" xfId="9791"/>
    <cellStyle name="Separador de milhares 12 12 5" xfId="9792"/>
    <cellStyle name="Separador de milhares 12 12 5 2" xfId="9793"/>
    <cellStyle name="Separador de milhares 12 13" xfId="9794"/>
    <cellStyle name="Separador de milhares 12 13 2" xfId="9795"/>
    <cellStyle name="Separador de milhares 12 13 2 2" xfId="9796"/>
    <cellStyle name="Separador de milhares 12 13 3" xfId="9797"/>
    <cellStyle name="Separador de milhares 12 13 4" xfId="9798"/>
    <cellStyle name="Separador de milhares 12 13 4 2" xfId="9799"/>
    <cellStyle name="Separador de milhares 12 13 5" xfId="9800"/>
    <cellStyle name="Separador de milhares 12 13 5 2" xfId="9801"/>
    <cellStyle name="Separador de milhares 12 14" xfId="9802"/>
    <cellStyle name="Separador de milhares 12 14 2" xfId="9803"/>
    <cellStyle name="Separador de milhares 12 15" xfId="9804"/>
    <cellStyle name="Separador de milhares 12 16" xfId="9805"/>
    <cellStyle name="Separador de milhares 12 16 2" xfId="9806"/>
    <cellStyle name="Separador de milhares 12 17" xfId="9807"/>
    <cellStyle name="Separador de milhares 12 17 2" xfId="9808"/>
    <cellStyle name="Separador de milhares 12 18" xfId="9809"/>
    <cellStyle name="Separador de milhares 12 19" xfId="9810"/>
    <cellStyle name="Separador de milhares 12 2" xfId="2671"/>
    <cellStyle name="Separador de milhares 12 2 2" xfId="9812"/>
    <cellStyle name="Separador de milhares 12 2 3" xfId="9813"/>
    <cellStyle name="Separador de milhares 12 2 4" xfId="9814"/>
    <cellStyle name="Separador de milhares 12 2 4 2" xfId="9815"/>
    <cellStyle name="Separador de milhares 12 2 4 2 2" xfId="9816"/>
    <cellStyle name="Separador de milhares 12 2 4 3" xfId="9817"/>
    <cellStyle name="Separador de milhares 12 2 4 4" xfId="9818"/>
    <cellStyle name="Separador de milhares 12 2 4 4 2" xfId="9819"/>
    <cellStyle name="Separador de milhares 12 2 4 5" xfId="9820"/>
    <cellStyle name="Separador de milhares 12 2 4 5 2" xfId="9821"/>
    <cellStyle name="Separador de milhares 12 2 5" xfId="9822"/>
    <cellStyle name="Separador de milhares 12 2 5 2" xfId="9823"/>
    <cellStyle name="Separador de milhares 12 2 5 2 2" xfId="9824"/>
    <cellStyle name="Separador de milhares 12 2 5 3" xfId="9825"/>
    <cellStyle name="Separador de milhares 12 2 5 4" xfId="9826"/>
    <cellStyle name="Separador de milhares 12 2 5 4 2" xfId="9827"/>
    <cellStyle name="Separador de milhares 12 2 5 5" xfId="9828"/>
    <cellStyle name="Separador de milhares 12 2 5 5 2" xfId="9829"/>
    <cellStyle name="Separador de milhares 12 2 6" xfId="13919"/>
    <cellStyle name="Separador de milhares 12 2 7" xfId="9811"/>
    <cellStyle name="Separador de milhares 12 2_Base RF" xfId="15071"/>
    <cellStyle name="Separador de milhares 12 20" xfId="9830"/>
    <cellStyle name="Separador de milhares 12 20 2" xfId="9831"/>
    <cellStyle name="Separador de milhares 12 21" xfId="9832"/>
    <cellStyle name="Separador de milhares 12 21 2" xfId="9833"/>
    <cellStyle name="Separador de milhares 12 22" xfId="9834"/>
    <cellStyle name="Separador de milhares 12 23" xfId="13766"/>
    <cellStyle name="Separador de milhares 12 24" xfId="9782"/>
    <cellStyle name="Separador de milhares 12 25" xfId="15295"/>
    <cellStyle name="Separador de milhares 12 26" xfId="16359"/>
    <cellStyle name="Separador de milhares 12 27" xfId="16346"/>
    <cellStyle name="Separador de milhares 12 28" xfId="16355"/>
    <cellStyle name="Separador de milhares 12 29" xfId="16344"/>
    <cellStyle name="Separador de milhares 12 3" xfId="2395"/>
    <cellStyle name="Separador de milhares 12 3 2" xfId="13884"/>
    <cellStyle name="Separador de milhares 12 3 3" xfId="9835"/>
    <cellStyle name="Separador de milhares 12 3_Base RF" xfId="15072"/>
    <cellStyle name="Separador de milhares 12 30" xfId="16357"/>
    <cellStyle name="Separador de milhares 12 31" xfId="16342"/>
    <cellStyle name="Separador de milhares 12 4" xfId="9836"/>
    <cellStyle name="Separador de milhares 12 4 2" xfId="9837"/>
    <cellStyle name="Separador de milhares 12 5" xfId="9838"/>
    <cellStyle name="Separador de milhares 12 5 2" xfId="9839"/>
    <cellStyle name="Separador de milhares 12 5 2 2" xfId="9840"/>
    <cellStyle name="Separador de milhares 12 5 3" xfId="9841"/>
    <cellStyle name="Separador de milhares 12 6" xfId="9842"/>
    <cellStyle name="Separador de milhares 12 6 10" xfId="9843"/>
    <cellStyle name="Separador de milhares 12 6 10 2" xfId="9844"/>
    <cellStyle name="Separador de milhares 12 6 2" xfId="9845"/>
    <cellStyle name="Separador de milhares 12 6 3" xfId="9846"/>
    <cellStyle name="Separador de milhares 12 6 3 2" xfId="9847"/>
    <cellStyle name="Separador de milhares 12 6 4" xfId="9848"/>
    <cellStyle name="Separador de milhares 12 6 4 2" xfId="9849"/>
    <cellStyle name="Separador de milhares 12 6 5" xfId="9850"/>
    <cellStyle name="Separador de milhares 12 6 6" xfId="9851"/>
    <cellStyle name="Separador de milhares 12 6 7" xfId="9852"/>
    <cellStyle name="Separador de milhares 12 6 7 2" xfId="9853"/>
    <cellStyle name="Separador de milhares 12 6 7 2 2" xfId="9854"/>
    <cellStyle name="Separador de milhares 12 6 7 3" xfId="9855"/>
    <cellStyle name="Separador de milhares 12 6 8" xfId="9856"/>
    <cellStyle name="Separador de milhares 12 6 8 2" xfId="9857"/>
    <cellStyle name="Separador de milhares 12 6 8 2 2" xfId="9858"/>
    <cellStyle name="Separador de milhares 12 6 8 3" xfId="9859"/>
    <cellStyle name="Separador de milhares 12 6 9" xfId="9860"/>
    <cellStyle name="Separador de milhares 12 6 9 2" xfId="9861"/>
    <cellStyle name="Separador de milhares 12 7" xfId="9862"/>
    <cellStyle name="Separador de milhares 12 7 2" xfId="9863"/>
    <cellStyle name="Separador de milhares 12 8" xfId="9864"/>
    <cellStyle name="Separador de milhares 12 8 2" xfId="9865"/>
    <cellStyle name="Separador de milhares 12 8 2 2" xfId="9866"/>
    <cellStyle name="Separador de milhares 12 8 3" xfId="9867"/>
    <cellStyle name="Separador de milhares 12 9" xfId="9868"/>
    <cellStyle name="Separador de milhares 12 9 2" xfId="9869"/>
    <cellStyle name="Separador de milhares 12 9 2 2" xfId="9870"/>
    <cellStyle name="Separador de milhares 12 9 3" xfId="9871"/>
    <cellStyle name="Separador de milhares 12_Base RF" xfId="5784"/>
    <cellStyle name="Separador de milhares 13" xfId="2085"/>
    <cellStyle name="Separador de milhares 13 10" xfId="15593"/>
    <cellStyle name="Separador de milhares 13 11" xfId="15314"/>
    <cellStyle name="Separador de milhares 13 2" xfId="2086"/>
    <cellStyle name="Separador de milhares 13 2 2" xfId="2673"/>
    <cellStyle name="Separador de milhares 13 2 3" xfId="2397"/>
    <cellStyle name="Separador de milhares 13 2_Base RF" xfId="5786"/>
    <cellStyle name="Separador de milhares 13 3" xfId="2672"/>
    <cellStyle name="Separador de milhares 13 4" xfId="2396"/>
    <cellStyle name="Separador de milhares 13 5" xfId="15546"/>
    <cellStyle name="Separador de milhares 13 6" xfId="15516"/>
    <cellStyle name="Separador de milhares 13 7" xfId="15491"/>
    <cellStyle name="Separador de milhares 13 8" xfId="15589"/>
    <cellStyle name="Separador de milhares 13 9" xfId="15550"/>
    <cellStyle name="Separador de milhares 13_Base RF" xfId="5785"/>
    <cellStyle name="Separador de milhares 14" xfId="2087"/>
    <cellStyle name="Separador de milhares 14 2" xfId="2674"/>
    <cellStyle name="Separador de milhares 14 3" xfId="2398"/>
    <cellStyle name="Separador de milhares 14_Base RF" xfId="5787"/>
    <cellStyle name="Separador de milhares 15" xfId="5433"/>
    <cellStyle name="Separador de milhares 2" xfId="47"/>
    <cellStyle name="Separador de milhares 2 10" xfId="13642"/>
    <cellStyle name="Separador de milhares 2 11" xfId="9872"/>
    <cellStyle name="Separador de milhares 2 12" xfId="13648"/>
    <cellStyle name="Separador de milhares 2 13" xfId="7279"/>
    <cellStyle name="Separador de milhares 2 2" xfId="2088"/>
    <cellStyle name="Separador de milhares 2 2 10" xfId="13596"/>
    <cellStyle name="Separador de milhares 2 2 11" xfId="13630"/>
    <cellStyle name="Separador de milhares 2 2 12" xfId="13767"/>
    <cellStyle name="Separador de milhares 2 2 13" xfId="9873"/>
    <cellStyle name="Separador de milhares 2 2 2" xfId="4818"/>
    <cellStyle name="Separador de milhares 2 2 2 2" xfId="9875"/>
    <cellStyle name="Separador de milhares 2 2 2 2 2" xfId="9876"/>
    <cellStyle name="Separador de milhares 2 2 2 3" xfId="9877"/>
    <cellStyle name="Separador de milhares 2 2 2 4" xfId="13597"/>
    <cellStyle name="Separador de milhares 2 2 2 5" xfId="13631"/>
    <cellStyle name="Separador de milhares 2 2 2 6" xfId="14678"/>
    <cellStyle name="Separador de milhares 2 2 2 7" xfId="9874"/>
    <cellStyle name="Separador de milhares 2 2 2_Base RF" xfId="15073"/>
    <cellStyle name="Separador de milhares 2 2 3" xfId="5313"/>
    <cellStyle name="Separador de milhares 2 2 3 2" xfId="9879"/>
    <cellStyle name="Separador de milhares 2 2 3 3" xfId="14834"/>
    <cellStyle name="Separador de milhares 2 2 3 4" xfId="9878"/>
    <cellStyle name="Separador de milhares 2 2 3_Base RF" xfId="15074"/>
    <cellStyle name="Separador de milhares 2 2 4" xfId="4817"/>
    <cellStyle name="Separador de milhares 2 2 4 2" xfId="9881"/>
    <cellStyle name="Separador de milhares 2 2 4 3" xfId="14677"/>
    <cellStyle name="Separador de milhares 2 2 4 4" xfId="9880"/>
    <cellStyle name="Separador de milhares 2 2 4_Base RF" xfId="15075"/>
    <cellStyle name="Separador de milhares 2 2 5" xfId="9882"/>
    <cellStyle name="Separador de milhares 2 2 5 2" xfId="9883"/>
    <cellStyle name="Separador de milhares 2 2 6" xfId="9884"/>
    <cellStyle name="Separador de milhares 2 2 6 2" xfId="9885"/>
    <cellStyle name="Separador de milhares 2 2 6 2 2" xfId="9886"/>
    <cellStyle name="Separador de milhares 2 2 6 3" xfId="9887"/>
    <cellStyle name="Separador de milhares 2 2 6 3 2" xfId="9888"/>
    <cellStyle name="Separador de milhares 2 2 6 4" xfId="9889"/>
    <cellStyle name="Separador de milhares 2 2 7" xfId="9890"/>
    <cellStyle name="Separador de milhares 2 2 7 2" xfId="9891"/>
    <cellStyle name="Separador de milhares 2 2 8" xfId="9892"/>
    <cellStyle name="Separador de milhares 2 2 8 2" xfId="9893"/>
    <cellStyle name="Separador de milhares 2 2 9" xfId="9894"/>
    <cellStyle name="Separador de milhares 2 2_Base RF" xfId="5789"/>
    <cellStyle name="Separador de milhares 2 3" xfId="2391"/>
    <cellStyle name="Separador de milhares 2 3 10" xfId="15829"/>
    <cellStyle name="Separador de milhares 2 3 11" xfId="15918"/>
    <cellStyle name="Separador de milhares 2 3 2" xfId="4820"/>
    <cellStyle name="Separador de milhares 2 3 2 2" xfId="9897"/>
    <cellStyle name="Separador de milhares 2 3 2 2 2" xfId="9898"/>
    <cellStyle name="Separador de milhares 2 3 2 2 2 2" xfId="9899"/>
    <cellStyle name="Separador de milhares 2 3 2 2 3" xfId="9900"/>
    <cellStyle name="Separador de milhares 2 3 2 3" xfId="9901"/>
    <cellStyle name="Separador de milhares 2 3 2 3 2" xfId="9902"/>
    <cellStyle name="Separador de milhares 2 3 2 4" xfId="9903"/>
    <cellStyle name="Separador de milhares 2 3 2 5" xfId="14680"/>
    <cellStyle name="Separador de milhares 2 3 2 6" xfId="9896"/>
    <cellStyle name="Separador de milhares 2 3 2_Base RF" xfId="15076"/>
    <cellStyle name="Separador de milhares 2 3 3" xfId="5434"/>
    <cellStyle name="Separador de milhares 2 3 3 2" xfId="9905"/>
    <cellStyle name="Separador de milhares 2 3 3 2 2" xfId="9906"/>
    <cellStyle name="Separador de milhares 2 3 3 3" xfId="9907"/>
    <cellStyle name="Separador de milhares 2 3 3 4" xfId="14860"/>
    <cellStyle name="Separador de milhares 2 3 3 5" xfId="9904"/>
    <cellStyle name="Separador de milhares 2 3 3_Base RF" xfId="15077"/>
    <cellStyle name="Separador de milhares 2 3 4" xfId="4819"/>
    <cellStyle name="Separador de milhares 2 3 4 2" xfId="9909"/>
    <cellStyle name="Separador de milhares 2 3 4 3" xfId="14679"/>
    <cellStyle name="Separador de milhares 2 3 4 4" xfId="9908"/>
    <cellStyle name="Separador de milhares 2 3 4_Base RF" xfId="15078"/>
    <cellStyle name="Separador de milhares 2 3 5" xfId="9910"/>
    <cellStyle name="Separador de milhares 2 3 5 2" xfId="15727"/>
    <cellStyle name="Separador de milhares 2 3 5 3" xfId="15347"/>
    <cellStyle name="Separador de milhares 2 3 6" xfId="13880"/>
    <cellStyle name="Separador de milhares 2 3 7" xfId="9895"/>
    <cellStyle name="Separador de milhares 2 3 8" xfId="15766"/>
    <cellStyle name="Separador de milhares 2 3 9" xfId="15786"/>
    <cellStyle name="Separador de milhares 2 3_Base RF" xfId="5790"/>
    <cellStyle name="Separador de milhares 2 4" xfId="2399"/>
    <cellStyle name="Separador de milhares 2 4 2" xfId="4821"/>
    <cellStyle name="Separador de milhares 2 4 2 2" xfId="14681"/>
    <cellStyle name="Separador de milhares 2 4 2 3" xfId="9912"/>
    <cellStyle name="Separador de milhares 2 4 2_Base RF" xfId="15079"/>
    <cellStyle name="Separador de milhares 2 4 3" xfId="13885"/>
    <cellStyle name="Separador de milhares 2 4 4" xfId="9911"/>
    <cellStyle name="Separador de milhares 2 4_Base RF" xfId="5791"/>
    <cellStyle name="Separador de milhares 2 5" xfId="4822"/>
    <cellStyle name="Separador de milhares 2 5 2" xfId="4823"/>
    <cellStyle name="Separador de milhares 2 5 3" xfId="14682"/>
    <cellStyle name="Separador de milhares 2 5 4" xfId="9913"/>
    <cellStyle name="Separador de milhares 2 5_Base RF" xfId="5792"/>
    <cellStyle name="Separador de milhares 2 6" xfId="4824"/>
    <cellStyle name="Separador de milhares 2 7" xfId="4816"/>
    <cellStyle name="Separador de milhares 2 8" xfId="13629"/>
    <cellStyle name="Separador de milhares 2 9" xfId="13594"/>
    <cellStyle name="Separador de milhares 2_Base RF" xfId="5788"/>
    <cellStyle name="Separador de milhares 3" xfId="48"/>
    <cellStyle name="Separador de milhares 3 10" xfId="13632"/>
    <cellStyle name="Separador de milhares 3 11" xfId="13649"/>
    <cellStyle name="Separador de milhares 3 12" xfId="9914"/>
    <cellStyle name="Separador de milhares 3 13" xfId="16332"/>
    <cellStyle name="Separador de milhares 3 2" xfId="55"/>
    <cellStyle name="Separador de milhares 3 2 2" xfId="2779"/>
    <cellStyle name="Separador de milhares 3 2 2 2" xfId="13932"/>
    <cellStyle name="Separador de milhares 3 2 2 3" xfId="9916"/>
    <cellStyle name="Separador de milhares 3 2 2_Base RF" xfId="15080"/>
    <cellStyle name="Separador de milhares 3 2 3" xfId="4826"/>
    <cellStyle name="Separador de milhares 3 2 3 2" xfId="14684"/>
    <cellStyle name="Separador de milhares 3 2 3 3" xfId="13654"/>
    <cellStyle name="Separador de milhares 3 2 3_Base RF" xfId="15081"/>
    <cellStyle name="Separador de milhares 3 2 4" xfId="9915"/>
    <cellStyle name="Separador de milhares 3 2_Base RF" xfId="5794"/>
    <cellStyle name="Separador de milhares 3 3" xfId="58"/>
    <cellStyle name="Separador de milhares 3 3 10" xfId="14902"/>
    <cellStyle name="Separador de milhares 3 3 2" xfId="2089"/>
    <cellStyle name="Separador de milhares 3 3 2 2" xfId="5418"/>
    <cellStyle name="Separador de milhares 3 3 2 3" xfId="4827"/>
    <cellStyle name="Separador de milhares 3 3 2 3 2" xfId="14685"/>
    <cellStyle name="Separador de milhares 3 3 2 3 3" xfId="9918"/>
    <cellStyle name="Separador de milhares 3 3 2 3_Base RF" xfId="15082"/>
    <cellStyle name="Separador de milhares 3 3 2_Base RF" xfId="5796"/>
    <cellStyle name="Separador de milhares 3 3 3" xfId="2220"/>
    <cellStyle name="Separador de milhares 3 3 4" xfId="5453"/>
    <cellStyle name="Separador de milhares 3 3 4 2" xfId="13859"/>
    <cellStyle name="Separador de milhares 3 3 4 3" xfId="13768"/>
    <cellStyle name="Separador de milhares 3 3 4_Base RF" xfId="15083"/>
    <cellStyle name="Separador de milhares 3 3 5" xfId="9917"/>
    <cellStyle name="Separador de milhares 3 3 6" xfId="14900"/>
    <cellStyle name="Separador de milhares 3 3 7" xfId="14872"/>
    <cellStyle name="Separador de milhares 3 3 8" xfId="14892"/>
    <cellStyle name="Separador de milhares 3 3 9" xfId="14881"/>
    <cellStyle name="Separador de milhares 3 3_Base RF" xfId="5795"/>
    <cellStyle name="Separador de milhares 3 4" xfId="2390"/>
    <cellStyle name="Separador de milhares 3 4 2" xfId="4828"/>
    <cellStyle name="Separador de milhares 3 4 2 2" xfId="14686"/>
    <cellStyle name="Separador de milhares 3 4 2 3" xfId="9920"/>
    <cellStyle name="Separador de milhares 3 4 2 3 2" xfId="15728"/>
    <cellStyle name="Separador de milhares 3 4 2 3 3" xfId="15454"/>
    <cellStyle name="Separador de milhares 3 4 2_Base RF" xfId="15084"/>
    <cellStyle name="Separador de milhares 3 4 3" xfId="5435"/>
    <cellStyle name="Separador de milhares 3 4 3 2" xfId="14861"/>
    <cellStyle name="Separador de milhares 3 4 3 3" xfId="13793"/>
    <cellStyle name="Separador de milhares 3 4 3_Base RF" xfId="15085"/>
    <cellStyle name="Separador de milhares 3 4 4" xfId="2775"/>
    <cellStyle name="Separador de milhares 3 4 4 2" xfId="13928"/>
    <cellStyle name="Separador de milhares 3 4 4 3" xfId="9919"/>
    <cellStyle name="Separador de milhares 3 4 4_Base RF" xfId="15086"/>
    <cellStyle name="Separador de milhares 3 4 5" xfId="13879"/>
    <cellStyle name="Separador de milhares 3 4 6" xfId="15285"/>
    <cellStyle name="Separador de milhares 3 4_Base RF" xfId="5797"/>
    <cellStyle name="Separador de milhares 3 5" xfId="2400"/>
    <cellStyle name="Separador de milhares 3 5 2" xfId="9922"/>
    <cellStyle name="Separador de milhares 3 5 3" xfId="13886"/>
    <cellStyle name="Separador de milhares 3 5 4" xfId="9921"/>
    <cellStyle name="Separador de milhares 3 5_Base RF" xfId="15087"/>
    <cellStyle name="Separador de milhares 3 6" xfId="4825"/>
    <cellStyle name="Separador de milhares 3 6 2" xfId="9924"/>
    <cellStyle name="Separador de milhares 3 6 3" xfId="14683"/>
    <cellStyle name="Separador de milhares 3 6 4" xfId="9923"/>
    <cellStyle name="Separador de milhares 3 6_Base RF" xfId="15088"/>
    <cellStyle name="Separador de milhares 3 7" xfId="9925"/>
    <cellStyle name="Separador de milhares 3 7 2" xfId="9926"/>
    <cellStyle name="Separador de milhares 3 8" xfId="9927"/>
    <cellStyle name="Separador de milhares 3 9" xfId="13598"/>
    <cellStyle name="Separador de milhares 3_Base RF" xfId="5793"/>
    <cellStyle name="Separador de milhares 4" xfId="67"/>
    <cellStyle name="Separador de milhares 4 10" xfId="5314"/>
    <cellStyle name="Separador de milhares 4 10 2" xfId="14835"/>
    <cellStyle name="Separador de milhares 4 10 3" xfId="9928"/>
    <cellStyle name="Separador de milhares 4 10_Base RF" xfId="15089"/>
    <cellStyle name="Separador de milhares 4 11" xfId="16333"/>
    <cellStyle name="Separador de milhares 4 12" xfId="16361"/>
    <cellStyle name="Separador de milhares 4 13" xfId="16341"/>
    <cellStyle name="Separador de milhares 4 14" xfId="16360"/>
    <cellStyle name="Separador de milhares 4 15" xfId="16340"/>
    <cellStyle name="Separador de milhares 4 16" xfId="16362"/>
    <cellStyle name="Separador de milhares 4 17" xfId="16339"/>
    <cellStyle name="Separador de milhares 4 2" xfId="2091"/>
    <cellStyle name="Separador de milhares 4 2 2" xfId="2092"/>
    <cellStyle name="Separador de milhares 4 2 2 2" xfId="2093"/>
    <cellStyle name="Separador de milhares 4 2 2 2 2" xfId="2094"/>
    <cellStyle name="Separador de milhares 4 2 2 2 2 2" xfId="2095"/>
    <cellStyle name="Separador de milhares 4 2 2 2 2 2 2" xfId="2679"/>
    <cellStyle name="Separador de milhares 4 2 2 2 2 2 3" xfId="2406"/>
    <cellStyle name="Separador de milhares 4 2 2 2 2 2_Base RF" xfId="5803"/>
    <cellStyle name="Separador de milhares 4 2 2 2 2 3" xfId="2678"/>
    <cellStyle name="Separador de milhares 4 2 2 2 2 4" xfId="2405"/>
    <cellStyle name="Separador de milhares 4 2 2 2 2_Base RF" xfId="5802"/>
    <cellStyle name="Separador de milhares 4 2 2 2 3" xfId="2096"/>
    <cellStyle name="Separador de milhares 4 2 2 2 3 2" xfId="2680"/>
    <cellStyle name="Separador de milhares 4 2 2 2 3 3" xfId="2407"/>
    <cellStyle name="Separador de milhares 4 2 2 2 3_Base RF" xfId="5804"/>
    <cellStyle name="Separador de milhares 4 2 2 2 4" xfId="2677"/>
    <cellStyle name="Separador de milhares 4 2 2 2 5" xfId="2404"/>
    <cellStyle name="Separador de milhares 4 2 2 2_Base RF" xfId="5801"/>
    <cellStyle name="Separador de milhares 4 2 2 3" xfId="2097"/>
    <cellStyle name="Separador de milhares 4 2 2 3 2" xfId="2098"/>
    <cellStyle name="Separador de milhares 4 2 2 3 2 2" xfId="2682"/>
    <cellStyle name="Separador de milhares 4 2 2 3 2 3" xfId="2409"/>
    <cellStyle name="Separador de milhares 4 2 2 3 2_Base RF" xfId="5806"/>
    <cellStyle name="Separador de milhares 4 2 2 3 3" xfId="2681"/>
    <cellStyle name="Separador de milhares 4 2 2 3 4" xfId="2408"/>
    <cellStyle name="Separador de milhares 4 2 2 3_Base RF" xfId="5805"/>
    <cellStyle name="Separador de milhares 4 2 2 4" xfId="2099"/>
    <cellStyle name="Separador de milhares 4 2 2 4 2" xfId="2683"/>
    <cellStyle name="Separador de milhares 4 2 2 4 3" xfId="2410"/>
    <cellStyle name="Separador de milhares 4 2 2 4_Base RF" xfId="5807"/>
    <cellStyle name="Separador de milhares 4 2 2 5" xfId="2676"/>
    <cellStyle name="Separador de milhares 4 2 2 6" xfId="2403"/>
    <cellStyle name="Separador de milhares 4 2 2 6 2" xfId="13889"/>
    <cellStyle name="Separador de milhares 4 2 2 6 3" xfId="9930"/>
    <cellStyle name="Separador de milhares 4 2 2 6_Base RF" xfId="15090"/>
    <cellStyle name="Separador de milhares 4 2 2_Base RF" xfId="5800"/>
    <cellStyle name="Separador de milhares 4 2 3" xfId="2100"/>
    <cellStyle name="Separador de milhares 4 2 3 2" xfId="2101"/>
    <cellStyle name="Separador de milhares 4 2 3 2 2" xfId="2102"/>
    <cellStyle name="Separador de milhares 4 2 3 2 2 2" xfId="2686"/>
    <cellStyle name="Separador de milhares 4 2 3 2 2 3" xfId="2413"/>
    <cellStyle name="Separador de milhares 4 2 3 2 2_Base RF" xfId="5810"/>
    <cellStyle name="Separador de milhares 4 2 3 2 3" xfId="2685"/>
    <cellStyle name="Separador de milhares 4 2 3 2 4" xfId="2412"/>
    <cellStyle name="Separador de milhares 4 2 3 2_Base RF" xfId="5809"/>
    <cellStyle name="Separador de milhares 4 2 3 3" xfId="2103"/>
    <cellStyle name="Separador de milhares 4 2 3 3 2" xfId="2687"/>
    <cellStyle name="Separador de milhares 4 2 3 3 3" xfId="2414"/>
    <cellStyle name="Separador de milhares 4 2 3 3_Base RF" xfId="5811"/>
    <cellStyle name="Separador de milhares 4 2 3 4" xfId="2684"/>
    <cellStyle name="Separador de milhares 4 2 3 5" xfId="2411"/>
    <cellStyle name="Separador de milhares 4 2 3_Base RF" xfId="5808"/>
    <cellStyle name="Separador de milhares 4 2 4" xfId="2104"/>
    <cellStyle name="Separador de milhares 4 2 4 2" xfId="2105"/>
    <cellStyle name="Separador de milhares 4 2 4 2 2" xfId="2689"/>
    <cellStyle name="Separador de milhares 4 2 4 2 3" xfId="2416"/>
    <cellStyle name="Separador de milhares 4 2 4 2_Base RF" xfId="5813"/>
    <cellStyle name="Separador de milhares 4 2 4 3" xfId="2688"/>
    <cellStyle name="Separador de milhares 4 2 4 4" xfId="2415"/>
    <cellStyle name="Separador de milhares 4 2 4_Base RF" xfId="5812"/>
    <cellStyle name="Separador de milhares 4 2 5" xfId="2106"/>
    <cellStyle name="Separador de milhares 4 2 5 2" xfId="2690"/>
    <cellStyle name="Separador de milhares 4 2 5 3" xfId="2417"/>
    <cellStyle name="Separador de milhares 4 2 5_Base RF" xfId="5814"/>
    <cellStyle name="Separador de milhares 4 2 6" xfId="2675"/>
    <cellStyle name="Separador de milhares 4 2 7" xfId="2402"/>
    <cellStyle name="Separador de milhares 4 2 7 2" xfId="13888"/>
    <cellStyle name="Separador de milhares 4 2 7 3" xfId="9929"/>
    <cellStyle name="Separador de milhares 4 2 7_Base RF" xfId="15091"/>
    <cellStyle name="Separador de milhares 4 2_Base RF" xfId="5799"/>
    <cellStyle name="Separador de milhares 4 3" xfId="2107"/>
    <cellStyle name="Separador de milhares 4 3 2" xfId="2108"/>
    <cellStyle name="Separador de milhares 4 3 2 2" xfId="2109"/>
    <cellStyle name="Separador de milhares 4 3 2 2 2" xfId="2110"/>
    <cellStyle name="Separador de milhares 4 3 2 2 2 2" xfId="2694"/>
    <cellStyle name="Separador de milhares 4 3 2 2 2 3" xfId="2421"/>
    <cellStyle name="Separador de milhares 4 3 2 2 2_Base RF" xfId="5818"/>
    <cellStyle name="Separador de milhares 4 3 2 2 3" xfId="2693"/>
    <cellStyle name="Separador de milhares 4 3 2 2 4" xfId="2420"/>
    <cellStyle name="Separador de milhares 4 3 2 2_Base RF" xfId="5817"/>
    <cellStyle name="Separador de milhares 4 3 2 3" xfId="2111"/>
    <cellStyle name="Separador de milhares 4 3 2 3 2" xfId="2695"/>
    <cellStyle name="Separador de milhares 4 3 2 3 3" xfId="2422"/>
    <cellStyle name="Separador de milhares 4 3 2 3_Base RF" xfId="5819"/>
    <cellStyle name="Separador de milhares 4 3 2 4" xfId="2692"/>
    <cellStyle name="Separador de milhares 4 3 2 5" xfId="2419"/>
    <cellStyle name="Separador de milhares 4 3 2 5 2" xfId="13891"/>
    <cellStyle name="Separador de milhares 4 3 2 5 3" xfId="9932"/>
    <cellStyle name="Separador de milhares 4 3 2 5_Base RF" xfId="15092"/>
    <cellStyle name="Separador de milhares 4 3 2_Base RF" xfId="5816"/>
    <cellStyle name="Separador de milhares 4 3 3" xfId="2112"/>
    <cellStyle name="Separador de milhares 4 3 3 2" xfId="2113"/>
    <cellStyle name="Separador de milhares 4 3 3 2 2" xfId="2697"/>
    <cellStyle name="Separador de milhares 4 3 3 2 3" xfId="2424"/>
    <cellStyle name="Separador de milhares 4 3 3 2_Base RF" xfId="5821"/>
    <cellStyle name="Separador de milhares 4 3 3 3" xfId="2696"/>
    <cellStyle name="Separador de milhares 4 3 3 4" xfId="2423"/>
    <cellStyle name="Separador de milhares 4 3 3_Base RF" xfId="5820"/>
    <cellStyle name="Separador de milhares 4 3 4" xfId="2114"/>
    <cellStyle name="Separador de milhares 4 3 4 2" xfId="2698"/>
    <cellStyle name="Separador de milhares 4 3 4 3" xfId="2425"/>
    <cellStyle name="Separador de milhares 4 3 4_Base RF" xfId="5822"/>
    <cellStyle name="Separador de milhares 4 3 5" xfId="2691"/>
    <cellStyle name="Separador de milhares 4 3 6" xfId="2418"/>
    <cellStyle name="Separador de milhares 4 3 6 2" xfId="13890"/>
    <cellStyle name="Separador de milhares 4 3 6 3" xfId="9931"/>
    <cellStyle name="Separador de milhares 4 3 6_Base RF" xfId="15093"/>
    <cellStyle name="Separador de milhares 4 3 7" xfId="4829"/>
    <cellStyle name="Separador de milhares 4 3 8" xfId="15536"/>
    <cellStyle name="Separador de milhares 4 3 9" xfId="15296"/>
    <cellStyle name="Separador de milhares 4 3_Base RF" xfId="5815"/>
    <cellStyle name="Separador de milhares 4 4" xfId="2115"/>
    <cellStyle name="Separador de milhares 4 4 2" xfId="2116"/>
    <cellStyle name="Separador de milhares 4 4 2 2" xfId="2117"/>
    <cellStyle name="Separador de milhares 4 4 2 2 2" xfId="2701"/>
    <cellStyle name="Separador de milhares 4 4 2 2 3" xfId="2428"/>
    <cellStyle name="Separador de milhares 4 4 2 2_Base RF" xfId="5825"/>
    <cellStyle name="Separador de milhares 4 4 2 3" xfId="2700"/>
    <cellStyle name="Separador de milhares 4 4 2 4" xfId="2427"/>
    <cellStyle name="Separador de milhares 4 4 2_Base RF" xfId="5824"/>
    <cellStyle name="Separador de milhares 4 4 3" xfId="2118"/>
    <cellStyle name="Separador de milhares 4 4 3 2" xfId="2702"/>
    <cellStyle name="Separador de milhares 4 4 3 3" xfId="2429"/>
    <cellStyle name="Separador de milhares 4 4 3_Base RF" xfId="5826"/>
    <cellStyle name="Separador de milhares 4 4 4" xfId="2699"/>
    <cellStyle name="Separador de milhares 4 4 4 2" xfId="5230"/>
    <cellStyle name="Separador de milhares 4 4 4 3" xfId="15383"/>
    <cellStyle name="Separador de milhares 4 4 4_Base RF" xfId="5827"/>
    <cellStyle name="Separador de milhares 4 4 5" xfId="2426"/>
    <cellStyle name="Separador de milhares 4 4 5 2" xfId="5419"/>
    <cellStyle name="Separador de milhares 4 4 5 3" xfId="13892"/>
    <cellStyle name="Separador de milhares 4 4 5 4" xfId="9933"/>
    <cellStyle name="Separador de milhares 4 4 5_Base RF" xfId="5828"/>
    <cellStyle name="Separador de milhares 4 4 6" xfId="4830"/>
    <cellStyle name="Separador de milhares 4 4 7" xfId="15537"/>
    <cellStyle name="Separador de milhares 4 4 8" xfId="15297"/>
    <cellStyle name="Separador de milhares 4 4_Base RF" xfId="5823"/>
    <cellStyle name="Separador de milhares 4 5" xfId="2119"/>
    <cellStyle name="Separador de milhares 4 5 2" xfId="2120"/>
    <cellStyle name="Separador de milhares 4 5 2 2" xfId="2704"/>
    <cellStyle name="Separador de milhares 4 5 2 3" xfId="2431"/>
    <cellStyle name="Separador de milhares 4 5 2_Base RF" xfId="5830"/>
    <cellStyle name="Separador de milhares 4 5 3" xfId="2703"/>
    <cellStyle name="Separador de milhares 4 5 4" xfId="2430"/>
    <cellStyle name="Separador de milhares 4 5_Base RF" xfId="5829"/>
    <cellStyle name="Separador de milhares 4 6" xfId="2121"/>
    <cellStyle name="Separador de milhares 4 6 2" xfId="2705"/>
    <cellStyle name="Separador de milhares 4 6 3" xfId="2432"/>
    <cellStyle name="Separador de milhares 4 6_Base RF" xfId="5831"/>
    <cellStyle name="Separador de milhares 4 7" xfId="2090"/>
    <cellStyle name="Separador de milhares 4 8" xfId="2524"/>
    <cellStyle name="Separador de milhares 4 9" xfId="2401"/>
    <cellStyle name="Separador de milhares 4 9 2" xfId="5436"/>
    <cellStyle name="Separador de milhares 4 9 3" xfId="13887"/>
    <cellStyle name="Separador de milhares 4 9 4" xfId="13651"/>
    <cellStyle name="Separador de milhares 4 9_Base RF" xfId="5832"/>
    <cellStyle name="Separador de milhares 4_Base RF" xfId="5798"/>
    <cellStyle name="Separador de milhares 5" xfId="2122"/>
    <cellStyle name="Separador de milhares 5 10" xfId="2776"/>
    <cellStyle name="Separador de milhares 5 10 2" xfId="13929"/>
    <cellStyle name="Separador de milhares 5 10 3" xfId="9934"/>
    <cellStyle name="Separador de milhares 5 10_Base RF" xfId="15094"/>
    <cellStyle name="Separador de milhares 5 11" xfId="15238"/>
    <cellStyle name="Separador de milhares 5 11 2" xfId="15946"/>
    <cellStyle name="Separador de milhares 5 11 3" xfId="15590"/>
    <cellStyle name="Separador de milhares 5 12" xfId="15759"/>
    <cellStyle name="Separador de milhares 5 12 2" xfId="16337"/>
    <cellStyle name="Separador de milhares 5 12 3" xfId="16334"/>
    <cellStyle name="Separador de milhares 5 13" xfId="15775"/>
    <cellStyle name="Separador de milhares 5 14" xfId="15840"/>
    <cellStyle name="Separador de milhares 5 15" xfId="15771"/>
    <cellStyle name="Separador de milhares 5 16" xfId="15849"/>
    <cellStyle name="Separador de milhares 5 17" xfId="15853"/>
    <cellStyle name="Separador de milhares 5 18" xfId="15878"/>
    <cellStyle name="Separador de milhares 5 19" xfId="15922"/>
    <cellStyle name="Separador de milhares 5 2" xfId="2123"/>
    <cellStyle name="Separador de milhares 5 2 10" xfId="15299"/>
    <cellStyle name="Separador de milhares 5 2 2" xfId="2124"/>
    <cellStyle name="Separador de milhares 5 2 2 2" xfId="2125"/>
    <cellStyle name="Separador de milhares 5 2 2 2 2" xfId="2126"/>
    <cellStyle name="Separador de milhares 5 2 2 2 2 2" xfId="2127"/>
    <cellStyle name="Separador de milhares 5 2 2 2 2 2 2" xfId="2711"/>
    <cellStyle name="Separador de milhares 5 2 2 2 2 2 3" xfId="2438"/>
    <cellStyle name="Separador de milhares 5 2 2 2 2 2_Base RF" xfId="5838"/>
    <cellStyle name="Separador de milhares 5 2 2 2 2 3" xfId="2710"/>
    <cellStyle name="Separador de milhares 5 2 2 2 2 4" xfId="2437"/>
    <cellStyle name="Separador de milhares 5 2 2 2 2_Base RF" xfId="5837"/>
    <cellStyle name="Separador de milhares 5 2 2 2 3" xfId="2128"/>
    <cellStyle name="Separador de milhares 5 2 2 2 3 2" xfId="2712"/>
    <cellStyle name="Separador de milhares 5 2 2 2 3 3" xfId="2439"/>
    <cellStyle name="Separador de milhares 5 2 2 2 3_Base RF" xfId="5839"/>
    <cellStyle name="Separador de milhares 5 2 2 2 4" xfId="2709"/>
    <cellStyle name="Separador de milhares 5 2 2 2 5" xfId="2436"/>
    <cellStyle name="Separador de milhares 5 2 2 2_Base RF" xfId="5836"/>
    <cellStyle name="Separador de milhares 5 2 2 3" xfId="2129"/>
    <cellStyle name="Separador de milhares 5 2 2 3 2" xfId="2130"/>
    <cellStyle name="Separador de milhares 5 2 2 3 2 2" xfId="2714"/>
    <cellStyle name="Separador de milhares 5 2 2 3 2 3" xfId="2441"/>
    <cellStyle name="Separador de milhares 5 2 2 3 2_Base RF" xfId="5841"/>
    <cellStyle name="Separador de milhares 5 2 2 3 3" xfId="2713"/>
    <cellStyle name="Separador de milhares 5 2 2 3 4" xfId="2440"/>
    <cellStyle name="Separador de milhares 5 2 2 3_Base RF" xfId="5840"/>
    <cellStyle name="Separador de milhares 5 2 2 4" xfId="2131"/>
    <cellStyle name="Separador de milhares 5 2 2 4 2" xfId="2715"/>
    <cellStyle name="Separador de milhares 5 2 2 4 3" xfId="2442"/>
    <cellStyle name="Separador de milhares 5 2 2 4_Base RF" xfId="5842"/>
    <cellStyle name="Separador de milhares 5 2 2 5" xfId="2708"/>
    <cellStyle name="Separador de milhares 5 2 2 6" xfId="2435"/>
    <cellStyle name="Separador de milhares 5 2 2 6 2" xfId="13895"/>
    <cellStyle name="Separador de milhares 5 2 2 6 3" xfId="9936"/>
    <cellStyle name="Separador de milhares 5 2 2 6_Base RF" xfId="15095"/>
    <cellStyle name="Separador de milhares 5 2 2_Base RF" xfId="5835"/>
    <cellStyle name="Separador de milhares 5 2 3" xfId="2132"/>
    <cellStyle name="Separador de milhares 5 2 3 2" xfId="2133"/>
    <cellStyle name="Separador de milhares 5 2 3 2 2" xfId="2134"/>
    <cellStyle name="Separador de milhares 5 2 3 2 2 2" xfId="2718"/>
    <cellStyle name="Separador de milhares 5 2 3 2 2 3" xfId="2445"/>
    <cellStyle name="Separador de milhares 5 2 3 2 2_Base RF" xfId="5845"/>
    <cellStyle name="Separador de milhares 5 2 3 2 3" xfId="2717"/>
    <cellStyle name="Separador de milhares 5 2 3 2 4" xfId="2444"/>
    <cellStyle name="Separador de milhares 5 2 3 2_Base RF" xfId="5844"/>
    <cellStyle name="Separador de milhares 5 2 3 3" xfId="2135"/>
    <cellStyle name="Separador de milhares 5 2 3 3 2" xfId="2719"/>
    <cellStyle name="Separador de milhares 5 2 3 3 3" xfId="2446"/>
    <cellStyle name="Separador de milhares 5 2 3 3_Base RF" xfId="5846"/>
    <cellStyle name="Separador de milhares 5 2 3 4" xfId="2716"/>
    <cellStyle name="Separador de milhares 5 2 3 5" xfId="2443"/>
    <cellStyle name="Separador de milhares 5 2 3_Base RF" xfId="5843"/>
    <cellStyle name="Separador de milhares 5 2 4" xfId="2136"/>
    <cellStyle name="Separador de milhares 5 2 4 2" xfId="2137"/>
    <cellStyle name="Separador de milhares 5 2 4 2 2" xfId="2721"/>
    <cellStyle name="Separador de milhares 5 2 4 2 3" xfId="2448"/>
    <cellStyle name="Separador de milhares 5 2 4 2_Base RF" xfId="5848"/>
    <cellStyle name="Separador de milhares 5 2 4 3" xfId="2720"/>
    <cellStyle name="Separador de milhares 5 2 4 4" xfId="2447"/>
    <cellStyle name="Separador de milhares 5 2 4_Base RF" xfId="5847"/>
    <cellStyle name="Separador de milhares 5 2 5" xfId="2138"/>
    <cellStyle name="Separador de milhares 5 2 5 2" xfId="2722"/>
    <cellStyle name="Separador de milhares 5 2 5 3" xfId="2449"/>
    <cellStyle name="Separador de milhares 5 2 5_Base RF" xfId="5849"/>
    <cellStyle name="Separador de milhares 5 2 6" xfId="2707"/>
    <cellStyle name="Separador de milhares 5 2 6 2" xfId="5231"/>
    <cellStyle name="Separador de milhares 5 2 6 3" xfId="15384"/>
    <cellStyle name="Separador de milhares 5 2 6_Base RF" xfId="5850"/>
    <cellStyle name="Separador de milhares 5 2 7" xfId="2434"/>
    <cellStyle name="Separador de milhares 5 2 7 2" xfId="5420"/>
    <cellStyle name="Separador de milhares 5 2 7 3" xfId="13894"/>
    <cellStyle name="Separador de milhares 5 2 7 4" xfId="9935"/>
    <cellStyle name="Separador de milhares 5 2 7_Base RF" xfId="5851"/>
    <cellStyle name="Separador de milhares 5 2 8" xfId="4832"/>
    <cellStyle name="Separador de milhares 5 2 9" xfId="15539"/>
    <cellStyle name="Separador de milhares 5 2_Base RF" xfId="5834"/>
    <cellStyle name="Separador de milhares 5 20" xfId="15874"/>
    <cellStyle name="Separador de milhares 5 21" xfId="15887"/>
    <cellStyle name="Separador de milhares 5 22" xfId="15897"/>
    <cellStyle name="Separador de milhares 5 23" xfId="15927"/>
    <cellStyle name="Separador de milhares 5 24" xfId="15937"/>
    <cellStyle name="Separador de milhares 5 25" xfId="15907"/>
    <cellStyle name="Separador de milhares 5 26" xfId="15930"/>
    <cellStyle name="Separador de milhares 5 27" xfId="15934"/>
    <cellStyle name="Separador de milhares 5 28" xfId="15942"/>
    <cellStyle name="Separador de milhares 5 29" xfId="15914"/>
    <cellStyle name="Separador de milhares 5 3" xfId="2139"/>
    <cellStyle name="Separador de milhares 5 3 2" xfId="2140"/>
    <cellStyle name="Separador de milhares 5 3 2 2" xfId="2141"/>
    <cellStyle name="Separador de milhares 5 3 2 2 2" xfId="2142"/>
    <cellStyle name="Separador de milhares 5 3 2 2 2 2" xfId="2726"/>
    <cellStyle name="Separador de milhares 5 3 2 2 2 3" xfId="2453"/>
    <cellStyle name="Separador de milhares 5 3 2 2 2_Base RF" xfId="5855"/>
    <cellStyle name="Separador de milhares 5 3 2 2 3" xfId="2725"/>
    <cellStyle name="Separador de milhares 5 3 2 2 4" xfId="2452"/>
    <cellStyle name="Separador de milhares 5 3 2 2_Base RF" xfId="5854"/>
    <cellStyle name="Separador de milhares 5 3 2 3" xfId="2143"/>
    <cellStyle name="Separador de milhares 5 3 2 3 2" xfId="2727"/>
    <cellStyle name="Separador de milhares 5 3 2 3 3" xfId="2454"/>
    <cellStyle name="Separador de milhares 5 3 2 3_Base RF" xfId="5856"/>
    <cellStyle name="Separador de milhares 5 3 2 4" xfId="2724"/>
    <cellStyle name="Separador de milhares 5 3 2 4 2" xfId="5233"/>
    <cellStyle name="Separador de milhares 5 3 2 4 3" xfId="15386"/>
    <cellStyle name="Separador de milhares 5 3 2 4_Base RF" xfId="5857"/>
    <cellStyle name="Separador de milhares 5 3 2 5" xfId="2451"/>
    <cellStyle name="Separador de milhares 5 3 2 5 2" xfId="5422"/>
    <cellStyle name="Separador de milhares 5 3 2 5 3" xfId="15348"/>
    <cellStyle name="Separador de milhares 5 3 2 5_Base RF" xfId="5858"/>
    <cellStyle name="Separador de milhares 5 3 2 6" xfId="4834"/>
    <cellStyle name="Separador de milhares 5 3 2 7" xfId="15541"/>
    <cellStyle name="Separador de milhares 5 3 2 8" xfId="15301"/>
    <cellStyle name="Separador de milhares 5 3 2_Base RF" xfId="5853"/>
    <cellStyle name="Separador de milhares 5 3 3" xfId="2144"/>
    <cellStyle name="Separador de milhares 5 3 3 2" xfId="2145"/>
    <cellStyle name="Separador de milhares 5 3 3 2 2" xfId="2729"/>
    <cellStyle name="Separador de milhares 5 3 3 2 3" xfId="2456"/>
    <cellStyle name="Separador de milhares 5 3 3 2_Base RF" xfId="5860"/>
    <cellStyle name="Separador de milhares 5 3 3 3" xfId="2728"/>
    <cellStyle name="Separador de milhares 5 3 3 4" xfId="2455"/>
    <cellStyle name="Separador de milhares 5 3 3_Base RF" xfId="5859"/>
    <cellStyle name="Separador de milhares 5 3 4" xfId="2146"/>
    <cellStyle name="Separador de milhares 5 3 4 2" xfId="2730"/>
    <cellStyle name="Separador de milhares 5 3 4 3" xfId="2457"/>
    <cellStyle name="Separador de milhares 5 3 4_Base RF" xfId="5861"/>
    <cellStyle name="Separador de milhares 5 3 5" xfId="2723"/>
    <cellStyle name="Separador de milhares 5 3 5 2" xfId="5232"/>
    <cellStyle name="Separador de milhares 5 3 5 3" xfId="15385"/>
    <cellStyle name="Separador de milhares 5 3 5_Base RF" xfId="5862"/>
    <cellStyle name="Separador de milhares 5 3 6" xfId="2450"/>
    <cellStyle name="Separador de milhares 5 3 6 2" xfId="5421"/>
    <cellStyle name="Separador de milhares 5 3 6 3" xfId="13896"/>
    <cellStyle name="Separador de milhares 5 3 6 4" xfId="9937"/>
    <cellStyle name="Separador de milhares 5 3 6_Base RF" xfId="5863"/>
    <cellStyle name="Separador de milhares 5 3 7" xfId="4833"/>
    <cellStyle name="Separador de milhares 5 3 8" xfId="15540"/>
    <cellStyle name="Separador de milhares 5 3 9" xfId="15300"/>
    <cellStyle name="Separador de milhares 5 3_Base RF" xfId="5852"/>
    <cellStyle name="Separador de milhares 5 30" xfId="15909"/>
    <cellStyle name="Separador de milhares 5 31" xfId="15948"/>
    <cellStyle name="Separador de milhares 5 32" xfId="15965"/>
    <cellStyle name="Separador de milhares 5 33" xfId="15968"/>
    <cellStyle name="Separador de milhares 5 34" xfId="15966"/>
    <cellStyle name="Separador de milhares 5 35" xfId="15961"/>
    <cellStyle name="Separador de milhares 5 36" xfId="15981"/>
    <cellStyle name="Separador de milhares 5 37" xfId="15969"/>
    <cellStyle name="Separador de milhares 5 38" xfId="15986"/>
    <cellStyle name="Separador de milhares 5 39" xfId="15990"/>
    <cellStyle name="Separador de milhares 5 4" xfId="2147"/>
    <cellStyle name="Separador de milhares 5 4 2" xfId="2148"/>
    <cellStyle name="Separador de milhares 5 4 2 2" xfId="2149"/>
    <cellStyle name="Separador de milhares 5 4 2 2 2" xfId="2733"/>
    <cellStyle name="Separador de milhares 5 4 2 2 3" xfId="2460"/>
    <cellStyle name="Separador de milhares 5 4 2 2_Base RF" xfId="5866"/>
    <cellStyle name="Separador de milhares 5 4 2 3" xfId="2732"/>
    <cellStyle name="Separador de milhares 5 4 2 4" xfId="2459"/>
    <cellStyle name="Separador de milhares 5 4 2_Base RF" xfId="5865"/>
    <cellStyle name="Separador de milhares 5 4 3" xfId="2150"/>
    <cellStyle name="Separador de milhares 5 4 3 2" xfId="2734"/>
    <cellStyle name="Separador de milhares 5 4 3 3" xfId="2461"/>
    <cellStyle name="Separador de milhares 5 4 3_Base RF" xfId="5867"/>
    <cellStyle name="Separador de milhares 5 4 4" xfId="2731"/>
    <cellStyle name="Separador de milhares 5 4 5" xfId="2458"/>
    <cellStyle name="Separador de milhares 5 4_Base RF" xfId="5864"/>
    <cellStyle name="Separador de milhares 5 40" xfId="16001"/>
    <cellStyle name="Separador de milhares 5 41" xfId="16049"/>
    <cellStyle name="Separador de milhares 5 42" xfId="16025"/>
    <cellStyle name="Separador de milhares 5 43" xfId="16013"/>
    <cellStyle name="Separador de milhares 5 44" xfId="16011"/>
    <cellStyle name="Separador de milhares 5 45" xfId="16023"/>
    <cellStyle name="Separador de milhares 5 46" xfId="16009"/>
    <cellStyle name="Separador de milhares 5 47" xfId="16034"/>
    <cellStyle name="Separador de milhares 5 48" xfId="16064"/>
    <cellStyle name="Separador de milhares 5 49" xfId="16035"/>
    <cellStyle name="Separador de milhares 5 5" xfId="2151"/>
    <cellStyle name="Separador de milhares 5 5 2" xfId="2152"/>
    <cellStyle name="Separador de milhares 5 5 2 2" xfId="2736"/>
    <cellStyle name="Separador de milhares 5 5 2 3" xfId="2463"/>
    <cellStyle name="Separador de milhares 5 5 2_Base RF" xfId="5869"/>
    <cellStyle name="Separador de milhares 5 5 3" xfId="2735"/>
    <cellStyle name="Separador de milhares 5 5 3 2" xfId="5234"/>
    <cellStyle name="Separador de milhares 5 5 3 3" xfId="15387"/>
    <cellStyle name="Separador de milhares 5 5 3_Base RF" xfId="5870"/>
    <cellStyle name="Separador de milhares 5 5 4" xfId="2462"/>
    <cellStyle name="Separador de milhares 5 5 4 2" xfId="5423"/>
    <cellStyle name="Separador de milhares 5 5 4 3" xfId="15349"/>
    <cellStyle name="Separador de milhares 5 5 4_Base RF" xfId="5871"/>
    <cellStyle name="Separador de milhares 5 5 5" xfId="4831"/>
    <cellStyle name="Separador de milhares 5 5 6" xfId="15538"/>
    <cellStyle name="Separador de milhares 5 5 7" xfId="15298"/>
    <cellStyle name="Separador de milhares 5 5_Base RF" xfId="5868"/>
    <cellStyle name="Separador de milhares 5 50" xfId="16015"/>
    <cellStyle name="Separador de milhares 5 51" xfId="16073"/>
    <cellStyle name="Separador de milhares 5 52" xfId="16083"/>
    <cellStyle name="Separador de milhares 5 53" xfId="16071"/>
    <cellStyle name="Separador de milhares 5 54" xfId="16085"/>
    <cellStyle name="Separador de milhares 5 55" xfId="16096"/>
    <cellStyle name="Separador de milhares 5 56" xfId="16106"/>
    <cellStyle name="Separador de milhares 5 57" xfId="16101"/>
    <cellStyle name="Separador de milhares 5 58" xfId="16114"/>
    <cellStyle name="Separador de milhares 5 59" xfId="16124"/>
    <cellStyle name="Separador de milhares 5 6" xfId="2153"/>
    <cellStyle name="Separador de milhares 5 6 2" xfId="2737"/>
    <cellStyle name="Separador de milhares 5 6 3" xfId="2464"/>
    <cellStyle name="Separador de milhares 5 6_Base RF" xfId="5872"/>
    <cellStyle name="Separador de milhares 5 60" xfId="16117"/>
    <cellStyle name="Separador de milhares 5 61" xfId="16156"/>
    <cellStyle name="Separador de milhares 5 62" xfId="16270"/>
    <cellStyle name="Separador de milhares 5 63" xfId="16214"/>
    <cellStyle name="Separador de milhares 5 64" xfId="16171"/>
    <cellStyle name="Separador de milhares 5 65" xfId="16169"/>
    <cellStyle name="Separador de milhares 5 66" xfId="16150"/>
    <cellStyle name="Separador de milhares 5 67" xfId="16275"/>
    <cellStyle name="Separador de milhares 5 68" xfId="16196"/>
    <cellStyle name="Separador de milhares 5 69" xfId="16286"/>
    <cellStyle name="Separador de milhares 5 7" xfId="2706"/>
    <cellStyle name="Separador de milhares 5 70" xfId="16135"/>
    <cellStyle name="Separador de milhares 5 71" xfId="16255"/>
    <cellStyle name="Separador de milhares 5 72" xfId="16300"/>
    <cellStyle name="Separador de milhares 5 73" xfId="16205"/>
    <cellStyle name="Separador de milhares 5 74" xfId="16153"/>
    <cellStyle name="Separador de milhares 5 75" xfId="16272"/>
    <cellStyle name="Separador de milhares 5 76" xfId="16139"/>
    <cellStyle name="Separador de milhares 5 77" xfId="16235"/>
    <cellStyle name="Separador de milhares 5 78" xfId="16146"/>
    <cellStyle name="Separador de milhares 5 79" xfId="16278"/>
    <cellStyle name="Separador de milhares 5 8" xfId="2433"/>
    <cellStyle name="Separador de milhares 5 8 2" xfId="5437"/>
    <cellStyle name="Separador de milhares 5 8 3" xfId="13893"/>
    <cellStyle name="Separador de milhares 5 8 4" xfId="9238"/>
    <cellStyle name="Separador de milhares 5 8_Base RF" xfId="5873"/>
    <cellStyle name="Separador de milhares 5 80" xfId="16213"/>
    <cellStyle name="Separador de milhares 5 81" xfId="16254"/>
    <cellStyle name="Separador de milhares 5 82" xfId="16225"/>
    <cellStyle name="Separador de milhares 5 83" xfId="16310"/>
    <cellStyle name="Separador de milhares 5 84" xfId="16199"/>
    <cellStyle name="Separador de milhares 5 85" xfId="16154"/>
    <cellStyle name="Separador de milhares 5 86" xfId="16211"/>
    <cellStyle name="Separador de milhares 5 87" xfId="16364"/>
    <cellStyle name="Separador de milhares 5 88" xfId="16379"/>
    <cellStyle name="Separador de milhares 5 89" xfId="16363"/>
    <cellStyle name="Separador de milhares 5 9" xfId="5315"/>
    <cellStyle name="Separador de milhares 5 9 2" xfId="14836"/>
    <cellStyle name="Separador de milhares 5 9 3" xfId="13769"/>
    <cellStyle name="Separador de milhares 5 9_Base RF" xfId="15096"/>
    <cellStyle name="Separador de milhares 5 90" xfId="16380"/>
    <cellStyle name="Separador de milhares 5 91" xfId="16365"/>
    <cellStyle name="Separador de milhares 5 92" xfId="16381"/>
    <cellStyle name="Separador de milhares 5 93" xfId="16389"/>
    <cellStyle name="Separador de milhares 5_Base RF" xfId="5833"/>
    <cellStyle name="Separador de milhares 6" xfId="2154"/>
    <cellStyle name="Separador de milhares 6 10" xfId="15527"/>
    <cellStyle name="Separador de milhares 6 11" xfId="15302"/>
    <cellStyle name="Separador de milhares 6 2" xfId="2155"/>
    <cellStyle name="Separador de milhares 6 2 10" xfId="15303"/>
    <cellStyle name="Separador de milhares 6 2 2" xfId="2156"/>
    <cellStyle name="Separador de milhares 6 2 2 2" xfId="2157"/>
    <cellStyle name="Separador de milhares 6 2 2 2 2" xfId="2158"/>
    <cellStyle name="Separador de milhares 6 2 2 2 2 2" xfId="2159"/>
    <cellStyle name="Separador de milhares 6 2 2 2 2 2 2" xfId="2743"/>
    <cellStyle name="Separador de milhares 6 2 2 2 2 2 3" xfId="2470"/>
    <cellStyle name="Separador de milhares 6 2 2 2 2 2_Base RF" xfId="5879"/>
    <cellStyle name="Separador de milhares 6 2 2 2 2 3" xfId="2742"/>
    <cellStyle name="Separador de milhares 6 2 2 2 2 4" xfId="2469"/>
    <cellStyle name="Separador de milhares 6 2 2 2 2_Base RF" xfId="5878"/>
    <cellStyle name="Separador de milhares 6 2 2 2 3" xfId="2160"/>
    <cellStyle name="Separador de milhares 6 2 2 2 3 2" xfId="2744"/>
    <cellStyle name="Separador de milhares 6 2 2 2 3 3" xfId="2471"/>
    <cellStyle name="Separador de milhares 6 2 2 2 3_Base RF" xfId="5880"/>
    <cellStyle name="Separador de milhares 6 2 2 2 4" xfId="2741"/>
    <cellStyle name="Separador de milhares 6 2 2 2 5" xfId="2468"/>
    <cellStyle name="Separador de milhares 6 2 2 2 5 2" xfId="13900"/>
    <cellStyle name="Separador de milhares 6 2 2 2 5 3" xfId="9941"/>
    <cellStyle name="Separador de milhares 6 2 2 2 5_Base RF" xfId="15097"/>
    <cellStyle name="Separador de milhares 6 2 2 2_Base RF" xfId="5877"/>
    <cellStyle name="Separador de milhares 6 2 2 3" xfId="2161"/>
    <cellStyle name="Separador de milhares 6 2 2 3 2" xfId="2162"/>
    <cellStyle name="Separador de milhares 6 2 2 3 2 2" xfId="2746"/>
    <cellStyle name="Separador de milhares 6 2 2 3 2 3" xfId="2473"/>
    <cellStyle name="Separador de milhares 6 2 2 3 2_Base RF" xfId="5882"/>
    <cellStyle name="Separador de milhares 6 2 2 3 3" xfId="2745"/>
    <cellStyle name="Separador de milhares 6 2 2 3 4" xfId="2472"/>
    <cellStyle name="Separador de milhares 6 2 2 3_Base RF" xfId="5881"/>
    <cellStyle name="Separador de milhares 6 2 2 4" xfId="2163"/>
    <cellStyle name="Separador de milhares 6 2 2 4 2" xfId="2747"/>
    <cellStyle name="Separador de milhares 6 2 2 4 3" xfId="2474"/>
    <cellStyle name="Separador de milhares 6 2 2 4_Base RF" xfId="5883"/>
    <cellStyle name="Separador de milhares 6 2 2 5" xfId="2740"/>
    <cellStyle name="Separador de milhares 6 2 2 6" xfId="2467"/>
    <cellStyle name="Separador de milhares 6 2 2 6 2" xfId="13899"/>
    <cellStyle name="Separador de milhares 6 2 2 6 3" xfId="9940"/>
    <cellStyle name="Separador de milhares 6 2 2 6_Base RF" xfId="15098"/>
    <cellStyle name="Separador de milhares 6 2 2_Base RF" xfId="5876"/>
    <cellStyle name="Separador de milhares 6 2 3" xfId="2164"/>
    <cellStyle name="Separador de milhares 6 2 3 2" xfId="2165"/>
    <cellStyle name="Separador de milhares 6 2 3 2 2" xfId="2166"/>
    <cellStyle name="Separador de milhares 6 2 3 2 2 2" xfId="2750"/>
    <cellStyle name="Separador de milhares 6 2 3 2 2 3" xfId="2477"/>
    <cellStyle name="Separador de milhares 6 2 3 2 2_Base RF" xfId="5886"/>
    <cellStyle name="Separador de milhares 6 2 3 2 3" xfId="2749"/>
    <cellStyle name="Separador de milhares 6 2 3 2 4" xfId="2476"/>
    <cellStyle name="Separador de milhares 6 2 3 2_Base RF" xfId="5885"/>
    <cellStyle name="Separador de milhares 6 2 3 3" xfId="2167"/>
    <cellStyle name="Separador de milhares 6 2 3 3 2" xfId="2751"/>
    <cellStyle name="Separador de milhares 6 2 3 3 3" xfId="2478"/>
    <cellStyle name="Separador de milhares 6 2 3 3_Base RF" xfId="5887"/>
    <cellStyle name="Separador de milhares 6 2 3 4" xfId="2748"/>
    <cellStyle name="Separador de milhares 6 2 3 5" xfId="2475"/>
    <cellStyle name="Separador de milhares 6 2 3 5 2" xfId="13901"/>
    <cellStyle name="Separador de milhares 6 2 3 5 3" xfId="9942"/>
    <cellStyle name="Separador de milhares 6 2 3 5_Base RF" xfId="15099"/>
    <cellStyle name="Separador de milhares 6 2 3_Base RF" xfId="5884"/>
    <cellStyle name="Separador de milhares 6 2 4" xfId="2168"/>
    <cellStyle name="Separador de milhares 6 2 4 2" xfId="2169"/>
    <cellStyle name="Separador de milhares 6 2 4 2 2" xfId="2753"/>
    <cellStyle name="Separador de milhares 6 2 4 2 3" xfId="2480"/>
    <cellStyle name="Separador de milhares 6 2 4 2_Base RF" xfId="5889"/>
    <cellStyle name="Separador de milhares 6 2 4 3" xfId="2752"/>
    <cellStyle name="Separador de milhares 6 2 4 4" xfId="2479"/>
    <cellStyle name="Separador de milhares 6 2 4_Base RF" xfId="5888"/>
    <cellStyle name="Separador de milhares 6 2 5" xfId="2170"/>
    <cellStyle name="Separador de milhares 6 2 5 2" xfId="2754"/>
    <cellStyle name="Separador de milhares 6 2 5 3" xfId="2481"/>
    <cellStyle name="Separador de milhares 6 2 5_Base RF" xfId="5890"/>
    <cellStyle name="Separador de milhares 6 2 6" xfId="2739"/>
    <cellStyle name="Separador de milhares 6 2 6 2" xfId="5235"/>
    <cellStyle name="Separador de milhares 6 2 6 3" xfId="15388"/>
    <cellStyle name="Separador de milhares 6 2 6_Base RF" xfId="5891"/>
    <cellStyle name="Separador de milhares 6 2 7" xfId="2466"/>
    <cellStyle name="Separador de milhares 6 2 7 2" xfId="5424"/>
    <cellStyle name="Separador de milhares 6 2 7 3" xfId="13898"/>
    <cellStyle name="Separador de milhares 6 2 7 4" xfId="9939"/>
    <cellStyle name="Separador de milhares 6 2 7_Base RF" xfId="5892"/>
    <cellStyle name="Separador de milhares 6 2 8" xfId="4835"/>
    <cellStyle name="Separador de milhares 6 2 9" xfId="15543"/>
    <cellStyle name="Separador de milhares 6 2_Base RF" xfId="5875"/>
    <cellStyle name="Separador de milhares 6 3" xfId="2171"/>
    <cellStyle name="Separador de milhares 6 3 2" xfId="2172"/>
    <cellStyle name="Separador de milhares 6 3 2 2" xfId="2173"/>
    <cellStyle name="Separador de milhares 6 3 2 2 2" xfId="2174"/>
    <cellStyle name="Separador de milhares 6 3 2 2 2 2" xfId="2758"/>
    <cellStyle name="Separador de milhares 6 3 2 2 2 3" xfId="2485"/>
    <cellStyle name="Separador de milhares 6 3 2 2 2_Base RF" xfId="5896"/>
    <cellStyle name="Separador de milhares 6 3 2 2 3" xfId="2757"/>
    <cellStyle name="Separador de milhares 6 3 2 2 4" xfId="2484"/>
    <cellStyle name="Separador de milhares 6 3 2 2_Base RF" xfId="5895"/>
    <cellStyle name="Separador de milhares 6 3 2 3" xfId="2175"/>
    <cellStyle name="Separador de milhares 6 3 2 3 2" xfId="2759"/>
    <cellStyle name="Separador de milhares 6 3 2 3 3" xfId="2486"/>
    <cellStyle name="Separador de milhares 6 3 2 3_Base RF" xfId="5897"/>
    <cellStyle name="Separador de milhares 6 3 2 4" xfId="2756"/>
    <cellStyle name="Separador de milhares 6 3 2 5" xfId="2483"/>
    <cellStyle name="Separador de milhares 6 3 2 5 2" xfId="13903"/>
    <cellStyle name="Separador de milhares 6 3 2 5 3" xfId="9944"/>
    <cellStyle name="Separador de milhares 6 3 2 5_Base RF" xfId="15100"/>
    <cellStyle name="Separador de milhares 6 3 2_Base RF" xfId="5894"/>
    <cellStyle name="Separador de milhares 6 3 3" xfId="2176"/>
    <cellStyle name="Separador de milhares 6 3 3 2" xfId="2177"/>
    <cellStyle name="Separador de milhares 6 3 3 2 2" xfId="2761"/>
    <cellStyle name="Separador de milhares 6 3 3 2 3" xfId="2488"/>
    <cellStyle name="Separador de milhares 6 3 3 2_Base RF" xfId="5899"/>
    <cellStyle name="Separador de milhares 6 3 3 3" xfId="2760"/>
    <cellStyle name="Separador de milhares 6 3 3 4" xfId="2487"/>
    <cellStyle name="Separador de milhares 6 3 3_Base RF" xfId="5898"/>
    <cellStyle name="Separador de milhares 6 3 4" xfId="2178"/>
    <cellStyle name="Separador de milhares 6 3 4 2" xfId="2762"/>
    <cellStyle name="Separador de milhares 6 3 4 3" xfId="2489"/>
    <cellStyle name="Separador de milhares 6 3 4_Base RF" xfId="5900"/>
    <cellStyle name="Separador de milhares 6 3 5" xfId="2755"/>
    <cellStyle name="Separador de milhares 6 3 6" xfId="2482"/>
    <cellStyle name="Separador de milhares 6 3 6 2" xfId="13902"/>
    <cellStyle name="Separador de milhares 6 3 6 3" xfId="9943"/>
    <cellStyle name="Separador de milhares 6 3 6_Base RF" xfId="15101"/>
    <cellStyle name="Separador de milhares 6 3_Base RF" xfId="5893"/>
    <cellStyle name="Separador de milhares 6 4" xfId="2179"/>
    <cellStyle name="Separador de milhares 6 4 10" xfId="9946"/>
    <cellStyle name="Separador de milhares 6 4 10 2" xfId="9947"/>
    <cellStyle name="Separador de milhares 6 4 10 2 2" xfId="9948"/>
    <cellStyle name="Separador de milhares 6 4 10 3" xfId="9949"/>
    <cellStyle name="Separador de milhares 6 4 11" xfId="9950"/>
    <cellStyle name="Separador de milhares 6 4 11 2" xfId="9951"/>
    <cellStyle name="Separador de milhares 6 4 12" xfId="9952"/>
    <cellStyle name="Separador de milhares 6 4 12 2" xfId="9953"/>
    <cellStyle name="Separador de milhares 6 4 12 2 2" xfId="9954"/>
    <cellStyle name="Separador de milhares 6 4 12 2 2 2" xfId="9955"/>
    <cellStyle name="Separador de milhares 6 4 12 2 3" xfId="9956"/>
    <cellStyle name="Separador de milhares 6 4 12 3" xfId="9957"/>
    <cellStyle name="Separador de milhares 6 4 12 3 2" xfId="9958"/>
    <cellStyle name="Separador de milhares 6 4 12 4" xfId="9959"/>
    <cellStyle name="Separador de milhares 6 4 12 4 2" xfId="9960"/>
    <cellStyle name="Separador de milhares 6 4 12 5" xfId="9961"/>
    <cellStyle name="Separador de milhares 6 4 12 5 2" xfId="9962"/>
    <cellStyle name="Separador de milhares 6 4 12 6" xfId="9963"/>
    <cellStyle name="Separador de milhares 6 4 13" xfId="9964"/>
    <cellStyle name="Separador de milhares 6 4 13 2" xfId="9965"/>
    <cellStyle name="Separador de milhares 6 4 13 2 2" xfId="9966"/>
    <cellStyle name="Separador de milhares 6 4 13 2 2 2" xfId="9967"/>
    <cellStyle name="Separador de milhares 6 4 13 2 3" xfId="9968"/>
    <cellStyle name="Separador de milhares 6 4 13 3" xfId="9969"/>
    <cellStyle name="Separador de milhares 6 4 13 3 2" xfId="9970"/>
    <cellStyle name="Separador de milhares 6 4 13 4" xfId="9971"/>
    <cellStyle name="Separador de milhares 6 4 13 4 2" xfId="9972"/>
    <cellStyle name="Separador de milhares 6 4 13 5" xfId="9973"/>
    <cellStyle name="Separador de milhares 6 4 13 5 2" xfId="9974"/>
    <cellStyle name="Separador de milhares 6 4 13 6" xfId="9975"/>
    <cellStyle name="Separador de milhares 6 4 14" xfId="9976"/>
    <cellStyle name="Separador de milhares 6 4 14 2" xfId="9977"/>
    <cellStyle name="Separador de milhares 6 4 14 2 2" xfId="9978"/>
    <cellStyle name="Separador de milhares 6 4 14 3" xfId="9979"/>
    <cellStyle name="Separador de milhares 6 4 15" xfId="9980"/>
    <cellStyle name="Separador de milhares 6 4 15 2" xfId="9981"/>
    <cellStyle name="Separador de milhares 6 4 16" xfId="9982"/>
    <cellStyle name="Separador de milhares 6 4 16 2" xfId="9983"/>
    <cellStyle name="Separador de milhares 6 4 17" xfId="9984"/>
    <cellStyle name="Separador de milhares 6 4 17 2" xfId="9985"/>
    <cellStyle name="Separador de milhares 6 4 18" xfId="9986"/>
    <cellStyle name="Separador de milhares 6 4 19" xfId="9987"/>
    <cellStyle name="Separador de milhares 6 4 2" xfId="2180"/>
    <cellStyle name="Separador de milhares 6 4 2 10" xfId="16367"/>
    <cellStyle name="Separador de milhares 6 4 2 2" xfId="2181"/>
    <cellStyle name="Separador de milhares 6 4 2 2 10" xfId="16376"/>
    <cellStyle name="Separador de milhares 6 4 2 2 2" xfId="2765"/>
    <cellStyle name="Separador de milhares 6 4 2 2 2 2" xfId="13922"/>
    <cellStyle name="Separador de milhares 6 4 2 2 2 3" xfId="9990"/>
    <cellStyle name="Separador de milhares 6 4 2 2 2_Base RF" xfId="15102"/>
    <cellStyle name="Separador de milhares 6 4 2 2 3" xfId="2492"/>
    <cellStyle name="Separador de milhares 6 4 2 2 3 2" xfId="13906"/>
    <cellStyle name="Separador de milhares 6 4 2 2 3 3" xfId="13772"/>
    <cellStyle name="Separador de milhares 6 4 2 2 3_Base RF" xfId="15103"/>
    <cellStyle name="Separador de milhares 6 4 2 2 4" xfId="9989"/>
    <cellStyle name="Separador de milhares 6 4 2 2 5" xfId="15317"/>
    <cellStyle name="Separador de milhares 6 4 2 2 6" xfId="16368"/>
    <cellStyle name="Separador de milhares 6 4 2 2 7" xfId="16382"/>
    <cellStyle name="Separador de milhares 6 4 2 2 8" xfId="16370"/>
    <cellStyle name="Separador de milhares 6 4 2 2 9" xfId="16385"/>
    <cellStyle name="Separador de milhares 6 4 2 2_Base RF" xfId="5903"/>
    <cellStyle name="Separador de milhares 6 4 2 3" xfId="2764"/>
    <cellStyle name="Separador de milhares 6 4 2 3 2" xfId="9992"/>
    <cellStyle name="Separador de milhares 6 4 2 3 3" xfId="13921"/>
    <cellStyle name="Separador de milhares 6 4 2 3 4" xfId="9991"/>
    <cellStyle name="Separador de milhares 6 4 2 3_Base RF" xfId="15104"/>
    <cellStyle name="Separador de milhares 6 4 2 4" xfId="2491"/>
    <cellStyle name="Separador de milhares 6 4 2 4 2" xfId="9994"/>
    <cellStyle name="Separador de milhares 6 4 2 4 2 2" xfId="9995"/>
    <cellStyle name="Separador de milhares 6 4 2 4 2 2 2" xfId="9996"/>
    <cellStyle name="Separador de milhares 6 4 2 4 2 3" xfId="9997"/>
    <cellStyle name="Separador de milhares 6 4 2 4 3" xfId="9998"/>
    <cellStyle name="Separador de milhares 6 4 2 4 3 2" xfId="9999"/>
    <cellStyle name="Separador de milhares 6 4 2 4 4" xfId="10000"/>
    <cellStyle name="Separador de milhares 6 4 2 4 4 2" xfId="10001"/>
    <cellStyle name="Separador de milhares 6 4 2 4 5" xfId="10002"/>
    <cellStyle name="Separador de milhares 6 4 2 4 5 2" xfId="10003"/>
    <cellStyle name="Separador de milhares 6 4 2 4 6" xfId="10004"/>
    <cellStyle name="Separador de milhares 6 4 2 4 7" xfId="13905"/>
    <cellStyle name="Separador de milhares 6 4 2 4 8" xfId="9993"/>
    <cellStyle name="Separador de milhares 6 4 2 4_Base RF" xfId="15105"/>
    <cellStyle name="Separador de milhares 6 4 2 5" xfId="10005"/>
    <cellStyle name="Separador de milhares 6 4 2 5 2" xfId="10006"/>
    <cellStyle name="Separador de milhares 6 4 2 5 2 2" xfId="10007"/>
    <cellStyle name="Separador de milhares 6 4 2 5 2 2 2" xfId="10008"/>
    <cellStyle name="Separador de milhares 6 4 2 5 2 3" xfId="10009"/>
    <cellStyle name="Separador de milhares 6 4 2 5 3" xfId="10010"/>
    <cellStyle name="Separador de milhares 6 4 2 5 3 2" xfId="10011"/>
    <cellStyle name="Separador de milhares 6 4 2 5 4" xfId="10012"/>
    <cellStyle name="Separador de milhares 6 4 2 5 4 2" xfId="10013"/>
    <cellStyle name="Separador de milhares 6 4 2 5 5" xfId="10014"/>
    <cellStyle name="Separador de milhares 6 4 2 5 5 2" xfId="10015"/>
    <cellStyle name="Separador de milhares 6 4 2 5 6" xfId="10016"/>
    <cellStyle name="Separador de milhares 6 4 2 6" xfId="10017"/>
    <cellStyle name="Separador de milhares 6 4 2 7" xfId="13771"/>
    <cellStyle name="Separador de milhares 6 4 2 8" xfId="9988"/>
    <cellStyle name="Separador de milhares 6 4 2 9" xfId="15316"/>
    <cellStyle name="Separador de milhares 6 4 2_Base RF" xfId="5902"/>
    <cellStyle name="Separador de milhares 6 4 20" xfId="10018"/>
    <cellStyle name="Separador de milhares 6 4 20 2" xfId="10019"/>
    <cellStyle name="Separador de milhares 6 4 21" xfId="10020"/>
    <cellStyle name="Separador de milhares 6 4 21 2" xfId="10021"/>
    <cellStyle name="Separador de milhares 6 4 22" xfId="10022"/>
    <cellStyle name="Separador de milhares 6 4 23" xfId="13770"/>
    <cellStyle name="Separador de milhares 6 4 24" xfId="9945"/>
    <cellStyle name="Separador de milhares 6 4 25" xfId="15315"/>
    <cellStyle name="Separador de milhares 6 4 26" xfId="16366"/>
    <cellStyle name="Separador de milhares 6 4 3" xfId="2182"/>
    <cellStyle name="Separador de milhares 6 4 3 10" xfId="16377"/>
    <cellStyle name="Separador de milhares 6 4 3 2" xfId="2766"/>
    <cellStyle name="Separador de milhares 6 4 3 2 2" xfId="13923"/>
    <cellStyle name="Separador de milhares 6 4 3 2 3" xfId="10024"/>
    <cellStyle name="Separador de milhares 6 4 3 2_Base RF" xfId="15106"/>
    <cellStyle name="Separador de milhares 6 4 3 3" xfId="2493"/>
    <cellStyle name="Separador de milhares 6 4 3 3 2" xfId="13907"/>
    <cellStyle name="Separador de milhares 6 4 3 3 3" xfId="13773"/>
    <cellStyle name="Separador de milhares 6 4 3 3_Base RF" xfId="15107"/>
    <cellStyle name="Separador de milhares 6 4 3 4" xfId="10023"/>
    <cellStyle name="Separador de milhares 6 4 3 5" xfId="15318"/>
    <cellStyle name="Separador de milhares 6 4 3 6" xfId="16369"/>
    <cellStyle name="Separador de milhares 6 4 3 7" xfId="16383"/>
    <cellStyle name="Separador de milhares 6 4 3 8" xfId="16371"/>
    <cellStyle name="Separador de milhares 6 4 3 9" xfId="16386"/>
    <cellStyle name="Separador de milhares 6 4 3_Base RF" xfId="5904"/>
    <cellStyle name="Separador de milhares 6 4 4" xfId="2763"/>
    <cellStyle name="Separador de milhares 6 4 4 2" xfId="10026"/>
    <cellStyle name="Separador de milhares 6 4 4 2 2" xfId="10027"/>
    <cellStyle name="Separador de milhares 6 4 4 3" xfId="10028"/>
    <cellStyle name="Separador de milhares 6 4 4 4" xfId="13920"/>
    <cellStyle name="Separador de milhares 6 4 4 5" xfId="10025"/>
    <cellStyle name="Separador de milhares 6 4 4_Base RF" xfId="15108"/>
    <cellStyle name="Separador de milhares 6 4 5" xfId="2490"/>
    <cellStyle name="Separador de milhares 6 4 5 2" xfId="10030"/>
    <cellStyle name="Separador de milhares 6 4 5 2 2" xfId="10031"/>
    <cellStyle name="Separador de milhares 6 4 5 2 2 2" xfId="10032"/>
    <cellStyle name="Separador de milhares 6 4 5 2 3" xfId="10033"/>
    <cellStyle name="Separador de milhares 6 4 5 3" xfId="10034"/>
    <cellStyle name="Separador de milhares 6 4 5 3 2" xfId="10035"/>
    <cellStyle name="Separador de milhares 6 4 5 4" xfId="10036"/>
    <cellStyle name="Separador de milhares 6 4 5 5" xfId="13904"/>
    <cellStyle name="Separador de milhares 6 4 5 6" xfId="10029"/>
    <cellStyle name="Separador de milhares 6 4 5_Base RF" xfId="15109"/>
    <cellStyle name="Separador de milhares 6 4 6" xfId="10037"/>
    <cellStyle name="Separador de milhares 6 4 6 10" xfId="10038"/>
    <cellStyle name="Separador de milhares 6 4 6 10 2" xfId="10039"/>
    <cellStyle name="Separador de milhares 6 4 6 11" xfId="10040"/>
    <cellStyle name="Separador de milhares 6 4 6 2" xfId="10041"/>
    <cellStyle name="Separador de milhares 6 4 6 2 2" xfId="10042"/>
    <cellStyle name="Separador de milhares 6 4 6 3" xfId="10043"/>
    <cellStyle name="Separador de milhares 6 4 6 3 2" xfId="10044"/>
    <cellStyle name="Separador de milhares 6 4 6 3 2 2" xfId="10045"/>
    <cellStyle name="Separador de milhares 6 4 6 3 3" xfId="10046"/>
    <cellStyle name="Separador de milhares 6 4 6 4" xfId="10047"/>
    <cellStyle name="Separador de milhares 6 4 6 4 2" xfId="10048"/>
    <cellStyle name="Separador de milhares 6 4 6 4 2 2" xfId="10049"/>
    <cellStyle name="Separador de milhares 6 4 6 4 3" xfId="10050"/>
    <cellStyle name="Separador de milhares 6 4 6 5" xfId="10051"/>
    <cellStyle name="Separador de milhares 6 4 6 5 2" xfId="10052"/>
    <cellStyle name="Separador de milhares 6 4 6 6" xfId="10053"/>
    <cellStyle name="Separador de milhares 6 4 6 6 2" xfId="10054"/>
    <cellStyle name="Separador de milhares 6 4 6 7" xfId="10055"/>
    <cellStyle name="Separador de milhares 6 4 6 7 2" xfId="10056"/>
    <cellStyle name="Separador de milhares 6 4 6 7 2 2" xfId="10057"/>
    <cellStyle name="Separador de milhares 6 4 6 7 3" xfId="10058"/>
    <cellStyle name="Separador de milhares 6 4 6 8" xfId="10059"/>
    <cellStyle name="Separador de milhares 6 4 6 8 2" xfId="10060"/>
    <cellStyle name="Separador de milhares 6 4 6 8 2 2" xfId="10061"/>
    <cellStyle name="Separador de milhares 6 4 6 8 3" xfId="10062"/>
    <cellStyle name="Separador de milhares 6 4 6 9" xfId="10063"/>
    <cellStyle name="Separador de milhares 6 4 6 9 2" xfId="10064"/>
    <cellStyle name="Separador de milhares 6 4 7" xfId="10065"/>
    <cellStyle name="Separador de milhares 6 4 7 2" xfId="10066"/>
    <cellStyle name="Separador de milhares 6 4 8" xfId="10067"/>
    <cellStyle name="Separador de milhares 6 4 8 2" xfId="10068"/>
    <cellStyle name="Separador de milhares 6 4 8 2 2" xfId="10069"/>
    <cellStyle name="Separador de milhares 6 4 8 3" xfId="10070"/>
    <cellStyle name="Separador de milhares 6 4 9" xfId="10071"/>
    <cellStyle name="Separador de milhares 6 4 9 2" xfId="10072"/>
    <cellStyle name="Separador de milhares 6 4 9 2 2" xfId="10073"/>
    <cellStyle name="Separador de milhares 6 4 9 3" xfId="10074"/>
    <cellStyle name="Separador de milhares 6 4_Base RF" xfId="5901"/>
    <cellStyle name="Separador de milhares 6 5" xfId="2183"/>
    <cellStyle name="Separador de milhares 6 5 2" xfId="2184"/>
    <cellStyle name="Separador de milhares 6 5 2 2" xfId="2768"/>
    <cellStyle name="Separador de milhares 6 5 2 3" xfId="2495"/>
    <cellStyle name="Separador de milhares 6 5 2_Base RF" xfId="5906"/>
    <cellStyle name="Separador de milhares 6 5 3" xfId="2767"/>
    <cellStyle name="Separador de milhares 6 5 4" xfId="2494"/>
    <cellStyle name="Separador de milhares 6 5 4 2" xfId="13908"/>
    <cellStyle name="Separador de milhares 6 5 4 3" xfId="10075"/>
    <cellStyle name="Separador de milhares 6 5 4_Base RF" xfId="15110"/>
    <cellStyle name="Separador de milhares 6 5_Base RF" xfId="5905"/>
    <cellStyle name="Separador de milhares 6 6" xfId="2185"/>
    <cellStyle name="Separador de milhares 6 6 2" xfId="2769"/>
    <cellStyle name="Separador de milhares 6 6 3" xfId="2496"/>
    <cellStyle name="Separador de milhares 6 6_Base RF" xfId="5907"/>
    <cellStyle name="Separador de milhares 6 7" xfId="2738"/>
    <cellStyle name="Separador de milhares 6 8" xfId="2465"/>
    <cellStyle name="Separador de milhares 6 8 2" xfId="13897"/>
    <cellStyle name="Separador de milhares 6 8 3" xfId="9938"/>
    <cellStyle name="Separador de milhares 6 8_Base RF" xfId="15111"/>
    <cellStyle name="Separador de milhares 6 9" xfId="15542"/>
    <cellStyle name="Separador de milhares 6_Base RF" xfId="5874"/>
    <cellStyle name="Separador de milhares 7" xfId="2186"/>
    <cellStyle name="Separador de milhares 7 10" xfId="15848"/>
    <cellStyle name="Separador de milhares 7 11" xfId="15304"/>
    <cellStyle name="Separador de milhares 7 2" xfId="2770"/>
    <cellStyle name="Separador de milhares 7 2 10" xfId="15883"/>
    <cellStyle name="Separador de milhares 7 2 2" xfId="5236"/>
    <cellStyle name="Separador de milhares 7 2 2 2" xfId="14811"/>
    <cellStyle name="Separador de milhares 7 2 2 3" xfId="10078"/>
    <cellStyle name="Separador de milhares 7 2 2_Base RF" xfId="15112"/>
    <cellStyle name="Separador de milhares 7 2 3" xfId="13924"/>
    <cellStyle name="Separador de milhares 7 2 4" xfId="10077"/>
    <cellStyle name="Separador de milhares 7 2 5" xfId="15792"/>
    <cellStyle name="Separador de milhares 7 2 6" xfId="15823"/>
    <cellStyle name="Separador de milhares 7 2 7" xfId="15807"/>
    <cellStyle name="Separador de milhares 7 2 8" xfId="15817"/>
    <cellStyle name="Separador de milhares 7 2 9" xfId="15860"/>
    <cellStyle name="Separador de milhares 7 2_Base RF" xfId="5909"/>
    <cellStyle name="Separador de milhares 7 3" xfId="2497"/>
    <cellStyle name="Separador de milhares 7 3 10" xfId="10080"/>
    <cellStyle name="Separador de milhares 7 3 10 2" xfId="10081"/>
    <cellStyle name="Separador de milhares 7 3 10 2 2" xfId="10082"/>
    <cellStyle name="Separador de milhares 7 3 10 3" xfId="10083"/>
    <cellStyle name="Separador de milhares 7 3 11" xfId="10084"/>
    <cellStyle name="Separador de milhares 7 3 11 2" xfId="10085"/>
    <cellStyle name="Separador de milhares 7 3 12" xfId="10086"/>
    <cellStyle name="Separador de milhares 7 3 12 2" xfId="10087"/>
    <cellStyle name="Separador de milhares 7 3 12 2 2" xfId="10088"/>
    <cellStyle name="Separador de milhares 7 3 12 2 2 2" xfId="10089"/>
    <cellStyle name="Separador de milhares 7 3 12 2 3" xfId="10090"/>
    <cellStyle name="Separador de milhares 7 3 12 3" xfId="10091"/>
    <cellStyle name="Separador de milhares 7 3 12 3 2" xfId="10092"/>
    <cellStyle name="Separador de milhares 7 3 12 4" xfId="10093"/>
    <cellStyle name="Separador de milhares 7 3 12 4 2" xfId="10094"/>
    <cellStyle name="Separador de milhares 7 3 12 5" xfId="10095"/>
    <cellStyle name="Separador de milhares 7 3 12 6" xfId="10096"/>
    <cellStyle name="Separador de milhares 7 3 12 7" xfId="10097"/>
    <cellStyle name="Separador de milhares 7 3 13" xfId="10098"/>
    <cellStyle name="Separador de milhares 7 3 13 2" xfId="10099"/>
    <cellStyle name="Separador de milhares 7 3 13 2 2" xfId="10100"/>
    <cellStyle name="Separador de milhares 7 3 13 2 2 2" xfId="10101"/>
    <cellStyle name="Separador de milhares 7 3 13 2 3" xfId="10102"/>
    <cellStyle name="Separador de milhares 7 3 13 3" xfId="10103"/>
    <cellStyle name="Separador de milhares 7 3 13 3 2" xfId="10104"/>
    <cellStyle name="Separador de milhares 7 3 13 4" xfId="10105"/>
    <cellStyle name="Separador de milhares 7 3 13 4 2" xfId="10106"/>
    <cellStyle name="Separador de milhares 7 3 13 5" xfId="10107"/>
    <cellStyle name="Separador de milhares 7 3 13 6" xfId="10108"/>
    <cellStyle name="Separador de milhares 7 3 14" xfId="10109"/>
    <cellStyle name="Separador de milhares 7 3 14 2" xfId="10110"/>
    <cellStyle name="Separador de milhares 7 3 14 2 2" xfId="10111"/>
    <cellStyle name="Separador de milhares 7 3 14 3" xfId="10112"/>
    <cellStyle name="Separador de milhares 7 3 15" xfId="10113"/>
    <cellStyle name="Separador de milhares 7 3 15 2" xfId="10114"/>
    <cellStyle name="Separador de milhares 7 3 16" xfId="10115"/>
    <cellStyle name="Separador de milhares 7 3 16 2" xfId="10116"/>
    <cellStyle name="Separador de milhares 7 3 17" xfId="10117"/>
    <cellStyle name="Separador de milhares 7 3 17 2" xfId="10118"/>
    <cellStyle name="Separador de milhares 7 3 18" xfId="10119"/>
    <cellStyle name="Separador de milhares 7 3 19" xfId="10120"/>
    <cellStyle name="Separador de milhares 7 3 2" xfId="5425"/>
    <cellStyle name="Separador de milhares 7 3 2 2" xfId="10122"/>
    <cellStyle name="Separador de milhares 7 3 2 2 2" xfId="10123"/>
    <cellStyle name="Separador de milhares 7 3 2 3" xfId="10124"/>
    <cellStyle name="Separador de milhares 7 3 2 3 2" xfId="10125"/>
    <cellStyle name="Separador de milhares 7 3 2 4" xfId="10126"/>
    <cellStyle name="Separador de milhares 7 3 2 4 2" xfId="10127"/>
    <cellStyle name="Separador de milhares 7 3 2 4 2 2" xfId="10128"/>
    <cellStyle name="Separador de milhares 7 3 2 4 2 2 2" xfId="10129"/>
    <cellStyle name="Separador de milhares 7 3 2 4 2 3" xfId="10130"/>
    <cellStyle name="Separador de milhares 7 3 2 4 3" xfId="10131"/>
    <cellStyle name="Separador de milhares 7 3 2 4 3 2" xfId="10132"/>
    <cellStyle name="Separador de milhares 7 3 2 4 4" xfId="10133"/>
    <cellStyle name="Separador de milhares 7 3 2 4 4 2" xfId="10134"/>
    <cellStyle name="Separador de milhares 7 3 2 4 5" xfId="10135"/>
    <cellStyle name="Separador de milhares 7 3 2 4 6" xfId="10136"/>
    <cellStyle name="Separador de milhares 7 3 2 5" xfId="10137"/>
    <cellStyle name="Separador de milhares 7 3 2 5 2" xfId="10138"/>
    <cellStyle name="Separador de milhares 7 3 2 5 2 2" xfId="10139"/>
    <cellStyle name="Separador de milhares 7 3 2 5 2 2 2" xfId="10140"/>
    <cellStyle name="Separador de milhares 7 3 2 5 2 3" xfId="10141"/>
    <cellStyle name="Separador de milhares 7 3 2 5 3" xfId="10142"/>
    <cellStyle name="Separador de milhares 7 3 2 5 3 2" xfId="10143"/>
    <cellStyle name="Separador de milhares 7 3 2 5 4" xfId="10144"/>
    <cellStyle name="Separador de milhares 7 3 2 5 4 2" xfId="10145"/>
    <cellStyle name="Separador de milhares 7 3 2 5 5" xfId="10146"/>
    <cellStyle name="Separador de milhares 7 3 2 5 6" xfId="10147"/>
    <cellStyle name="Separador de milhares 7 3 2 6" xfId="10148"/>
    <cellStyle name="Separador de milhares 7 3 2 7" xfId="14857"/>
    <cellStyle name="Separador de milhares 7 3 2 8" xfId="10121"/>
    <cellStyle name="Separador de milhares 7 3 2_Base RF" xfId="15113"/>
    <cellStyle name="Separador de milhares 7 3 20" xfId="10149"/>
    <cellStyle name="Separador de milhares 7 3 20 2" xfId="10150"/>
    <cellStyle name="Separador de milhares 7 3 21" xfId="10151"/>
    <cellStyle name="Separador de milhares 7 3 22" xfId="10152"/>
    <cellStyle name="Separador de milhares 7 3 23" xfId="13909"/>
    <cellStyle name="Separador de milhares 7 3 24" xfId="10079"/>
    <cellStyle name="Separador de milhares 7 3 25" xfId="15788"/>
    <cellStyle name="Separador de milhares 7 3 26" xfId="15827"/>
    <cellStyle name="Separador de milhares 7 3 27" xfId="15803"/>
    <cellStyle name="Separador de milhares 7 3 28" xfId="15814"/>
    <cellStyle name="Separador de milhares 7 3 29" xfId="15858"/>
    <cellStyle name="Separador de milhares 7 3 3" xfId="10153"/>
    <cellStyle name="Separador de milhares 7 3 3 2" xfId="10154"/>
    <cellStyle name="Separador de milhares 7 3 3 3" xfId="15729"/>
    <cellStyle name="Separador de milhares 7 3 3 4" xfId="15350"/>
    <cellStyle name="Separador de milhares 7 3 30" xfId="15882"/>
    <cellStyle name="Separador de milhares 7 3 31" xfId="15920"/>
    <cellStyle name="Separador de milhares 7 3 32" xfId="15901"/>
    <cellStyle name="Separador de milhares 7 3 33" xfId="15891"/>
    <cellStyle name="Separador de milhares 7 3 34" xfId="15938"/>
    <cellStyle name="Separador de milhares 7 3 35" xfId="15888"/>
    <cellStyle name="Separador de milhares 7 3 36" xfId="15943"/>
    <cellStyle name="Separador de milhares 7 3 37" xfId="15894"/>
    <cellStyle name="Separador de milhares 7 3 38" xfId="15935"/>
    <cellStyle name="Separador de milhares 7 3 39" xfId="15945"/>
    <cellStyle name="Separador de milhares 7 3 4" xfId="10155"/>
    <cellStyle name="Separador de milhares 7 3 4 2" xfId="10156"/>
    <cellStyle name="Separador de milhares 7 3 4 2 2" xfId="10157"/>
    <cellStyle name="Separador de milhares 7 3 4 3" xfId="10158"/>
    <cellStyle name="Separador de milhares 7 3 40" xfId="15885"/>
    <cellStyle name="Separador de milhares 7 3 41" xfId="15970"/>
    <cellStyle name="Separador de milhares 7 3 42" xfId="15979"/>
    <cellStyle name="Separador de milhares 7 3 43" xfId="15975"/>
    <cellStyle name="Separador de milhares 7 3 44" xfId="15973"/>
    <cellStyle name="Separador de milhares 7 3 45" xfId="15992"/>
    <cellStyle name="Separador de milhares 7 3 46" xfId="16005"/>
    <cellStyle name="Separador de milhares 7 3 47" xfId="16046"/>
    <cellStyle name="Separador de milhares 7 3 48" xfId="16027"/>
    <cellStyle name="Separador de milhares 7 3 49" xfId="16018"/>
    <cellStyle name="Separador de milhares 7 3 5" xfId="10159"/>
    <cellStyle name="Separador de milhares 7 3 5 2" xfId="10160"/>
    <cellStyle name="Separador de milhares 7 3 5 2 2" xfId="10161"/>
    <cellStyle name="Separador de milhares 7 3 5 2 2 2" xfId="10162"/>
    <cellStyle name="Separador de milhares 7 3 5 2 3" xfId="10163"/>
    <cellStyle name="Separador de milhares 7 3 5 3" xfId="10164"/>
    <cellStyle name="Separador de milhares 7 3 5 3 2" xfId="10165"/>
    <cellStyle name="Separador de milhares 7 3 5 4" xfId="10166"/>
    <cellStyle name="Separador de milhares 7 3 50" xfId="16008"/>
    <cellStyle name="Separador de milhares 7 3 51" xfId="16014"/>
    <cellStyle name="Separador de milhares 7 3 52" xfId="16051"/>
    <cellStyle name="Separador de milhares 7 3 53" xfId="16052"/>
    <cellStyle name="Separador de milhares 7 3 54" xfId="15998"/>
    <cellStyle name="Separador de milhares 7 3 55" xfId="16054"/>
    <cellStyle name="Separador de milhares 7 3 56" xfId="16020"/>
    <cellStyle name="Separador de milhares 7 3 57" xfId="16075"/>
    <cellStyle name="Separador de milhares 7 3 58" xfId="16080"/>
    <cellStyle name="Separador de milhares 7 3 59" xfId="16078"/>
    <cellStyle name="Separador de milhares 7 3 6" xfId="10167"/>
    <cellStyle name="Separador de milhares 7 3 6 10" xfId="10168"/>
    <cellStyle name="Separador de milhares 7 3 6 11" xfId="10169"/>
    <cellStyle name="Separador de milhares 7 3 6 2" xfId="10170"/>
    <cellStyle name="Separador de milhares 7 3 6 2 2" xfId="10171"/>
    <cellStyle name="Separador de milhares 7 3 6 3" xfId="10172"/>
    <cellStyle name="Separador de milhares 7 3 6 3 2" xfId="10173"/>
    <cellStyle name="Separador de milhares 7 3 6 3 2 2" xfId="10174"/>
    <cellStyle name="Separador de milhares 7 3 6 3 3" xfId="10175"/>
    <cellStyle name="Separador de milhares 7 3 6 4" xfId="10176"/>
    <cellStyle name="Separador de milhares 7 3 6 4 2" xfId="10177"/>
    <cellStyle name="Separador de milhares 7 3 6 4 2 2" xfId="10178"/>
    <cellStyle name="Separador de milhares 7 3 6 4 3" xfId="10179"/>
    <cellStyle name="Separador de milhares 7 3 6 5" xfId="10180"/>
    <cellStyle name="Separador de milhares 7 3 6 5 2" xfId="10181"/>
    <cellStyle name="Separador de milhares 7 3 6 6" xfId="10182"/>
    <cellStyle name="Separador de milhares 7 3 6 6 2" xfId="10183"/>
    <cellStyle name="Separador de milhares 7 3 6 7" xfId="10184"/>
    <cellStyle name="Separador de milhares 7 3 6 7 2" xfId="10185"/>
    <cellStyle name="Separador de milhares 7 3 6 7 2 2" xfId="10186"/>
    <cellStyle name="Separador de milhares 7 3 6 7 3" xfId="10187"/>
    <cellStyle name="Separador de milhares 7 3 6 8" xfId="10188"/>
    <cellStyle name="Separador de milhares 7 3 6 8 2" xfId="10189"/>
    <cellStyle name="Separador de milhares 7 3 6 8 2 2" xfId="10190"/>
    <cellStyle name="Separador de milhares 7 3 6 8 3" xfId="10191"/>
    <cellStyle name="Separador de milhares 7 3 6 9" xfId="10192"/>
    <cellStyle name="Separador de milhares 7 3 6 9 2" xfId="10193"/>
    <cellStyle name="Separador de milhares 7 3 60" xfId="16090"/>
    <cellStyle name="Separador de milhares 7 3 61" xfId="16098"/>
    <cellStyle name="Separador de milhares 7 3 62" xfId="16104"/>
    <cellStyle name="Separador de milhares 7 3 63" xfId="16103"/>
    <cellStyle name="Separador de milhares 7 3 64" xfId="16116"/>
    <cellStyle name="Separador de milhares 7 3 65" xfId="16122"/>
    <cellStyle name="Separador de milhares 7 3 66" xfId="16118"/>
    <cellStyle name="Separador de milhares 7 3 67" xfId="16161"/>
    <cellStyle name="Separador de milhares 7 3 68" xfId="16265"/>
    <cellStyle name="Separador de milhares 7 3 69" xfId="16218"/>
    <cellStyle name="Separador de milhares 7 3 7" xfId="10194"/>
    <cellStyle name="Separador de milhares 7 3 7 2" xfId="10195"/>
    <cellStyle name="Separador de milhares 7 3 70" xfId="16187"/>
    <cellStyle name="Separador de milhares 7 3 71" xfId="16166"/>
    <cellStyle name="Separador de milhares 7 3 72" xfId="16261"/>
    <cellStyle name="Separador de milhares 7 3 73" xfId="16222"/>
    <cellStyle name="Separador de milhares 7 3 74" xfId="16186"/>
    <cellStyle name="Separador de milhares 7 3 75" xfId="16155"/>
    <cellStyle name="Separador de milhares 7 3 76" xfId="16271"/>
    <cellStyle name="Separador de milhares 7 3 77" xfId="16308"/>
    <cellStyle name="Separador de milhares 7 3 78" xfId="16251"/>
    <cellStyle name="Separador de milhares 7 3 79" xfId="16228"/>
    <cellStyle name="Separador de milhares 7 3 8" xfId="10196"/>
    <cellStyle name="Separador de milhares 7 3 8 2" xfId="10197"/>
    <cellStyle name="Separador de milhares 7 3 8 2 2" xfId="10198"/>
    <cellStyle name="Separador de milhares 7 3 8 3" xfId="10199"/>
    <cellStyle name="Separador de milhares 7 3 80" xfId="16302"/>
    <cellStyle name="Separador de milhares 7 3 81" xfId="16167"/>
    <cellStyle name="Separador de milhares 7 3 82" xfId="16305"/>
    <cellStyle name="Separador de milhares 7 3 83" xfId="16203"/>
    <cellStyle name="Separador de milhares 7 3 84" xfId="16238"/>
    <cellStyle name="Separador de milhares 7 3 85" xfId="16145"/>
    <cellStyle name="Separador de milhares 7 3 86" xfId="16279"/>
    <cellStyle name="Separador de milhares 7 3 87" xfId="16212"/>
    <cellStyle name="Separador de milhares 7 3 88" xfId="16206"/>
    <cellStyle name="Separador de milhares 7 3 89" xfId="16152"/>
    <cellStyle name="Separador de milhares 7 3 9" xfId="10200"/>
    <cellStyle name="Separador de milhares 7 3 9 2" xfId="10201"/>
    <cellStyle name="Separador de milhares 7 3 9 2 2" xfId="10202"/>
    <cellStyle name="Separador de milhares 7 3 9 3" xfId="10203"/>
    <cellStyle name="Separador de milhares 7 3 90" xfId="16273"/>
    <cellStyle name="Separador de milhares 7 3 91" xfId="16176"/>
    <cellStyle name="Separador de milhares 7 3 92" xfId="16267"/>
    <cellStyle name="Separador de milhares 7 3_Base RF" xfId="5910"/>
    <cellStyle name="Separador de milhares 7 4" xfId="4836"/>
    <cellStyle name="Separador de milhares 7 4 2" xfId="14687"/>
    <cellStyle name="Separador de milhares 7 4 3" xfId="10204"/>
    <cellStyle name="Separador de milhares 7 4_Base RF" xfId="15114"/>
    <cellStyle name="Separador de milhares 7 5" xfId="13774"/>
    <cellStyle name="Separador de milhares 7 5 2" xfId="15737"/>
    <cellStyle name="Separador de milhares 7 5 3" xfId="15544"/>
    <cellStyle name="Separador de milhares 7 6" xfId="10076"/>
    <cellStyle name="Separador de milhares 7 7" xfId="15765"/>
    <cellStyle name="Separador de milhares 7 8" xfId="15776"/>
    <cellStyle name="Separador de milhares 7 9" xfId="15839"/>
    <cellStyle name="Separador de milhares 7_Base RF" xfId="5908"/>
    <cellStyle name="Separador de milhares 8" xfId="2187"/>
    <cellStyle name="Separador de milhares 8 10" xfId="16378"/>
    <cellStyle name="Separador de milhares 8 2" xfId="2771"/>
    <cellStyle name="Separador de milhares 8 2 2" xfId="13925"/>
    <cellStyle name="Separador de milhares 8 2 3" xfId="10206"/>
    <cellStyle name="Separador de milhares 8 2_Base RF" xfId="15115"/>
    <cellStyle name="Separador de milhares 8 3" xfId="2498"/>
    <cellStyle name="Separador de milhares 8 3 2" xfId="13910"/>
    <cellStyle name="Separador de milhares 8 3 3" xfId="13775"/>
    <cellStyle name="Separador de milhares 8 3_Base RF" xfId="15116"/>
    <cellStyle name="Separador de milhares 8 4" xfId="10205"/>
    <cellStyle name="Separador de milhares 8 5" xfId="15305"/>
    <cellStyle name="Separador de milhares 8 6" xfId="16372"/>
    <cellStyle name="Separador de milhares 8 7" xfId="16384"/>
    <cellStyle name="Separador de milhares 8 8" xfId="16375"/>
    <cellStyle name="Separador de milhares 8 9" xfId="16387"/>
    <cellStyle name="Separador de milhares 8_Base RF" xfId="5911"/>
    <cellStyle name="Separador de milhares 9" xfId="2188"/>
    <cellStyle name="Separador de milhares 9 10" xfId="10208"/>
    <cellStyle name="Separador de milhares 9 10 2" xfId="10209"/>
    <cellStyle name="Separador de milhares 9 10 2 2" xfId="10210"/>
    <cellStyle name="Separador de milhares 9 10 3" xfId="10211"/>
    <cellStyle name="Separador de milhares 9 11" xfId="10212"/>
    <cellStyle name="Separador de milhares 9 11 2" xfId="10213"/>
    <cellStyle name="Separador de milhares 9 12" xfId="10214"/>
    <cellStyle name="Separador de milhares 9 12 2" xfId="10215"/>
    <cellStyle name="Separador de milhares 9 12 2 2" xfId="10216"/>
    <cellStyle name="Separador de milhares 9 12 2 2 2" xfId="10217"/>
    <cellStyle name="Separador de milhares 9 12 2 3" xfId="10218"/>
    <cellStyle name="Separador de milhares 9 12 3" xfId="10219"/>
    <cellStyle name="Separador de milhares 9 12 3 2" xfId="10220"/>
    <cellStyle name="Separador de milhares 9 12 4" xfId="10221"/>
    <cellStyle name="Separador de milhares 9 12 4 2" xfId="10222"/>
    <cellStyle name="Separador de milhares 9 12 5" xfId="10223"/>
    <cellStyle name="Separador de milhares 9 12 6" xfId="10224"/>
    <cellStyle name="Separador de milhares 9 13" xfId="10225"/>
    <cellStyle name="Separador de milhares 9 13 2" xfId="10226"/>
    <cellStyle name="Separador de milhares 9 13 2 2" xfId="10227"/>
    <cellStyle name="Separador de milhares 9 13 2 2 2" xfId="10228"/>
    <cellStyle name="Separador de milhares 9 13 2 3" xfId="10229"/>
    <cellStyle name="Separador de milhares 9 13 3" xfId="10230"/>
    <cellStyle name="Separador de milhares 9 13 3 2" xfId="10231"/>
    <cellStyle name="Separador de milhares 9 13 4" xfId="10232"/>
    <cellStyle name="Separador de milhares 9 13 4 2" xfId="10233"/>
    <cellStyle name="Separador de milhares 9 13 5" xfId="10234"/>
    <cellStyle name="Separador de milhares 9 13 6" xfId="10235"/>
    <cellStyle name="Separador de milhares 9 14" xfId="10236"/>
    <cellStyle name="Separador de milhares 9 14 2" xfId="10237"/>
    <cellStyle name="Separador de milhares 9 14 2 2" xfId="10238"/>
    <cellStyle name="Separador de milhares 9 14 3" xfId="10239"/>
    <cellStyle name="Separador de milhares 9 15" xfId="10240"/>
    <cellStyle name="Separador de milhares 9 15 2" xfId="10241"/>
    <cellStyle name="Separador de milhares 9 16" xfId="10242"/>
    <cellStyle name="Separador de milhares 9 16 2" xfId="10243"/>
    <cellStyle name="Separador de milhares 9 17" xfId="10244"/>
    <cellStyle name="Separador de milhares 9 17 2" xfId="10245"/>
    <cellStyle name="Separador de milhares 9 18" xfId="10246"/>
    <cellStyle name="Separador de milhares 9 19" xfId="10247"/>
    <cellStyle name="Separador de milhares 9 2" xfId="2189"/>
    <cellStyle name="Separador de milhares 9 2 10" xfId="16374"/>
    <cellStyle name="Separador de milhares 9 2 2" xfId="2773"/>
    <cellStyle name="Separador de milhares 9 2 2 2" xfId="10250"/>
    <cellStyle name="Separador de milhares 9 2 2 3" xfId="13927"/>
    <cellStyle name="Separador de milhares 9 2 2 4" xfId="10249"/>
    <cellStyle name="Separador de milhares 9 2 2_Base RF" xfId="15117"/>
    <cellStyle name="Separador de milhares 9 2 3" xfId="2500"/>
    <cellStyle name="Separador de milhares 9 2 3 2" xfId="10252"/>
    <cellStyle name="Separador de milhares 9 2 3 3" xfId="13912"/>
    <cellStyle name="Separador de milhares 9 2 3 4" xfId="10251"/>
    <cellStyle name="Separador de milhares 9 2 3_Base RF" xfId="15118"/>
    <cellStyle name="Separador de milhares 9 2 4" xfId="10253"/>
    <cellStyle name="Separador de milhares 9 2 4 2" xfId="10254"/>
    <cellStyle name="Separador de milhares 9 2 4 2 2" xfId="10255"/>
    <cellStyle name="Separador de milhares 9 2 4 2 2 2" xfId="10256"/>
    <cellStyle name="Separador de milhares 9 2 4 2 3" xfId="10257"/>
    <cellStyle name="Separador de milhares 9 2 4 3" xfId="10258"/>
    <cellStyle name="Separador de milhares 9 2 4 3 2" xfId="10259"/>
    <cellStyle name="Separador de milhares 9 2 4 4" xfId="10260"/>
    <cellStyle name="Separador de milhares 9 2 4 4 2" xfId="10261"/>
    <cellStyle name="Separador de milhares 9 2 4 5" xfId="10262"/>
    <cellStyle name="Separador de milhares 9 2 4 6" xfId="10263"/>
    <cellStyle name="Separador de milhares 9 2 5" xfId="10264"/>
    <cellStyle name="Separador de milhares 9 2 5 2" xfId="10265"/>
    <cellStyle name="Separador de milhares 9 2 5 2 2" xfId="10266"/>
    <cellStyle name="Separador de milhares 9 2 5 2 2 2" xfId="10267"/>
    <cellStyle name="Separador de milhares 9 2 5 2 3" xfId="10268"/>
    <cellStyle name="Separador de milhares 9 2 5 3" xfId="10269"/>
    <cellStyle name="Separador de milhares 9 2 5 3 2" xfId="10270"/>
    <cellStyle name="Separador de milhares 9 2 5 4" xfId="10271"/>
    <cellStyle name="Separador de milhares 9 2 5 4 2" xfId="10272"/>
    <cellStyle name="Separador de milhares 9 2 5 5" xfId="10273"/>
    <cellStyle name="Separador de milhares 9 2 5 6" xfId="10274"/>
    <cellStyle name="Separador de milhares 9 2 6" xfId="10275"/>
    <cellStyle name="Separador de milhares 9 2 7" xfId="13777"/>
    <cellStyle name="Separador de milhares 9 2 8" xfId="10248"/>
    <cellStyle name="Separador de milhares 9 2 9" xfId="15319"/>
    <cellStyle name="Separador de milhares 9 2_Base RF" xfId="5913"/>
    <cellStyle name="Separador de milhares 9 20" xfId="10276"/>
    <cellStyle name="Separador de milhares 9 20 2" xfId="10277"/>
    <cellStyle name="Separador de milhares 9 21" xfId="10278"/>
    <cellStyle name="Separador de milhares 9 22" xfId="10279"/>
    <cellStyle name="Separador de milhares 9 23" xfId="13776"/>
    <cellStyle name="Separador de milhares 9 24" xfId="10207"/>
    <cellStyle name="Separador de milhares 9 25" xfId="15306"/>
    <cellStyle name="Separador de milhares 9 25 2" xfId="16336"/>
    <cellStyle name="Separador de milhares 9 25 3" xfId="16335"/>
    <cellStyle name="Separador de milhares 9 26" xfId="16373"/>
    <cellStyle name="Separador de milhares 9 3" xfId="2772"/>
    <cellStyle name="Separador de milhares 9 3 10" xfId="15884"/>
    <cellStyle name="Separador de milhares 9 3 2" xfId="5237"/>
    <cellStyle name="Separador de milhares 9 3 2 2" xfId="14812"/>
    <cellStyle name="Separador de milhares 9 3 2 3" xfId="10281"/>
    <cellStyle name="Separador de milhares 9 3 2_Base RF" xfId="15119"/>
    <cellStyle name="Separador de milhares 9 3 3" xfId="13926"/>
    <cellStyle name="Separador de milhares 9 3 4" xfId="10280"/>
    <cellStyle name="Separador de milhares 9 3 5" xfId="15793"/>
    <cellStyle name="Separador de milhares 9 3 6" xfId="15822"/>
    <cellStyle name="Separador de milhares 9 3 7" xfId="15806"/>
    <cellStyle name="Separador de milhares 9 3 8" xfId="15816"/>
    <cellStyle name="Separador de milhares 9 3 9" xfId="15861"/>
    <cellStyle name="Separador de milhares 9 3_Base RF" xfId="5914"/>
    <cellStyle name="Separador de milhares 9 4" xfId="2499"/>
    <cellStyle name="Separador de milhares 9 4 10" xfId="15859"/>
    <cellStyle name="Separador de milhares 9 4 2" xfId="5426"/>
    <cellStyle name="Separador de milhares 9 4 2 2" xfId="10284"/>
    <cellStyle name="Separador de milhares 9 4 2 3" xfId="14858"/>
    <cellStyle name="Separador de milhares 9 4 2 4" xfId="10283"/>
    <cellStyle name="Separador de milhares 9 4 2_Base RF" xfId="15120"/>
    <cellStyle name="Separador de milhares 9 4 3" xfId="10285"/>
    <cellStyle name="Separador de milhares 9 4 3 2" xfId="15730"/>
    <cellStyle name="Separador de milhares 9 4 3 3" xfId="15351"/>
    <cellStyle name="Separador de milhares 9 4 4" xfId="13911"/>
    <cellStyle name="Separador de milhares 9 4 5" xfId="10282"/>
    <cellStyle name="Separador de milhares 9 4 6" xfId="15789"/>
    <cellStyle name="Separador de milhares 9 4 7" xfId="15826"/>
    <cellStyle name="Separador de milhares 9 4 8" xfId="15801"/>
    <cellStyle name="Separador de milhares 9 4 9" xfId="15818"/>
    <cellStyle name="Separador de milhares 9 4_Base RF" xfId="5915"/>
    <cellStyle name="Separador de milhares 9 5" xfId="4837"/>
    <cellStyle name="Separador de milhares 9 5 2" xfId="10287"/>
    <cellStyle name="Separador de milhares 9 5 2 2" xfId="10288"/>
    <cellStyle name="Separador de milhares 9 5 2 2 2" xfId="10289"/>
    <cellStyle name="Separador de milhares 9 5 2 3" xfId="10290"/>
    <cellStyle name="Separador de milhares 9 5 3" xfId="10291"/>
    <cellStyle name="Separador de milhares 9 5 3 2" xfId="10292"/>
    <cellStyle name="Separador de milhares 9 5 4" xfId="10293"/>
    <cellStyle name="Separador de milhares 9 5 5" xfId="14688"/>
    <cellStyle name="Separador de milhares 9 5 6" xfId="10286"/>
    <cellStyle name="Separador de milhares 9 5_Base RF" xfId="15121"/>
    <cellStyle name="Separador de milhares 9 6" xfId="10294"/>
    <cellStyle name="Separador de milhares 9 6 10" xfId="10295"/>
    <cellStyle name="Separador de milhares 9 6 11" xfId="10296"/>
    <cellStyle name="Separador de milhares 9 6 12" xfId="15731"/>
    <cellStyle name="Separador de milhares 9 6 13" xfId="15545"/>
    <cellStyle name="Separador de milhares 9 6 2" xfId="10297"/>
    <cellStyle name="Separador de milhares 9 6 2 2" xfId="10298"/>
    <cellStyle name="Separador de milhares 9 6 3" xfId="10299"/>
    <cellStyle name="Separador de milhares 9 6 3 2" xfId="10300"/>
    <cellStyle name="Separador de milhares 9 6 3 2 2" xfId="10301"/>
    <cellStyle name="Separador de milhares 9 6 3 3" xfId="10302"/>
    <cellStyle name="Separador de milhares 9 6 4" xfId="10303"/>
    <cellStyle name="Separador de milhares 9 6 4 2" xfId="10304"/>
    <cellStyle name="Separador de milhares 9 6 4 2 2" xfId="10305"/>
    <cellStyle name="Separador de milhares 9 6 4 3" xfId="10306"/>
    <cellStyle name="Separador de milhares 9 6 5" xfId="10307"/>
    <cellStyle name="Separador de milhares 9 6 5 2" xfId="10308"/>
    <cellStyle name="Separador de milhares 9 6 6" xfId="10309"/>
    <cellStyle name="Separador de milhares 9 6 6 2" xfId="10310"/>
    <cellStyle name="Separador de milhares 9 6 7" xfId="10311"/>
    <cellStyle name="Separador de milhares 9 6 7 2" xfId="10312"/>
    <cellStyle name="Separador de milhares 9 6 7 2 2" xfId="10313"/>
    <cellStyle name="Separador de milhares 9 6 7 3" xfId="10314"/>
    <cellStyle name="Separador de milhares 9 6 8" xfId="10315"/>
    <cellStyle name="Separador de milhares 9 6 8 2" xfId="10316"/>
    <cellStyle name="Separador de milhares 9 6 8 2 2" xfId="10317"/>
    <cellStyle name="Separador de milhares 9 6 8 3" xfId="10318"/>
    <cellStyle name="Separador de milhares 9 6 9" xfId="10319"/>
    <cellStyle name="Separador de milhares 9 6 9 2" xfId="10320"/>
    <cellStyle name="Separador de milhares 9 7" xfId="10321"/>
    <cellStyle name="Separador de milhares 9 7 2" xfId="10322"/>
    <cellStyle name="Separador de milhares 9 7 3" xfId="10323"/>
    <cellStyle name="Separador de milhares 9 8" xfId="10324"/>
    <cellStyle name="Separador de milhares 9 8 2" xfId="10325"/>
    <cellStyle name="Separador de milhares 9 8 2 2" xfId="10326"/>
    <cellStyle name="Separador de milhares 9 8 2 3" xfId="10327"/>
    <cellStyle name="Separador de milhares 9 8 3" xfId="10328"/>
    <cellStyle name="Separador de milhares 9 8 4" xfId="10329"/>
    <cellStyle name="Separador de milhares 9 9" xfId="10330"/>
    <cellStyle name="Separador de milhares 9 9 2" xfId="10331"/>
    <cellStyle name="Separador de milhares 9 9 2 2" xfId="10332"/>
    <cellStyle name="Separador de milhares 9 9 2 3" xfId="10333"/>
    <cellStyle name="Separador de milhares 9 9 3" xfId="10334"/>
    <cellStyle name="Separador de milhares 9 9 4" xfId="10335"/>
    <cellStyle name="Separador de milhares 9_Base RF" xfId="5912"/>
    <cellStyle name="Sepavador de milhares [0]_Pasta2" xfId="10336"/>
    <cellStyle name="sh_FCG320B" xfId="2190"/>
    <cellStyle name="Shaded" xfId="10337"/>
    <cellStyle name="Shaded 2" xfId="10338"/>
    <cellStyle name="Shaded 2 2" xfId="10339"/>
    <cellStyle name="Shaded 2 3" xfId="10340"/>
    <cellStyle name="Shaded 2 4" xfId="13600"/>
    <cellStyle name="Shaded 2 5" xfId="13634"/>
    <cellStyle name="Shaded 3" xfId="10341"/>
    <cellStyle name="Shaded 4" xfId="10342"/>
    <cellStyle name="Shaded 5" xfId="13599"/>
    <cellStyle name="Shaded 6" xfId="13633"/>
    <cellStyle name="Single Accounting" xfId="10343"/>
    <cellStyle name="Single Accounting 2" xfId="10344"/>
    <cellStyle name="Single Accounting 3" xfId="10345"/>
    <cellStyle name="Source" xfId="10346"/>
    <cellStyle name="Source 2" xfId="10347"/>
    <cellStyle name="Source 3" xfId="10348"/>
    <cellStyle name="Special .000" xfId="4838"/>
    <cellStyle name="Special .000 2" xfId="15431"/>
    <cellStyle name="Special 00" xfId="4839"/>
    <cellStyle name="Special 00 2" xfId="15429"/>
    <cellStyle name="Special 000" xfId="4840"/>
    <cellStyle name="Special 000 2" xfId="15430"/>
    <cellStyle name="Spelling 1033,0" xfId="2191"/>
    <cellStyle name="Spelling 1033,0 2" xfId="15444"/>
    <cellStyle name="Standaard_CHECKLIST" xfId="2192"/>
    <cellStyle name="Standard_airt-rev" xfId="10349"/>
    <cellStyle name="Strange" xfId="10350"/>
    <cellStyle name="Strange 2" xfId="10351"/>
    <cellStyle name="Strange 3" xfId="10352"/>
    <cellStyle name="Style 1" xfId="2193"/>
    <cellStyle name="Style 1 2" xfId="2194"/>
    <cellStyle name="Style 1 3" xfId="5238"/>
    <cellStyle name="Style 1 4" xfId="4841"/>
    <cellStyle name="Style 1_Base RF" xfId="5916"/>
    <cellStyle name="Style 2" xfId="4842"/>
    <cellStyle name="STYLE1 - Style1" xfId="2195"/>
    <cellStyle name="STYLE2 - Style2" xfId="2196"/>
    <cellStyle name="STYLE3 - Style3" xfId="2197"/>
    <cellStyle name="STYLE4 - Style4" xfId="2198"/>
    <cellStyle name="subhead" xfId="10353"/>
    <cellStyle name="subhead 2" xfId="10354"/>
    <cellStyle name="subhead 3" xfId="10355"/>
    <cellStyle name="Subtotal" xfId="2199"/>
    <cellStyle name="Subtotal 2" xfId="15447"/>
    <cellStyle name="T_x000c_" xfId="2200"/>
    <cellStyle name="t]_x000d__x000a_color schemes=Windows Default_x000d__x000a__x000d__x000a_[color schemes]_x000d__x000a_Arizona=804000,FFFFFF,FFFFFF,0,FFFFFF,0,808040,C0C0C0,FF" xfId="2201"/>
    <cellStyle name="Table Col Head" xfId="10356"/>
    <cellStyle name="Table Col Head 2" xfId="10357"/>
    <cellStyle name="Table Col Head 3" xfId="10358"/>
    <cellStyle name="Table Col Head 4" xfId="13601"/>
    <cellStyle name="Table Col Head 5" xfId="13635"/>
    <cellStyle name="Table Head" xfId="10359"/>
    <cellStyle name="Table Head 2" xfId="10360"/>
    <cellStyle name="Table Head 3" xfId="10361"/>
    <cellStyle name="Table Head Aligned" xfId="10362"/>
    <cellStyle name="Table Head Aligned 2" xfId="10363"/>
    <cellStyle name="Table Head Aligned 3" xfId="10364"/>
    <cellStyle name="Table Head Blue" xfId="10365"/>
    <cellStyle name="Table Head Blue 2" xfId="10366"/>
    <cellStyle name="Table Head Blue 3" xfId="10367"/>
    <cellStyle name="Table Head Green" xfId="10368"/>
    <cellStyle name="Table Head Green 2" xfId="10369"/>
    <cellStyle name="Table Head Green 3" xfId="10370"/>
    <cellStyle name="Table Head_IPQ Comps" xfId="10371"/>
    <cellStyle name="Table Sub Head" xfId="10372"/>
    <cellStyle name="Table Sub Head 2" xfId="10373"/>
    <cellStyle name="Table Sub Head 3" xfId="10374"/>
    <cellStyle name="Table Sub Head 4" xfId="13602"/>
    <cellStyle name="Table Sub Head 5" xfId="13636"/>
    <cellStyle name="Table Text" xfId="10375"/>
    <cellStyle name="Table Text 2" xfId="10376"/>
    <cellStyle name="Table Text 3" xfId="10377"/>
    <cellStyle name="Table Title" xfId="10378"/>
    <cellStyle name="Table Title 2" xfId="10379"/>
    <cellStyle name="Table Title 3" xfId="10380"/>
    <cellStyle name="Table Title 4" xfId="13603"/>
    <cellStyle name="Table Title 5" xfId="13637"/>
    <cellStyle name="Table Units" xfId="10381"/>
    <cellStyle name="Table Units 2" xfId="10382"/>
    <cellStyle name="Table Units 3" xfId="10383"/>
    <cellStyle name="Table Units 4" xfId="13604"/>
    <cellStyle name="Table Units 5" xfId="13638"/>
    <cellStyle name="Table_Header" xfId="10384"/>
    <cellStyle name="Test [green]" xfId="10385"/>
    <cellStyle name="Test [green] 2" xfId="10386"/>
    <cellStyle name="Test [green] 3" xfId="10387"/>
    <cellStyle name="Text 1" xfId="10388"/>
    <cellStyle name="Text 1 2" xfId="10389"/>
    <cellStyle name="Text 1 3" xfId="10390"/>
    <cellStyle name="Text Head 1" xfId="10391"/>
    <cellStyle name="Text Head 1 2" xfId="10392"/>
    <cellStyle name="Text Head 1 3" xfId="10393"/>
    <cellStyle name="Texto de advertencia" xfId="4843"/>
    <cellStyle name="Texto de Aviso" xfId="17" builtinId="11" customBuiltin="1"/>
    <cellStyle name="Texto de Aviso 10" xfId="10394"/>
    <cellStyle name="Texto de Aviso 10 2" xfId="10395"/>
    <cellStyle name="Texto de Aviso 10 3" xfId="10396"/>
    <cellStyle name="Texto de Aviso 11" xfId="10397"/>
    <cellStyle name="Texto de Aviso 11 2" xfId="10398"/>
    <cellStyle name="Texto de Aviso 11 3" xfId="10399"/>
    <cellStyle name="Texto de Aviso 12" xfId="10400"/>
    <cellStyle name="Texto de Aviso 12 2" xfId="10401"/>
    <cellStyle name="Texto de Aviso 12 3" xfId="10402"/>
    <cellStyle name="Texto de Aviso 13" xfId="10403"/>
    <cellStyle name="Texto de Aviso 13 2" xfId="10404"/>
    <cellStyle name="Texto de Aviso 14" xfId="10405"/>
    <cellStyle name="Texto de Aviso 15" xfId="10406"/>
    <cellStyle name="Texto de Aviso 16" xfId="10407"/>
    <cellStyle name="Texto de Aviso 17" xfId="10408"/>
    <cellStyle name="Texto de Aviso 18" xfId="10409"/>
    <cellStyle name="Texto de Aviso 19" xfId="10410"/>
    <cellStyle name="Texto de Aviso 2" xfId="2202"/>
    <cellStyle name="Texto de Aviso 2 2" xfId="10412"/>
    <cellStyle name="Texto de Aviso 2 3" xfId="10413"/>
    <cellStyle name="Texto de Aviso 2 4" xfId="10414"/>
    <cellStyle name="Texto de Aviso 2 5" xfId="13778"/>
    <cellStyle name="Texto de Aviso 2 6" xfId="10411"/>
    <cellStyle name="Texto de Aviso 2_Base RF" xfId="15122"/>
    <cellStyle name="Texto de Aviso 20" xfId="10415"/>
    <cellStyle name="Texto de Aviso 21" xfId="10416"/>
    <cellStyle name="Texto de Aviso 22" xfId="10417"/>
    <cellStyle name="Texto de Aviso 23" xfId="10418"/>
    <cellStyle name="Texto de Aviso 24" xfId="10419"/>
    <cellStyle name="Texto de Aviso 25" xfId="10420"/>
    <cellStyle name="Texto de Aviso 26" xfId="10421"/>
    <cellStyle name="Texto de Aviso 27" xfId="10422"/>
    <cellStyle name="Texto de Aviso 28" xfId="10423"/>
    <cellStyle name="Texto de Aviso 29" xfId="10424"/>
    <cellStyle name="Texto de Aviso 3" xfId="2234"/>
    <cellStyle name="Texto de Aviso 3 10" xfId="15855"/>
    <cellStyle name="Texto de Aviso 3 2" xfId="4844"/>
    <cellStyle name="Texto de Aviso 3 2 2" xfId="14689"/>
    <cellStyle name="Texto de Aviso 3 2 3" xfId="10426"/>
    <cellStyle name="Texto de Aviso 3 2_Base RF" xfId="15123"/>
    <cellStyle name="Texto de Aviso 3 3" xfId="10427"/>
    <cellStyle name="Texto de Aviso 3 3 2" xfId="15732"/>
    <cellStyle name="Texto de Aviso 3 3 3" xfId="15330"/>
    <cellStyle name="Texto de Aviso 3 4" xfId="13865"/>
    <cellStyle name="Texto de Aviso 3 5" xfId="10425"/>
    <cellStyle name="Texto de Aviso 3 6" xfId="15779"/>
    <cellStyle name="Texto de Aviso 3 7" xfId="15836"/>
    <cellStyle name="Texto de Aviso 3 8" xfId="15812"/>
    <cellStyle name="Texto de Aviso 3 9" xfId="15847"/>
    <cellStyle name="Texto de Aviso 3_Base RF" xfId="5917"/>
    <cellStyle name="Texto de Aviso 30" xfId="10428"/>
    <cellStyle name="Texto de Aviso 31" xfId="10429"/>
    <cellStyle name="Texto de Aviso 32" xfId="13605"/>
    <cellStyle name="Texto de Aviso 4" xfId="10430"/>
    <cellStyle name="Texto de Aviso 4 2" xfId="10431"/>
    <cellStyle name="Texto de Aviso 4 3" xfId="10432"/>
    <cellStyle name="Texto de Aviso 5" xfId="10433"/>
    <cellStyle name="Texto de Aviso 5 2" xfId="10434"/>
    <cellStyle name="Texto de Aviso 5 3" xfId="10435"/>
    <cellStyle name="Texto de Aviso 6" xfId="10436"/>
    <cellStyle name="Texto de Aviso 6 2" xfId="10437"/>
    <cellStyle name="Texto de Aviso 6 3" xfId="10438"/>
    <cellStyle name="Texto de Aviso 7" xfId="10439"/>
    <cellStyle name="Texto de Aviso 7 2" xfId="10440"/>
    <cellStyle name="Texto de Aviso 7 3" xfId="10441"/>
    <cellStyle name="Texto de Aviso 8" xfId="10442"/>
    <cellStyle name="Texto de Aviso 8 2" xfId="10443"/>
    <cellStyle name="Texto de Aviso 8 3" xfId="10444"/>
    <cellStyle name="Texto de Aviso 9" xfId="10445"/>
    <cellStyle name="Texto de Aviso 9 2" xfId="10446"/>
    <cellStyle name="Texto de Aviso 9 3" xfId="10447"/>
    <cellStyle name="Texto Explicativo" xfId="19" builtinId="53" customBuiltin="1"/>
    <cellStyle name="Texto Explicativo 10" xfId="10448"/>
    <cellStyle name="Texto Explicativo 10 2" xfId="10449"/>
    <cellStyle name="Texto Explicativo 10 3" xfId="10450"/>
    <cellStyle name="Texto Explicativo 11" xfId="10451"/>
    <cellStyle name="Texto Explicativo 11 2" xfId="10452"/>
    <cellStyle name="Texto Explicativo 11 3" xfId="10453"/>
    <cellStyle name="Texto Explicativo 12" xfId="10454"/>
    <cellStyle name="Texto Explicativo 12 2" xfId="10455"/>
    <cellStyle name="Texto Explicativo 12 3" xfId="10456"/>
    <cellStyle name="Texto Explicativo 13" xfId="10457"/>
    <cellStyle name="Texto Explicativo 13 2" xfId="10458"/>
    <cellStyle name="Texto Explicativo 14" xfId="10459"/>
    <cellStyle name="Texto Explicativo 15" xfId="10460"/>
    <cellStyle name="Texto Explicativo 16" xfId="10461"/>
    <cellStyle name="Texto Explicativo 17" xfId="10462"/>
    <cellStyle name="Texto Explicativo 18" xfId="10463"/>
    <cellStyle name="Texto Explicativo 19" xfId="10464"/>
    <cellStyle name="Texto Explicativo 2" xfId="2232"/>
    <cellStyle name="Texto Explicativo 2 10" xfId="15795"/>
    <cellStyle name="Texto Explicativo 2 2" xfId="4845"/>
    <cellStyle name="Texto Explicativo 2 2 2" xfId="14690"/>
    <cellStyle name="Texto Explicativo 2 2 3" xfId="10466"/>
    <cellStyle name="Texto Explicativo 2 2_Base RF" xfId="15124"/>
    <cellStyle name="Texto Explicativo 2 3" xfId="10467"/>
    <cellStyle name="Texto Explicativo 2 3 2" xfId="15733"/>
    <cellStyle name="Texto Explicativo 2 3 3" xfId="15328"/>
    <cellStyle name="Texto Explicativo 2 4" xfId="10468"/>
    <cellStyle name="Texto Explicativo 2 5" xfId="13863"/>
    <cellStyle name="Texto Explicativo 2 6" xfId="10465"/>
    <cellStyle name="Texto Explicativo 2 7" xfId="15777"/>
    <cellStyle name="Texto Explicativo 2 8" xfId="15838"/>
    <cellStyle name="Texto Explicativo 2 9" xfId="15813"/>
    <cellStyle name="Texto Explicativo 2_Base RF" xfId="5918"/>
    <cellStyle name="Texto Explicativo 20" xfId="10469"/>
    <cellStyle name="Texto Explicativo 21" xfId="10470"/>
    <cellStyle name="Texto Explicativo 22" xfId="10471"/>
    <cellStyle name="Texto Explicativo 23" xfId="10472"/>
    <cellStyle name="Texto Explicativo 24" xfId="10473"/>
    <cellStyle name="Texto Explicativo 25" xfId="10474"/>
    <cellStyle name="Texto Explicativo 26" xfId="10475"/>
    <cellStyle name="Texto Explicativo 27" xfId="10476"/>
    <cellStyle name="Texto Explicativo 28" xfId="10477"/>
    <cellStyle name="Texto Explicativo 29" xfId="10478"/>
    <cellStyle name="Texto Explicativo 3" xfId="4846"/>
    <cellStyle name="Texto Explicativo 3 2" xfId="10480"/>
    <cellStyle name="Texto Explicativo 3 3" xfId="10481"/>
    <cellStyle name="Texto Explicativo 3 4" xfId="14691"/>
    <cellStyle name="Texto Explicativo 3 5" xfId="10479"/>
    <cellStyle name="Texto Explicativo 3_Base RF" xfId="15125"/>
    <cellStyle name="Texto Explicativo 30" xfId="10482"/>
    <cellStyle name="Texto Explicativo 31" xfId="10483"/>
    <cellStyle name="Texto Explicativo 32" xfId="13606"/>
    <cellStyle name="Texto Explicativo 4" xfId="10484"/>
    <cellStyle name="Texto Explicativo 4 2" xfId="10485"/>
    <cellStyle name="Texto Explicativo 4 3" xfId="10486"/>
    <cellStyle name="Texto Explicativo 5" xfId="10487"/>
    <cellStyle name="Texto Explicativo 5 2" xfId="10488"/>
    <cellStyle name="Texto Explicativo 5 3" xfId="10489"/>
    <cellStyle name="Texto Explicativo 6" xfId="10490"/>
    <cellStyle name="Texto Explicativo 6 2" xfId="10491"/>
    <cellStyle name="Texto Explicativo 6 3" xfId="10492"/>
    <cellStyle name="Texto Explicativo 7" xfId="10493"/>
    <cellStyle name="Texto Explicativo 7 2" xfId="10494"/>
    <cellStyle name="Texto Explicativo 7 3" xfId="10495"/>
    <cellStyle name="Texto Explicativo 8" xfId="10496"/>
    <cellStyle name="Texto Explicativo 8 2" xfId="10497"/>
    <cellStyle name="Texto Explicativo 8 3" xfId="10498"/>
    <cellStyle name="Texto Explicativo 9" xfId="10499"/>
    <cellStyle name="Texto Explicativo 9 2" xfId="10500"/>
    <cellStyle name="Texto Explicativo 9 3" xfId="10501"/>
    <cellStyle name="TFCF" xfId="10502"/>
    <cellStyle name="TFCF 2" xfId="10503"/>
    <cellStyle name="TFCF 3" xfId="10504"/>
    <cellStyle name="Times 10" xfId="10505"/>
    <cellStyle name="Times 10 2" xfId="10506"/>
    <cellStyle name="Times 10 3" xfId="10507"/>
    <cellStyle name="Times 12" xfId="10508"/>
    <cellStyle name="Times 12 2" xfId="10509"/>
    <cellStyle name="Times 12 3" xfId="10510"/>
    <cellStyle name="Tina" xfId="4847"/>
    <cellStyle name="Title" xfId="4848"/>
    <cellStyle name="Title 2" xfId="2203"/>
    <cellStyle name="Title 2 2" xfId="2204"/>
    <cellStyle name="Title 2 2 2" xfId="5427"/>
    <cellStyle name="Title 2 2 3" xfId="4849"/>
    <cellStyle name="Title 2 2_Base RF" xfId="5921"/>
    <cellStyle name="Title 2 3" xfId="4850"/>
    <cellStyle name="Title 2 3 2" xfId="14692"/>
    <cellStyle name="Title 2 3 3" xfId="13779"/>
    <cellStyle name="Title 2 3_Base RF" xfId="15126"/>
    <cellStyle name="Title 2 4" xfId="10512"/>
    <cellStyle name="Title 2_Base RF" xfId="5920"/>
    <cellStyle name="Title 3" xfId="4851"/>
    <cellStyle name="Title 3 2" xfId="14693"/>
    <cellStyle name="Title 3 3" xfId="10513"/>
    <cellStyle name="Title 3_Base RF" xfId="15127"/>
    <cellStyle name="Title 4" xfId="4852"/>
    <cellStyle name="Title 5" xfId="10511"/>
    <cellStyle name="Title 6" xfId="14904"/>
    <cellStyle name="Title_Base RF" xfId="5919"/>
    <cellStyle name="Título" xfId="4" builtinId="15" customBuiltin="1"/>
    <cellStyle name="Título 1" xfId="5" builtinId="16" customBuiltin="1"/>
    <cellStyle name="Título 1 10" xfId="4853"/>
    <cellStyle name="Título 1 10 2" xfId="10515"/>
    <cellStyle name="Título 1 10 3" xfId="10516"/>
    <cellStyle name="Título 1 10 4" xfId="14694"/>
    <cellStyle name="Título 1 10 5" xfId="10514"/>
    <cellStyle name="Título 1 10_Base RF" xfId="15128"/>
    <cellStyle name="Título 1 11" xfId="4854"/>
    <cellStyle name="Título 1 11 2" xfId="10518"/>
    <cellStyle name="Título 1 11 3" xfId="10519"/>
    <cellStyle name="Título 1 11 4" xfId="14695"/>
    <cellStyle name="Título 1 11 5" xfId="10517"/>
    <cellStyle name="Título 1 11_Base RF" xfId="15129"/>
    <cellStyle name="Título 1 12" xfId="10520"/>
    <cellStyle name="Título 1 12 2" xfId="10521"/>
    <cellStyle name="Título 1 12 3" xfId="10522"/>
    <cellStyle name="Título 1 13" xfId="10523"/>
    <cellStyle name="Título 1 13 2" xfId="10524"/>
    <cellStyle name="Título 1 14" xfId="10525"/>
    <cellStyle name="Título 1 15" xfId="10526"/>
    <cellStyle name="Título 1 16" xfId="10527"/>
    <cellStyle name="Título 1 17" xfId="10528"/>
    <cellStyle name="Título 1 18" xfId="10529"/>
    <cellStyle name="Título 1 19" xfId="10530"/>
    <cellStyle name="Título 1 2" xfId="2245"/>
    <cellStyle name="Título 1 2 10" xfId="15810"/>
    <cellStyle name="Título 1 2 11" xfId="15307"/>
    <cellStyle name="Título 1 2 2" xfId="4856"/>
    <cellStyle name="Título 1 2 2 2" xfId="14696"/>
    <cellStyle name="Título 1 2 2 3" xfId="10532"/>
    <cellStyle name="Título 1 2 2_Base RF" xfId="15130"/>
    <cellStyle name="Título 1 2 3" xfId="4857"/>
    <cellStyle name="Título 1 2 3 2" xfId="14697"/>
    <cellStyle name="Título 1 2 3 3" xfId="10533"/>
    <cellStyle name="Título 1 2 3_Base RF" xfId="15131"/>
    <cellStyle name="Título 1 2 4" xfId="4858"/>
    <cellStyle name="Título 1 2 4 2" xfId="14698"/>
    <cellStyle name="Título 1 2 4 3" xfId="10534"/>
    <cellStyle name="Título 1 2 4_Base RF" xfId="15132"/>
    <cellStyle name="Título 1 2 5" xfId="4855"/>
    <cellStyle name="Título 1 2 6" xfId="13873"/>
    <cellStyle name="Título 1 2 7" xfId="10531"/>
    <cellStyle name="Título 1 2 8" xfId="15783"/>
    <cellStyle name="Título 1 2 9" xfId="15832"/>
    <cellStyle name="Título 1 2_Base RF" xfId="5922"/>
    <cellStyle name="Título 1 20" xfId="10535"/>
    <cellStyle name="Título 1 21" xfId="10536"/>
    <cellStyle name="Título 1 22" xfId="10537"/>
    <cellStyle name="Título 1 23" xfId="10538"/>
    <cellStyle name="Título 1 24" xfId="10539"/>
    <cellStyle name="Título 1 25" xfId="10540"/>
    <cellStyle name="Título 1 26" xfId="10541"/>
    <cellStyle name="Título 1 27" xfId="10542"/>
    <cellStyle name="Título 1 28" xfId="10543"/>
    <cellStyle name="Título 1 29" xfId="10544"/>
    <cellStyle name="Título 1 3" xfId="4859"/>
    <cellStyle name="Título 1 3 2" xfId="10546"/>
    <cellStyle name="Título 1 3 3" xfId="10547"/>
    <cellStyle name="Título 1 3 4" xfId="14699"/>
    <cellStyle name="Título 1 3 5" xfId="10545"/>
    <cellStyle name="Título 1 3_Base RF" xfId="15133"/>
    <cellStyle name="Título 1 30" xfId="10548"/>
    <cellStyle name="Título 1 31" xfId="10549"/>
    <cellStyle name="Título 1 32" xfId="13607"/>
    <cellStyle name="Título 1 4" xfId="4860"/>
    <cellStyle name="Título 1 4 2" xfId="10551"/>
    <cellStyle name="Título 1 4 3" xfId="10552"/>
    <cellStyle name="Título 1 4 4" xfId="14700"/>
    <cellStyle name="Título 1 4 5" xfId="10550"/>
    <cellStyle name="Título 1 4_Base RF" xfId="15134"/>
    <cellStyle name="Título 1 5" xfId="4861"/>
    <cellStyle name="Título 1 5 2" xfId="10554"/>
    <cellStyle name="Título 1 5 3" xfId="10555"/>
    <cellStyle name="Título 1 5 4" xfId="14701"/>
    <cellStyle name="Título 1 5 5" xfId="10553"/>
    <cellStyle name="Título 1 5_Base RF" xfId="15135"/>
    <cellStyle name="Título 1 6" xfId="4862"/>
    <cellStyle name="Título 1 6 2" xfId="10557"/>
    <cellStyle name="Título 1 6 3" xfId="10558"/>
    <cellStyle name="Título 1 6 4" xfId="14702"/>
    <cellStyle name="Título 1 6 5" xfId="10556"/>
    <cellStyle name="Título 1 6_Base RF" xfId="15136"/>
    <cellStyle name="Título 1 7" xfId="4863"/>
    <cellStyle name="Título 1 7 2" xfId="10560"/>
    <cellStyle name="Título 1 7 3" xfId="10561"/>
    <cellStyle name="Título 1 7 4" xfId="14703"/>
    <cellStyle name="Título 1 7 5" xfId="10559"/>
    <cellStyle name="Título 1 7_Base RF" xfId="15137"/>
    <cellStyle name="Título 1 8" xfId="4864"/>
    <cellStyle name="Título 1 8 2" xfId="10563"/>
    <cellStyle name="Título 1 8 3" xfId="10564"/>
    <cellStyle name="Título 1 8 4" xfId="14704"/>
    <cellStyle name="Título 1 8 5" xfId="10562"/>
    <cellStyle name="Título 1 8_Base RF" xfId="15138"/>
    <cellStyle name="Título 1 9" xfId="4865"/>
    <cellStyle name="Título 1 9 2" xfId="10566"/>
    <cellStyle name="Título 1 9 3" xfId="10567"/>
    <cellStyle name="Título 1 9 4" xfId="14705"/>
    <cellStyle name="Título 1 9 5" xfId="10565"/>
    <cellStyle name="Título 1 9_Base RF" xfId="15139"/>
    <cellStyle name="Título 10" xfId="4866"/>
    <cellStyle name="Título 10 2" xfId="14706"/>
    <cellStyle name="Título 10 3" xfId="10568"/>
    <cellStyle name="Título 10_Base RF" xfId="15140"/>
    <cellStyle name="Título 11" xfId="4867"/>
    <cellStyle name="Título 11 2" xfId="14707"/>
    <cellStyle name="Título 11 3" xfId="10569"/>
    <cellStyle name="Título 11_Base RF" xfId="15141"/>
    <cellStyle name="Título 12" xfId="4868"/>
    <cellStyle name="Título 12 2" xfId="14708"/>
    <cellStyle name="Título 12 3" xfId="10570"/>
    <cellStyle name="Título 12_Base RF" xfId="15142"/>
    <cellStyle name="Título 13" xfId="4869"/>
    <cellStyle name="Título 13 2" xfId="14709"/>
    <cellStyle name="Título 13 3" xfId="10571"/>
    <cellStyle name="Título 13_Base RF" xfId="15143"/>
    <cellStyle name="Título 14" xfId="4870"/>
    <cellStyle name="Título 14 2" xfId="14710"/>
    <cellStyle name="Título 14 3" xfId="10572"/>
    <cellStyle name="Título 14_Base RF" xfId="15144"/>
    <cellStyle name="Título 15" xfId="4871"/>
    <cellStyle name="Título 15 2" xfId="14711"/>
    <cellStyle name="Título 15 3" xfId="10573"/>
    <cellStyle name="Título 15_Base RF" xfId="15145"/>
    <cellStyle name="Título 16" xfId="4872"/>
    <cellStyle name="Título 16 2" xfId="14712"/>
    <cellStyle name="Título 16 3" xfId="10574"/>
    <cellStyle name="Título 16_Base RF" xfId="15146"/>
    <cellStyle name="Título 17" xfId="4873"/>
    <cellStyle name="Título 17 2" xfId="14713"/>
    <cellStyle name="Título 17 3" xfId="10575"/>
    <cellStyle name="Título 17_Base RF" xfId="15147"/>
    <cellStyle name="Título 18" xfId="4874"/>
    <cellStyle name="Título 18 2" xfId="14714"/>
    <cellStyle name="Título 18 3" xfId="10576"/>
    <cellStyle name="Título 18_Base RF" xfId="15148"/>
    <cellStyle name="Título 19" xfId="4875"/>
    <cellStyle name="Título 19 2" xfId="14715"/>
    <cellStyle name="Título 19 3" xfId="10577"/>
    <cellStyle name="Título 19_Base RF" xfId="15149"/>
    <cellStyle name="Título 2" xfId="6" builtinId="17" customBuiltin="1"/>
    <cellStyle name="Título 2 10" xfId="4876"/>
    <cellStyle name="Título 2 10 2" xfId="10579"/>
    <cellStyle name="Título 2 10 3" xfId="10580"/>
    <cellStyle name="Título 2 10 4" xfId="14716"/>
    <cellStyle name="Título 2 10 5" xfId="10578"/>
    <cellStyle name="Título 2 10_Base RF" xfId="15150"/>
    <cellStyle name="Título 2 11" xfId="4877"/>
    <cellStyle name="Título 2 11 2" xfId="10582"/>
    <cellStyle name="Título 2 11 3" xfId="10583"/>
    <cellStyle name="Título 2 11 4" xfId="14717"/>
    <cellStyle name="Título 2 11 5" xfId="10581"/>
    <cellStyle name="Título 2 11_Base RF" xfId="15151"/>
    <cellStyle name="Título 2 12" xfId="10584"/>
    <cellStyle name="Título 2 12 2" xfId="10585"/>
    <cellStyle name="Título 2 12 3" xfId="10586"/>
    <cellStyle name="Título 2 13" xfId="10587"/>
    <cellStyle name="Título 2 13 2" xfId="10588"/>
    <cellStyle name="Título 2 14" xfId="10589"/>
    <cellStyle name="Título 2 15" xfId="10590"/>
    <cellStyle name="Título 2 16" xfId="10591"/>
    <cellStyle name="Título 2 17" xfId="10592"/>
    <cellStyle name="Título 2 18" xfId="10593"/>
    <cellStyle name="Título 2 19" xfId="10594"/>
    <cellStyle name="Título 2 2" xfId="2244"/>
    <cellStyle name="Título 2 2 10" xfId="15811"/>
    <cellStyle name="Título 2 2 11" xfId="15308"/>
    <cellStyle name="Título 2 2 2" xfId="4879"/>
    <cellStyle name="Título 2 2 2 2" xfId="14718"/>
    <cellStyle name="Título 2 2 2 3" xfId="10596"/>
    <cellStyle name="Título 2 2 2_Base RF" xfId="15152"/>
    <cellStyle name="Título 2 2 3" xfId="4880"/>
    <cellStyle name="Título 2 2 3 2" xfId="14719"/>
    <cellStyle name="Título 2 2 3 3" xfId="10597"/>
    <cellStyle name="Título 2 2 3_Base RF" xfId="15153"/>
    <cellStyle name="Título 2 2 4" xfId="4881"/>
    <cellStyle name="Título 2 2 4 2" xfId="14720"/>
    <cellStyle name="Título 2 2 4 3" xfId="10598"/>
    <cellStyle name="Título 2 2 4_Base RF" xfId="15154"/>
    <cellStyle name="Título 2 2 5" xfId="4878"/>
    <cellStyle name="Título 2 2 6" xfId="13872"/>
    <cellStyle name="Título 2 2 7" xfId="10595"/>
    <cellStyle name="Título 2 2 8" xfId="15782"/>
    <cellStyle name="Título 2 2 9" xfId="15833"/>
    <cellStyle name="Título 2 2_Base RF" xfId="5923"/>
    <cellStyle name="Título 2 20" xfId="10599"/>
    <cellStyle name="Título 2 21" xfId="10600"/>
    <cellStyle name="Título 2 22" xfId="10601"/>
    <cellStyle name="Título 2 23" xfId="10602"/>
    <cellStyle name="Título 2 24" xfId="10603"/>
    <cellStyle name="Título 2 25" xfId="10604"/>
    <cellStyle name="Título 2 26" xfId="10605"/>
    <cellStyle name="Título 2 27" xfId="10606"/>
    <cellStyle name="Título 2 28" xfId="10607"/>
    <cellStyle name="Título 2 29" xfId="10608"/>
    <cellStyle name="Título 2 3" xfId="4882"/>
    <cellStyle name="Título 2 3 2" xfId="10610"/>
    <cellStyle name="Título 2 3 3" xfId="10611"/>
    <cellStyle name="Título 2 3 4" xfId="14721"/>
    <cellStyle name="Título 2 3 5" xfId="10609"/>
    <cellStyle name="Título 2 3_Base RF" xfId="15155"/>
    <cellStyle name="Título 2 30" xfId="10612"/>
    <cellStyle name="Título 2 31" xfId="10613"/>
    <cellStyle name="Título 2 32" xfId="13608"/>
    <cellStyle name="Título 2 4" xfId="4883"/>
    <cellStyle name="Título 2 4 2" xfId="10615"/>
    <cellStyle name="Título 2 4 3" xfId="10616"/>
    <cellStyle name="Título 2 4 4" xfId="14722"/>
    <cellStyle name="Título 2 4 5" xfId="10614"/>
    <cellStyle name="Título 2 4_Base RF" xfId="15156"/>
    <cellStyle name="Título 2 5" xfId="4884"/>
    <cellStyle name="Título 2 5 2" xfId="10618"/>
    <cellStyle name="Título 2 5 3" xfId="10619"/>
    <cellStyle name="Título 2 5 4" xfId="14723"/>
    <cellStyle name="Título 2 5 5" xfId="10617"/>
    <cellStyle name="Título 2 5_Base RF" xfId="15157"/>
    <cellStyle name="Título 2 6" xfId="4885"/>
    <cellStyle name="Título 2 6 2" xfId="10621"/>
    <cellStyle name="Título 2 6 3" xfId="10622"/>
    <cellStyle name="Título 2 6 4" xfId="14724"/>
    <cellStyle name="Título 2 6 5" xfId="10620"/>
    <cellStyle name="Título 2 6_Base RF" xfId="15158"/>
    <cellStyle name="Título 2 7" xfId="4886"/>
    <cellStyle name="Título 2 7 2" xfId="10624"/>
    <cellStyle name="Título 2 7 3" xfId="10625"/>
    <cellStyle name="Título 2 7 4" xfId="14725"/>
    <cellStyle name="Título 2 7 5" xfId="10623"/>
    <cellStyle name="Título 2 7_Base RF" xfId="15159"/>
    <cellStyle name="Título 2 8" xfId="4887"/>
    <cellStyle name="Título 2 8 2" xfId="10627"/>
    <cellStyle name="Título 2 8 3" xfId="10628"/>
    <cellStyle name="Título 2 8 4" xfId="14726"/>
    <cellStyle name="Título 2 8 5" xfId="10626"/>
    <cellStyle name="Título 2 8_Base RF" xfId="15160"/>
    <cellStyle name="Título 2 9" xfId="4888"/>
    <cellStyle name="Título 2 9 2" xfId="10630"/>
    <cellStyle name="Título 2 9 3" xfId="10631"/>
    <cellStyle name="Título 2 9 4" xfId="14727"/>
    <cellStyle name="Título 2 9 5" xfId="10629"/>
    <cellStyle name="Título 2 9_Base RF" xfId="15161"/>
    <cellStyle name="Título 20" xfId="4889"/>
    <cellStyle name="Título 20 2" xfId="14728"/>
    <cellStyle name="Título 20 3" xfId="10632"/>
    <cellStyle name="Título 20_Base RF" xfId="15162"/>
    <cellStyle name="Título 21" xfId="4890"/>
    <cellStyle name="Título 21 2" xfId="14729"/>
    <cellStyle name="Título 21 3" xfId="10633"/>
    <cellStyle name="Título 21_Base RF" xfId="15163"/>
    <cellStyle name="Título 22" xfId="4891"/>
    <cellStyle name="Título 22 2" xfId="14730"/>
    <cellStyle name="Título 22 3" xfId="10634"/>
    <cellStyle name="Título 22_Base RF" xfId="15164"/>
    <cellStyle name="Título 23" xfId="4892"/>
    <cellStyle name="Título 23 2" xfId="14731"/>
    <cellStyle name="Título 23 3" xfId="10635"/>
    <cellStyle name="Título 23_Base RF" xfId="15165"/>
    <cellStyle name="Título 24" xfId="4893"/>
    <cellStyle name="Título 24 2" xfId="14732"/>
    <cellStyle name="Título 24 3" xfId="10636"/>
    <cellStyle name="Título 24_Base RF" xfId="15166"/>
    <cellStyle name="Título 25" xfId="4894"/>
    <cellStyle name="Título 26" xfId="4895"/>
    <cellStyle name="Título 27" xfId="4896"/>
    <cellStyle name="Título 28" xfId="4897"/>
    <cellStyle name="Título 29" xfId="4898"/>
    <cellStyle name="Título 3" xfId="7" builtinId="18" customBuiltin="1"/>
    <cellStyle name="Título 3 10" xfId="4899"/>
    <cellStyle name="Título 3 10 2" xfId="10638"/>
    <cellStyle name="Título 3 10 3" xfId="10639"/>
    <cellStyle name="Título 3 10 4" xfId="14733"/>
    <cellStyle name="Título 3 10 5" xfId="10637"/>
    <cellStyle name="Título 3 10_Base RF" xfId="15167"/>
    <cellStyle name="Título 3 11" xfId="4900"/>
    <cellStyle name="Título 3 11 2" xfId="10641"/>
    <cellStyle name="Título 3 11 3" xfId="10642"/>
    <cellStyle name="Título 3 11 4" xfId="14734"/>
    <cellStyle name="Título 3 11 5" xfId="10640"/>
    <cellStyle name="Título 3 11_Base RF" xfId="15168"/>
    <cellStyle name="Título 3 12" xfId="10643"/>
    <cellStyle name="Título 3 12 2" xfId="10644"/>
    <cellStyle name="Título 3 12 3" xfId="10645"/>
    <cellStyle name="Título 3 13" xfId="10646"/>
    <cellStyle name="Título 3 13 2" xfId="10647"/>
    <cellStyle name="Título 3 14" xfId="10648"/>
    <cellStyle name="Título 3 15" xfId="10649"/>
    <cellStyle name="Título 3 16" xfId="10650"/>
    <cellStyle name="Título 3 17" xfId="10651"/>
    <cellStyle name="Título 3 18" xfId="10652"/>
    <cellStyle name="Título 3 19" xfId="10653"/>
    <cellStyle name="Título 3 2" xfId="2243"/>
    <cellStyle name="Título 3 2 10" xfId="15834"/>
    <cellStyle name="Título 3 2 11" xfId="15309"/>
    <cellStyle name="Título 3 2 2" xfId="4902"/>
    <cellStyle name="Título 3 2 2 2" xfId="14735"/>
    <cellStyle name="Título 3 2 2 3" xfId="10655"/>
    <cellStyle name="Título 3 2 2_Base RF" xfId="15169"/>
    <cellStyle name="Título 3 2 3" xfId="4903"/>
    <cellStyle name="Título 3 2 3 2" xfId="14736"/>
    <cellStyle name="Título 3 2 3 3" xfId="10656"/>
    <cellStyle name="Título 3 2 3_Base RF" xfId="15170"/>
    <cellStyle name="Título 3 2 4" xfId="4904"/>
    <cellStyle name="Título 3 2 4 2" xfId="14737"/>
    <cellStyle name="Título 3 2 4 3" xfId="10657"/>
    <cellStyle name="Título 3 2 4_Base RF" xfId="15171"/>
    <cellStyle name="Título 3 2 5" xfId="4905"/>
    <cellStyle name="Título 3 2 6" xfId="4901"/>
    <cellStyle name="Título 3 2 7" xfId="13871"/>
    <cellStyle name="Título 3 2 8" xfId="10654"/>
    <cellStyle name="Título 3 2 9" xfId="15781"/>
    <cellStyle name="Título 3 2_Base RF" xfId="5924"/>
    <cellStyle name="Título 3 20" xfId="10658"/>
    <cellStyle name="Título 3 21" xfId="10659"/>
    <cellStyle name="Título 3 22" xfId="10660"/>
    <cellStyle name="Título 3 23" xfId="10661"/>
    <cellStyle name="Título 3 24" xfId="10662"/>
    <cellStyle name="Título 3 25" xfId="10663"/>
    <cellStyle name="Título 3 26" xfId="10664"/>
    <cellStyle name="Título 3 27" xfId="10665"/>
    <cellStyle name="Título 3 28" xfId="10666"/>
    <cellStyle name="Título 3 29" xfId="10667"/>
    <cellStyle name="Título 3 3" xfId="4906"/>
    <cellStyle name="Título 3 3 2" xfId="4907"/>
    <cellStyle name="Título 3 3 2 2" xfId="14739"/>
    <cellStyle name="Título 3 3 2 3" xfId="10669"/>
    <cellStyle name="Título 3 3 2_Base RF" xfId="15172"/>
    <cellStyle name="Título 3 3 3" xfId="10670"/>
    <cellStyle name="Título 3 3 4" xfId="14738"/>
    <cellStyle name="Título 3 3 5" xfId="10668"/>
    <cellStyle name="Título 3 3_Base RF" xfId="5925"/>
    <cellStyle name="Título 3 30" xfId="10671"/>
    <cellStyle name="Título 3 31" xfId="10672"/>
    <cellStyle name="Título 3 32" xfId="13609"/>
    <cellStyle name="Título 3 4" xfId="4908"/>
    <cellStyle name="Título 3 4 2" xfId="10674"/>
    <cellStyle name="Título 3 4 3" xfId="10675"/>
    <cellStyle name="Título 3 4 4" xfId="14740"/>
    <cellStyle name="Título 3 4 5" xfId="10673"/>
    <cellStyle name="Título 3 4_Base RF" xfId="15173"/>
    <cellStyle name="Título 3 5" xfId="4909"/>
    <cellStyle name="Título 3 5 2" xfId="10677"/>
    <cellStyle name="Título 3 5 3" xfId="10678"/>
    <cellStyle name="Título 3 5 4" xfId="14741"/>
    <cellStyle name="Título 3 5 5" xfId="10676"/>
    <cellStyle name="Título 3 5_Base RF" xfId="15174"/>
    <cellStyle name="Título 3 6" xfId="4910"/>
    <cellStyle name="Título 3 6 2" xfId="10680"/>
    <cellStyle name="Título 3 6 3" xfId="10681"/>
    <cellStyle name="Título 3 6 4" xfId="14742"/>
    <cellStyle name="Título 3 6 5" xfId="10679"/>
    <cellStyle name="Título 3 6_Base RF" xfId="15175"/>
    <cellStyle name="Título 3 7" xfId="4911"/>
    <cellStyle name="Título 3 7 2" xfId="10683"/>
    <cellStyle name="Título 3 7 3" xfId="10684"/>
    <cellStyle name="Título 3 7 4" xfId="14743"/>
    <cellStyle name="Título 3 7 5" xfId="10682"/>
    <cellStyle name="Título 3 7_Base RF" xfId="15176"/>
    <cellStyle name="Título 3 8" xfId="4912"/>
    <cellStyle name="Título 3 8 2" xfId="10686"/>
    <cellStyle name="Título 3 8 3" xfId="10687"/>
    <cellStyle name="Título 3 8 4" xfId="14744"/>
    <cellStyle name="Título 3 8 5" xfId="10685"/>
    <cellStyle name="Título 3 8_Base RF" xfId="15177"/>
    <cellStyle name="Título 3 9" xfId="4913"/>
    <cellStyle name="Título 3 9 2" xfId="10689"/>
    <cellStyle name="Título 3 9 3" xfId="10690"/>
    <cellStyle name="Título 3 9 4" xfId="14745"/>
    <cellStyle name="Título 3 9 5" xfId="10688"/>
    <cellStyle name="Título 3 9_Base RF" xfId="15178"/>
    <cellStyle name="Título 30" xfId="4914"/>
    <cellStyle name="Título 31" xfId="4915"/>
    <cellStyle name="Título 32" xfId="4916"/>
    <cellStyle name="Título 33" xfId="4917"/>
    <cellStyle name="Título 34" xfId="4918"/>
    <cellStyle name="Título 35" xfId="4919"/>
    <cellStyle name="Título 36" xfId="4920"/>
    <cellStyle name="Título 37" xfId="4921"/>
    <cellStyle name="Título 38" xfId="4922"/>
    <cellStyle name="Título 38 2" xfId="4923"/>
    <cellStyle name="Título 38_Base RF" xfId="5926"/>
    <cellStyle name="Título 39" xfId="4924"/>
    <cellStyle name="Título 39 2" xfId="4925"/>
    <cellStyle name="Título 39_Base RF" xfId="5927"/>
    <cellStyle name="Título 4" xfId="8" builtinId="19" customBuiltin="1"/>
    <cellStyle name="Título 4 10" xfId="10691"/>
    <cellStyle name="Título 4 10 2" xfId="10692"/>
    <cellStyle name="Título 4 10 3" xfId="10693"/>
    <cellStyle name="Título 4 11" xfId="10694"/>
    <cellStyle name="Título 4 11 2" xfId="10695"/>
    <cellStyle name="Título 4 11 3" xfId="10696"/>
    <cellStyle name="Título 4 12" xfId="10697"/>
    <cellStyle name="Título 4 12 2" xfId="10698"/>
    <cellStyle name="Título 4 12 3" xfId="10699"/>
    <cellStyle name="Título 4 13" xfId="10700"/>
    <cellStyle name="Título 4 13 2" xfId="10701"/>
    <cellStyle name="Título 4 14" xfId="10702"/>
    <cellStyle name="Título 4 15" xfId="10703"/>
    <cellStyle name="Título 4 16" xfId="10704"/>
    <cellStyle name="Título 4 17" xfId="10705"/>
    <cellStyle name="Título 4 18" xfId="10706"/>
    <cellStyle name="Título 4 19" xfId="10707"/>
    <cellStyle name="Título 4 2" xfId="2249"/>
    <cellStyle name="Título 4 2 10" xfId="15819"/>
    <cellStyle name="Título 4 2 11" xfId="15310"/>
    <cellStyle name="Título 4 2 2" xfId="4927"/>
    <cellStyle name="Título 4 2 2 2" xfId="14747"/>
    <cellStyle name="Título 4 2 2 3" xfId="10709"/>
    <cellStyle name="Título 4 2 2_Base RF" xfId="15179"/>
    <cellStyle name="Título 4 2 3" xfId="4926"/>
    <cellStyle name="Título 4 2 3 2" xfId="14746"/>
    <cellStyle name="Título 4 2 3 3" xfId="10710"/>
    <cellStyle name="Título 4 2 3_Base RF" xfId="15180"/>
    <cellStyle name="Título 4 2 4" xfId="10711"/>
    <cellStyle name="Título 4 2 4 2" xfId="15734"/>
    <cellStyle name="Título 4 2 4 3" xfId="15334"/>
    <cellStyle name="Título 4 2 5" xfId="13876"/>
    <cellStyle name="Título 4 2 6" xfId="10708"/>
    <cellStyle name="Título 4 2 7" xfId="15785"/>
    <cellStyle name="Título 4 2 8" xfId="15830"/>
    <cellStyle name="Título 4 2 9" xfId="15767"/>
    <cellStyle name="Título 4 2_Base RF" xfId="5928"/>
    <cellStyle name="Título 4 20" xfId="10712"/>
    <cellStyle name="Título 4 21" xfId="10713"/>
    <cellStyle name="Título 4 22" xfId="10714"/>
    <cellStyle name="Título 4 23" xfId="10715"/>
    <cellStyle name="Título 4 24" xfId="10716"/>
    <cellStyle name="Título 4 25" xfId="10717"/>
    <cellStyle name="Título 4 26" xfId="10718"/>
    <cellStyle name="Título 4 27" xfId="10719"/>
    <cellStyle name="Título 4 28" xfId="10720"/>
    <cellStyle name="Título 4 29" xfId="10721"/>
    <cellStyle name="Título 4 3" xfId="4928"/>
    <cellStyle name="Título 4 3 2" xfId="10723"/>
    <cellStyle name="Título 4 3 3" xfId="10724"/>
    <cellStyle name="Título 4 3 4" xfId="14748"/>
    <cellStyle name="Título 4 3 5" xfId="10722"/>
    <cellStyle name="Título 4 3_Base RF" xfId="15181"/>
    <cellStyle name="Título 4 30" xfId="10725"/>
    <cellStyle name="Título 4 31" xfId="10726"/>
    <cellStyle name="Título 4 32" xfId="13610"/>
    <cellStyle name="Título 4 4" xfId="4929"/>
    <cellStyle name="Título 4 4 2" xfId="10728"/>
    <cellStyle name="Título 4 4 3" xfId="10729"/>
    <cellStyle name="Título 4 4 4" xfId="14749"/>
    <cellStyle name="Título 4 4 5" xfId="10727"/>
    <cellStyle name="Título 4 4_Base RF" xfId="15182"/>
    <cellStyle name="Título 4 5" xfId="10730"/>
    <cellStyle name="Título 4 5 2" xfId="10731"/>
    <cellStyle name="Título 4 5 3" xfId="10732"/>
    <cellStyle name="Título 4 6" xfId="10733"/>
    <cellStyle name="Título 4 6 2" xfId="10734"/>
    <cellStyle name="Título 4 6 3" xfId="10735"/>
    <cellStyle name="Título 4 7" xfId="10736"/>
    <cellStyle name="Título 4 7 2" xfId="10737"/>
    <cellStyle name="Título 4 7 3" xfId="10738"/>
    <cellStyle name="Título 4 8" xfId="10739"/>
    <cellStyle name="Título 4 8 2" xfId="10740"/>
    <cellStyle name="Título 4 8 3" xfId="10741"/>
    <cellStyle name="Título 4 9" xfId="10742"/>
    <cellStyle name="Título 4 9 2" xfId="10743"/>
    <cellStyle name="Título 4 9 3" xfId="10744"/>
    <cellStyle name="Título 40" xfId="4930"/>
    <cellStyle name="Título 41" xfId="4931"/>
    <cellStyle name="Título 42" xfId="4932"/>
    <cellStyle name="Título 43" xfId="4933"/>
    <cellStyle name="Título 44" xfId="4934"/>
    <cellStyle name="Título 45" xfId="4935"/>
    <cellStyle name="Título 46" xfId="4936"/>
    <cellStyle name="Título 47" xfId="4937"/>
    <cellStyle name="Título 48" xfId="4938"/>
    <cellStyle name="Título 49" xfId="4939"/>
    <cellStyle name="Título 5" xfId="2246"/>
    <cellStyle name="Título 5 10" xfId="15856"/>
    <cellStyle name="Título 5 11" xfId="15311"/>
    <cellStyle name="Título 5 2" xfId="4941"/>
    <cellStyle name="Título 5 2 2" xfId="14751"/>
    <cellStyle name="Título 5 2 3" xfId="10746"/>
    <cellStyle name="Título 5 2_Base RF" xfId="15183"/>
    <cellStyle name="Título 5 3" xfId="4940"/>
    <cellStyle name="Título 5 3 2" xfId="14750"/>
    <cellStyle name="Título 5 3 3" xfId="10747"/>
    <cellStyle name="Título 5 3_Base RF" xfId="15184"/>
    <cellStyle name="Título 5 4" xfId="13874"/>
    <cellStyle name="Título 5 5" xfId="10745"/>
    <cellStyle name="Título 5 6" xfId="15784"/>
    <cellStyle name="Título 5 7" xfId="15831"/>
    <cellStyle name="Título 5 8" xfId="15809"/>
    <cellStyle name="Título 5 9" xfId="15794"/>
    <cellStyle name="Título 5_Base RF" xfId="5929"/>
    <cellStyle name="Título 50" xfId="4942"/>
    <cellStyle name="Título 51" xfId="4943"/>
    <cellStyle name="Título 52" xfId="4944"/>
    <cellStyle name="Título 53" xfId="4945"/>
    <cellStyle name="Título 54" xfId="4946"/>
    <cellStyle name="Título 55" xfId="4947"/>
    <cellStyle name="Título 56" xfId="4948"/>
    <cellStyle name="Título 57" xfId="4949"/>
    <cellStyle name="Título 58" xfId="4950"/>
    <cellStyle name="Título 59" xfId="4951"/>
    <cellStyle name="Título 6" xfId="4952"/>
    <cellStyle name="Título 6 2" xfId="14752"/>
    <cellStyle name="Título 6 3" xfId="10748"/>
    <cellStyle name="Título 6_Base RF" xfId="15185"/>
    <cellStyle name="Título 60" xfId="4953"/>
    <cellStyle name="Título 61" xfId="4954"/>
    <cellStyle name="Título 62" xfId="4955"/>
    <cellStyle name="Título 63" xfId="5239"/>
    <cellStyle name="Título 64" xfId="5243"/>
    <cellStyle name="Título 65" xfId="5249"/>
    <cellStyle name="Título 66" xfId="5251"/>
    <cellStyle name="Título 67" xfId="5259"/>
    <cellStyle name="Título 68" xfId="5262"/>
    <cellStyle name="Título 69" xfId="5260"/>
    <cellStyle name="Título 7" xfId="4956"/>
    <cellStyle name="Título 7 2" xfId="14753"/>
    <cellStyle name="Título 7 3" xfId="10749"/>
    <cellStyle name="Título 7_Base RF" xfId="15186"/>
    <cellStyle name="Título 70" xfId="5269"/>
    <cellStyle name="Título 71" xfId="5271"/>
    <cellStyle name="Título 72" xfId="5277"/>
    <cellStyle name="Título 73" xfId="5279"/>
    <cellStyle name="Título 74" xfId="5289"/>
    <cellStyle name="Título 75" xfId="5292"/>
    <cellStyle name="Título 76" xfId="5290"/>
    <cellStyle name="Título 77" xfId="5293"/>
    <cellStyle name="Título 78" xfId="5301"/>
    <cellStyle name="Título 79" xfId="5303"/>
    <cellStyle name="Título 8" xfId="4957"/>
    <cellStyle name="Título 8 2" xfId="14754"/>
    <cellStyle name="Título 8 3" xfId="10750"/>
    <cellStyle name="Título 8_Base RF" xfId="15187"/>
    <cellStyle name="Título 9" xfId="4958"/>
    <cellStyle name="Título 9 2" xfId="14755"/>
    <cellStyle name="Título 9 3" xfId="10751"/>
    <cellStyle name="Título 9_Base RF" xfId="15188"/>
    <cellStyle name="Título Tabela" xfId="4959"/>
    <cellStyle name="TopGrey" xfId="10752"/>
    <cellStyle name="TopGrey 2" xfId="10753"/>
    <cellStyle name="TopGrey 3" xfId="10754"/>
    <cellStyle name="Total" xfId="20" builtinId="25" customBuiltin="1"/>
    <cellStyle name="Total 10" xfId="10755"/>
    <cellStyle name="Total 10 2" xfId="10756"/>
    <cellStyle name="Total 10 3" xfId="10757"/>
    <cellStyle name="Total 11" xfId="10758"/>
    <cellStyle name="Total 11 2" xfId="10759"/>
    <cellStyle name="Total 11 3" xfId="10760"/>
    <cellStyle name="Total 12" xfId="10761"/>
    <cellStyle name="Total 12 2" xfId="10762"/>
    <cellStyle name="Total 12 3" xfId="10763"/>
    <cellStyle name="Total 13" xfId="10764"/>
    <cellStyle name="Total 13 2" xfId="10765"/>
    <cellStyle name="Total 14" xfId="10766"/>
    <cellStyle name="Total 15" xfId="10767"/>
    <cellStyle name="Total 16" xfId="10768"/>
    <cellStyle name="Total 17" xfId="10769"/>
    <cellStyle name="Total 18" xfId="10770"/>
    <cellStyle name="Total 19" xfId="10771"/>
    <cellStyle name="Total 2" xfId="2205"/>
    <cellStyle name="Total 2 2" xfId="2206"/>
    <cellStyle name="Total 2 2 2" xfId="4961"/>
    <cellStyle name="Total 2 2 2 2" xfId="14756"/>
    <cellStyle name="Total 2 2 2 3" xfId="13780"/>
    <cellStyle name="Total 2 2 2_Base RF" xfId="15189"/>
    <cellStyle name="Total 2 2 3" xfId="5428"/>
    <cellStyle name="Total 2 2 3 2" xfId="14859"/>
    <cellStyle name="Total 2 2 3 3" xfId="10773"/>
    <cellStyle name="Total 2 2 3_Base RF" xfId="15190"/>
    <cellStyle name="Total 2 2 4" xfId="4960"/>
    <cellStyle name="Total 2 2_Base RF" xfId="5931"/>
    <cellStyle name="Total 2 3" xfId="4962"/>
    <cellStyle name="Total 2 3 2" xfId="14757"/>
    <cellStyle name="Total 2 3 3" xfId="10774"/>
    <cellStyle name="Total 2 3_Base RF" xfId="15191"/>
    <cellStyle name="Total 2 4" xfId="4963"/>
    <cellStyle name="Total 2 4 2" xfId="14758"/>
    <cellStyle name="Total 2 4 3" xfId="10775"/>
    <cellStyle name="Total 2 4_Base RF" xfId="15192"/>
    <cellStyle name="Total 2 5" xfId="4964"/>
    <cellStyle name="Total 2 6" xfId="4965"/>
    <cellStyle name="Total 2 6 2" xfId="14759"/>
    <cellStyle name="Total 2 6 3" xfId="10772"/>
    <cellStyle name="Total 2 6_Base RF" xfId="15193"/>
    <cellStyle name="Total 2_Base RF" xfId="5930"/>
    <cellStyle name="Total 20" xfId="10776"/>
    <cellStyle name="Total 21" xfId="10777"/>
    <cellStyle name="Total 22" xfId="10778"/>
    <cellStyle name="Total 23" xfId="10779"/>
    <cellStyle name="Total 24" xfId="10780"/>
    <cellStyle name="Total 25" xfId="10781"/>
    <cellStyle name="Total 26" xfId="10782"/>
    <cellStyle name="Total 27" xfId="10783"/>
    <cellStyle name="Total 28" xfId="10784"/>
    <cellStyle name="Total 29" xfId="10785"/>
    <cellStyle name="Total 3" xfId="4966"/>
    <cellStyle name="Total 3 2" xfId="4967"/>
    <cellStyle name="Total 3 2 2" xfId="14761"/>
    <cellStyle name="Total 3 2 3" xfId="10787"/>
    <cellStyle name="Total 3 2_Base RF" xfId="15194"/>
    <cellStyle name="Total 3 3" xfId="4968"/>
    <cellStyle name="Total 3 3 2" xfId="14762"/>
    <cellStyle name="Total 3 3 3" xfId="10788"/>
    <cellStyle name="Total 3 3_Base RF" xfId="15195"/>
    <cellStyle name="Total 3 4" xfId="4969"/>
    <cellStyle name="Total 3 5" xfId="14760"/>
    <cellStyle name="Total 3 6" xfId="10786"/>
    <cellStyle name="Total 3_Base RF" xfId="5932"/>
    <cellStyle name="Total 30" xfId="10789"/>
    <cellStyle name="Total 31" xfId="10790"/>
    <cellStyle name="Total 32" xfId="13611"/>
    <cellStyle name="Total 4" xfId="4970"/>
    <cellStyle name="Total 4 2" xfId="4971"/>
    <cellStyle name="Total 4 2 2" xfId="14764"/>
    <cellStyle name="Total 4 2 3" xfId="10792"/>
    <cellStyle name="Total 4 2_Base RF" xfId="15196"/>
    <cellStyle name="Total 4 3" xfId="10793"/>
    <cellStyle name="Total 4 4" xfId="14763"/>
    <cellStyle name="Total 4 5" xfId="10791"/>
    <cellStyle name="Total 4_Base RF" xfId="5933"/>
    <cellStyle name="Total 5" xfId="10794"/>
    <cellStyle name="Total 5 2" xfId="10795"/>
    <cellStyle name="Total 5 3" xfId="10796"/>
    <cellStyle name="Total 6" xfId="10797"/>
    <cellStyle name="Total 6 2" xfId="10798"/>
    <cellStyle name="Total 6 3" xfId="10799"/>
    <cellStyle name="Total 7" xfId="10800"/>
    <cellStyle name="Total 7 2" xfId="10801"/>
    <cellStyle name="Total 7 3" xfId="10802"/>
    <cellStyle name="Total 8" xfId="10803"/>
    <cellStyle name="Total 8 2" xfId="10804"/>
    <cellStyle name="Total 8 3" xfId="10805"/>
    <cellStyle name="Total 9" xfId="10806"/>
    <cellStyle name="Total 9 2" xfId="10807"/>
    <cellStyle name="Total 9 3" xfId="10808"/>
    <cellStyle name="ubordinated Debt" xfId="10809"/>
    <cellStyle name="ubordinated Debt 2" xfId="10810"/>
    <cellStyle name="ubordinated Debt 3" xfId="10811"/>
    <cellStyle name="Uhrzeit" xfId="10812"/>
    <cellStyle name="Uhrzeit 2" xfId="10813"/>
    <cellStyle name="Uhrzeit 3" xfId="10814"/>
    <cellStyle name="Uhrzeit 4" xfId="13612"/>
    <cellStyle name="Uhrzeit 5" xfId="13639"/>
    <cellStyle name="Underline_Single" xfId="10815"/>
    <cellStyle name="Valuta [0]_TELEMAN" xfId="2207"/>
    <cellStyle name="Valuta_TELEMAN" xfId="2208"/>
    <cellStyle name="Vírgula" xfId="1" builtinId="3"/>
    <cellStyle name="Vírgula 10" xfId="10816"/>
    <cellStyle name="Vírgula 10 2" xfId="10817"/>
    <cellStyle name="Vírgula 10 3" xfId="10818"/>
    <cellStyle name="Vírgula 11" xfId="10819"/>
    <cellStyle name="Vírgula 11 10" xfId="10820"/>
    <cellStyle name="Vírgula 11 11" xfId="10821"/>
    <cellStyle name="Vírgula 11 12" xfId="10822"/>
    <cellStyle name="Vírgula 11 13" xfId="10823"/>
    <cellStyle name="Vírgula 11 2" xfId="10824"/>
    <cellStyle name="Vírgula 11 2 2" xfId="10825"/>
    <cellStyle name="Vírgula 11 2 2 2" xfId="10826"/>
    <cellStyle name="Vírgula 11 2 2 2 2" xfId="10827"/>
    <cellStyle name="Vírgula 11 2 2 3" xfId="10828"/>
    <cellStyle name="Vírgula 11 2 2 4" xfId="10829"/>
    <cellStyle name="Vírgula 11 2 3" xfId="10830"/>
    <cellStyle name="Vírgula 11 2 3 2" xfId="10831"/>
    <cellStyle name="Vírgula 11 2 4" xfId="10832"/>
    <cellStyle name="Vírgula 11 2 5" xfId="10833"/>
    <cellStyle name="Vírgula 11 2 6" xfId="10834"/>
    <cellStyle name="Vírgula 11 3" xfId="10835"/>
    <cellStyle name="Vírgula 11 3 2" xfId="10836"/>
    <cellStyle name="Vírgula 11 3 2 2" xfId="10837"/>
    <cellStyle name="Vírgula 11 3 2 2 2" xfId="10838"/>
    <cellStyle name="Vírgula 11 3 2 3" xfId="10839"/>
    <cellStyle name="Vírgula 11 3 2 4" xfId="10840"/>
    <cellStyle name="Vírgula 11 3 3" xfId="10841"/>
    <cellStyle name="Vírgula 11 3 3 2" xfId="10842"/>
    <cellStyle name="Vírgula 11 3 4" xfId="10843"/>
    <cellStyle name="Vírgula 11 3 5" xfId="10844"/>
    <cellStyle name="Vírgula 11 4" xfId="10845"/>
    <cellStyle name="Vírgula 11 4 10" xfId="10846"/>
    <cellStyle name="Vírgula 11 4 11" xfId="10847"/>
    <cellStyle name="Vírgula 11 4 12" xfId="10848"/>
    <cellStyle name="Vírgula 11 4 2" xfId="10849"/>
    <cellStyle name="Vírgula 11 4 2 2" xfId="10850"/>
    <cellStyle name="Vírgula 11 4 2 2 2" xfId="10851"/>
    <cellStyle name="Vírgula 11 4 2 3" xfId="10852"/>
    <cellStyle name="Vírgula 11 4 2 4" xfId="10853"/>
    <cellStyle name="Vírgula 11 4 3" xfId="10854"/>
    <cellStyle name="Vírgula 11 4 3 2" xfId="10855"/>
    <cellStyle name="Vírgula 11 4 3 2 2" xfId="10856"/>
    <cellStyle name="Vírgula 11 4 3 2 2 2" xfId="10857"/>
    <cellStyle name="Vírgula 11 4 3 2 3" xfId="10858"/>
    <cellStyle name="Vírgula 11 4 3 2 4" xfId="10859"/>
    <cellStyle name="Vírgula 11 4 3 3" xfId="10860"/>
    <cellStyle name="Vírgula 11 4 3 3 2" xfId="10861"/>
    <cellStyle name="Vírgula 11 4 3 4" xfId="10862"/>
    <cellStyle name="Vírgula 11 4 3 5" xfId="10863"/>
    <cellStyle name="Vírgula 11 4 4" xfId="10864"/>
    <cellStyle name="Vírgula 11 4 4 2" xfId="10865"/>
    <cellStyle name="Vírgula 11 4 4 2 2" xfId="10866"/>
    <cellStyle name="Vírgula 11 4 4 2 2 2" xfId="10867"/>
    <cellStyle name="Vírgula 11 4 4 2 3" xfId="10868"/>
    <cellStyle name="Vírgula 11 4 4 2 4" xfId="10869"/>
    <cellStyle name="Vírgula 11 4 4 3" xfId="10870"/>
    <cellStyle name="Vírgula 11 4 4 3 2" xfId="10871"/>
    <cellStyle name="Vírgula 11 4 4 4" xfId="10872"/>
    <cellStyle name="Vírgula 11 4 4 5" xfId="10873"/>
    <cellStyle name="Vírgula 11 4 5" xfId="10874"/>
    <cellStyle name="Vírgula 11 4 5 2" xfId="10875"/>
    <cellStyle name="Vírgula 11 4 5 2 2" xfId="10876"/>
    <cellStyle name="Vírgula 11 4 5 3" xfId="10877"/>
    <cellStyle name="Vírgula 11 4 5 4" xfId="10878"/>
    <cellStyle name="Vírgula 11 4 6" xfId="10879"/>
    <cellStyle name="Vírgula 11 4 6 2" xfId="10880"/>
    <cellStyle name="Vírgula 11 4 6 2 2" xfId="10881"/>
    <cellStyle name="Vírgula 11 4 6 3" xfId="10882"/>
    <cellStyle name="Vírgula 11 4 6 4" xfId="10883"/>
    <cellStyle name="Vírgula 11 4 7" xfId="10884"/>
    <cellStyle name="Vírgula 11 4 7 2" xfId="10885"/>
    <cellStyle name="Vírgula 11 4 7 2 2" xfId="10886"/>
    <cellStyle name="Vírgula 11 4 7 2 2 2" xfId="10887"/>
    <cellStyle name="Vírgula 11 4 7 2 3" xfId="10888"/>
    <cellStyle name="Vírgula 11 4 7 3" xfId="10889"/>
    <cellStyle name="Vírgula 11 4 7 3 2" xfId="10890"/>
    <cellStyle name="Vírgula 11 4 7 4" xfId="10891"/>
    <cellStyle name="Vírgula 11 4 8" xfId="10892"/>
    <cellStyle name="Vírgula 11 4 8 2" xfId="10893"/>
    <cellStyle name="Vírgula 11 4 8 2 2" xfId="10894"/>
    <cellStyle name="Vírgula 11 4 8 3" xfId="10895"/>
    <cellStyle name="Vírgula 11 4 9" xfId="10896"/>
    <cellStyle name="Vírgula 11 4 9 2" xfId="10897"/>
    <cellStyle name="Vírgula 11 5" xfId="10898"/>
    <cellStyle name="Vírgula 11 5 2" xfId="10899"/>
    <cellStyle name="Vírgula 11 5 2 2" xfId="10900"/>
    <cellStyle name="Vírgula 11 5 2 2 2" xfId="10901"/>
    <cellStyle name="Vírgula 11 5 2 3" xfId="10902"/>
    <cellStyle name="Vírgula 11 5 2 4" xfId="10903"/>
    <cellStyle name="Vírgula 11 5 3" xfId="10904"/>
    <cellStyle name="Vírgula 11 5 3 2" xfId="10905"/>
    <cellStyle name="Vírgula 11 5 4" xfId="10906"/>
    <cellStyle name="Vírgula 11 5 5" xfId="10907"/>
    <cellStyle name="Vírgula 11 6" xfId="10908"/>
    <cellStyle name="Vírgula 11 6 2" xfId="10909"/>
    <cellStyle name="Vírgula 11 7" xfId="10910"/>
    <cellStyle name="Vírgula 11 7 2" xfId="10911"/>
    <cellStyle name="Vírgula 11 8" xfId="10912"/>
    <cellStyle name="Vírgula 11 8 2" xfId="10913"/>
    <cellStyle name="Vírgula 11 9" xfId="10914"/>
    <cellStyle name="Vírgula 11 9 2" xfId="10915"/>
    <cellStyle name="Vírgula 12" xfId="10916"/>
    <cellStyle name="Vírgula 12 2" xfId="10917"/>
    <cellStyle name="Vírgula 12 2 2" xfId="10918"/>
    <cellStyle name="Vírgula 12 2 3" xfId="10919"/>
    <cellStyle name="Vírgula 12 3" xfId="10920"/>
    <cellStyle name="Vírgula 12 3 2" xfId="10921"/>
    <cellStyle name="Vírgula 12 3 3" xfId="10922"/>
    <cellStyle name="Vírgula 12 4" xfId="10923"/>
    <cellStyle name="Vírgula 12 5" xfId="10924"/>
    <cellStyle name="Vírgula 13" xfId="10925"/>
    <cellStyle name="Vírgula 13 2" xfId="10926"/>
    <cellStyle name="Vírgula 13 2 2" xfId="10927"/>
    <cellStyle name="Vírgula 13 2 2 2" xfId="10928"/>
    <cellStyle name="Vírgula 13 2 3" xfId="10929"/>
    <cellStyle name="Vírgula 13 2 4" xfId="10930"/>
    <cellStyle name="Vírgula 13 3" xfId="10931"/>
    <cellStyle name="Vírgula 13 3 2" xfId="10932"/>
    <cellStyle name="Vírgula 13 4" xfId="10933"/>
    <cellStyle name="Vírgula 13 5" xfId="10934"/>
    <cellStyle name="Vírgula 14" xfId="10935"/>
    <cellStyle name="Vírgula 14 2" xfId="10936"/>
    <cellStyle name="Vírgula 14 3" xfId="10937"/>
    <cellStyle name="Vírgula 15" xfId="10938"/>
    <cellStyle name="Vírgula 15 2" xfId="10939"/>
    <cellStyle name="Vírgula 15 3" xfId="10940"/>
    <cellStyle name="Vírgula 16" xfId="10941"/>
    <cellStyle name="Vírgula 16 2" xfId="10942"/>
    <cellStyle name="Vírgula 16 3" xfId="10943"/>
    <cellStyle name="Vírgula 17" xfId="10944"/>
    <cellStyle name="Vírgula 17 2" xfId="10945"/>
    <cellStyle name="Vírgula 17 2 2" xfId="10946"/>
    <cellStyle name="Vírgula 17 2 2 2" xfId="10947"/>
    <cellStyle name="Vírgula 17 2 3" xfId="10948"/>
    <cellStyle name="Vírgula 17 2 4" xfId="10949"/>
    <cellStyle name="Vírgula 17 3" xfId="10950"/>
    <cellStyle name="Vírgula 17 3 2" xfId="10951"/>
    <cellStyle name="Vírgula 17 4" xfId="10952"/>
    <cellStyle name="Vírgula 17 5" xfId="10953"/>
    <cellStyle name="Vírgula 18" xfId="10954"/>
    <cellStyle name="Vírgula 18 2" xfId="10955"/>
    <cellStyle name="Vírgula 18 2 2" xfId="10956"/>
    <cellStyle name="Vírgula 18 2 3" xfId="10957"/>
    <cellStyle name="Vírgula 18 3" xfId="10958"/>
    <cellStyle name="Vírgula 18 4" xfId="10959"/>
    <cellStyle name="Vírgula 19" xfId="10960"/>
    <cellStyle name="Vírgula 19 2" xfId="10961"/>
    <cellStyle name="Vírgula 19 3" xfId="10962"/>
    <cellStyle name="Vírgula 2" xfId="53"/>
    <cellStyle name="Vírgula 2 2" xfId="73"/>
    <cellStyle name="Vírgula 2 2 10" xfId="10965"/>
    <cellStyle name="Vírgula 2 2 10 2" xfId="10966"/>
    <cellStyle name="Vírgula 2 2 10 2 2" xfId="10967"/>
    <cellStyle name="Vírgula 2 2 10 2 3" xfId="10968"/>
    <cellStyle name="Vírgula 2 2 10 3" xfId="10969"/>
    <cellStyle name="Vírgula 2 2 10 4" xfId="10970"/>
    <cellStyle name="Vírgula 2 2 100" xfId="16200"/>
    <cellStyle name="Vírgula 2 2 101" xfId="15287"/>
    <cellStyle name="Vírgula 2 2 11" xfId="10971"/>
    <cellStyle name="Vírgula 2 2 11 2" xfId="10972"/>
    <cellStyle name="Vírgula 2 2 11 2 2" xfId="10973"/>
    <cellStyle name="Vírgula 2 2 11 2 3" xfId="10974"/>
    <cellStyle name="Vírgula 2 2 11 3" xfId="10975"/>
    <cellStyle name="Vírgula 2 2 11 4" xfId="10976"/>
    <cellStyle name="Vírgula 2 2 12" xfId="10977"/>
    <cellStyle name="Vírgula 2 2 12 2" xfId="10978"/>
    <cellStyle name="Vírgula 2 2 12 3" xfId="10979"/>
    <cellStyle name="Vírgula 2 2 13" xfId="10980"/>
    <cellStyle name="Vírgula 2 2 13 2" xfId="10981"/>
    <cellStyle name="Vírgula 2 2 13 2 2" xfId="10982"/>
    <cellStyle name="Vírgula 2 2 13 2 2 2" xfId="10983"/>
    <cellStyle name="Vírgula 2 2 13 2 3" xfId="10984"/>
    <cellStyle name="Vírgula 2 2 13 3" xfId="10985"/>
    <cellStyle name="Vírgula 2 2 13 3 2" xfId="10986"/>
    <cellStyle name="Vírgula 2 2 13 4" xfId="10987"/>
    <cellStyle name="Vírgula 2 2 13 5" xfId="10988"/>
    <cellStyle name="Vírgula 2 2 13 6" xfId="10989"/>
    <cellStyle name="Vírgula 2 2 14" xfId="10990"/>
    <cellStyle name="Vírgula 2 2 14 2" xfId="10991"/>
    <cellStyle name="Vírgula 2 2 14 2 2" xfId="10992"/>
    <cellStyle name="Vírgula 2 2 14 2 2 2" xfId="10993"/>
    <cellStyle name="Vírgula 2 2 14 2 3" xfId="10994"/>
    <cellStyle name="Vírgula 2 2 14 3" xfId="10995"/>
    <cellStyle name="Vírgula 2 2 14 3 2" xfId="10996"/>
    <cellStyle name="Vírgula 2 2 14 4" xfId="10997"/>
    <cellStyle name="Vírgula 2 2 14 5" xfId="10998"/>
    <cellStyle name="Vírgula 2 2 14 6" xfId="10999"/>
    <cellStyle name="Vírgula 2 2 15" xfId="11000"/>
    <cellStyle name="Vírgula 2 2 15 2" xfId="11001"/>
    <cellStyle name="Vírgula 2 2 15 2 2" xfId="11002"/>
    <cellStyle name="Vírgula 2 2 15 3" xfId="11003"/>
    <cellStyle name="Vírgula 2 2 16" xfId="11004"/>
    <cellStyle name="Vírgula 2 2 16 2" xfId="11005"/>
    <cellStyle name="Vírgula 2 2 17" xfId="11006"/>
    <cellStyle name="Vírgula 2 2 17 2" xfId="11007"/>
    <cellStyle name="Vírgula 2 2 18" xfId="11008"/>
    <cellStyle name="Vírgula 2 2 18 2" xfId="11009"/>
    <cellStyle name="Vírgula 2 2 19" xfId="11010"/>
    <cellStyle name="Vírgula 2 2 2" xfId="4974"/>
    <cellStyle name="Vírgula 2 2 2 2" xfId="11012"/>
    <cellStyle name="Vírgula 2 2 2 3" xfId="11013"/>
    <cellStyle name="Vírgula 2 2 2 4" xfId="14767"/>
    <cellStyle name="Vírgula 2 2 2 5" xfId="11011"/>
    <cellStyle name="Vírgula 2 2 2_Base RF" xfId="15197"/>
    <cellStyle name="Vírgula 2 2 20" xfId="11014"/>
    <cellStyle name="Vírgula 2 2 21" xfId="11015"/>
    <cellStyle name="Vírgula 2 2 22" xfId="11016"/>
    <cellStyle name="Vírgula 2 2 23" xfId="11017"/>
    <cellStyle name="Vírgula 2 2 24" xfId="13659"/>
    <cellStyle name="Vírgula 2 2 25" xfId="10964"/>
    <cellStyle name="Vírgula 2 2 26" xfId="15760"/>
    <cellStyle name="Vírgula 2 2 27" xfId="15768"/>
    <cellStyle name="Vírgula 2 2 28" xfId="15846"/>
    <cellStyle name="Vírgula 2 2 29" xfId="15796"/>
    <cellStyle name="Vírgula 2 2 3" xfId="5317"/>
    <cellStyle name="Vírgula 2 2 3 2" xfId="11019"/>
    <cellStyle name="Vírgula 2 2 3 2 2" xfId="11020"/>
    <cellStyle name="Vírgula 2 2 3 2 3" xfId="11021"/>
    <cellStyle name="Vírgula 2 2 3 3" xfId="11022"/>
    <cellStyle name="Vírgula 2 2 3 3 2" xfId="11023"/>
    <cellStyle name="Vírgula 2 2 3 3 3" xfId="11024"/>
    <cellStyle name="Vírgula 2 2 3 4" xfId="11025"/>
    <cellStyle name="Vírgula 2 2 3 4 2" xfId="11026"/>
    <cellStyle name="Vírgula 2 2 3 4 2 2" xfId="11027"/>
    <cellStyle name="Vírgula 2 2 3 4 2 2 2" xfId="11028"/>
    <cellStyle name="Vírgula 2 2 3 4 2 3" xfId="11029"/>
    <cellStyle name="Vírgula 2 2 3 4 3" xfId="11030"/>
    <cellStyle name="Vírgula 2 2 3 4 3 2" xfId="11031"/>
    <cellStyle name="Vírgula 2 2 3 4 4" xfId="11032"/>
    <cellStyle name="Vírgula 2 2 3 4 5" xfId="11033"/>
    <cellStyle name="Vírgula 2 2 3 4 6" xfId="11034"/>
    <cellStyle name="Vírgula 2 2 3 5" xfId="11035"/>
    <cellStyle name="Vírgula 2 2 3 5 2" xfId="11036"/>
    <cellStyle name="Vírgula 2 2 3 5 2 2" xfId="11037"/>
    <cellStyle name="Vírgula 2 2 3 5 2 2 2" xfId="11038"/>
    <cellStyle name="Vírgula 2 2 3 5 2 3" xfId="11039"/>
    <cellStyle name="Vírgula 2 2 3 5 3" xfId="11040"/>
    <cellStyle name="Vírgula 2 2 3 5 3 2" xfId="11041"/>
    <cellStyle name="Vírgula 2 2 3 5 4" xfId="11042"/>
    <cellStyle name="Vírgula 2 2 3 5 5" xfId="11043"/>
    <cellStyle name="Vírgula 2 2 3 5 6" xfId="11044"/>
    <cellStyle name="Vírgula 2 2 3 6" xfId="11045"/>
    <cellStyle name="Vírgula 2 2 3 7" xfId="11046"/>
    <cellStyle name="Vírgula 2 2 3 8" xfId="14838"/>
    <cellStyle name="Vírgula 2 2 3 9" xfId="11018"/>
    <cellStyle name="Vírgula 2 2 3_Base RF" xfId="15198"/>
    <cellStyle name="Vírgula 2 2 30" xfId="15799"/>
    <cellStyle name="Vírgula 2 2 31" xfId="15850"/>
    <cellStyle name="Vírgula 2 2 32" xfId="15868"/>
    <cellStyle name="Vírgula 2 2 33" xfId="15932"/>
    <cellStyle name="Vírgula 2 2 34" xfId="15869"/>
    <cellStyle name="Vírgula 2 2 35" xfId="15893"/>
    <cellStyle name="Vírgula 2 2 36" xfId="15915"/>
    <cellStyle name="Vírgula 2 2 37" xfId="15886"/>
    <cellStyle name="Vírgula 2 2 38" xfId="15924"/>
    <cellStyle name="Vírgula 2 2 39" xfId="15928"/>
    <cellStyle name="Vírgula 2 2 4" xfId="2778"/>
    <cellStyle name="Vírgula 2 2 4 2" xfId="11048"/>
    <cellStyle name="Vírgula 2 2 4 3" xfId="11049"/>
    <cellStyle name="Vírgula 2 2 4 4" xfId="13931"/>
    <cellStyle name="Vírgula 2 2 4 5" xfId="11047"/>
    <cellStyle name="Vírgula 2 2 4_Base RF" xfId="15199"/>
    <cellStyle name="Vírgula 2 2 40" xfId="15900"/>
    <cellStyle name="Vírgula 2 2 41" xfId="15912"/>
    <cellStyle name="Vírgula 2 2 42" xfId="15910"/>
    <cellStyle name="Vírgula 2 2 43" xfId="15931"/>
    <cellStyle name="Vírgula 2 2 44" xfId="15940"/>
    <cellStyle name="Vírgula 2 2 45" xfId="15949"/>
    <cellStyle name="Vírgula 2 2 46" xfId="15963"/>
    <cellStyle name="Vírgula 2 2 47" xfId="15967"/>
    <cellStyle name="Vírgula 2 2 48" xfId="15962"/>
    <cellStyle name="Vírgula 2 2 49" xfId="15947"/>
    <cellStyle name="Vírgula 2 2 5" xfId="11050"/>
    <cellStyle name="Vírgula 2 2 5 2" xfId="11051"/>
    <cellStyle name="Vírgula 2 2 5 2 2" xfId="11052"/>
    <cellStyle name="Vírgula 2 2 5 2 3" xfId="11053"/>
    <cellStyle name="Vírgula 2 2 5 3" xfId="11054"/>
    <cellStyle name="Vírgula 2 2 5 4" xfId="11055"/>
    <cellStyle name="Vírgula 2 2 50" xfId="15985"/>
    <cellStyle name="Vírgula 2 2 51" xfId="15972"/>
    <cellStyle name="Vírgula 2 2 52" xfId="15976"/>
    <cellStyle name="Vírgula 2 2 53" xfId="15987"/>
    <cellStyle name="Vírgula 2 2 54" xfId="15993"/>
    <cellStyle name="Vírgula 2 2 55" xfId="16056"/>
    <cellStyle name="Vírgula 2 2 56" xfId="16024"/>
    <cellStyle name="Vírgula 2 2 57" xfId="16021"/>
    <cellStyle name="Vírgula 2 2 58" xfId="16038"/>
    <cellStyle name="Vírgula 2 2 59" xfId="16042"/>
    <cellStyle name="Vírgula 2 2 6" xfId="11056"/>
    <cellStyle name="Vírgula 2 2 6 2" xfId="11057"/>
    <cellStyle name="Vírgula 2 2 6 2 2" xfId="11058"/>
    <cellStyle name="Vírgula 2 2 6 2 2 2" xfId="11059"/>
    <cellStyle name="Vírgula 2 2 6 2 2 3" xfId="11060"/>
    <cellStyle name="Vírgula 2 2 6 2 3" xfId="11061"/>
    <cellStyle name="Vírgula 2 2 6 2 4" xfId="11062"/>
    <cellStyle name="Vírgula 2 2 6 3" xfId="11063"/>
    <cellStyle name="Vírgula 2 2 6 3 2" xfId="11064"/>
    <cellStyle name="Vírgula 2 2 6 3 3" xfId="11065"/>
    <cellStyle name="Vírgula 2 2 6 4" xfId="11066"/>
    <cellStyle name="Vírgula 2 2 6 5" xfId="11067"/>
    <cellStyle name="Vírgula 2 2 60" xfId="16058"/>
    <cellStyle name="Vírgula 2 2 61" xfId="16019"/>
    <cellStyle name="Vírgula 2 2 62" xfId="16006"/>
    <cellStyle name="Vírgula 2 2 63" xfId="16053"/>
    <cellStyle name="Vírgula 2 2 64" xfId="16039"/>
    <cellStyle name="Vírgula 2 2 65" xfId="16067"/>
    <cellStyle name="Vírgula 2 2 66" xfId="16088"/>
    <cellStyle name="Vírgula 2 2 67" xfId="16068"/>
    <cellStyle name="Vírgula 2 2 68" xfId="16091"/>
    <cellStyle name="Vírgula 2 2 69" xfId="16092"/>
    <cellStyle name="Vírgula 2 2 7" xfId="11068"/>
    <cellStyle name="Vírgula 2 2 7 10" xfId="11069"/>
    <cellStyle name="Vírgula 2 2 7 11" xfId="11070"/>
    <cellStyle name="Vírgula 2 2 7 2" xfId="11071"/>
    <cellStyle name="Vírgula 2 2 7 2 2" xfId="11072"/>
    <cellStyle name="Vírgula 2 2 7 2 3" xfId="11073"/>
    <cellStyle name="Vírgula 2 2 7 3" xfId="11074"/>
    <cellStyle name="Vírgula 2 2 7 3 2" xfId="11075"/>
    <cellStyle name="Vírgula 2 2 7 3 2 2" xfId="11076"/>
    <cellStyle name="Vírgula 2 2 7 3 2 3" xfId="11077"/>
    <cellStyle name="Vírgula 2 2 7 3 3" xfId="11078"/>
    <cellStyle name="Vírgula 2 2 7 3 4" xfId="11079"/>
    <cellStyle name="Vírgula 2 2 7 4" xfId="11080"/>
    <cellStyle name="Vírgula 2 2 7 4 2" xfId="11081"/>
    <cellStyle name="Vírgula 2 2 7 4 2 2" xfId="11082"/>
    <cellStyle name="Vírgula 2 2 7 4 2 3" xfId="11083"/>
    <cellStyle name="Vírgula 2 2 7 4 3" xfId="11084"/>
    <cellStyle name="Vírgula 2 2 7 4 4" xfId="11085"/>
    <cellStyle name="Vírgula 2 2 7 5" xfId="11086"/>
    <cellStyle name="Vírgula 2 2 7 5 2" xfId="11087"/>
    <cellStyle name="Vírgula 2 2 7 5 3" xfId="11088"/>
    <cellStyle name="Vírgula 2 2 7 6" xfId="11089"/>
    <cellStyle name="Vírgula 2 2 7 6 2" xfId="11090"/>
    <cellStyle name="Vírgula 2 2 7 6 3" xfId="11091"/>
    <cellStyle name="Vírgula 2 2 7 7" xfId="11092"/>
    <cellStyle name="Vírgula 2 2 7 7 2" xfId="11093"/>
    <cellStyle name="Vírgula 2 2 7 7 2 2" xfId="11094"/>
    <cellStyle name="Vírgula 2 2 7 7 3" xfId="11095"/>
    <cellStyle name="Vírgula 2 2 7 8" xfId="11096"/>
    <cellStyle name="Vírgula 2 2 7 8 2" xfId="11097"/>
    <cellStyle name="Vírgula 2 2 7 8 2 2" xfId="11098"/>
    <cellStyle name="Vírgula 2 2 7 8 3" xfId="11099"/>
    <cellStyle name="Vírgula 2 2 7 9" xfId="11100"/>
    <cellStyle name="Vírgula 2 2 70" xfId="16109"/>
    <cellStyle name="Vírgula 2 2 71" xfId="16100"/>
    <cellStyle name="Vírgula 2 2 72" xfId="16111"/>
    <cellStyle name="Vírgula 2 2 73" xfId="16127"/>
    <cellStyle name="Vírgula 2 2 74" xfId="16119"/>
    <cellStyle name="Vírgula 2 2 75" xfId="16133"/>
    <cellStyle name="Vírgula 2 2 76" xfId="16291"/>
    <cellStyle name="Vírgula 2 2 77" xfId="16208"/>
    <cellStyle name="Vírgula 2 2 78" xfId="16188"/>
    <cellStyle name="Vírgula 2 2 79" xfId="16247"/>
    <cellStyle name="Vírgula 2 2 8" xfId="11101"/>
    <cellStyle name="Vírgula 2 2 8 2" xfId="11102"/>
    <cellStyle name="Vírgula 2 2 8 3" xfId="11103"/>
    <cellStyle name="Vírgula 2 2 80" xfId="16180"/>
    <cellStyle name="Vírgula 2 2 81" xfId="16295"/>
    <cellStyle name="Vírgula 2 2 82" xfId="16296"/>
    <cellStyle name="Vírgula 2 2 83" xfId="16189"/>
    <cellStyle name="Vírgula 2 2 84" xfId="16246"/>
    <cellStyle name="Vírgula 2 2 85" xfId="16191"/>
    <cellStyle name="Vírgula 2 2 86" xfId="16244"/>
    <cellStyle name="Vírgula 2 2 87" xfId="16142"/>
    <cellStyle name="Vírgula 2 2 88" xfId="16282"/>
    <cellStyle name="Vírgula 2 2 89" xfId="16136"/>
    <cellStyle name="Vírgula 2 2 9" xfId="11104"/>
    <cellStyle name="Vírgula 2 2 9 2" xfId="11105"/>
    <cellStyle name="Vírgula 2 2 9 2 2" xfId="11106"/>
    <cellStyle name="Vírgula 2 2 9 2 3" xfId="11107"/>
    <cellStyle name="Vírgula 2 2 9 3" xfId="11108"/>
    <cellStyle name="Vírgula 2 2 9 4" xfId="11109"/>
    <cellStyle name="Vírgula 2 2 90" xfId="16288"/>
    <cellStyle name="Vírgula 2 2 91" xfId="16297"/>
    <cellStyle name="Vírgula 2 2 92" xfId="16256"/>
    <cellStyle name="Vírgula 2 2 93" xfId="16179"/>
    <cellStyle name="Vírgula 2 2 94" xfId="16248"/>
    <cellStyle name="Vírgula 2 2 95" xfId="16141"/>
    <cellStyle name="Vírgula 2 2 96" xfId="16283"/>
    <cellStyle name="Vírgula 2 2 97" xfId="16162"/>
    <cellStyle name="Vírgula 2 2 98" xfId="16289"/>
    <cellStyle name="Vírgula 2 2 99" xfId="16174"/>
    <cellStyle name="Vírgula 2 2_Base RF" xfId="5935"/>
    <cellStyle name="Vírgula 2 3" xfId="4975"/>
    <cellStyle name="Vírgula 2 3 10" xfId="11111"/>
    <cellStyle name="Vírgula 2 3 10 2" xfId="11112"/>
    <cellStyle name="Vírgula 2 3 10 2 2" xfId="11113"/>
    <cellStyle name="Vírgula 2 3 10 2 3" xfId="11114"/>
    <cellStyle name="Vírgula 2 3 10 3" xfId="11115"/>
    <cellStyle name="Vírgula 2 3 10 4" xfId="11116"/>
    <cellStyle name="Vírgula 2 3 11" xfId="11117"/>
    <cellStyle name="Vírgula 2 3 11 2" xfId="11118"/>
    <cellStyle name="Vírgula 2 3 11 3" xfId="11119"/>
    <cellStyle name="Vírgula 2 3 12" xfId="11120"/>
    <cellStyle name="Vírgula 2 3 12 2" xfId="11121"/>
    <cellStyle name="Vírgula 2 3 12 2 2" xfId="11122"/>
    <cellStyle name="Vírgula 2 3 12 2 2 2" xfId="11123"/>
    <cellStyle name="Vírgula 2 3 12 2 3" xfId="11124"/>
    <cellStyle name="Vírgula 2 3 12 3" xfId="11125"/>
    <cellStyle name="Vírgula 2 3 12 3 2" xfId="11126"/>
    <cellStyle name="Vírgula 2 3 12 4" xfId="11127"/>
    <cellStyle name="Vírgula 2 3 12 5" xfId="11128"/>
    <cellStyle name="Vírgula 2 3 12 6" xfId="11129"/>
    <cellStyle name="Vírgula 2 3 13" xfId="11130"/>
    <cellStyle name="Vírgula 2 3 13 2" xfId="11131"/>
    <cellStyle name="Vírgula 2 3 13 2 2" xfId="11132"/>
    <cellStyle name="Vírgula 2 3 13 2 2 2" xfId="11133"/>
    <cellStyle name="Vírgula 2 3 13 2 3" xfId="11134"/>
    <cellStyle name="Vírgula 2 3 13 3" xfId="11135"/>
    <cellStyle name="Vírgula 2 3 13 3 2" xfId="11136"/>
    <cellStyle name="Vírgula 2 3 13 4" xfId="11137"/>
    <cellStyle name="Vírgula 2 3 13 5" xfId="11138"/>
    <cellStyle name="Vírgula 2 3 13 6" xfId="11139"/>
    <cellStyle name="Vírgula 2 3 14" xfId="11140"/>
    <cellStyle name="Vírgula 2 3 14 2" xfId="11141"/>
    <cellStyle name="Vírgula 2 3 14 2 2" xfId="11142"/>
    <cellStyle name="Vírgula 2 3 14 3" xfId="11143"/>
    <cellStyle name="Vírgula 2 3 15" xfId="11144"/>
    <cellStyle name="Vírgula 2 3 15 2" xfId="11145"/>
    <cellStyle name="Vírgula 2 3 16" xfId="11146"/>
    <cellStyle name="Vírgula 2 3 16 2" xfId="11147"/>
    <cellStyle name="Vírgula 2 3 17" xfId="11148"/>
    <cellStyle name="Vírgula 2 3 17 2" xfId="11149"/>
    <cellStyle name="Vírgula 2 3 18" xfId="11150"/>
    <cellStyle name="Vírgula 2 3 19" xfId="11151"/>
    <cellStyle name="Vírgula 2 3 2" xfId="4976"/>
    <cellStyle name="Vírgula 2 3 2 10" xfId="11152"/>
    <cellStyle name="Vírgula 2 3 2 2" xfId="11153"/>
    <cellStyle name="Vírgula 2 3 2 2 2" xfId="11154"/>
    <cellStyle name="Vírgula 2 3 2 2 3" xfId="11155"/>
    <cellStyle name="Vírgula 2 3 2 2 4" xfId="11156"/>
    <cellStyle name="Vírgula 2 3 2 3" xfId="11157"/>
    <cellStyle name="Vírgula 2 3 2 3 2" xfId="11158"/>
    <cellStyle name="Vírgula 2 3 2 3 3" xfId="11159"/>
    <cellStyle name="Vírgula 2 3 2 3 4" xfId="11160"/>
    <cellStyle name="Vírgula 2 3 2 4" xfId="11161"/>
    <cellStyle name="Vírgula 2 3 2 4 2" xfId="11162"/>
    <cellStyle name="Vírgula 2 3 2 4 2 2" xfId="11163"/>
    <cellStyle name="Vírgula 2 3 2 4 2 2 2" xfId="11164"/>
    <cellStyle name="Vírgula 2 3 2 4 2 3" xfId="11165"/>
    <cellStyle name="Vírgula 2 3 2 4 3" xfId="11166"/>
    <cellStyle name="Vírgula 2 3 2 4 3 2" xfId="11167"/>
    <cellStyle name="Vírgula 2 3 2 4 4" xfId="11168"/>
    <cellStyle name="Vírgula 2 3 2 4 5" xfId="11169"/>
    <cellStyle name="Vírgula 2 3 2 4 6" xfId="11170"/>
    <cellStyle name="Vírgula 2 3 2 5" xfId="11171"/>
    <cellStyle name="Vírgula 2 3 2 5 2" xfId="11172"/>
    <cellStyle name="Vírgula 2 3 2 5 2 2" xfId="11173"/>
    <cellStyle name="Vírgula 2 3 2 5 2 2 2" xfId="11174"/>
    <cellStyle name="Vírgula 2 3 2 5 2 3" xfId="11175"/>
    <cellStyle name="Vírgula 2 3 2 5 3" xfId="11176"/>
    <cellStyle name="Vírgula 2 3 2 5 3 2" xfId="11177"/>
    <cellStyle name="Vírgula 2 3 2 5 4" xfId="11178"/>
    <cellStyle name="Vírgula 2 3 2 5 5" xfId="11179"/>
    <cellStyle name="Vírgula 2 3 2 5 6" xfId="11180"/>
    <cellStyle name="Vírgula 2 3 2 6" xfId="11181"/>
    <cellStyle name="Vírgula 2 3 2 7" xfId="11182"/>
    <cellStyle name="Vírgula 2 3 2 8" xfId="11183"/>
    <cellStyle name="Vírgula 2 3 2 9" xfId="14769"/>
    <cellStyle name="Vírgula 2 3 2_Base RF" xfId="15200"/>
    <cellStyle name="Vírgula 2 3 20" xfId="11184"/>
    <cellStyle name="Vírgula 2 3 21" xfId="11185"/>
    <cellStyle name="Vírgula 2 3 22" xfId="11186"/>
    <cellStyle name="Vírgula 2 3 23" xfId="14768"/>
    <cellStyle name="Vírgula 2 3 24" xfId="11110"/>
    <cellStyle name="Vírgula 2 3 3" xfId="11187"/>
    <cellStyle name="Vírgula 2 3 3 2" xfId="11188"/>
    <cellStyle name="Vírgula 2 3 3 3" xfId="11189"/>
    <cellStyle name="Vírgula 2 3 3 4" xfId="11190"/>
    <cellStyle name="Vírgula 2 3 4" xfId="11191"/>
    <cellStyle name="Vírgula 2 3 4 2" xfId="11192"/>
    <cellStyle name="Vírgula 2 3 4 2 2" xfId="11193"/>
    <cellStyle name="Vírgula 2 3 4 2 3" xfId="11194"/>
    <cellStyle name="Vírgula 2 3 4 2 4" xfId="11195"/>
    <cellStyle name="Vírgula 2 3 4 3" xfId="11196"/>
    <cellStyle name="Vírgula 2 3 4 4" xfId="11197"/>
    <cellStyle name="Vírgula 2 3 4 5" xfId="11198"/>
    <cellStyle name="Vírgula 2 3 5" xfId="11199"/>
    <cellStyle name="Vírgula 2 3 5 2" xfId="11200"/>
    <cellStyle name="Vírgula 2 3 5 2 2" xfId="11201"/>
    <cellStyle name="Vírgula 2 3 5 2 2 2" xfId="11202"/>
    <cellStyle name="Vírgula 2 3 5 2 2 3" xfId="11203"/>
    <cellStyle name="Vírgula 2 3 5 2 2 4" xfId="11204"/>
    <cellStyle name="Vírgula 2 3 5 2 3" xfId="11205"/>
    <cellStyle name="Vírgula 2 3 5 2 4" xfId="11206"/>
    <cellStyle name="Vírgula 2 3 5 2 5" xfId="11207"/>
    <cellStyle name="Vírgula 2 3 5 3" xfId="11208"/>
    <cellStyle name="Vírgula 2 3 5 3 2" xfId="11209"/>
    <cellStyle name="Vírgula 2 3 5 3 3" xfId="11210"/>
    <cellStyle name="Vírgula 2 3 5 3 4" xfId="11211"/>
    <cellStyle name="Vírgula 2 3 5 4" xfId="11212"/>
    <cellStyle name="Vírgula 2 3 5 5" xfId="11213"/>
    <cellStyle name="Vírgula 2 3 5 6" xfId="11214"/>
    <cellStyle name="Vírgula 2 3 6" xfId="11215"/>
    <cellStyle name="Vírgula 2 3 6 10" xfId="11216"/>
    <cellStyle name="Vírgula 2 3 6 11" xfId="11217"/>
    <cellStyle name="Vírgula 2 3 6 2" xfId="11218"/>
    <cellStyle name="Vírgula 2 3 6 2 2" xfId="11219"/>
    <cellStyle name="Vírgula 2 3 6 2 3" xfId="11220"/>
    <cellStyle name="Vírgula 2 3 6 2 4" xfId="11221"/>
    <cellStyle name="Vírgula 2 3 6 3" xfId="11222"/>
    <cellStyle name="Vírgula 2 3 6 3 2" xfId="11223"/>
    <cellStyle name="Vírgula 2 3 6 3 2 2" xfId="11224"/>
    <cellStyle name="Vírgula 2 3 6 3 2 3" xfId="11225"/>
    <cellStyle name="Vírgula 2 3 6 3 2 4" xfId="11226"/>
    <cellStyle name="Vírgula 2 3 6 3 3" xfId="11227"/>
    <cellStyle name="Vírgula 2 3 6 3 4" xfId="11228"/>
    <cellStyle name="Vírgula 2 3 6 3 5" xfId="11229"/>
    <cellStyle name="Vírgula 2 3 6 4" xfId="11230"/>
    <cellStyle name="Vírgula 2 3 6 4 2" xfId="11231"/>
    <cellStyle name="Vírgula 2 3 6 4 2 2" xfId="11232"/>
    <cellStyle name="Vírgula 2 3 6 4 2 3" xfId="11233"/>
    <cellStyle name="Vírgula 2 3 6 4 2 4" xfId="11234"/>
    <cellStyle name="Vírgula 2 3 6 4 3" xfId="11235"/>
    <cellStyle name="Vírgula 2 3 6 4 4" xfId="11236"/>
    <cellStyle name="Vírgula 2 3 6 4 5" xfId="11237"/>
    <cellStyle name="Vírgula 2 3 6 5" xfId="11238"/>
    <cellStyle name="Vírgula 2 3 6 5 2" xfId="11239"/>
    <cellStyle name="Vírgula 2 3 6 5 3" xfId="11240"/>
    <cellStyle name="Vírgula 2 3 6 5 4" xfId="11241"/>
    <cellStyle name="Vírgula 2 3 6 6" xfId="11242"/>
    <cellStyle name="Vírgula 2 3 6 6 2" xfId="11243"/>
    <cellStyle name="Vírgula 2 3 6 6 3" xfId="11244"/>
    <cellStyle name="Vírgula 2 3 6 6 4" xfId="11245"/>
    <cellStyle name="Vírgula 2 3 6 7" xfId="11246"/>
    <cellStyle name="Vírgula 2 3 6 7 2" xfId="11247"/>
    <cellStyle name="Vírgula 2 3 6 7 2 2" xfId="11248"/>
    <cellStyle name="Vírgula 2 3 6 7 3" xfId="11249"/>
    <cellStyle name="Vírgula 2 3 6 8" xfId="11250"/>
    <cellStyle name="Vírgula 2 3 6 8 2" xfId="11251"/>
    <cellStyle name="Vírgula 2 3 6 8 2 2" xfId="11252"/>
    <cellStyle name="Vírgula 2 3 6 8 3" xfId="11253"/>
    <cellStyle name="Vírgula 2 3 6 9" xfId="11254"/>
    <cellStyle name="Vírgula 2 3 7" xfId="11255"/>
    <cellStyle name="Vírgula 2 3 7 2" xfId="11256"/>
    <cellStyle name="Vírgula 2 3 7 3" xfId="11257"/>
    <cellStyle name="Vírgula 2 3 7 4" xfId="11258"/>
    <cellStyle name="Vírgula 2 3 8" xfId="11259"/>
    <cellStyle name="Vírgula 2 3 8 2" xfId="11260"/>
    <cellStyle name="Vírgula 2 3 8 2 2" xfId="11261"/>
    <cellStyle name="Vírgula 2 3 8 2 3" xfId="11262"/>
    <cellStyle name="Vírgula 2 3 8 2 4" xfId="11263"/>
    <cellStyle name="Vírgula 2 3 8 3" xfId="11264"/>
    <cellStyle name="Vírgula 2 3 8 4" xfId="11265"/>
    <cellStyle name="Vírgula 2 3 8 5" xfId="11266"/>
    <cellStyle name="Vírgula 2 3 9" xfId="11267"/>
    <cellStyle name="Vírgula 2 3 9 2" xfId="11268"/>
    <cellStyle name="Vírgula 2 3 9 2 2" xfId="11269"/>
    <cellStyle name="Vírgula 2 3 9 2 3" xfId="11270"/>
    <cellStyle name="Vírgula 2 3 9 2 4" xfId="11271"/>
    <cellStyle name="Vírgula 2 3 9 3" xfId="11272"/>
    <cellStyle name="Vírgula 2 3 9 4" xfId="11273"/>
    <cellStyle name="Vírgula 2 3 9 5" xfId="11274"/>
    <cellStyle name="Vírgula 2 3_Base RF" xfId="5936"/>
    <cellStyle name="Vírgula 2 4" xfId="4977"/>
    <cellStyle name="Vírgula 2 4 2" xfId="4978"/>
    <cellStyle name="Vírgula 2 4 3" xfId="14770"/>
    <cellStyle name="Vírgula 2 4 4" xfId="11275"/>
    <cellStyle name="Vírgula 2 4_Base RF" xfId="5937"/>
    <cellStyle name="Vírgula 2 5" xfId="4979"/>
    <cellStyle name="Vírgula 2 5 2" xfId="14771"/>
    <cellStyle name="Vírgula 2 5 3" xfId="11276"/>
    <cellStyle name="Vírgula 2 5_Base RF" xfId="15201"/>
    <cellStyle name="Vírgula 2 6" xfId="4980"/>
    <cellStyle name="Vírgula 2 6 2" xfId="14772"/>
    <cellStyle name="Vírgula 2 6 3" xfId="11277"/>
    <cellStyle name="Vírgula 2 6_Base RF" xfId="15202"/>
    <cellStyle name="Vírgula 2 7" xfId="4973"/>
    <cellStyle name="Vírgula 2 7 2" xfId="14766"/>
    <cellStyle name="Vírgula 2 7 3" xfId="11278"/>
    <cellStyle name="Vírgula 2 7_Base RF" xfId="15203"/>
    <cellStyle name="Vírgula 2 8" xfId="13650"/>
    <cellStyle name="Vírgula 2 9" xfId="10963"/>
    <cellStyle name="Vírgula 2_Base RF" xfId="5934"/>
    <cellStyle name="Vírgula 20" xfId="11279"/>
    <cellStyle name="Vírgula 20 2" xfId="11280"/>
    <cellStyle name="Vírgula 20 2 2" xfId="11281"/>
    <cellStyle name="Vírgula 20 2 2 2" xfId="11282"/>
    <cellStyle name="Vírgula 20 2 2 3" xfId="11283"/>
    <cellStyle name="Vírgula 20 2 3" xfId="11284"/>
    <cellStyle name="Vírgula 20 2 4" xfId="11285"/>
    <cellStyle name="Vírgula 20 2 5" xfId="11286"/>
    <cellStyle name="Vírgula 20 2 6" xfId="11287"/>
    <cellStyle name="Vírgula 20 3" xfId="11288"/>
    <cellStyle name="Vírgula 20 3 2" xfId="11289"/>
    <cellStyle name="Vírgula 20 3 3" xfId="11290"/>
    <cellStyle name="Vírgula 20 4" xfId="11291"/>
    <cellStyle name="Vírgula 20 5" xfId="11292"/>
    <cellStyle name="Vírgula 20 6" xfId="11293"/>
    <cellStyle name="Vírgula 20 7" xfId="11294"/>
    <cellStyle name="Vírgula 21" xfId="11295"/>
    <cellStyle name="Vírgula 21 2" xfId="11296"/>
    <cellStyle name="Vírgula 21 3" xfId="11297"/>
    <cellStyle name="Vírgula 21 4" xfId="11298"/>
    <cellStyle name="Vírgula 21 5" xfId="11299"/>
    <cellStyle name="Vírgula 22" xfId="11300"/>
    <cellStyle name="Vírgula 22 2" xfId="11301"/>
    <cellStyle name="Vírgula 22 3" xfId="11302"/>
    <cellStyle name="Vírgula 22 4" xfId="11303"/>
    <cellStyle name="Vírgula 22 5" xfId="11304"/>
    <cellStyle name="Vírgula 23" xfId="11305"/>
    <cellStyle name="Vírgula 23 2" xfId="11306"/>
    <cellStyle name="Vírgula 23 2 2" xfId="11307"/>
    <cellStyle name="Vírgula 23 2 3" xfId="11308"/>
    <cellStyle name="Vírgula 23 2 4" xfId="11309"/>
    <cellStyle name="Vírgula 23 2 5" xfId="11310"/>
    <cellStyle name="Vírgula 23 3" xfId="11311"/>
    <cellStyle name="Vírgula 23 3 2" xfId="11312"/>
    <cellStyle name="Vírgula 23 3 2 2" xfId="11313"/>
    <cellStyle name="Vírgula 23 3 2 3" xfId="11314"/>
    <cellStyle name="Vírgula 23 3 2 4" xfId="11315"/>
    <cellStyle name="Vírgula 23 3 2 5" xfId="11316"/>
    <cellStyle name="Vírgula 23 3 3" xfId="11317"/>
    <cellStyle name="Vírgula 23 3 4" xfId="11318"/>
    <cellStyle name="Vírgula 23 3 5" xfId="11319"/>
    <cellStyle name="Vírgula 23 3 6" xfId="11320"/>
    <cellStyle name="Vírgula 23 4" xfId="11321"/>
    <cellStyle name="Vírgula 23 4 2" xfId="11322"/>
    <cellStyle name="Vírgula 23 4 3" xfId="11323"/>
    <cellStyle name="Vírgula 23 4 4" xfId="11324"/>
    <cellStyle name="Vírgula 23 4 5" xfId="11325"/>
    <cellStyle name="Vírgula 23 5" xfId="11326"/>
    <cellStyle name="Vírgula 23 6" xfId="11327"/>
    <cellStyle name="Vírgula 23 7" xfId="11328"/>
    <cellStyle name="Vírgula 23 8" xfId="11329"/>
    <cellStyle name="Vírgula 24" xfId="11330"/>
    <cellStyle name="Vírgula 24 2" xfId="11331"/>
    <cellStyle name="Vírgula 24 2 2" xfId="11332"/>
    <cellStyle name="Vírgula 24 2 3" xfId="11333"/>
    <cellStyle name="Vírgula 24 2 4" xfId="11334"/>
    <cellStyle name="Vírgula 24 2 5" xfId="11335"/>
    <cellStyle name="Vírgula 24 3" xfId="11336"/>
    <cellStyle name="Vírgula 24 3 2" xfId="11337"/>
    <cellStyle name="Vírgula 24 3 2 2" xfId="11338"/>
    <cellStyle name="Vírgula 24 3 2 3" xfId="11339"/>
    <cellStyle name="Vírgula 24 3 3" xfId="11340"/>
    <cellStyle name="Vírgula 24 3 4" xfId="11341"/>
    <cellStyle name="Vírgula 24 3 5" xfId="11342"/>
    <cellStyle name="Vírgula 24 3 6" xfId="11343"/>
    <cellStyle name="Vírgula 24 4" xfId="11344"/>
    <cellStyle name="Vírgula 24 4 2" xfId="11345"/>
    <cellStyle name="Vírgula 24 4 3" xfId="11346"/>
    <cellStyle name="Vírgula 24 5" xfId="11347"/>
    <cellStyle name="Vírgula 24 6" xfId="11348"/>
    <cellStyle name="Vírgula 24 7" xfId="11349"/>
    <cellStyle name="Vírgula 24 8" xfId="11350"/>
    <cellStyle name="Vírgula 25" xfId="11351"/>
    <cellStyle name="Vírgula 25 2" xfId="11352"/>
    <cellStyle name="Vírgula 25 3" xfId="11353"/>
    <cellStyle name="Vírgula 25 4" xfId="11354"/>
    <cellStyle name="Vírgula 25 5" xfId="11355"/>
    <cellStyle name="Vírgula 26" xfId="11356"/>
    <cellStyle name="Vírgula 26 2" xfId="11357"/>
    <cellStyle name="Vírgula 26 3" xfId="11358"/>
    <cellStyle name="Vírgula 26 4" xfId="11359"/>
    <cellStyle name="Vírgula 26 5" xfId="11360"/>
    <cellStyle name="Vírgula 27" xfId="11361"/>
    <cellStyle name="Vírgula 27 2" xfId="11362"/>
    <cellStyle name="Vírgula 27 2 2" xfId="11363"/>
    <cellStyle name="Vírgula 27 2 2 2" xfId="11364"/>
    <cellStyle name="Vírgula 27 2 2 3" xfId="11365"/>
    <cellStyle name="Vírgula 27 2 3" xfId="11366"/>
    <cellStyle name="Vírgula 27 2 4" xfId="11367"/>
    <cellStyle name="Vírgula 27 2 5" xfId="11368"/>
    <cellStyle name="Vírgula 27 2 6" xfId="11369"/>
    <cellStyle name="Vírgula 27 3" xfId="11370"/>
    <cellStyle name="Vírgula 27 3 2" xfId="11371"/>
    <cellStyle name="Vírgula 27 3 3" xfId="11372"/>
    <cellStyle name="Vírgula 27 4" xfId="11373"/>
    <cellStyle name="Vírgula 27 5" xfId="11374"/>
    <cellStyle name="Vírgula 27 6" xfId="11375"/>
    <cellStyle name="Vírgula 27 7" xfId="11376"/>
    <cellStyle name="Vírgula 28" xfId="11377"/>
    <cellStyle name="Vírgula 28 10" xfId="11378"/>
    <cellStyle name="Vírgula 28 11" xfId="11379"/>
    <cellStyle name="Vírgula 28 12" xfId="11380"/>
    <cellStyle name="Vírgula 28 2" xfId="11381"/>
    <cellStyle name="Vírgula 28 2 2" xfId="11382"/>
    <cellStyle name="Vírgula 28 2 3" xfId="11383"/>
    <cellStyle name="Vírgula 28 2 4" xfId="11384"/>
    <cellStyle name="Vírgula 28 2 5" xfId="11385"/>
    <cellStyle name="Vírgula 28 3" xfId="11386"/>
    <cellStyle name="Vírgula 28 3 2" xfId="11387"/>
    <cellStyle name="Vírgula 28 3 2 2" xfId="11388"/>
    <cellStyle name="Vírgula 28 3 2 3" xfId="11389"/>
    <cellStyle name="Vírgula 28 3 2 4" xfId="11390"/>
    <cellStyle name="Vírgula 28 3 2 5" xfId="11391"/>
    <cellStyle name="Vírgula 28 3 3" xfId="11392"/>
    <cellStyle name="Vírgula 28 3 4" xfId="11393"/>
    <cellStyle name="Vírgula 28 3 5" xfId="11394"/>
    <cellStyle name="Vírgula 28 3 6" xfId="11395"/>
    <cellStyle name="Vírgula 28 4" xfId="11396"/>
    <cellStyle name="Vírgula 28 4 2" xfId="11397"/>
    <cellStyle name="Vírgula 28 4 2 2" xfId="11398"/>
    <cellStyle name="Vírgula 28 4 2 3" xfId="11399"/>
    <cellStyle name="Vírgula 28 4 2 4" xfId="11400"/>
    <cellStyle name="Vírgula 28 4 2 5" xfId="11401"/>
    <cellStyle name="Vírgula 28 4 3" xfId="11402"/>
    <cellStyle name="Vírgula 28 4 4" xfId="11403"/>
    <cellStyle name="Vírgula 28 4 5" xfId="11404"/>
    <cellStyle name="Vírgula 28 4 6" xfId="11405"/>
    <cellStyle name="Vírgula 28 5" xfId="11406"/>
    <cellStyle name="Vírgula 28 5 2" xfId="11407"/>
    <cellStyle name="Vírgula 28 5 3" xfId="11408"/>
    <cellStyle name="Vírgula 28 5 4" xfId="11409"/>
    <cellStyle name="Vírgula 28 5 5" xfId="11410"/>
    <cellStyle name="Vírgula 28 6" xfId="11411"/>
    <cellStyle name="Vírgula 28 6 2" xfId="11412"/>
    <cellStyle name="Vírgula 28 6 3" xfId="11413"/>
    <cellStyle name="Vírgula 28 6 4" xfId="11414"/>
    <cellStyle name="Vírgula 28 6 5" xfId="11415"/>
    <cellStyle name="Vírgula 28 7" xfId="11416"/>
    <cellStyle name="Vírgula 28 7 2" xfId="11417"/>
    <cellStyle name="Vírgula 28 7 2 2" xfId="11418"/>
    <cellStyle name="Vírgula 28 7 2 3" xfId="11419"/>
    <cellStyle name="Vírgula 28 7 3" xfId="11420"/>
    <cellStyle name="Vírgula 28 7 4" xfId="11421"/>
    <cellStyle name="Vírgula 28 8" xfId="11422"/>
    <cellStyle name="Vírgula 28 8 2" xfId="11423"/>
    <cellStyle name="Vírgula 28 8 2 2" xfId="11424"/>
    <cellStyle name="Vírgula 28 8 2 3" xfId="11425"/>
    <cellStyle name="Vírgula 28 8 2 4" xfId="11426"/>
    <cellStyle name="Vírgula 28 8 3" xfId="11427"/>
    <cellStyle name="Vírgula 28 8 4" xfId="11428"/>
    <cellStyle name="Vírgula 28 8 5" xfId="11429"/>
    <cellStyle name="Vírgula 28 9" xfId="11430"/>
    <cellStyle name="Vírgula 29" xfId="11431"/>
    <cellStyle name="Vírgula 29 2" xfId="11432"/>
    <cellStyle name="Vírgula 29 3" xfId="11433"/>
    <cellStyle name="Vírgula 29 4" xfId="11434"/>
    <cellStyle name="Vírgula 29 5" xfId="11435"/>
    <cellStyle name="Vírgula 29 6" xfId="11436"/>
    <cellStyle name="Vírgula 3" xfId="61"/>
    <cellStyle name="Vírgula 3 10" xfId="11438"/>
    <cellStyle name="Vírgula 3 10 2" xfId="11439"/>
    <cellStyle name="Vírgula 3 10 2 2" xfId="11440"/>
    <cellStyle name="Vírgula 3 10 2 3" xfId="11441"/>
    <cellStyle name="Vírgula 3 10 2 4" xfId="11442"/>
    <cellStyle name="Vírgula 3 10 2 5" xfId="11443"/>
    <cellStyle name="Vírgula 3 10 2 6" xfId="11444"/>
    <cellStyle name="Vírgula 3 10 3" xfId="11445"/>
    <cellStyle name="Vírgula 3 10 4" xfId="11446"/>
    <cellStyle name="Vírgula 3 10 5" xfId="11447"/>
    <cellStyle name="Vírgula 3 10 6" xfId="11448"/>
    <cellStyle name="Vírgula 3 10 7" xfId="11449"/>
    <cellStyle name="Vírgula 3 11" xfId="11450"/>
    <cellStyle name="Vírgula 3 11 2" xfId="11451"/>
    <cellStyle name="Vírgula 3 11 3" xfId="11452"/>
    <cellStyle name="Vírgula 3 11 4" xfId="11453"/>
    <cellStyle name="Vírgula 3 11 5" xfId="11454"/>
    <cellStyle name="Vírgula 3 11 6" xfId="11455"/>
    <cellStyle name="Vírgula 3 12" xfId="11456"/>
    <cellStyle name="Vírgula 3 12 2" xfId="11457"/>
    <cellStyle name="Vírgula 3 12 2 2" xfId="11458"/>
    <cellStyle name="Vírgula 3 12 2 2 2" xfId="11459"/>
    <cellStyle name="Vírgula 3 12 2 2 3" xfId="11460"/>
    <cellStyle name="Vírgula 3 12 2 2 4" xfId="11461"/>
    <cellStyle name="Vírgula 3 12 2 3" xfId="11462"/>
    <cellStyle name="Vírgula 3 12 2 4" xfId="11463"/>
    <cellStyle name="Vírgula 3 12 2 5" xfId="11464"/>
    <cellStyle name="Vírgula 3 12 3" xfId="11465"/>
    <cellStyle name="Vírgula 3 12 3 2" xfId="11466"/>
    <cellStyle name="Vírgula 3 12 3 3" xfId="11467"/>
    <cellStyle name="Vírgula 3 12 3 4" xfId="11468"/>
    <cellStyle name="Vírgula 3 12 4" xfId="11469"/>
    <cellStyle name="Vírgula 3 12 5" xfId="11470"/>
    <cellStyle name="Vírgula 3 12 6" xfId="11471"/>
    <cellStyle name="Vírgula 3 12 7" xfId="11472"/>
    <cellStyle name="Vírgula 3 12 8" xfId="11473"/>
    <cellStyle name="Vírgula 3 13" xfId="11474"/>
    <cellStyle name="Vírgula 3 13 2" xfId="11475"/>
    <cellStyle name="Vírgula 3 13 2 2" xfId="11476"/>
    <cellStyle name="Vírgula 3 13 2 2 2" xfId="11477"/>
    <cellStyle name="Vírgula 3 13 2 2 3" xfId="11478"/>
    <cellStyle name="Vírgula 3 13 2 2 4" xfId="11479"/>
    <cellStyle name="Vírgula 3 13 2 3" xfId="11480"/>
    <cellStyle name="Vírgula 3 13 2 4" xfId="11481"/>
    <cellStyle name="Vírgula 3 13 2 5" xfId="11482"/>
    <cellStyle name="Vírgula 3 13 3" xfId="11483"/>
    <cellStyle name="Vírgula 3 13 3 2" xfId="11484"/>
    <cellStyle name="Vírgula 3 13 3 3" xfId="11485"/>
    <cellStyle name="Vírgula 3 13 3 4" xfId="11486"/>
    <cellStyle name="Vírgula 3 13 4" xfId="11487"/>
    <cellStyle name="Vírgula 3 13 5" xfId="11488"/>
    <cellStyle name="Vírgula 3 13 6" xfId="11489"/>
    <cellStyle name="Vírgula 3 13 7" xfId="11490"/>
    <cellStyle name="Vírgula 3 13 8" xfId="11491"/>
    <cellStyle name="Vírgula 3 14" xfId="11492"/>
    <cellStyle name="Vírgula 3 14 2" xfId="11493"/>
    <cellStyle name="Vírgula 3 14 2 2" xfId="11494"/>
    <cellStyle name="Vírgula 3 14 2 3" xfId="11495"/>
    <cellStyle name="Vírgula 3 14 2 4" xfId="11496"/>
    <cellStyle name="Vírgula 3 14 3" xfId="11497"/>
    <cellStyle name="Vírgula 3 14 4" xfId="11498"/>
    <cellStyle name="Vírgula 3 14 5" xfId="11499"/>
    <cellStyle name="Vírgula 3 14 6" xfId="11500"/>
    <cellStyle name="Vírgula 3 15" xfId="11501"/>
    <cellStyle name="Vírgula 3 15 2" xfId="11502"/>
    <cellStyle name="Vírgula 3 15 3" xfId="11503"/>
    <cellStyle name="Vírgula 3 15 4" xfId="11504"/>
    <cellStyle name="Vírgula 3 16" xfId="11505"/>
    <cellStyle name="Vírgula 3 16 2" xfId="11506"/>
    <cellStyle name="Vírgula 3 17" xfId="11507"/>
    <cellStyle name="Vírgula 3 17 2" xfId="11508"/>
    <cellStyle name="Vírgula 3 18" xfId="11509"/>
    <cellStyle name="Vírgula 3 19" xfId="11510"/>
    <cellStyle name="Vírgula 3 2" xfId="71"/>
    <cellStyle name="Vírgula 3 2 10" xfId="11512"/>
    <cellStyle name="Vírgula 3 2 11" xfId="13787"/>
    <cellStyle name="Vírgula 3 2 12" xfId="11511"/>
    <cellStyle name="Vírgula 3 2 2" xfId="11513"/>
    <cellStyle name="Vírgula 3 2 2 2" xfId="11514"/>
    <cellStyle name="Vírgula 3 2 2 3" xfId="11515"/>
    <cellStyle name="Vírgula 3 2 2 4" xfId="11516"/>
    <cellStyle name="Vírgula 3 2 2 5" xfId="11517"/>
    <cellStyle name="Vírgula 3 2 2 6" xfId="11518"/>
    <cellStyle name="Vírgula 3 2 3" xfId="11519"/>
    <cellStyle name="Vírgula 3 2 3 2" xfId="11520"/>
    <cellStyle name="Vírgula 3 2 3 3" xfId="11521"/>
    <cellStyle name="Vírgula 3 2 3 4" xfId="11522"/>
    <cellStyle name="Vírgula 3 2 3 5" xfId="11523"/>
    <cellStyle name="Vírgula 3 2 3 6" xfId="11524"/>
    <cellStyle name="Vírgula 3 2 4" xfId="11525"/>
    <cellStyle name="Vírgula 3 2 4 2" xfId="11526"/>
    <cellStyle name="Vírgula 3 2 4 2 2" xfId="11527"/>
    <cellStyle name="Vírgula 3 2 4 2 2 2" xfId="11528"/>
    <cellStyle name="Vírgula 3 2 4 2 2 3" xfId="11529"/>
    <cellStyle name="Vírgula 3 2 4 2 2 4" xfId="11530"/>
    <cellStyle name="Vírgula 3 2 4 2 3" xfId="11531"/>
    <cellStyle name="Vírgula 3 2 4 2 4" xfId="11532"/>
    <cellStyle name="Vírgula 3 2 4 2 5" xfId="11533"/>
    <cellStyle name="Vírgula 3 2 4 3" xfId="11534"/>
    <cellStyle name="Vírgula 3 2 4 3 2" xfId="11535"/>
    <cellStyle name="Vírgula 3 2 4 3 3" xfId="11536"/>
    <cellStyle name="Vírgula 3 2 4 3 4" xfId="11537"/>
    <cellStyle name="Vírgula 3 2 4 4" xfId="11538"/>
    <cellStyle name="Vírgula 3 2 4 5" xfId="11539"/>
    <cellStyle name="Vírgula 3 2 4 6" xfId="11540"/>
    <cellStyle name="Vírgula 3 2 4 7" xfId="11541"/>
    <cellStyle name="Vírgula 3 2 4 8" xfId="11542"/>
    <cellStyle name="Vírgula 3 2 5" xfId="11543"/>
    <cellStyle name="Vírgula 3 2 5 2" xfId="11544"/>
    <cellStyle name="Vírgula 3 2 5 2 2" xfId="11545"/>
    <cellStyle name="Vírgula 3 2 5 2 2 2" xfId="11546"/>
    <cellStyle name="Vírgula 3 2 5 2 2 3" xfId="11547"/>
    <cellStyle name="Vírgula 3 2 5 2 2 4" xfId="11548"/>
    <cellStyle name="Vírgula 3 2 5 2 3" xfId="11549"/>
    <cellStyle name="Vírgula 3 2 5 2 4" xfId="11550"/>
    <cellStyle name="Vírgula 3 2 5 2 5" xfId="11551"/>
    <cellStyle name="Vírgula 3 2 5 3" xfId="11552"/>
    <cellStyle name="Vírgula 3 2 5 3 2" xfId="11553"/>
    <cellStyle name="Vírgula 3 2 5 3 3" xfId="11554"/>
    <cellStyle name="Vírgula 3 2 5 3 4" xfId="11555"/>
    <cellStyle name="Vírgula 3 2 5 4" xfId="11556"/>
    <cellStyle name="Vírgula 3 2 5 5" xfId="11557"/>
    <cellStyle name="Vírgula 3 2 5 6" xfId="11558"/>
    <cellStyle name="Vírgula 3 2 5 7" xfId="11559"/>
    <cellStyle name="Vírgula 3 2 5 8" xfId="11560"/>
    <cellStyle name="Vírgula 3 2 6" xfId="11561"/>
    <cellStyle name="Vírgula 3 2 7" xfId="11562"/>
    <cellStyle name="Vírgula 3 2 8" xfId="11563"/>
    <cellStyle name="Vírgula 3 2 9" xfId="11564"/>
    <cellStyle name="Vírgula 3 2_Base RF" xfId="15204"/>
    <cellStyle name="Vírgula 3 20" xfId="11565"/>
    <cellStyle name="Vírgula 3 21" xfId="11566"/>
    <cellStyle name="Vírgula 3 22" xfId="11567"/>
    <cellStyle name="Vírgula 3 23" xfId="13657"/>
    <cellStyle name="Vírgula 3 24" xfId="11437"/>
    <cellStyle name="Vírgula 3 25" xfId="15273"/>
    <cellStyle name="Vírgula 3 26" xfId="15272"/>
    <cellStyle name="Vírgula 3 27" xfId="15274"/>
    <cellStyle name="Vírgula 3 28" xfId="15275"/>
    <cellStyle name="Vírgula 3 29" xfId="15276"/>
    <cellStyle name="Vírgula 3 3" xfId="2222"/>
    <cellStyle name="Vírgula 3 3 2" xfId="11569"/>
    <cellStyle name="Vírgula 3 3 3" xfId="11570"/>
    <cellStyle name="Vírgula 3 3 4" xfId="11571"/>
    <cellStyle name="Vírgula 3 3 5" xfId="11572"/>
    <cellStyle name="Vírgula 3 3 6" xfId="11573"/>
    <cellStyle name="Vírgula 3 3 7" xfId="13785"/>
    <cellStyle name="Vírgula 3 3 8" xfId="11568"/>
    <cellStyle name="Vírgula 3 3_Base RF" xfId="15205"/>
    <cellStyle name="Vírgula 3 30" xfId="15277"/>
    <cellStyle name="Vírgula 3 31" xfId="15278"/>
    <cellStyle name="Vírgula 3 32" xfId="15279"/>
    <cellStyle name="Vírgula 3 33" xfId="15280"/>
    <cellStyle name="Vírgula 3 34" xfId="15281"/>
    <cellStyle name="Vírgula 3 35" xfId="15282"/>
    <cellStyle name="Vírgula 3 36" xfId="15994"/>
    <cellStyle name="Vírgula 3 37" xfId="16061"/>
    <cellStyle name="Vírgula 3 38" xfId="16010"/>
    <cellStyle name="Vírgula 3 39" xfId="16002"/>
    <cellStyle name="Vírgula 3 4" xfId="5439"/>
    <cellStyle name="Vírgula 3 4 2" xfId="11575"/>
    <cellStyle name="Vírgula 3 4 2 2" xfId="11576"/>
    <cellStyle name="Vírgula 3 4 2 3" xfId="11577"/>
    <cellStyle name="Vírgula 3 4 2 4" xfId="11578"/>
    <cellStyle name="Vírgula 3 4 2 5" xfId="11579"/>
    <cellStyle name="Vírgula 3 4 2 6" xfId="11580"/>
    <cellStyle name="Vírgula 3 4 3" xfId="11581"/>
    <cellStyle name="Vírgula 3 4 4" xfId="11582"/>
    <cellStyle name="Vírgula 3 4 5" xfId="11583"/>
    <cellStyle name="Vírgula 3 4 6" xfId="11584"/>
    <cellStyle name="Vírgula 3 4 7" xfId="11585"/>
    <cellStyle name="Vírgula 3 4 8" xfId="13861"/>
    <cellStyle name="Vírgula 3 4 9" xfId="11574"/>
    <cellStyle name="Vírgula 3 4_Base RF" xfId="15206"/>
    <cellStyle name="Vírgula 3 40" xfId="16007"/>
    <cellStyle name="Vírgula 3 41" xfId="16030"/>
    <cellStyle name="Vírgula 3 42" xfId="16022"/>
    <cellStyle name="Vírgula 3 43" xfId="16066"/>
    <cellStyle name="Vírgula 3 44" xfId="16089"/>
    <cellStyle name="Vírgula 3 45" xfId="16110"/>
    <cellStyle name="Vírgula 3 46" xfId="16128"/>
    <cellStyle name="Vírgula 3 47" xfId="16130"/>
    <cellStyle name="Vírgula 3 48" xfId="16132"/>
    <cellStyle name="Vírgula 3 49" xfId="16292"/>
    <cellStyle name="Vírgula 3 5" xfId="2777"/>
    <cellStyle name="Vírgula 3 5 10" xfId="11586"/>
    <cellStyle name="Vírgula 3 5 2" xfId="11587"/>
    <cellStyle name="Vírgula 3 5 2 2" xfId="11588"/>
    <cellStyle name="Vírgula 3 5 2 2 2" xfId="11589"/>
    <cellStyle name="Vírgula 3 5 2 2 3" xfId="11590"/>
    <cellStyle name="Vírgula 3 5 2 2 4" xfId="11591"/>
    <cellStyle name="Vírgula 3 5 2 2 5" xfId="11592"/>
    <cellStyle name="Vírgula 3 5 2 2 6" xfId="11593"/>
    <cellStyle name="Vírgula 3 5 2 3" xfId="11594"/>
    <cellStyle name="Vírgula 3 5 2 4" xfId="11595"/>
    <cellStyle name="Vírgula 3 5 2 5" xfId="11596"/>
    <cellStyle name="Vírgula 3 5 2 6" xfId="11597"/>
    <cellStyle name="Vírgula 3 5 2 7" xfId="11598"/>
    <cellStyle name="Vírgula 3 5 3" xfId="11599"/>
    <cellStyle name="Vírgula 3 5 3 2" xfId="11600"/>
    <cellStyle name="Vírgula 3 5 3 3" xfId="11601"/>
    <cellStyle name="Vírgula 3 5 3 4" xfId="11602"/>
    <cellStyle name="Vírgula 3 5 3 5" xfId="11603"/>
    <cellStyle name="Vírgula 3 5 3 6" xfId="11604"/>
    <cellStyle name="Vírgula 3 5 4" xfId="11605"/>
    <cellStyle name="Vírgula 3 5 5" xfId="11606"/>
    <cellStyle name="Vírgula 3 5 6" xfId="11607"/>
    <cellStyle name="Vírgula 3 5 7" xfId="11608"/>
    <cellStyle name="Vírgula 3 5 8" xfId="11609"/>
    <cellStyle name="Vírgula 3 5 9" xfId="13930"/>
    <cellStyle name="Vírgula 3 5_Base RF" xfId="15207"/>
    <cellStyle name="Vírgula 3 50" xfId="16134"/>
    <cellStyle name="Vírgula 3 51" xfId="16301"/>
    <cellStyle name="Vírgula 3 52" xfId="16168"/>
    <cellStyle name="Vírgula 3 53" xfId="16259"/>
    <cellStyle name="Vírgula 3 54" xfId="16224"/>
    <cellStyle name="Vírgula 3 55" xfId="16229"/>
    <cellStyle name="Vírgula 3 56" xfId="16194"/>
    <cellStyle name="Vírgula 3 57" xfId="16242"/>
    <cellStyle name="Vírgula 3 58" xfId="16309"/>
    <cellStyle name="Vírgula 3 59" xfId="16201"/>
    <cellStyle name="Vírgula 3 6" xfId="11610"/>
    <cellStyle name="Vírgula 3 6 10" xfId="11611"/>
    <cellStyle name="Vírgula 3 6 11" xfId="11612"/>
    <cellStyle name="Vírgula 3 6 12" xfId="11613"/>
    <cellStyle name="Vírgula 3 6 13" xfId="11614"/>
    <cellStyle name="Vírgula 3 6 2" xfId="11615"/>
    <cellStyle name="Vírgula 3 6 2 2" xfId="11616"/>
    <cellStyle name="Vírgula 3 6 2 3" xfId="11617"/>
    <cellStyle name="Vírgula 3 6 2 4" xfId="11618"/>
    <cellStyle name="Vírgula 3 6 2 5" xfId="11619"/>
    <cellStyle name="Vírgula 3 6 2 6" xfId="11620"/>
    <cellStyle name="Vírgula 3 6 3" xfId="11621"/>
    <cellStyle name="Vírgula 3 6 3 2" xfId="11622"/>
    <cellStyle name="Vírgula 3 6 3 2 2" xfId="11623"/>
    <cellStyle name="Vírgula 3 6 3 2 3" xfId="11624"/>
    <cellStyle name="Vírgula 3 6 3 2 4" xfId="11625"/>
    <cellStyle name="Vírgula 3 6 3 2 5" xfId="11626"/>
    <cellStyle name="Vírgula 3 6 3 2 6" xfId="11627"/>
    <cellStyle name="Vírgula 3 6 3 2 7" xfId="11628"/>
    <cellStyle name="Vírgula 3 6 3 3" xfId="11629"/>
    <cellStyle name="Vírgula 3 6 3 4" xfId="11630"/>
    <cellStyle name="Vírgula 3 6 3 5" xfId="11631"/>
    <cellStyle name="Vírgula 3 6 3 6" xfId="11632"/>
    <cellStyle name="Vírgula 3 6 3 7" xfId="11633"/>
    <cellStyle name="Vírgula 3 6 4" xfId="11634"/>
    <cellStyle name="Vírgula 3 6 4 2" xfId="11635"/>
    <cellStyle name="Vírgula 3 6 4 2 2" xfId="11636"/>
    <cellStyle name="Vírgula 3 6 4 2 3" xfId="11637"/>
    <cellStyle name="Vírgula 3 6 4 2 4" xfId="11638"/>
    <cellStyle name="Vírgula 3 6 4 2 5" xfId="11639"/>
    <cellStyle name="Vírgula 3 6 4 2 6" xfId="11640"/>
    <cellStyle name="Vírgula 3 6 4 3" xfId="11641"/>
    <cellStyle name="Vírgula 3 6 4 4" xfId="11642"/>
    <cellStyle name="Vírgula 3 6 4 5" xfId="11643"/>
    <cellStyle name="Vírgula 3 6 4 6" xfId="11644"/>
    <cellStyle name="Vírgula 3 6 4 7" xfId="11645"/>
    <cellStyle name="Vírgula 3 6 5" xfId="11646"/>
    <cellStyle name="Vírgula 3 6 5 2" xfId="11647"/>
    <cellStyle name="Vírgula 3 6 5 3" xfId="11648"/>
    <cellStyle name="Vírgula 3 6 5 4" xfId="11649"/>
    <cellStyle name="Vírgula 3 6 5 5" xfId="11650"/>
    <cellStyle name="Vírgula 3 6 5 6" xfId="11651"/>
    <cellStyle name="Vírgula 3 6 6" xfId="11652"/>
    <cellStyle name="Vírgula 3 6 6 2" xfId="11653"/>
    <cellStyle name="Vírgula 3 6 6 3" xfId="11654"/>
    <cellStyle name="Vírgula 3 6 6 4" xfId="11655"/>
    <cellStyle name="Vírgula 3 6 6 5" xfId="11656"/>
    <cellStyle name="Vírgula 3 6 6 6" xfId="11657"/>
    <cellStyle name="Vírgula 3 6 7" xfId="11658"/>
    <cellStyle name="Vírgula 3 6 7 2" xfId="11659"/>
    <cellStyle name="Vírgula 3 6 7 2 2" xfId="11660"/>
    <cellStyle name="Vírgula 3 6 7 2 3" xfId="11661"/>
    <cellStyle name="Vírgula 3 6 7 2 4" xfId="11662"/>
    <cellStyle name="Vírgula 3 6 7 3" xfId="11663"/>
    <cellStyle name="Vírgula 3 6 7 4" xfId="11664"/>
    <cellStyle name="Vírgula 3 6 7 5" xfId="11665"/>
    <cellStyle name="Vírgula 3 6 8" xfId="11666"/>
    <cellStyle name="Vírgula 3 6 8 2" xfId="11667"/>
    <cellStyle name="Vírgula 3 6 8 2 2" xfId="11668"/>
    <cellStyle name="Vírgula 3 6 8 2 3" xfId="11669"/>
    <cellStyle name="Vírgula 3 6 8 2 4" xfId="11670"/>
    <cellStyle name="Vírgula 3 6 8 3" xfId="11671"/>
    <cellStyle name="Vírgula 3 6 8 4" xfId="11672"/>
    <cellStyle name="Vírgula 3 6 8 5" xfId="11673"/>
    <cellStyle name="Vírgula 3 6 9" xfId="11674"/>
    <cellStyle name="Vírgula 3 60" xfId="16239"/>
    <cellStyle name="Vírgula 3 61" xfId="16144"/>
    <cellStyle name="Vírgula 3 62" xfId="16280"/>
    <cellStyle name="Vírgula 3 63" xfId="16210"/>
    <cellStyle name="Vírgula 3 64" xfId="16236"/>
    <cellStyle name="Vírgula 3 65" xfId="16183"/>
    <cellStyle name="Vírgula 3 66" xfId="16164"/>
    <cellStyle name="Vírgula 3 67" xfId="16131"/>
    <cellStyle name="Vírgula 3 68" xfId="16293"/>
    <cellStyle name="Vírgula 3 69" xfId="16173"/>
    <cellStyle name="Vírgula 3 7" xfId="11675"/>
    <cellStyle name="Vírgula 3 7 2" xfId="11676"/>
    <cellStyle name="Vírgula 3 7 3" xfId="11677"/>
    <cellStyle name="Vírgula 3 7 4" xfId="11678"/>
    <cellStyle name="Vírgula 3 7 5" xfId="11679"/>
    <cellStyle name="Vírgula 3 7 6" xfId="11680"/>
    <cellStyle name="Vírgula 3 70" xfId="16258"/>
    <cellStyle name="Vírgula 3 71" xfId="16177"/>
    <cellStyle name="Vírgula 3 72" xfId="16250"/>
    <cellStyle name="Vírgula 3 73" xfId="15286"/>
    <cellStyle name="Vírgula 3 74" xfId="16312"/>
    <cellStyle name="Vírgula 3 75" xfId="16313"/>
    <cellStyle name="Vírgula 3 76" xfId="16314"/>
    <cellStyle name="Vírgula 3 77" xfId="16315"/>
    <cellStyle name="Vírgula 3 78" xfId="16316"/>
    <cellStyle name="Vírgula 3 79" xfId="16317"/>
    <cellStyle name="Vírgula 3 8" xfId="11681"/>
    <cellStyle name="Vírgula 3 8 2" xfId="11682"/>
    <cellStyle name="Vírgula 3 8 2 2" xfId="11683"/>
    <cellStyle name="Vírgula 3 8 2 3" xfId="11684"/>
    <cellStyle name="Vírgula 3 8 2 4" xfId="11685"/>
    <cellStyle name="Vírgula 3 8 2 5" xfId="11686"/>
    <cellStyle name="Vírgula 3 8 2 6" xfId="11687"/>
    <cellStyle name="Vírgula 3 8 3" xfId="11688"/>
    <cellStyle name="Vírgula 3 8 4" xfId="11689"/>
    <cellStyle name="Vírgula 3 8 5" xfId="11690"/>
    <cellStyle name="Vírgula 3 8 6" xfId="11691"/>
    <cellStyle name="Vírgula 3 8 7" xfId="11692"/>
    <cellStyle name="Vírgula 3 80" xfId="16318"/>
    <cellStyle name="Vírgula 3 81" xfId="16319"/>
    <cellStyle name="Vírgula 3 82" xfId="16320"/>
    <cellStyle name="Vírgula 3 83" xfId="16401"/>
    <cellStyle name="Vírgula 3 84" xfId="16402"/>
    <cellStyle name="Vírgula 3 85" xfId="16403"/>
    <cellStyle name="Vírgula 3 86" xfId="16404"/>
    <cellStyle name="Vírgula 3 87" xfId="16405"/>
    <cellStyle name="Vírgula 3 88" xfId="16406"/>
    <cellStyle name="Vírgula 3 89" xfId="16407"/>
    <cellStyle name="Vírgula 3 9" xfId="11693"/>
    <cellStyle name="Vírgula 3 9 2" xfId="11694"/>
    <cellStyle name="Vírgula 3 9 2 2" xfId="11695"/>
    <cellStyle name="Vírgula 3 9 2 3" xfId="11696"/>
    <cellStyle name="Vírgula 3 9 2 4" xfId="11697"/>
    <cellStyle name="Vírgula 3 9 2 5" xfId="11698"/>
    <cellStyle name="Vírgula 3 9 2 6" xfId="11699"/>
    <cellStyle name="Vírgula 3 9 3" xfId="11700"/>
    <cellStyle name="Vírgula 3 9 4" xfId="11701"/>
    <cellStyle name="Vírgula 3 9 5" xfId="11702"/>
    <cellStyle name="Vírgula 3 9 6" xfId="11703"/>
    <cellStyle name="Vírgula 3 9 7" xfId="11704"/>
    <cellStyle name="Vírgula 3 90" xfId="16408"/>
    <cellStyle name="Vírgula 3 91" xfId="16409"/>
    <cellStyle name="Vírgula 3 92" xfId="16410"/>
    <cellStyle name="Vírgula 3 93" xfId="16411"/>
    <cellStyle name="Vírgula 3 94" xfId="16412"/>
    <cellStyle name="Vírgula 3 95" xfId="16413"/>
    <cellStyle name="Vírgula 3_Base RF" xfId="5938"/>
    <cellStyle name="Vírgula 30" xfId="11705"/>
    <cellStyle name="Vírgula 30 2" xfId="11706"/>
    <cellStyle name="Vírgula 30 2 2" xfId="11707"/>
    <cellStyle name="Vírgula 30 2 3" xfId="11708"/>
    <cellStyle name="Vírgula 30 2 4" xfId="11709"/>
    <cellStyle name="Vírgula 30 2 5" xfId="11710"/>
    <cellStyle name="Vírgula 30 2 6" xfId="11711"/>
    <cellStyle name="Vírgula 30 3" xfId="11712"/>
    <cellStyle name="Vírgula 30 4" xfId="11713"/>
    <cellStyle name="Vírgula 30 5" xfId="11714"/>
    <cellStyle name="Vírgula 30 6" xfId="11715"/>
    <cellStyle name="Vírgula 30 7" xfId="11716"/>
    <cellStyle name="Vírgula 31" xfId="11717"/>
    <cellStyle name="Vírgula 31 2" xfId="11718"/>
    <cellStyle name="Vírgula 31 2 2" xfId="11719"/>
    <cellStyle name="Vírgula 31 2 3" xfId="11720"/>
    <cellStyle name="Vírgula 31 2 4" xfId="11721"/>
    <cellStyle name="Vírgula 31 2 5" xfId="11722"/>
    <cellStyle name="Vírgula 31 2 6" xfId="11723"/>
    <cellStyle name="Vírgula 31 3" xfId="11724"/>
    <cellStyle name="Vírgula 31 4" xfId="11725"/>
    <cellStyle name="Vírgula 31 5" xfId="11726"/>
    <cellStyle name="Vírgula 31 6" xfId="11727"/>
    <cellStyle name="Vírgula 31 7" xfId="11728"/>
    <cellStyle name="Vírgula 32" xfId="11729"/>
    <cellStyle name="Vírgula 32 2" xfId="11730"/>
    <cellStyle name="Vírgula 32 2 2" xfId="11731"/>
    <cellStyle name="Vírgula 32 2 3" xfId="11732"/>
    <cellStyle name="Vírgula 32 2 4" xfId="11733"/>
    <cellStyle name="Vírgula 32 2 5" xfId="11734"/>
    <cellStyle name="Vírgula 32 2 6" xfId="11735"/>
    <cellStyle name="Vírgula 32 3" xfId="11736"/>
    <cellStyle name="Vírgula 32 4" xfId="11737"/>
    <cellStyle name="Vírgula 32 5" xfId="11738"/>
    <cellStyle name="Vírgula 32 6" xfId="11739"/>
    <cellStyle name="Vírgula 32 7" xfId="11740"/>
    <cellStyle name="Vírgula 33" xfId="11741"/>
    <cellStyle name="Vírgula 33 2" xfId="11742"/>
    <cellStyle name="Vírgula 33 3" xfId="11743"/>
    <cellStyle name="Vírgula 33 4" xfId="11744"/>
    <cellStyle name="Vírgula 33 5" xfId="11745"/>
    <cellStyle name="Vírgula 33 6" xfId="11746"/>
    <cellStyle name="Vírgula 34" xfId="11747"/>
    <cellStyle name="Vírgula 34 2" xfId="11748"/>
    <cellStyle name="Vírgula 34 2 2" xfId="11749"/>
    <cellStyle name="Vírgula 34 2 3" xfId="11750"/>
    <cellStyle name="Vírgula 34 2 4" xfId="11751"/>
    <cellStyle name="Vírgula 34 3" xfId="11752"/>
    <cellStyle name="Vírgula 34 3 2" xfId="11753"/>
    <cellStyle name="Vírgula 34 3 3" xfId="11754"/>
    <cellStyle name="Vírgula 34 3 4" xfId="11755"/>
    <cellStyle name="Vírgula 34 4" xfId="11756"/>
    <cellStyle name="Vírgula 34 5" xfId="11757"/>
    <cellStyle name="Vírgula 34 6" xfId="11758"/>
    <cellStyle name="Vírgula 35" xfId="11759"/>
    <cellStyle name="Vírgula 35 2" xfId="11760"/>
    <cellStyle name="Vírgula 35 3" xfId="11761"/>
    <cellStyle name="Vírgula 35 4" xfId="11762"/>
    <cellStyle name="Vírgula 36" xfId="11763"/>
    <cellStyle name="Vírgula 36 2" xfId="11764"/>
    <cellStyle name="Vírgula 36 3" xfId="11765"/>
    <cellStyle name="Vírgula 36 4" xfId="11766"/>
    <cellStyle name="Vírgula 36 5" xfId="11767"/>
    <cellStyle name="Vírgula 37" xfId="11768"/>
    <cellStyle name="Vírgula 37 2" xfId="11769"/>
    <cellStyle name="Vírgula 37 3" xfId="11770"/>
    <cellStyle name="Vírgula 37 4" xfId="11771"/>
    <cellStyle name="Vírgula 38" xfId="11772"/>
    <cellStyle name="Vírgula 38 2" xfId="11773"/>
    <cellStyle name="Vírgula 38 3" xfId="11774"/>
    <cellStyle name="Vírgula 38 4" xfId="11775"/>
    <cellStyle name="Vírgula 39" xfId="11776"/>
    <cellStyle name="Vírgula 39 2" xfId="11777"/>
    <cellStyle name="Vírgula 39 2 2" xfId="11778"/>
    <cellStyle name="Vírgula 39 3" xfId="11779"/>
    <cellStyle name="Vírgula 39 3 2" xfId="11780"/>
    <cellStyle name="Vírgula 39 4" xfId="11781"/>
    <cellStyle name="Vírgula 39 5" xfId="11782"/>
    <cellStyle name="Vírgula 39 6" xfId="11783"/>
    <cellStyle name="Vírgula 4" xfId="75"/>
    <cellStyle name="Vírgula 4 10" xfId="11785"/>
    <cellStyle name="Vírgula 4 10 2" xfId="11786"/>
    <cellStyle name="Vírgula 4 10 2 2" xfId="11787"/>
    <cellStyle name="Vírgula 4 10 2 3" xfId="11788"/>
    <cellStyle name="Vírgula 4 10 2 4" xfId="11789"/>
    <cellStyle name="Vírgula 4 10 2 5" xfId="11790"/>
    <cellStyle name="Vírgula 4 10 2 6" xfId="11791"/>
    <cellStyle name="Vírgula 4 10 3" xfId="11792"/>
    <cellStyle name="Vírgula 4 10 4" xfId="11793"/>
    <cellStyle name="Vírgula 4 10 5" xfId="11794"/>
    <cellStyle name="Vírgula 4 10 6" xfId="11795"/>
    <cellStyle name="Vírgula 4 10 7" xfId="11796"/>
    <cellStyle name="Vírgula 4 11" xfId="11797"/>
    <cellStyle name="Vírgula 4 11 2" xfId="11798"/>
    <cellStyle name="Vírgula 4 11 3" xfId="11799"/>
    <cellStyle name="Vírgula 4 11 4" xfId="11800"/>
    <cellStyle name="Vírgula 4 11 5" xfId="11801"/>
    <cellStyle name="Vírgula 4 11 6" xfId="11802"/>
    <cellStyle name="Vírgula 4 12" xfId="11803"/>
    <cellStyle name="Vírgula 4 12 2" xfId="11804"/>
    <cellStyle name="Vírgula 4 12 2 2" xfId="11805"/>
    <cellStyle name="Vírgula 4 12 2 2 2" xfId="11806"/>
    <cellStyle name="Vírgula 4 12 2 2 3" xfId="11807"/>
    <cellStyle name="Vírgula 4 12 2 2 4" xfId="11808"/>
    <cellStyle name="Vírgula 4 12 2 3" xfId="11809"/>
    <cellStyle name="Vírgula 4 12 2 4" xfId="11810"/>
    <cellStyle name="Vírgula 4 12 2 5" xfId="11811"/>
    <cellStyle name="Vírgula 4 12 3" xfId="11812"/>
    <cellStyle name="Vírgula 4 12 3 2" xfId="11813"/>
    <cellStyle name="Vírgula 4 12 3 3" xfId="11814"/>
    <cellStyle name="Vírgula 4 12 3 4" xfId="11815"/>
    <cellStyle name="Vírgula 4 12 4" xfId="11816"/>
    <cellStyle name="Vírgula 4 12 5" xfId="11817"/>
    <cellStyle name="Vírgula 4 12 6" xfId="11818"/>
    <cellStyle name="Vírgula 4 12 7" xfId="11819"/>
    <cellStyle name="Vírgula 4 12 8" xfId="11820"/>
    <cellStyle name="Vírgula 4 13" xfId="11821"/>
    <cellStyle name="Vírgula 4 13 2" xfId="11822"/>
    <cellStyle name="Vírgula 4 13 2 2" xfId="11823"/>
    <cellStyle name="Vírgula 4 13 2 2 2" xfId="11824"/>
    <cellStyle name="Vírgula 4 13 2 2 3" xfId="11825"/>
    <cellStyle name="Vírgula 4 13 2 2 4" xfId="11826"/>
    <cellStyle name="Vírgula 4 13 2 3" xfId="11827"/>
    <cellStyle name="Vírgula 4 13 2 4" xfId="11828"/>
    <cellStyle name="Vírgula 4 13 2 5" xfId="11829"/>
    <cellStyle name="Vírgula 4 13 3" xfId="11830"/>
    <cellStyle name="Vírgula 4 13 3 2" xfId="11831"/>
    <cellStyle name="Vírgula 4 13 3 3" xfId="11832"/>
    <cellStyle name="Vírgula 4 13 3 4" xfId="11833"/>
    <cellStyle name="Vírgula 4 13 4" xfId="11834"/>
    <cellStyle name="Vírgula 4 13 5" xfId="11835"/>
    <cellStyle name="Vírgula 4 13 6" xfId="11836"/>
    <cellStyle name="Vírgula 4 13 7" xfId="11837"/>
    <cellStyle name="Vírgula 4 13 8" xfId="11838"/>
    <cellStyle name="Vírgula 4 14" xfId="11839"/>
    <cellStyle name="Vírgula 4 14 2" xfId="11840"/>
    <cellStyle name="Vírgula 4 14 2 2" xfId="11841"/>
    <cellStyle name="Vírgula 4 14 2 3" xfId="11842"/>
    <cellStyle name="Vírgula 4 14 2 4" xfId="11843"/>
    <cellStyle name="Vírgula 4 14 3" xfId="11844"/>
    <cellStyle name="Vírgula 4 14 4" xfId="11845"/>
    <cellStyle name="Vírgula 4 14 5" xfId="11846"/>
    <cellStyle name="Vírgula 4 15" xfId="11847"/>
    <cellStyle name="Vírgula 4 15 2" xfId="11848"/>
    <cellStyle name="Vírgula 4 15 3" xfId="11849"/>
    <cellStyle name="Vírgula 4 15 4" xfId="11850"/>
    <cellStyle name="Vírgula 4 16" xfId="11851"/>
    <cellStyle name="Vírgula 4 16 2" xfId="11852"/>
    <cellStyle name="Vírgula 4 17" xfId="11853"/>
    <cellStyle name="Vírgula 4 17 2" xfId="11854"/>
    <cellStyle name="Vírgula 4 18" xfId="11855"/>
    <cellStyle name="Vírgula 4 19" xfId="11856"/>
    <cellStyle name="Vírgula 4 2" xfId="5318"/>
    <cellStyle name="Vírgula 4 2 10" xfId="11858"/>
    <cellStyle name="Vírgula 4 2 11" xfId="14839"/>
    <cellStyle name="Vírgula 4 2 12" xfId="11857"/>
    <cellStyle name="Vírgula 4 2 2" xfId="11859"/>
    <cellStyle name="Vírgula 4 2 2 2" xfId="11860"/>
    <cellStyle name="Vírgula 4 2 2 3" xfId="11861"/>
    <cellStyle name="Vírgula 4 2 2 4" xfId="11862"/>
    <cellStyle name="Vírgula 4 2 2 5" xfId="11863"/>
    <cellStyle name="Vírgula 4 2 2 6" xfId="11864"/>
    <cellStyle name="Vírgula 4 2 3" xfId="11865"/>
    <cellStyle name="Vírgula 4 2 3 2" xfId="11866"/>
    <cellStyle name="Vírgula 4 2 3 3" xfId="11867"/>
    <cellStyle name="Vírgula 4 2 3 4" xfId="11868"/>
    <cellStyle name="Vírgula 4 2 3 5" xfId="11869"/>
    <cellStyle name="Vírgula 4 2 3 6" xfId="11870"/>
    <cellStyle name="Vírgula 4 2 4" xfId="11871"/>
    <cellStyle name="Vírgula 4 2 4 2" xfId="11872"/>
    <cellStyle name="Vírgula 4 2 4 2 2" xfId="11873"/>
    <cellStyle name="Vírgula 4 2 4 2 2 2" xfId="11874"/>
    <cellStyle name="Vírgula 4 2 4 2 2 3" xfId="11875"/>
    <cellStyle name="Vírgula 4 2 4 2 2 4" xfId="11876"/>
    <cellStyle name="Vírgula 4 2 4 2 3" xfId="11877"/>
    <cellStyle name="Vírgula 4 2 4 2 4" xfId="11878"/>
    <cellStyle name="Vírgula 4 2 4 2 5" xfId="11879"/>
    <cellStyle name="Vírgula 4 2 4 3" xfId="11880"/>
    <cellStyle name="Vírgula 4 2 4 3 2" xfId="11881"/>
    <cellStyle name="Vírgula 4 2 4 3 3" xfId="11882"/>
    <cellStyle name="Vírgula 4 2 4 3 4" xfId="11883"/>
    <cellStyle name="Vírgula 4 2 4 4" xfId="11884"/>
    <cellStyle name="Vírgula 4 2 4 5" xfId="11885"/>
    <cellStyle name="Vírgula 4 2 4 6" xfId="11886"/>
    <cellStyle name="Vírgula 4 2 4 7" xfId="11887"/>
    <cellStyle name="Vírgula 4 2 4 8" xfId="11888"/>
    <cellStyle name="Vírgula 4 2 5" xfId="11889"/>
    <cellStyle name="Vírgula 4 2 5 2" xfId="11890"/>
    <cellStyle name="Vírgula 4 2 5 2 2" xfId="11891"/>
    <cellStyle name="Vírgula 4 2 5 2 2 2" xfId="11892"/>
    <cellStyle name="Vírgula 4 2 5 2 2 3" xfId="11893"/>
    <cellStyle name="Vírgula 4 2 5 2 2 4" xfId="11894"/>
    <cellStyle name="Vírgula 4 2 5 2 3" xfId="11895"/>
    <cellStyle name="Vírgula 4 2 5 2 4" xfId="11896"/>
    <cellStyle name="Vírgula 4 2 5 2 5" xfId="11897"/>
    <cellStyle name="Vírgula 4 2 5 3" xfId="11898"/>
    <cellStyle name="Vírgula 4 2 5 3 2" xfId="11899"/>
    <cellStyle name="Vírgula 4 2 5 3 3" xfId="11900"/>
    <cellStyle name="Vírgula 4 2 5 3 4" xfId="11901"/>
    <cellStyle name="Vírgula 4 2 5 4" xfId="11902"/>
    <cellStyle name="Vírgula 4 2 5 5" xfId="11903"/>
    <cellStyle name="Vírgula 4 2 5 6" xfId="11904"/>
    <cellStyle name="Vírgula 4 2 5 7" xfId="11905"/>
    <cellStyle name="Vírgula 4 2 5 8" xfId="11906"/>
    <cellStyle name="Vírgula 4 2 6" xfId="11907"/>
    <cellStyle name="Vírgula 4 2 7" xfId="11908"/>
    <cellStyle name="Vírgula 4 2 8" xfId="11909"/>
    <cellStyle name="Vírgula 4 2 9" xfId="11910"/>
    <cellStyle name="Vírgula 4 2_Base RF" xfId="15208"/>
    <cellStyle name="Vírgula 4 20" xfId="11911"/>
    <cellStyle name="Vírgula 4 21" xfId="11912"/>
    <cellStyle name="Vírgula 4 22" xfId="11913"/>
    <cellStyle name="Vírgula 4 23" xfId="13661"/>
    <cellStyle name="Vírgula 4 24" xfId="11784"/>
    <cellStyle name="Vírgula 4 25" xfId="15312"/>
    <cellStyle name="Vírgula 4 3" xfId="4972"/>
    <cellStyle name="Vírgula 4 3 2" xfId="11915"/>
    <cellStyle name="Vírgula 4 3 3" xfId="11916"/>
    <cellStyle name="Vírgula 4 3 4" xfId="11917"/>
    <cellStyle name="Vírgula 4 3 5" xfId="11918"/>
    <cellStyle name="Vírgula 4 3 6" xfId="11919"/>
    <cellStyle name="Vírgula 4 3 7" xfId="14765"/>
    <cellStyle name="Vírgula 4 3 8" xfId="11914"/>
    <cellStyle name="Vírgula 4 3_Base RF" xfId="15209"/>
    <cellStyle name="Vírgula 4 4" xfId="11920"/>
    <cellStyle name="Vírgula 4 4 2" xfId="11921"/>
    <cellStyle name="Vírgula 4 4 2 2" xfId="11922"/>
    <cellStyle name="Vírgula 4 4 2 3" xfId="11923"/>
    <cellStyle name="Vírgula 4 4 2 4" xfId="11924"/>
    <cellStyle name="Vírgula 4 4 2 5" xfId="11925"/>
    <cellStyle name="Vírgula 4 4 2 6" xfId="11926"/>
    <cellStyle name="Vírgula 4 4 3" xfId="11927"/>
    <cellStyle name="Vírgula 4 4 4" xfId="11928"/>
    <cellStyle name="Vírgula 4 4 5" xfId="11929"/>
    <cellStyle name="Vírgula 4 4 6" xfId="11930"/>
    <cellStyle name="Vírgula 4 4 7" xfId="11931"/>
    <cellStyle name="Vírgula 4 5" xfId="11932"/>
    <cellStyle name="Vírgula 4 5 2" xfId="11933"/>
    <cellStyle name="Vírgula 4 5 2 2" xfId="11934"/>
    <cellStyle name="Vírgula 4 5 2 2 2" xfId="11935"/>
    <cellStyle name="Vírgula 4 5 2 2 3" xfId="11936"/>
    <cellStyle name="Vírgula 4 5 2 2 4" xfId="11937"/>
    <cellStyle name="Vírgula 4 5 2 2 5" xfId="11938"/>
    <cellStyle name="Vírgula 4 5 2 2 6" xfId="11939"/>
    <cellStyle name="Vírgula 4 5 2 3" xfId="11940"/>
    <cellStyle name="Vírgula 4 5 2 4" xfId="11941"/>
    <cellStyle name="Vírgula 4 5 2 5" xfId="11942"/>
    <cellStyle name="Vírgula 4 5 2 6" xfId="11943"/>
    <cellStyle name="Vírgula 4 5 2 7" xfId="11944"/>
    <cellStyle name="Vírgula 4 5 3" xfId="11945"/>
    <cellStyle name="Vírgula 4 5 3 2" xfId="11946"/>
    <cellStyle name="Vírgula 4 5 3 3" xfId="11947"/>
    <cellStyle name="Vírgula 4 5 3 4" xfId="11948"/>
    <cellStyle name="Vírgula 4 5 3 5" xfId="11949"/>
    <cellStyle name="Vírgula 4 5 3 6" xfId="11950"/>
    <cellStyle name="Vírgula 4 5 4" xfId="11951"/>
    <cellStyle name="Vírgula 4 5 5" xfId="11952"/>
    <cellStyle name="Vírgula 4 5 6" xfId="11953"/>
    <cellStyle name="Vírgula 4 5 7" xfId="11954"/>
    <cellStyle name="Vírgula 4 5 8" xfId="11955"/>
    <cellStyle name="Vírgula 4 6" xfId="11956"/>
    <cellStyle name="Vírgula 4 6 10" xfId="11957"/>
    <cellStyle name="Vírgula 4 6 11" xfId="11958"/>
    <cellStyle name="Vírgula 4 6 12" xfId="11959"/>
    <cellStyle name="Vírgula 4 6 13" xfId="11960"/>
    <cellStyle name="Vírgula 4 6 2" xfId="11961"/>
    <cellStyle name="Vírgula 4 6 2 2" xfId="11962"/>
    <cellStyle name="Vírgula 4 6 2 3" xfId="11963"/>
    <cellStyle name="Vírgula 4 6 2 4" xfId="11964"/>
    <cellStyle name="Vírgula 4 6 2 5" xfId="11965"/>
    <cellStyle name="Vírgula 4 6 2 6" xfId="11966"/>
    <cellStyle name="Vírgula 4 6 3" xfId="11967"/>
    <cellStyle name="Vírgula 4 6 3 2" xfId="11968"/>
    <cellStyle name="Vírgula 4 6 3 2 2" xfId="11969"/>
    <cellStyle name="Vírgula 4 6 3 2 3" xfId="11970"/>
    <cellStyle name="Vírgula 4 6 3 2 4" xfId="11971"/>
    <cellStyle name="Vírgula 4 6 3 2 5" xfId="11972"/>
    <cellStyle name="Vírgula 4 6 3 2 6" xfId="11973"/>
    <cellStyle name="Vírgula 4 6 3 3" xfId="11974"/>
    <cellStyle name="Vírgula 4 6 3 4" xfId="11975"/>
    <cellStyle name="Vírgula 4 6 3 5" xfId="11976"/>
    <cellStyle name="Vírgula 4 6 3 6" xfId="11977"/>
    <cellStyle name="Vírgula 4 6 3 7" xfId="11978"/>
    <cellStyle name="Vírgula 4 6 4" xfId="11979"/>
    <cellStyle name="Vírgula 4 6 4 2" xfId="11980"/>
    <cellStyle name="Vírgula 4 6 4 2 2" xfId="11981"/>
    <cellStyle name="Vírgula 4 6 4 2 3" xfId="11982"/>
    <cellStyle name="Vírgula 4 6 4 2 4" xfId="11983"/>
    <cellStyle name="Vírgula 4 6 4 2 5" xfId="11984"/>
    <cellStyle name="Vírgula 4 6 4 2 6" xfId="11985"/>
    <cellStyle name="Vírgula 4 6 4 3" xfId="11986"/>
    <cellStyle name="Vírgula 4 6 4 4" xfId="11987"/>
    <cellStyle name="Vírgula 4 6 4 5" xfId="11988"/>
    <cellStyle name="Vírgula 4 6 4 6" xfId="11989"/>
    <cellStyle name="Vírgula 4 6 4 7" xfId="11990"/>
    <cellStyle name="Vírgula 4 6 5" xfId="11991"/>
    <cellStyle name="Vírgula 4 6 5 2" xfId="11992"/>
    <cellStyle name="Vírgula 4 6 5 3" xfId="11993"/>
    <cellStyle name="Vírgula 4 6 5 4" xfId="11994"/>
    <cellStyle name="Vírgula 4 6 5 5" xfId="11995"/>
    <cellStyle name="Vírgula 4 6 5 6" xfId="11996"/>
    <cellStyle name="Vírgula 4 6 6" xfId="11997"/>
    <cellStyle name="Vírgula 4 6 6 2" xfId="11998"/>
    <cellStyle name="Vírgula 4 6 6 3" xfId="11999"/>
    <cellStyle name="Vírgula 4 6 6 4" xfId="12000"/>
    <cellStyle name="Vírgula 4 6 6 5" xfId="12001"/>
    <cellStyle name="Vírgula 4 6 6 6" xfId="12002"/>
    <cellStyle name="Vírgula 4 6 7" xfId="12003"/>
    <cellStyle name="Vírgula 4 6 7 2" xfId="12004"/>
    <cellStyle name="Vírgula 4 6 7 2 2" xfId="12005"/>
    <cellStyle name="Vírgula 4 6 7 2 3" xfId="12006"/>
    <cellStyle name="Vírgula 4 6 7 2 4" xfId="12007"/>
    <cellStyle name="Vírgula 4 6 7 3" xfId="12008"/>
    <cellStyle name="Vírgula 4 6 7 4" xfId="12009"/>
    <cellStyle name="Vírgula 4 6 7 5" xfId="12010"/>
    <cellStyle name="Vírgula 4 6 8" xfId="12011"/>
    <cellStyle name="Vírgula 4 6 8 2" xfId="12012"/>
    <cellStyle name="Vírgula 4 6 8 2 2" xfId="12013"/>
    <cellStyle name="Vírgula 4 6 8 2 3" xfId="12014"/>
    <cellStyle name="Vírgula 4 6 8 2 4" xfId="12015"/>
    <cellStyle name="Vírgula 4 6 8 3" xfId="12016"/>
    <cellStyle name="Vírgula 4 6 8 4" xfId="12017"/>
    <cellStyle name="Vírgula 4 6 8 5" xfId="12018"/>
    <cellStyle name="Vírgula 4 6 9" xfId="12019"/>
    <cellStyle name="Vírgula 4 7" xfId="12020"/>
    <cellStyle name="Vírgula 4 7 2" xfId="12021"/>
    <cellStyle name="Vírgula 4 7 3" xfId="12022"/>
    <cellStyle name="Vírgula 4 7 4" xfId="12023"/>
    <cellStyle name="Vírgula 4 7 5" xfId="12024"/>
    <cellStyle name="Vírgula 4 7 6" xfId="12025"/>
    <cellStyle name="Vírgula 4 8" xfId="12026"/>
    <cellStyle name="Vírgula 4 8 2" xfId="12027"/>
    <cellStyle name="Vírgula 4 8 2 2" xfId="12028"/>
    <cellStyle name="Vírgula 4 8 2 3" xfId="12029"/>
    <cellStyle name="Vírgula 4 8 2 4" xfId="12030"/>
    <cellStyle name="Vírgula 4 8 2 5" xfId="12031"/>
    <cellStyle name="Vírgula 4 8 2 6" xfId="12032"/>
    <cellStyle name="Vírgula 4 8 3" xfId="12033"/>
    <cellStyle name="Vírgula 4 8 4" xfId="12034"/>
    <cellStyle name="Vírgula 4 8 5" xfId="12035"/>
    <cellStyle name="Vírgula 4 8 6" xfId="12036"/>
    <cellStyle name="Vírgula 4 8 7" xfId="12037"/>
    <cellStyle name="Vírgula 4 9" xfId="12038"/>
    <cellStyle name="Vírgula 4 9 2" xfId="12039"/>
    <cellStyle name="Vírgula 4 9 2 2" xfId="12040"/>
    <cellStyle name="Vírgula 4 9 2 3" xfId="12041"/>
    <cellStyle name="Vírgula 4 9 2 4" xfId="12042"/>
    <cellStyle name="Vírgula 4 9 2 5" xfId="12043"/>
    <cellStyle name="Vírgula 4 9 2 6" xfId="12044"/>
    <cellStyle name="Vírgula 4 9 3" xfId="12045"/>
    <cellStyle name="Vírgula 4 9 4" xfId="12046"/>
    <cellStyle name="Vírgula 4 9 5" xfId="12047"/>
    <cellStyle name="Vírgula 4 9 6" xfId="12048"/>
    <cellStyle name="Vírgula 4 9 7" xfId="12049"/>
    <cellStyle name="Vírgula 4_Base RF" xfId="5939"/>
    <cellStyle name="Vírgula 40" xfId="12050"/>
    <cellStyle name="Vírgula 41" xfId="12051"/>
    <cellStyle name="Vírgula 41 2" xfId="12052"/>
    <cellStyle name="Vírgula 42" xfId="12053"/>
    <cellStyle name="Vírgula 42 2" xfId="12054"/>
    <cellStyle name="Vírgula 43" xfId="12055"/>
    <cellStyle name="Vírgula 43 2" xfId="12056"/>
    <cellStyle name="Vírgula 43 3" xfId="12057"/>
    <cellStyle name="Vírgula 44" xfId="12058"/>
    <cellStyle name="Vírgula 45" xfId="12059"/>
    <cellStyle name="Vírgula 45 2" xfId="12060"/>
    <cellStyle name="Vírgula 46" xfId="12061"/>
    <cellStyle name="Vírgula 47" xfId="12062"/>
    <cellStyle name="Vírgula 48" xfId="12063"/>
    <cellStyle name="Vírgula 49" xfId="12064"/>
    <cellStyle name="Vírgula 5" xfId="77"/>
    <cellStyle name="Vírgula 5 10" xfId="12066"/>
    <cellStyle name="Vírgula 5 10 2" xfId="12067"/>
    <cellStyle name="Vírgula 5 10 2 2" xfId="12068"/>
    <cellStyle name="Vírgula 5 10 2 3" xfId="12069"/>
    <cellStyle name="Vírgula 5 10 2 4" xfId="12070"/>
    <cellStyle name="Vírgula 5 10 2 5" xfId="12071"/>
    <cellStyle name="Vírgula 5 10 2 6" xfId="12072"/>
    <cellStyle name="Vírgula 5 10 3" xfId="12073"/>
    <cellStyle name="Vírgula 5 10 4" xfId="12074"/>
    <cellStyle name="Vírgula 5 10 5" xfId="12075"/>
    <cellStyle name="Vírgula 5 10 6" xfId="12076"/>
    <cellStyle name="Vírgula 5 10 7" xfId="12077"/>
    <cellStyle name="Vírgula 5 11" xfId="12078"/>
    <cellStyle name="Vírgula 5 11 2" xfId="12079"/>
    <cellStyle name="Vírgula 5 11 3" xfId="12080"/>
    <cellStyle name="Vírgula 5 11 4" xfId="12081"/>
    <cellStyle name="Vírgula 5 11 5" xfId="12082"/>
    <cellStyle name="Vírgula 5 11 6" xfId="12083"/>
    <cellStyle name="Vírgula 5 12" xfId="12084"/>
    <cellStyle name="Vírgula 5 12 2" xfId="12085"/>
    <cellStyle name="Vírgula 5 12 2 2" xfId="12086"/>
    <cellStyle name="Vírgula 5 12 2 2 2" xfId="12087"/>
    <cellStyle name="Vírgula 5 12 2 2 3" xfId="12088"/>
    <cellStyle name="Vírgula 5 12 2 2 4" xfId="12089"/>
    <cellStyle name="Vírgula 5 12 2 3" xfId="12090"/>
    <cellStyle name="Vírgula 5 12 2 4" xfId="12091"/>
    <cellStyle name="Vírgula 5 12 2 5" xfId="12092"/>
    <cellStyle name="Vírgula 5 12 3" xfId="12093"/>
    <cellStyle name="Vírgula 5 12 3 2" xfId="12094"/>
    <cellStyle name="Vírgula 5 12 3 3" xfId="12095"/>
    <cellStyle name="Vírgula 5 12 3 4" xfId="12096"/>
    <cellStyle name="Vírgula 5 12 4" xfId="12097"/>
    <cellStyle name="Vírgula 5 12 5" xfId="12098"/>
    <cellStyle name="Vírgula 5 12 6" xfId="12099"/>
    <cellStyle name="Vírgula 5 12 7" xfId="12100"/>
    <cellStyle name="Vírgula 5 12 8" xfId="12101"/>
    <cellStyle name="Vírgula 5 13" xfId="12102"/>
    <cellStyle name="Vírgula 5 13 2" xfId="12103"/>
    <cellStyle name="Vírgula 5 13 2 2" xfId="12104"/>
    <cellStyle name="Vírgula 5 13 2 2 2" xfId="12105"/>
    <cellStyle name="Vírgula 5 13 2 2 3" xfId="12106"/>
    <cellStyle name="Vírgula 5 13 2 2 4" xfId="12107"/>
    <cellStyle name="Vírgula 5 13 2 3" xfId="12108"/>
    <cellStyle name="Vírgula 5 13 2 4" xfId="12109"/>
    <cellStyle name="Vírgula 5 13 2 5" xfId="12110"/>
    <cellStyle name="Vírgula 5 13 3" xfId="12111"/>
    <cellStyle name="Vírgula 5 13 3 2" xfId="12112"/>
    <cellStyle name="Vírgula 5 13 3 3" xfId="12113"/>
    <cellStyle name="Vírgula 5 13 3 4" xfId="12114"/>
    <cellStyle name="Vírgula 5 13 4" xfId="12115"/>
    <cellStyle name="Vírgula 5 13 5" xfId="12116"/>
    <cellStyle name="Vírgula 5 13 6" xfId="12117"/>
    <cellStyle name="Vírgula 5 13 7" xfId="12118"/>
    <cellStyle name="Vírgula 5 13 8" xfId="12119"/>
    <cellStyle name="Vírgula 5 14" xfId="12120"/>
    <cellStyle name="Vírgula 5 14 2" xfId="12121"/>
    <cellStyle name="Vírgula 5 14 2 2" xfId="12122"/>
    <cellStyle name="Vírgula 5 14 2 3" xfId="12123"/>
    <cellStyle name="Vírgula 5 14 2 4" xfId="12124"/>
    <cellStyle name="Vírgula 5 14 3" xfId="12125"/>
    <cellStyle name="Vírgula 5 14 4" xfId="12126"/>
    <cellStyle name="Vírgula 5 14 5" xfId="12127"/>
    <cellStyle name="Vírgula 5 15" xfId="12128"/>
    <cellStyle name="Vírgula 5 15 2" xfId="12129"/>
    <cellStyle name="Vírgula 5 15 3" xfId="12130"/>
    <cellStyle name="Vírgula 5 15 4" xfId="12131"/>
    <cellStyle name="Vírgula 5 16" xfId="12132"/>
    <cellStyle name="Vírgula 5 16 2" xfId="12133"/>
    <cellStyle name="Vírgula 5 17" xfId="12134"/>
    <cellStyle name="Vírgula 5 17 2" xfId="12135"/>
    <cellStyle name="Vírgula 5 18" xfId="12136"/>
    <cellStyle name="Vírgula 5 19" xfId="12137"/>
    <cellStyle name="Vírgula 5 2" xfId="80"/>
    <cellStyle name="Vírgula 5 2 10" xfId="12139"/>
    <cellStyle name="Vírgula 5 2 11" xfId="13663"/>
    <cellStyle name="Vírgula 5 2 12" xfId="12138"/>
    <cellStyle name="Vírgula 5 2 2" xfId="12140"/>
    <cellStyle name="Vírgula 5 2 2 2" xfId="12141"/>
    <cellStyle name="Vírgula 5 2 2 3" xfId="12142"/>
    <cellStyle name="Vírgula 5 2 2 4" xfId="12143"/>
    <cellStyle name="Vírgula 5 2 2 5" xfId="12144"/>
    <cellStyle name="Vírgula 5 2 2 6" xfId="12145"/>
    <cellStyle name="Vírgula 5 2 3" xfId="12146"/>
    <cellStyle name="Vírgula 5 2 3 2" xfId="12147"/>
    <cellStyle name="Vírgula 5 2 3 3" xfId="12148"/>
    <cellStyle name="Vírgula 5 2 3 4" xfId="12149"/>
    <cellStyle name="Vírgula 5 2 3 5" xfId="12150"/>
    <cellStyle name="Vírgula 5 2 3 6" xfId="12151"/>
    <cellStyle name="Vírgula 5 2 4" xfId="12152"/>
    <cellStyle name="Vírgula 5 2 4 2" xfId="12153"/>
    <cellStyle name="Vírgula 5 2 4 2 2" xfId="12154"/>
    <cellStyle name="Vírgula 5 2 4 2 2 2" xfId="12155"/>
    <cellStyle name="Vírgula 5 2 4 2 2 3" xfId="12156"/>
    <cellStyle name="Vírgula 5 2 4 2 2 4" xfId="12157"/>
    <cellStyle name="Vírgula 5 2 4 2 3" xfId="12158"/>
    <cellStyle name="Vírgula 5 2 4 2 4" xfId="12159"/>
    <cellStyle name="Vírgula 5 2 4 2 5" xfId="12160"/>
    <cellStyle name="Vírgula 5 2 4 3" xfId="12161"/>
    <cellStyle name="Vírgula 5 2 4 3 2" xfId="12162"/>
    <cellStyle name="Vírgula 5 2 4 3 3" xfId="12163"/>
    <cellStyle name="Vírgula 5 2 4 3 4" xfId="12164"/>
    <cellStyle name="Vírgula 5 2 4 4" xfId="12165"/>
    <cellStyle name="Vírgula 5 2 4 5" xfId="12166"/>
    <cellStyle name="Vírgula 5 2 4 6" xfId="12167"/>
    <cellStyle name="Vírgula 5 2 4 7" xfId="12168"/>
    <cellStyle name="Vírgula 5 2 4 8" xfId="12169"/>
    <cellStyle name="Vírgula 5 2 5" xfId="12170"/>
    <cellStyle name="Vírgula 5 2 5 2" xfId="12171"/>
    <cellStyle name="Vírgula 5 2 5 2 2" xfId="12172"/>
    <cellStyle name="Vírgula 5 2 5 2 2 2" xfId="12173"/>
    <cellStyle name="Vírgula 5 2 5 2 2 3" xfId="12174"/>
    <cellStyle name="Vírgula 5 2 5 2 2 4" xfId="12175"/>
    <cellStyle name="Vírgula 5 2 5 2 3" xfId="12176"/>
    <cellStyle name="Vírgula 5 2 5 2 4" xfId="12177"/>
    <cellStyle name="Vírgula 5 2 5 2 5" xfId="12178"/>
    <cellStyle name="Vírgula 5 2 5 3" xfId="12179"/>
    <cellStyle name="Vírgula 5 2 5 3 2" xfId="12180"/>
    <cellStyle name="Vírgula 5 2 5 3 3" xfId="12181"/>
    <cellStyle name="Vírgula 5 2 5 3 4" xfId="12182"/>
    <cellStyle name="Vírgula 5 2 5 4" xfId="12183"/>
    <cellStyle name="Vírgula 5 2 5 5" xfId="12184"/>
    <cellStyle name="Vírgula 5 2 5 6" xfId="12185"/>
    <cellStyle name="Vírgula 5 2 5 7" xfId="12186"/>
    <cellStyle name="Vírgula 5 2 5 8" xfId="12187"/>
    <cellStyle name="Vírgula 5 2 6" xfId="12188"/>
    <cellStyle name="Vírgula 5 2 7" xfId="12189"/>
    <cellStyle name="Vírgula 5 2 8" xfId="12190"/>
    <cellStyle name="Vírgula 5 2 9" xfId="12191"/>
    <cellStyle name="Vírgula 5 2_Base RF" xfId="15210"/>
    <cellStyle name="Vírgula 5 20" xfId="12192"/>
    <cellStyle name="Vírgula 5 21" xfId="12193"/>
    <cellStyle name="Vírgula 5 22" xfId="12194"/>
    <cellStyle name="Vírgula 5 23" xfId="13662"/>
    <cellStyle name="Vírgula 5 24" xfId="12065"/>
    <cellStyle name="Vírgula 5 25" xfId="15313"/>
    <cellStyle name="Vírgula 5 3" xfId="5320"/>
    <cellStyle name="Vírgula 5 3 2" xfId="12196"/>
    <cellStyle name="Vírgula 5 3 3" xfId="12197"/>
    <cellStyle name="Vírgula 5 3 4" xfId="12198"/>
    <cellStyle name="Vírgula 5 3 5" xfId="12199"/>
    <cellStyle name="Vírgula 5 3 6" xfId="12200"/>
    <cellStyle name="Vírgula 5 3 7" xfId="14841"/>
    <cellStyle name="Vírgula 5 3 8" xfId="12195"/>
    <cellStyle name="Vírgula 5 3_Base RF" xfId="15211"/>
    <cellStyle name="Vírgula 5 4" xfId="4991"/>
    <cellStyle name="Vírgula 5 4 2" xfId="12202"/>
    <cellStyle name="Vírgula 5 4 2 2" xfId="12203"/>
    <cellStyle name="Vírgula 5 4 2 3" xfId="12204"/>
    <cellStyle name="Vírgula 5 4 2 4" xfId="12205"/>
    <cellStyle name="Vírgula 5 4 2 5" xfId="12206"/>
    <cellStyle name="Vírgula 5 4 2 6" xfId="12207"/>
    <cellStyle name="Vírgula 5 4 3" xfId="12208"/>
    <cellStyle name="Vírgula 5 4 4" xfId="12209"/>
    <cellStyle name="Vírgula 5 4 5" xfId="12210"/>
    <cellStyle name="Vírgula 5 4 6" xfId="12211"/>
    <cellStyle name="Vírgula 5 4 7" xfId="12212"/>
    <cellStyle name="Vírgula 5 4 8" xfId="14777"/>
    <cellStyle name="Vírgula 5 4 9" xfId="12201"/>
    <cellStyle name="Vírgula 5 4_Base RF" xfId="15212"/>
    <cellStyle name="Vírgula 5 5" xfId="12213"/>
    <cellStyle name="Vírgula 5 5 2" xfId="12214"/>
    <cellStyle name="Vírgula 5 5 2 2" xfId="12215"/>
    <cellStyle name="Vírgula 5 5 2 2 2" xfId="12216"/>
    <cellStyle name="Vírgula 5 5 2 2 3" xfId="12217"/>
    <cellStyle name="Vírgula 5 5 2 2 4" xfId="12218"/>
    <cellStyle name="Vírgula 5 5 2 2 5" xfId="12219"/>
    <cellStyle name="Vírgula 5 5 2 2 6" xfId="12220"/>
    <cellStyle name="Vírgula 5 5 2 3" xfId="12221"/>
    <cellStyle name="Vírgula 5 5 2 4" xfId="12222"/>
    <cellStyle name="Vírgula 5 5 2 5" xfId="12223"/>
    <cellStyle name="Vírgula 5 5 2 6" xfId="12224"/>
    <cellStyle name="Vírgula 5 5 2 7" xfId="12225"/>
    <cellStyle name="Vírgula 5 5 3" xfId="12226"/>
    <cellStyle name="Vírgula 5 5 3 2" xfId="12227"/>
    <cellStyle name="Vírgula 5 5 3 3" xfId="12228"/>
    <cellStyle name="Vírgula 5 5 3 4" xfId="12229"/>
    <cellStyle name="Vírgula 5 5 3 5" xfId="12230"/>
    <cellStyle name="Vírgula 5 5 3 6" xfId="12231"/>
    <cellStyle name="Vírgula 5 5 4" xfId="12232"/>
    <cellStyle name="Vírgula 5 5 5" xfId="12233"/>
    <cellStyle name="Vírgula 5 5 6" xfId="12234"/>
    <cellStyle name="Vírgula 5 5 7" xfId="12235"/>
    <cellStyle name="Vírgula 5 5 8" xfId="12236"/>
    <cellStyle name="Vírgula 5 6" xfId="12237"/>
    <cellStyle name="Vírgula 5 6 10" xfId="12238"/>
    <cellStyle name="Vírgula 5 6 11" xfId="12239"/>
    <cellStyle name="Vírgula 5 6 12" xfId="12240"/>
    <cellStyle name="Vírgula 5 6 13" xfId="12241"/>
    <cellStyle name="Vírgula 5 6 2" xfId="12242"/>
    <cellStyle name="Vírgula 5 6 2 2" xfId="12243"/>
    <cellStyle name="Vírgula 5 6 2 3" xfId="12244"/>
    <cellStyle name="Vírgula 5 6 2 4" xfId="12245"/>
    <cellStyle name="Vírgula 5 6 2 5" xfId="12246"/>
    <cellStyle name="Vírgula 5 6 2 6" xfId="12247"/>
    <cellStyle name="Vírgula 5 6 3" xfId="12248"/>
    <cellStyle name="Vírgula 5 6 3 2" xfId="12249"/>
    <cellStyle name="Vírgula 5 6 3 2 2" xfId="12250"/>
    <cellStyle name="Vírgula 5 6 3 2 3" xfId="12251"/>
    <cellStyle name="Vírgula 5 6 3 2 4" xfId="12252"/>
    <cellStyle name="Vírgula 5 6 3 2 5" xfId="12253"/>
    <cellStyle name="Vírgula 5 6 3 2 6" xfId="12254"/>
    <cellStyle name="Vírgula 5 6 3 3" xfId="12255"/>
    <cellStyle name="Vírgula 5 6 3 4" xfId="12256"/>
    <cellStyle name="Vírgula 5 6 3 5" xfId="12257"/>
    <cellStyle name="Vírgula 5 6 3 6" xfId="12258"/>
    <cellStyle name="Vírgula 5 6 3 7" xfId="12259"/>
    <cellStyle name="Vírgula 5 6 4" xfId="12260"/>
    <cellStyle name="Vírgula 5 6 4 2" xfId="12261"/>
    <cellStyle name="Vírgula 5 6 4 2 2" xfId="12262"/>
    <cellStyle name="Vírgula 5 6 4 2 3" xfId="12263"/>
    <cellStyle name="Vírgula 5 6 4 2 4" xfId="12264"/>
    <cellStyle name="Vírgula 5 6 4 2 5" xfId="12265"/>
    <cellStyle name="Vírgula 5 6 4 2 6" xfId="12266"/>
    <cellStyle name="Vírgula 5 6 4 3" xfId="12267"/>
    <cellStyle name="Vírgula 5 6 4 4" xfId="12268"/>
    <cellStyle name="Vírgula 5 6 4 5" xfId="12269"/>
    <cellStyle name="Vírgula 5 6 4 6" xfId="12270"/>
    <cellStyle name="Vírgula 5 6 4 7" xfId="12271"/>
    <cellStyle name="Vírgula 5 6 5" xfId="12272"/>
    <cellStyle name="Vírgula 5 6 5 2" xfId="12273"/>
    <cellStyle name="Vírgula 5 6 5 3" xfId="12274"/>
    <cellStyle name="Vírgula 5 6 5 4" xfId="12275"/>
    <cellStyle name="Vírgula 5 6 5 5" xfId="12276"/>
    <cellStyle name="Vírgula 5 6 5 6" xfId="12277"/>
    <cellStyle name="Vírgula 5 6 6" xfId="12278"/>
    <cellStyle name="Vírgula 5 6 6 2" xfId="12279"/>
    <cellStyle name="Vírgula 5 6 6 3" xfId="12280"/>
    <cellStyle name="Vírgula 5 6 6 4" xfId="12281"/>
    <cellStyle name="Vírgula 5 6 6 5" xfId="12282"/>
    <cellStyle name="Vírgula 5 6 6 6" xfId="12283"/>
    <cellStyle name="Vírgula 5 6 7" xfId="12284"/>
    <cellStyle name="Vírgula 5 6 7 2" xfId="12285"/>
    <cellStyle name="Vírgula 5 6 7 2 2" xfId="12286"/>
    <cellStyle name="Vírgula 5 6 7 2 3" xfId="12287"/>
    <cellStyle name="Vírgula 5 6 7 2 4" xfId="12288"/>
    <cellStyle name="Vírgula 5 6 7 3" xfId="12289"/>
    <cellStyle name="Vírgula 5 6 7 4" xfId="12290"/>
    <cellStyle name="Vírgula 5 6 7 5" xfId="12291"/>
    <cellStyle name="Vírgula 5 6 8" xfId="12292"/>
    <cellStyle name="Vírgula 5 6 8 2" xfId="12293"/>
    <cellStyle name="Vírgula 5 6 8 2 2" xfId="12294"/>
    <cellStyle name="Vírgula 5 6 8 2 3" xfId="12295"/>
    <cellStyle name="Vírgula 5 6 8 2 4" xfId="12296"/>
    <cellStyle name="Vírgula 5 6 8 3" xfId="12297"/>
    <cellStyle name="Vírgula 5 6 8 4" xfId="12298"/>
    <cellStyle name="Vírgula 5 6 8 5" xfId="12299"/>
    <cellStyle name="Vírgula 5 6 9" xfId="12300"/>
    <cellStyle name="Vírgula 5 7" xfId="12301"/>
    <cellStyle name="Vírgula 5 7 2" xfId="12302"/>
    <cellStyle name="Vírgula 5 7 3" xfId="12303"/>
    <cellStyle name="Vírgula 5 7 4" xfId="12304"/>
    <cellStyle name="Vírgula 5 7 5" xfId="12305"/>
    <cellStyle name="Vírgula 5 7 6" xfId="12306"/>
    <cellStyle name="Vírgula 5 8" xfId="12307"/>
    <cellStyle name="Vírgula 5 8 2" xfId="12308"/>
    <cellStyle name="Vírgula 5 8 2 2" xfId="12309"/>
    <cellStyle name="Vírgula 5 8 2 3" xfId="12310"/>
    <cellStyle name="Vírgula 5 8 2 4" xfId="12311"/>
    <cellStyle name="Vírgula 5 8 2 5" xfId="12312"/>
    <cellStyle name="Vírgula 5 8 2 6" xfId="12313"/>
    <cellStyle name="Vírgula 5 8 3" xfId="12314"/>
    <cellStyle name="Vírgula 5 8 4" xfId="12315"/>
    <cellStyle name="Vírgula 5 8 5" xfId="12316"/>
    <cellStyle name="Vírgula 5 8 6" xfId="12317"/>
    <cellStyle name="Vírgula 5 8 7" xfId="12318"/>
    <cellStyle name="Vírgula 5 9" xfId="12319"/>
    <cellStyle name="Vírgula 5 9 2" xfId="12320"/>
    <cellStyle name="Vírgula 5 9 2 2" xfId="12321"/>
    <cellStyle name="Vírgula 5 9 2 3" xfId="12322"/>
    <cellStyle name="Vírgula 5 9 2 4" xfId="12323"/>
    <cellStyle name="Vírgula 5 9 2 5" xfId="12324"/>
    <cellStyle name="Vírgula 5 9 2 6" xfId="12325"/>
    <cellStyle name="Vírgula 5 9 3" xfId="12326"/>
    <cellStyle name="Vírgula 5 9 4" xfId="12327"/>
    <cellStyle name="Vírgula 5 9 5" xfId="12328"/>
    <cellStyle name="Vírgula 5 9 6" xfId="12329"/>
    <cellStyle name="Vírgula 5 9 7" xfId="12330"/>
    <cellStyle name="Vírgula 5_Base RF" xfId="5940"/>
    <cellStyle name="Vírgula 50" xfId="12331"/>
    <cellStyle name="Vírgula 51" xfId="12332"/>
    <cellStyle name="Vírgula 52" xfId="12333"/>
    <cellStyle name="Vírgula 53" xfId="12334"/>
    <cellStyle name="Vírgula 54" xfId="12335"/>
    <cellStyle name="Vírgula 55" xfId="12336"/>
    <cellStyle name="Vírgula 56" xfId="12337"/>
    <cellStyle name="Vírgula 57" xfId="12338"/>
    <cellStyle name="Vírgula 58" xfId="12339"/>
    <cellStyle name="Vírgula 59" xfId="12340"/>
    <cellStyle name="Vírgula 6" xfId="7285"/>
    <cellStyle name="Vírgula 6 2" xfId="12342"/>
    <cellStyle name="Vírgula 6 3" xfId="12343"/>
    <cellStyle name="Vírgula 6 4" xfId="12344"/>
    <cellStyle name="Vírgula 6 5" xfId="12345"/>
    <cellStyle name="Vírgula 6 6" xfId="12346"/>
    <cellStyle name="Vírgula 6 7" xfId="13796"/>
    <cellStyle name="Vírgula 6 8" xfId="12341"/>
    <cellStyle name="Vírgula 60" xfId="12347"/>
    <cellStyle name="Vírgula 61" xfId="12348"/>
    <cellStyle name="Vírgula 62" xfId="12349"/>
    <cellStyle name="Vírgula 63" xfId="13613"/>
    <cellStyle name="Vírgula 64" xfId="13645"/>
    <cellStyle name="Vírgula 65" xfId="13641"/>
    <cellStyle name="Vírgula 66" xfId="13591"/>
    <cellStyle name="Vírgula 67" xfId="7280"/>
    <cellStyle name="Vírgula 68" xfId="13855"/>
    <cellStyle name="Vírgula 68 2" xfId="14865"/>
    <cellStyle name="Vírgula 69" xfId="14869"/>
    <cellStyle name="Vírgula 69 2" xfId="14870"/>
    <cellStyle name="Vírgula 7" xfId="12350"/>
    <cellStyle name="Vírgula 7 10" xfId="12351"/>
    <cellStyle name="Vírgula 7 10 2" xfId="12352"/>
    <cellStyle name="Vírgula 7 10 2 2" xfId="12353"/>
    <cellStyle name="Vírgula 7 10 2 3" xfId="12354"/>
    <cellStyle name="Vírgula 7 10 2 4" xfId="12355"/>
    <cellStyle name="Vírgula 7 10 2 5" xfId="12356"/>
    <cellStyle name="Vírgula 7 10 2 6" xfId="12357"/>
    <cellStyle name="Vírgula 7 10 3" xfId="12358"/>
    <cellStyle name="Vírgula 7 10 4" xfId="12359"/>
    <cellStyle name="Vírgula 7 10 5" xfId="12360"/>
    <cellStyle name="Vírgula 7 10 6" xfId="12361"/>
    <cellStyle name="Vírgula 7 10 7" xfId="12362"/>
    <cellStyle name="Vírgula 7 11" xfId="12363"/>
    <cellStyle name="Vírgula 7 11 2" xfId="12364"/>
    <cellStyle name="Vírgula 7 11 3" xfId="12365"/>
    <cellStyle name="Vírgula 7 11 4" xfId="12366"/>
    <cellStyle name="Vírgula 7 11 5" xfId="12367"/>
    <cellStyle name="Vírgula 7 11 6" xfId="12368"/>
    <cellStyle name="Vírgula 7 12" xfId="12369"/>
    <cellStyle name="Vírgula 7 12 2" xfId="12370"/>
    <cellStyle name="Vírgula 7 12 2 2" xfId="12371"/>
    <cellStyle name="Vírgula 7 12 2 2 2" xfId="12372"/>
    <cellStyle name="Vírgula 7 12 2 2 3" xfId="12373"/>
    <cellStyle name="Vírgula 7 12 2 2 4" xfId="12374"/>
    <cellStyle name="Vírgula 7 12 2 3" xfId="12375"/>
    <cellStyle name="Vírgula 7 12 2 4" xfId="12376"/>
    <cellStyle name="Vírgula 7 12 2 5" xfId="12377"/>
    <cellStyle name="Vírgula 7 12 3" xfId="12378"/>
    <cellStyle name="Vírgula 7 12 3 2" xfId="12379"/>
    <cellStyle name="Vírgula 7 12 3 3" xfId="12380"/>
    <cellStyle name="Vírgula 7 12 3 4" xfId="12381"/>
    <cellStyle name="Vírgula 7 12 4" xfId="12382"/>
    <cellStyle name="Vírgula 7 12 5" xfId="12383"/>
    <cellStyle name="Vírgula 7 12 6" xfId="12384"/>
    <cellStyle name="Vírgula 7 12 7" xfId="12385"/>
    <cellStyle name="Vírgula 7 12 8" xfId="12386"/>
    <cellStyle name="Vírgula 7 13" xfId="12387"/>
    <cellStyle name="Vírgula 7 13 2" xfId="12388"/>
    <cellStyle name="Vírgula 7 13 2 2" xfId="12389"/>
    <cellStyle name="Vírgula 7 13 2 2 2" xfId="12390"/>
    <cellStyle name="Vírgula 7 13 2 2 3" xfId="12391"/>
    <cellStyle name="Vírgula 7 13 2 2 4" xfId="12392"/>
    <cellStyle name="Vírgula 7 13 2 3" xfId="12393"/>
    <cellStyle name="Vírgula 7 13 2 4" xfId="12394"/>
    <cellStyle name="Vírgula 7 13 2 5" xfId="12395"/>
    <cellStyle name="Vírgula 7 13 3" xfId="12396"/>
    <cellStyle name="Vírgula 7 13 3 2" xfId="12397"/>
    <cellStyle name="Vírgula 7 13 3 3" xfId="12398"/>
    <cellStyle name="Vírgula 7 13 3 4" xfId="12399"/>
    <cellStyle name="Vírgula 7 13 4" xfId="12400"/>
    <cellStyle name="Vírgula 7 13 5" xfId="12401"/>
    <cellStyle name="Vírgula 7 13 6" xfId="12402"/>
    <cellStyle name="Vírgula 7 13 7" xfId="12403"/>
    <cellStyle name="Vírgula 7 13 8" xfId="12404"/>
    <cellStyle name="Vírgula 7 14" xfId="12405"/>
    <cellStyle name="Vírgula 7 14 2" xfId="12406"/>
    <cellStyle name="Vírgula 7 14 2 2" xfId="12407"/>
    <cellStyle name="Vírgula 7 14 2 3" xfId="12408"/>
    <cellStyle name="Vírgula 7 14 2 4" xfId="12409"/>
    <cellStyle name="Vírgula 7 14 3" xfId="12410"/>
    <cellStyle name="Vírgula 7 14 4" xfId="12411"/>
    <cellStyle name="Vírgula 7 14 5" xfId="12412"/>
    <cellStyle name="Vírgula 7 15" xfId="12413"/>
    <cellStyle name="Vírgula 7 15 2" xfId="12414"/>
    <cellStyle name="Vírgula 7 15 3" xfId="12415"/>
    <cellStyle name="Vírgula 7 15 4" xfId="12416"/>
    <cellStyle name="Vírgula 7 16" xfId="12417"/>
    <cellStyle name="Vírgula 7 16 2" xfId="12418"/>
    <cellStyle name="Vírgula 7 17" xfId="12419"/>
    <cellStyle name="Vírgula 7 17 2" xfId="12420"/>
    <cellStyle name="Vírgula 7 18" xfId="12421"/>
    <cellStyle name="Vírgula 7 19" xfId="12422"/>
    <cellStyle name="Vírgula 7 2" xfId="12423"/>
    <cellStyle name="Vírgula 7 2 2" xfId="12424"/>
    <cellStyle name="Vírgula 7 2 2 2" xfId="12425"/>
    <cellStyle name="Vírgula 7 2 2 3" xfId="12426"/>
    <cellStyle name="Vírgula 7 2 2 4" xfId="12427"/>
    <cellStyle name="Vírgula 7 2 2 5" xfId="12428"/>
    <cellStyle name="Vírgula 7 2 2 6" xfId="12429"/>
    <cellStyle name="Vírgula 7 2 2 7" xfId="12430"/>
    <cellStyle name="Vírgula 7 2 3" xfId="12431"/>
    <cellStyle name="Vírgula 7 2 4" xfId="12432"/>
    <cellStyle name="Vírgula 7 2 5" xfId="12433"/>
    <cellStyle name="Vírgula 7 2 6" xfId="12434"/>
    <cellStyle name="Vírgula 7 2 7" xfId="12435"/>
    <cellStyle name="Vírgula 7 2 8" xfId="12436"/>
    <cellStyle name="Vírgula 7 20" xfId="12437"/>
    <cellStyle name="Vírgula 7 21" xfId="12438"/>
    <cellStyle name="Vírgula 7 22" xfId="12439"/>
    <cellStyle name="Vírgula 7 3" xfId="12440"/>
    <cellStyle name="Vírgula 7 3 2" xfId="12441"/>
    <cellStyle name="Vírgula 7 3 3" xfId="12442"/>
    <cellStyle name="Vírgula 7 3 4" xfId="12443"/>
    <cellStyle name="Vírgula 7 3 5" xfId="12444"/>
    <cellStyle name="Vírgula 7 3 6" xfId="12445"/>
    <cellStyle name="Vírgula 7 3 7" xfId="12446"/>
    <cellStyle name="Vírgula 7 4" xfId="12447"/>
    <cellStyle name="Vírgula 7 4 2" xfId="12448"/>
    <cellStyle name="Vírgula 7 4 2 2" xfId="12449"/>
    <cellStyle name="Vírgula 7 4 2 3" xfId="12450"/>
    <cellStyle name="Vírgula 7 4 2 4" xfId="12451"/>
    <cellStyle name="Vírgula 7 4 2 5" xfId="12452"/>
    <cellStyle name="Vírgula 7 4 2 6" xfId="12453"/>
    <cellStyle name="Vírgula 7 4 2 7" xfId="12454"/>
    <cellStyle name="Vírgula 7 4 3" xfId="12455"/>
    <cellStyle name="Vírgula 7 4 4" xfId="12456"/>
    <cellStyle name="Vírgula 7 4 5" xfId="12457"/>
    <cellStyle name="Vírgula 7 4 6" xfId="12458"/>
    <cellStyle name="Vírgula 7 4 7" xfId="12459"/>
    <cellStyle name="Vírgula 7 4 8" xfId="12460"/>
    <cellStyle name="Vírgula 7 5" xfId="12461"/>
    <cellStyle name="Vírgula 7 5 2" xfId="12462"/>
    <cellStyle name="Vírgula 7 5 2 2" xfId="12463"/>
    <cellStyle name="Vírgula 7 5 2 2 2" xfId="12464"/>
    <cellStyle name="Vírgula 7 5 2 2 3" xfId="12465"/>
    <cellStyle name="Vírgula 7 5 2 2 4" xfId="12466"/>
    <cellStyle name="Vírgula 7 5 2 2 5" xfId="12467"/>
    <cellStyle name="Vírgula 7 5 2 2 6" xfId="12468"/>
    <cellStyle name="Vírgula 7 5 2 2 7" xfId="12469"/>
    <cellStyle name="Vírgula 7 5 2 3" xfId="12470"/>
    <cellStyle name="Vírgula 7 5 2 4" xfId="12471"/>
    <cellStyle name="Vírgula 7 5 2 5" xfId="12472"/>
    <cellStyle name="Vírgula 7 5 2 6" xfId="12473"/>
    <cellStyle name="Vírgula 7 5 2 7" xfId="12474"/>
    <cellStyle name="Vírgula 7 5 2 8" xfId="12475"/>
    <cellStyle name="Vírgula 7 5 3" xfId="12476"/>
    <cellStyle name="Vírgula 7 5 3 2" xfId="12477"/>
    <cellStyle name="Vírgula 7 5 3 3" xfId="12478"/>
    <cellStyle name="Vírgula 7 5 3 4" xfId="12479"/>
    <cellStyle name="Vírgula 7 5 3 5" xfId="12480"/>
    <cellStyle name="Vírgula 7 5 3 6" xfId="12481"/>
    <cellStyle name="Vírgula 7 5 3 7" xfId="12482"/>
    <cellStyle name="Vírgula 7 5 4" xfId="12483"/>
    <cellStyle name="Vírgula 7 5 5" xfId="12484"/>
    <cellStyle name="Vírgula 7 5 6" xfId="12485"/>
    <cellStyle name="Vírgula 7 5 7" xfId="12486"/>
    <cellStyle name="Vírgula 7 5 8" xfId="12487"/>
    <cellStyle name="Vírgula 7 5 9" xfId="12488"/>
    <cellStyle name="Vírgula 7 6" xfId="12489"/>
    <cellStyle name="Vírgula 7 6 10" xfId="12490"/>
    <cellStyle name="Vírgula 7 6 11" xfId="12491"/>
    <cellStyle name="Vírgula 7 6 12" xfId="12492"/>
    <cellStyle name="Vírgula 7 6 13" xfId="12493"/>
    <cellStyle name="Vírgula 7 6 14" xfId="12494"/>
    <cellStyle name="Vírgula 7 6 2" xfId="12495"/>
    <cellStyle name="Vírgula 7 6 2 2" xfId="12496"/>
    <cellStyle name="Vírgula 7 6 2 3" xfId="12497"/>
    <cellStyle name="Vírgula 7 6 2 4" xfId="12498"/>
    <cellStyle name="Vírgula 7 6 2 5" xfId="12499"/>
    <cellStyle name="Vírgula 7 6 2 6" xfId="12500"/>
    <cellStyle name="Vírgula 7 6 2 7" xfId="12501"/>
    <cellStyle name="Vírgula 7 6 3" xfId="12502"/>
    <cellStyle name="Vírgula 7 6 3 2" xfId="12503"/>
    <cellStyle name="Vírgula 7 6 3 2 2" xfId="12504"/>
    <cellStyle name="Vírgula 7 6 3 2 3" xfId="12505"/>
    <cellStyle name="Vírgula 7 6 3 2 4" xfId="12506"/>
    <cellStyle name="Vírgula 7 6 3 2 5" xfId="12507"/>
    <cellStyle name="Vírgula 7 6 3 2 6" xfId="12508"/>
    <cellStyle name="Vírgula 7 6 3 2 7" xfId="12509"/>
    <cellStyle name="Vírgula 7 6 3 3" xfId="12510"/>
    <cellStyle name="Vírgula 7 6 3 4" xfId="12511"/>
    <cellStyle name="Vírgula 7 6 3 5" xfId="12512"/>
    <cellStyle name="Vírgula 7 6 3 6" xfId="12513"/>
    <cellStyle name="Vírgula 7 6 3 7" xfId="12514"/>
    <cellStyle name="Vírgula 7 6 3 8" xfId="12515"/>
    <cellStyle name="Vírgula 7 6 4" xfId="12516"/>
    <cellStyle name="Vírgula 7 6 4 2" xfId="12517"/>
    <cellStyle name="Vírgula 7 6 4 2 2" xfId="12518"/>
    <cellStyle name="Vírgula 7 6 4 2 3" xfId="12519"/>
    <cellStyle name="Vírgula 7 6 4 2 4" xfId="12520"/>
    <cellStyle name="Vírgula 7 6 4 2 5" xfId="12521"/>
    <cellStyle name="Vírgula 7 6 4 2 6" xfId="12522"/>
    <cellStyle name="Vírgula 7 6 4 2 7" xfId="12523"/>
    <cellStyle name="Vírgula 7 6 4 3" xfId="12524"/>
    <cellStyle name="Vírgula 7 6 4 4" xfId="12525"/>
    <cellStyle name="Vírgula 7 6 4 5" xfId="12526"/>
    <cellStyle name="Vírgula 7 6 4 6" xfId="12527"/>
    <cellStyle name="Vírgula 7 6 4 7" xfId="12528"/>
    <cellStyle name="Vírgula 7 6 4 8" xfId="12529"/>
    <cellStyle name="Vírgula 7 6 5" xfId="12530"/>
    <cellStyle name="Vírgula 7 6 5 2" xfId="12531"/>
    <cellStyle name="Vírgula 7 6 5 3" xfId="12532"/>
    <cellStyle name="Vírgula 7 6 5 4" xfId="12533"/>
    <cellStyle name="Vírgula 7 6 5 5" xfId="12534"/>
    <cellStyle name="Vírgula 7 6 5 6" xfId="12535"/>
    <cellStyle name="Vírgula 7 6 5 7" xfId="12536"/>
    <cellStyle name="Vírgula 7 6 6" xfId="12537"/>
    <cellStyle name="Vírgula 7 6 6 2" xfId="12538"/>
    <cellStyle name="Vírgula 7 6 6 3" xfId="12539"/>
    <cellStyle name="Vírgula 7 6 6 4" xfId="12540"/>
    <cellStyle name="Vírgula 7 6 6 5" xfId="12541"/>
    <cellStyle name="Vírgula 7 6 6 6" xfId="12542"/>
    <cellStyle name="Vírgula 7 6 6 7" xfId="12543"/>
    <cellStyle name="Vírgula 7 6 7" xfId="12544"/>
    <cellStyle name="Vírgula 7 6 7 2" xfId="12545"/>
    <cellStyle name="Vírgula 7 6 7 2 2" xfId="12546"/>
    <cellStyle name="Vírgula 7 6 7 2 3" xfId="12547"/>
    <cellStyle name="Vírgula 7 6 7 2 4" xfId="12548"/>
    <cellStyle name="Vírgula 7 6 7 2 5" xfId="12549"/>
    <cellStyle name="Vírgula 7 6 7 3" xfId="12550"/>
    <cellStyle name="Vírgula 7 6 7 4" xfId="12551"/>
    <cellStyle name="Vírgula 7 6 7 5" xfId="12552"/>
    <cellStyle name="Vírgula 7 6 7 6" xfId="12553"/>
    <cellStyle name="Vírgula 7 6 8" xfId="12554"/>
    <cellStyle name="Vírgula 7 6 8 2" xfId="12555"/>
    <cellStyle name="Vírgula 7 6 8 2 2" xfId="12556"/>
    <cellStyle name="Vírgula 7 6 8 2 3" xfId="12557"/>
    <cellStyle name="Vírgula 7 6 8 2 4" xfId="12558"/>
    <cellStyle name="Vírgula 7 6 8 2 5" xfId="12559"/>
    <cellStyle name="Vírgula 7 6 8 3" xfId="12560"/>
    <cellStyle name="Vírgula 7 6 8 4" xfId="12561"/>
    <cellStyle name="Vírgula 7 6 8 5" xfId="12562"/>
    <cellStyle name="Vírgula 7 6 8 6" xfId="12563"/>
    <cellStyle name="Vírgula 7 6 9" xfId="12564"/>
    <cellStyle name="Vírgula 7 7" xfId="12565"/>
    <cellStyle name="Vírgula 7 7 2" xfId="12566"/>
    <cellStyle name="Vírgula 7 7 3" xfId="12567"/>
    <cellStyle name="Vírgula 7 7 4" xfId="12568"/>
    <cellStyle name="Vírgula 7 7 5" xfId="12569"/>
    <cellStyle name="Vírgula 7 7 6" xfId="12570"/>
    <cellStyle name="Vírgula 7 7 7" xfId="12571"/>
    <cellStyle name="Vírgula 7 8" xfId="12572"/>
    <cellStyle name="Vírgula 7 8 2" xfId="12573"/>
    <cellStyle name="Vírgula 7 8 2 2" xfId="12574"/>
    <cellStyle name="Vírgula 7 8 2 3" xfId="12575"/>
    <cellStyle name="Vírgula 7 8 2 4" xfId="12576"/>
    <cellStyle name="Vírgula 7 8 2 5" xfId="12577"/>
    <cellStyle name="Vírgula 7 8 2 6" xfId="12578"/>
    <cellStyle name="Vírgula 7 8 2 7" xfId="12579"/>
    <cellStyle name="Vírgula 7 8 3" xfId="12580"/>
    <cellStyle name="Vírgula 7 8 4" xfId="12581"/>
    <cellStyle name="Vírgula 7 8 5" xfId="12582"/>
    <cellStyle name="Vírgula 7 8 6" xfId="12583"/>
    <cellStyle name="Vírgula 7 8 7" xfId="12584"/>
    <cellStyle name="Vírgula 7 8 8" xfId="12585"/>
    <cellStyle name="Vírgula 7 9" xfId="12586"/>
    <cellStyle name="Vírgula 7 9 2" xfId="12587"/>
    <cellStyle name="Vírgula 7 9 2 2" xfId="12588"/>
    <cellStyle name="Vírgula 7 9 2 3" xfId="12589"/>
    <cellStyle name="Vírgula 7 9 2 4" xfId="12590"/>
    <cellStyle name="Vírgula 7 9 2 5" xfId="12591"/>
    <cellStyle name="Vírgula 7 9 2 6" xfId="12592"/>
    <cellStyle name="Vírgula 7 9 2 7" xfId="12593"/>
    <cellStyle name="Vírgula 7 9 3" xfId="12594"/>
    <cellStyle name="Vírgula 7 9 4" xfId="12595"/>
    <cellStyle name="Vírgula 7 9 5" xfId="12596"/>
    <cellStyle name="Vírgula 7 9 6" xfId="12597"/>
    <cellStyle name="Vírgula 7 9 7" xfId="12598"/>
    <cellStyle name="Vírgula 7 9 8" xfId="12599"/>
    <cellStyle name="Vírgula 70" xfId="45"/>
    <cellStyle name="Vírgula 71" xfId="51"/>
    <cellStyle name="Vírgula 72" xfId="16469"/>
    <cellStyle name="Vírgula 73" xfId="16465"/>
    <cellStyle name="Vírgula 74" xfId="16467"/>
    <cellStyle name="Vírgula 75" xfId="16471"/>
    <cellStyle name="Vírgula 76" xfId="16470"/>
    <cellStyle name="Vírgula 77" xfId="16462"/>
    <cellStyle name="Vírgula 78" xfId="16463"/>
    <cellStyle name="Vírgula 79" xfId="16466"/>
    <cellStyle name="Vírgula 8" xfId="12600"/>
    <cellStyle name="Vírgula 8 10" xfId="12601"/>
    <cellStyle name="Vírgula 8 10 2" xfId="12602"/>
    <cellStyle name="Vírgula 8 10 2 2" xfId="12603"/>
    <cellStyle name="Vírgula 8 10 2 2 2" xfId="12604"/>
    <cellStyle name="Vírgula 8 10 2 2 3" xfId="12605"/>
    <cellStyle name="Vírgula 8 10 2 2 4" xfId="12606"/>
    <cellStyle name="Vírgula 8 10 2 2 5" xfId="12607"/>
    <cellStyle name="Vírgula 8 10 2 3" xfId="12608"/>
    <cellStyle name="Vírgula 8 10 2 4" xfId="12609"/>
    <cellStyle name="Vírgula 8 10 2 5" xfId="12610"/>
    <cellStyle name="Vírgula 8 10 2 6" xfId="12611"/>
    <cellStyle name="Vírgula 8 10 3" xfId="12612"/>
    <cellStyle name="Vírgula 8 10 3 2" xfId="12613"/>
    <cellStyle name="Vírgula 8 10 3 3" xfId="12614"/>
    <cellStyle name="Vírgula 8 10 3 4" xfId="12615"/>
    <cellStyle name="Vírgula 8 10 3 5" xfId="12616"/>
    <cellStyle name="Vírgula 8 10 4" xfId="12617"/>
    <cellStyle name="Vírgula 8 10 5" xfId="12618"/>
    <cellStyle name="Vírgula 8 10 6" xfId="12619"/>
    <cellStyle name="Vírgula 8 10 7" xfId="12620"/>
    <cellStyle name="Vírgula 8 11" xfId="12621"/>
    <cellStyle name="Vírgula 8 11 2" xfId="12622"/>
    <cellStyle name="Vírgula 8 11 2 2" xfId="12623"/>
    <cellStyle name="Vírgula 8 11 2 3" xfId="12624"/>
    <cellStyle name="Vírgula 8 11 2 4" xfId="12625"/>
    <cellStyle name="Vírgula 8 11 2 5" xfId="12626"/>
    <cellStyle name="Vírgula 8 11 3" xfId="12627"/>
    <cellStyle name="Vírgula 8 11 4" xfId="12628"/>
    <cellStyle name="Vírgula 8 11 5" xfId="12629"/>
    <cellStyle name="Vírgula 8 11 6" xfId="12630"/>
    <cellStyle name="Vírgula 8 12" xfId="12631"/>
    <cellStyle name="Vírgula 8 12 2" xfId="12632"/>
    <cellStyle name="Vírgula 8 12 3" xfId="12633"/>
    <cellStyle name="Vírgula 8 12 4" xfId="12634"/>
    <cellStyle name="Vírgula 8 12 5" xfId="12635"/>
    <cellStyle name="Vírgula 8 13" xfId="12636"/>
    <cellStyle name="Vírgula 8 13 2" xfId="12637"/>
    <cellStyle name="Vírgula 8 13 3" xfId="12638"/>
    <cellStyle name="Vírgula 8 13 4" xfId="12639"/>
    <cellStyle name="Vírgula 8 14" xfId="12640"/>
    <cellStyle name="Vírgula 8 15" xfId="12641"/>
    <cellStyle name="Vírgula 8 16" xfId="12642"/>
    <cellStyle name="Vírgula 8 17" xfId="12643"/>
    <cellStyle name="Vírgula 8 18" xfId="12644"/>
    <cellStyle name="Vírgula 8 19" xfId="12645"/>
    <cellStyle name="Vírgula 8 2" xfId="12646"/>
    <cellStyle name="Vírgula 8 2 2" xfId="12647"/>
    <cellStyle name="Vírgula 8 2 2 2" xfId="12648"/>
    <cellStyle name="Vírgula 8 2 2 2 2" xfId="12649"/>
    <cellStyle name="Vírgula 8 2 2 2 3" xfId="12650"/>
    <cellStyle name="Vírgula 8 2 2 2 4" xfId="12651"/>
    <cellStyle name="Vírgula 8 2 2 2 5" xfId="12652"/>
    <cellStyle name="Vírgula 8 2 2 3" xfId="12653"/>
    <cellStyle name="Vírgula 8 2 2 4" xfId="12654"/>
    <cellStyle name="Vírgula 8 2 2 5" xfId="12655"/>
    <cellStyle name="Vírgula 8 2 2 6" xfId="12656"/>
    <cellStyle name="Vírgula 8 2 2 7" xfId="12657"/>
    <cellStyle name="Vírgula 8 2 2 8" xfId="12658"/>
    <cellStyle name="Vírgula 8 2 3" xfId="12659"/>
    <cellStyle name="Vírgula 8 2 3 2" xfId="12660"/>
    <cellStyle name="Vírgula 8 2 3 3" xfId="12661"/>
    <cellStyle name="Vírgula 8 2 3 4" xfId="12662"/>
    <cellStyle name="Vírgula 8 2 3 5" xfId="12663"/>
    <cellStyle name="Vírgula 8 2 3 6" xfId="12664"/>
    <cellStyle name="Vírgula 8 2 4" xfId="12665"/>
    <cellStyle name="Vírgula 8 2 5" xfId="12666"/>
    <cellStyle name="Vírgula 8 2 6" xfId="12667"/>
    <cellStyle name="Vírgula 8 2 7" xfId="12668"/>
    <cellStyle name="Vírgula 8 2 8" xfId="12669"/>
    <cellStyle name="Vírgula 8 2 9" xfId="12670"/>
    <cellStyle name="Vírgula 8 20" xfId="12671"/>
    <cellStyle name="Vírgula 8 21" xfId="12672"/>
    <cellStyle name="Vírgula 8 3" xfId="12673"/>
    <cellStyle name="Vírgula 8 3 10" xfId="12674"/>
    <cellStyle name="Vírgula 8 3 2" xfId="12675"/>
    <cellStyle name="Vírgula 8 3 2 2" xfId="12676"/>
    <cellStyle name="Vírgula 8 3 2 2 2" xfId="12677"/>
    <cellStyle name="Vírgula 8 3 2 2 3" xfId="12678"/>
    <cellStyle name="Vírgula 8 3 2 2 4" xfId="12679"/>
    <cellStyle name="Vírgula 8 3 2 2 5" xfId="12680"/>
    <cellStyle name="Vírgula 8 3 2 2 6" xfId="12681"/>
    <cellStyle name="Vírgula 8 3 2 3" xfId="12682"/>
    <cellStyle name="Vírgula 8 3 2 4" xfId="12683"/>
    <cellStyle name="Vírgula 8 3 2 5" xfId="12684"/>
    <cellStyle name="Vírgula 8 3 2 6" xfId="12685"/>
    <cellStyle name="Vírgula 8 3 2 7" xfId="12686"/>
    <cellStyle name="Vírgula 8 3 2 8" xfId="12687"/>
    <cellStyle name="Vírgula 8 3 2 9" xfId="12688"/>
    <cellStyle name="Vírgula 8 3 3" xfId="12689"/>
    <cellStyle name="Vírgula 8 3 3 2" xfId="12690"/>
    <cellStyle name="Vírgula 8 3 3 3" xfId="12691"/>
    <cellStyle name="Vírgula 8 3 3 4" xfId="12692"/>
    <cellStyle name="Vírgula 8 3 3 5" xfId="12693"/>
    <cellStyle name="Vírgula 8 3 3 6" xfId="12694"/>
    <cellStyle name="Vírgula 8 3 4" xfId="12695"/>
    <cellStyle name="Vírgula 8 3 5" xfId="12696"/>
    <cellStyle name="Vírgula 8 3 6" xfId="12697"/>
    <cellStyle name="Vírgula 8 3 7" xfId="12698"/>
    <cellStyle name="Vírgula 8 3 8" xfId="12699"/>
    <cellStyle name="Vírgula 8 3 9" xfId="12700"/>
    <cellStyle name="Vírgula 8 4" xfId="12701"/>
    <cellStyle name="Vírgula 8 4 10" xfId="12702"/>
    <cellStyle name="Vírgula 8 4 11" xfId="12703"/>
    <cellStyle name="Vírgula 8 4 2" xfId="12704"/>
    <cellStyle name="Vírgula 8 4 2 10" xfId="12705"/>
    <cellStyle name="Vírgula 8 4 2 2" xfId="12706"/>
    <cellStyle name="Vírgula 8 4 2 2 2" xfId="12707"/>
    <cellStyle name="Vírgula 8 4 2 2 2 2" xfId="12708"/>
    <cellStyle name="Vírgula 8 4 2 2 2 3" xfId="12709"/>
    <cellStyle name="Vírgula 8 4 2 2 2 4" xfId="12710"/>
    <cellStyle name="Vírgula 8 4 2 2 2 5" xfId="12711"/>
    <cellStyle name="Vírgula 8 4 2 2 2 6" xfId="12712"/>
    <cellStyle name="Vírgula 8 4 2 2 3" xfId="12713"/>
    <cellStyle name="Vírgula 8 4 2 2 4" xfId="12714"/>
    <cellStyle name="Vírgula 8 4 2 2 5" xfId="12715"/>
    <cellStyle name="Vírgula 8 4 2 2 6" xfId="12716"/>
    <cellStyle name="Vírgula 8 4 2 2 7" xfId="12717"/>
    <cellStyle name="Vírgula 8 4 2 2 8" xfId="12718"/>
    <cellStyle name="Vírgula 8 4 2 2 9" xfId="12719"/>
    <cellStyle name="Vírgula 8 4 2 3" xfId="12720"/>
    <cellStyle name="Vírgula 8 4 2 3 2" xfId="12721"/>
    <cellStyle name="Vírgula 8 4 2 3 3" xfId="12722"/>
    <cellStyle name="Vírgula 8 4 2 3 4" xfId="12723"/>
    <cellStyle name="Vírgula 8 4 2 3 5" xfId="12724"/>
    <cellStyle name="Vírgula 8 4 2 3 6" xfId="12725"/>
    <cellStyle name="Vírgula 8 4 2 4" xfId="12726"/>
    <cellStyle name="Vírgula 8 4 2 5" xfId="12727"/>
    <cellStyle name="Vírgula 8 4 2 6" xfId="12728"/>
    <cellStyle name="Vírgula 8 4 2 7" xfId="12729"/>
    <cellStyle name="Vírgula 8 4 2 8" xfId="12730"/>
    <cellStyle name="Vírgula 8 4 2 9" xfId="12731"/>
    <cellStyle name="Vírgula 8 4 3" xfId="12732"/>
    <cellStyle name="Vírgula 8 4 3 2" xfId="12733"/>
    <cellStyle name="Vírgula 8 4 3 2 2" xfId="12734"/>
    <cellStyle name="Vírgula 8 4 3 2 3" xfId="12735"/>
    <cellStyle name="Vírgula 8 4 3 2 4" xfId="12736"/>
    <cellStyle name="Vírgula 8 4 3 2 5" xfId="12737"/>
    <cellStyle name="Vírgula 8 4 3 2 6" xfId="12738"/>
    <cellStyle name="Vírgula 8 4 3 3" xfId="12739"/>
    <cellStyle name="Vírgula 8 4 3 4" xfId="12740"/>
    <cellStyle name="Vírgula 8 4 3 5" xfId="12741"/>
    <cellStyle name="Vírgula 8 4 3 6" xfId="12742"/>
    <cellStyle name="Vírgula 8 4 3 7" xfId="12743"/>
    <cellStyle name="Vírgula 8 4 3 8" xfId="12744"/>
    <cellStyle name="Vírgula 8 4 3 9" xfId="12745"/>
    <cellStyle name="Vírgula 8 4 4" xfId="12746"/>
    <cellStyle name="Vírgula 8 4 4 2" xfId="12747"/>
    <cellStyle name="Vírgula 8 4 4 3" xfId="12748"/>
    <cellStyle name="Vírgula 8 4 4 4" xfId="12749"/>
    <cellStyle name="Vírgula 8 4 4 5" xfId="12750"/>
    <cellStyle name="Vírgula 8 4 4 6" xfId="12751"/>
    <cellStyle name="Vírgula 8 4 5" xfId="12752"/>
    <cellStyle name="Vírgula 8 4 6" xfId="12753"/>
    <cellStyle name="Vírgula 8 4 7" xfId="12754"/>
    <cellStyle name="Vírgula 8 4 8" xfId="12755"/>
    <cellStyle name="Vírgula 8 4 9" xfId="12756"/>
    <cellStyle name="Vírgula 8 5" xfId="12757"/>
    <cellStyle name="Vírgula 8 5 10" xfId="12758"/>
    <cellStyle name="Vírgula 8 5 11" xfId="12759"/>
    <cellStyle name="Vírgula 8 5 12" xfId="12760"/>
    <cellStyle name="Vírgula 8 5 13" xfId="12761"/>
    <cellStyle name="Vírgula 8 5 14" xfId="12762"/>
    <cellStyle name="Vírgula 8 5 15" xfId="12763"/>
    <cellStyle name="Vírgula 8 5 16" xfId="12764"/>
    <cellStyle name="Vírgula 8 5 2" xfId="12765"/>
    <cellStyle name="Vírgula 8 5 2 2" xfId="12766"/>
    <cellStyle name="Vírgula 8 5 2 2 2" xfId="12767"/>
    <cellStyle name="Vírgula 8 5 2 2 3" xfId="12768"/>
    <cellStyle name="Vírgula 8 5 2 2 4" xfId="12769"/>
    <cellStyle name="Vírgula 8 5 2 2 5" xfId="12770"/>
    <cellStyle name="Vírgula 8 5 2 2 6" xfId="12771"/>
    <cellStyle name="Vírgula 8 5 2 3" xfId="12772"/>
    <cellStyle name="Vírgula 8 5 2 4" xfId="12773"/>
    <cellStyle name="Vírgula 8 5 2 5" xfId="12774"/>
    <cellStyle name="Vírgula 8 5 2 6" xfId="12775"/>
    <cellStyle name="Vírgula 8 5 2 7" xfId="12776"/>
    <cellStyle name="Vírgula 8 5 2 8" xfId="12777"/>
    <cellStyle name="Vírgula 8 5 2 9" xfId="12778"/>
    <cellStyle name="Vírgula 8 5 3" xfId="12779"/>
    <cellStyle name="Vírgula 8 5 3 10" xfId="12780"/>
    <cellStyle name="Vírgula 8 5 3 2" xfId="12781"/>
    <cellStyle name="Vírgula 8 5 3 2 2" xfId="12782"/>
    <cellStyle name="Vírgula 8 5 3 2 2 2" xfId="12783"/>
    <cellStyle name="Vírgula 8 5 3 2 2 3" xfId="12784"/>
    <cellStyle name="Vírgula 8 5 3 2 2 4" xfId="12785"/>
    <cellStyle name="Vírgula 8 5 3 2 2 5" xfId="12786"/>
    <cellStyle name="Vírgula 8 5 3 2 2 6" xfId="12787"/>
    <cellStyle name="Vírgula 8 5 3 2 3" xfId="12788"/>
    <cellStyle name="Vírgula 8 5 3 2 4" xfId="12789"/>
    <cellStyle name="Vírgula 8 5 3 2 5" xfId="12790"/>
    <cellStyle name="Vírgula 8 5 3 2 6" xfId="12791"/>
    <cellStyle name="Vírgula 8 5 3 2 7" xfId="12792"/>
    <cellStyle name="Vírgula 8 5 3 2 8" xfId="12793"/>
    <cellStyle name="Vírgula 8 5 3 2 9" xfId="12794"/>
    <cellStyle name="Vírgula 8 5 3 3" xfId="12795"/>
    <cellStyle name="Vírgula 8 5 3 3 2" xfId="12796"/>
    <cellStyle name="Vírgula 8 5 3 3 3" xfId="12797"/>
    <cellStyle name="Vírgula 8 5 3 3 4" xfId="12798"/>
    <cellStyle name="Vírgula 8 5 3 3 5" xfId="12799"/>
    <cellStyle name="Vírgula 8 5 3 3 6" xfId="12800"/>
    <cellStyle name="Vírgula 8 5 3 4" xfId="12801"/>
    <cellStyle name="Vírgula 8 5 3 5" xfId="12802"/>
    <cellStyle name="Vírgula 8 5 3 6" xfId="12803"/>
    <cellStyle name="Vírgula 8 5 3 7" xfId="12804"/>
    <cellStyle name="Vírgula 8 5 3 8" xfId="12805"/>
    <cellStyle name="Vírgula 8 5 3 9" xfId="12806"/>
    <cellStyle name="Vírgula 8 5 4" xfId="12807"/>
    <cellStyle name="Vírgula 8 5 4 10" xfId="12808"/>
    <cellStyle name="Vírgula 8 5 4 2" xfId="12809"/>
    <cellStyle name="Vírgula 8 5 4 2 2" xfId="12810"/>
    <cellStyle name="Vírgula 8 5 4 2 2 2" xfId="12811"/>
    <cellStyle name="Vírgula 8 5 4 2 2 3" xfId="12812"/>
    <cellStyle name="Vírgula 8 5 4 2 2 4" xfId="12813"/>
    <cellStyle name="Vírgula 8 5 4 2 2 5" xfId="12814"/>
    <cellStyle name="Vírgula 8 5 4 2 2 6" xfId="12815"/>
    <cellStyle name="Vírgula 8 5 4 2 3" xfId="12816"/>
    <cellStyle name="Vírgula 8 5 4 2 4" xfId="12817"/>
    <cellStyle name="Vírgula 8 5 4 2 5" xfId="12818"/>
    <cellStyle name="Vírgula 8 5 4 2 6" xfId="12819"/>
    <cellStyle name="Vírgula 8 5 4 2 7" xfId="12820"/>
    <cellStyle name="Vírgula 8 5 4 2 8" xfId="12821"/>
    <cellStyle name="Vírgula 8 5 4 2 9" xfId="12822"/>
    <cellStyle name="Vírgula 8 5 4 3" xfId="12823"/>
    <cellStyle name="Vírgula 8 5 4 3 2" xfId="12824"/>
    <cellStyle name="Vírgula 8 5 4 3 3" xfId="12825"/>
    <cellStyle name="Vírgula 8 5 4 3 4" xfId="12826"/>
    <cellStyle name="Vírgula 8 5 4 3 5" xfId="12827"/>
    <cellStyle name="Vírgula 8 5 4 3 6" xfId="12828"/>
    <cellStyle name="Vírgula 8 5 4 4" xfId="12829"/>
    <cellStyle name="Vírgula 8 5 4 5" xfId="12830"/>
    <cellStyle name="Vírgula 8 5 4 6" xfId="12831"/>
    <cellStyle name="Vírgula 8 5 4 7" xfId="12832"/>
    <cellStyle name="Vírgula 8 5 4 8" xfId="12833"/>
    <cellStyle name="Vírgula 8 5 4 9" xfId="12834"/>
    <cellStyle name="Vírgula 8 5 5" xfId="12835"/>
    <cellStyle name="Vírgula 8 5 5 2" xfId="12836"/>
    <cellStyle name="Vírgula 8 5 5 2 2" xfId="12837"/>
    <cellStyle name="Vírgula 8 5 5 2 3" xfId="12838"/>
    <cellStyle name="Vírgula 8 5 5 2 4" xfId="12839"/>
    <cellStyle name="Vírgula 8 5 5 2 5" xfId="12840"/>
    <cellStyle name="Vírgula 8 5 5 2 6" xfId="12841"/>
    <cellStyle name="Vírgula 8 5 5 3" xfId="12842"/>
    <cellStyle name="Vírgula 8 5 5 4" xfId="12843"/>
    <cellStyle name="Vírgula 8 5 5 5" xfId="12844"/>
    <cellStyle name="Vírgula 8 5 5 6" xfId="12845"/>
    <cellStyle name="Vírgula 8 5 5 7" xfId="12846"/>
    <cellStyle name="Vírgula 8 5 5 8" xfId="12847"/>
    <cellStyle name="Vírgula 8 5 5 9" xfId="12848"/>
    <cellStyle name="Vírgula 8 5 6" xfId="12849"/>
    <cellStyle name="Vírgula 8 5 6 2" xfId="12850"/>
    <cellStyle name="Vírgula 8 5 6 2 2" xfId="12851"/>
    <cellStyle name="Vírgula 8 5 6 2 3" xfId="12852"/>
    <cellStyle name="Vírgula 8 5 6 2 4" xfId="12853"/>
    <cellStyle name="Vírgula 8 5 6 2 5" xfId="12854"/>
    <cellStyle name="Vírgula 8 5 6 2 6" xfId="12855"/>
    <cellStyle name="Vírgula 8 5 6 3" xfId="12856"/>
    <cellStyle name="Vírgula 8 5 6 4" xfId="12857"/>
    <cellStyle name="Vírgula 8 5 6 5" xfId="12858"/>
    <cellStyle name="Vírgula 8 5 6 6" xfId="12859"/>
    <cellStyle name="Vírgula 8 5 6 7" xfId="12860"/>
    <cellStyle name="Vírgula 8 5 6 8" xfId="12861"/>
    <cellStyle name="Vírgula 8 5 6 9" xfId="12862"/>
    <cellStyle name="Vírgula 8 5 7" xfId="12863"/>
    <cellStyle name="Vírgula 8 5 7 2" xfId="12864"/>
    <cellStyle name="Vírgula 8 5 7 2 2" xfId="12865"/>
    <cellStyle name="Vírgula 8 5 7 2 2 2" xfId="12866"/>
    <cellStyle name="Vírgula 8 5 7 2 2 3" xfId="12867"/>
    <cellStyle name="Vírgula 8 5 7 2 2 4" xfId="12868"/>
    <cellStyle name="Vírgula 8 5 7 2 2 5" xfId="12869"/>
    <cellStyle name="Vírgula 8 5 7 2 2 6" xfId="12870"/>
    <cellStyle name="Vírgula 8 5 7 2 3" xfId="12871"/>
    <cellStyle name="Vírgula 8 5 7 2 4" xfId="12872"/>
    <cellStyle name="Vírgula 8 5 7 2 5" xfId="12873"/>
    <cellStyle name="Vírgula 8 5 7 2 6" xfId="12874"/>
    <cellStyle name="Vírgula 8 5 7 2 7" xfId="12875"/>
    <cellStyle name="Vírgula 8 5 7 3" xfId="12876"/>
    <cellStyle name="Vírgula 8 5 7 3 2" xfId="12877"/>
    <cellStyle name="Vírgula 8 5 7 3 3" xfId="12878"/>
    <cellStyle name="Vírgula 8 5 7 3 4" xfId="12879"/>
    <cellStyle name="Vírgula 8 5 7 3 5" xfId="12880"/>
    <cellStyle name="Vírgula 8 5 7 3 6" xfId="12881"/>
    <cellStyle name="Vírgula 8 5 7 4" xfId="12882"/>
    <cellStyle name="Vírgula 8 5 7 5" xfId="12883"/>
    <cellStyle name="Vírgula 8 5 7 6" xfId="12884"/>
    <cellStyle name="Vírgula 8 5 7 7" xfId="12885"/>
    <cellStyle name="Vírgula 8 5 7 8" xfId="12886"/>
    <cellStyle name="Vírgula 8 5 8" xfId="12887"/>
    <cellStyle name="Vírgula 8 5 8 2" xfId="12888"/>
    <cellStyle name="Vírgula 8 5 8 2 2" xfId="12889"/>
    <cellStyle name="Vírgula 8 5 8 2 3" xfId="12890"/>
    <cellStyle name="Vírgula 8 5 8 2 4" xfId="12891"/>
    <cellStyle name="Vírgula 8 5 8 2 5" xfId="12892"/>
    <cellStyle name="Vírgula 8 5 8 2 6" xfId="12893"/>
    <cellStyle name="Vírgula 8 5 8 3" xfId="12894"/>
    <cellStyle name="Vírgula 8 5 8 4" xfId="12895"/>
    <cellStyle name="Vírgula 8 5 8 5" xfId="12896"/>
    <cellStyle name="Vírgula 8 5 8 6" xfId="12897"/>
    <cellStyle name="Vírgula 8 5 8 7" xfId="12898"/>
    <cellStyle name="Vírgula 8 5 9" xfId="12899"/>
    <cellStyle name="Vírgula 8 5 9 2" xfId="12900"/>
    <cellStyle name="Vírgula 8 5 9 3" xfId="12901"/>
    <cellStyle name="Vírgula 8 5 9 4" xfId="12902"/>
    <cellStyle name="Vírgula 8 5 9 5" xfId="12903"/>
    <cellStyle name="Vírgula 8 5 9 6" xfId="12904"/>
    <cellStyle name="Vírgula 8 6" xfId="12905"/>
    <cellStyle name="Vírgula 8 6 2" xfId="12906"/>
    <cellStyle name="Vírgula 8 6 2 2" xfId="12907"/>
    <cellStyle name="Vírgula 8 6 2 3" xfId="12908"/>
    <cellStyle name="Vírgula 8 6 2 4" xfId="12909"/>
    <cellStyle name="Vírgula 8 6 2 5" xfId="12910"/>
    <cellStyle name="Vírgula 8 6 2 6" xfId="12911"/>
    <cellStyle name="Vírgula 8 6 3" xfId="12912"/>
    <cellStyle name="Vírgula 8 6 4" xfId="12913"/>
    <cellStyle name="Vírgula 8 6 5" xfId="12914"/>
    <cellStyle name="Vírgula 8 6 6" xfId="12915"/>
    <cellStyle name="Vírgula 8 6 7" xfId="12916"/>
    <cellStyle name="Vírgula 8 6 8" xfId="12917"/>
    <cellStyle name="Vírgula 8 6 9" xfId="12918"/>
    <cellStyle name="Vírgula 8 7" xfId="12919"/>
    <cellStyle name="Vírgula 8 7 10" xfId="12920"/>
    <cellStyle name="Vírgula 8 7 2" xfId="12921"/>
    <cellStyle name="Vírgula 8 7 2 2" xfId="12922"/>
    <cellStyle name="Vírgula 8 7 2 2 2" xfId="12923"/>
    <cellStyle name="Vírgula 8 7 2 2 3" xfId="12924"/>
    <cellStyle name="Vírgula 8 7 2 2 4" xfId="12925"/>
    <cellStyle name="Vírgula 8 7 2 2 5" xfId="12926"/>
    <cellStyle name="Vírgula 8 7 2 2 6" xfId="12927"/>
    <cellStyle name="Vírgula 8 7 2 3" xfId="12928"/>
    <cellStyle name="Vírgula 8 7 2 4" xfId="12929"/>
    <cellStyle name="Vírgula 8 7 2 5" xfId="12930"/>
    <cellStyle name="Vírgula 8 7 2 6" xfId="12931"/>
    <cellStyle name="Vírgula 8 7 2 7" xfId="12932"/>
    <cellStyle name="Vírgula 8 7 2 8" xfId="12933"/>
    <cellStyle name="Vírgula 8 7 2 9" xfId="12934"/>
    <cellStyle name="Vírgula 8 7 3" xfId="12935"/>
    <cellStyle name="Vírgula 8 7 3 2" xfId="12936"/>
    <cellStyle name="Vírgula 8 7 3 3" xfId="12937"/>
    <cellStyle name="Vírgula 8 7 3 4" xfId="12938"/>
    <cellStyle name="Vírgula 8 7 3 5" xfId="12939"/>
    <cellStyle name="Vírgula 8 7 3 6" xfId="12940"/>
    <cellStyle name="Vírgula 8 7 4" xfId="12941"/>
    <cellStyle name="Vírgula 8 7 5" xfId="12942"/>
    <cellStyle name="Vírgula 8 7 6" xfId="12943"/>
    <cellStyle name="Vírgula 8 7 7" xfId="12944"/>
    <cellStyle name="Vírgula 8 7 8" xfId="12945"/>
    <cellStyle name="Vírgula 8 7 9" xfId="12946"/>
    <cellStyle name="Vírgula 8 8" xfId="12947"/>
    <cellStyle name="Vírgula 8 8 10" xfId="12948"/>
    <cellStyle name="Vírgula 8 8 2" xfId="12949"/>
    <cellStyle name="Vírgula 8 8 2 2" xfId="12950"/>
    <cellStyle name="Vírgula 8 8 2 2 2" xfId="12951"/>
    <cellStyle name="Vírgula 8 8 2 2 3" xfId="12952"/>
    <cellStyle name="Vírgula 8 8 2 2 4" xfId="12953"/>
    <cellStyle name="Vírgula 8 8 2 2 5" xfId="12954"/>
    <cellStyle name="Vírgula 8 8 2 2 6" xfId="12955"/>
    <cellStyle name="Vírgula 8 8 2 3" xfId="12956"/>
    <cellStyle name="Vírgula 8 8 2 4" xfId="12957"/>
    <cellStyle name="Vírgula 8 8 2 5" xfId="12958"/>
    <cellStyle name="Vírgula 8 8 2 6" xfId="12959"/>
    <cellStyle name="Vírgula 8 8 2 7" xfId="12960"/>
    <cellStyle name="Vírgula 8 8 2 8" xfId="12961"/>
    <cellStyle name="Vírgula 8 8 2 9" xfId="12962"/>
    <cellStyle name="Vírgula 8 8 3" xfId="12963"/>
    <cellStyle name="Vírgula 8 8 3 2" xfId="12964"/>
    <cellStyle name="Vírgula 8 8 3 3" xfId="12965"/>
    <cellStyle name="Vírgula 8 8 3 4" xfId="12966"/>
    <cellStyle name="Vírgula 8 8 3 5" xfId="12967"/>
    <cellStyle name="Vírgula 8 8 3 6" xfId="12968"/>
    <cellStyle name="Vírgula 8 8 4" xfId="12969"/>
    <cellStyle name="Vírgula 8 8 5" xfId="12970"/>
    <cellStyle name="Vírgula 8 8 6" xfId="12971"/>
    <cellStyle name="Vírgula 8 8 7" xfId="12972"/>
    <cellStyle name="Vírgula 8 8 8" xfId="12973"/>
    <cellStyle name="Vírgula 8 8 9" xfId="12974"/>
    <cellStyle name="Vírgula 8 9" xfId="12975"/>
    <cellStyle name="Vírgula 8 9 10" xfId="12976"/>
    <cellStyle name="Vírgula 8 9 2" xfId="12977"/>
    <cellStyle name="Vírgula 8 9 2 2" xfId="12978"/>
    <cellStyle name="Vírgula 8 9 2 2 2" xfId="12979"/>
    <cellStyle name="Vírgula 8 9 2 2 3" xfId="12980"/>
    <cellStyle name="Vírgula 8 9 2 2 4" xfId="12981"/>
    <cellStyle name="Vírgula 8 9 2 2 5" xfId="12982"/>
    <cellStyle name="Vírgula 8 9 2 2 6" xfId="12983"/>
    <cellStyle name="Vírgula 8 9 2 3" xfId="12984"/>
    <cellStyle name="Vírgula 8 9 2 4" xfId="12985"/>
    <cellStyle name="Vírgula 8 9 2 5" xfId="12986"/>
    <cellStyle name="Vírgula 8 9 2 6" xfId="12987"/>
    <cellStyle name="Vírgula 8 9 2 7" xfId="12988"/>
    <cellStyle name="Vírgula 8 9 2 8" xfId="12989"/>
    <cellStyle name="Vírgula 8 9 2 9" xfId="12990"/>
    <cellStyle name="Vírgula 8 9 3" xfId="12991"/>
    <cellStyle name="Vírgula 8 9 3 2" xfId="12992"/>
    <cellStyle name="Vírgula 8 9 3 3" xfId="12993"/>
    <cellStyle name="Vírgula 8 9 3 4" xfId="12994"/>
    <cellStyle name="Vírgula 8 9 3 5" xfId="12995"/>
    <cellStyle name="Vírgula 8 9 3 6" xfId="12996"/>
    <cellStyle name="Vírgula 8 9 3 7" xfId="12997"/>
    <cellStyle name="Vírgula 8 9 4" xfId="12998"/>
    <cellStyle name="Vírgula 8 9 5" xfId="12999"/>
    <cellStyle name="Vírgula 8 9 6" xfId="13000"/>
    <cellStyle name="Vírgula 8 9 7" xfId="13001"/>
    <cellStyle name="Vírgula 8 9 8" xfId="13002"/>
    <cellStyle name="Vírgula 8 9 9" xfId="13003"/>
    <cellStyle name="Vírgula 80" xfId="16468"/>
    <cellStyle name="Vírgula 81" xfId="16464"/>
    <cellStyle name="Vírgula 9" xfId="13004"/>
    <cellStyle name="Vírgula 9 10" xfId="13005"/>
    <cellStyle name="Vírgula 9 10 10" xfId="13006"/>
    <cellStyle name="Vírgula 9 10 2" xfId="13007"/>
    <cellStyle name="Vírgula 9 10 2 2" xfId="13008"/>
    <cellStyle name="Vírgula 9 10 2 3" xfId="13009"/>
    <cellStyle name="Vírgula 9 10 2 4" xfId="13010"/>
    <cellStyle name="Vírgula 9 10 2 5" xfId="13011"/>
    <cellStyle name="Vírgula 9 10 2 6" xfId="13012"/>
    <cellStyle name="Vírgula 9 10 2 7" xfId="13013"/>
    <cellStyle name="Vírgula 9 10 2 8" xfId="13014"/>
    <cellStyle name="Vírgula 9 10 2 9" xfId="13015"/>
    <cellStyle name="Vírgula 9 10 3" xfId="13016"/>
    <cellStyle name="Vírgula 9 10 4" xfId="13017"/>
    <cellStyle name="Vírgula 9 10 5" xfId="13018"/>
    <cellStyle name="Vírgula 9 10 6" xfId="13019"/>
    <cellStyle name="Vírgula 9 10 7" xfId="13020"/>
    <cellStyle name="Vírgula 9 10 8" xfId="13021"/>
    <cellStyle name="Vírgula 9 10 9" xfId="13022"/>
    <cellStyle name="Vírgula 9 11" xfId="13023"/>
    <cellStyle name="Vírgula 9 11 2" xfId="13024"/>
    <cellStyle name="Vírgula 9 11 2 2" xfId="13025"/>
    <cellStyle name="Vírgula 9 11 2 3" xfId="13026"/>
    <cellStyle name="Vírgula 9 11 2 4" xfId="13027"/>
    <cellStyle name="Vírgula 9 11 2 5" xfId="13028"/>
    <cellStyle name="Vírgula 9 11 2 6" xfId="13029"/>
    <cellStyle name="Vírgula 9 11 2 7" xfId="13030"/>
    <cellStyle name="Vírgula 9 11 3" xfId="13031"/>
    <cellStyle name="Vírgula 9 11 4" xfId="13032"/>
    <cellStyle name="Vírgula 9 11 5" xfId="13033"/>
    <cellStyle name="Vírgula 9 11 6" xfId="13034"/>
    <cellStyle name="Vírgula 9 11 7" xfId="13035"/>
    <cellStyle name="Vírgula 9 11 8" xfId="13036"/>
    <cellStyle name="Vírgula 9 12" xfId="13037"/>
    <cellStyle name="Vírgula 9 12 2" xfId="13038"/>
    <cellStyle name="Vírgula 9 12 2 2" xfId="13039"/>
    <cellStyle name="Vírgula 9 12 2 3" xfId="13040"/>
    <cellStyle name="Vírgula 9 12 2 4" xfId="13041"/>
    <cellStyle name="Vírgula 9 12 2 5" xfId="13042"/>
    <cellStyle name="Vírgula 9 12 2 6" xfId="13043"/>
    <cellStyle name="Vírgula 9 12 2 7" xfId="13044"/>
    <cellStyle name="Vírgula 9 12 3" xfId="13045"/>
    <cellStyle name="Vírgula 9 12 4" xfId="13046"/>
    <cellStyle name="Vírgula 9 12 5" xfId="13047"/>
    <cellStyle name="Vírgula 9 12 6" xfId="13048"/>
    <cellStyle name="Vírgula 9 12 7" xfId="13049"/>
    <cellStyle name="Vírgula 9 12 8" xfId="13050"/>
    <cellStyle name="Vírgula 9 13" xfId="13051"/>
    <cellStyle name="Vírgula 9 13 2" xfId="13052"/>
    <cellStyle name="Vírgula 9 13 3" xfId="13053"/>
    <cellStyle name="Vírgula 9 13 4" xfId="13054"/>
    <cellStyle name="Vírgula 9 13 5" xfId="13055"/>
    <cellStyle name="Vírgula 9 14" xfId="13056"/>
    <cellStyle name="Vírgula 9 15" xfId="13057"/>
    <cellStyle name="Vírgula 9 16" xfId="13058"/>
    <cellStyle name="Vírgula 9 17" xfId="13059"/>
    <cellStyle name="Vírgula 9 18" xfId="13060"/>
    <cellStyle name="Vírgula 9 19" xfId="13061"/>
    <cellStyle name="Vírgula 9 2" xfId="13062"/>
    <cellStyle name="Vírgula 9 2 10" xfId="13063"/>
    <cellStyle name="Vírgula 9 2 2" xfId="13064"/>
    <cellStyle name="Vírgula 9 2 2 2" xfId="13065"/>
    <cellStyle name="Vírgula 9 2 2 3" xfId="13066"/>
    <cellStyle name="Vírgula 9 2 2 4" xfId="13067"/>
    <cellStyle name="Vírgula 9 2 2 5" xfId="13068"/>
    <cellStyle name="Vírgula 9 2 2 6" xfId="13069"/>
    <cellStyle name="Vírgula 9 2 2 7" xfId="13070"/>
    <cellStyle name="Vírgula 9 2 2 8" xfId="13071"/>
    <cellStyle name="Vírgula 9 2 2 9" xfId="13072"/>
    <cellStyle name="Vírgula 9 2 3" xfId="13073"/>
    <cellStyle name="Vírgula 9 2 4" xfId="13074"/>
    <cellStyle name="Vírgula 9 2 5" xfId="13075"/>
    <cellStyle name="Vírgula 9 2 6" xfId="13076"/>
    <cellStyle name="Vírgula 9 2 7" xfId="13077"/>
    <cellStyle name="Vírgula 9 2 8" xfId="13078"/>
    <cellStyle name="Vírgula 9 2 9" xfId="13079"/>
    <cellStyle name="Vírgula 9 20" xfId="13080"/>
    <cellStyle name="Vírgula 9 21" xfId="13081"/>
    <cellStyle name="Vírgula 9 22" xfId="13082"/>
    <cellStyle name="Vírgula 9 3" xfId="13083"/>
    <cellStyle name="Vírgula 9 3 2" xfId="13084"/>
    <cellStyle name="Vírgula 9 3 3" xfId="13085"/>
    <cellStyle name="Vírgula 9 3 4" xfId="13086"/>
    <cellStyle name="Vírgula 9 3 5" xfId="13087"/>
    <cellStyle name="Vírgula 9 3 6" xfId="13088"/>
    <cellStyle name="Vírgula 9 3 7" xfId="13089"/>
    <cellStyle name="Vírgula 9 3 8" xfId="13090"/>
    <cellStyle name="Vírgula 9 3 9" xfId="13091"/>
    <cellStyle name="Vírgula 9 4" xfId="13092"/>
    <cellStyle name="Vírgula 9 4 10" xfId="13093"/>
    <cellStyle name="Vírgula 9 4 2" xfId="13094"/>
    <cellStyle name="Vírgula 9 4 2 2" xfId="13095"/>
    <cellStyle name="Vírgula 9 4 2 3" xfId="13096"/>
    <cellStyle name="Vírgula 9 4 2 4" xfId="13097"/>
    <cellStyle name="Vírgula 9 4 2 5" xfId="13098"/>
    <cellStyle name="Vírgula 9 4 2 6" xfId="13099"/>
    <cellStyle name="Vírgula 9 4 2 7" xfId="13100"/>
    <cellStyle name="Vírgula 9 4 2 8" xfId="13101"/>
    <cellStyle name="Vírgula 9 4 2 9" xfId="13102"/>
    <cellStyle name="Vírgula 9 4 3" xfId="13103"/>
    <cellStyle name="Vírgula 9 4 4" xfId="13104"/>
    <cellStyle name="Vírgula 9 4 5" xfId="13105"/>
    <cellStyle name="Vírgula 9 4 6" xfId="13106"/>
    <cellStyle name="Vírgula 9 4 7" xfId="13107"/>
    <cellStyle name="Vírgula 9 4 8" xfId="13108"/>
    <cellStyle name="Vírgula 9 4 9" xfId="13109"/>
    <cellStyle name="Vírgula 9 5" xfId="13110"/>
    <cellStyle name="Vírgula 9 5 10" xfId="13111"/>
    <cellStyle name="Vírgula 9 5 11" xfId="13112"/>
    <cellStyle name="Vírgula 9 5 2" xfId="13113"/>
    <cellStyle name="Vírgula 9 5 2 10" xfId="13114"/>
    <cellStyle name="Vírgula 9 5 2 2" xfId="13115"/>
    <cellStyle name="Vírgula 9 5 2 2 2" xfId="13116"/>
    <cellStyle name="Vírgula 9 5 2 2 3" xfId="13117"/>
    <cellStyle name="Vírgula 9 5 2 2 4" xfId="13118"/>
    <cellStyle name="Vírgula 9 5 2 2 5" xfId="13119"/>
    <cellStyle name="Vírgula 9 5 2 2 6" xfId="13120"/>
    <cellStyle name="Vírgula 9 5 2 2 7" xfId="13121"/>
    <cellStyle name="Vírgula 9 5 2 2 8" xfId="13122"/>
    <cellStyle name="Vírgula 9 5 2 2 9" xfId="13123"/>
    <cellStyle name="Vírgula 9 5 2 3" xfId="13124"/>
    <cellStyle name="Vírgula 9 5 2 4" xfId="13125"/>
    <cellStyle name="Vírgula 9 5 2 5" xfId="13126"/>
    <cellStyle name="Vírgula 9 5 2 6" xfId="13127"/>
    <cellStyle name="Vírgula 9 5 2 7" xfId="13128"/>
    <cellStyle name="Vírgula 9 5 2 8" xfId="13129"/>
    <cellStyle name="Vírgula 9 5 2 9" xfId="13130"/>
    <cellStyle name="Vírgula 9 5 3" xfId="13131"/>
    <cellStyle name="Vírgula 9 5 3 2" xfId="13132"/>
    <cellStyle name="Vírgula 9 5 3 3" xfId="13133"/>
    <cellStyle name="Vírgula 9 5 3 4" xfId="13134"/>
    <cellStyle name="Vírgula 9 5 3 5" xfId="13135"/>
    <cellStyle name="Vírgula 9 5 3 6" xfId="13136"/>
    <cellStyle name="Vírgula 9 5 3 7" xfId="13137"/>
    <cellStyle name="Vírgula 9 5 3 8" xfId="13138"/>
    <cellStyle name="Vírgula 9 5 3 9" xfId="13139"/>
    <cellStyle name="Vírgula 9 5 4" xfId="13140"/>
    <cellStyle name="Vírgula 9 5 5" xfId="13141"/>
    <cellStyle name="Vírgula 9 5 6" xfId="13142"/>
    <cellStyle name="Vírgula 9 5 7" xfId="13143"/>
    <cellStyle name="Vírgula 9 5 8" xfId="13144"/>
    <cellStyle name="Vírgula 9 5 9" xfId="13145"/>
    <cellStyle name="Vírgula 9 6" xfId="13146"/>
    <cellStyle name="Vírgula 9 6 10" xfId="13147"/>
    <cellStyle name="Vírgula 9 6 11" xfId="13148"/>
    <cellStyle name="Vírgula 9 6 12" xfId="13149"/>
    <cellStyle name="Vírgula 9 6 13" xfId="13150"/>
    <cellStyle name="Vírgula 9 6 14" xfId="13151"/>
    <cellStyle name="Vírgula 9 6 15" xfId="13152"/>
    <cellStyle name="Vírgula 9 6 16" xfId="13153"/>
    <cellStyle name="Vírgula 9 6 2" xfId="13154"/>
    <cellStyle name="Vírgula 9 6 2 2" xfId="13155"/>
    <cellStyle name="Vírgula 9 6 2 3" xfId="13156"/>
    <cellStyle name="Vírgula 9 6 2 4" xfId="13157"/>
    <cellStyle name="Vírgula 9 6 2 5" xfId="13158"/>
    <cellStyle name="Vírgula 9 6 2 6" xfId="13159"/>
    <cellStyle name="Vírgula 9 6 2 7" xfId="13160"/>
    <cellStyle name="Vírgula 9 6 2 8" xfId="13161"/>
    <cellStyle name="Vírgula 9 6 2 9" xfId="13162"/>
    <cellStyle name="Vírgula 9 6 3" xfId="13163"/>
    <cellStyle name="Vírgula 9 6 3 10" xfId="13164"/>
    <cellStyle name="Vírgula 9 6 3 2" xfId="13165"/>
    <cellStyle name="Vírgula 9 6 3 2 2" xfId="13166"/>
    <cellStyle name="Vírgula 9 6 3 2 3" xfId="13167"/>
    <cellStyle name="Vírgula 9 6 3 2 4" xfId="13168"/>
    <cellStyle name="Vírgula 9 6 3 2 5" xfId="13169"/>
    <cellStyle name="Vírgula 9 6 3 2 6" xfId="13170"/>
    <cellStyle name="Vírgula 9 6 3 2 7" xfId="13171"/>
    <cellStyle name="Vírgula 9 6 3 2 8" xfId="13172"/>
    <cellStyle name="Vírgula 9 6 3 2 9" xfId="13173"/>
    <cellStyle name="Vírgula 9 6 3 3" xfId="13174"/>
    <cellStyle name="Vírgula 9 6 3 4" xfId="13175"/>
    <cellStyle name="Vírgula 9 6 3 5" xfId="13176"/>
    <cellStyle name="Vírgula 9 6 3 6" xfId="13177"/>
    <cellStyle name="Vírgula 9 6 3 7" xfId="13178"/>
    <cellStyle name="Vírgula 9 6 3 8" xfId="13179"/>
    <cellStyle name="Vírgula 9 6 3 9" xfId="13180"/>
    <cellStyle name="Vírgula 9 6 4" xfId="13181"/>
    <cellStyle name="Vírgula 9 6 4 10" xfId="13182"/>
    <cellStyle name="Vírgula 9 6 4 2" xfId="13183"/>
    <cellStyle name="Vírgula 9 6 4 2 2" xfId="13184"/>
    <cellStyle name="Vírgula 9 6 4 2 3" xfId="13185"/>
    <cellStyle name="Vírgula 9 6 4 2 4" xfId="13186"/>
    <cellStyle name="Vírgula 9 6 4 2 5" xfId="13187"/>
    <cellStyle name="Vírgula 9 6 4 2 6" xfId="13188"/>
    <cellStyle name="Vírgula 9 6 4 2 7" xfId="13189"/>
    <cellStyle name="Vírgula 9 6 4 2 8" xfId="13190"/>
    <cellStyle name="Vírgula 9 6 4 2 9" xfId="13191"/>
    <cellStyle name="Vírgula 9 6 4 3" xfId="13192"/>
    <cellStyle name="Vírgula 9 6 4 4" xfId="13193"/>
    <cellStyle name="Vírgula 9 6 4 5" xfId="13194"/>
    <cellStyle name="Vírgula 9 6 4 6" xfId="13195"/>
    <cellStyle name="Vírgula 9 6 4 7" xfId="13196"/>
    <cellStyle name="Vírgula 9 6 4 8" xfId="13197"/>
    <cellStyle name="Vírgula 9 6 4 9" xfId="13198"/>
    <cellStyle name="Vírgula 9 6 5" xfId="13199"/>
    <cellStyle name="Vírgula 9 6 5 2" xfId="13200"/>
    <cellStyle name="Vírgula 9 6 5 3" xfId="13201"/>
    <cellStyle name="Vírgula 9 6 5 4" xfId="13202"/>
    <cellStyle name="Vírgula 9 6 5 5" xfId="13203"/>
    <cellStyle name="Vírgula 9 6 5 6" xfId="13204"/>
    <cellStyle name="Vírgula 9 6 5 7" xfId="13205"/>
    <cellStyle name="Vírgula 9 6 5 8" xfId="13206"/>
    <cellStyle name="Vírgula 9 6 5 9" xfId="13207"/>
    <cellStyle name="Vírgula 9 6 6" xfId="13208"/>
    <cellStyle name="Vírgula 9 6 6 2" xfId="13209"/>
    <cellStyle name="Vírgula 9 6 6 3" xfId="13210"/>
    <cellStyle name="Vírgula 9 6 6 4" xfId="13211"/>
    <cellStyle name="Vírgula 9 6 6 5" xfId="13212"/>
    <cellStyle name="Vírgula 9 6 6 6" xfId="13213"/>
    <cellStyle name="Vírgula 9 6 6 7" xfId="13214"/>
    <cellStyle name="Vírgula 9 6 6 8" xfId="13215"/>
    <cellStyle name="Vírgula 9 6 6 9" xfId="13216"/>
    <cellStyle name="Vírgula 9 6 7" xfId="13217"/>
    <cellStyle name="Vírgula 9 6 7 2" xfId="13218"/>
    <cellStyle name="Vírgula 9 6 7 2 2" xfId="13219"/>
    <cellStyle name="Vírgula 9 6 7 2 3" xfId="13220"/>
    <cellStyle name="Vírgula 9 6 7 2 4" xfId="13221"/>
    <cellStyle name="Vírgula 9 6 7 2 5" xfId="13222"/>
    <cellStyle name="Vírgula 9 6 7 2 6" xfId="13223"/>
    <cellStyle name="Vírgula 9 6 7 2 7" xfId="13224"/>
    <cellStyle name="Vírgula 9 6 7 3" xfId="13225"/>
    <cellStyle name="Vírgula 9 6 7 4" xfId="13226"/>
    <cellStyle name="Vírgula 9 6 7 5" xfId="13227"/>
    <cellStyle name="Vírgula 9 6 7 6" xfId="13228"/>
    <cellStyle name="Vírgula 9 6 7 7" xfId="13229"/>
    <cellStyle name="Vírgula 9 6 7 8" xfId="13230"/>
    <cellStyle name="Vírgula 9 6 8" xfId="13231"/>
    <cellStyle name="Vírgula 9 6 8 2" xfId="13232"/>
    <cellStyle name="Vírgula 9 6 8 2 2" xfId="13233"/>
    <cellStyle name="Vírgula 9 6 8 2 3" xfId="13234"/>
    <cellStyle name="Vírgula 9 6 8 2 4" xfId="13235"/>
    <cellStyle name="Vírgula 9 6 8 2 5" xfId="13236"/>
    <cellStyle name="Vírgula 9 6 8 2 6" xfId="13237"/>
    <cellStyle name="Vírgula 9 6 8 2 7" xfId="13238"/>
    <cellStyle name="Vírgula 9 6 8 3" xfId="13239"/>
    <cellStyle name="Vírgula 9 6 8 4" xfId="13240"/>
    <cellStyle name="Vírgula 9 6 8 5" xfId="13241"/>
    <cellStyle name="Vírgula 9 6 8 6" xfId="13242"/>
    <cellStyle name="Vírgula 9 6 8 7" xfId="13243"/>
    <cellStyle name="Vírgula 9 6 8 8" xfId="13244"/>
    <cellStyle name="Vírgula 9 6 9" xfId="13245"/>
    <cellStyle name="Vírgula 9 7" xfId="13246"/>
    <cellStyle name="Vírgula 9 7 2" xfId="13247"/>
    <cellStyle name="Vírgula 9 7 3" xfId="13248"/>
    <cellStyle name="Vírgula 9 7 4" xfId="13249"/>
    <cellStyle name="Vírgula 9 7 5" xfId="13250"/>
    <cellStyle name="Vírgula 9 7 6" xfId="13251"/>
    <cellStyle name="Vírgula 9 7 7" xfId="13252"/>
    <cellStyle name="Vírgula 9 7 8" xfId="13253"/>
    <cellStyle name="Vírgula 9 7 9" xfId="13254"/>
    <cellStyle name="Vírgula 9 8" xfId="13255"/>
    <cellStyle name="Vírgula 9 8 10" xfId="13256"/>
    <cellStyle name="Vírgula 9 8 2" xfId="13257"/>
    <cellStyle name="Vírgula 9 8 2 2" xfId="13258"/>
    <cellStyle name="Vírgula 9 8 2 3" xfId="13259"/>
    <cellStyle name="Vírgula 9 8 2 4" xfId="13260"/>
    <cellStyle name="Vírgula 9 8 2 5" xfId="13261"/>
    <cellStyle name="Vírgula 9 8 2 6" xfId="13262"/>
    <cellStyle name="Vírgula 9 8 2 7" xfId="13263"/>
    <cellStyle name="Vírgula 9 8 2 8" xfId="13264"/>
    <cellStyle name="Vírgula 9 8 2 9" xfId="13265"/>
    <cellStyle name="Vírgula 9 8 3" xfId="13266"/>
    <cellStyle name="Vírgula 9 8 4" xfId="13267"/>
    <cellStyle name="Vírgula 9 8 5" xfId="13268"/>
    <cellStyle name="Vírgula 9 8 6" xfId="13269"/>
    <cellStyle name="Vírgula 9 8 7" xfId="13270"/>
    <cellStyle name="Vírgula 9 8 8" xfId="13271"/>
    <cellStyle name="Vírgula 9 8 9" xfId="13272"/>
    <cellStyle name="Vírgula 9 9" xfId="13273"/>
    <cellStyle name="Vírgula 9 9 10" xfId="13274"/>
    <cellStyle name="Vírgula 9 9 2" xfId="13275"/>
    <cellStyle name="Vírgula 9 9 2 2" xfId="13276"/>
    <cellStyle name="Vírgula 9 9 2 3" xfId="13277"/>
    <cellStyle name="Vírgula 9 9 2 4" xfId="13278"/>
    <cellStyle name="Vírgula 9 9 2 5" xfId="13279"/>
    <cellStyle name="Vírgula 9 9 2 6" xfId="13280"/>
    <cellStyle name="Vírgula 9 9 2 7" xfId="13281"/>
    <cellStyle name="Vírgula 9 9 2 8" xfId="13282"/>
    <cellStyle name="Vírgula 9 9 2 9" xfId="13283"/>
    <cellStyle name="Vírgula 9 9 3" xfId="13284"/>
    <cellStyle name="Vírgula 9 9 4" xfId="13285"/>
    <cellStyle name="Vírgula 9 9 5" xfId="13286"/>
    <cellStyle name="Vírgula 9 9 6" xfId="13287"/>
    <cellStyle name="Vírgula 9 9 7" xfId="13288"/>
    <cellStyle name="Vírgula 9 9 8" xfId="13289"/>
    <cellStyle name="Vírgula 9 9 9" xfId="13290"/>
    <cellStyle name="Währung [0]_revenue" xfId="13291"/>
    <cellStyle name="Währung_airt-rev" xfId="13292"/>
    <cellStyle name="Warning Text" xfId="4981"/>
    <cellStyle name="Warning Text 10" xfId="13293"/>
    <cellStyle name="Warning Text 2" xfId="2209"/>
    <cellStyle name="Warning Text 2 2" xfId="2210"/>
    <cellStyle name="Warning Text 2 3" xfId="13781"/>
    <cellStyle name="Warning Text 2 4" xfId="13294"/>
    <cellStyle name="Warning Text 2_Base RF" xfId="5942"/>
    <cellStyle name="Warning Text 3" xfId="13295"/>
    <cellStyle name="Warning Text 4" xfId="13296"/>
    <cellStyle name="Warning Text 5" xfId="13297"/>
    <cellStyle name="Warning Text 6" xfId="13298"/>
    <cellStyle name="Warning Text 7" xfId="13299"/>
    <cellStyle name="Warning Text 8" xfId="13300"/>
    <cellStyle name="Warning Text 9" xfId="13301"/>
    <cellStyle name="Warning Text_Base RF" xfId="5941"/>
    <cellStyle name="White" xfId="13302"/>
    <cellStyle name="White 2" xfId="13303"/>
    <cellStyle name="White 3" xfId="13304"/>
    <cellStyle name="White 4" xfId="13305"/>
    <cellStyle name="White 5" xfId="13306"/>
    <cellStyle name="White 6" xfId="13307"/>
    <cellStyle name="White 7" xfId="13308"/>
    <cellStyle name="White 8" xfId="13309"/>
    <cellStyle name="White 9" xfId="13310"/>
    <cellStyle name="Wrapped" xfId="4982"/>
    <cellStyle name="wu" xfId="4983"/>
    <cellStyle name="wu 2" xfId="4984"/>
    <cellStyle name="wu 3" xfId="4985"/>
    <cellStyle name="wu 4" xfId="4986"/>
    <cellStyle name="wu_Base RF" xfId="5943"/>
    <cellStyle name="x" xfId="13311"/>
    <cellStyle name="x 2" xfId="13312"/>
    <cellStyle name="x 3" xfId="13313"/>
    <cellStyle name="x 4" xfId="13314"/>
    <cellStyle name="x 5" xfId="13315"/>
    <cellStyle name="x 6" xfId="13316"/>
    <cellStyle name="x 7" xfId="13317"/>
    <cellStyle name="x 8" xfId="13318"/>
    <cellStyle name="x 9" xfId="13319"/>
    <cellStyle name="x_01 AVP_ Project Infinitum" xfId="13320"/>
    <cellStyle name="x_01 AVP_ Project Infinitum 2" xfId="13321"/>
    <cellStyle name="x_01 AVP_ Project Infinitum 3" xfId="13322"/>
    <cellStyle name="x_01 AVP_ Project Infinitum 4" xfId="13323"/>
    <cellStyle name="x_01 AVP_ Project Infinitum 5" xfId="13324"/>
    <cellStyle name="x_01 AVP_ Project Infinitum 6" xfId="13325"/>
    <cellStyle name="x_01 AVP_ Project Infinitum 7" xfId="13326"/>
    <cellStyle name="x_01 AVP_ Project Infinitum 8" xfId="13327"/>
    <cellStyle name="x_01 AVP_ Project Infinitum 9" xfId="13328"/>
    <cellStyle name="x_01_WACC Colombia_Analysis" xfId="13329"/>
    <cellStyle name="x_01_WACC Colombia_Analysis 2" xfId="13330"/>
    <cellStyle name="x_01_WACC Colombia_Analysis 3" xfId="13331"/>
    <cellStyle name="x_01_WACC Colombia_Analysis 4" xfId="13332"/>
    <cellStyle name="x_01_WACC Colombia_Analysis 5" xfId="13333"/>
    <cellStyle name="x_01_WACC Colombia_Analysis 6" xfId="13334"/>
    <cellStyle name="x_01_WACC Colombia_Analysis 7" xfId="13335"/>
    <cellStyle name="x_01_WACC Colombia_Analysis 8" xfId="13336"/>
    <cellStyle name="x_01_WACC Colombia_Analysis 9" xfId="13337"/>
    <cellStyle name="x_04 WACC Vivax" xfId="13338"/>
    <cellStyle name="x_04 WACC Vivax 2" xfId="13339"/>
    <cellStyle name="x_04 WACC Vivax 3" xfId="13340"/>
    <cellStyle name="x_04 WACC Vivax 4" xfId="13341"/>
    <cellStyle name="x_04 WACC Vivax 5" xfId="13342"/>
    <cellStyle name="x_04 WACC Vivax 6" xfId="13343"/>
    <cellStyle name="x_04 WACC Vivax 7" xfId="13344"/>
    <cellStyle name="x_04 WACC Vivax 8" xfId="13345"/>
    <cellStyle name="x_04 WACC Vivax 9" xfId="13346"/>
    <cellStyle name="x_avp" xfId="13347"/>
    <cellStyle name="x_avp 2" xfId="13348"/>
    <cellStyle name="x_avp 3" xfId="13349"/>
    <cellStyle name="x_avp 4" xfId="13350"/>
    <cellStyle name="x_avp 5" xfId="13351"/>
    <cellStyle name="x_avp 6" xfId="13352"/>
    <cellStyle name="x_avp 7" xfId="13353"/>
    <cellStyle name="x_avp 8" xfId="13354"/>
    <cellStyle name="x_avp 9" xfId="13355"/>
    <cellStyle name="x_AVP_ NewCo" xfId="13356"/>
    <cellStyle name="x_AVP_ NewCo 2" xfId="13357"/>
    <cellStyle name="x_AVP_ NewCo 3" xfId="13358"/>
    <cellStyle name="x_AVP_ NewCo 4" xfId="13359"/>
    <cellStyle name="x_AVP_ NewCo 5" xfId="13360"/>
    <cellStyle name="x_AVP_ NewCo 6" xfId="13361"/>
    <cellStyle name="x_AVP_ NewCo 7" xfId="13362"/>
    <cellStyle name="x_AVP_ NewCo 8" xfId="13363"/>
    <cellStyle name="x_AVP_ NewCo 9" xfId="13364"/>
    <cellStyle name="x_Quadro Comparativo_CRI 400_BR Properties (Modulos+TNU) 20100629 v1 (2)" xfId="13365"/>
    <cellStyle name="x_Quadro Comparativo_CRI 400_BR Properties (Modulos+TNU) 20100629 v1 (2) 2" xfId="13366"/>
    <cellStyle name="x_Quadro Comparativo_CRI 400_BR Properties (Modulos+TNU) 20100629 v1 (2) 3" xfId="13367"/>
    <cellStyle name="x_Quadro Comparativo_CRI 400_BR Properties (Modulos+TNU) 20100629 v1 (2) 4" xfId="13368"/>
    <cellStyle name="x_Quadro Comparativo_CRI 400_BR Properties (Modulos+TNU) 20100629 v1 (2) 5" xfId="13369"/>
    <cellStyle name="x_Quadro Comparativo_CRI 400_BR Properties (Modulos+TNU) 20100629 v1 (2) 6" xfId="13370"/>
    <cellStyle name="x_Quadro Comparativo_CRI 400_BR Properties (Modulos+TNU) 20100629 v1 (2) 7" xfId="13371"/>
    <cellStyle name="x_Quadro Comparativo_CRI 400_BR Properties (Modulos+TNU) 20100629 v1 (2) 8" xfId="13372"/>
    <cellStyle name="x_Quadro Comparativo_CRI 400_BR Properties (Modulos+TNU) 20100629 v1 (2) 9" xfId="13373"/>
    <cellStyle name="x_Sovereign Bonds 060705" xfId="13374"/>
    <cellStyle name="x_Sovereign Bonds 060705 (version 1)" xfId="13375"/>
    <cellStyle name="x_Sovereign Bonds 060705 (version 1) 2" xfId="13376"/>
    <cellStyle name="x_Sovereign Bonds 060705 (version 1) 3" xfId="13377"/>
    <cellStyle name="x_Sovereign Bonds 060705 (version 1) 4" xfId="13378"/>
    <cellStyle name="x_Sovereign Bonds 060705 (version 1) 5" xfId="13379"/>
    <cellStyle name="x_Sovereign Bonds 060705 (version 1) 6" xfId="13380"/>
    <cellStyle name="x_Sovereign Bonds 060705 (version 1) 7" xfId="13381"/>
    <cellStyle name="x_Sovereign Bonds 060705 (version 1) 8" xfId="13382"/>
    <cellStyle name="x_Sovereign Bonds 060705 (version 1) 9" xfId="13383"/>
    <cellStyle name="x_Sovereign Bonds 060705 (version 1)_01 NET DCF Model" xfId="13384"/>
    <cellStyle name="x_Sovereign Bonds 060705 (version 1)_01 NET DCF Model 2" xfId="13385"/>
    <cellStyle name="x_Sovereign Bonds 060705 (version 1)_01 NET DCF Model 3" xfId="13386"/>
    <cellStyle name="x_Sovereign Bonds 060705 (version 1)_01 NET DCF Model 4" xfId="13387"/>
    <cellStyle name="x_Sovereign Bonds 060705 (version 1)_01 NET DCF Model 5" xfId="13388"/>
    <cellStyle name="x_Sovereign Bonds 060705 (version 1)_01 NET DCF Model 6" xfId="13389"/>
    <cellStyle name="x_Sovereign Bonds 060705 (version 1)_01 NET DCF Model 7" xfId="13390"/>
    <cellStyle name="x_Sovereign Bonds 060705 (version 1)_01 NET DCF Model 8" xfId="13391"/>
    <cellStyle name="x_Sovereign Bonds 060705 (version 1)_01 NET DCF Model 9" xfId="13392"/>
    <cellStyle name="x_Sovereign Bonds 060705 (version 1)_03 Embratel DCF Model_Loscos" xfId="13393"/>
    <cellStyle name="x_Sovereign Bonds 060705 (version 1)_03 Embratel DCF Model_Loscos 2" xfId="13394"/>
    <cellStyle name="x_Sovereign Bonds 060705 (version 1)_03 Embratel DCF Model_Loscos 3" xfId="13395"/>
    <cellStyle name="x_Sovereign Bonds 060705 (version 1)_03 Embratel DCF Model_Loscos 4" xfId="13396"/>
    <cellStyle name="x_Sovereign Bonds 060705 (version 1)_03 Embratel DCF Model_Loscos 5" xfId="13397"/>
    <cellStyle name="x_Sovereign Bonds 060705 (version 1)_03 Embratel DCF Model_Loscos 6" xfId="13398"/>
    <cellStyle name="x_Sovereign Bonds 060705 (version 1)_03 Embratel DCF Model_Loscos 7" xfId="13399"/>
    <cellStyle name="x_Sovereign Bonds 060705 (version 1)_03 Embratel DCF Model_Loscos 8" xfId="13400"/>
    <cellStyle name="x_Sovereign Bonds 060705 (version 1)_03 Embratel DCF Model_Loscos 9" xfId="13401"/>
    <cellStyle name="x_Sovereign Bonds 060705 (version 1)_03 Embratel DCF Model_Loscos_Quadro Comparativo_CRI 400_BR Properties (Modulos+TNU) 20100629 v1 (2)" xfId="13402"/>
    <cellStyle name="x_Sovereign Bonds 060705 (version 1)_03 Embratel DCF Model_Loscos_Quadro Comparativo_CRI 400_BR Properties (Modulos+TNU) 20100629 v1 (2) 2" xfId="13403"/>
    <cellStyle name="x_Sovereign Bonds 060705 (version 1)_03 Embratel DCF Model_Loscos_Quadro Comparativo_CRI 400_BR Properties (Modulos+TNU) 20100629 v1 (2) 3" xfId="13404"/>
    <cellStyle name="x_Sovereign Bonds 060705 (version 1)_03 Embratel DCF Model_Loscos_Quadro Comparativo_CRI 400_BR Properties (Modulos+TNU) 20100629 v1 (2) 4" xfId="13405"/>
    <cellStyle name="x_Sovereign Bonds 060705 (version 1)_03 Embratel DCF Model_Loscos_Quadro Comparativo_CRI 400_BR Properties (Modulos+TNU) 20100629 v1 (2) 5" xfId="13406"/>
    <cellStyle name="x_Sovereign Bonds 060705 (version 1)_03 Embratel DCF Model_Loscos_Quadro Comparativo_CRI 400_BR Properties (Modulos+TNU) 20100629 v1 (2) 6" xfId="13407"/>
    <cellStyle name="x_Sovereign Bonds 060705 (version 1)_03 Embratel DCF Model_Loscos_Quadro Comparativo_CRI 400_BR Properties (Modulos+TNU) 20100629 v1 (2) 7" xfId="13408"/>
    <cellStyle name="x_Sovereign Bonds 060705 (version 1)_03 Embratel DCF Model_Loscos_Quadro Comparativo_CRI 400_BR Properties (Modulos+TNU) 20100629 v1 (2) 8" xfId="13409"/>
    <cellStyle name="x_Sovereign Bonds 060705 (version 1)_03 Embratel DCF Model_Loscos_Quadro Comparativo_CRI 400_BR Properties (Modulos+TNU) 20100629 v1 (2) 9" xfId="13410"/>
    <cellStyle name="x_Sovereign Bonds 060705 (version 1)_05 NET DCF Model" xfId="13411"/>
    <cellStyle name="x_Sovereign Bonds 060705 (version 1)_05 NET DCF Model 2" xfId="13412"/>
    <cellStyle name="x_Sovereign Bonds 060705 (version 1)_05 NET DCF Model 3" xfId="13413"/>
    <cellStyle name="x_Sovereign Bonds 060705 (version 1)_05 NET DCF Model 4" xfId="13414"/>
    <cellStyle name="x_Sovereign Bonds 060705 (version 1)_05 NET DCF Model 5" xfId="13415"/>
    <cellStyle name="x_Sovereign Bonds 060705 (version 1)_05 NET DCF Model 6" xfId="13416"/>
    <cellStyle name="x_Sovereign Bonds 060705 (version 1)_05 NET DCF Model 7" xfId="13417"/>
    <cellStyle name="x_Sovereign Bonds 060705 (version 1)_05 NET DCF Model 8" xfId="13418"/>
    <cellStyle name="x_Sovereign Bonds 060705 (version 1)_05 NET DCF Model 9" xfId="13419"/>
    <cellStyle name="x_Sovereign Bonds 060705 (version 1)_05 TMX Brazil DCF Model" xfId="13420"/>
    <cellStyle name="x_Sovereign Bonds 060705 (version 1)_05 TMX Brazil DCF Model 2" xfId="13421"/>
    <cellStyle name="x_Sovereign Bonds 060705 (version 1)_05 TMX Brazil DCF Model 3" xfId="13422"/>
    <cellStyle name="x_Sovereign Bonds 060705 (version 1)_05 TMX Brazil DCF Model 4" xfId="13423"/>
    <cellStyle name="x_Sovereign Bonds 060705 (version 1)_05 TMX Brazil DCF Model 5" xfId="13424"/>
    <cellStyle name="x_Sovereign Bonds 060705 (version 1)_05 TMX Brazil DCF Model 6" xfId="13425"/>
    <cellStyle name="x_Sovereign Bonds 060705 (version 1)_05 TMX Brazil DCF Model 7" xfId="13426"/>
    <cellStyle name="x_Sovereign Bonds 060705 (version 1)_05 TMX Brazil DCF Model 8" xfId="13427"/>
    <cellStyle name="x_Sovereign Bonds 060705 (version 1)_05 TMX Brazil DCF Model 9" xfId="13428"/>
    <cellStyle name="x_Sovereign Bonds 060705 (version 1)_Quadro Comparativo_CRI 400_BR Properties (Modulos+TNU) 20100629 v1 (2)" xfId="13429"/>
    <cellStyle name="x_Sovereign Bonds 060705 (version 1)_Quadro Comparativo_CRI 400_BR Properties (Modulos+TNU) 20100629 v1 (2) 2" xfId="13430"/>
    <cellStyle name="x_Sovereign Bonds 060705 (version 1)_Quadro Comparativo_CRI 400_BR Properties (Modulos+TNU) 20100629 v1 (2) 3" xfId="13431"/>
    <cellStyle name="x_Sovereign Bonds 060705 (version 1)_Quadro Comparativo_CRI 400_BR Properties (Modulos+TNU) 20100629 v1 (2) 4" xfId="13432"/>
    <cellStyle name="x_Sovereign Bonds 060705 (version 1)_Quadro Comparativo_CRI 400_BR Properties (Modulos+TNU) 20100629 v1 (2) 5" xfId="13433"/>
    <cellStyle name="x_Sovereign Bonds 060705 (version 1)_Quadro Comparativo_CRI 400_BR Properties (Modulos+TNU) 20100629 v1 (2) 6" xfId="13434"/>
    <cellStyle name="x_Sovereign Bonds 060705 (version 1)_Quadro Comparativo_CRI 400_BR Properties (Modulos+TNU) 20100629 v1 (2) 7" xfId="13435"/>
    <cellStyle name="x_Sovereign Bonds 060705 (version 1)_Quadro Comparativo_CRI 400_BR Properties (Modulos+TNU) 20100629 v1 (2) 8" xfId="13436"/>
    <cellStyle name="x_Sovereign Bonds 060705 (version 1)_Quadro Comparativo_CRI 400_BR Properties (Modulos+TNU) 20100629 v1 (2) 9" xfId="13437"/>
    <cellStyle name="x_Sovereign Bonds 060705 10" xfId="13438"/>
    <cellStyle name="x_Sovereign Bonds 060705 11" xfId="13439"/>
    <cellStyle name="x_Sovereign Bonds 060705 12" xfId="13440"/>
    <cellStyle name="x_Sovereign Bonds 060705 13" xfId="13441"/>
    <cellStyle name="x_Sovereign Bonds 060705 14" xfId="13442"/>
    <cellStyle name="x_Sovereign Bonds 060705 15" xfId="13443"/>
    <cellStyle name="x_Sovereign Bonds 060705 16" xfId="13444"/>
    <cellStyle name="x_Sovereign Bonds 060705 17" xfId="13445"/>
    <cellStyle name="x_Sovereign Bonds 060705 18" xfId="13446"/>
    <cellStyle name="x_Sovereign Bonds 060705 19" xfId="13447"/>
    <cellStyle name="x_Sovereign Bonds 060705 2" xfId="13448"/>
    <cellStyle name="x_Sovereign Bonds 060705 20" xfId="13449"/>
    <cellStyle name="x_Sovereign Bonds 060705 21" xfId="13450"/>
    <cellStyle name="x_Sovereign Bonds 060705 22" xfId="13451"/>
    <cellStyle name="x_Sovereign Bonds 060705 23" xfId="13452"/>
    <cellStyle name="x_Sovereign Bonds 060705 24" xfId="13453"/>
    <cellStyle name="x_Sovereign Bonds 060705 25" xfId="13454"/>
    <cellStyle name="x_Sovereign Bonds 060705 26" xfId="13455"/>
    <cellStyle name="x_Sovereign Bonds 060705 27" xfId="13456"/>
    <cellStyle name="x_Sovereign Bonds 060705 28" xfId="13457"/>
    <cellStyle name="x_Sovereign Bonds 060705 29" xfId="13458"/>
    <cellStyle name="x_Sovereign Bonds 060705 3" xfId="13459"/>
    <cellStyle name="x_Sovereign Bonds 060705 30" xfId="13460"/>
    <cellStyle name="x_Sovereign Bonds 060705 31" xfId="13461"/>
    <cellStyle name="x_Sovereign Bonds 060705 32" xfId="13462"/>
    <cellStyle name="x_Sovereign Bonds 060705 33" xfId="13463"/>
    <cellStyle name="x_Sovereign Bonds 060705 34" xfId="13464"/>
    <cellStyle name="x_Sovereign Bonds 060705 35" xfId="13465"/>
    <cellStyle name="x_Sovereign Bonds 060705 36" xfId="13466"/>
    <cellStyle name="x_Sovereign Bonds 060705 37" xfId="13467"/>
    <cellStyle name="x_Sovereign Bonds 060705 38" xfId="13468"/>
    <cellStyle name="x_Sovereign Bonds 060705 39" xfId="13469"/>
    <cellStyle name="x_Sovereign Bonds 060705 4" xfId="13470"/>
    <cellStyle name="x_Sovereign Bonds 060705 40" xfId="13471"/>
    <cellStyle name="x_Sovereign Bonds 060705 41" xfId="13472"/>
    <cellStyle name="x_Sovereign Bonds 060705 42" xfId="13473"/>
    <cellStyle name="x_Sovereign Bonds 060705 43" xfId="13474"/>
    <cellStyle name="x_Sovereign Bonds 060705 44" xfId="13475"/>
    <cellStyle name="x_Sovereign Bonds 060705 45" xfId="13476"/>
    <cellStyle name="x_Sovereign Bonds 060705 46" xfId="13477"/>
    <cellStyle name="x_Sovereign Bonds 060705 47" xfId="13478"/>
    <cellStyle name="x_Sovereign Bonds 060705 48" xfId="13479"/>
    <cellStyle name="x_Sovereign Bonds 060705 49" xfId="13480"/>
    <cellStyle name="x_Sovereign Bonds 060705 5" xfId="13481"/>
    <cellStyle name="x_Sovereign Bonds 060705 50" xfId="13482"/>
    <cellStyle name="x_Sovereign Bonds 060705 51" xfId="13483"/>
    <cellStyle name="x_Sovereign Bonds 060705 52" xfId="13484"/>
    <cellStyle name="x_Sovereign Bonds 060705 53" xfId="13485"/>
    <cellStyle name="x_Sovereign Bonds 060705 54" xfId="13486"/>
    <cellStyle name="x_Sovereign Bonds 060705 6" xfId="13487"/>
    <cellStyle name="x_Sovereign Bonds 060705 7" xfId="13488"/>
    <cellStyle name="x_Sovereign Bonds 060705 8" xfId="13489"/>
    <cellStyle name="x_Sovereign Bonds 060705 9" xfId="13490"/>
    <cellStyle name="x_Sovereign Bonds 060705_1" xfId="13491"/>
    <cellStyle name="x_Sovereign Bonds 060705_1 2" xfId="13492"/>
    <cellStyle name="x_Sovereign Bonds 060705_1 3" xfId="13493"/>
    <cellStyle name="x_Sovereign Bonds 060705_1 4" xfId="13494"/>
    <cellStyle name="x_Sovereign Bonds 060705_1 5" xfId="13495"/>
    <cellStyle name="x_Sovereign Bonds 060705_1 6" xfId="13496"/>
    <cellStyle name="x_Sovereign Bonds 060705_1 7" xfId="13497"/>
    <cellStyle name="x_Sovereign Bonds 060705_1 8" xfId="13498"/>
    <cellStyle name="x_Sovereign Bonds 060705_1 9" xfId="13499"/>
    <cellStyle name="x_Sovereign Bonds 060705_1_01 NET DCF Model" xfId="13500"/>
    <cellStyle name="x_Sovereign Bonds 060705_1_01 NET DCF Model 2" xfId="13501"/>
    <cellStyle name="x_Sovereign Bonds 060705_1_01 NET DCF Model 3" xfId="13502"/>
    <cellStyle name="x_Sovereign Bonds 060705_1_01 NET DCF Model 4" xfId="13503"/>
    <cellStyle name="x_Sovereign Bonds 060705_1_01 NET DCF Model 5" xfId="13504"/>
    <cellStyle name="x_Sovereign Bonds 060705_1_01 NET DCF Model 6" xfId="13505"/>
    <cellStyle name="x_Sovereign Bonds 060705_1_01 NET DCF Model 7" xfId="13506"/>
    <cellStyle name="x_Sovereign Bonds 060705_1_01 NET DCF Model 8" xfId="13507"/>
    <cellStyle name="x_Sovereign Bonds 060705_1_01 NET DCF Model 9" xfId="13508"/>
    <cellStyle name="x_Sovereign Bonds 060705_1_03 Embratel DCF Model_Loscos" xfId="13509"/>
    <cellStyle name="x_Sovereign Bonds 060705_1_03 Embratel DCF Model_Loscos 2" xfId="13510"/>
    <cellStyle name="x_Sovereign Bonds 060705_1_03 Embratel DCF Model_Loscos 3" xfId="13511"/>
    <cellStyle name="x_Sovereign Bonds 060705_1_03 Embratel DCF Model_Loscos 4" xfId="13512"/>
    <cellStyle name="x_Sovereign Bonds 060705_1_03 Embratel DCF Model_Loscos 5" xfId="13513"/>
    <cellStyle name="x_Sovereign Bonds 060705_1_03 Embratel DCF Model_Loscos 6" xfId="13514"/>
    <cellStyle name="x_Sovereign Bonds 060705_1_03 Embratel DCF Model_Loscos 7" xfId="13515"/>
    <cellStyle name="x_Sovereign Bonds 060705_1_03 Embratel DCF Model_Loscos 8" xfId="13516"/>
    <cellStyle name="x_Sovereign Bonds 060705_1_03 Embratel DCF Model_Loscos 9" xfId="13517"/>
    <cellStyle name="x_Sovereign Bonds 060705_1_03 Embratel DCF Model_Loscos_Quadro Comparativo_CRI 400_BR Properties (Modulos+TNU) 20100629 v1 (2)" xfId="13518"/>
    <cellStyle name="x_Sovereign Bonds 060705_1_03 Embratel DCF Model_Loscos_Quadro Comparativo_CRI 400_BR Properties (Modulos+TNU) 20100629 v1 (2) 2" xfId="13519"/>
    <cellStyle name="x_Sovereign Bonds 060705_1_03 Embratel DCF Model_Loscos_Quadro Comparativo_CRI 400_BR Properties (Modulos+TNU) 20100629 v1 (2) 3" xfId="13520"/>
    <cellStyle name="x_Sovereign Bonds 060705_1_03 Embratel DCF Model_Loscos_Quadro Comparativo_CRI 400_BR Properties (Modulos+TNU) 20100629 v1 (2) 4" xfId="13521"/>
    <cellStyle name="x_Sovereign Bonds 060705_1_03 Embratel DCF Model_Loscos_Quadro Comparativo_CRI 400_BR Properties (Modulos+TNU) 20100629 v1 (2) 5" xfId="13522"/>
    <cellStyle name="x_Sovereign Bonds 060705_1_03 Embratel DCF Model_Loscos_Quadro Comparativo_CRI 400_BR Properties (Modulos+TNU) 20100629 v1 (2) 6" xfId="13523"/>
    <cellStyle name="x_Sovereign Bonds 060705_1_03 Embratel DCF Model_Loscos_Quadro Comparativo_CRI 400_BR Properties (Modulos+TNU) 20100629 v1 (2) 7" xfId="13524"/>
    <cellStyle name="x_Sovereign Bonds 060705_1_03 Embratel DCF Model_Loscos_Quadro Comparativo_CRI 400_BR Properties (Modulos+TNU) 20100629 v1 (2) 8" xfId="13525"/>
    <cellStyle name="x_Sovereign Bonds 060705_1_03 Embratel DCF Model_Loscos_Quadro Comparativo_CRI 400_BR Properties (Modulos+TNU) 20100629 v1 (2) 9" xfId="13526"/>
    <cellStyle name="x_Sovereign Bonds 060705_1_05 NET DCF Model" xfId="13527"/>
    <cellStyle name="x_Sovereign Bonds 060705_1_05 NET DCF Model 2" xfId="13528"/>
    <cellStyle name="x_Sovereign Bonds 060705_1_05 NET DCF Model 3" xfId="13529"/>
    <cellStyle name="x_Sovereign Bonds 060705_1_05 NET DCF Model 4" xfId="13530"/>
    <cellStyle name="x_Sovereign Bonds 060705_1_05 NET DCF Model 5" xfId="13531"/>
    <cellStyle name="x_Sovereign Bonds 060705_1_05 NET DCF Model 6" xfId="13532"/>
    <cellStyle name="x_Sovereign Bonds 060705_1_05 NET DCF Model 7" xfId="13533"/>
    <cellStyle name="x_Sovereign Bonds 060705_1_05 NET DCF Model 8" xfId="13534"/>
    <cellStyle name="x_Sovereign Bonds 060705_1_05 NET DCF Model 9" xfId="13535"/>
    <cellStyle name="x_Sovereign Bonds 060705_1_05 TMX Brazil DCF Model" xfId="13536"/>
    <cellStyle name="x_Sovereign Bonds 060705_1_05 TMX Brazil DCF Model 2" xfId="13537"/>
    <cellStyle name="x_Sovereign Bonds 060705_1_05 TMX Brazil DCF Model 3" xfId="13538"/>
    <cellStyle name="x_Sovereign Bonds 060705_1_05 TMX Brazil DCF Model 4" xfId="13539"/>
    <cellStyle name="x_Sovereign Bonds 060705_1_05 TMX Brazil DCF Model 5" xfId="13540"/>
    <cellStyle name="x_Sovereign Bonds 060705_1_05 TMX Brazil DCF Model 6" xfId="13541"/>
    <cellStyle name="x_Sovereign Bonds 060705_1_05 TMX Brazil DCF Model 7" xfId="13542"/>
    <cellStyle name="x_Sovereign Bonds 060705_1_05 TMX Brazil DCF Model 8" xfId="13543"/>
    <cellStyle name="x_Sovereign Bonds 060705_1_05 TMX Brazil DCF Model 9" xfId="13544"/>
    <cellStyle name="x_Sovereign Bonds 060705_1_Quadro Comparativo_CRI 400_BR Properties (Modulos+TNU) 20100629 v1 (2)" xfId="13545"/>
    <cellStyle name="x_Sovereign Bonds 060705_1_Quadro Comparativo_CRI 400_BR Properties (Modulos+TNU) 20100629 v1 (2) 2" xfId="13546"/>
    <cellStyle name="x_Sovereign Bonds 060705_1_Quadro Comparativo_CRI 400_BR Properties (Modulos+TNU) 20100629 v1 (2) 3" xfId="13547"/>
    <cellStyle name="x_Sovereign Bonds 060705_1_Quadro Comparativo_CRI 400_BR Properties (Modulos+TNU) 20100629 v1 (2) 4" xfId="13548"/>
    <cellStyle name="x_Sovereign Bonds 060705_1_Quadro Comparativo_CRI 400_BR Properties (Modulos+TNU) 20100629 v1 (2) 5" xfId="13549"/>
    <cellStyle name="x_Sovereign Bonds 060705_1_Quadro Comparativo_CRI 400_BR Properties (Modulos+TNU) 20100629 v1 (2) 6" xfId="13550"/>
    <cellStyle name="x_Sovereign Bonds 060705_1_Quadro Comparativo_CRI 400_BR Properties (Modulos+TNU) 20100629 v1 (2) 7" xfId="13551"/>
    <cellStyle name="x_Sovereign Bonds 060705_1_Quadro Comparativo_CRI 400_BR Properties (Modulos+TNU) 20100629 v1 (2) 8" xfId="13552"/>
    <cellStyle name="x_Sovereign Bonds 060705_1_Quadro Comparativo_CRI 400_BR Properties (Modulos+TNU) 20100629 v1 (2) 9" xfId="13553"/>
    <cellStyle name="x_Sovereign Bonds 060705_Quadro Comparativo_CRI 400_BR Properties (Modulos+TNU) 20100629 v1 (2)" xfId="13554"/>
    <cellStyle name="x_Sovereign Bonds 060705_Quadro Comparativo_CRI 400_BR Properties (Modulos+TNU) 20100629 v1 (2) 2" xfId="13555"/>
    <cellStyle name="x_Sovereign Bonds 060705_Quadro Comparativo_CRI 400_BR Properties (Modulos+TNU) 20100629 v1 (2) 3" xfId="13556"/>
    <cellStyle name="x_Sovereign Bonds 060705_Quadro Comparativo_CRI 400_BR Properties (Modulos+TNU) 20100629 v1 (2) 4" xfId="13557"/>
    <cellStyle name="x_Sovereign Bonds 060705_Quadro Comparativo_CRI 400_BR Properties (Modulos+TNU) 20100629 v1 (2) 5" xfId="13558"/>
    <cellStyle name="x_Sovereign Bonds 060705_Quadro Comparativo_CRI 400_BR Properties (Modulos+TNU) 20100629 v1 (2) 6" xfId="13559"/>
    <cellStyle name="x_Sovereign Bonds 060705_Quadro Comparativo_CRI 400_BR Properties (Modulos+TNU) 20100629 v1 (2) 7" xfId="13560"/>
    <cellStyle name="x_Sovereign Bonds 060705_Quadro Comparativo_CRI 400_BR Properties (Modulos+TNU) 20100629 v1 (2) 8" xfId="13561"/>
    <cellStyle name="x_Sovereign Bonds 060705_Quadro Comparativo_CRI 400_BR Properties (Modulos+TNU) 20100629 v1 (2) 9" xfId="13562"/>
    <cellStyle name="Year" xfId="13563"/>
    <cellStyle name="Year 10" xfId="13564"/>
    <cellStyle name="Year 11" xfId="13614"/>
    <cellStyle name="Year 12" xfId="13643"/>
    <cellStyle name="Year 2" xfId="13565"/>
    <cellStyle name="Year 3" xfId="13566"/>
    <cellStyle name="Year 4" xfId="13567"/>
    <cellStyle name="Year 5" xfId="13568"/>
    <cellStyle name="Year 6" xfId="13569"/>
    <cellStyle name="Year 7" xfId="13570"/>
    <cellStyle name="Year 8" xfId="13571"/>
    <cellStyle name="Year 9" xfId="13572"/>
    <cellStyle name="YearlyColumn" xfId="13573"/>
    <cellStyle name="YearlyColumn 2" xfId="13574"/>
    <cellStyle name="YearlyColumn 3" xfId="13575"/>
    <cellStyle name="YearlyColumn 4" xfId="13576"/>
    <cellStyle name="YearlyColumn 5" xfId="13577"/>
    <cellStyle name="YearlyColumn 6" xfId="13578"/>
    <cellStyle name="YearlyColumn 7" xfId="13579"/>
    <cellStyle name="YearlyColumn 8" xfId="13580"/>
    <cellStyle name="YearlyColumn 9" xfId="13581"/>
    <cellStyle name="Yen" xfId="13582"/>
    <cellStyle name="Yen 2" xfId="13583"/>
    <cellStyle name="Yen 3" xfId="13584"/>
    <cellStyle name="Yen 4" xfId="13585"/>
    <cellStyle name="Yen 5" xfId="13586"/>
    <cellStyle name="Yen 6" xfId="13587"/>
    <cellStyle name="Yen 7" xfId="13588"/>
    <cellStyle name="Yen 8" xfId="13589"/>
    <cellStyle name="Yen 9" xfId="13590"/>
  </cellStyles>
  <dxfs count="2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#,##0.00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#,##0.00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#,##0.00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#,##0.00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6" formatCode="#,##0.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6" formatCode="#,##0.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#,##0.00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#,##0.00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6" formatCode="#,##0.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6" formatCode="#,##0.000000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75" formatCode="#,##0.000000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6" formatCode="#,##0.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7" formatCode="#,##0.000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</dxfs>
  <tableStyles count="0" defaultTableStyle="TableStyleMedium2" defaultPivotStyle="PivotStyleLight16"/>
  <colors>
    <mruColors>
      <color rgb="FFFFFFCC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mp\notesEC3FD6\~783355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mp\notesC7A056\Papel%20com%20defasagem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L0676664"/>
      <sheetName val="CDI"/>
      <sheetName val="PRE"/>
      <sheetName val="Feriados"/>
    </sheetNames>
    <sheetDataSet>
      <sheetData sheetId="0" refreshError="1"/>
      <sheetData sheetId="1" refreshError="1"/>
      <sheetData sheetId="2">
        <row r="1">
          <cell r="A1" t="str">
            <v>DT_COTC</v>
          </cell>
          <cell r="B1" t="str">
            <v>V_FATR_ACUD_DC_D1</v>
          </cell>
          <cell r="C1" t="str">
            <v>V_FATR_ACUD_DC_D2</v>
          </cell>
          <cell r="D1" t="str">
            <v>CURVA_PRE_V_FATR_ACUD_DU</v>
          </cell>
        </row>
        <row r="2">
          <cell r="A2">
            <v>43440</v>
          </cell>
          <cell r="B2">
            <v>0.99975385809999995</v>
          </cell>
          <cell r="C2">
            <v>0.99950777680000003</v>
          </cell>
          <cell r="D2">
            <v>1</v>
          </cell>
        </row>
        <row r="3">
          <cell r="A3">
            <v>43441</v>
          </cell>
          <cell r="B3">
            <v>1</v>
          </cell>
          <cell r="C3">
            <v>0.99975385809999995</v>
          </cell>
          <cell r="D3">
            <v>1.0002462025000001</v>
          </cell>
        </row>
        <row r="4">
          <cell r="A4">
            <v>43444</v>
          </cell>
          <cell r="B4">
            <v>1.0002462024000001</v>
          </cell>
          <cell r="C4">
            <v>1</v>
          </cell>
          <cell r="D4">
            <v>1.0004924656</v>
          </cell>
        </row>
        <row r="5">
          <cell r="A5">
            <v>43445</v>
          </cell>
          <cell r="B5">
            <v>1.0004924655</v>
          </cell>
          <cell r="C5">
            <v>1.0002462024000001</v>
          </cell>
          <cell r="D5">
            <v>1.0007387892999999</v>
          </cell>
        </row>
        <row r="6">
          <cell r="A6">
            <v>43446</v>
          </cell>
          <cell r="B6">
            <v>1.0007387892999999</v>
          </cell>
          <cell r="C6">
            <v>1.0004924655</v>
          </cell>
          <cell r="D6">
            <v>1.0009851737</v>
          </cell>
        </row>
        <row r="7">
          <cell r="A7">
            <v>43447</v>
          </cell>
          <cell r="B7">
            <v>1.0009851737</v>
          </cell>
          <cell r="C7">
            <v>1.0007387892999999</v>
          </cell>
          <cell r="D7">
            <v>1.0012316187999999</v>
          </cell>
        </row>
        <row r="8">
          <cell r="A8">
            <v>43448</v>
          </cell>
          <cell r="B8">
            <v>1.0012319888000001</v>
          </cell>
          <cell r="C8">
            <v>1.0009855436999999</v>
          </cell>
          <cell r="D8">
            <v>1.0014784946999999</v>
          </cell>
        </row>
        <row r="9">
          <cell r="A9">
            <v>43451</v>
          </cell>
          <cell r="B9">
            <v>1.0014788647999999</v>
          </cell>
          <cell r="C9">
            <v>1.0012323590000001</v>
          </cell>
          <cell r="D9">
            <v>1.0017254314999999</v>
          </cell>
        </row>
        <row r="10">
          <cell r="A10">
            <v>43452</v>
          </cell>
          <cell r="B10">
            <v>1.0017258017999999</v>
          </cell>
          <cell r="C10">
            <v>1.0014792350999999</v>
          </cell>
          <cell r="D10">
            <v>1.0019724292000001</v>
          </cell>
        </row>
        <row r="11">
          <cell r="A11">
            <v>43453</v>
          </cell>
          <cell r="B11">
            <v>1.0019727995000001</v>
          </cell>
          <cell r="C11">
            <v>1.0017261720999999</v>
          </cell>
          <cell r="D11">
            <v>1.0022194877999999</v>
          </cell>
        </row>
        <row r="12">
          <cell r="A12">
            <v>43454</v>
          </cell>
          <cell r="B12">
            <v>1.0022198581999999</v>
          </cell>
          <cell r="C12">
            <v>1.0019731699000001</v>
          </cell>
          <cell r="D12">
            <v>1.0024666072999999</v>
          </cell>
        </row>
        <row r="13">
          <cell r="A13">
            <v>43455</v>
          </cell>
          <cell r="B13">
            <v>1.0024669777999999</v>
          </cell>
          <cell r="C13">
            <v>1.0022202286999999</v>
          </cell>
          <cell r="D13">
            <v>1.0027137877000001</v>
          </cell>
        </row>
        <row r="14">
          <cell r="A14">
            <v>43458</v>
          </cell>
          <cell r="B14">
            <v>1.0027141583000001</v>
          </cell>
          <cell r="C14">
            <v>1.0024673484</v>
          </cell>
          <cell r="D14">
            <v>1.0029610291</v>
          </cell>
        </row>
        <row r="15">
          <cell r="A15">
            <v>43460</v>
          </cell>
          <cell r="B15">
            <v>1.0029613998</v>
          </cell>
          <cell r="C15">
            <v>1.0027145289999999</v>
          </cell>
          <cell r="D15">
            <v>1.0032083315</v>
          </cell>
        </row>
        <row r="16">
          <cell r="A16">
            <v>43461</v>
          </cell>
          <cell r="B16">
            <v>1.0032087023</v>
          </cell>
          <cell r="C16">
            <v>1.0029617706</v>
          </cell>
          <cell r="D16">
            <v>1.0034556948</v>
          </cell>
        </row>
        <row r="17">
          <cell r="A17">
            <v>43462</v>
          </cell>
          <cell r="B17">
            <v>1.0034560657</v>
          </cell>
          <cell r="C17">
            <v>1.0032090731000001</v>
          </cell>
          <cell r="D17">
            <v>1.0037031191000001</v>
          </cell>
        </row>
        <row r="18">
          <cell r="A18">
            <v>43465</v>
          </cell>
          <cell r="B18">
            <v>1.0037034899999999</v>
          </cell>
          <cell r="C18">
            <v>1.0034564366000001</v>
          </cell>
          <cell r="D18">
            <v>1.0039506043999999</v>
          </cell>
        </row>
        <row r="19">
          <cell r="A19">
            <v>43467</v>
          </cell>
          <cell r="B19">
            <v>1.0039509755</v>
          </cell>
          <cell r="C19">
            <v>1.0037038611</v>
          </cell>
          <cell r="D19">
            <v>1.0041981508</v>
          </cell>
        </row>
        <row r="20">
          <cell r="A20">
            <v>43468</v>
          </cell>
          <cell r="B20">
            <v>1.0041992767000001</v>
          </cell>
          <cell r="C20">
            <v>1.0039521011999999</v>
          </cell>
          <cell r="D20">
            <v>1.0044465131</v>
          </cell>
        </row>
        <row r="21">
          <cell r="A21">
            <v>43469</v>
          </cell>
          <cell r="B21">
            <v>1.0044476391999999</v>
          </cell>
          <cell r="C21">
            <v>1.0042004026</v>
          </cell>
          <cell r="D21">
            <v>1.0046949368</v>
          </cell>
        </row>
        <row r="22">
          <cell r="A22">
            <v>43472</v>
          </cell>
          <cell r="B22">
            <v>1.0046960632999999</v>
          </cell>
          <cell r="C22">
            <v>1.0044487655000001</v>
          </cell>
          <cell r="D22">
            <v>1.004943422</v>
          </cell>
        </row>
        <row r="23">
          <cell r="A23">
            <v>43473</v>
          </cell>
          <cell r="B23">
            <v>1.0049445486999999</v>
          </cell>
          <cell r="C23">
            <v>1.0046971897000001</v>
          </cell>
          <cell r="D23">
            <v>1.0051919685999999</v>
          </cell>
        </row>
        <row r="24">
          <cell r="A24">
            <v>43474</v>
          </cell>
          <cell r="B24">
            <v>1.0051930955999999</v>
          </cell>
          <cell r="C24">
            <v>1.0049456754999999</v>
          </cell>
          <cell r="D24">
            <v>1.0054405767000001</v>
          </cell>
        </row>
        <row r="25">
          <cell r="A25">
            <v>43475</v>
          </cell>
          <cell r="B25">
            <v>1.0054417040000001</v>
          </cell>
          <cell r="C25">
            <v>1.0051942226999999</v>
          </cell>
          <cell r="D25">
            <v>1.0056892463</v>
          </cell>
        </row>
        <row r="26">
          <cell r="A26">
            <v>43476</v>
          </cell>
          <cell r="B26">
            <v>1.0056903738</v>
          </cell>
          <cell r="C26">
            <v>1.0054428312000001</v>
          </cell>
          <cell r="D26">
            <v>1.0059379772999999</v>
          </cell>
        </row>
        <row r="27">
          <cell r="A27">
            <v>43479</v>
          </cell>
          <cell r="B27">
            <v>1.0059391051</v>
          </cell>
          <cell r="C27">
            <v>1.0056915014000001</v>
          </cell>
          <cell r="D27">
            <v>1.0061867699</v>
          </cell>
        </row>
        <row r="28">
          <cell r="A28">
            <v>43480</v>
          </cell>
          <cell r="B28">
            <v>1.0061878981000001</v>
          </cell>
          <cell r="C28">
            <v>1.0059402331</v>
          </cell>
          <cell r="D28">
            <v>1.0064356241000001</v>
          </cell>
        </row>
        <row r="29">
          <cell r="A29">
            <v>43481</v>
          </cell>
          <cell r="B29">
            <v>1.0064367524</v>
          </cell>
          <cell r="C29">
            <v>1.0061890261999999</v>
          </cell>
          <cell r="D29">
            <v>1.0066845396999999</v>
          </cell>
        </row>
        <row r="30">
          <cell r="A30">
            <v>43482</v>
          </cell>
          <cell r="B30">
            <v>1.0066856684000001</v>
          </cell>
          <cell r="C30">
            <v>1.0064378809000001</v>
          </cell>
          <cell r="D30">
            <v>1.006933517</v>
          </cell>
        </row>
        <row r="31">
          <cell r="A31">
            <v>43483</v>
          </cell>
          <cell r="B31">
            <v>1.0069346458999999</v>
          </cell>
          <cell r="C31">
            <v>1.0066867971</v>
          </cell>
          <cell r="D31">
            <v>1.0071825558</v>
          </cell>
        </row>
        <row r="32">
          <cell r="A32">
            <v>43486</v>
          </cell>
          <cell r="B32">
            <v>1.007183685</v>
          </cell>
          <cell r="C32">
            <v>1.0069357749000001</v>
          </cell>
          <cell r="D32">
            <v>1.0074316562000001</v>
          </cell>
        </row>
        <row r="33">
          <cell r="A33">
            <v>43487</v>
          </cell>
          <cell r="B33">
            <v>1.0074327857000001</v>
          </cell>
          <cell r="C33">
            <v>1.0071848143</v>
          </cell>
          <cell r="D33">
            <v>1.0076808182000001</v>
          </cell>
        </row>
        <row r="34">
          <cell r="A34">
            <v>43488</v>
          </cell>
          <cell r="B34">
            <v>1.0076819480000001</v>
          </cell>
          <cell r="C34">
            <v>1.0074339153</v>
          </cell>
          <cell r="D34">
            <v>1.0079300418999999</v>
          </cell>
        </row>
        <row r="35">
          <cell r="A35">
            <v>43489</v>
          </cell>
          <cell r="B35">
            <v>1.0079311719999999</v>
          </cell>
          <cell r="C35">
            <v>1.0076830778999999</v>
          </cell>
          <cell r="D35">
            <v>1.0081793271999999</v>
          </cell>
        </row>
        <row r="36">
          <cell r="A36">
            <v>43490</v>
          </cell>
          <cell r="B36">
            <v>1.0081804575</v>
          </cell>
          <cell r="C36">
            <v>1.0079323021</v>
          </cell>
          <cell r="D36">
            <v>1.0084286740999999</v>
          </cell>
        </row>
        <row r="37">
          <cell r="A37">
            <v>43493</v>
          </cell>
          <cell r="B37">
            <v>1.0084298047</v>
          </cell>
          <cell r="C37">
            <v>1.0081815879</v>
          </cell>
          <cell r="D37">
            <v>1.0086780826999999</v>
          </cell>
        </row>
        <row r="38">
          <cell r="A38">
            <v>43494</v>
          </cell>
          <cell r="B38">
            <v>1.0086792136</v>
          </cell>
          <cell r="C38">
            <v>1.0084309354000001</v>
          </cell>
          <cell r="D38">
            <v>1.0089275529999999</v>
          </cell>
        </row>
        <row r="39">
          <cell r="A39">
            <v>43495</v>
          </cell>
          <cell r="B39">
            <v>1.0089286842</v>
          </cell>
          <cell r="C39">
            <v>1.0086803445999999</v>
          </cell>
          <cell r="D39">
            <v>1.0091770849999999</v>
          </cell>
        </row>
        <row r="40">
          <cell r="A40">
            <v>43496</v>
          </cell>
          <cell r="B40">
            <v>1.0091782165000001</v>
          </cell>
          <cell r="C40">
            <v>1.0089298153999999</v>
          </cell>
          <cell r="D40">
            <v>1.0094266786999999</v>
          </cell>
        </row>
        <row r="41">
          <cell r="A41">
            <v>43497</v>
          </cell>
          <cell r="B41">
            <v>1.0094278104000001</v>
          </cell>
          <cell r="C41">
            <v>1.0091793479</v>
          </cell>
          <cell r="D41">
            <v>1.0096763340999999</v>
          </cell>
        </row>
        <row r="42">
          <cell r="A42">
            <v>43500</v>
          </cell>
          <cell r="B42">
            <v>1.0096774661000001</v>
          </cell>
          <cell r="C42">
            <v>1.0094289422</v>
          </cell>
          <cell r="D42">
            <v>1.0099260512999999</v>
          </cell>
        </row>
        <row r="43">
          <cell r="A43">
            <v>43501</v>
          </cell>
          <cell r="B43">
            <v>1.0099271835999999</v>
          </cell>
          <cell r="C43">
            <v>1.0096785982000001</v>
          </cell>
          <cell r="D43">
            <v>1.0101758301999999</v>
          </cell>
        </row>
        <row r="44">
          <cell r="A44">
            <v>43502</v>
          </cell>
          <cell r="B44">
            <v>1.0101769628999999</v>
          </cell>
          <cell r="C44">
            <v>1.0099283160000001</v>
          </cell>
          <cell r="D44">
            <v>1.0104256709999999</v>
          </cell>
        </row>
        <row r="45">
          <cell r="A45">
            <v>43503</v>
          </cell>
          <cell r="B45">
            <v>1.0104268037999999</v>
          </cell>
          <cell r="C45">
            <v>1.0101780954999999</v>
          </cell>
          <cell r="D45">
            <v>1.0106755734999999</v>
          </cell>
        </row>
        <row r="46">
          <cell r="A46">
            <v>43504</v>
          </cell>
          <cell r="B46">
            <v>1.0106779002999999</v>
          </cell>
          <cell r="C46">
            <v>1.0104291301999999</v>
          </cell>
          <cell r="D46">
            <v>1.0109267317999999</v>
          </cell>
        </row>
        <row r="47">
          <cell r="A47">
            <v>43507</v>
          </cell>
          <cell r="B47">
            <v>1.0109290593</v>
          </cell>
          <cell r="C47">
            <v>1.0106802273</v>
          </cell>
          <cell r="D47">
            <v>1.0111779526</v>
          </cell>
        </row>
        <row r="48">
          <cell r="A48">
            <v>43508</v>
          </cell>
          <cell r="B48">
            <v>1.0111802806000001</v>
          </cell>
          <cell r="C48">
            <v>1.0109313868000001</v>
          </cell>
          <cell r="D48">
            <v>1.0114292358000001</v>
          </cell>
        </row>
        <row r="49">
          <cell r="A49">
            <v>43509</v>
          </cell>
          <cell r="B49">
            <v>1.0114315645</v>
          </cell>
          <cell r="C49">
            <v>1.0111826088</v>
          </cell>
          <cell r="D49">
            <v>1.0116805815000001</v>
          </cell>
        </row>
        <row r="50">
          <cell r="A50">
            <v>43510</v>
          </cell>
          <cell r="B50">
            <v>1.0116829107</v>
          </cell>
          <cell r="C50">
            <v>1.0114338932</v>
          </cell>
          <cell r="D50">
            <v>1.0119319896000001</v>
          </cell>
        </row>
        <row r="51">
          <cell r="A51">
            <v>43511</v>
          </cell>
          <cell r="B51">
            <v>1.0119343193999999</v>
          </cell>
          <cell r="C51">
            <v>1.01168524</v>
          </cell>
          <cell r="D51">
            <v>1.0121834601999999</v>
          </cell>
        </row>
        <row r="52">
          <cell r="A52">
            <v>43514</v>
          </cell>
          <cell r="B52">
            <v>1.0121857906</v>
          </cell>
          <cell r="C52">
            <v>1.0119366492999999</v>
          </cell>
          <cell r="D52">
            <v>1.0124349933000001</v>
          </cell>
        </row>
        <row r="53">
          <cell r="A53">
            <v>43515</v>
          </cell>
          <cell r="B53">
            <v>1.0124373241</v>
          </cell>
          <cell r="C53">
            <v>1.0121881209000001</v>
          </cell>
          <cell r="D53">
            <v>1.0126865888000001</v>
          </cell>
        </row>
        <row r="54">
          <cell r="A54">
            <v>43516</v>
          </cell>
          <cell r="B54">
            <v>1.0126889204</v>
          </cell>
          <cell r="C54">
            <v>1.0124396551999999</v>
          </cell>
          <cell r="D54">
            <v>1.0129382469999999</v>
          </cell>
        </row>
        <row r="55">
          <cell r="A55">
            <v>43517</v>
          </cell>
          <cell r="B55">
            <v>1.0129405789999999</v>
          </cell>
          <cell r="C55">
            <v>1.0126912519</v>
          </cell>
          <cell r="D55">
            <v>1.0131899676</v>
          </cell>
        </row>
        <row r="56">
          <cell r="A56">
            <v>43518</v>
          </cell>
          <cell r="B56">
            <v>1.0131923003000001</v>
          </cell>
          <cell r="C56">
            <v>1.0129429111999999</v>
          </cell>
          <cell r="D56">
            <v>1.0134417508</v>
          </cell>
        </row>
        <row r="57">
          <cell r="A57">
            <v>43521</v>
          </cell>
          <cell r="B57">
            <v>1.0134440841000001</v>
          </cell>
          <cell r="C57">
            <v>1.0131946329999999</v>
          </cell>
          <cell r="D57">
            <v>1.0136935966</v>
          </cell>
        </row>
        <row r="58">
          <cell r="A58">
            <v>43522</v>
          </cell>
          <cell r="B58">
            <v>1.0136959303999999</v>
          </cell>
          <cell r="C58">
            <v>1.0134464174</v>
          </cell>
          <cell r="D58">
            <v>1.0139455048999999</v>
          </cell>
        </row>
        <row r="59">
          <cell r="A59">
            <v>43523</v>
          </cell>
          <cell r="B59">
            <v>1.0139478394000001</v>
          </cell>
          <cell r="C59">
            <v>1.0136982643000001</v>
          </cell>
          <cell r="D59">
            <v>1.0141974759000001</v>
          </cell>
        </row>
        <row r="60">
          <cell r="A60">
            <v>43524</v>
          </cell>
          <cell r="B60">
            <v>1.0141998109000001</v>
          </cell>
          <cell r="C60">
            <v>1.0139501739000001</v>
          </cell>
          <cell r="D60">
            <v>1.0144495094999999</v>
          </cell>
        </row>
        <row r="61">
          <cell r="A61">
            <v>43525</v>
          </cell>
          <cell r="B61">
            <v>1.0144518451</v>
          </cell>
          <cell r="C61">
            <v>1.0142021459999999</v>
          </cell>
          <cell r="D61">
            <v>1.0147016057</v>
          </cell>
        </row>
        <row r="62">
          <cell r="A62">
            <v>43530</v>
          </cell>
          <cell r="B62">
            <v>1.0147048321000001</v>
          </cell>
          <cell r="C62">
            <v>1.0144550707</v>
          </cell>
          <cell r="D62">
            <v>1.0149546549999999</v>
          </cell>
        </row>
        <row r="63">
          <cell r="A63">
            <v>43531</v>
          </cell>
          <cell r="B63">
            <v>1.0149578821</v>
          </cell>
          <cell r="C63">
            <v>1.0147080583999999</v>
          </cell>
          <cell r="D63">
            <v>1.0152077673</v>
          </cell>
        </row>
        <row r="64">
          <cell r="A64">
            <v>43532</v>
          </cell>
          <cell r="B64">
            <v>1.0152109952999999</v>
          </cell>
          <cell r="C64">
            <v>1.0149611092999999</v>
          </cell>
          <cell r="D64">
            <v>1.0154609428000001</v>
          </cell>
        </row>
        <row r="65">
          <cell r="A65">
            <v>43535</v>
          </cell>
          <cell r="B65">
            <v>1.0154641715999999</v>
          </cell>
          <cell r="C65">
            <v>1.0152142233999999</v>
          </cell>
          <cell r="D65">
            <v>1.0157141814999999</v>
          </cell>
        </row>
        <row r="66">
          <cell r="A66">
            <v>43536</v>
          </cell>
          <cell r="B66">
            <v>1.0157174111</v>
          </cell>
          <cell r="C66">
            <v>1.0154674005</v>
          </cell>
          <cell r="D66">
            <v>1.0159674833000001</v>
          </cell>
        </row>
        <row r="67">
          <cell r="A67">
            <v>43537</v>
          </cell>
          <cell r="B67">
            <v>1.0159707136</v>
          </cell>
          <cell r="C67">
            <v>1.0157206406999999</v>
          </cell>
          <cell r="D67">
            <v>1.0162208481999999</v>
          </cell>
        </row>
        <row r="68">
          <cell r="A68">
            <v>43538</v>
          </cell>
          <cell r="B68">
            <v>1.0162240793999999</v>
          </cell>
          <cell r="C68">
            <v>1.0159739441</v>
          </cell>
          <cell r="D68">
            <v>1.0164742764000001</v>
          </cell>
        </row>
        <row r="69">
          <cell r="A69">
            <v>43539</v>
          </cell>
          <cell r="B69">
            <v>1.0164775082999999</v>
          </cell>
          <cell r="C69">
            <v>1.0162273106999999</v>
          </cell>
          <cell r="D69">
            <v>1.0167277677</v>
          </cell>
        </row>
        <row r="70">
          <cell r="A70">
            <v>43542</v>
          </cell>
          <cell r="B70">
            <v>1.0167310005000001</v>
          </cell>
          <cell r="C70">
            <v>1.0164807405</v>
          </cell>
          <cell r="D70">
            <v>1.0169813222999999</v>
          </cell>
        </row>
        <row r="71">
          <cell r="A71">
            <v>43543</v>
          </cell>
          <cell r="B71">
            <v>1.0169845558999999</v>
          </cell>
          <cell r="C71">
            <v>1.0167342334</v>
          </cell>
          <cell r="D71">
            <v>1.0172349401</v>
          </cell>
        </row>
        <row r="72">
          <cell r="A72">
            <v>43544</v>
          </cell>
          <cell r="B72">
            <v>1.0172381745000001</v>
          </cell>
          <cell r="C72">
            <v>1.0169877894999999</v>
          </cell>
          <cell r="D72">
            <v>1.0174886211</v>
          </cell>
        </row>
        <row r="73">
          <cell r="A73">
            <v>43545</v>
          </cell>
          <cell r="B73">
            <v>1.0174918562999999</v>
          </cell>
          <cell r="C73">
            <v>1.0172414088999999</v>
          </cell>
          <cell r="D73">
            <v>1.0177423654</v>
          </cell>
        </row>
        <row r="74">
          <cell r="A74">
            <v>43546</v>
          </cell>
          <cell r="B74">
            <v>1.0177456013999999</v>
          </cell>
          <cell r="C74">
            <v>1.0174950916000001</v>
          </cell>
          <cell r="D74">
            <v>1.017996173</v>
          </cell>
        </row>
        <row r="75">
          <cell r="A75">
            <v>43549</v>
          </cell>
          <cell r="B75">
            <v>1.0179994099</v>
          </cell>
          <cell r="C75">
            <v>1.0177488375999999</v>
          </cell>
          <cell r="D75">
            <v>1.0182500439</v>
          </cell>
        </row>
        <row r="76">
          <cell r="A76">
            <v>43550</v>
          </cell>
          <cell r="B76">
            <v>1.0182532815000001</v>
          </cell>
          <cell r="C76">
            <v>1.0180026468000001</v>
          </cell>
          <cell r="D76">
            <v>1.0185039781</v>
          </cell>
        </row>
        <row r="77">
          <cell r="A77">
            <v>43551</v>
          </cell>
          <cell r="B77">
            <v>1.0185072165</v>
          </cell>
          <cell r="C77">
            <v>1.0182565191999999</v>
          </cell>
          <cell r="D77">
            <v>1.0187579756</v>
          </cell>
        </row>
        <row r="78">
          <cell r="A78">
            <v>43552</v>
          </cell>
          <cell r="B78">
            <v>1.0187612149</v>
          </cell>
          <cell r="C78">
            <v>1.0185104550999999</v>
          </cell>
          <cell r="D78">
            <v>1.0190120364999999</v>
          </cell>
        </row>
        <row r="79">
          <cell r="A79">
            <v>43553</v>
          </cell>
          <cell r="B79">
            <v>1.0190152765</v>
          </cell>
          <cell r="C79">
            <v>1.0187644542000001</v>
          </cell>
          <cell r="D79">
            <v>1.0192661607</v>
          </cell>
        </row>
        <row r="80">
          <cell r="A80">
            <v>43556</v>
          </cell>
          <cell r="B80">
            <v>1.0192694015999999</v>
          </cell>
          <cell r="C80">
            <v>1.0190185167000001</v>
          </cell>
          <cell r="D80">
            <v>1.0195203482999999</v>
          </cell>
        </row>
        <row r="81">
          <cell r="A81">
            <v>43557</v>
          </cell>
          <cell r="B81">
            <v>1.0195256447000001</v>
          </cell>
          <cell r="C81">
            <v>1.0192746966999999</v>
          </cell>
          <cell r="D81">
            <v>1.0197766545</v>
          </cell>
        </row>
        <row r="82">
          <cell r="A82">
            <v>43558</v>
          </cell>
          <cell r="B82">
            <v>1.0197819522</v>
          </cell>
          <cell r="C82">
            <v>1.0195309411</v>
          </cell>
          <cell r="D82">
            <v>1.0200330251</v>
          </cell>
        </row>
        <row r="83">
          <cell r="A83">
            <v>43559</v>
          </cell>
          <cell r="B83">
            <v>1.0200383242</v>
          </cell>
          <cell r="C83">
            <v>1.01978725</v>
          </cell>
          <cell r="D83">
            <v>1.0202894602000001</v>
          </cell>
        </row>
        <row r="84">
          <cell r="A84">
            <v>43560</v>
          </cell>
          <cell r="B84">
            <v>1.0202947604999999</v>
          </cell>
          <cell r="C84">
            <v>1.0200436233000001</v>
          </cell>
          <cell r="D84">
            <v>1.0205459596999999</v>
          </cell>
        </row>
        <row r="85">
          <cell r="A85">
            <v>43563</v>
          </cell>
          <cell r="B85">
            <v>1.0205512614000001</v>
          </cell>
          <cell r="C85">
            <v>1.0203000609999999</v>
          </cell>
          <cell r="D85">
            <v>1.0208025237</v>
          </cell>
        </row>
        <row r="86">
          <cell r="A86">
            <v>43564</v>
          </cell>
          <cell r="B86">
            <v>1.0208078267</v>
          </cell>
          <cell r="C86">
            <v>1.0205565631</v>
          </cell>
          <cell r="D86">
            <v>1.0210591522000001</v>
          </cell>
        </row>
        <row r="87">
          <cell r="A87">
            <v>43565</v>
          </cell>
          <cell r="B87">
            <v>1.0210644565</v>
          </cell>
          <cell r="C87">
            <v>1.0208131298000001</v>
          </cell>
          <cell r="D87">
            <v>1.0213158452</v>
          </cell>
        </row>
        <row r="88">
          <cell r="A88">
            <v>43566</v>
          </cell>
          <cell r="B88">
            <v>1.0213211509</v>
          </cell>
          <cell r="C88">
            <v>1.0210697609999999</v>
          </cell>
          <cell r="D88">
            <v>1.0215726028000001</v>
          </cell>
        </row>
        <row r="89">
          <cell r="A89">
            <v>43567</v>
          </cell>
          <cell r="B89">
            <v>1.0215779098</v>
          </cell>
          <cell r="C89">
            <v>1.0213264567</v>
          </cell>
          <cell r="D89">
            <v>1.0218294248999999</v>
          </cell>
        </row>
        <row r="90">
          <cell r="A90">
            <v>43570</v>
          </cell>
          <cell r="B90">
            <v>1.0218347333</v>
          </cell>
          <cell r="C90">
            <v>1.0215832170000001</v>
          </cell>
          <cell r="D90">
            <v>1.0220863116000001</v>
          </cell>
        </row>
        <row r="91">
          <cell r="A91">
            <v>43571</v>
          </cell>
          <cell r="B91">
            <v>1.0220916213</v>
          </cell>
          <cell r="C91">
            <v>1.0218400418</v>
          </cell>
          <cell r="D91">
            <v>1.0223432629</v>
          </cell>
        </row>
        <row r="92">
          <cell r="A92">
            <v>43572</v>
          </cell>
          <cell r="B92">
            <v>1.0223485739</v>
          </cell>
          <cell r="C92">
            <v>1.0220969311000001</v>
          </cell>
          <cell r="D92">
            <v>1.0226002786999999</v>
          </cell>
        </row>
        <row r="93">
          <cell r="A93">
            <v>43573</v>
          </cell>
          <cell r="B93">
            <v>1.0226055911</v>
          </cell>
          <cell r="C93">
            <v>1.022353885</v>
          </cell>
          <cell r="D93">
            <v>1.0228573592000001</v>
          </cell>
        </row>
        <row r="94">
          <cell r="A94">
            <v>43577</v>
          </cell>
          <cell r="B94">
            <v>1.0228626729000001</v>
          </cell>
          <cell r="C94">
            <v>1.0226109036</v>
          </cell>
          <cell r="D94">
            <v>1.0231145043000001</v>
          </cell>
        </row>
        <row r="95">
          <cell r="A95">
            <v>43578</v>
          </cell>
          <cell r="B95">
            <v>1.0231198193</v>
          </cell>
          <cell r="C95">
            <v>1.0228679866999999</v>
          </cell>
          <cell r="D95">
            <v>1.023371714</v>
          </cell>
        </row>
        <row r="96">
          <cell r="A96">
            <v>43579</v>
          </cell>
          <cell r="B96">
            <v>1.0233770304000001</v>
          </cell>
          <cell r="C96">
            <v>1.0231251344000001</v>
          </cell>
          <cell r="D96">
            <v>1.0236289884000001</v>
          </cell>
        </row>
        <row r="97">
          <cell r="A97">
            <v>43580</v>
          </cell>
          <cell r="B97">
            <v>1.0236343060999999</v>
          </cell>
          <cell r="C97">
            <v>1.0233823468000001</v>
          </cell>
          <cell r="D97">
            <v>1.0238863275000001</v>
          </cell>
        </row>
        <row r="98">
          <cell r="A98">
            <v>43581</v>
          </cell>
          <cell r="B98">
            <v>1.0238916466000001</v>
          </cell>
          <cell r="C98">
            <v>1.0236396239000001</v>
          </cell>
          <cell r="D98">
            <v>1.0241437312999999</v>
          </cell>
        </row>
        <row r="99">
          <cell r="A99">
            <v>43584</v>
          </cell>
          <cell r="B99">
            <v>1.0241490517</v>
          </cell>
          <cell r="C99">
            <v>1.0238969657000001</v>
          </cell>
          <cell r="D99">
            <v>1.0244011998</v>
          </cell>
        </row>
        <row r="100">
          <cell r="A100">
            <v>43585</v>
          </cell>
          <cell r="B100">
            <v>1.0244065215</v>
          </cell>
          <cell r="C100">
            <v>1.0241543721999999</v>
          </cell>
          <cell r="D100">
            <v>1.0246587330000001</v>
          </cell>
        </row>
        <row r="101">
          <cell r="A101">
            <v>43587</v>
          </cell>
          <cell r="B101">
            <v>1.0246640561</v>
          </cell>
          <cell r="C101">
            <v>1.0244118434</v>
          </cell>
          <cell r="D101">
            <v>1.024916331</v>
          </cell>
        </row>
        <row r="102">
          <cell r="A102">
            <v>43588</v>
          </cell>
          <cell r="B102">
            <v>1.0249280585</v>
          </cell>
          <cell r="C102">
            <v>1.0246757808</v>
          </cell>
          <cell r="D102">
            <v>1.0251803984000001</v>
          </cell>
        </row>
        <row r="103">
          <cell r="A103">
            <v>43591</v>
          </cell>
          <cell r="B103">
            <v>1.0251921289000001</v>
          </cell>
          <cell r="C103">
            <v>1.0249397862</v>
          </cell>
          <cell r="D103">
            <v>1.0254445338</v>
          </cell>
        </row>
        <row r="104">
          <cell r="A104">
            <v>43592</v>
          </cell>
          <cell r="B104">
            <v>1.0254562675000001</v>
          </cell>
          <cell r="C104">
            <v>1.0252038596999999</v>
          </cell>
          <cell r="D104">
            <v>1.0257087374</v>
          </cell>
        </row>
        <row r="105">
          <cell r="A105">
            <v>43593</v>
          </cell>
          <cell r="B105">
            <v>1.0257204739000001</v>
          </cell>
          <cell r="C105">
            <v>1.0254680010999999</v>
          </cell>
          <cell r="D105">
            <v>1.0259730089000001</v>
          </cell>
        </row>
        <row r="106">
          <cell r="A106">
            <v>43594</v>
          </cell>
          <cell r="B106">
            <v>1.0259847485</v>
          </cell>
          <cell r="C106">
            <v>1.0257322107</v>
          </cell>
          <cell r="D106">
            <v>1.0262373486</v>
          </cell>
        </row>
        <row r="107">
          <cell r="A107">
            <v>43595</v>
          </cell>
          <cell r="B107">
            <v>1.0262490913</v>
          </cell>
          <cell r="C107">
            <v>1.0259964883999999</v>
          </cell>
          <cell r="D107">
            <v>1.0265017564000001</v>
          </cell>
        </row>
        <row r="108">
          <cell r="A108">
            <v>43598</v>
          </cell>
          <cell r="B108">
            <v>1.0265135021</v>
          </cell>
          <cell r="C108">
            <v>1.0262608340999999</v>
          </cell>
          <cell r="D108">
            <v>1.0267662323</v>
          </cell>
        </row>
        <row r="109">
          <cell r="A109">
            <v>43599</v>
          </cell>
          <cell r="B109">
            <v>1.026777981</v>
          </cell>
          <cell r="C109">
            <v>1.026525248</v>
          </cell>
          <cell r="D109">
            <v>1.0270307764</v>
          </cell>
        </row>
        <row r="110">
          <cell r="A110">
            <v>43600</v>
          </cell>
          <cell r="B110">
            <v>1.0270425281</v>
          </cell>
          <cell r="C110">
            <v>1.0267897298999999</v>
          </cell>
          <cell r="D110">
            <v>1.0272953886</v>
          </cell>
        </row>
        <row r="111">
          <cell r="A111">
            <v>43601</v>
          </cell>
          <cell r="B111">
            <v>1.0273071433000001</v>
          </cell>
          <cell r="C111">
            <v>1.0270542799</v>
          </cell>
          <cell r="D111">
            <v>1.0275600689</v>
          </cell>
        </row>
        <row r="112">
          <cell r="A112">
            <v>43602</v>
          </cell>
          <cell r="B112">
            <v>1.0275718267</v>
          </cell>
          <cell r="C112">
            <v>1.0273188982000001</v>
          </cell>
          <cell r="D112">
            <v>1.0278248175</v>
          </cell>
        </row>
        <row r="113">
          <cell r="A113">
            <v>43605</v>
          </cell>
          <cell r="B113">
            <v>1.0278365783000001</v>
          </cell>
          <cell r="C113">
            <v>1.0275835847000001</v>
          </cell>
          <cell r="D113">
            <v>1.0280896343000001</v>
          </cell>
        </row>
        <row r="114">
          <cell r="A114">
            <v>43606</v>
          </cell>
          <cell r="B114">
            <v>1.0281013981</v>
          </cell>
          <cell r="C114">
            <v>1.0278483393</v>
          </cell>
          <cell r="D114">
            <v>1.0283545193000001</v>
          </cell>
        </row>
        <row r="115">
          <cell r="A115">
            <v>43607</v>
          </cell>
          <cell r="B115">
            <v>1.0283662862</v>
          </cell>
          <cell r="C115">
            <v>1.0281131621999999</v>
          </cell>
          <cell r="D115">
            <v>1.0286194726</v>
          </cell>
        </row>
        <row r="116">
          <cell r="A116">
            <v>43608</v>
          </cell>
          <cell r="B116">
            <v>1.0286312424999999</v>
          </cell>
          <cell r="C116">
            <v>1.0283780532</v>
          </cell>
          <cell r="D116">
            <v>1.0288844940999999</v>
          </cell>
        </row>
        <row r="117">
          <cell r="A117">
            <v>43609</v>
          </cell>
          <cell r="B117">
            <v>1.0288962669999999</v>
          </cell>
          <cell r="C117">
            <v>1.0286430125999999</v>
          </cell>
          <cell r="D117">
            <v>1.0291495839</v>
          </cell>
        </row>
        <row r="118">
          <cell r="A118">
            <v>43612</v>
          </cell>
          <cell r="B118">
            <v>1.02916136</v>
          </cell>
          <cell r="C118">
            <v>1.0289080401999999</v>
          </cell>
          <cell r="D118">
            <v>1.0294147420999999</v>
          </cell>
        </row>
        <row r="119">
          <cell r="A119">
            <v>43613</v>
          </cell>
          <cell r="B119">
            <v>1.0294265211</v>
          </cell>
          <cell r="C119">
            <v>1.0291731361000001</v>
          </cell>
          <cell r="D119">
            <v>1.0296799685</v>
          </cell>
        </row>
        <row r="120">
          <cell r="A120">
            <v>43614</v>
          </cell>
          <cell r="B120">
            <v>1.0296917506000001</v>
          </cell>
          <cell r="C120">
            <v>1.0294383003000001</v>
          </cell>
          <cell r="D120">
            <v>1.0299452632999999</v>
          </cell>
        </row>
        <row r="121">
          <cell r="A121">
            <v>43615</v>
          </cell>
          <cell r="B121">
            <v>1.0299570483</v>
          </cell>
          <cell r="C121">
            <v>1.0297035327999999</v>
          </cell>
          <cell r="D121">
            <v>1.0302106263999999</v>
          </cell>
        </row>
        <row r="122">
          <cell r="A122">
            <v>43616</v>
          </cell>
          <cell r="B122">
            <v>1.0302224145000001</v>
          </cell>
          <cell r="C122">
            <v>1.0299688335999999</v>
          </cell>
          <cell r="D122">
            <v>1.0304760579000001</v>
          </cell>
        </row>
        <row r="123">
          <cell r="A123">
            <v>43619</v>
          </cell>
          <cell r="B123">
            <v>1.030487849</v>
          </cell>
          <cell r="C123">
            <v>1.0302342027</v>
          </cell>
          <cell r="D123">
            <v>1.0307415577000001</v>
          </cell>
        </row>
        <row r="124">
          <cell r="A124">
            <v>43620</v>
          </cell>
          <cell r="B124">
            <v>1.0307545155</v>
          </cell>
          <cell r="C124">
            <v>1.0305008037000001</v>
          </cell>
          <cell r="D124">
            <v>1.0310082898999999</v>
          </cell>
        </row>
        <row r="125">
          <cell r="A125">
            <v>43621</v>
          </cell>
          <cell r="B125">
            <v>1.0310212510000001</v>
          </cell>
          <cell r="C125">
            <v>1.0307674735000001</v>
          </cell>
          <cell r="D125">
            <v>1.0312750910999999</v>
          </cell>
        </row>
        <row r="126">
          <cell r="A126">
            <v>43622</v>
          </cell>
          <cell r="B126">
            <v>1.0312880556999999</v>
          </cell>
          <cell r="C126">
            <v>1.0310342125</v>
          </cell>
          <cell r="D126">
            <v>1.0315419614000001</v>
          </cell>
        </row>
        <row r="127">
          <cell r="A127">
            <v>43623</v>
          </cell>
          <cell r="B127">
            <v>1.0315549291999999</v>
          </cell>
          <cell r="C127">
            <v>1.0313010203999999</v>
          </cell>
          <cell r="D127">
            <v>1.0318089007</v>
          </cell>
        </row>
        <row r="128">
          <cell r="A128">
            <v>43626</v>
          </cell>
          <cell r="B128">
            <v>1.0318218719000001</v>
          </cell>
          <cell r="C128">
            <v>1.0315678973</v>
          </cell>
          <cell r="D128">
            <v>1.0320759091</v>
          </cell>
        </row>
        <row r="129">
          <cell r="A129">
            <v>43627</v>
          </cell>
          <cell r="B129">
            <v>1.0320888837</v>
          </cell>
          <cell r="C129">
            <v>1.0318348434</v>
          </cell>
          <cell r="D129">
            <v>1.0323429866</v>
          </cell>
        </row>
        <row r="130">
          <cell r="A130">
            <v>43628</v>
          </cell>
          <cell r="B130">
            <v>1.0323559645</v>
          </cell>
          <cell r="C130">
            <v>1.0321018584999999</v>
          </cell>
          <cell r="D130">
            <v>1.0326101331999999</v>
          </cell>
        </row>
        <row r="131">
          <cell r="A131">
            <v>43629</v>
          </cell>
          <cell r="B131">
            <v>1.0326231145</v>
          </cell>
          <cell r="C131">
            <v>1.0323689427</v>
          </cell>
          <cell r="D131">
            <v>1.0328773489</v>
          </cell>
        </row>
        <row r="132">
          <cell r="A132">
            <v>43630</v>
          </cell>
          <cell r="B132">
            <v>1.0328903335999999</v>
          </cell>
          <cell r="C132">
            <v>1.0326360960000001</v>
          </cell>
          <cell r="D132">
            <v>1.0331446338000001</v>
          </cell>
        </row>
        <row r="133">
          <cell r="A133">
            <v>43633</v>
          </cell>
          <cell r="B133">
            <v>1.0331576218</v>
          </cell>
          <cell r="C133">
            <v>1.0329033184</v>
          </cell>
          <cell r="D133">
            <v>1.0334119878000001</v>
          </cell>
        </row>
        <row r="134">
          <cell r="A134">
            <v>43634</v>
          </cell>
          <cell r="B134">
            <v>1.0334249792000001</v>
          </cell>
          <cell r="C134">
            <v>1.0331706101</v>
          </cell>
          <cell r="D134">
            <v>1.0336794111000001</v>
          </cell>
        </row>
        <row r="135">
          <cell r="A135">
            <v>43635</v>
          </cell>
          <cell r="B135">
            <v>1.0336924058000001</v>
          </cell>
          <cell r="C135">
            <v>1.0334379708000001</v>
          </cell>
          <cell r="D135">
            <v>1.0339469035</v>
          </cell>
        </row>
        <row r="136">
          <cell r="A136">
            <v>43637</v>
          </cell>
          <cell r="B136">
            <v>1.0339599016000001</v>
          </cell>
          <cell r="C136">
            <v>1.0337054008</v>
          </cell>
          <cell r="D136">
            <v>1.0342144652</v>
          </cell>
        </row>
        <row r="137">
          <cell r="A137">
            <v>43640</v>
          </cell>
          <cell r="B137">
            <v>1.0342274667</v>
          </cell>
          <cell r="C137">
            <v>1.0339729</v>
          </cell>
          <cell r="D137">
            <v>1.0344820961000001</v>
          </cell>
        </row>
        <row r="138">
          <cell r="A138">
            <v>43641</v>
          </cell>
          <cell r="B138">
            <v>1.0344951009000001</v>
          </cell>
          <cell r="C138">
            <v>1.0342404682999999</v>
          </cell>
          <cell r="D138">
            <v>1.0347497962000001</v>
          </cell>
        </row>
        <row r="139">
          <cell r="A139">
            <v>43642</v>
          </cell>
          <cell r="B139">
            <v>1.0347628043999999</v>
          </cell>
          <cell r="C139">
            <v>1.0345081059000001</v>
          </cell>
          <cell r="D139">
            <v>1.0350175656</v>
          </cell>
        </row>
        <row r="140">
          <cell r="A140">
            <v>43643</v>
          </cell>
          <cell r="B140">
            <v>1.0350305771999999</v>
          </cell>
          <cell r="C140">
            <v>1.0347758129</v>
          </cell>
          <cell r="D140">
            <v>1.0352854043999999</v>
          </cell>
        </row>
        <row r="141">
          <cell r="A141">
            <v>43644</v>
          </cell>
          <cell r="B141">
            <v>1.0352984193000001</v>
          </cell>
          <cell r="C141">
            <v>1.035043589</v>
          </cell>
          <cell r="D141">
            <v>1.0355533124</v>
          </cell>
        </row>
        <row r="142">
          <cell r="A142">
            <v>43647</v>
          </cell>
          <cell r="B142">
            <v>1.0355663307</v>
          </cell>
          <cell r="C142">
            <v>1.0353114345000001</v>
          </cell>
          <cell r="D142">
            <v>1.0358212898000001</v>
          </cell>
        </row>
        <row r="143">
          <cell r="A143">
            <v>43648</v>
          </cell>
          <cell r="B143">
            <v>1.035826694</v>
          </cell>
          <cell r="C143">
            <v>1.0355717337000001</v>
          </cell>
          <cell r="D143">
            <v>1.0360817172000001</v>
          </cell>
        </row>
        <row r="144">
          <cell r="A144">
            <v>43649</v>
          </cell>
          <cell r="B144">
            <v>1.0360871227999999</v>
          </cell>
          <cell r="C144">
            <v>1.0358320984</v>
          </cell>
          <cell r="D144">
            <v>1.0363422100999999</v>
          </cell>
        </row>
        <row r="145">
          <cell r="A145">
            <v>43650</v>
          </cell>
          <cell r="B145">
            <v>1.0363476170999999</v>
          </cell>
          <cell r="C145">
            <v>1.0360925285</v>
          </cell>
          <cell r="D145">
            <v>1.0366027685000001</v>
          </cell>
        </row>
        <row r="146">
          <cell r="A146">
            <v>43651</v>
          </cell>
          <cell r="B146">
            <v>1.0366081769</v>
          </cell>
          <cell r="C146">
            <v>1.0363530242000001</v>
          </cell>
          <cell r="D146">
            <v>1.0368633924999999</v>
          </cell>
        </row>
        <row r="147">
          <cell r="A147">
            <v>43654</v>
          </cell>
          <cell r="B147">
            <v>1.0368688022000001</v>
          </cell>
          <cell r="C147">
            <v>1.0366135853</v>
          </cell>
          <cell r="D147">
            <v>1.0371240819</v>
          </cell>
        </row>
        <row r="148">
          <cell r="A148">
            <v>43655</v>
          </cell>
          <cell r="B148">
            <v>1.0371294929999999</v>
          </cell>
          <cell r="C148">
            <v>1.0368742120000001</v>
          </cell>
          <cell r="D148">
            <v>1.0373848369000001</v>
          </cell>
        </row>
        <row r="149">
          <cell r="A149">
            <v>43656</v>
          </cell>
          <cell r="B149">
            <v>1.0373902494</v>
          </cell>
          <cell r="C149">
            <v>1.0371349042</v>
          </cell>
          <cell r="D149">
            <v>1.0376456574999999</v>
          </cell>
        </row>
        <row r="150">
          <cell r="A150">
            <v>43657</v>
          </cell>
          <cell r="B150">
            <v>1.0376510713</v>
          </cell>
          <cell r="C150">
            <v>1.0373956619</v>
          </cell>
          <cell r="D150">
            <v>1.0379065435999999</v>
          </cell>
        </row>
        <row r="151">
          <cell r="A151">
            <v>43658</v>
          </cell>
          <cell r="B151">
            <v>1.0379119587000001</v>
          </cell>
          <cell r="C151">
            <v>1.0376564851000001</v>
          </cell>
          <cell r="D151">
            <v>1.0381674953</v>
          </cell>
        </row>
        <row r="152">
          <cell r="A152">
            <v>43661</v>
          </cell>
          <cell r="B152">
            <v>1.0381729118</v>
          </cell>
          <cell r="C152">
            <v>1.0379173739000001</v>
          </cell>
          <cell r="D152">
            <v>1.0384285125999999</v>
          </cell>
        </row>
        <row r="153">
          <cell r="A153">
            <v>43662</v>
          </cell>
          <cell r="B153">
            <v>1.0384339305000001</v>
          </cell>
          <cell r="C153">
            <v>1.0381783283999999</v>
          </cell>
          <cell r="D153">
            <v>1.0386895956</v>
          </cell>
        </row>
        <row r="154">
          <cell r="A154">
            <v>43663</v>
          </cell>
          <cell r="B154">
            <v>1.0386950148</v>
          </cell>
          <cell r="C154">
            <v>1.0384393485000001</v>
          </cell>
          <cell r="D154">
            <v>1.0389507442000001</v>
          </cell>
        </row>
        <row r="155">
          <cell r="A155">
            <v>43664</v>
          </cell>
          <cell r="B155">
            <v>1.0389561648000001</v>
          </cell>
          <cell r="C155">
            <v>1.0387004341999999</v>
          </cell>
          <cell r="D155">
            <v>1.0392119584999999</v>
          </cell>
        </row>
        <row r="156">
          <cell r="A156">
            <v>43665</v>
          </cell>
          <cell r="B156">
            <v>1.0392173804</v>
          </cell>
          <cell r="C156">
            <v>1.0389615855000001</v>
          </cell>
          <cell r="D156">
            <v>1.0394732384000001</v>
          </cell>
        </row>
        <row r="157">
          <cell r="A157">
            <v>43668</v>
          </cell>
          <cell r="B157">
            <v>1.0394786617</v>
          </cell>
          <cell r="C157">
            <v>1.0392228025000001</v>
          </cell>
          <cell r="D157">
            <v>1.0397345840000001</v>
          </cell>
        </row>
        <row r="158">
          <cell r="A158">
            <v>43669</v>
          </cell>
          <cell r="B158">
            <v>1.0397400086999999</v>
          </cell>
          <cell r="C158">
            <v>1.0394840851</v>
          </cell>
          <cell r="D158">
            <v>1.0399959953</v>
          </cell>
        </row>
        <row r="159">
          <cell r="A159">
            <v>43670</v>
          </cell>
          <cell r="B159">
            <v>1.0400014214</v>
          </cell>
          <cell r="C159">
            <v>1.0397454335</v>
          </cell>
          <cell r="D159">
            <v>1.0402574724</v>
          </cell>
        </row>
        <row r="160">
          <cell r="A160">
            <v>43671</v>
          </cell>
          <cell r="B160">
            <v>1.0402628998000001</v>
          </cell>
          <cell r="C160">
            <v>1.0400068476</v>
          </cell>
          <cell r="D160">
            <v>1.0405190151999999</v>
          </cell>
        </row>
        <row r="161">
          <cell r="A161">
            <v>43672</v>
          </cell>
          <cell r="B161">
            <v>1.0405244439000001</v>
          </cell>
          <cell r="C161">
            <v>1.0402683273</v>
          </cell>
          <cell r="D161">
            <v>1.0407806236999999</v>
          </cell>
        </row>
        <row r="162">
          <cell r="A162">
            <v>43675</v>
          </cell>
          <cell r="B162">
            <v>1.0407860539</v>
          </cell>
          <cell r="C162">
            <v>1.0405298729000001</v>
          </cell>
          <cell r="D162">
            <v>1.0410422981</v>
          </cell>
        </row>
        <row r="163">
          <cell r="A163">
            <v>43676</v>
          </cell>
          <cell r="B163">
            <v>1.0410477296</v>
          </cell>
          <cell r="C163">
            <v>1.0407914841000001</v>
          </cell>
          <cell r="D163">
            <v>1.0413040382000001</v>
          </cell>
        </row>
        <row r="164">
          <cell r="A164">
            <v>43677</v>
          </cell>
          <cell r="B164">
            <v>1.0413094710999999</v>
          </cell>
          <cell r="C164">
            <v>1.0410531612</v>
          </cell>
          <cell r="D164">
            <v>1.0415658441</v>
          </cell>
        </row>
        <row r="165">
          <cell r="A165">
            <v>43678</v>
          </cell>
          <cell r="B165">
            <v>1.0415712784</v>
          </cell>
          <cell r="C165">
            <v>1.0413149041</v>
          </cell>
          <cell r="D165">
            <v>1.0418277159</v>
          </cell>
        </row>
        <row r="166">
          <cell r="A166">
            <v>43679</v>
          </cell>
          <cell r="B166">
            <v>1.0418576173</v>
          </cell>
          <cell r="C166">
            <v>1.0416011725000001</v>
          </cell>
          <cell r="D166">
            <v>1.0421141252999999</v>
          </cell>
        </row>
        <row r="167">
          <cell r="A167">
            <v>43682</v>
          </cell>
          <cell r="B167">
            <v>1.0421440349</v>
          </cell>
          <cell r="C167">
            <v>1.0418875195999999</v>
          </cell>
          <cell r="D167">
            <v>1.0424006133999999</v>
          </cell>
        </row>
        <row r="168">
          <cell r="A168">
            <v>43683</v>
          </cell>
          <cell r="B168">
            <v>1.0424305312</v>
          </cell>
          <cell r="C168">
            <v>1.0421739454000001</v>
          </cell>
          <cell r="D168">
            <v>1.0426871803</v>
          </cell>
        </row>
        <row r="169">
          <cell r="A169">
            <v>43684</v>
          </cell>
          <cell r="B169">
            <v>1.0427171064</v>
          </cell>
          <cell r="C169">
            <v>1.0424604500000001</v>
          </cell>
          <cell r="D169">
            <v>1.0429738260000001</v>
          </cell>
        </row>
        <row r="170">
          <cell r="A170">
            <v>43685</v>
          </cell>
          <cell r="B170">
            <v>1.0430037603</v>
          </cell>
          <cell r="C170">
            <v>1.0427470334</v>
          </cell>
          <cell r="D170">
            <v>1.0432605505000001</v>
          </cell>
        </row>
        <row r="171">
          <cell r="A171">
            <v>43686</v>
          </cell>
          <cell r="B171">
            <v>1.043290493</v>
          </cell>
          <cell r="C171">
            <v>1.0430336954999999</v>
          </cell>
          <cell r="D171">
            <v>1.0435473538</v>
          </cell>
        </row>
        <row r="172">
          <cell r="A172">
            <v>43689</v>
          </cell>
          <cell r="B172">
            <v>1.0435773045000001</v>
          </cell>
          <cell r="C172">
            <v>1.0433204363999999</v>
          </cell>
          <cell r="D172">
            <v>1.0438342358999999</v>
          </cell>
        </row>
        <row r="173">
          <cell r="A173">
            <v>43690</v>
          </cell>
          <cell r="B173">
            <v>1.0438641949</v>
          </cell>
          <cell r="C173">
            <v>1.0436072562000001</v>
          </cell>
          <cell r="D173">
            <v>1.0441211968999999</v>
          </cell>
        </row>
        <row r="174">
          <cell r="A174">
            <v>43691</v>
          </cell>
          <cell r="B174">
            <v>1.0441511641000001</v>
          </cell>
          <cell r="C174">
            <v>1.0438941548</v>
          </cell>
          <cell r="D174">
            <v>1.0444082368000001</v>
          </cell>
        </row>
        <row r="175">
          <cell r="A175">
            <v>43692</v>
          </cell>
          <cell r="B175">
            <v>1.0444382124</v>
          </cell>
          <cell r="C175">
            <v>1.0441811324000001</v>
          </cell>
          <cell r="D175">
            <v>1.0446953557000001</v>
          </cell>
        </row>
        <row r="176">
          <cell r="A176">
            <v>43693</v>
          </cell>
          <cell r="B176">
            <v>1.0447253394</v>
          </cell>
          <cell r="C176">
            <v>1.0444681887</v>
          </cell>
          <cell r="D176">
            <v>1.0449825533999999</v>
          </cell>
        </row>
        <row r="177">
          <cell r="A177">
            <v>43696</v>
          </cell>
          <cell r="B177">
            <v>1.0450125453000001</v>
          </cell>
          <cell r="C177">
            <v>1.044755324</v>
          </cell>
          <cell r="D177">
            <v>1.0452698301000001</v>
          </cell>
        </row>
        <row r="178">
          <cell r="A178">
            <v>43697</v>
          </cell>
          <cell r="B178">
            <v>1.0452998303000001</v>
          </cell>
          <cell r="C178">
            <v>1.0450425381999999</v>
          </cell>
          <cell r="D178">
            <v>1.0455571857999999</v>
          </cell>
        </row>
        <row r="179">
          <cell r="A179">
            <v>43698</v>
          </cell>
          <cell r="B179">
            <v>1.0455871941999999</v>
          </cell>
          <cell r="C179">
            <v>1.0453298313999999</v>
          </cell>
          <cell r="D179">
            <v>1.0458446204</v>
          </cell>
        </row>
        <row r="180">
          <cell r="A180">
            <v>43699</v>
          </cell>
          <cell r="B180">
            <v>1.0458746371000001</v>
          </cell>
          <cell r="C180">
            <v>1.0456172035</v>
          </cell>
          <cell r="D180">
            <v>1.0461321341000001</v>
          </cell>
        </row>
        <row r="181">
          <cell r="A181">
            <v>43700</v>
          </cell>
          <cell r="B181">
            <v>1.0461621591000001</v>
          </cell>
          <cell r="C181">
            <v>1.0459046547999999</v>
          </cell>
          <cell r="D181">
            <v>1.0464197269</v>
          </cell>
        </row>
        <row r="182">
          <cell r="A182">
            <v>43703</v>
          </cell>
          <cell r="B182">
            <v>1.0464497601</v>
          </cell>
          <cell r="C182">
            <v>1.046192185</v>
          </cell>
          <cell r="D182">
            <v>1.0467073987</v>
          </cell>
        </row>
        <row r="183">
          <cell r="A183">
            <v>43704</v>
          </cell>
          <cell r="B183">
            <v>1.0467374401</v>
          </cell>
          <cell r="C183">
            <v>1.0464797941999999</v>
          </cell>
          <cell r="D183">
            <v>1.0469951495000001</v>
          </cell>
        </row>
        <row r="184">
          <cell r="A184">
            <v>43705</v>
          </cell>
          <cell r="B184">
            <v>1.0470251991999999</v>
          </cell>
          <cell r="C184">
            <v>1.0467674825</v>
          </cell>
          <cell r="D184">
            <v>1.0472829795</v>
          </cell>
        </row>
        <row r="185">
          <cell r="A185">
            <v>43706</v>
          </cell>
          <cell r="B185">
            <v>1.0473130374999999</v>
          </cell>
          <cell r="C185">
            <v>1.0470552499000001</v>
          </cell>
          <cell r="D185">
            <v>1.0475708885999999</v>
          </cell>
        </row>
        <row r="186">
          <cell r="A186">
            <v>43707</v>
          </cell>
          <cell r="B186">
            <v>1.0476009549</v>
          </cell>
          <cell r="C186">
            <v>1.0473430963999999</v>
          </cell>
          <cell r="D186">
            <v>1.0478588768999999</v>
          </cell>
        </row>
        <row r="187">
          <cell r="A187">
            <v>43710</v>
          </cell>
          <cell r="B187">
            <v>1.0478889514</v>
          </cell>
          <cell r="C187">
            <v>1.047631022</v>
          </cell>
          <cell r="D187">
            <v>1.0481469443</v>
          </cell>
        </row>
        <row r="188">
          <cell r="A188">
            <v>43711</v>
          </cell>
          <cell r="B188">
            <v>1.0481763846000001</v>
          </cell>
          <cell r="C188">
            <v>1.0479183845</v>
          </cell>
          <cell r="D188">
            <v>1.0484344483000001</v>
          </cell>
        </row>
        <row r="189">
          <cell r="A189">
            <v>43712</v>
          </cell>
          <cell r="B189">
            <v>1.0484638967</v>
          </cell>
          <cell r="C189">
            <v>1.0482058258</v>
          </cell>
          <cell r="D189">
            <v>1.0487220312000001</v>
          </cell>
        </row>
        <row r="190">
          <cell r="A190">
            <v>43713</v>
          </cell>
          <cell r="B190">
            <v>1.0487514875999999</v>
          </cell>
          <cell r="C190">
            <v>1.0484933459000001</v>
          </cell>
          <cell r="D190">
            <v>1.0490096928999999</v>
          </cell>
        </row>
        <row r="191">
          <cell r="A191">
            <v>43714</v>
          </cell>
          <cell r="B191">
            <v>1.0490391575</v>
          </cell>
          <cell r="C191">
            <v>1.0487809450000001</v>
          </cell>
          <cell r="D191">
            <v>1.0492974336000001</v>
          </cell>
        </row>
        <row r="192">
          <cell r="A192">
            <v>43717</v>
          </cell>
          <cell r="B192">
            <v>1.0493269060999999</v>
          </cell>
          <cell r="C192">
            <v>1.0490686227999999</v>
          </cell>
          <cell r="D192">
            <v>1.0495852531000001</v>
          </cell>
        </row>
        <row r="193">
          <cell r="A193">
            <v>43718</v>
          </cell>
          <cell r="B193">
            <v>1.0496147338999999</v>
          </cell>
          <cell r="C193">
            <v>1.0493563797000001</v>
          </cell>
          <cell r="D193">
            <v>1.0498731517</v>
          </cell>
        </row>
        <row r="194">
          <cell r="A194">
            <v>43719</v>
          </cell>
          <cell r="B194">
            <v>1.0499026404</v>
          </cell>
          <cell r="C194">
            <v>1.0496442154000001</v>
          </cell>
          <cell r="D194">
            <v>1.0501611290999999</v>
          </cell>
        </row>
        <row r="195">
          <cell r="A195">
            <v>43720</v>
          </cell>
          <cell r="B195">
            <v>1.050190626</v>
          </cell>
          <cell r="C195">
            <v>1.0499321301</v>
          </cell>
          <cell r="D195">
            <v>1.0504491856</v>
          </cell>
        </row>
        <row r="196">
          <cell r="A196">
            <v>43721</v>
          </cell>
          <cell r="B196">
            <v>1.0504786906000001</v>
          </cell>
          <cell r="C196">
            <v>1.0502201238</v>
          </cell>
          <cell r="D196">
            <v>1.0507373211</v>
          </cell>
        </row>
        <row r="197">
          <cell r="A197">
            <v>43724</v>
          </cell>
          <cell r="B197">
            <v>1.0507668341</v>
          </cell>
          <cell r="C197">
            <v>1.0505081964</v>
          </cell>
          <cell r="D197">
            <v>1.0510255356</v>
          </cell>
        </row>
        <row r="198">
          <cell r="A198">
            <v>43725</v>
          </cell>
          <cell r="B198">
            <v>1.0510550568000001</v>
          </cell>
          <cell r="C198">
            <v>1.0507963481</v>
          </cell>
          <cell r="D198">
            <v>1.0513138291999999</v>
          </cell>
        </row>
        <row r="199">
          <cell r="A199">
            <v>43726</v>
          </cell>
          <cell r="B199">
            <v>1.0513433585</v>
          </cell>
          <cell r="C199">
            <v>1.0510845789000001</v>
          </cell>
          <cell r="D199">
            <v>1.0516022019</v>
          </cell>
        </row>
        <row r="200">
          <cell r="A200">
            <v>43727</v>
          </cell>
          <cell r="B200">
            <v>1.0516317393000001</v>
          </cell>
          <cell r="C200">
            <v>1.0513728887</v>
          </cell>
          <cell r="D200">
            <v>1.0518906536999999</v>
          </cell>
        </row>
        <row r="201">
          <cell r="A201">
            <v>43728</v>
          </cell>
          <cell r="B201">
            <v>1.0519201991</v>
          </cell>
          <cell r="C201">
            <v>1.0516612774</v>
          </cell>
          <cell r="D201">
            <v>1.0521791844999999</v>
          </cell>
        </row>
        <row r="202">
          <cell r="A202">
            <v>43731</v>
          </cell>
          <cell r="B202">
            <v>1.0522087381</v>
          </cell>
          <cell r="C202">
            <v>1.0519497455</v>
          </cell>
          <cell r="D202">
            <v>1.0524677946000001</v>
          </cell>
        </row>
        <row r="203">
          <cell r="A203">
            <v>43732</v>
          </cell>
          <cell r="B203">
            <v>1.0524973563</v>
          </cell>
          <cell r="C203">
            <v>1.0522382926</v>
          </cell>
          <cell r="D203">
            <v>1.0527564838000001</v>
          </cell>
        </row>
        <row r="204">
          <cell r="A204">
            <v>43733</v>
          </cell>
          <cell r="B204">
            <v>1.0527860535</v>
          </cell>
          <cell r="C204">
            <v>1.0525269186999999</v>
          </cell>
          <cell r="D204">
            <v>1.0530452521</v>
          </cell>
        </row>
        <row r="205">
          <cell r="A205">
            <v>43734</v>
          </cell>
          <cell r="B205">
            <v>1.0530748299999999</v>
          </cell>
          <cell r="C205">
            <v>1.0528156242</v>
          </cell>
          <cell r="D205">
            <v>1.0533340997</v>
          </cell>
        </row>
        <row r="206">
          <cell r="A206">
            <v>43735</v>
          </cell>
          <cell r="B206">
            <v>1.0533636856999999</v>
          </cell>
          <cell r="C206">
            <v>1.0531044087999999</v>
          </cell>
          <cell r="D206">
            <v>1.0536230264999999</v>
          </cell>
        </row>
        <row r="207">
          <cell r="A207">
            <v>43738</v>
          </cell>
          <cell r="B207">
            <v>1.0536526206000001</v>
          </cell>
          <cell r="C207">
            <v>1.0533932725999999</v>
          </cell>
          <cell r="D207">
            <v>1.0539120326</v>
          </cell>
        </row>
        <row r="208">
          <cell r="A208">
            <v>43739</v>
          </cell>
          <cell r="B208">
            <v>1.0539416348999999</v>
          </cell>
          <cell r="C208">
            <v>1.0536822157000001</v>
          </cell>
          <cell r="D208">
            <v>1.0542011179999999</v>
          </cell>
        </row>
        <row r="209">
          <cell r="A209">
            <v>43740</v>
          </cell>
          <cell r="B209">
            <v>1.0542351427000001</v>
          </cell>
          <cell r="C209">
            <v>1.0539756513</v>
          </cell>
          <cell r="D209">
            <v>1.0544946981000001</v>
          </cell>
        </row>
        <row r="210">
          <cell r="A210">
            <v>43741</v>
          </cell>
          <cell r="B210">
            <v>1.0545287323000001</v>
          </cell>
          <cell r="C210">
            <v>1.0542691687000001</v>
          </cell>
          <cell r="D210">
            <v>1.0547883600000001</v>
          </cell>
        </row>
        <row r="211">
          <cell r="A211">
            <v>43742</v>
          </cell>
          <cell r="B211">
            <v>1.0548224037</v>
          </cell>
          <cell r="C211">
            <v>1.0545627678</v>
          </cell>
          <cell r="D211">
            <v>1.0550821037</v>
          </cell>
        </row>
        <row r="212">
          <cell r="A212">
            <v>43745</v>
          </cell>
          <cell r="B212">
            <v>1.0551161569</v>
          </cell>
          <cell r="C212">
            <v>1.0548564486000001</v>
          </cell>
          <cell r="D212">
            <v>1.0553759292</v>
          </cell>
        </row>
        <row r="213">
          <cell r="A213">
            <v>43746</v>
          </cell>
          <cell r="B213">
            <v>1.0554099919</v>
          </cell>
          <cell r="C213">
            <v>1.0551502113</v>
          </cell>
          <cell r="D213">
            <v>1.0556698364999999</v>
          </cell>
        </row>
        <row r="214">
          <cell r="A214">
            <v>43747</v>
          </cell>
          <cell r="B214">
            <v>1.0557039087</v>
          </cell>
          <cell r="C214">
            <v>1.0554440558</v>
          </cell>
          <cell r="D214">
            <v>1.0559638256999999</v>
          </cell>
        </row>
        <row r="215">
          <cell r="A215">
            <v>43748</v>
          </cell>
          <cell r="B215">
            <v>1.0559979073000001</v>
          </cell>
          <cell r="C215">
            <v>1.0557379819999999</v>
          </cell>
          <cell r="D215">
            <v>1.0562578967</v>
          </cell>
        </row>
        <row r="216">
          <cell r="A216">
            <v>43749</v>
          </cell>
          <cell r="B216">
            <v>1.0562919878000001</v>
          </cell>
          <cell r="C216">
            <v>1.0560319900999999</v>
          </cell>
          <cell r="D216">
            <v>1.0565520496</v>
          </cell>
        </row>
        <row r="217">
          <cell r="A217">
            <v>43752</v>
          </cell>
          <cell r="B217">
            <v>1.0565861503</v>
          </cell>
          <cell r="C217">
            <v>1.0563260802000001</v>
          </cell>
          <cell r="D217">
            <v>1.0568462845</v>
          </cell>
        </row>
        <row r="218">
          <cell r="A218">
            <v>43753</v>
          </cell>
          <cell r="B218">
            <v>1.0568803947000001</v>
          </cell>
          <cell r="C218">
            <v>1.0566202521000001</v>
          </cell>
          <cell r="D218">
            <v>1.0571406013</v>
          </cell>
        </row>
        <row r="219">
          <cell r="A219">
            <v>43754</v>
          </cell>
          <cell r="B219">
            <v>1.0571747209</v>
          </cell>
          <cell r="C219">
            <v>1.0569145059</v>
          </cell>
          <cell r="D219">
            <v>1.0574349999999999</v>
          </cell>
        </row>
        <row r="220">
          <cell r="A220">
            <v>43755</v>
          </cell>
          <cell r="B220">
            <v>1.0574691292</v>
          </cell>
          <cell r="C220">
            <v>1.0572088418000001</v>
          </cell>
          <cell r="D220">
            <v>1.0577294808</v>
          </cell>
        </row>
        <row r="221">
          <cell r="A221">
            <v>43756</v>
          </cell>
          <cell r="B221">
            <v>1.0577636194</v>
          </cell>
          <cell r="C221">
            <v>1.0575032595</v>
          </cell>
          <cell r="D221">
            <v>1.0580240434999999</v>
          </cell>
        </row>
        <row r="222">
          <cell r="A222">
            <v>43759</v>
          </cell>
          <cell r="B222">
            <v>1.0580581917</v>
          </cell>
          <cell r="C222">
            <v>1.0577977592000001</v>
          </cell>
          <cell r="D222">
            <v>1.0583186883</v>
          </cell>
        </row>
        <row r="223">
          <cell r="A223">
            <v>43760</v>
          </cell>
          <cell r="B223">
            <v>1.0583528459</v>
          </cell>
          <cell r="C223">
            <v>1.058092341</v>
          </cell>
          <cell r="D223">
            <v>1.0586134151</v>
          </cell>
        </row>
        <row r="224">
          <cell r="A224">
            <v>43761</v>
          </cell>
          <cell r="B224">
            <v>1.0586475822999999</v>
          </cell>
          <cell r="C224">
            <v>1.0583870047999999</v>
          </cell>
          <cell r="D224">
            <v>1.0589082240000001</v>
          </cell>
        </row>
        <row r="225">
          <cell r="A225">
            <v>43762</v>
          </cell>
          <cell r="B225">
            <v>1.0589424007999999</v>
          </cell>
          <cell r="C225">
            <v>1.0586817506999999</v>
          </cell>
          <cell r="D225">
            <v>1.0592031151000001</v>
          </cell>
        </row>
        <row r="226">
          <cell r="A226">
            <v>43763</v>
          </cell>
          <cell r="B226">
            <v>1.0592373013</v>
          </cell>
          <cell r="C226">
            <v>1.0589765786000001</v>
          </cell>
          <cell r="D226">
            <v>1.0594980882</v>
          </cell>
        </row>
        <row r="227">
          <cell r="A227">
            <v>43766</v>
          </cell>
          <cell r="B227">
            <v>1.0595322840000001</v>
          </cell>
          <cell r="C227">
            <v>1.0592714887000001</v>
          </cell>
          <cell r="D227">
            <v>1.0597931435000001</v>
          </cell>
        </row>
        <row r="228">
          <cell r="A228">
            <v>43767</v>
          </cell>
          <cell r="B228">
            <v>1.0598273487000001</v>
          </cell>
          <cell r="C228">
            <v>1.0595664808</v>
          </cell>
          <cell r="D228">
            <v>1.0600882809000001</v>
          </cell>
        </row>
        <row r="229">
          <cell r="A229">
            <v>43768</v>
          </cell>
          <cell r="B229">
            <v>1.0601224956999999</v>
          </cell>
          <cell r="C229">
            <v>1.0598615551999999</v>
          </cell>
          <cell r="D229">
            <v>1.0603835006</v>
          </cell>
        </row>
        <row r="230">
          <cell r="A230">
            <v>43769</v>
          </cell>
          <cell r="B230">
            <v>1.0604177249</v>
          </cell>
          <cell r="C230">
            <v>1.0601567115999999</v>
          </cell>
          <cell r="D230">
            <v>1.0606788024</v>
          </cell>
        </row>
        <row r="231">
          <cell r="A231">
            <v>43770</v>
          </cell>
          <cell r="B231">
            <v>1.0607130361999999</v>
          </cell>
          <cell r="C231">
            <v>1.0604519503000001</v>
          </cell>
          <cell r="D231">
            <v>1.0609741865</v>
          </cell>
        </row>
        <row r="232">
          <cell r="A232">
            <v>43773</v>
          </cell>
          <cell r="B232">
            <v>1.0610269918999999</v>
          </cell>
          <cell r="C232">
            <v>1.0607658286999999</v>
          </cell>
          <cell r="D232">
            <v>1.0612882194</v>
          </cell>
        </row>
        <row r="233">
          <cell r="A233">
            <v>43774</v>
          </cell>
          <cell r="B233">
            <v>1.0613410403000001</v>
          </cell>
          <cell r="C233">
            <v>1.0610797997999999</v>
          </cell>
          <cell r="D233">
            <v>1.0616023452000001</v>
          </cell>
        </row>
        <row r="234">
          <cell r="A234">
            <v>43775</v>
          </cell>
          <cell r="B234">
            <v>1.0616551818</v>
          </cell>
          <cell r="C234">
            <v>1.061393864</v>
          </cell>
          <cell r="D234">
            <v>1.0619165639999999</v>
          </cell>
        </row>
        <row r="235">
          <cell r="A235">
            <v>43776</v>
          </cell>
          <cell r="B235">
            <v>1.0619694162</v>
          </cell>
          <cell r="C235">
            <v>1.0617080211000001</v>
          </cell>
          <cell r="D235">
            <v>1.0622308758000001</v>
          </cell>
        </row>
        <row r="236">
          <cell r="A236">
            <v>43777</v>
          </cell>
          <cell r="B236">
            <v>1.0622837436999999</v>
          </cell>
          <cell r="C236">
            <v>1.0620222712</v>
          </cell>
          <cell r="D236">
            <v>1.0625452807</v>
          </cell>
        </row>
        <row r="237">
          <cell r="A237">
            <v>43780</v>
          </cell>
          <cell r="B237">
            <v>1.0625981642</v>
          </cell>
          <cell r="C237">
            <v>1.0623366142999999</v>
          </cell>
          <cell r="D237">
            <v>1.0628597786</v>
          </cell>
        </row>
        <row r="238">
          <cell r="A238">
            <v>43781</v>
          </cell>
          <cell r="B238">
            <v>1.0629126778</v>
          </cell>
          <cell r="C238">
            <v>1.0626510505</v>
          </cell>
          <cell r="D238">
            <v>1.0631743696</v>
          </cell>
        </row>
        <row r="239">
          <cell r="A239">
            <v>43782</v>
          </cell>
          <cell r="B239">
            <v>1.0632272843999999</v>
          </cell>
          <cell r="C239">
            <v>1.0629655796999999</v>
          </cell>
          <cell r="D239">
            <v>1.0634890536999999</v>
          </cell>
        </row>
        <row r="240">
          <cell r="A240">
            <v>43783</v>
          </cell>
          <cell r="B240">
            <v>1.0635419842</v>
          </cell>
          <cell r="C240">
            <v>1.0632802019000001</v>
          </cell>
          <cell r="D240">
            <v>1.0638038309</v>
          </cell>
        </row>
        <row r="241">
          <cell r="A241">
            <v>43787</v>
          </cell>
          <cell r="B241">
            <v>1.0638567772</v>
          </cell>
          <cell r="C241">
            <v>1.0635949173999999</v>
          </cell>
          <cell r="D241">
            <v>1.0641187014</v>
          </cell>
        </row>
        <row r="242">
          <cell r="A242">
            <v>43788</v>
          </cell>
          <cell r="B242">
            <v>1.0641716632</v>
          </cell>
          <cell r="C242">
            <v>1.0639097259999999</v>
          </cell>
          <cell r="D242">
            <v>1.0644336649999999</v>
          </cell>
        </row>
        <row r="243">
          <cell r="A243">
            <v>43789</v>
          </cell>
          <cell r="B243">
            <v>1.0644866424999999</v>
          </cell>
          <cell r="C243">
            <v>1.0642246277</v>
          </cell>
          <cell r="D243">
            <v>1.0647487218</v>
          </cell>
        </row>
        <row r="244">
          <cell r="A244">
            <v>43790</v>
          </cell>
          <cell r="B244">
            <v>1.064801715</v>
          </cell>
          <cell r="C244">
            <v>1.0645396226999999</v>
          </cell>
          <cell r="D244">
            <v>1.0650638719000001</v>
          </cell>
        </row>
        <row r="245">
          <cell r="A245">
            <v>43791</v>
          </cell>
          <cell r="B245">
            <v>1.0651168808</v>
          </cell>
          <cell r="C245">
            <v>1.0648547108999999</v>
          </cell>
          <cell r="D245">
            <v>1.0653791153000001</v>
          </cell>
        </row>
        <row r="246">
          <cell r="A246">
            <v>43794</v>
          </cell>
          <cell r="B246">
            <v>1.0654321399</v>
          </cell>
          <cell r="C246">
            <v>1.0651698923999999</v>
          </cell>
          <cell r="D246">
            <v>1.065694452</v>
          </cell>
        </row>
        <row r="247">
          <cell r="A247">
            <v>43795</v>
          </cell>
          <cell r="B247">
            <v>1.0657474923000001</v>
          </cell>
          <cell r="C247">
            <v>1.0654851672000001</v>
          </cell>
          <cell r="D247">
            <v>1.0660098819999999</v>
          </cell>
        </row>
        <row r="248">
          <cell r="A248">
            <v>43796</v>
          </cell>
          <cell r="B248">
            <v>1.066062938</v>
          </cell>
          <cell r="C248">
            <v>1.0658005352</v>
          </cell>
          <cell r="D248">
            <v>1.0663254054</v>
          </cell>
        </row>
        <row r="249">
          <cell r="A249">
            <v>43797</v>
          </cell>
          <cell r="B249">
            <v>1.066378477</v>
          </cell>
          <cell r="C249">
            <v>1.0661159966</v>
          </cell>
          <cell r="D249">
            <v>1.0666410221</v>
          </cell>
        </row>
        <row r="250">
          <cell r="A250">
            <v>43798</v>
          </cell>
          <cell r="B250">
            <v>1.0666941095</v>
          </cell>
          <cell r="C250">
            <v>1.0664315514</v>
          </cell>
          <cell r="D250">
            <v>1.0669567323</v>
          </cell>
        </row>
        <row r="251">
          <cell r="A251">
            <v>43801</v>
          </cell>
          <cell r="B251">
            <v>1.0670098353999999</v>
          </cell>
          <cell r="C251">
            <v>1.0667471996</v>
          </cell>
          <cell r="D251">
            <v>1.0672725358999999</v>
          </cell>
        </row>
        <row r="252">
          <cell r="A252">
            <v>43802</v>
          </cell>
          <cell r="B252">
            <v>1.0673240289999999</v>
          </cell>
          <cell r="C252">
            <v>1.0670613159</v>
          </cell>
          <cell r="D252">
            <v>1.0675868069000001</v>
          </cell>
        </row>
        <row r="253">
          <cell r="A253">
            <v>43803</v>
          </cell>
          <cell r="B253">
            <v>1.0676383151</v>
          </cell>
          <cell r="C253">
            <v>1.0673755246000001</v>
          </cell>
          <cell r="D253">
            <v>1.0679011704000001</v>
          </cell>
        </row>
        <row r="254">
          <cell r="A254">
            <v>43804</v>
          </cell>
          <cell r="B254">
            <v>1.0679526936999999</v>
          </cell>
          <cell r="C254">
            <v>1.0676898258</v>
          </cell>
          <cell r="D254">
            <v>1.0682156264</v>
          </cell>
        </row>
        <row r="255">
          <cell r="A255">
            <v>43805</v>
          </cell>
          <cell r="B255">
            <v>1.0682671649</v>
          </cell>
          <cell r="C255">
            <v>1.0680042195999999</v>
          </cell>
          <cell r="D255">
            <v>1.068530175</v>
          </cell>
        </row>
        <row r="256">
          <cell r="A256">
            <v>43808</v>
          </cell>
          <cell r="B256">
            <v>1.0685817287999999</v>
          </cell>
          <cell r="C256">
            <v>1.0683187059999999</v>
          </cell>
          <cell r="D256">
            <v>1.0688448162999999</v>
          </cell>
        </row>
        <row r="257">
          <cell r="A257">
            <v>43809</v>
          </cell>
          <cell r="B257">
            <v>1.0688963852</v>
          </cell>
          <cell r="C257">
            <v>1.068633285</v>
          </cell>
          <cell r="D257">
            <v>1.0691595502</v>
          </cell>
        </row>
        <row r="258">
          <cell r="A258">
            <v>43810</v>
          </cell>
          <cell r="B258">
            <v>1.0692111342999999</v>
          </cell>
          <cell r="C258">
            <v>1.0689479567</v>
          </cell>
          <cell r="D258">
            <v>1.0694743767999999</v>
          </cell>
        </row>
        <row r="259">
          <cell r="A259">
            <v>43811</v>
          </cell>
          <cell r="B259">
            <v>1.0695259761</v>
          </cell>
          <cell r="C259">
            <v>1.0692627209000001</v>
          </cell>
          <cell r="D259">
            <v>1.0697892961</v>
          </cell>
        </row>
        <row r="260">
          <cell r="A260">
            <v>43812</v>
          </cell>
          <cell r="B260">
            <v>1.0698409105</v>
          </cell>
          <cell r="C260">
            <v>1.0695775779000001</v>
          </cell>
          <cell r="D260">
            <v>1.0701043080999999</v>
          </cell>
        </row>
        <row r="261">
          <cell r="A261">
            <v>43815</v>
          </cell>
          <cell r="B261">
            <v>1.0701559378000001</v>
          </cell>
          <cell r="C261">
            <v>1.0698925276</v>
          </cell>
          <cell r="D261">
            <v>1.0704194129</v>
          </cell>
        </row>
        <row r="262">
          <cell r="A262">
            <v>43816</v>
          </cell>
          <cell r="B262">
            <v>1.0704710578000001</v>
          </cell>
          <cell r="C262">
            <v>1.07020757</v>
          </cell>
          <cell r="D262">
            <v>1.0707346105</v>
          </cell>
        </row>
        <row r="263">
          <cell r="A263">
            <v>43817</v>
          </cell>
          <cell r="B263">
            <v>1.0707862706</v>
          </cell>
          <cell r="C263">
            <v>1.0705227051999999</v>
          </cell>
          <cell r="D263">
            <v>1.0710499009000001</v>
          </cell>
        </row>
        <row r="264">
          <cell r="A264">
            <v>43818</v>
          </cell>
          <cell r="B264">
            <v>1.0711015762</v>
          </cell>
          <cell r="C264">
            <v>1.0708379332</v>
          </cell>
          <cell r="D264">
            <v>1.0713652841000001</v>
          </cell>
        </row>
        <row r="265">
          <cell r="A265">
            <v>43819</v>
          </cell>
          <cell r="B265">
            <v>1.0714169746</v>
          </cell>
          <cell r="C265">
            <v>1.0711532539999999</v>
          </cell>
          <cell r="D265">
            <v>1.0716807602</v>
          </cell>
        </row>
        <row r="266">
          <cell r="A266">
            <v>43822</v>
          </cell>
          <cell r="B266">
            <v>1.0717324659</v>
          </cell>
          <cell r="C266">
            <v>1.0714686677</v>
          </cell>
          <cell r="D266">
            <v>1.0719963292000001</v>
          </cell>
        </row>
        <row r="267">
          <cell r="A267">
            <v>43823</v>
          </cell>
          <cell r="B267">
            <v>1.0720480501</v>
          </cell>
          <cell r="C267">
            <v>1.0717841742000001</v>
          </cell>
          <cell r="D267">
            <v>1.0723119911000001</v>
          </cell>
        </row>
        <row r="268">
          <cell r="A268">
            <v>43825</v>
          </cell>
          <cell r="B268">
            <v>1.0723637271999999</v>
          </cell>
          <cell r="C268">
            <v>1.0720997736</v>
          </cell>
          <cell r="D268">
            <v>1.0726277459</v>
          </cell>
        </row>
        <row r="269">
          <cell r="A269">
            <v>43826</v>
          </cell>
          <cell r="B269">
            <v>1.0726794974</v>
          </cell>
          <cell r="C269">
            <v>1.072415466</v>
          </cell>
          <cell r="D269">
            <v>1.0729435938</v>
          </cell>
        </row>
        <row r="270">
          <cell r="A270">
            <v>43829</v>
          </cell>
          <cell r="B270">
            <v>1.0729953604</v>
          </cell>
          <cell r="C270">
            <v>1.0727312513</v>
          </cell>
          <cell r="D270">
            <v>1.0732595346</v>
          </cell>
        </row>
        <row r="271">
          <cell r="A271">
            <v>43830</v>
          </cell>
          <cell r="B271">
            <v>1.0733113164999999</v>
          </cell>
          <cell r="C271">
            <v>1.0730471296999999</v>
          </cell>
          <cell r="D271">
            <v>1.0735755684999999</v>
          </cell>
        </row>
        <row r="272">
          <cell r="A272">
            <v>43832</v>
          </cell>
          <cell r="B272">
            <v>1.0736273655999999</v>
          </cell>
          <cell r="C272">
            <v>1.0733631009</v>
          </cell>
          <cell r="D272">
            <v>1.0738916954</v>
          </cell>
        </row>
        <row r="273">
          <cell r="A273">
            <v>43833</v>
          </cell>
          <cell r="B273">
            <v>1.0739641936</v>
          </cell>
          <cell r="C273">
            <v>1.073699846</v>
          </cell>
          <cell r="D273">
            <v>1.0742286062999999</v>
          </cell>
        </row>
        <row r="274">
          <cell r="A274">
            <v>43836</v>
          </cell>
          <cell r="B274">
            <v>1.0743011272</v>
          </cell>
          <cell r="C274">
            <v>1.0740366966999999</v>
          </cell>
          <cell r="D274">
            <v>1.0745656229</v>
          </cell>
        </row>
        <row r="275">
          <cell r="A275">
            <v>43837</v>
          </cell>
          <cell r="B275">
            <v>1.0746381665</v>
          </cell>
          <cell r="C275">
            <v>1.0743736531000001</v>
          </cell>
          <cell r="D275">
            <v>1.0749027452</v>
          </cell>
        </row>
        <row r="276">
          <cell r="A276">
            <v>43838</v>
          </cell>
          <cell r="B276">
            <v>1.0749753116</v>
          </cell>
          <cell r="C276">
            <v>1.0747107151999999</v>
          </cell>
          <cell r="D276">
            <v>1.0752399733</v>
          </cell>
        </row>
        <row r="277">
          <cell r="A277">
            <v>43839</v>
          </cell>
          <cell r="B277">
            <v>1.0753125625</v>
          </cell>
          <cell r="C277">
            <v>1.0750478830000001</v>
          </cell>
          <cell r="D277">
            <v>1.0755773072000001</v>
          </cell>
        </row>
        <row r="278">
          <cell r="A278">
            <v>43840</v>
          </cell>
          <cell r="B278">
            <v>1.0756499192</v>
          </cell>
          <cell r="C278">
            <v>1.0753851566999999</v>
          </cell>
          <cell r="D278">
            <v>1.0759147469000001</v>
          </cell>
        </row>
        <row r="279">
          <cell r="A279">
            <v>43843</v>
          </cell>
          <cell r="B279">
            <v>1.0759873817000001</v>
          </cell>
          <cell r="C279">
            <v>1.0757225361</v>
          </cell>
          <cell r="D279">
            <v>1.0762522925</v>
          </cell>
        </row>
        <row r="280">
          <cell r="A280">
            <v>43844</v>
          </cell>
          <cell r="B280">
            <v>1.0763249500000001</v>
          </cell>
          <cell r="C280">
            <v>1.0760600213</v>
          </cell>
          <cell r="D280">
            <v>1.0765899439</v>
          </cell>
        </row>
        <row r="281">
          <cell r="A281">
            <v>43845</v>
          </cell>
          <cell r="B281">
            <v>1.0766626241999999</v>
          </cell>
          <cell r="C281">
            <v>1.0763976125000001</v>
          </cell>
          <cell r="D281">
            <v>1.0769277013</v>
          </cell>
        </row>
        <row r="282">
          <cell r="A282">
            <v>43846</v>
          </cell>
          <cell r="B282">
            <v>1.0770004044999999</v>
          </cell>
          <cell r="C282">
            <v>1.0767353095000001</v>
          </cell>
          <cell r="D282">
            <v>1.0772655647</v>
          </cell>
        </row>
        <row r="283">
          <cell r="A283">
            <v>43847</v>
          </cell>
          <cell r="B283">
            <v>1.0773382907</v>
          </cell>
          <cell r="C283">
            <v>1.0770731125999999</v>
          </cell>
          <cell r="D283">
            <v>1.0776035341000001</v>
          </cell>
        </row>
        <row r="284">
          <cell r="A284">
            <v>43850</v>
          </cell>
          <cell r="B284">
            <v>1.0776762828999999</v>
          </cell>
          <cell r="C284">
            <v>1.0774110215999999</v>
          </cell>
          <cell r="D284">
            <v>1.0779416095000001</v>
          </cell>
        </row>
        <row r="285">
          <cell r="A285">
            <v>43851</v>
          </cell>
          <cell r="B285">
            <v>1.078014381</v>
          </cell>
          <cell r="C285">
            <v>1.0777490365</v>
          </cell>
          <cell r="D285">
            <v>1.0782797908999999</v>
          </cell>
        </row>
        <row r="286">
          <cell r="A286">
            <v>43852</v>
          </cell>
          <cell r="B286">
            <v>1.0783525853</v>
          </cell>
          <cell r="C286">
            <v>1.0780871576</v>
          </cell>
          <cell r="D286">
            <v>1.0786180784999999</v>
          </cell>
        </row>
        <row r="287">
          <cell r="A287">
            <v>43853</v>
          </cell>
          <cell r="B287">
            <v>1.0786908958000001</v>
          </cell>
          <cell r="C287">
            <v>1.0784253847</v>
          </cell>
          <cell r="D287">
            <v>1.0789564722</v>
          </cell>
        </row>
        <row r="288">
          <cell r="A288">
            <v>43854</v>
          </cell>
          <cell r="B288">
            <v>1.0790293122000001</v>
          </cell>
          <cell r="C288">
            <v>1.0787637179</v>
          </cell>
          <cell r="D288">
            <v>1.079294972</v>
          </cell>
        </row>
        <row r="289">
          <cell r="A289">
            <v>43857</v>
          </cell>
          <cell r="B289">
            <v>1.079367835</v>
          </cell>
          <cell r="C289">
            <v>1.0791021573999999</v>
          </cell>
          <cell r="D289">
            <v>1.0796335780999999</v>
          </cell>
        </row>
        <row r="290">
          <cell r="A290">
            <v>43858</v>
          </cell>
          <cell r="B290">
            <v>1.0797064639</v>
          </cell>
          <cell r="C290">
            <v>1.0794407028999999</v>
          </cell>
          <cell r="D290">
            <v>1.0799722904</v>
          </cell>
        </row>
        <row r="291">
          <cell r="A291">
            <v>43859</v>
          </cell>
          <cell r="B291">
            <v>1.080045199</v>
          </cell>
          <cell r="C291">
            <v>1.0797793547000001</v>
          </cell>
          <cell r="D291">
            <v>1.0803111088999999</v>
          </cell>
        </row>
        <row r="292">
          <cell r="A292">
            <v>43860</v>
          </cell>
          <cell r="B292">
            <v>1.0803840404</v>
          </cell>
          <cell r="C292">
            <v>1.0801181125999999</v>
          </cell>
          <cell r="D292">
            <v>1.0806500337</v>
          </cell>
        </row>
        <row r="293">
          <cell r="A293">
            <v>43861</v>
          </cell>
          <cell r="B293">
            <v>1.0807229881</v>
          </cell>
          <cell r="C293">
            <v>1.0804569770000001</v>
          </cell>
          <cell r="D293">
            <v>1.0809890649</v>
          </cell>
        </row>
        <row r="294">
          <cell r="A294">
            <v>43864</v>
          </cell>
          <cell r="B294">
            <v>1.0810620421999999</v>
          </cell>
          <cell r="C294">
            <v>1.0807959475</v>
          </cell>
          <cell r="D294">
            <v>1.0813282023999999</v>
          </cell>
        </row>
        <row r="295">
          <cell r="A295">
            <v>43865</v>
          </cell>
          <cell r="B295">
            <v>1.0814012027</v>
          </cell>
          <cell r="C295">
            <v>1.0811350245</v>
          </cell>
          <cell r="D295">
            <v>1.0816674464</v>
          </cell>
        </row>
        <row r="296">
          <cell r="A296">
            <v>43866</v>
          </cell>
          <cell r="B296">
            <v>1.0817404693999999</v>
          </cell>
          <cell r="C296">
            <v>1.0814742077999999</v>
          </cell>
          <cell r="D296">
            <v>1.0820067967</v>
          </cell>
        </row>
        <row r="297">
          <cell r="A297">
            <v>43867</v>
          </cell>
          <cell r="B297">
            <v>1.0820798428</v>
          </cell>
          <cell r="C297">
            <v>1.0818134976</v>
          </cell>
          <cell r="D297">
            <v>1.0823462535999999</v>
          </cell>
        </row>
        <row r="298">
          <cell r="A298">
            <v>43868</v>
          </cell>
          <cell r="B298">
            <v>1.0824193225000001</v>
          </cell>
          <cell r="C298">
            <v>1.0821528938</v>
          </cell>
          <cell r="D298">
            <v>1.0826858169</v>
          </cell>
        </row>
        <row r="299">
          <cell r="A299">
            <v>43871</v>
          </cell>
          <cell r="B299">
            <v>1.0827589087</v>
          </cell>
          <cell r="C299">
            <v>1.0824923963999999</v>
          </cell>
          <cell r="D299">
            <v>1.0830254867</v>
          </cell>
        </row>
        <row r="300">
          <cell r="A300">
            <v>43872</v>
          </cell>
          <cell r="B300">
            <v>1.0830986015999999</v>
          </cell>
          <cell r="C300">
            <v>1.0828320056</v>
          </cell>
          <cell r="D300">
            <v>1.0833652631999999</v>
          </cell>
        </row>
        <row r="301">
          <cell r="A301">
            <v>43873</v>
          </cell>
          <cell r="B301">
            <v>1.0834384009</v>
          </cell>
          <cell r="C301">
            <v>1.0831717213000001</v>
          </cell>
          <cell r="D301">
            <v>1.0837051462</v>
          </cell>
        </row>
        <row r="302">
          <cell r="A302">
            <v>43874</v>
          </cell>
          <cell r="B302">
            <v>1.0837783068</v>
          </cell>
          <cell r="C302">
            <v>1.0835115436</v>
          </cell>
          <cell r="D302">
            <v>1.0840451358000001</v>
          </cell>
        </row>
        <row r="303">
          <cell r="A303">
            <v>43875</v>
          </cell>
          <cell r="B303">
            <v>1.0841183193999999</v>
          </cell>
          <cell r="C303">
            <v>1.0838514724999999</v>
          </cell>
          <cell r="D303">
            <v>1.0843852321</v>
          </cell>
        </row>
        <row r="304">
          <cell r="A304">
            <v>43878</v>
          </cell>
          <cell r="B304">
            <v>1.0844584388</v>
          </cell>
          <cell r="C304">
            <v>1.0841915081</v>
          </cell>
          <cell r="D304">
            <v>1.0847254352</v>
          </cell>
        </row>
        <row r="305">
          <cell r="A305">
            <v>43879</v>
          </cell>
          <cell r="B305">
            <v>1.0847986647000001</v>
          </cell>
          <cell r="C305">
            <v>1.0845316503</v>
          </cell>
          <cell r="D305">
            <v>1.0850657449000001</v>
          </cell>
        </row>
        <row r="306">
          <cell r="A306">
            <v>43880</v>
          </cell>
          <cell r="B306">
            <v>1.0851389974000001</v>
          </cell>
          <cell r="C306">
            <v>1.0848718992999999</v>
          </cell>
          <cell r="D306">
            <v>1.0854061613999999</v>
          </cell>
        </row>
        <row r="307">
          <cell r="A307">
            <v>43881</v>
          </cell>
          <cell r="B307">
            <v>1.0854794369</v>
          </cell>
          <cell r="C307">
            <v>1.0852122549000001</v>
          </cell>
          <cell r="D307">
            <v>1.0857466846999999</v>
          </cell>
        </row>
        <row r="308">
          <cell r="A308">
            <v>43882</v>
          </cell>
          <cell r="B308">
            <v>1.0858199831999999</v>
          </cell>
          <cell r="C308">
            <v>1.0855527173999999</v>
          </cell>
          <cell r="D308">
            <v>1.0860873148000001</v>
          </cell>
        </row>
        <row r="309">
          <cell r="A309">
            <v>43887</v>
          </cell>
          <cell r="B309">
            <v>1.0861606364</v>
          </cell>
          <cell r="C309">
            <v>1.0858932868</v>
          </cell>
          <cell r="D309">
            <v>1.0864280519</v>
          </cell>
        </row>
        <row r="310">
          <cell r="A310">
            <v>43888</v>
          </cell>
          <cell r="B310">
            <v>1.0865013964000001</v>
          </cell>
          <cell r="C310">
            <v>1.0862339629</v>
          </cell>
          <cell r="D310">
            <v>1.0867688957999999</v>
          </cell>
        </row>
        <row r="311">
          <cell r="A311">
            <v>43889</v>
          </cell>
          <cell r="B311">
            <v>1.0868422633000001</v>
          </cell>
          <cell r="C311">
            <v>1.0865747458999999</v>
          </cell>
          <cell r="D311">
            <v>1.0871098466</v>
          </cell>
        </row>
        <row r="312">
          <cell r="A312">
            <v>43892</v>
          </cell>
          <cell r="B312">
            <v>1.0871832371000001</v>
          </cell>
          <cell r="C312">
            <v>1.0869156358000001</v>
          </cell>
          <cell r="D312">
            <v>1.0874509044</v>
          </cell>
        </row>
        <row r="313">
          <cell r="A313">
            <v>43893</v>
          </cell>
          <cell r="B313">
            <v>1.0875243179</v>
          </cell>
          <cell r="C313">
            <v>1.0872566326999999</v>
          </cell>
          <cell r="D313">
            <v>1.0877920692</v>
          </cell>
        </row>
        <row r="314">
          <cell r="A314">
            <v>43894</v>
          </cell>
          <cell r="B314">
            <v>1.0878655057</v>
          </cell>
          <cell r="C314">
            <v>1.0875977365</v>
          </cell>
          <cell r="D314">
            <v>1.088133341</v>
          </cell>
        </row>
        <row r="315">
          <cell r="A315">
            <v>43895</v>
          </cell>
          <cell r="B315">
            <v>1.0882068006000001</v>
          </cell>
          <cell r="C315">
            <v>1.0879389473000001</v>
          </cell>
          <cell r="D315">
            <v>1.0884747199</v>
          </cell>
        </row>
        <row r="316">
          <cell r="A316">
            <v>43896</v>
          </cell>
          <cell r="B316">
            <v>1.0885482026</v>
          </cell>
          <cell r="C316">
            <v>1.0882802653000001</v>
          </cell>
          <cell r="D316">
            <v>1.0888162058999999</v>
          </cell>
        </row>
        <row r="317">
          <cell r="A317">
            <v>43899</v>
          </cell>
          <cell r="B317">
            <v>1.0888897117</v>
          </cell>
          <cell r="C317">
            <v>1.0886216902999999</v>
          </cell>
          <cell r="D317">
            <v>1.0891577991000001</v>
          </cell>
        </row>
        <row r="318">
          <cell r="A318">
            <v>43900</v>
          </cell>
          <cell r="B318">
            <v>1.0892313279000001</v>
          </cell>
          <cell r="C318">
            <v>1.0889632224000001</v>
          </cell>
          <cell r="D318">
            <v>1.0894994994</v>
          </cell>
        </row>
        <row r="319">
          <cell r="A319">
            <v>43901</v>
          </cell>
          <cell r="B319">
            <v>1.0895730511999999</v>
          </cell>
          <cell r="C319">
            <v>1.0893048617000001</v>
          </cell>
          <cell r="D319">
            <v>1.0898413068999999</v>
          </cell>
        </row>
        <row r="320">
          <cell r="A320">
            <v>43902</v>
          </cell>
          <cell r="B320">
            <v>1.0899148818</v>
          </cell>
          <cell r="C320">
            <v>1.0896466081</v>
          </cell>
          <cell r="D320">
            <v>1.0901832216</v>
          </cell>
        </row>
        <row r="321">
          <cell r="A321">
            <v>43903</v>
          </cell>
          <cell r="B321">
            <v>1.0902568196</v>
          </cell>
          <cell r="C321">
            <v>1.0899884617</v>
          </cell>
          <cell r="D321">
            <v>1.0905252435999999</v>
          </cell>
        </row>
        <row r="322">
          <cell r="A322">
            <v>43906</v>
          </cell>
          <cell r="B322">
            <v>1.0905988647</v>
          </cell>
          <cell r="C322">
            <v>1.0903304225999999</v>
          </cell>
          <cell r="D322">
            <v>1.0908673729</v>
          </cell>
        </row>
        <row r="323">
          <cell r="A323">
            <v>43907</v>
          </cell>
          <cell r="B323">
            <v>1.0909410171</v>
          </cell>
          <cell r="C323">
            <v>1.0906724909000001</v>
          </cell>
          <cell r="D323">
            <v>1.0912096095999999</v>
          </cell>
        </row>
        <row r="324">
          <cell r="A324">
            <v>43908</v>
          </cell>
          <cell r="B324">
            <v>1.0912832769</v>
          </cell>
          <cell r="C324">
            <v>1.0910146664</v>
          </cell>
          <cell r="D324">
            <v>1.0915519536</v>
          </cell>
        </row>
        <row r="325">
          <cell r="A325">
            <v>43909</v>
          </cell>
          <cell r="B325">
            <v>1.0916256440000001</v>
          </cell>
          <cell r="C325">
            <v>1.0913569491999999</v>
          </cell>
          <cell r="D325">
            <v>1.0918944049999999</v>
          </cell>
        </row>
        <row r="326">
          <cell r="A326">
            <v>43910</v>
          </cell>
          <cell r="B326">
            <v>1.0919681186000001</v>
          </cell>
          <cell r="C326">
            <v>1.0916993395000001</v>
          </cell>
          <cell r="D326">
            <v>1.0922369639</v>
          </cell>
        </row>
        <row r="327">
          <cell r="A327">
            <v>43913</v>
          </cell>
          <cell r="B327">
            <v>1.0923107004999999</v>
          </cell>
          <cell r="C327">
            <v>1.0920418371</v>
          </cell>
          <cell r="D327">
            <v>1.0925796301999999</v>
          </cell>
        </row>
        <row r="328">
          <cell r="A328">
            <v>43914</v>
          </cell>
          <cell r="B328">
            <v>1.0926533899999999</v>
          </cell>
          <cell r="C328">
            <v>1.0923844422</v>
          </cell>
          <cell r="D328">
            <v>1.0929224040000001</v>
          </cell>
        </row>
        <row r="329">
          <cell r="A329">
            <v>43915</v>
          </cell>
          <cell r="B329">
            <v>1.092996187</v>
          </cell>
          <cell r="C329">
            <v>1.0927271547999999</v>
          </cell>
          <cell r="D329">
            <v>1.0932652854</v>
          </cell>
        </row>
        <row r="330">
          <cell r="A330">
            <v>43916</v>
          </cell>
          <cell r="B330">
            <v>1.0933390914000001</v>
          </cell>
          <cell r="C330">
            <v>1.0930699748999999</v>
          </cell>
          <cell r="D330">
            <v>1.0936082743</v>
          </cell>
        </row>
        <row r="331">
          <cell r="A331">
            <v>43917</v>
          </cell>
          <cell r="B331">
            <v>1.0936821036</v>
          </cell>
          <cell r="C331">
            <v>1.0934129025999999</v>
          </cell>
          <cell r="D331">
            <v>1.0939513708999999</v>
          </cell>
        </row>
        <row r="332">
          <cell r="A332">
            <v>43920</v>
          </cell>
          <cell r="B332">
            <v>1.0940252233000001</v>
          </cell>
          <cell r="C332">
            <v>1.0937559378999999</v>
          </cell>
          <cell r="D332">
            <v>1.0942945750999999</v>
          </cell>
        </row>
        <row r="333">
          <cell r="A333">
            <v>43921</v>
          </cell>
          <cell r="B333">
            <v>1.0943684506</v>
          </cell>
          <cell r="C333">
            <v>1.0940990806999999</v>
          </cell>
          <cell r="D333">
            <v>1.0946378869</v>
          </cell>
        </row>
        <row r="334">
          <cell r="A334">
            <v>43922</v>
          </cell>
          <cell r="B334">
            <v>1.0947117856999999</v>
          </cell>
          <cell r="C334">
            <v>1.0944423313</v>
          </cell>
          <cell r="D334">
            <v>1.0949813065</v>
          </cell>
        </row>
        <row r="335">
          <cell r="A335">
            <v>43923</v>
          </cell>
          <cell r="B335">
            <v>1.0950788779</v>
          </cell>
          <cell r="C335">
            <v>1.0948093330999999</v>
          </cell>
          <cell r="D335">
            <v>1.0953484891</v>
          </cell>
        </row>
        <row r="336">
          <cell r="A336">
            <v>43924</v>
          </cell>
          <cell r="B336">
            <v>1.0954460933000001</v>
          </cell>
          <cell r="C336">
            <v>1.0951764581000001</v>
          </cell>
          <cell r="D336">
            <v>1.0957157949</v>
          </cell>
        </row>
        <row r="337">
          <cell r="A337">
            <v>43927</v>
          </cell>
          <cell r="B337">
            <v>1.0958134317999999</v>
          </cell>
          <cell r="C337">
            <v>1.0955437063</v>
          </cell>
          <cell r="D337">
            <v>1.0960832239</v>
          </cell>
        </row>
        <row r="338">
          <cell r="A338">
            <v>43928</v>
          </cell>
          <cell r="B338">
            <v>1.0961808934999999</v>
          </cell>
          <cell r="C338">
            <v>1.0959110774</v>
          </cell>
          <cell r="D338">
            <v>1.096450776</v>
          </cell>
        </row>
        <row r="339">
          <cell r="A339">
            <v>43929</v>
          </cell>
          <cell r="B339">
            <v>1.0965484783999999</v>
          </cell>
          <cell r="C339">
            <v>1.0962785719000001</v>
          </cell>
          <cell r="D339">
            <v>1.0968184513999999</v>
          </cell>
        </row>
        <row r="340">
          <cell r="A340">
            <v>43930</v>
          </cell>
          <cell r="B340">
            <v>1.0969161864999999</v>
          </cell>
          <cell r="C340">
            <v>1.0966461894999999</v>
          </cell>
          <cell r="D340">
            <v>1.0971862501</v>
          </cell>
        </row>
        <row r="341">
          <cell r="A341">
            <v>43934</v>
          </cell>
          <cell r="B341">
            <v>1.0972840181000001</v>
          </cell>
          <cell r="C341">
            <v>1.0970139305</v>
          </cell>
          <cell r="D341">
            <v>1.0975541722</v>
          </cell>
        </row>
        <row r="342">
          <cell r="A342">
            <v>43935</v>
          </cell>
          <cell r="B342">
            <v>1.0976519729000001</v>
          </cell>
          <cell r="C342">
            <v>1.0973817948</v>
          </cell>
          <cell r="D342">
            <v>1.0979222176000001</v>
          </cell>
        </row>
        <row r="343">
          <cell r="A343">
            <v>43936</v>
          </cell>
          <cell r="B343">
            <v>1.0980200511</v>
          </cell>
          <cell r="C343">
            <v>1.0977497823</v>
          </cell>
          <cell r="D343">
            <v>1.0982903864</v>
          </cell>
        </row>
        <row r="344">
          <cell r="A344">
            <v>43937</v>
          </cell>
          <cell r="B344">
            <v>1.0983882527</v>
          </cell>
          <cell r="C344">
            <v>1.0981178934</v>
          </cell>
          <cell r="D344">
            <v>1.0986586786999999</v>
          </cell>
        </row>
        <row r="345">
          <cell r="A345">
            <v>43938</v>
          </cell>
          <cell r="B345">
            <v>1.0987565777999999</v>
          </cell>
          <cell r="C345">
            <v>1.0984861278</v>
          </cell>
          <cell r="D345">
            <v>1.0990270945</v>
          </cell>
        </row>
        <row r="346">
          <cell r="A346">
            <v>43941</v>
          </cell>
          <cell r="B346">
            <v>1.0991250265000001</v>
          </cell>
          <cell r="C346">
            <v>1.0988544858</v>
          </cell>
          <cell r="D346">
            <v>1.0993956338999999</v>
          </cell>
        </row>
        <row r="347">
          <cell r="A347">
            <v>43943</v>
          </cell>
          <cell r="B347">
            <v>1.0994935987000001</v>
          </cell>
          <cell r="C347">
            <v>1.0992229673</v>
          </cell>
          <cell r="D347">
            <v>1.0997642968000001</v>
          </cell>
        </row>
        <row r="348">
          <cell r="A348">
            <v>43944</v>
          </cell>
          <cell r="B348">
            <v>1.0998622944000001</v>
          </cell>
          <cell r="C348">
            <v>1.0995915722</v>
          </cell>
          <cell r="D348">
            <v>1.1001330833</v>
          </cell>
        </row>
        <row r="349">
          <cell r="A349">
            <v>43945</v>
          </cell>
          <cell r="B349">
            <v>1.1002311138</v>
          </cell>
          <cell r="C349">
            <v>1.0999603008000001</v>
          </cell>
          <cell r="D349">
            <v>1.1005019935</v>
          </cell>
        </row>
        <row r="350">
          <cell r="A350">
            <v>43948</v>
          </cell>
          <cell r="B350">
            <v>1.1006000570000001</v>
          </cell>
          <cell r="C350">
            <v>1.1003291531999999</v>
          </cell>
          <cell r="D350">
            <v>1.1008710275</v>
          </cell>
        </row>
        <row r="351">
          <cell r="A351">
            <v>43949</v>
          </cell>
          <cell r="B351">
            <v>1.1009691237000001</v>
          </cell>
          <cell r="C351">
            <v>1.1006981291</v>
          </cell>
          <cell r="D351">
            <v>1.1012401851</v>
          </cell>
        </row>
        <row r="352">
          <cell r="A352">
            <v>43950</v>
          </cell>
          <cell r="B352">
            <v>1.1013383143</v>
          </cell>
          <cell r="C352">
            <v>1.1010672288000001</v>
          </cell>
          <cell r="D352">
            <v>1.1016094666</v>
          </cell>
        </row>
        <row r="353">
          <cell r="A353">
            <v>43951</v>
          </cell>
          <cell r="B353">
            <v>1.1017076287000001</v>
          </cell>
          <cell r="C353">
            <v>1.1014364523</v>
          </cell>
          <cell r="D353">
            <v>1.1019788719000001</v>
          </cell>
        </row>
        <row r="354">
          <cell r="A354">
            <v>43955</v>
          </cell>
          <cell r="B354">
            <v>1.1020770667999999</v>
          </cell>
          <cell r="C354">
            <v>1.1018057994999999</v>
          </cell>
          <cell r="D354">
            <v>1.102348401</v>
          </cell>
        </row>
        <row r="355">
          <cell r="A355">
            <v>43956</v>
          </cell>
          <cell r="B355">
            <v>1.1024466288999999</v>
          </cell>
          <cell r="C355">
            <v>1.1021752706000001</v>
          </cell>
          <cell r="D355">
            <v>1.1027180540999999</v>
          </cell>
        </row>
        <row r="356">
          <cell r="A356">
            <v>43957</v>
          </cell>
          <cell r="B356">
            <v>1.1028163149000001</v>
          </cell>
          <cell r="C356">
            <v>1.1025448656000001</v>
          </cell>
          <cell r="D356">
            <v>1.1030878311000001</v>
          </cell>
        </row>
        <row r="357">
          <cell r="A357">
            <v>43958</v>
          </cell>
          <cell r="B357">
            <v>1.1031861249999999</v>
          </cell>
          <cell r="C357">
            <v>1.1029145846999999</v>
          </cell>
          <cell r="D357">
            <v>1.1034577322000001</v>
          </cell>
        </row>
        <row r="358">
          <cell r="A358">
            <v>43959</v>
          </cell>
          <cell r="B358">
            <v>1.103556059</v>
          </cell>
          <cell r="C358">
            <v>1.1032844276</v>
          </cell>
          <cell r="D358">
            <v>1.1038277572999999</v>
          </cell>
        </row>
        <row r="359">
          <cell r="A359">
            <v>43962</v>
          </cell>
          <cell r="B359">
            <v>1.1039261170000001</v>
          </cell>
          <cell r="C359">
            <v>1.1036543944999999</v>
          </cell>
          <cell r="D359">
            <v>1.1041979064</v>
          </cell>
        </row>
        <row r="360">
          <cell r="A360">
            <v>43963</v>
          </cell>
          <cell r="B360">
            <v>1.1042962991</v>
          </cell>
          <cell r="C360">
            <v>1.1040244856000001</v>
          </cell>
          <cell r="D360">
            <v>1.1045681797</v>
          </cell>
        </row>
        <row r="361">
          <cell r="A361">
            <v>43964</v>
          </cell>
          <cell r="B361">
            <v>1.1046666054000001</v>
          </cell>
          <cell r="C361">
            <v>1.1043947006999999</v>
          </cell>
          <cell r="D361">
            <v>1.1049385771</v>
          </cell>
        </row>
        <row r="362">
          <cell r="A362">
            <v>43965</v>
          </cell>
          <cell r="B362">
            <v>1.1050370358999999</v>
          </cell>
          <cell r="C362">
            <v>1.10476504</v>
          </cell>
          <cell r="D362">
            <v>1.1053090988000001</v>
          </cell>
        </row>
        <row r="363">
          <cell r="A363">
            <v>43966</v>
          </cell>
          <cell r="B363">
            <v>1.1054075905</v>
          </cell>
          <cell r="C363">
            <v>1.1051355034000001</v>
          </cell>
          <cell r="D363">
            <v>1.1056797447</v>
          </cell>
        </row>
        <row r="364">
          <cell r="A364">
            <v>43969</v>
          </cell>
          <cell r="B364">
            <v>1.1057782695</v>
          </cell>
          <cell r="C364">
            <v>1.1055060911000001</v>
          </cell>
          <cell r="D364">
            <v>1.1060505148999999</v>
          </cell>
        </row>
        <row r="365">
          <cell r="A365">
            <v>43970</v>
          </cell>
          <cell r="B365">
            <v>1.1061490727000001</v>
          </cell>
          <cell r="C365">
            <v>1.1058768030999999</v>
          </cell>
          <cell r="D365">
            <v>1.1064214094</v>
          </cell>
        </row>
        <row r="366">
          <cell r="A366">
            <v>43971</v>
          </cell>
          <cell r="B366">
            <v>1.1065200003</v>
          </cell>
          <cell r="C366">
            <v>1.1062476393</v>
          </cell>
          <cell r="D366">
            <v>1.1067924282999999</v>
          </cell>
        </row>
        <row r="367">
          <cell r="A367">
            <v>43972</v>
          </cell>
          <cell r="B367">
            <v>1.1068910521999999</v>
          </cell>
          <cell r="C367">
            <v>1.1066186</v>
          </cell>
          <cell r="D367">
            <v>1.1071635715999999</v>
          </cell>
        </row>
        <row r="368">
          <cell r="A368">
            <v>43973</v>
          </cell>
          <cell r="B368">
            <v>1.1072622285</v>
          </cell>
          <cell r="C368">
            <v>1.1069896849</v>
          </cell>
          <cell r="D368">
            <v>1.1075348393</v>
          </cell>
        </row>
        <row r="369">
          <cell r="A369">
            <v>43976</v>
          </cell>
          <cell r="B369">
            <v>1.1076335293999999</v>
          </cell>
          <cell r="C369">
            <v>1.1073608944</v>
          </cell>
          <cell r="D369">
            <v>1.1079062315999999</v>
          </cell>
        </row>
        <row r="370">
          <cell r="A370">
            <v>43977</v>
          </cell>
          <cell r="B370">
            <v>1.1080049547999999</v>
          </cell>
          <cell r="C370">
            <v>1.1077322283</v>
          </cell>
          <cell r="D370">
            <v>1.1082777483999999</v>
          </cell>
        </row>
        <row r="371">
          <cell r="A371">
            <v>43978</v>
          </cell>
          <cell r="B371">
            <v>1.1083765047</v>
          </cell>
          <cell r="C371">
            <v>1.1081036868</v>
          </cell>
          <cell r="D371">
            <v>1.1086493898000001</v>
          </cell>
        </row>
        <row r="372">
          <cell r="A372">
            <v>43979</v>
          </cell>
          <cell r="B372">
            <v>1.1087481792</v>
          </cell>
          <cell r="C372">
            <v>1.1084752698</v>
          </cell>
          <cell r="D372">
            <v>1.1090211558</v>
          </cell>
        </row>
        <row r="373">
          <cell r="A373">
            <v>43980</v>
          </cell>
          <cell r="B373">
            <v>1.1091199782000001</v>
          </cell>
          <cell r="C373">
            <v>1.1088469774</v>
          </cell>
          <cell r="D373">
            <v>1.1093930463999999</v>
          </cell>
        </row>
        <row r="374">
          <cell r="A374">
            <v>43983</v>
          </cell>
          <cell r="B374">
            <v>1.1094919021</v>
          </cell>
          <cell r="C374">
            <v>1.1092188096</v>
          </cell>
          <cell r="D374">
            <v>1.1097650617999999</v>
          </cell>
        </row>
        <row r="375">
          <cell r="A375">
            <v>43984</v>
          </cell>
          <cell r="B375">
            <v>1.1098639506000001</v>
          </cell>
          <cell r="C375">
            <v>1.1095907666</v>
          </cell>
          <cell r="D375">
            <v>1.1101372019</v>
          </cell>
        </row>
        <row r="376">
          <cell r="A376">
            <v>43985</v>
          </cell>
          <cell r="B376">
            <v>1.1102361239</v>
          </cell>
          <cell r="C376">
            <v>1.1099628482999999</v>
          </cell>
          <cell r="D376">
            <v>1.1105094669</v>
          </cell>
        </row>
        <row r="377">
          <cell r="A377">
            <v>43986</v>
          </cell>
          <cell r="B377">
            <v>1.1106084220000001</v>
          </cell>
          <cell r="C377">
            <v>1.1103350546999999</v>
          </cell>
          <cell r="D377">
            <v>1.1108818566000001</v>
          </cell>
        </row>
        <row r="378">
          <cell r="A378">
            <v>43987</v>
          </cell>
          <cell r="B378">
            <v>1.1109808449</v>
          </cell>
          <cell r="C378">
            <v>1.1107073860000001</v>
          </cell>
          <cell r="D378">
            <v>1.1112543712</v>
          </cell>
        </row>
        <row r="379">
          <cell r="A379">
            <v>43990</v>
          </cell>
          <cell r="B379">
            <v>1.1113533927999999</v>
          </cell>
          <cell r="C379">
            <v>1.1110798421000001</v>
          </cell>
          <cell r="D379">
            <v>1.1116270107999999</v>
          </cell>
        </row>
        <row r="380">
          <cell r="A380">
            <v>43991</v>
          </cell>
          <cell r="B380">
            <v>1.1117260655000001</v>
          </cell>
          <cell r="C380">
            <v>1.1114524232</v>
          </cell>
          <cell r="D380">
            <v>1.1119997752999999</v>
          </cell>
        </row>
        <row r="381">
          <cell r="A381">
            <v>43992</v>
          </cell>
          <cell r="B381">
            <v>1.1120988632</v>
          </cell>
          <cell r="C381">
            <v>1.1118251291000001</v>
          </cell>
          <cell r="D381">
            <v>1.1123726648000001</v>
          </cell>
        </row>
        <row r="382">
          <cell r="A382">
            <v>43994</v>
          </cell>
          <cell r="B382">
            <v>1.1124717859</v>
          </cell>
          <cell r="C382">
            <v>1.11219796</v>
          </cell>
          <cell r="D382">
            <v>1.1127456792999999</v>
          </cell>
        </row>
        <row r="383">
          <cell r="A383">
            <v>43997</v>
          </cell>
          <cell r="B383">
            <v>1.1128448337000001</v>
          </cell>
          <cell r="C383">
            <v>1.1125709158999999</v>
          </cell>
          <cell r="D383">
            <v>1.1131188189000001</v>
          </cell>
        </row>
        <row r="384">
          <cell r="A384">
            <v>43998</v>
          </cell>
          <cell r="B384">
            <v>1.1132180065999999</v>
          </cell>
          <cell r="C384">
            <v>1.1129439969999999</v>
          </cell>
          <cell r="D384">
            <v>1.1134920837</v>
          </cell>
        </row>
        <row r="385">
          <cell r="A385">
            <v>43999</v>
          </cell>
          <cell r="B385">
            <v>1.1135913046000001</v>
          </cell>
          <cell r="C385">
            <v>1.1133172031</v>
          </cell>
          <cell r="D385">
            <v>1.1138654736</v>
          </cell>
        </row>
        <row r="386">
          <cell r="A386">
            <v>44000</v>
          </cell>
          <cell r="B386">
            <v>1.1139647277</v>
          </cell>
          <cell r="C386">
            <v>1.1136905344000001</v>
          </cell>
          <cell r="D386">
            <v>1.1142389886999999</v>
          </cell>
        </row>
        <row r="387">
          <cell r="A387">
            <v>44001</v>
          </cell>
          <cell r="B387">
            <v>1.1143382762</v>
          </cell>
          <cell r="C387">
            <v>1.1140639909000001</v>
          </cell>
          <cell r="D387">
            <v>1.1146126291</v>
          </cell>
        </row>
        <row r="388">
          <cell r="A388">
            <v>44004</v>
          </cell>
          <cell r="B388">
            <v>1.1147119498</v>
          </cell>
          <cell r="C388">
            <v>1.1144375725</v>
          </cell>
          <cell r="D388">
            <v>1.1149863947</v>
          </cell>
        </row>
        <row r="389">
          <cell r="A389">
            <v>44005</v>
          </cell>
          <cell r="B389">
            <v>1.1150857488999999</v>
          </cell>
          <cell r="C389">
            <v>1.1148112795</v>
          </cell>
          <cell r="D389">
            <v>1.1153602858</v>
          </cell>
        </row>
        <row r="390">
          <cell r="A390">
            <v>44006</v>
          </cell>
          <cell r="B390">
            <v>1.1154596730999999</v>
          </cell>
          <cell r="C390">
            <v>1.1151851117</v>
          </cell>
          <cell r="D390">
            <v>1.1157343020999999</v>
          </cell>
        </row>
        <row r="391">
          <cell r="A391">
            <v>44007</v>
          </cell>
          <cell r="B391">
            <v>1.1158337227999999</v>
          </cell>
          <cell r="C391">
            <v>1.1155590693999999</v>
          </cell>
          <cell r="D391">
            <v>1.1161084439</v>
          </cell>
        </row>
        <row r="392">
          <cell r="A392">
            <v>44008</v>
          </cell>
          <cell r="B392">
            <v>1.1162078980000001</v>
          </cell>
          <cell r="C392">
            <v>1.1159331525</v>
          </cell>
          <cell r="D392">
            <v>1.1164827112</v>
          </cell>
        </row>
        <row r="393">
          <cell r="A393">
            <v>44011</v>
          </cell>
          <cell r="B393">
            <v>1.1165821986</v>
          </cell>
          <cell r="C393">
            <v>1.1163073610000001</v>
          </cell>
          <cell r="D393">
            <v>1.1168571039999999</v>
          </cell>
        </row>
        <row r="394">
          <cell r="A394">
            <v>44012</v>
          </cell>
          <cell r="B394">
            <v>1.1169566247</v>
          </cell>
          <cell r="C394">
            <v>1.1166816949</v>
          </cell>
          <cell r="D394">
            <v>1.1172316223000001</v>
          </cell>
        </row>
        <row r="395">
          <cell r="A395">
            <v>44013</v>
          </cell>
          <cell r="B395">
            <v>1.1173311764</v>
          </cell>
          <cell r="C395">
            <v>1.1170561543999999</v>
          </cell>
          <cell r="D395">
            <v>1.1176062661999999</v>
          </cell>
        </row>
        <row r="396">
          <cell r="A396">
            <v>44014</v>
          </cell>
          <cell r="B396">
            <v>1.1177316204000001</v>
          </cell>
          <cell r="C396">
            <v>1.1174564999000001</v>
          </cell>
          <cell r="D396">
            <v>1.1180068087999999</v>
          </cell>
        </row>
        <row r="397">
          <cell r="A397">
            <v>44015</v>
          </cell>
          <cell r="B397">
            <v>1.118132208</v>
          </cell>
          <cell r="C397">
            <v>1.1178569888000001</v>
          </cell>
          <cell r="D397">
            <v>1.118407495</v>
          </cell>
        </row>
        <row r="398">
          <cell r="A398">
            <v>44018</v>
          </cell>
          <cell r="B398">
            <v>1.1185329391000001</v>
          </cell>
          <cell r="C398">
            <v>1.1182576212999999</v>
          </cell>
          <cell r="D398">
            <v>1.1188083248</v>
          </cell>
        </row>
        <row r="399">
          <cell r="A399">
            <v>44019</v>
          </cell>
          <cell r="B399">
            <v>1.1189338138</v>
          </cell>
          <cell r="C399">
            <v>1.1186583973999999</v>
          </cell>
          <cell r="D399">
            <v>1.1192092981999999</v>
          </cell>
        </row>
        <row r="400">
          <cell r="A400">
            <v>44020</v>
          </cell>
          <cell r="B400">
            <v>1.1193348323000001</v>
          </cell>
          <cell r="C400">
            <v>1.1190593171000001</v>
          </cell>
          <cell r="D400">
            <v>1.1196104153999999</v>
          </cell>
        </row>
        <row r="401">
          <cell r="A401">
            <v>44021</v>
          </cell>
          <cell r="B401">
            <v>1.1197359944</v>
          </cell>
          <cell r="C401">
            <v>1.1194603805000001</v>
          </cell>
          <cell r="D401">
            <v>1.1200116763000001</v>
          </cell>
        </row>
        <row r="402">
          <cell r="A402">
            <v>44022</v>
          </cell>
          <cell r="B402">
            <v>1.1201373002999999</v>
          </cell>
          <cell r="C402">
            <v>1.1198615876</v>
          </cell>
          <cell r="D402">
            <v>1.1204130809999999</v>
          </cell>
        </row>
        <row r="403">
          <cell r="A403">
            <v>44025</v>
          </cell>
          <cell r="B403">
            <v>1.1205387500999999</v>
          </cell>
          <cell r="C403">
            <v>1.1202629386</v>
          </cell>
          <cell r="D403">
            <v>1.1208146295999999</v>
          </cell>
        </row>
        <row r="404">
          <cell r="A404">
            <v>44026</v>
          </cell>
          <cell r="B404">
            <v>1.1209403436000001</v>
          </cell>
          <cell r="C404">
            <v>1.1206644333</v>
          </cell>
          <cell r="D404">
            <v>1.121216322</v>
          </cell>
        </row>
        <row r="405">
          <cell r="A405">
            <v>44027</v>
          </cell>
          <cell r="B405">
            <v>1.1213420811999999</v>
          </cell>
          <cell r="C405">
            <v>1.1210660720000001</v>
          </cell>
          <cell r="D405">
            <v>1.1216181585</v>
          </cell>
        </row>
        <row r="406">
          <cell r="A406">
            <v>44028</v>
          </cell>
          <cell r="B406">
            <v>1.1217439628000001</v>
          </cell>
          <cell r="C406">
            <v>1.1214678546000001</v>
          </cell>
          <cell r="D406">
            <v>1.122020139</v>
          </cell>
        </row>
        <row r="407">
          <cell r="A407">
            <v>44029</v>
          </cell>
          <cell r="B407">
            <v>1.1221459883</v>
          </cell>
          <cell r="C407">
            <v>1.1218697812</v>
          </cell>
          <cell r="D407">
            <v>1.1224222635000001</v>
          </cell>
        </row>
        <row r="408">
          <cell r="A408">
            <v>44032</v>
          </cell>
          <cell r="B408">
            <v>1.1225481579000001</v>
          </cell>
          <cell r="C408">
            <v>1.1222718518000001</v>
          </cell>
          <cell r="D408">
            <v>1.1228245321000001</v>
          </cell>
        </row>
        <row r="409">
          <cell r="A409">
            <v>44033</v>
          </cell>
          <cell r="B409">
            <v>1.1229504717000001</v>
          </cell>
          <cell r="C409">
            <v>1.1226740665999999</v>
          </cell>
          <cell r="D409">
            <v>1.1232269450000001</v>
          </cell>
        </row>
        <row r="410">
          <cell r="A410">
            <v>44034</v>
          </cell>
          <cell r="B410">
            <v>1.1233529297</v>
          </cell>
          <cell r="C410">
            <v>1.1230764254000001</v>
          </cell>
          <cell r="D410">
            <v>1.123629502</v>
          </cell>
        </row>
        <row r="411">
          <cell r="A411">
            <v>44035</v>
          </cell>
          <cell r="B411">
            <v>1.1237555318000001</v>
          </cell>
          <cell r="C411">
            <v>1.1234789285</v>
          </cell>
          <cell r="D411">
            <v>1.1240322033000001</v>
          </cell>
        </row>
        <row r="412">
          <cell r="A412">
            <v>44036</v>
          </cell>
          <cell r="B412">
            <v>1.1241582783999999</v>
          </cell>
          <cell r="C412">
            <v>1.1238815759</v>
          </cell>
          <cell r="D412">
            <v>1.1244350489999999</v>
          </cell>
        </row>
        <row r="413">
          <cell r="A413">
            <v>44039</v>
          </cell>
          <cell r="B413">
            <v>1.1245611691999999</v>
          </cell>
          <cell r="C413">
            <v>1.1242843676000001</v>
          </cell>
          <cell r="D413">
            <v>1.1248380389999999</v>
          </cell>
        </row>
        <row r="414">
          <cell r="A414">
            <v>44040</v>
          </cell>
          <cell r="B414">
            <v>1.1249642043999999</v>
          </cell>
          <cell r="C414">
            <v>1.1246873035</v>
          </cell>
          <cell r="D414">
            <v>1.1252411734000001</v>
          </cell>
        </row>
        <row r="415">
          <cell r="A415">
            <v>44041</v>
          </cell>
          <cell r="B415">
            <v>1.1253673841</v>
          </cell>
          <cell r="C415">
            <v>1.1250903839999999</v>
          </cell>
          <cell r="D415">
            <v>1.1256444524</v>
          </cell>
        </row>
        <row r="416">
          <cell r="A416">
            <v>44042</v>
          </cell>
          <cell r="B416">
            <v>1.1257707081999999</v>
          </cell>
          <cell r="C416">
            <v>1.1254936089000001</v>
          </cell>
          <cell r="D416">
            <v>1.1260478758000001</v>
          </cell>
        </row>
        <row r="417">
          <cell r="A417">
            <v>44043</v>
          </cell>
          <cell r="B417">
            <v>1.126174177</v>
          </cell>
          <cell r="C417">
            <v>1.1258969782999999</v>
          </cell>
          <cell r="D417">
            <v>1.1264514439</v>
          </cell>
        </row>
        <row r="418">
          <cell r="A418">
            <v>44046</v>
          </cell>
          <cell r="B418">
            <v>1.1265777903</v>
          </cell>
          <cell r="C418">
            <v>1.1263004923</v>
          </cell>
          <cell r="D418">
            <v>1.1268551566</v>
          </cell>
        </row>
        <row r="419">
          <cell r="A419">
            <v>44047</v>
          </cell>
          <cell r="B419">
            <v>1.1269815482000001</v>
          </cell>
          <cell r="C419">
            <v>1.1267041508</v>
          </cell>
          <cell r="D419">
            <v>1.1272590139000001</v>
          </cell>
        </row>
        <row r="420">
          <cell r="A420">
            <v>44048</v>
          </cell>
          <cell r="B420">
            <v>1.1273854508000001</v>
          </cell>
          <cell r="C420">
            <v>1.1271079541</v>
          </cell>
          <cell r="D420">
            <v>1.1276630160000001</v>
          </cell>
        </row>
        <row r="421">
          <cell r="A421">
            <v>44049</v>
          </cell>
          <cell r="B421">
            <v>1.1277894983000001</v>
          </cell>
          <cell r="C421">
            <v>1.127511902</v>
          </cell>
          <cell r="D421">
            <v>1.1280671629000001</v>
          </cell>
        </row>
        <row r="422">
          <cell r="A422">
            <v>44050</v>
          </cell>
          <cell r="B422">
            <v>1.1281936905000001</v>
          </cell>
          <cell r="C422">
            <v>1.1279159947999999</v>
          </cell>
          <cell r="D422">
            <v>1.1284714547000001</v>
          </cell>
        </row>
        <row r="423">
          <cell r="A423">
            <v>44053</v>
          </cell>
          <cell r="B423">
            <v>1.1285980276000001</v>
          </cell>
          <cell r="C423">
            <v>1.1283202322999999</v>
          </cell>
          <cell r="D423">
            <v>1.1288758913000001</v>
          </cell>
        </row>
        <row r="424">
          <cell r="A424">
            <v>44054</v>
          </cell>
          <cell r="B424">
            <v>1.1290025096</v>
          </cell>
          <cell r="C424">
            <v>1.1287246148000001</v>
          </cell>
          <cell r="D424">
            <v>1.1292804729000001</v>
          </cell>
        </row>
        <row r="425">
          <cell r="A425">
            <v>44055</v>
          </cell>
          <cell r="B425">
            <v>1.1294071366</v>
          </cell>
          <cell r="C425">
            <v>1.1291291422</v>
          </cell>
          <cell r="D425">
            <v>1.1296851994999999</v>
          </cell>
        </row>
        <row r="426">
          <cell r="A426">
            <v>44056</v>
          </cell>
          <cell r="B426">
            <v>1.1298119085</v>
          </cell>
          <cell r="C426">
            <v>1.1295338145</v>
          </cell>
          <cell r="D426">
            <v>1.1300900710999999</v>
          </cell>
        </row>
        <row r="427">
          <cell r="A427">
            <v>44057</v>
          </cell>
          <cell r="B427">
            <v>1.1302168256</v>
          </cell>
          <cell r="C427">
            <v>1.1299386319</v>
          </cell>
          <cell r="D427">
            <v>1.1304950879</v>
          </cell>
        </row>
        <row r="428">
          <cell r="A428">
            <v>44060</v>
          </cell>
          <cell r="B428">
            <v>1.1306218878000001</v>
          </cell>
          <cell r="C428">
            <v>1.1303435944</v>
          </cell>
          <cell r="D428">
            <v>1.1309002498</v>
          </cell>
        </row>
        <row r="429">
          <cell r="A429">
            <v>44061</v>
          </cell>
          <cell r="B429">
            <v>1.1310270952000001</v>
          </cell>
          <cell r="C429">
            <v>1.130748702</v>
          </cell>
          <cell r="D429">
            <v>1.1313055568999999</v>
          </cell>
        </row>
        <row r="430">
          <cell r="A430">
            <v>44062</v>
          </cell>
          <cell r="B430">
            <v>1.1314324477</v>
          </cell>
          <cell r="C430">
            <v>1.1311539547</v>
          </cell>
          <cell r="D430">
            <v>1.1317110092</v>
          </cell>
        </row>
        <row r="431">
          <cell r="A431">
            <v>44063</v>
          </cell>
          <cell r="B431">
            <v>1.1318379455000001</v>
          </cell>
          <cell r="C431">
            <v>1.1315593528000001</v>
          </cell>
          <cell r="D431">
            <v>1.1321166068999999</v>
          </cell>
        </row>
        <row r="432">
          <cell r="A432">
            <v>44064</v>
          </cell>
          <cell r="B432">
            <v>1.1322435887</v>
          </cell>
          <cell r="C432">
            <v>1.1319648962</v>
          </cell>
          <cell r="D432">
            <v>1.1325223499999999</v>
          </cell>
        </row>
        <row r="433">
          <cell r="A433">
            <v>44067</v>
          </cell>
          <cell r="B433">
            <v>1.1326493771999999</v>
          </cell>
          <cell r="C433">
            <v>1.1323705848000001</v>
          </cell>
          <cell r="D433">
            <v>1.1329282383999999</v>
          </cell>
        </row>
        <row r="434">
          <cell r="A434">
            <v>44068</v>
          </cell>
          <cell r="B434">
            <v>1.1330553111999999</v>
          </cell>
          <cell r="C434">
            <v>1.1327764188</v>
          </cell>
          <cell r="D434">
            <v>1.1333342722999999</v>
          </cell>
        </row>
        <row r="435">
          <cell r="A435">
            <v>44069</v>
          </cell>
          <cell r="B435">
            <v>1.1334613907</v>
          </cell>
          <cell r="C435">
            <v>1.1331823984</v>
          </cell>
          <cell r="D435">
            <v>1.1337404518</v>
          </cell>
        </row>
        <row r="436">
          <cell r="A436">
            <v>44070</v>
          </cell>
          <cell r="B436">
            <v>1.1338676157000001</v>
          </cell>
          <cell r="C436">
            <v>1.1335885234</v>
          </cell>
          <cell r="D436">
            <v>1.1341467768</v>
          </cell>
        </row>
        <row r="437">
          <cell r="A437">
            <v>44071</v>
          </cell>
          <cell r="B437">
            <v>1.1342739863</v>
          </cell>
          <cell r="C437">
            <v>1.1339947938999999</v>
          </cell>
          <cell r="D437">
            <v>1.1345532474</v>
          </cell>
        </row>
        <row r="438">
          <cell r="A438">
            <v>44074</v>
          </cell>
          <cell r="B438">
            <v>1.1346805025</v>
          </cell>
          <cell r="C438">
            <v>1.1344012101000001</v>
          </cell>
          <cell r="D438">
            <v>1.1349598637</v>
          </cell>
        </row>
        <row r="439">
          <cell r="A439">
            <v>44075</v>
          </cell>
          <cell r="B439">
            <v>1.1350871645</v>
          </cell>
          <cell r="C439">
            <v>1.134807772</v>
          </cell>
          <cell r="D439">
            <v>1.1353666257999999</v>
          </cell>
        </row>
        <row r="440">
          <cell r="A440">
            <v>44076</v>
          </cell>
          <cell r="B440">
            <v>1.1354939720999999</v>
          </cell>
          <cell r="C440">
            <v>1.1352144795000001</v>
          </cell>
          <cell r="D440">
            <v>1.1357735336000001</v>
          </cell>
        </row>
        <row r="441">
          <cell r="A441">
            <v>44077</v>
          </cell>
          <cell r="B441">
            <v>1.1359009256000001</v>
          </cell>
          <cell r="C441">
            <v>1.1356213328</v>
          </cell>
          <cell r="D441">
            <v>1.1361805872999999</v>
          </cell>
        </row>
        <row r="442">
          <cell r="A442">
            <v>44078</v>
          </cell>
          <cell r="B442">
            <v>1.1363080248999999</v>
          </cell>
          <cell r="C442">
            <v>1.1360283319</v>
          </cell>
          <cell r="D442">
            <v>1.1365877868000001</v>
          </cell>
        </row>
        <row r="443">
          <cell r="A443">
            <v>44082</v>
          </cell>
          <cell r="B443">
            <v>1.1367152701000001</v>
          </cell>
          <cell r="C443">
            <v>1.1364354769</v>
          </cell>
          <cell r="D443">
            <v>1.1369951323</v>
          </cell>
        </row>
        <row r="444">
          <cell r="A444">
            <v>44083</v>
          </cell>
          <cell r="B444">
            <v>1.1371226613000001</v>
          </cell>
          <cell r="C444">
            <v>1.1368427677999999</v>
          </cell>
          <cell r="D444">
            <v>1.1374026237999999</v>
          </cell>
        </row>
        <row r="445">
          <cell r="A445">
            <v>44084</v>
          </cell>
          <cell r="B445">
            <v>1.1375301984999999</v>
          </cell>
          <cell r="C445">
            <v>1.1372502045999999</v>
          </cell>
          <cell r="D445">
            <v>1.1378102613000001</v>
          </cell>
        </row>
        <row r="446">
          <cell r="A446">
            <v>44085</v>
          </cell>
          <cell r="B446">
            <v>1.1379378817000001</v>
          </cell>
          <cell r="C446">
            <v>1.1376577875</v>
          </cell>
          <cell r="D446">
            <v>1.1382180448999999</v>
          </cell>
        </row>
        <row r="447">
          <cell r="A447">
            <v>44088</v>
          </cell>
          <cell r="B447">
            <v>1.1383457109999999</v>
          </cell>
          <cell r="C447">
            <v>1.1380655164</v>
          </cell>
          <cell r="D447">
            <v>1.1386259746</v>
          </cell>
        </row>
        <row r="448">
          <cell r="A448">
            <v>44089</v>
          </cell>
          <cell r="B448">
            <v>1.1387536865000001</v>
          </cell>
          <cell r="C448">
            <v>1.1384733916000001</v>
          </cell>
          <cell r="D448">
            <v>1.1390340506000001</v>
          </cell>
        </row>
        <row r="449">
          <cell r="A449">
            <v>44090</v>
          </cell>
          <cell r="B449">
            <v>1.1391618082999999</v>
          </cell>
          <cell r="C449">
            <v>1.1388814128</v>
          </cell>
          <cell r="D449">
            <v>1.1394422728</v>
          </cell>
        </row>
        <row r="450">
          <cell r="A450">
            <v>44091</v>
          </cell>
          <cell r="B450">
            <v>1.1395700762000001</v>
          </cell>
          <cell r="C450">
            <v>1.1392895803</v>
          </cell>
          <cell r="D450">
            <v>1.1398506413</v>
          </cell>
        </row>
        <row r="451">
          <cell r="A451">
            <v>44092</v>
          </cell>
          <cell r="B451">
            <v>1.1399784905999999</v>
          </cell>
          <cell r="C451">
            <v>1.1396978941</v>
          </cell>
          <cell r="D451">
            <v>1.1402591562</v>
          </cell>
        </row>
        <row r="452">
          <cell r="A452">
            <v>44095</v>
          </cell>
          <cell r="B452">
            <v>1.1403870512000001</v>
          </cell>
          <cell r="C452">
            <v>1.1401063542000001</v>
          </cell>
          <cell r="D452">
            <v>1.1406678174</v>
          </cell>
        </row>
        <row r="453">
          <cell r="A453">
            <v>44096</v>
          </cell>
          <cell r="B453">
            <v>1.1407957583999999</v>
          </cell>
          <cell r="C453">
            <v>1.1405149608</v>
          </cell>
          <cell r="D453">
            <v>1.1410766252</v>
          </cell>
        </row>
        <row r="454">
          <cell r="A454">
            <v>44097</v>
          </cell>
          <cell r="B454">
            <v>1.1412046119000001</v>
          </cell>
          <cell r="C454">
            <v>1.1409237136999999</v>
          </cell>
          <cell r="D454">
            <v>1.1414855794000001</v>
          </cell>
        </row>
        <row r="455">
          <cell r="A455">
            <v>44098</v>
          </cell>
          <cell r="B455">
            <v>1.141613612</v>
          </cell>
          <cell r="C455">
            <v>1.1413326130999999</v>
          </cell>
          <cell r="D455">
            <v>1.1418946802000001</v>
          </cell>
        </row>
        <row r="456">
          <cell r="A456">
            <v>44099</v>
          </cell>
          <cell r="B456">
            <v>1.1420227588</v>
          </cell>
          <cell r="C456">
            <v>1.1417416592</v>
          </cell>
          <cell r="D456">
            <v>1.1423039277</v>
          </cell>
        </row>
        <row r="457">
          <cell r="A457">
            <v>44102</v>
          </cell>
          <cell r="B457">
            <v>1.1424320521</v>
          </cell>
          <cell r="C457">
            <v>1.1421508517000001</v>
          </cell>
          <cell r="D457">
            <v>1.1427133218000001</v>
          </cell>
        </row>
        <row r="458">
          <cell r="A458">
            <v>44103</v>
          </cell>
          <cell r="B458">
            <v>1.1428414921000001</v>
          </cell>
          <cell r="C458">
            <v>1.1425601910000001</v>
          </cell>
          <cell r="D458">
            <v>1.1431228626000001</v>
          </cell>
        </row>
        <row r="459">
          <cell r="A459">
            <v>44104</v>
          </cell>
          <cell r="B459">
            <v>1.1432510789000001</v>
          </cell>
          <cell r="C459">
            <v>1.1429696769</v>
          </cell>
          <cell r="D459">
            <v>1.1435325502</v>
          </cell>
        </row>
        <row r="460">
          <cell r="A460">
            <v>44105</v>
          </cell>
          <cell r="B460">
            <v>1.1436608125000001</v>
          </cell>
          <cell r="C460">
            <v>1.1433793097</v>
          </cell>
          <cell r="D460">
            <v>1.1439423847000001</v>
          </cell>
        </row>
        <row r="461">
          <cell r="A461">
            <v>44106</v>
          </cell>
          <cell r="B461">
            <v>1.1440767778000001</v>
          </cell>
          <cell r="C461">
            <v>1.1437951726</v>
          </cell>
          <cell r="D461">
            <v>1.1443584523999999</v>
          </cell>
        </row>
        <row r="462">
          <cell r="A462">
            <v>44109</v>
          </cell>
          <cell r="B462">
            <v>1.1444928943999999</v>
          </cell>
          <cell r="C462">
            <v>1.1442111868</v>
          </cell>
          <cell r="D462">
            <v>1.1447746715</v>
          </cell>
        </row>
        <row r="463">
          <cell r="A463">
            <v>44110</v>
          </cell>
          <cell r="B463">
            <v>1.1449091625000001</v>
          </cell>
          <cell r="C463">
            <v>1.1446273523999999</v>
          </cell>
          <cell r="D463">
            <v>1.145191042</v>
          </cell>
        </row>
        <row r="464">
          <cell r="A464">
            <v>44111</v>
          </cell>
          <cell r="B464">
            <v>1.1453255818000001</v>
          </cell>
          <cell r="C464">
            <v>1.1450436691999999</v>
          </cell>
          <cell r="D464">
            <v>1.1456075639000001</v>
          </cell>
        </row>
        <row r="465">
          <cell r="A465">
            <v>44112</v>
          </cell>
          <cell r="B465">
            <v>1.1457421527</v>
          </cell>
          <cell r="C465">
            <v>1.1454601375</v>
          </cell>
          <cell r="D465">
            <v>1.1460242373</v>
          </cell>
        </row>
        <row r="466">
          <cell r="A466">
            <v>44113</v>
          </cell>
          <cell r="B466">
            <v>1.146158875</v>
          </cell>
          <cell r="C466">
            <v>1.1458767572999999</v>
          </cell>
          <cell r="D466">
            <v>1.1464410622000001</v>
          </cell>
        </row>
        <row r="467">
          <cell r="A467">
            <v>44117</v>
          </cell>
          <cell r="B467">
            <v>1.1465757488999999</v>
          </cell>
          <cell r="C467">
            <v>1.1462935286</v>
          </cell>
          <cell r="D467">
            <v>1.1468580388</v>
          </cell>
        </row>
        <row r="468">
          <cell r="A468">
            <v>44118</v>
          </cell>
          <cell r="B468">
            <v>1.1469927744999999</v>
          </cell>
          <cell r="C468">
            <v>1.1467104514999999</v>
          </cell>
          <cell r="D468">
            <v>1.1472751670000001</v>
          </cell>
        </row>
        <row r="469">
          <cell r="A469">
            <v>44119</v>
          </cell>
          <cell r="B469">
            <v>1.1474099517</v>
          </cell>
          <cell r="C469">
            <v>1.147127526</v>
          </cell>
          <cell r="D469">
            <v>1.1476924469000001</v>
          </cell>
        </row>
        <row r="470">
          <cell r="A470">
            <v>44120</v>
          </cell>
          <cell r="B470">
            <v>1.1478272806000001</v>
          </cell>
          <cell r="C470">
            <v>1.1475447522</v>
          </cell>
          <cell r="D470">
            <v>1.1481098785999999</v>
          </cell>
        </row>
        <row r="471">
          <cell r="A471">
            <v>44123</v>
          </cell>
          <cell r="B471">
            <v>1.1482447613</v>
          </cell>
          <cell r="C471">
            <v>1.1479621302</v>
          </cell>
          <cell r="D471">
            <v>1.1485274620999999</v>
          </cell>
        </row>
        <row r="472">
          <cell r="A472">
            <v>44124</v>
          </cell>
          <cell r="B472">
            <v>1.1486623939</v>
          </cell>
          <cell r="C472">
            <v>1.14837966</v>
          </cell>
          <cell r="D472">
            <v>1.1489451975</v>
          </cell>
        </row>
        <row r="473">
          <cell r="A473">
            <v>44125</v>
          </cell>
          <cell r="B473">
            <v>1.1490801784</v>
          </cell>
          <cell r="C473">
            <v>1.1487973416999999</v>
          </cell>
          <cell r="D473">
            <v>1.1493630849000001</v>
          </cell>
        </row>
        <row r="474">
          <cell r="A474">
            <v>44126</v>
          </cell>
          <cell r="B474">
            <v>1.1494981148000001</v>
          </cell>
          <cell r="C474">
            <v>1.1492151751999999</v>
          </cell>
          <cell r="D474">
            <v>1.1497811242</v>
          </cell>
        </row>
        <row r="475">
          <cell r="A475">
            <v>44127</v>
          </cell>
          <cell r="B475">
            <v>1.1499162033000001</v>
          </cell>
          <cell r="C475">
            <v>1.1496331608000001</v>
          </cell>
          <cell r="D475">
            <v>1.1501993156000001</v>
          </cell>
        </row>
        <row r="476">
          <cell r="A476">
            <v>44130</v>
          </cell>
          <cell r="B476">
            <v>1.1503344438000001</v>
          </cell>
          <cell r="C476">
            <v>1.1500512983</v>
          </cell>
          <cell r="D476">
            <v>1.1506176590999999</v>
          </cell>
        </row>
        <row r="477">
          <cell r="A477">
            <v>44131</v>
          </cell>
          <cell r="B477">
            <v>1.1507528363999999</v>
          </cell>
          <cell r="C477">
            <v>1.150469588</v>
          </cell>
          <cell r="D477">
            <v>1.1510361547000001</v>
          </cell>
        </row>
        <row r="478">
          <cell r="A478">
            <v>44132</v>
          </cell>
          <cell r="B478">
            <v>1.1511713813</v>
          </cell>
          <cell r="C478">
            <v>1.1508880297999999</v>
          </cell>
          <cell r="D478">
            <v>1.1514548026</v>
          </cell>
        </row>
        <row r="479">
          <cell r="A479">
            <v>44133</v>
          </cell>
          <cell r="B479">
            <v>1.1515900782999999</v>
          </cell>
          <cell r="C479">
            <v>1.1513066237</v>
          </cell>
          <cell r="D479">
            <v>1.1518736027000001</v>
          </cell>
        </row>
        <row r="480">
          <cell r="A480">
            <v>44134</v>
          </cell>
          <cell r="B480">
            <v>1.1520089276000001</v>
          </cell>
          <cell r="C480">
            <v>1.1517253699000001</v>
          </cell>
          <cell r="D480">
            <v>1.1522925551000001</v>
          </cell>
        </row>
        <row r="481">
          <cell r="A481">
            <v>44138</v>
          </cell>
          <cell r="B481">
            <v>1.1524279292999999</v>
          </cell>
          <cell r="C481">
            <v>1.1521442685000001</v>
          </cell>
          <cell r="D481">
            <v>1.15271166</v>
          </cell>
        </row>
        <row r="482">
          <cell r="A482">
            <v>44139</v>
          </cell>
          <cell r="B482">
            <v>1.1528470833</v>
          </cell>
          <cell r="C482">
            <v>1.1525633194</v>
          </cell>
          <cell r="D482">
            <v>1.1531309171999999</v>
          </cell>
        </row>
        <row r="483">
          <cell r="A483">
            <v>44140</v>
          </cell>
          <cell r="B483">
            <v>1.1532663899</v>
          </cell>
          <cell r="C483">
            <v>1.1529825226999999</v>
          </cell>
          <cell r="D483">
            <v>1.153550327</v>
          </cell>
        </row>
        <row r="484">
          <cell r="A484">
            <v>44141</v>
          </cell>
          <cell r="B484">
            <v>1.1536858488999999</v>
          </cell>
          <cell r="C484">
            <v>1.1534018785</v>
          </cell>
          <cell r="D484">
            <v>1.1539698893000001</v>
          </cell>
        </row>
        <row r="485">
          <cell r="A485">
            <v>44144</v>
          </cell>
          <cell r="B485">
            <v>1.1541054605000001</v>
          </cell>
          <cell r="C485">
            <v>1.1538213868</v>
          </cell>
          <cell r="D485">
            <v>1.1543896041999999</v>
          </cell>
        </row>
        <row r="486">
          <cell r="A486">
            <v>44145</v>
          </cell>
          <cell r="B486">
            <v>1.1545252247</v>
          </cell>
          <cell r="C486">
            <v>1.1542410476</v>
          </cell>
          <cell r="D486">
            <v>1.1548094716999999</v>
          </cell>
        </row>
        <row r="487">
          <cell r="A487">
            <v>44146</v>
          </cell>
          <cell r="B487">
            <v>1.1549451416000001</v>
          </cell>
          <cell r="C487">
            <v>1.1546608612</v>
          </cell>
          <cell r="D487">
            <v>1.1552294919999999</v>
          </cell>
        </row>
        <row r="488">
          <cell r="A488">
            <v>44147</v>
          </cell>
          <cell r="B488">
            <v>1.1553652110999999</v>
          </cell>
          <cell r="C488">
            <v>1.1550808274</v>
          </cell>
          <cell r="D488">
            <v>1.1556496650000001</v>
          </cell>
        </row>
        <row r="489">
          <cell r="A489">
            <v>44148</v>
          </cell>
          <cell r="B489">
            <v>1.1557854336</v>
          </cell>
          <cell r="C489">
            <v>1.1555009463999999</v>
          </cell>
          <cell r="D489">
            <v>1.1560699909000001</v>
          </cell>
        </row>
        <row r="490">
          <cell r="A490">
            <v>44151</v>
          </cell>
          <cell r="B490">
            <v>1.1562058088</v>
          </cell>
          <cell r="C490">
            <v>1.1559212181</v>
          </cell>
          <cell r="D490">
            <v>1.1564904696</v>
          </cell>
        </row>
        <row r="491">
          <cell r="A491">
            <v>44152</v>
          </cell>
          <cell r="B491">
            <v>1.1566263369000001</v>
          </cell>
          <cell r="C491">
            <v>1.1563416426999999</v>
          </cell>
          <cell r="D491">
            <v>1.1569111012</v>
          </cell>
        </row>
        <row r="492">
          <cell r="A492">
            <v>44153</v>
          </cell>
          <cell r="B492">
            <v>1.1570470180000001</v>
          </cell>
          <cell r="C492">
            <v>1.1567622202000001</v>
          </cell>
          <cell r="D492">
            <v>1.1573318858999999</v>
          </cell>
        </row>
        <row r="493">
          <cell r="A493">
            <v>44154</v>
          </cell>
          <cell r="B493">
            <v>1.1574678520999999</v>
          </cell>
          <cell r="C493">
            <v>1.1571829508</v>
          </cell>
          <cell r="D493">
            <v>1.1577528236000001</v>
          </cell>
        </row>
        <row r="494">
          <cell r="A494">
            <v>44155</v>
          </cell>
          <cell r="B494">
            <v>1.1578888392</v>
          </cell>
          <cell r="C494">
            <v>1.1576038342999999</v>
          </cell>
          <cell r="D494">
            <v>1.1581739144000001</v>
          </cell>
        </row>
        <row r="495">
          <cell r="A495">
            <v>44158</v>
          </cell>
          <cell r="B495">
            <v>1.1583099795</v>
          </cell>
          <cell r="C495">
            <v>1.1580248709000001</v>
          </cell>
          <cell r="D495">
            <v>1.1585951584</v>
          </cell>
        </row>
        <row r="496">
          <cell r="A496">
            <v>44159</v>
          </cell>
          <cell r="B496">
            <v>1.1587312729000001</v>
          </cell>
          <cell r="C496">
            <v>1.1584460606</v>
          </cell>
          <cell r="D496">
            <v>1.1590165555</v>
          </cell>
        </row>
        <row r="497">
          <cell r="A497">
            <v>44160</v>
          </cell>
          <cell r="B497">
            <v>1.1591527197</v>
          </cell>
          <cell r="C497">
            <v>1.1588674036</v>
          </cell>
          <cell r="D497">
            <v>1.1594381060000001</v>
          </cell>
        </row>
        <row r="498">
          <cell r="A498">
            <v>44161</v>
          </cell>
          <cell r="B498">
            <v>1.1595743195999999</v>
          </cell>
          <cell r="C498">
            <v>1.1592888996999999</v>
          </cell>
          <cell r="D498">
            <v>1.1598598096999999</v>
          </cell>
        </row>
        <row r="499">
          <cell r="A499">
            <v>44162</v>
          </cell>
          <cell r="B499">
            <v>1.1599960729000001</v>
          </cell>
          <cell r="C499">
            <v>1.1597105492999999</v>
          </cell>
          <cell r="D499">
            <v>1.1602816669</v>
          </cell>
        </row>
        <row r="500">
          <cell r="A500">
            <v>44165</v>
          </cell>
          <cell r="B500">
            <v>1.1604179795</v>
          </cell>
          <cell r="C500">
            <v>1.1601323521</v>
          </cell>
          <cell r="D500">
            <v>1.1607036773999999</v>
          </cell>
        </row>
        <row r="501">
          <cell r="A501">
            <v>44166</v>
          </cell>
          <cell r="B501">
            <v>1.1608400397</v>
          </cell>
          <cell r="C501">
            <v>1.1605543084000001</v>
          </cell>
          <cell r="D501">
            <v>1.1611258415000001</v>
          </cell>
        </row>
        <row r="502">
          <cell r="A502">
            <v>44167</v>
          </cell>
          <cell r="B502">
            <v>1.1612622534000001</v>
          </cell>
          <cell r="C502">
            <v>1.1609764181</v>
          </cell>
          <cell r="D502">
            <v>1.1615481591000001</v>
          </cell>
        </row>
        <row r="503">
          <cell r="A503">
            <v>44168</v>
          </cell>
          <cell r="B503">
            <v>1.1616846206</v>
          </cell>
          <cell r="C503">
            <v>1.1613986813999999</v>
          </cell>
          <cell r="D503">
            <v>1.1619706302999999</v>
          </cell>
        </row>
        <row r="504">
          <cell r="A504">
            <v>44169</v>
          </cell>
          <cell r="B504">
            <v>1.1621071414999999</v>
          </cell>
          <cell r="C504">
            <v>1.1618210981999999</v>
          </cell>
          <cell r="D504">
            <v>1.1623932552</v>
          </cell>
        </row>
        <row r="505">
          <cell r="A505">
            <v>44172</v>
          </cell>
          <cell r="B505">
            <v>1.1625298159999999</v>
          </cell>
          <cell r="C505">
            <v>1.1622436687</v>
          </cell>
          <cell r="D505">
            <v>1.1628160338</v>
          </cell>
        </row>
        <row r="506">
          <cell r="A506">
            <v>44173</v>
          </cell>
          <cell r="B506">
            <v>1.1629526442</v>
          </cell>
          <cell r="C506">
            <v>1.1626663928000001</v>
          </cell>
          <cell r="D506">
            <v>1.1632389661</v>
          </cell>
        </row>
        <row r="507">
          <cell r="A507">
            <v>44174</v>
          </cell>
          <cell r="B507">
            <v>1.1633756262999999</v>
          </cell>
          <cell r="C507">
            <v>1.1630892708</v>
          </cell>
          <cell r="D507">
            <v>1.1636620523000001</v>
          </cell>
        </row>
        <row r="508">
          <cell r="A508">
            <v>44175</v>
          </cell>
          <cell r="B508">
            <v>1.1637987621999999</v>
          </cell>
          <cell r="C508">
            <v>1.1635123026</v>
          </cell>
          <cell r="D508">
            <v>1.1640852924</v>
          </cell>
        </row>
        <row r="509">
          <cell r="A509">
            <v>44176</v>
          </cell>
          <cell r="B509">
            <v>1.164222052</v>
          </cell>
          <cell r="C509">
            <v>1.1639354881999999</v>
          </cell>
          <cell r="D509">
            <v>1.1645086864</v>
          </cell>
        </row>
        <row r="510">
          <cell r="A510">
            <v>44179</v>
          </cell>
          <cell r="B510">
            <v>1.1646454957000001</v>
          </cell>
          <cell r="C510">
            <v>1.1643588277000001</v>
          </cell>
          <cell r="D510">
            <v>1.1649322343999999</v>
          </cell>
        </row>
        <row r="511">
          <cell r="A511">
            <v>44180</v>
          </cell>
          <cell r="B511">
            <v>1.1650690935000001</v>
          </cell>
          <cell r="C511">
            <v>1.1647823211999999</v>
          </cell>
          <cell r="D511">
            <v>1.1653559364999999</v>
          </cell>
        </row>
        <row r="512">
          <cell r="A512">
            <v>44181</v>
          </cell>
          <cell r="B512">
            <v>1.1654928453</v>
          </cell>
          <cell r="C512">
            <v>1.1652059687</v>
          </cell>
          <cell r="D512">
            <v>1.1657797926</v>
          </cell>
        </row>
        <row r="513">
          <cell r="A513">
            <v>44182</v>
          </cell>
          <cell r="B513">
            <v>1.1659167511999999</v>
          </cell>
          <cell r="C513">
            <v>1.1656297703</v>
          </cell>
          <cell r="D513">
            <v>1.1662038028999999</v>
          </cell>
        </row>
        <row r="514">
          <cell r="A514">
            <v>44183</v>
          </cell>
          <cell r="B514">
            <v>1.1663408114</v>
          </cell>
          <cell r="C514">
            <v>1.1660537260999999</v>
          </cell>
          <cell r="D514">
            <v>1.1666279675</v>
          </cell>
        </row>
        <row r="515">
          <cell r="A515">
            <v>44186</v>
          </cell>
          <cell r="B515">
            <v>1.1667650258</v>
          </cell>
          <cell r="C515">
            <v>1.1664778360000001</v>
          </cell>
          <cell r="D515">
            <v>1.1670522862999999</v>
          </cell>
        </row>
        <row r="516">
          <cell r="A516">
            <v>44187</v>
          </cell>
          <cell r="B516">
            <v>1.1671893944</v>
          </cell>
          <cell r="C516">
            <v>1.1669021002</v>
          </cell>
          <cell r="D516">
            <v>1.1674767594</v>
          </cell>
        </row>
        <row r="517">
          <cell r="A517">
            <v>44188</v>
          </cell>
          <cell r="B517">
            <v>1.1676139175</v>
          </cell>
          <cell r="C517">
            <v>1.1673265187999999</v>
          </cell>
          <cell r="D517">
            <v>1.1679013869999999</v>
          </cell>
        </row>
        <row r="518">
          <cell r="A518">
            <v>44189</v>
          </cell>
          <cell r="B518">
            <v>1.1680385948000001</v>
          </cell>
          <cell r="C518">
            <v>1.1677510916</v>
          </cell>
          <cell r="D518">
            <v>1.1683261689</v>
          </cell>
        </row>
        <row r="519">
          <cell r="A519">
            <v>44193</v>
          </cell>
          <cell r="B519">
            <v>1.1684634267</v>
          </cell>
          <cell r="C519">
            <v>1.1681758189</v>
          </cell>
          <cell r="D519">
            <v>1.1687511053999999</v>
          </cell>
        </row>
        <row r="520">
          <cell r="A520">
            <v>44194</v>
          </cell>
          <cell r="B520">
            <v>1.1688884130999999</v>
          </cell>
          <cell r="C520">
            <v>1.1686007007000001</v>
          </cell>
          <cell r="D520">
            <v>1.1691761964</v>
          </cell>
        </row>
        <row r="521">
          <cell r="A521">
            <v>44195</v>
          </cell>
          <cell r="B521">
            <v>1.1693135540999999</v>
          </cell>
          <cell r="C521">
            <v>1.1690257370999999</v>
          </cell>
          <cell r="D521">
            <v>1.1696014421000001</v>
          </cell>
        </row>
        <row r="522">
          <cell r="A522">
            <v>44196</v>
          </cell>
          <cell r="B522">
            <v>1.1697388497000001</v>
          </cell>
          <cell r="C522">
            <v>1.1694509280000001</v>
          </cell>
          <cell r="D522">
            <v>1.1700268424</v>
          </cell>
        </row>
        <row r="523">
          <cell r="A523">
            <v>44200</v>
          </cell>
          <cell r="B523">
            <v>1.1701642999999999</v>
          </cell>
          <cell r="C523">
            <v>1.1698762734999999</v>
          </cell>
          <cell r="D523">
            <v>1.1704523974000001</v>
          </cell>
        </row>
        <row r="524">
          <cell r="A524">
            <v>44201</v>
          </cell>
          <cell r="B524">
            <v>1.1706081127000001</v>
          </cell>
          <cell r="C524">
            <v>1.1703199769999999</v>
          </cell>
          <cell r="D524">
            <v>1.1708963193999999</v>
          </cell>
        </row>
        <row r="525">
          <cell r="A525">
            <v>44202</v>
          </cell>
          <cell r="B525">
            <v>1.1710520938</v>
          </cell>
          <cell r="C525">
            <v>1.1707638488000001</v>
          </cell>
          <cell r="D525">
            <v>1.1713404098</v>
          </cell>
        </row>
        <row r="526">
          <cell r="A526">
            <v>44203</v>
          </cell>
          <cell r="B526">
            <v>1.1714962432</v>
          </cell>
          <cell r="C526">
            <v>1.1712078889999999</v>
          </cell>
          <cell r="D526">
            <v>1.1717846686</v>
          </cell>
        </row>
        <row r="527">
          <cell r="A527">
            <v>44204</v>
          </cell>
          <cell r="B527">
            <v>1.1719405612</v>
          </cell>
          <cell r="C527">
            <v>1.1716520975</v>
          </cell>
          <cell r="D527">
            <v>1.1722290958999999</v>
          </cell>
        </row>
        <row r="528">
          <cell r="A528">
            <v>44207</v>
          </cell>
          <cell r="B528">
            <v>1.1723850474999999</v>
          </cell>
          <cell r="C528">
            <v>1.1720964745</v>
          </cell>
          <cell r="D528">
            <v>1.1726736917</v>
          </cell>
        </row>
        <row r="529">
          <cell r="A529">
            <v>44208</v>
          </cell>
          <cell r="B529">
            <v>1.1728297025000001</v>
          </cell>
          <cell r="C529">
            <v>1.1725410199999999</v>
          </cell>
          <cell r="D529">
            <v>1.1731184562000001</v>
          </cell>
        </row>
        <row r="530">
          <cell r="A530">
            <v>44209</v>
          </cell>
          <cell r="B530">
            <v>1.1732745260999999</v>
          </cell>
          <cell r="C530">
            <v>1.1729857341000001</v>
          </cell>
          <cell r="D530">
            <v>1.1735633892999999</v>
          </cell>
        </row>
        <row r="531">
          <cell r="A531">
            <v>44210</v>
          </cell>
          <cell r="B531">
            <v>1.1737195186</v>
          </cell>
          <cell r="C531">
            <v>1.173430617</v>
          </cell>
          <cell r="D531">
            <v>1.1740084913</v>
          </cell>
        </row>
        <row r="532">
          <cell r="A532">
            <v>44211</v>
          </cell>
          <cell r="B532">
            <v>1.1741646797</v>
          </cell>
          <cell r="C532">
            <v>1.1738756686</v>
          </cell>
          <cell r="D532">
            <v>1.174453762</v>
          </cell>
        </row>
        <row r="533">
          <cell r="A533">
            <v>44214</v>
          </cell>
          <cell r="B533">
            <v>1.1746100096000001</v>
          </cell>
          <cell r="C533">
            <v>1.1743208889000001</v>
          </cell>
          <cell r="D533">
            <v>1.1748992015999999</v>
          </cell>
        </row>
        <row r="534">
          <cell r="A534">
            <v>44215</v>
          </cell>
          <cell r="B534">
            <v>1.1750555085000001</v>
          </cell>
          <cell r="C534">
            <v>1.1747662781999999</v>
          </cell>
          <cell r="D534">
            <v>1.1753448101999999</v>
          </cell>
        </row>
        <row r="535">
          <cell r="A535">
            <v>44216</v>
          </cell>
          <cell r="B535">
            <v>1.1755011763000001</v>
          </cell>
          <cell r="C535">
            <v>1.1752118361999999</v>
          </cell>
          <cell r="D535">
            <v>1.1757905876999999</v>
          </cell>
        </row>
        <row r="536">
          <cell r="A536">
            <v>44217</v>
          </cell>
          <cell r="B536">
            <v>1.1759470132000001</v>
          </cell>
          <cell r="C536">
            <v>1.1756575632999999</v>
          </cell>
          <cell r="D536">
            <v>1.1762365343000001</v>
          </cell>
        </row>
        <row r="537">
          <cell r="A537">
            <v>44218</v>
          </cell>
          <cell r="B537">
            <v>1.1763930191</v>
          </cell>
          <cell r="C537">
            <v>1.1761034596</v>
          </cell>
          <cell r="D537">
            <v>1.1766826501000001</v>
          </cell>
        </row>
        <row r="538">
          <cell r="A538">
            <v>44221</v>
          </cell>
          <cell r="B538">
            <v>1.1768391943000001</v>
          </cell>
          <cell r="C538">
            <v>1.1765495249</v>
          </cell>
          <cell r="D538">
            <v>1.1771289351000001</v>
          </cell>
        </row>
        <row r="539">
          <cell r="A539">
            <v>44222</v>
          </cell>
          <cell r="B539">
            <v>1.1772855386000001</v>
          </cell>
          <cell r="C539">
            <v>1.1769957593</v>
          </cell>
          <cell r="D539">
            <v>1.1775753893000001</v>
          </cell>
        </row>
        <row r="540">
          <cell r="A540">
            <v>44223</v>
          </cell>
          <cell r="B540">
            <v>1.1777320523000001</v>
          </cell>
          <cell r="C540">
            <v>1.1774421631</v>
          </cell>
          <cell r="D540">
            <v>1.1780220129000001</v>
          </cell>
        </row>
        <row r="541">
          <cell r="A541">
            <v>44224</v>
          </cell>
          <cell r="B541">
            <v>1.1781787351999999</v>
          </cell>
          <cell r="C541">
            <v>1.1778887360999999</v>
          </cell>
          <cell r="D541">
            <v>1.1784688057999999</v>
          </cell>
        </row>
        <row r="542">
          <cell r="A542">
            <v>44225</v>
          </cell>
          <cell r="B542">
            <v>1.1786255876</v>
          </cell>
          <cell r="C542">
            <v>1.1783354785</v>
          </cell>
          <cell r="D542">
            <v>1.1789157682</v>
          </cell>
        </row>
        <row r="543">
          <cell r="A543">
            <v>44228</v>
          </cell>
          <cell r="B543">
            <v>1.1790726094999999</v>
          </cell>
          <cell r="C543">
            <v>1.1787823904000001</v>
          </cell>
          <cell r="D543">
            <v>1.1793629001999999</v>
          </cell>
        </row>
        <row r="544">
          <cell r="A544">
            <v>44229</v>
          </cell>
          <cell r="B544">
            <v>1.1795198009000001</v>
          </cell>
          <cell r="C544">
            <v>1.1792294717</v>
          </cell>
          <cell r="D544">
            <v>1.1798102017000001</v>
          </cell>
        </row>
        <row r="545">
          <cell r="A545">
            <v>44230</v>
          </cell>
          <cell r="B545">
            <v>1.1799671620000001</v>
          </cell>
          <cell r="C545">
            <v>1.1796767226</v>
          </cell>
          <cell r="D545">
            <v>1.1802576729000001</v>
          </cell>
        </row>
        <row r="546">
          <cell r="A546">
            <v>44231</v>
          </cell>
          <cell r="B546">
            <v>1.1804146926000001</v>
          </cell>
          <cell r="C546">
            <v>1.1801241431</v>
          </cell>
          <cell r="D546">
            <v>1.1807053137000001</v>
          </cell>
        </row>
        <row r="547">
          <cell r="A547">
            <v>44232</v>
          </cell>
          <cell r="B547">
            <v>1.1808623931</v>
          </cell>
          <cell r="C547">
            <v>1.1805717334000001</v>
          </cell>
          <cell r="D547">
            <v>1.1811531244</v>
          </cell>
        </row>
        <row r="548">
          <cell r="A548">
            <v>44235</v>
          </cell>
          <cell r="B548">
            <v>1.1813102633000001</v>
          </cell>
          <cell r="C548">
            <v>1.1810194934</v>
          </cell>
          <cell r="D548">
            <v>1.1816011048999999</v>
          </cell>
        </row>
        <row r="549">
          <cell r="A549">
            <v>44236</v>
          </cell>
          <cell r="B549">
            <v>1.1817583034000001</v>
          </cell>
          <cell r="C549">
            <v>1.1814674232</v>
          </cell>
          <cell r="D549">
            <v>1.1820492552999999</v>
          </cell>
        </row>
        <row r="550">
          <cell r="A550">
            <v>44237</v>
          </cell>
          <cell r="B550">
            <v>1.1822065134999999</v>
          </cell>
          <cell r="C550">
            <v>1.1819155229</v>
          </cell>
          <cell r="D550">
            <v>1.1824975757</v>
          </cell>
        </row>
        <row r="551">
          <cell r="A551">
            <v>44238</v>
          </cell>
          <cell r="B551">
            <v>1.1826548935000001</v>
          </cell>
          <cell r="C551">
            <v>1.1823637925999999</v>
          </cell>
          <cell r="D551">
            <v>1.1829460661</v>
          </cell>
        </row>
        <row r="552">
          <cell r="A552">
            <v>44239</v>
          </cell>
          <cell r="B552">
            <v>1.1831034435000001</v>
          </cell>
          <cell r="C552">
            <v>1.1828122322000001</v>
          </cell>
          <cell r="D552">
            <v>1.1833947266</v>
          </cell>
        </row>
        <row r="553">
          <cell r="A553">
            <v>44244</v>
          </cell>
          <cell r="B553">
            <v>1.1835521636999999</v>
          </cell>
          <cell r="C553">
            <v>1.1832608419999999</v>
          </cell>
          <cell r="D553">
            <v>1.1838435572999999</v>
          </cell>
        </row>
        <row r="554">
          <cell r="A554">
            <v>44245</v>
          </cell>
          <cell r="B554">
            <v>1.1840010540999999</v>
          </cell>
          <cell r="C554">
            <v>1.1837096219000001</v>
          </cell>
          <cell r="D554">
            <v>1.1842925581999999</v>
          </cell>
        </row>
        <row r="555">
          <cell r="A555">
            <v>44246</v>
          </cell>
          <cell r="B555">
            <v>1.1844501148</v>
          </cell>
          <cell r="C555">
            <v>1.1841585720000001</v>
          </cell>
          <cell r="D555">
            <v>1.1847417294</v>
          </cell>
        </row>
        <row r="556">
          <cell r="A556">
            <v>44249</v>
          </cell>
          <cell r="B556">
            <v>1.1848993457999999</v>
          </cell>
          <cell r="C556">
            <v>1.1846076924</v>
          </cell>
          <cell r="D556">
            <v>1.185191071</v>
          </cell>
        </row>
        <row r="557">
          <cell r="A557">
            <v>44250</v>
          </cell>
          <cell r="B557">
            <v>1.1853487470999999</v>
          </cell>
          <cell r="C557">
            <v>1.1850569832</v>
          </cell>
          <cell r="D557">
            <v>1.1856405830000001</v>
          </cell>
        </row>
        <row r="558">
          <cell r="A558">
            <v>44251</v>
          </cell>
          <cell r="B558">
            <v>1.1857983189000001</v>
          </cell>
          <cell r="C558">
            <v>1.1855064443000001</v>
          </cell>
          <cell r="D558">
            <v>1.1860902655000001</v>
          </cell>
        </row>
        <row r="559">
          <cell r="A559">
            <v>44252</v>
          </cell>
          <cell r="B559">
            <v>1.1862480611999999</v>
          </cell>
          <cell r="C559">
            <v>1.1859560759000001</v>
          </cell>
          <cell r="D559">
            <v>1.1865401185</v>
          </cell>
        </row>
        <row r="560">
          <cell r="A560">
            <v>44253</v>
          </cell>
          <cell r="B560">
            <v>1.1866979740000001</v>
          </cell>
          <cell r="C560">
            <v>1.186405878</v>
          </cell>
          <cell r="D560">
            <v>1.1869901421</v>
          </cell>
        </row>
        <row r="561">
          <cell r="A561">
            <v>44256</v>
          </cell>
          <cell r="B561">
            <v>1.1871480576</v>
          </cell>
          <cell r="C561">
            <v>1.1868558508</v>
          </cell>
          <cell r="D561">
            <v>1.1874403364999999</v>
          </cell>
        </row>
        <row r="562">
          <cell r="A562">
            <v>44257</v>
          </cell>
          <cell r="B562">
            <v>1.1875983118</v>
          </cell>
          <cell r="C562">
            <v>1.1873059940999999</v>
          </cell>
          <cell r="D562">
            <v>1.1878907015</v>
          </cell>
        </row>
        <row r="563">
          <cell r="A563">
            <v>44258</v>
          </cell>
          <cell r="B563">
            <v>1.1880487367999999</v>
          </cell>
          <cell r="C563">
            <v>1.1877563082</v>
          </cell>
          <cell r="D563">
            <v>1.1883412374</v>
          </cell>
        </row>
        <row r="564">
          <cell r="A564">
            <v>44259</v>
          </cell>
          <cell r="B564">
            <v>1.1884993326</v>
          </cell>
          <cell r="C564">
            <v>1.1882067932</v>
          </cell>
          <cell r="D564">
            <v>1.1887919441999999</v>
          </cell>
        </row>
        <row r="565">
          <cell r="A565">
            <v>44260</v>
          </cell>
          <cell r="B565">
            <v>1.1889500994</v>
          </cell>
          <cell r="C565">
            <v>1.1886574488999999</v>
          </cell>
          <cell r="D565">
            <v>1.1892428219</v>
          </cell>
        </row>
        <row r="566">
          <cell r="A566">
            <v>44263</v>
          </cell>
          <cell r="B566">
            <v>1.1894010370000001</v>
          </cell>
          <cell r="C566">
            <v>1.1891082756</v>
          </cell>
          <cell r="D566">
            <v>1.1896938706</v>
          </cell>
        </row>
        <row r="567">
          <cell r="A567">
            <v>44264</v>
          </cell>
          <cell r="B567">
            <v>1.1898521458</v>
          </cell>
          <cell r="C567">
            <v>1.1895592733</v>
          </cell>
          <cell r="D567">
            <v>1.1901450903999999</v>
          </cell>
        </row>
        <row r="568">
          <cell r="A568">
            <v>44265</v>
          </cell>
          <cell r="B568">
            <v>1.1903034256</v>
          </cell>
          <cell r="C568">
            <v>1.1900104419999999</v>
          </cell>
          <cell r="D568">
            <v>1.1905964813000001</v>
          </cell>
        </row>
        <row r="569">
          <cell r="A569">
            <v>44266</v>
          </cell>
          <cell r="B569">
            <v>1.1907548765</v>
          </cell>
          <cell r="C569">
            <v>1.1904617819000001</v>
          </cell>
          <cell r="D569">
            <v>1.1910480433999999</v>
          </cell>
        </row>
        <row r="570">
          <cell r="A570">
            <v>44267</v>
          </cell>
          <cell r="B570">
            <v>1.1912064986999999</v>
          </cell>
          <cell r="C570">
            <v>1.1909132928999999</v>
          </cell>
          <cell r="D570">
            <v>1.1914997768</v>
          </cell>
        </row>
        <row r="571">
          <cell r="A571">
            <v>44270</v>
          </cell>
          <cell r="B571">
            <v>1.1916582923000001</v>
          </cell>
          <cell r="C571">
            <v>1.1913649753</v>
          </cell>
          <cell r="D571">
            <v>1.1919516816</v>
          </cell>
        </row>
        <row r="572">
          <cell r="A572">
            <v>44271</v>
          </cell>
          <cell r="B572">
            <v>1.1921102571</v>
          </cell>
          <cell r="C572">
            <v>1.1918168289</v>
          </cell>
          <cell r="D572">
            <v>1.1924037577</v>
          </cell>
        </row>
        <row r="573">
          <cell r="A573">
            <v>44272</v>
          </cell>
          <cell r="B573">
            <v>1.1925623933</v>
          </cell>
          <cell r="C573">
            <v>1.1922688537999999</v>
          </cell>
          <cell r="D573">
            <v>1.1928560051999999</v>
          </cell>
        </row>
        <row r="574">
          <cell r="A574">
            <v>44273</v>
          </cell>
          <cell r="B574">
            <v>1.1930147010000001</v>
          </cell>
          <cell r="C574">
            <v>1.1927210502000001</v>
          </cell>
          <cell r="D574">
            <v>1.1933084243000001</v>
          </cell>
        </row>
        <row r="575">
          <cell r="A575">
            <v>44274</v>
          </cell>
          <cell r="B575">
            <v>1.1934671803000001</v>
          </cell>
          <cell r="C575">
            <v>1.1931734181</v>
          </cell>
          <cell r="D575">
            <v>1.193761015</v>
          </cell>
        </row>
        <row r="576">
          <cell r="A576">
            <v>44277</v>
          </cell>
          <cell r="B576">
            <v>1.1939198312999999</v>
          </cell>
          <cell r="C576">
            <v>1.1936259575999999</v>
          </cell>
          <cell r="D576">
            <v>1.1942137773999999</v>
          </cell>
        </row>
        <row r="577">
          <cell r="A577">
            <v>44278</v>
          </cell>
          <cell r="B577">
            <v>1.1943726537999999</v>
          </cell>
          <cell r="C577">
            <v>1.1940786687</v>
          </cell>
          <cell r="D577">
            <v>1.1946667114</v>
          </cell>
        </row>
        <row r="578">
          <cell r="A578">
            <v>44279</v>
          </cell>
          <cell r="B578">
            <v>1.1948256481999999</v>
          </cell>
          <cell r="C578">
            <v>1.1945315515999999</v>
          </cell>
          <cell r="D578">
            <v>1.1951198172999999</v>
          </cell>
        </row>
        <row r="579">
          <cell r="A579">
            <v>44280</v>
          </cell>
          <cell r="B579">
            <v>1.1952788142999999</v>
          </cell>
          <cell r="C579">
            <v>1.1949846061</v>
          </cell>
          <cell r="D579">
            <v>1.1955730950000001</v>
          </cell>
        </row>
        <row r="580">
          <cell r="A580">
            <v>44281</v>
          </cell>
          <cell r="B580">
            <v>1.1957321523</v>
          </cell>
          <cell r="C580">
            <v>1.1954378324999999</v>
          </cell>
          <cell r="D580">
            <v>1.1960265446</v>
          </cell>
        </row>
        <row r="581">
          <cell r="A581">
            <v>44284</v>
          </cell>
          <cell r="B581">
            <v>1.1961856622</v>
          </cell>
          <cell r="C581">
            <v>1.1958912309</v>
          </cell>
          <cell r="D581">
            <v>1.1964801662</v>
          </cell>
        </row>
        <row r="582">
          <cell r="A582">
            <v>44285</v>
          </cell>
          <cell r="B582">
            <v>1.1966393443000001</v>
          </cell>
          <cell r="C582">
            <v>1.1963448012</v>
          </cell>
          <cell r="D582">
            <v>1.1969339599</v>
          </cell>
        </row>
        <row r="583">
          <cell r="A583">
            <v>44286</v>
          </cell>
          <cell r="B583">
            <v>1.1970931981999999</v>
          </cell>
          <cell r="C583">
            <v>1.1967985433999999</v>
          </cell>
          <cell r="D583">
            <v>1.1973879256</v>
          </cell>
        </row>
        <row r="584">
          <cell r="A584">
            <v>44287</v>
          </cell>
          <cell r="B584">
            <v>1.1975472244000001</v>
          </cell>
          <cell r="C584">
            <v>1.1972524578999999</v>
          </cell>
          <cell r="D584">
            <v>1.1978420636</v>
          </cell>
        </row>
        <row r="585">
          <cell r="A585">
            <v>44291</v>
          </cell>
          <cell r="B585">
            <v>1.1980145366999999</v>
          </cell>
          <cell r="C585">
            <v>1.1977196551</v>
          </cell>
          <cell r="D585">
            <v>1.1983094909000001</v>
          </cell>
        </row>
        <row r="586">
          <cell r="A586">
            <v>44292</v>
          </cell>
          <cell r="B586">
            <v>1.1984820313</v>
          </cell>
          <cell r="C586">
            <v>1.1981870347000001</v>
          </cell>
          <cell r="D586">
            <v>1.1987771006000001</v>
          </cell>
        </row>
        <row r="587">
          <cell r="A587">
            <v>44293</v>
          </cell>
          <cell r="B587">
            <v>1.1989497083</v>
          </cell>
          <cell r="C587">
            <v>1.1986545966</v>
          </cell>
          <cell r="D587">
            <v>1.1992448927999999</v>
          </cell>
        </row>
        <row r="588">
          <cell r="A588">
            <v>44294</v>
          </cell>
          <cell r="B588">
            <v>1.1994175678000001</v>
          </cell>
          <cell r="C588">
            <v>1.1991223409</v>
          </cell>
          <cell r="D588">
            <v>1.1997128674999999</v>
          </cell>
        </row>
        <row r="589">
          <cell r="A589">
            <v>44295</v>
          </cell>
          <cell r="B589">
            <v>1.1998856099999999</v>
          </cell>
          <cell r="C589">
            <v>1.1995902678999999</v>
          </cell>
          <cell r="D589">
            <v>1.2001810249</v>
          </cell>
        </row>
        <row r="590">
          <cell r="A590">
            <v>44298</v>
          </cell>
          <cell r="B590">
            <v>1.2003538347</v>
          </cell>
          <cell r="C590">
            <v>1.2000583774</v>
          </cell>
          <cell r="D590">
            <v>1.2006493649000001</v>
          </cell>
        </row>
        <row r="591">
          <cell r="A591">
            <v>44299</v>
          </cell>
          <cell r="B591">
            <v>1.2008222421999999</v>
          </cell>
          <cell r="C591">
            <v>1.2005266696000001</v>
          </cell>
          <cell r="D591">
            <v>1.2011178876999999</v>
          </cell>
        </row>
        <row r="592">
          <cell r="A592">
            <v>44300</v>
          </cell>
          <cell r="B592">
            <v>1.2012908324</v>
          </cell>
          <cell r="C592">
            <v>1.2009951445</v>
          </cell>
          <cell r="D592">
            <v>1.2015865933000001</v>
          </cell>
        </row>
        <row r="593">
          <cell r="A593">
            <v>44301</v>
          </cell>
          <cell r="B593">
            <v>1.2017596054999999</v>
          </cell>
          <cell r="C593">
            <v>1.2014638021999999</v>
          </cell>
          <cell r="D593">
            <v>1.2020554818</v>
          </cell>
        </row>
        <row r="594">
          <cell r="A594">
            <v>44302</v>
          </cell>
          <cell r="B594">
            <v>1.2022285615999999</v>
          </cell>
          <cell r="C594">
            <v>1.2019326427999999</v>
          </cell>
          <cell r="D594">
            <v>1.2025245533</v>
          </cell>
        </row>
        <row r="595">
          <cell r="A595">
            <v>44305</v>
          </cell>
          <cell r="B595">
            <v>1.2026977006999999</v>
          </cell>
          <cell r="C595">
            <v>1.2024016663999999</v>
          </cell>
          <cell r="D595">
            <v>1.2029938079</v>
          </cell>
        </row>
        <row r="596">
          <cell r="A596">
            <v>44306</v>
          </cell>
          <cell r="B596">
            <v>1.2031670227</v>
          </cell>
          <cell r="C596">
            <v>1.2028708728999999</v>
          </cell>
          <cell r="D596">
            <v>1.2034632455000001</v>
          </cell>
        </row>
        <row r="597">
          <cell r="A597">
            <v>44308</v>
          </cell>
          <cell r="B597">
            <v>1.2036365280000001</v>
          </cell>
          <cell r="C597">
            <v>1.2033402627000001</v>
          </cell>
          <cell r="D597">
            <v>1.2039328664</v>
          </cell>
        </row>
        <row r="598">
          <cell r="A598">
            <v>44309</v>
          </cell>
          <cell r="B598">
            <v>1.2041062165</v>
          </cell>
          <cell r="C598">
            <v>1.2038098355</v>
          </cell>
          <cell r="D598">
            <v>1.2044026704999999</v>
          </cell>
        </row>
        <row r="599">
          <cell r="A599">
            <v>44312</v>
          </cell>
          <cell r="B599">
            <v>1.2045760882000001</v>
          </cell>
          <cell r="C599">
            <v>1.2042795916</v>
          </cell>
          <cell r="D599">
            <v>1.2048726579</v>
          </cell>
        </row>
        <row r="600">
          <cell r="A600">
            <v>44313</v>
          </cell>
          <cell r="B600">
            <v>1.2050461432999999</v>
          </cell>
          <cell r="C600">
            <v>1.2047495309</v>
          </cell>
          <cell r="D600">
            <v>1.2053428287000001</v>
          </cell>
        </row>
        <row r="601">
          <cell r="A601">
            <v>44314</v>
          </cell>
          <cell r="B601">
            <v>1.2055163818000001</v>
          </cell>
          <cell r="C601">
            <v>1.2052196536999999</v>
          </cell>
          <cell r="D601">
            <v>1.2058131830000001</v>
          </cell>
        </row>
        <row r="602">
          <cell r="A602">
            <v>44315</v>
          </cell>
          <cell r="B602">
            <v>1.2059868038999999</v>
          </cell>
          <cell r="C602">
            <v>1.2056899599999999</v>
          </cell>
          <cell r="D602">
            <v>1.2062837208999999</v>
          </cell>
        </row>
        <row r="603">
          <cell r="A603">
            <v>44316</v>
          </cell>
          <cell r="B603">
            <v>1.2064574094</v>
          </cell>
          <cell r="C603">
            <v>1.2061604497</v>
          </cell>
          <cell r="D603">
            <v>1.2067544423000001</v>
          </cell>
        </row>
        <row r="604">
          <cell r="A604">
            <v>44319</v>
          </cell>
          <cell r="B604">
            <v>1.2069281987</v>
          </cell>
          <cell r="C604">
            <v>1.2066311231</v>
          </cell>
          <cell r="D604">
            <v>1.2072253475000001</v>
          </cell>
        </row>
        <row r="605">
          <cell r="A605">
            <v>44320</v>
          </cell>
          <cell r="B605">
            <v>1.2073991717000001</v>
          </cell>
          <cell r="C605">
            <v>1.2071019801</v>
          </cell>
          <cell r="D605">
            <v>1.2076964364</v>
          </cell>
        </row>
        <row r="606">
          <cell r="A606">
            <v>44321</v>
          </cell>
          <cell r="B606">
            <v>1.2078703284000001</v>
          </cell>
          <cell r="C606">
            <v>1.2075730209</v>
          </cell>
          <cell r="D606">
            <v>1.2081677091</v>
          </cell>
        </row>
        <row r="607">
          <cell r="A607">
            <v>44322</v>
          </cell>
          <cell r="B607">
            <v>1.2083416688999999</v>
          </cell>
          <cell r="C607">
            <v>1.2080442454</v>
          </cell>
          <cell r="D607">
            <v>1.2086391657</v>
          </cell>
        </row>
        <row r="608">
          <cell r="A608">
            <v>44323</v>
          </cell>
          <cell r="B608">
            <v>1.2088131933999999</v>
          </cell>
          <cell r="C608">
            <v>1.2085156538999999</v>
          </cell>
          <cell r="D608">
            <v>1.2091108063</v>
          </cell>
        </row>
        <row r="609">
          <cell r="A609">
            <v>44326</v>
          </cell>
          <cell r="B609">
            <v>1.2092849020000001</v>
          </cell>
          <cell r="C609">
            <v>1.2089872463</v>
          </cell>
          <cell r="D609">
            <v>1.209582631</v>
          </cell>
        </row>
        <row r="610">
          <cell r="A610">
            <v>44327</v>
          </cell>
          <cell r="B610">
            <v>1.2097567946000001</v>
          </cell>
          <cell r="C610">
            <v>1.2094590227999999</v>
          </cell>
          <cell r="D610">
            <v>1.2100546398000001</v>
          </cell>
        </row>
        <row r="611">
          <cell r="A611">
            <v>44328</v>
          </cell>
          <cell r="B611">
            <v>1.2102288713</v>
          </cell>
          <cell r="C611">
            <v>1.2099309833</v>
          </cell>
          <cell r="D611">
            <v>1.2105268327000001</v>
          </cell>
        </row>
        <row r="612">
          <cell r="A612">
            <v>44329</v>
          </cell>
          <cell r="B612">
            <v>1.2107011323000001</v>
          </cell>
          <cell r="C612">
            <v>1.2104031280000001</v>
          </cell>
          <cell r="D612">
            <v>1.21099921</v>
          </cell>
        </row>
        <row r="613">
          <cell r="A613">
            <v>44330</v>
          </cell>
          <cell r="B613">
            <v>1.2111735775000001</v>
          </cell>
          <cell r="C613">
            <v>1.2108754569</v>
          </cell>
          <cell r="D613">
            <v>1.2114717715000001</v>
          </cell>
        </row>
        <row r="614">
          <cell r="A614">
            <v>44333</v>
          </cell>
          <cell r="B614">
            <v>1.2116462071</v>
          </cell>
          <cell r="C614">
            <v>1.2113479702000001</v>
          </cell>
          <cell r="D614">
            <v>1.2119445175000001</v>
          </cell>
        </row>
        <row r="615">
          <cell r="A615">
            <v>44334</v>
          </cell>
          <cell r="B615">
            <v>1.2121190210999999</v>
          </cell>
          <cell r="C615">
            <v>1.2118206679000001</v>
          </cell>
          <cell r="D615">
            <v>1.2124174479000001</v>
          </cell>
        </row>
        <row r="616">
          <cell r="A616">
            <v>44335</v>
          </cell>
          <cell r="B616">
            <v>1.2125920197</v>
          </cell>
          <cell r="C616">
            <v>1.2122935500000001</v>
          </cell>
          <cell r="D616">
            <v>1.2128905629</v>
          </cell>
        </row>
        <row r="617">
          <cell r="A617">
            <v>44336</v>
          </cell>
          <cell r="B617">
            <v>1.2130652028</v>
          </cell>
          <cell r="C617">
            <v>1.2127666166</v>
          </cell>
          <cell r="D617">
            <v>1.2133638625000001</v>
          </cell>
        </row>
        <row r="618">
          <cell r="A618">
            <v>44337</v>
          </cell>
          <cell r="B618">
            <v>1.2135385704999999</v>
          </cell>
          <cell r="C618">
            <v>1.2132398679</v>
          </cell>
          <cell r="D618">
            <v>1.2138373468000001</v>
          </cell>
        </row>
        <row r="619">
          <cell r="A619">
            <v>44340</v>
          </cell>
          <cell r="B619">
            <v>1.2140121230000001</v>
          </cell>
          <cell r="C619">
            <v>1.2137133038000001</v>
          </cell>
          <cell r="D619">
            <v>1.2143110158999999</v>
          </cell>
        </row>
        <row r="620">
          <cell r="A620">
            <v>44341</v>
          </cell>
          <cell r="B620">
            <v>1.2144858602999999</v>
          </cell>
          <cell r="C620">
            <v>1.2141869245000001</v>
          </cell>
          <cell r="D620">
            <v>1.2147848697999999</v>
          </cell>
        </row>
        <row r="621">
          <cell r="A621">
            <v>44342</v>
          </cell>
          <cell r="B621">
            <v>1.2149597824</v>
          </cell>
          <cell r="C621">
            <v>1.2146607299000001</v>
          </cell>
          <cell r="D621">
            <v>1.2152589086000001</v>
          </cell>
        </row>
        <row r="622">
          <cell r="A622">
            <v>44343</v>
          </cell>
          <cell r="B622">
            <v>1.2154338895000001</v>
          </cell>
          <cell r="C622">
            <v>1.2151347203</v>
          </cell>
          <cell r="D622">
            <v>1.2157331324</v>
          </cell>
        </row>
        <row r="623">
          <cell r="A623">
            <v>44344</v>
          </cell>
          <cell r="B623">
            <v>1.2159081814999999</v>
          </cell>
          <cell r="C623">
            <v>1.2156088956</v>
          </cell>
          <cell r="D623">
            <v>1.2162075412</v>
          </cell>
        </row>
        <row r="624">
          <cell r="A624">
            <v>44347</v>
          </cell>
          <cell r="B624">
            <v>1.2163826587</v>
          </cell>
          <cell r="C624">
            <v>1.2160832559999999</v>
          </cell>
          <cell r="D624">
            <v>1.2166821351999999</v>
          </cell>
        </row>
        <row r="625">
          <cell r="A625">
            <v>44348</v>
          </cell>
          <cell r="B625">
            <v>1.216857321</v>
          </cell>
          <cell r="C625">
            <v>1.2165578015</v>
          </cell>
          <cell r="D625">
            <v>1.2171569144000001</v>
          </cell>
        </row>
        <row r="626">
          <cell r="A626">
            <v>44349</v>
          </cell>
          <cell r="B626">
            <v>1.2173321685</v>
          </cell>
          <cell r="C626">
            <v>1.2170325321</v>
          </cell>
          <cell r="D626">
            <v>1.2176318788</v>
          </cell>
        </row>
        <row r="627">
          <cell r="A627">
            <v>44351</v>
          </cell>
          <cell r="B627">
            <v>1.2178072014000001</v>
          </cell>
          <cell r="C627">
            <v>1.2175074480000001</v>
          </cell>
          <cell r="D627">
            <v>1.2181070286</v>
          </cell>
        </row>
        <row r="628">
          <cell r="A628">
            <v>44354</v>
          </cell>
          <cell r="B628">
            <v>1.2182824195999999</v>
          </cell>
          <cell r="C628">
            <v>1.2179825492</v>
          </cell>
          <cell r="D628">
            <v>1.2185823638</v>
          </cell>
        </row>
        <row r="629">
          <cell r="A629">
            <v>44355</v>
          </cell>
          <cell r="B629">
            <v>1.2187578232</v>
          </cell>
          <cell r="C629">
            <v>1.2184578359</v>
          </cell>
          <cell r="D629">
            <v>1.2190578845</v>
          </cell>
        </row>
        <row r="630">
          <cell r="A630">
            <v>44356</v>
          </cell>
          <cell r="B630">
            <v>1.2192334123999999</v>
          </cell>
          <cell r="C630">
            <v>1.218933308</v>
          </cell>
          <cell r="D630">
            <v>1.2195335908</v>
          </cell>
        </row>
        <row r="631">
          <cell r="A631">
            <v>44357</v>
          </cell>
          <cell r="B631">
            <v>1.2197091871000001</v>
          </cell>
          <cell r="C631">
            <v>1.2194089656</v>
          </cell>
          <cell r="D631">
            <v>1.2200094826000001</v>
          </cell>
        </row>
        <row r="632">
          <cell r="A632">
            <v>44358</v>
          </cell>
          <cell r="B632">
            <v>1.2201851475000001</v>
          </cell>
          <cell r="C632">
            <v>1.2198848088000001</v>
          </cell>
          <cell r="D632">
            <v>1.2204855602</v>
          </cell>
        </row>
        <row r="633">
          <cell r="A633">
            <v>44361</v>
          </cell>
          <cell r="B633">
            <v>1.2206612937000001</v>
          </cell>
          <cell r="C633">
            <v>1.2203608377999999</v>
          </cell>
          <cell r="D633">
            <v>1.2209618235999999</v>
          </cell>
        </row>
        <row r="634">
          <cell r="A634">
            <v>44362</v>
          </cell>
          <cell r="B634">
            <v>1.2211376255999999</v>
          </cell>
          <cell r="C634">
            <v>1.2208370525000001</v>
          </cell>
          <cell r="D634">
            <v>1.2214382727999999</v>
          </cell>
        </row>
        <row r="635">
          <cell r="A635">
            <v>44363</v>
          </cell>
          <cell r="B635">
            <v>1.2216141434000001</v>
          </cell>
          <cell r="C635">
            <v>1.221313453</v>
          </cell>
          <cell r="D635">
            <v>1.2219149079</v>
          </cell>
        </row>
        <row r="636">
          <cell r="A636">
            <v>44364</v>
          </cell>
          <cell r="B636">
            <v>1.2220908472000001</v>
          </cell>
          <cell r="C636">
            <v>1.2217900395000001</v>
          </cell>
          <cell r="D636">
            <v>1.2223917290999999</v>
          </cell>
        </row>
        <row r="637">
          <cell r="A637">
            <v>44365</v>
          </cell>
          <cell r="B637">
            <v>1.2225677370000001</v>
          </cell>
          <cell r="C637">
            <v>1.2222668119</v>
          </cell>
          <cell r="D637">
            <v>1.2228687362999999</v>
          </cell>
        </row>
        <row r="638">
          <cell r="A638">
            <v>44368</v>
          </cell>
          <cell r="B638">
            <v>1.2230448129</v>
          </cell>
          <cell r="C638">
            <v>1.2227437702999999</v>
          </cell>
          <cell r="D638">
            <v>1.2233459296</v>
          </cell>
        </row>
        <row r="639">
          <cell r="A639">
            <v>44369</v>
          </cell>
          <cell r="B639">
            <v>1.2235220749</v>
          </cell>
          <cell r="C639">
            <v>1.2232209147999999</v>
          </cell>
          <cell r="D639">
            <v>1.2238233090999999</v>
          </cell>
        </row>
        <row r="640">
          <cell r="A640">
            <v>44370</v>
          </cell>
          <cell r="B640">
            <v>1.2239995232000001</v>
          </cell>
          <cell r="C640">
            <v>1.2236982457000001</v>
          </cell>
          <cell r="D640">
            <v>1.224300875</v>
          </cell>
        </row>
        <row r="641">
          <cell r="A641">
            <v>44371</v>
          </cell>
          <cell r="B641">
            <v>1.2244771578</v>
          </cell>
          <cell r="C641">
            <v>1.2241757627000001</v>
          </cell>
          <cell r="D641">
            <v>1.2247786272000001</v>
          </cell>
        </row>
        <row r="642">
          <cell r="A642">
            <v>44372</v>
          </cell>
          <cell r="B642">
            <v>1.2249549788</v>
          </cell>
          <cell r="C642">
            <v>1.2246534659999999</v>
          </cell>
          <cell r="D642">
            <v>1.2252565658000001</v>
          </cell>
        </row>
        <row r="643">
          <cell r="A643">
            <v>44375</v>
          </cell>
          <cell r="B643">
            <v>1.2254329862</v>
          </cell>
          <cell r="C643">
            <v>1.2251313558000001</v>
          </cell>
          <cell r="D643">
            <v>1.2257346909</v>
          </cell>
        </row>
        <row r="644">
          <cell r="A644">
            <v>44376</v>
          </cell>
          <cell r="B644">
            <v>1.2259111802</v>
          </cell>
          <cell r="C644">
            <v>1.2256094321</v>
          </cell>
          <cell r="D644">
            <v>1.2262130026</v>
          </cell>
        </row>
        <row r="645">
          <cell r="A645">
            <v>44377</v>
          </cell>
          <cell r="B645">
            <v>1.2263895607999999</v>
          </cell>
          <cell r="C645">
            <v>1.2260876948999999</v>
          </cell>
          <cell r="D645">
            <v>1.2266915009999999</v>
          </cell>
        </row>
        <row r="646">
          <cell r="A646">
            <v>44378</v>
          </cell>
          <cell r="B646">
            <v>1.2268681279</v>
          </cell>
          <cell r="C646">
            <v>1.2265661443</v>
          </cell>
          <cell r="D646">
            <v>1.2271701859999999</v>
          </cell>
        </row>
        <row r="647">
          <cell r="A647">
            <v>44379</v>
          </cell>
          <cell r="B647">
            <v>1.2273537087999999</v>
          </cell>
          <cell r="C647">
            <v>1.2270516056</v>
          </cell>
          <cell r="D647">
            <v>1.2276558864</v>
          </cell>
        </row>
        <row r="648">
          <cell r="A648">
            <v>44382</v>
          </cell>
          <cell r="B648">
            <v>1.2278394818</v>
          </cell>
          <cell r="C648">
            <v>1.2275372591</v>
          </cell>
          <cell r="D648">
            <v>1.228141779</v>
          </cell>
        </row>
        <row r="649">
          <cell r="A649">
            <v>44383</v>
          </cell>
          <cell r="B649">
            <v>1.2283254472</v>
          </cell>
          <cell r="C649">
            <v>1.2280231048000001</v>
          </cell>
          <cell r="D649">
            <v>1.2286278639999999</v>
          </cell>
        </row>
        <row r="650">
          <cell r="A650">
            <v>44384</v>
          </cell>
          <cell r="B650">
            <v>1.2288116048</v>
          </cell>
          <cell r="C650">
            <v>1.2285091427999999</v>
          </cell>
          <cell r="D650">
            <v>1.2291141413</v>
          </cell>
        </row>
        <row r="651">
          <cell r="A651">
            <v>44385</v>
          </cell>
          <cell r="B651">
            <v>1.2292979548</v>
          </cell>
          <cell r="C651">
            <v>1.2289953731000001</v>
          </cell>
          <cell r="D651">
            <v>1.2296006111</v>
          </cell>
        </row>
        <row r="652">
          <cell r="A652">
            <v>44386</v>
          </cell>
          <cell r="B652">
            <v>1.2297844973000001</v>
          </cell>
          <cell r="C652">
            <v>1.2294817959</v>
          </cell>
          <cell r="D652">
            <v>1.2300872733999999</v>
          </cell>
        </row>
        <row r="653">
          <cell r="A653">
            <v>44389</v>
          </cell>
          <cell r="B653">
            <v>1.2302712324</v>
          </cell>
          <cell r="C653">
            <v>1.2299684111</v>
          </cell>
          <cell r="D653">
            <v>1.2305741283</v>
          </cell>
        </row>
        <row r="654">
          <cell r="A654">
            <v>44390</v>
          </cell>
          <cell r="B654">
            <v>1.2307581600999999</v>
          </cell>
          <cell r="C654">
            <v>1.230455219</v>
          </cell>
          <cell r="D654">
            <v>1.2310611759000001</v>
          </cell>
        </row>
        <row r="655">
          <cell r="A655">
            <v>44391</v>
          </cell>
          <cell r="B655">
            <v>1.2312452806</v>
          </cell>
          <cell r="C655">
            <v>1.2309422195999999</v>
          </cell>
          <cell r="D655">
            <v>1.2315484162999999</v>
          </cell>
        </row>
        <row r="656">
          <cell r="A656">
            <v>44392</v>
          </cell>
          <cell r="B656">
            <v>1.2317325938000001</v>
          </cell>
          <cell r="C656">
            <v>1.2314294128000001</v>
          </cell>
          <cell r="D656">
            <v>1.2320358494999999</v>
          </cell>
        </row>
        <row r="657">
          <cell r="A657">
            <v>44393</v>
          </cell>
          <cell r="B657">
            <v>1.2322200999999999</v>
          </cell>
          <cell r="C657">
            <v>1.231916799</v>
          </cell>
          <cell r="D657">
            <v>1.2325234757000001</v>
          </cell>
        </row>
        <row r="658">
          <cell r="A658">
            <v>44396</v>
          </cell>
          <cell r="B658">
            <v>1.2327077990999999</v>
          </cell>
          <cell r="C658">
            <v>1.2324043781</v>
          </cell>
          <cell r="D658">
            <v>1.2330112949000001</v>
          </cell>
        </row>
        <row r="659">
          <cell r="A659">
            <v>44397</v>
          </cell>
          <cell r="B659">
            <v>1.2331956911999999</v>
          </cell>
          <cell r="C659">
            <v>1.2328921501000001</v>
          </cell>
          <cell r="D659">
            <v>1.2334993071</v>
          </cell>
        </row>
        <row r="660">
          <cell r="A660">
            <v>44398</v>
          </cell>
          <cell r="B660">
            <v>1.2336837763999999</v>
          </cell>
          <cell r="C660">
            <v>1.2333801151999999</v>
          </cell>
          <cell r="D660">
            <v>1.2339875124999999</v>
          </cell>
        </row>
        <row r="661">
          <cell r="A661">
            <v>44399</v>
          </cell>
          <cell r="B661">
            <v>1.2341720547999999</v>
          </cell>
          <cell r="C661">
            <v>1.2338682733999999</v>
          </cell>
          <cell r="D661">
            <v>1.2344759111000001</v>
          </cell>
        </row>
        <row r="662">
          <cell r="A662">
            <v>44400</v>
          </cell>
          <cell r="B662">
            <v>1.2346605263999999</v>
          </cell>
          <cell r="C662">
            <v>1.2343566248</v>
          </cell>
          <cell r="D662">
            <v>1.234964503</v>
          </cell>
        </row>
        <row r="663">
          <cell r="A663">
            <v>44403</v>
          </cell>
          <cell r="B663">
            <v>1.2351491912999999</v>
          </cell>
          <cell r="C663">
            <v>1.2348451694</v>
          </cell>
          <cell r="D663">
            <v>1.2354532882</v>
          </cell>
        </row>
        <row r="664">
          <cell r="A664">
            <v>44404</v>
          </cell>
          <cell r="B664">
            <v>1.2356380497999999</v>
          </cell>
          <cell r="C664">
            <v>1.2353339075000001</v>
          </cell>
          <cell r="D664">
            <v>1.235942267</v>
          </cell>
        </row>
        <row r="665">
          <cell r="A665">
            <v>44405</v>
          </cell>
          <cell r="B665">
            <v>1.2361271017</v>
          </cell>
          <cell r="C665">
            <v>1.2358228389999999</v>
          </cell>
          <cell r="D665">
            <v>1.2364314393</v>
          </cell>
        </row>
        <row r="666">
          <cell r="A666">
            <v>44406</v>
          </cell>
          <cell r="B666">
            <v>1.236616347</v>
          </cell>
          <cell r="C666">
            <v>1.2363119639</v>
          </cell>
          <cell r="D666">
            <v>1.2369208051</v>
          </cell>
        </row>
        <row r="667">
          <cell r="A667">
            <v>44407</v>
          </cell>
          <cell r="B667">
            <v>1.2371057861000001</v>
          </cell>
          <cell r="C667">
            <v>1.2368012826000001</v>
          </cell>
          <cell r="D667">
            <v>1.2374103647000001</v>
          </cell>
        </row>
        <row r="668">
          <cell r="A668">
            <v>44410</v>
          </cell>
          <cell r="B668">
            <v>1.2375954189</v>
          </cell>
          <cell r="C668">
            <v>1.2372907948</v>
          </cell>
          <cell r="D668">
            <v>1.237900118</v>
          </cell>
        </row>
        <row r="669">
          <cell r="A669">
            <v>44411</v>
          </cell>
          <cell r="B669">
            <v>1.2380852455</v>
          </cell>
          <cell r="C669">
            <v>1.2377805008</v>
          </cell>
          <cell r="D669">
            <v>1.2383900651999999</v>
          </cell>
        </row>
        <row r="670">
          <cell r="A670">
            <v>44412</v>
          </cell>
          <cell r="B670">
            <v>1.2385752659</v>
          </cell>
          <cell r="C670">
            <v>1.2382704007000001</v>
          </cell>
          <cell r="D670">
            <v>1.2388802063</v>
          </cell>
        </row>
        <row r="671">
          <cell r="A671">
            <v>44413</v>
          </cell>
          <cell r="B671">
            <v>1.2390654803000001</v>
          </cell>
          <cell r="C671">
            <v>1.2387604943999999</v>
          </cell>
          <cell r="D671">
            <v>1.2393705414</v>
          </cell>
        </row>
        <row r="672">
          <cell r="A672">
            <v>44414</v>
          </cell>
          <cell r="B672">
            <v>1.2395558887</v>
          </cell>
          <cell r="C672">
            <v>1.2392507821000001</v>
          </cell>
          <cell r="D672">
            <v>1.2398610704999999</v>
          </cell>
        </row>
        <row r="673">
          <cell r="A673">
            <v>44417</v>
          </cell>
          <cell r="B673">
            <v>1.2400464912</v>
          </cell>
          <cell r="C673">
            <v>1.2397412638</v>
          </cell>
          <cell r="D673">
            <v>1.2403517937999999</v>
          </cell>
        </row>
        <row r="674">
          <cell r="A674">
            <v>44418</v>
          </cell>
          <cell r="B674">
            <v>1.2405372879000001</v>
          </cell>
          <cell r="C674">
            <v>1.2402319396999999</v>
          </cell>
          <cell r="D674">
            <v>1.2408427113</v>
          </cell>
        </row>
        <row r="675">
          <cell r="A675">
            <v>44419</v>
          </cell>
          <cell r="B675">
            <v>1.2410282788</v>
          </cell>
          <cell r="C675">
            <v>1.2407228097</v>
          </cell>
          <cell r="D675">
            <v>1.2413338231</v>
          </cell>
        </row>
        <row r="676">
          <cell r="A676">
            <v>44420</v>
          </cell>
          <cell r="B676">
            <v>1.2415194641</v>
          </cell>
          <cell r="C676">
            <v>1.2412138741000001</v>
          </cell>
          <cell r="D676">
            <v>1.2418251293</v>
          </cell>
        </row>
        <row r="677">
          <cell r="A677">
            <v>44421</v>
          </cell>
          <cell r="B677">
            <v>1.2420108437999999</v>
          </cell>
          <cell r="C677">
            <v>1.2417051329</v>
          </cell>
          <cell r="D677">
            <v>1.2423166299999999</v>
          </cell>
        </row>
        <row r="678">
          <cell r="A678">
            <v>44424</v>
          </cell>
          <cell r="B678">
            <v>1.2425024177999999</v>
          </cell>
          <cell r="C678">
            <v>1.2421965859999999</v>
          </cell>
          <cell r="D678">
            <v>1.2428083250999999</v>
          </cell>
        </row>
        <row r="679">
          <cell r="A679">
            <v>44425</v>
          </cell>
          <cell r="B679">
            <v>1.2429941866000001</v>
          </cell>
          <cell r="C679">
            <v>1.2426882336</v>
          </cell>
          <cell r="D679">
            <v>1.2433002149000001</v>
          </cell>
        </row>
        <row r="680">
          <cell r="A680">
            <v>44426</v>
          </cell>
          <cell r="B680">
            <v>1.2434861500000001</v>
          </cell>
          <cell r="C680">
            <v>1.2431800759</v>
          </cell>
          <cell r="D680">
            <v>1.2437922993999999</v>
          </cell>
        </row>
        <row r="681">
          <cell r="A681">
            <v>44427</v>
          </cell>
          <cell r="B681">
            <v>1.243978308</v>
          </cell>
          <cell r="C681">
            <v>1.2436721127999999</v>
          </cell>
          <cell r="D681">
            <v>1.2442845786000001</v>
          </cell>
        </row>
        <row r="682">
          <cell r="A682">
            <v>44428</v>
          </cell>
          <cell r="B682">
            <v>1.2444706609</v>
          </cell>
          <cell r="C682">
            <v>1.2441643444999999</v>
          </cell>
          <cell r="D682">
            <v>1.2447770526999999</v>
          </cell>
        </row>
        <row r="683">
          <cell r="A683">
            <v>44431</v>
          </cell>
          <cell r="B683">
            <v>1.2449632086</v>
          </cell>
          <cell r="C683">
            <v>1.2446567710000001</v>
          </cell>
          <cell r="D683">
            <v>1.2452697216999999</v>
          </cell>
        </row>
        <row r="684">
          <cell r="A684">
            <v>44432</v>
          </cell>
          <cell r="B684">
            <v>1.2454559512000001</v>
          </cell>
          <cell r="C684">
            <v>1.2451493923000001</v>
          </cell>
          <cell r="D684">
            <v>1.2457625856000001</v>
          </cell>
        </row>
        <row r="685">
          <cell r="A685">
            <v>44433</v>
          </cell>
          <cell r="B685">
            <v>1.2459488889000001</v>
          </cell>
          <cell r="C685">
            <v>1.2456422087000001</v>
          </cell>
          <cell r="D685">
            <v>1.2462556446999999</v>
          </cell>
        </row>
        <row r="686">
          <cell r="A686">
            <v>44434</v>
          </cell>
          <cell r="B686">
            <v>1.2464420217000001</v>
          </cell>
          <cell r="C686">
            <v>1.2461352201</v>
          </cell>
          <cell r="D686">
            <v>1.2467488989</v>
          </cell>
        </row>
        <row r="687">
          <cell r="A687">
            <v>44435</v>
          </cell>
          <cell r="B687">
            <v>1.2469353496</v>
          </cell>
          <cell r="C687">
            <v>1.2466284266000001</v>
          </cell>
          <cell r="D687">
            <v>1.2472423482999999</v>
          </cell>
        </row>
        <row r="688">
          <cell r="A688">
            <v>44438</v>
          </cell>
          <cell r="B688">
            <v>1.2474288728</v>
          </cell>
          <cell r="C688">
            <v>1.2471218284000001</v>
          </cell>
          <cell r="D688">
            <v>1.247735993</v>
          </cell>
        </row>
        <row r="689">
          <cell r="A689">
            <v>44439</v>
          </cell>
          <cell r="B689">
            <v>1.2479225914000001</v>
          </cell>
          <cell r="C689">
            <v>1.2476154254</v>
          </cell>
          <cell r="D689">
            <v>1.2482298330999999</v>
          </cell>
        </row>
        <row r="690">
          <cell r="A690">
            <v>44440</v>
          </cell>
          <cell r="B690">
            <v>1.2484165054</v>
          </cell>
          <cell r="C690">
            <v>1.2481092177999999</v>
          </cell>
          <cell r="D690">
            <v>1.2487238687</v>
          </cell>
        </row>
        <row r="691">
          <cell r="A691">
            <v>44441</v>
          </cell>
          <cell r="B691">
            <v>1.2489106147</v>
          </cell>
          <cell r="C691">
            <v>1.2486032055</v>
          </cell>
          <cell r="D691">
            <v>1.2492180997</v>
          </cell>
        </row>
        <row r="692">
          <cell r="A692">
            <v>44442</v>
          </cell>
          <cell r="B692">
            <v>1.2494049196999999</v>
          </cell>
          <cell r="C692">
            <v>1.2490973889000001</v>
          </cell>
          <cell r="D692">
            <v>1.2497125264</v>
          </cell>
        </row>
        <row r="693">
          <cell r="A693">
            <v>44445</v>
          </cell>
          <cell r="B693">
            <v>1.2498994204</v>
          </cell>
          <cell r="C693">
            <v>1.2495917677999999</v>
          </cell>
          <cell r="D693">
            <v>1.2502071487999999</v>
          </cell>
        </row>
        <row r="694">
          <cell r="A694">
            <v>44447</v>
          </cell>
          <cell r="B694">
            <v>1.2503941167999999</v>
          </cell>
          <cell r="C694">
            <v>1.2500863423999999</v>
          </cell>
          <cell r="D694">
            <v>1.2507019669999999</v>
          </cell>
        </row>
        <row r="695">
          <cell r="A695">
            <v>44448</v>
          </cell>
          <cell r="B695">
            <v>1.2508890089</v>
          </cell>
          <cell r="C695">
            <v>1.2505811127999999</v>
          </cell>
          <cell r="D695">
            <v>1.2511969810000001</v>
          </cell>
        </row>
        <row r="696">
          <cell r="A696">
            <v>44449</v>
          </cell>
          <cell r="B696">
            <v>1.2513840970000001</v>
          </cell>
          <cell r="C696">
            <v>1.2510760788999999</v>
          </cell>
          <cell r="D696">
            <v>1.2516921909000001</v>
          </cell>
        </row>
        <row r="697">
          <cell r="A697">
            <v>44452</v>
          </cell>
          <cell r="B697">
            <v>1.2518793808999999</v>
          </cell>
          <cell r="C697">
            <v>1.2515712409999999</v>
          </cell>
          <cell r="D697">
            <v>1.2521875968</v>
          </cell>
        </row>
        <row r="698">
          <cell r="A698">
            <v>44453</v>
          </cell>
          <cell r="B698">
            <v>1.2523748609000001</v>
          </cell>
          <cell r="C698">
            <v>1.2520665989999999</v>
          </cell>
          <cell r="D698">
            <v>1.2526831988</v>
          </cell>
        </row>
        <row r="699">
          <cell r="A699">
            <v>44454</v>
          </cell>
          <cell r="B699">
            <v>1.2528705371</v>
          </cell>
          <cell r="C699">
            <v>1.2525621532</v>
          </cell>
          <cell r="D699">
            <v>1.253178997</v>
          </cell>
        </row>
        <row r="700">
          <cell r="A700">
            <v>44455</v>
          </cell>
          <cell r="B700">
            <v>1.2533664093000001</v>
          </cell>
          <cell r="C700">
            <v>1.2530579033</v>
          </cell>
          <cell r="D700">
            <v>1.2536749913</v>
          </cell>
        </row>
        <row r="701">
          <cell r="A701">
            <v>44456</v>
          </cell>
          <cell r="B701">
            <v>1.2538624779</v>
          </cell>
          <cell r="C701">
            <v>1.2535538498000001</v>
          </cell>
          <cell r="D701">
            <v>1.2541711820000001</v>
          </cell>
        </row>
        <row r="702">
          <cell r="A702">
            <v>44459</v>
          </cell>
          <cell r="B702">
            <v>1.2543587428</v>
          </cell>
          <cell r="C702">
            <v>1.2540499925999999</v>
          </cell>
          <cell r="D702">
            <v>1.2546675691</v>
          </cell>
        </row>
        <row r="703">
          <cell r="A703">
            <v>44460</v>
          </cell>
          <cell r="B703">
            <v>1.2548552041000001</v>
          </cell>
          <cell r="C703">
            <v>1.2545463316000001</v>
          </cell>
          <cell r="D703">
            <v>1.2551641525999999</v>
          </cell>
        </row>
        <row r="704">
          <cell r="A704">
            <v>44461</v>
          </cell>
          <cell r="B704">
            <v>1.2553518618999999</v>
          </cell>
          <cell r="C704">
            <v>1.2550428672</v>
          </cell>
          <cell r="D704">
            <v>1.2556609326999999</v>
          </cell>
        </row>
        <row r="705">
          <cell r="A705">
            <v>44462</v>
          </cell>
          <cell r="B705">
            <v>1.2558487163000001</v>
          </cell>
          <cell r="C705">
            <v>1.2555395993</v>
          </cell>
          <cell r="D705">
            <v>1.2561579093999999</v>
          </cell>
        </row>
        <row r="706">
          <cell r="A706">
            <v>44463</v>
          </cell>
          <cell r="B706">
            <v>1.2563457673</v>
          </cell>
          <cell r="C706">
            <v>1.2560365280000001</v>
          </cell>
          <cell r="D706">
            <v>1.2566550828</v>
          </cell>
        </row>
        <row r="707">
          <cell r="A707">
            <v>44466</v>
          </cell>
          <cell r="B707">
            <v>1.2568430151000001</v>
          </cell>
          <cell r="C707">
            <v>1.2565336534</v>
          </cell>
          <cell r="D707">
            <v>1.257152453</v>
          </cell>
        </row>
        <row r="708">
          <cell r="A708">
            <v>44467</v>
          </cell>
          <cell r="B708">
            <v>1.2573404596</v>
          </cell>
          <cell r="C708">
            <v>1.2570309754</v>
          </cell>
          <cell r="D708">
            <v>1.25765002</v>
          </cell>
        </row>
        <row r="709">
          <cell r="A709">
            <v>44468</v>
          </cell>
          <cell r="B709">
            <v>1.2578381010999999</v>
          </cell>
          <cell r="C709">
            <v>1.2575284944</v>
          </cell>
          <cell r="D709">
            <v>1.2581477839999999</v>
          </cell>
        </row>
        <row r="710">
          <cell r="A710">
            <v>44469</v>
          </cell>
          <cell r="B710">
            <v>1.2583359395</v>
          </cell>
          <cell r="C710">
            <v>1.2580262102999999</v>
          </cell>
          <cell r="D710">
            <v>1.2586457449999999</v>
          </cell>
        </row>
        <row r="711">
          <cell r="A711">
            <v>44470</v>
          </cell>
          <cell r="B711">
            <v>1.2588339748999999</v>
          </cell>
          <cell r="C711">
            <v>1.2585241230999999</v>
          </cell>
          <cell r="D711">
            <v>1.259143903</v>
          </cell>
        </row>
        <row r="712">
          <cell r="A712">
            <v>44473</v>
          </cell>
          <cell r="B712">
            <v>1.2593192956000001</v>
          </cell>
          <cell r="C712">
            <v>1.2590093244</v>
          </cell>
          <cell r="D712">
            <v>1.2596293432000001</v>
          </cell>
        </row>
        <row r="713">
          <cell r="A713">
            <v>44474</v>
          </cell>
          <cell r="B713">
            <v>1.2598048034</v>
          </cell>
          <cell r="C713">
            <v>1.2594947126</v>
          </cell>
          <cell r="D713">
            <v>1.2601149705000001</v>
          </cell>
        </row>
        <row r="714">
          <cell r="A714">
            <v>44475</v>
          </cell>
          <cell r="B714">
            <v>1.2602904983000001</v>
          </cell>
          <cell r="C714">
            <v>1.2599802879999999</v>
          </cell>
          <cell r="D714">
            <v>1.2606007850000001</v>
          </cell>
        </row>
        <row r="715">
          <cell r="A715">
            <v>44476</v>
          </cell>
          <cell r="B715">
            <v>1.2607763806000001</v>
          </cell>
          <cell r="C715">
            <v>1.2604660507000001</v>
          </cell>
          <cell r="D715">
            <v>1.2610867869</v>
          </cell>
        </row>
        <row r="716">
          <cell r="A716">
            <v>44477</v>
          </cell>
          <cell r="B716">
            <v>1.2612624501</v>
          </cell>
          <cell r="C716">
            <v>1.2609520005999999</v>
          </cell>
          <cell r="D716">
            <v>1.2615729761000001</v>
          </cell>
        </row>
        <row r="717">
          <cell r="A717">
            <v>44480</v>
          </cell>
          <cell r="B717">
            <v>1.261748707</v>
          </cell>
          <cell r="C717">
            <v>1.2614381377999999</v>
          </cell>
          <cell r="D717">
            <v>1.2620593526999999</v>
          </cell>
        </row>
        <row r="718">
          <cell r="A718">
            <v>44482</v>
          </cell>
          <cell r="B718">
            <v>1.2622351514000001</v>
          </cell>
          <cell r="C718">
            <v>1.2619244624999999</v>
          </cell>
          <cell r="D718">
            <v>1.2625459169</v>
          </cell>
        </row>
        <row r="719">
          <cell r="A719">
            <v>44483</v>
          </cell>
          <cell r="B719">
            <v>1.2627217834</v>
          </cell>
          <cell r="C719">
            <v>1.2624109747000001</v>
          </cell>
          <cell r="D719">
            <v>1.2630326687</v>
          </cell>
        </row>
        <row r="720">
          <cell r="A720">
            <v>44484</v>
          </cell>
          <cell r="B720">
            <v>1.2632086029</v>
          </cell>
          <cell r="C720">
            <v>1.2628976744</v>
          </cell>
          <cell r="D720">
            <v>1.2635196081</v>
          </cell>
        </row>
        <row r="721">
          <cell r="A721">
            <v>44487</v>
          </cell>
          <cell r="B721">
            <v>1.2636956101000001</v>
          </cell>
          <cell r="C721">
            <v>1.2633845616999999</v>
          </cell>
          <cell r="D721">
            <v>1.2640067352</v>
          </cell>
        </row>
        <row r="722">
          <cell r="A722">
            <v>44488</v>
          </cell>
          <cell r="B722">
            <v>1.2641828051999999</v>
          </cell>
          <cell r="C722">
            <v>1.2638716368</v>
          </cell>
          <cell r="D722">
            <v>1.2644940501999999</v>
          </cell>
        </row>
        <row r="723">
          <cell r="A723">
            <v>44489</v>
          </cell>
          <cell r="B723">
            <v>1.264670188</v>
          </cell>
          <cell r="C723">
            <v>1.2643588996999999</v>
          </cell>
          <cell r="D723">
            <v>1.2649815529999999</v>
          </cell>
        </row>
        <row r="724">
          <cell r="A724">
            <v>44490</v>
          </cell>
          <cell r="B724">
            <v>1.2651577586</v>
          </cell>
          <cell r="C724">
            <v>1.2648463503</v>
          </cell>
          <cell r="D724">
            <v>1.2654692436999999</v>
          </cell>
        </row>
        <row r="725">
          <cell r="A725">
            <v>44491</v>
          </cell>
          <cell r="B725">
            <v>1.2656455174000001</v>
          </cell>
          <cell r="C725">
            <v>1.2653339889999999</v>
          </cell>
          <cell r="D725">
            <v>1.2659571224999999</v>
          </cell>
        </row>
        <row r="726">
          <cell r="A726">
            <v>44494</v>
          </cell>
          <cell r="B726">
            <v>1.2661334640999999</v>
          </cell>
          <cell r="C726">
            <v>1.2658218157000001</v>
          </cell>
          <cell r="D726">
            <v>1.2664451893999999</v>
          </cell>
        </row>
        <row r="727">
          <cell r="A727">
            <v>44495</v>
          </cell>
          <cell r="B727">
            <v>1.2666215989</v>
          </cell>
          <cell r="C727">
            <v>1.2663098303</v>
          </cell>
          <cell r="D727">
            <v>1.2669334444</v>
          </cell>
        </row>
        <row r="728">
          <cell r="A728">
            <v>44496</v>
          </cell>
          <cell r="B728">
            <v>1.2671099219999999</v>
          </cell>
          <cell r="C728">
            <v>1.2667980332</v>
          </cell>
          <cell r="D728">
            <v>1.2674218877000001</v>
          </cell>
        </row>
        <row r="729">
          <cell r="A729">
            <v>44497</v>
          </cell>
          <cell r="B729">
            <v>1.2675984333000001</v>
          </cell>
          <cell r="C729">
            <v>1.2672864242999999</v>
          </cell>
          <cell r="D729">
            <v>1.2679105193</v>
          </cell>
        </row>
        <row r="730">
          <cell r="A730">
            <v>44498</v>
          </cell>
          <cell r="B730">
            <v>1.2680871330000001</v>
          </cell>
          <cell r="C730">
            <v>1.2677750037</v>
          </cell>
          <cell r="D730">
            <v>1.2683993392999999</v>
          </cell>
        </row>
        <row r="731">
          <cell r="A731">
            <v>44501</v>
          </cell>
          <cell r="B731">
            <v>1.2685760210999999</v>
          </cell>
          <cell r="C731">
            <v>1.2682637714</v>
          </cell>
          <cell r="D731">
            <v>1.2688883476999999</v>
          </cell>
        </row>
        <row r="732">
          <cell r="A732">
            <v>44503</v>
          </cell>
          <cell r="B732">
            <v>1.2690650977</v>
          </cell>
          <cell r="C732">
            <v>1.2687527275999999</v>
          </cell>
          <cell r="D732">
            <v>1.2693775447</v>
          </cell>
        </row>
        <row r="733">
          <cell r="A733">
            <v>44504</v>
          </cell>
          <cell r="B733">
            <v>1.2695543627000001</v>
          </cell>
          <cell r="C733">
            <v>1.2692418722000001</v>
          </cell>
          <cell r="D733">
            <v>1.2698669302000001</v>
          </cell>
        </row>
        <row r="734">
          <cell r="A734">
            <v>44505</v>
          </cell>
          <cell r="B734">
            <v>1.2700438165000001</v>
          </cell>
          <cell r="C734">
            <v>1.2697312055000001</v>
          </cell>
          <cell r="D734">
            <v>1.2703565045</v>
          </cell>
        </row>
        <row r="735">
          <cell r="A735">
            <v>44508</v>
          </cell>
          <cell r="B735">
            <v>1.2705334588999999</v>
          </cell>
          <cell r="C735">
            <v>1.2702207273999999</v>
          </cell>
          <cell r="D735">
            <v>1.2708462675000001</v>
          </cell>
        </row>
        <row r="736">
          <cell r="A736">
            <v>44509</v>
          </cell>
          <cell r="B736">
            <v>1.2710232901</v>
          </cell>
          <cell r="C736">
            <v>1.2707104381000001</v>
          </cell>
          <cell r="D736">
            <v>1.2713362193</v>
          </cell>
        </row>
        <row r="737">
          <cell r="A737">
            <v>44510</v>
          </cell>
          <cell r="B737">
            <v>1.2715133102</v>
          </cell>
          <cell r="C737">
            <v>1.2712003375000001</v>
          </cell>
          <cell r="D737">
            <v>1.2718263599999999</v>
          </cell>
        </row>
        <row r="738">
          <cell r="A738">
            <v>44511</v>
          </cell>
          <cell r="B738">
            <v>1.2720035191000001</v>
          </cell>
          <cell r="C738">
            <v>1.2716904257999999</v>
          </cell>
          <cell r="D738">
            <v>1.2723166896</v>
          </cell>
        </row>
        <row r="739">
          <cell r="A739">
            <v>44512</v>
          </cell>
          <cell r="B739">
            <v>1.2724939171</v>
          </cell>
          <cell r="C739">
            <v>1.2721807030000001</v>
          </cell>
          <cell r="D739">
            <v>1.2728072082999999</v>
          </cell>
        </row>
        <row r="740">
          <cell r="A740">
            <v>44516</v>
          </cell>
          <cell r="B740">
            <v>1.2729845041000001</v>
          </cell>
          <cell r="C740">
            <v>1.2726711692999999</v>
          </cell>
          <cell r="D740">
            <v>1.2732979161</v>
          </cell>
        </row>
        <row r="741">
          <cell r="A741">
            <v>44517</v>
          </cell>
          <cell r="B741">
            <v>1.2734752803</v>
          </cell>
          <cell r="C741">
            <v>1.2731618246</v>
          </cell>
          <cell r="D741">
            <v>1.2737888130999999</v>
          </cell>
        </row>
        <row r="742">
          <cell r="A742">
            <v>44518</v>
          </cell>
          <cell r="B742">
            <v>1.2739662456</v>
          </cell>
          <cell r="C742">
            <v>1.2736526691000001</v>
          </cell>
          <cell r="D742">
            <v>1.2742798993</v>
          </cell>
        </row>
        <row r="743">
          <cell r="A743">
            <v>44519</v>
          </cell>
          <cell r="B743">
            <v>1.2744574003</v>
          </cell>
          <cell r="C743">
            <v>1.2741437029</v>
          </cell>
          <cell r="D743">
            <v>1.2747711748999999</v>
          </cell>
        </row>
        <row r="744">
          <cell r="A744">
            <v>44522</v>
          </cell>
          <cell r="B744">
            <v>1.2749487443</v>
          </cell>
          <cell r="C744">
            <v>1.2746349260000001</v>
          </cell>
          <cell r="D744">
            <v>1.2752626399</v>
          </cell>
        </row>
        <row r="745">
          <cell r="A745">
            <v>44523</v>
          </cell>
          <cell r="B745">
            <v>1.2754402777</v>
          </cell>
          <cell r="C745">
            <v>1.2751263384</v>
          </cell>
          <cell r="D745">
            <v>1.2757542943</v>
          </cell>
        </row>
        <row r="746">
          <cell r="A746">
            <v>44524</v>
          </cell>
          <cell r="B746">
            <v>1.2759320005999999</v>
          </cell>
          <cell r="C746">
            <v>1.2756179403000001</v>
          </cell>
          <cell r="D746">
            <v>1.2762461383000001</v>
          </cell>
        </row>
        <row r="747">
          <cell r="A747">
            <v>44525</v>
          </cell>
          <cell r="B747">
            <v>1.2764239131999999</v>
          </cell>
          <cell r="C747">
            <v>1.2761097318000001</v>
          </cell>
          <cell r="D747">
            <v>1.2767381719999999</v>
          </cell>
        </row>
        <row r="748">
          <cell r="A748">
            <v>44526</v>
          </cell>
          <cell r="B748">
            <v>1.2769160153000001</v>
          </cell>
          <cell r="C748">
            <v>1.2766017128</v>
          </cell>
          <cell r="D748">
            <v>1.2772303952999999</v>
          </cell>
        </row>
        <row r="749">
          <cell r="A749">
            <v>44529</v>
          </cell>
          <cell r="B749">
            <v>1.2774083072</v>
          </cell>
          <cell r="C749">
            <v>1.2770938835000001</v>
          </cell>
          <cell r="D749">
            <v>1.2777228084000001</v>
          </cell>
        </row>
        <row r="750">
          <cell r="A750">
            <v>44530</v>
          </cell>
          <cell r="B750">
            <v>1.2779007889</v>
          </cell>
          <cell r="C750">
            <v>1.2775862440000001</v>
          </cell>
          <cell r="D750">
            <v>1.2782154112999999</v>
          </cell>
        </row>
        <row r="751">
          <cell r="A751">
            <v>44531</v>
          </cell>
          <cell r="B751">
            <v>1.2783934604</v>
          </cell>
          <cell r="C751">
            <v>1.2780787942</v>
          </cell>
          <cell r="D751">
            <v>1.2787082041</v>
          </cell>
        </row>
        <row r="752">
          <cell r="A752">
            <v>44532</v>
          </cell>
          <cell r="B752">
            <v>1.2788863219</v>
          </cell>
          <cell r="C752">
            <v>1.2785715344999999</v>
          </cell>
          <cell r="D752">
            <v>1.279201187</v>
          </cell>
        </row>
        <row r="753">
          <cell r="A753">
            <v>44533</v>
          </cell>
          <cell r="B753">
            <v>1.2793793734000001</v>
          </cell>
          <cell r="C753">
            <v>1.2790644646</v>
          </cell>
          <cell r="D753">
            <v>1.2796943598999999</v>
          </cell>
        </row>
        <row r="754">
          <cell r="A754">
            <v>44536</v>
          </cell>
          <cell r="B754">
            <v>1.2798726149999999</v>
          </cell>
          <cell r="C754">
            <v>1.2795575848</v>
          </cell>
          <cell r="D754">
            <v>1.2801877229</v>
          </cell>
        </row>
        <row r="755">
          <cell r="A755">
            <v>44537</v>
          </cell>
          <cell r="B755">
            <v>1.2803660467</v>
          </cell>
          <cell r="C755">
            <v>1.280050895</v>
          </cell>
          <cell r="D755">
            <v>1.2806812760999999</v>
          </cell>
        </row>
        <row r="756">
          <cell r="A756">
            <v>44538</v>
          </cell>
          <cell r="B756">
            <v>1.2808596687</v>
          </cell>
          <cell r="C756">
            <v>1.2805443955</v>
          </cell>
          <cell r="D756">
            <v>1.2811750196</v>
          </cell>
        </row>
        <row r="757">
          <cell r="A757">
            <v>44539</v>
          </cell>
          <cell r="B757">
            <v>1.281353481</v>
          </cell>
          <cell r="C757">
            <v>1.2810380862999999</v>
          </cell>
          <cell r="D757">
            <v>1.2816689535000001</v>
          </cell>
        </row>
        <row r="758">
          <cell r="A758">
            <v>44540</v>
          </cell>
          <cell r="B758">
            <v>1.2818474837</v>
          </cell>
          <cell r="C758">
            <v>1.2815319673000001</v>
          </cell>
          <cell r="D758">
            <v>1.2821630777999999</v>
          </cell>
        </row>
        <row r="759">
          <cell r="A759">
            <v>44543</v>
          </cell>
          <cell r="B759">
            <v>1.2823416768</v>
          </cell>
          <cell r="C759">
            <v>1.2820260388</v>
          </cell>
          <cell r="D759">
            <v>1.2826573926</v>
          </cell>
        </row>
        <row r="760">
          <cell r="A760">
            <v>44544</v>
          </cell>
          <cell r="B760">
            <v>1.2828360604</v>
          </cell>
          <cell r="C760">
            <v>1.2825203006999999</v>
          </cell>
          <cell r="D760">
            <v>1.2831518979000001</v>
          </cell>
        </row>
        <row r="761">
          <cell r="A761">
            <v>44545</v>
          </cell>
          <cell r="B761">
            <v>1.2833306346</v>
          </cell>
          <cell r="C761">
            <v>1.2830147532</v>
          </cell>
          <cell r="D761">
            <v>1.2836465938999999</v>
          </cell>
        </row>
        <row r="762">
          <cell r="A762">
            <v>44546</v>
          </cell>
          <cell r="B762">
            <v>1.2838253996</v>
          </cell>
          <cell r="C762">
            <v>1.2835093963999999</v>
          </cell>
          <cell r="D762">
            <v>1.2841414807</v>
          </cell>
        </row>
        <row r="763">
          <cell r="A763">
            <v>44547</v>
          </cell>
          <cell r="B763">
            <v>1.2843203553</v>
          </cell>
          <cell r="C763">
            <v>1.2840042302000001</v>
          </cell>
          <cell r="D763">
            <v>1.2846365581999999</v>
          </cell>
        </row>
        <row r="764">
          <cell r="A764">
            <v>44550</v>
          </cell>
          <cell r="B764">
            <v>1.2848155018</v>
          </cell>
          <cell r="C764">
            <v>1.2844992549000001</v>
          </cell>
          <cell r="D764">
            <v>1.2851318266</v>
          </cell>
        </row>
        <row r="765">
          <cell r="A765">
            <v>44551</v>
          </cell>
          <cell r="B765">
            <v>1.2853108391000001</v>
          </cell>
          <cell r="C765">
            <v>1.2849944703</v>
          </cell>
          <cell r="D765">
            <v>1.2856272859</v>
          </cell>
        </row>
        <row r="766">
          <cell r="A766">
            <v>44552</v>
          </cell>
          <cell r="B766">
            <v>1.2858063675</v>
          </cell>
          <cell r="C766">
            <v>1.2854898767</v>
          </cell>
          <cell r="D766">
            <v>1.2861229363</v>
          </cell>
        </row>
        <row r="767">
          <cell r="A767">
            <v>44553</v>
          </cell>
          <cell r="B767">
            <v>1.2863020868999999</v>
          </cell>
          <cell r="C767">
            <v>1.2859854740000001</v>
          </cell>
          <cell r="D767">
            <v>1.2866187777</v>
          </cell>
        </row>
        <row r="768">
          <cell r="A768">
            <v>44554</v>
          </cell>
          <cell r="B768">
            <v>1.2867979973999999</v>
          </cell>
          <cell r="C768">
            <v>1.2864812624999999</v>
          </cell>
          <cell r="D768">
            <v>1.2871148103000001</v>
          </cell>
        </row>
        <row r="769">
          <cell r="A769">
            <v>44557</v>
          </cell>
          <cell r="B769">
            <v>1.2872940990999999</v>
          </cell>
          <cell r="C769">
            <v>1.2869772421000001</v>
          </cell>
          <cell r="D769">
            <v>1.2876110342</v>
          </cell>
        </row>
        <row r="770">
          <cell r="A770">
            <v>44558</v>
          </cell>
          <cell r="B770">
            <v>1.287790392</v>
          </cell>
          <cell r="C770">
            <v>1.2874734129000001</v>
          </cell>
          <cell r="D770">
            <v>1.2881074493</v>
          </cell>
        </row>
        <row r="771">
          <cell r="A771">
            <v>44559</v>
          </cell>
          <cell r="B771">
            <v>1.2882868763999999</v>
          </cell>
          <cell r="C771">
            <v>1.2879697750000001</v>
          </cell>
          <cell r="D771">
            <v>1.2886040559</v>
          </cell>
        </row>
        <row r="772">
          <cell r="A772">
            <v>44560</v>
          </cell>
          <cell r="B772">
            <v>1.2887835521</v>
          </cell>
          <cell r="C772">
            <v>1.2884663285</v>
          </cell>
          <cell r="D772">
            <v>1.2891008539</v>
          </cell>
        </row>
        <row r="773">
          <cell r="A773">
            <v>44561</v>
          </cell>
          <cell r="B773">
            <v>1.2892804193</v>
          </cell>
          <cell r="C773">
            <v>1.2889630733999999</v>
          </cell>
          <cell r="D773">
            <v>1.2895978433999999</v>
          </cell>
        </row>
        <row r="774">
          <cell r="A774">
            <v>44564</v>
          </cell>
          <cell r="B774">
            <v>1.289777478</v>
          </cell>
          <cell r="C774">
            <v>1.2894600098</v>
          </cell>
          <cell r="D774">
            <v>1.2900950245</v>
          </cell>
        </row>
        <row r="775">
          <cell r="A775">
            <v>44565</v>
          </cell>
          <cell r="B775">
            <v>1.2903075947</v>
          </cell>
          <cell r="C775">
            <v>1.2899899960000001</v>
          </cell>
          <cell r="D775">
            <v>1.2906252717</v>
          </cell>
        </row>
        <row r="776">
          <cell r="A776">
            <v>44566</v>
          </cell>
          <cell r="B776">
            <v>1.2908379293000001</v>
          </cell>
          <cell r="C776">
            <v>1.2905202</v>
          </cell>
          <cell r="D776">
            <v>1.2911557369</v>
          </cell>
        </row>
        <row r="777">
          <cell r="A777">
            <v>44567</v>
          </cell>
          <cell r="B777">
            <v>1.2913684819</v>
          </cell>
          <cell r="C777">
            <v>1.291050622</v>
          </cell>
          <cell r="D777">
            <v>1.2916864201</v>
          </cell>
        </row>
        <row r="778">
          <cell r="A778">
            <v>44568</v>
          </cell>
          <cell r="B778">
            <v>1.2918992524999999</v>
          </cell>
          <cell r="C778">
            <v>1.291581262</v>
          </cell>
          <cell r="D778">
            <v>1.2922173213999999</v>
          </cell>
        </row>
        <row r="779">
          <cell r="A779">
            <v>44571</v>
          </cell>
          <cell r="B779">
            <v>1.2924302412999999</v>
          </cell>
          <cell r="C779">
            <v>1.2921121201000001</v>
          </cell>
          <cell r="D779">
            <v>1.2927484409000001</v>
          </cell>
        </row>
        <row r="780">
          <cell r="A780">
            <v>44572</v>
          </cell>
          <cell r="B780">
            <v>1.2929614483</v>
          </cell>
          <cell r="C780">
            <v>1.2926431963</v>
          </cell>
          <cell r="D780">
            <v>1.2932797787000001</v>
          </cell>
        </row>
        <row r="781">
          <cell r="A781">
            <v>44573</v>
          </cell>
          <cell r="B781">
            <v>1.2934928737</v>
          </cell>
          <cell r="C781">
            <v>1.2931744909</v>
          </cell>
          <cell r="D781">
            <v>1.2938113349</v>
          </cell>
        </row>
        <row r="782">
          <cell r="A782">
            <v>44574</v>
          </cell>
          <cell r="B782">
            <v>1.2940245174</v>
          </cell>
          <cell r="C782">
            <v>1.2937060037000001</v>
          </cell>
          <cell r="D782">
            <v>1.2943431095</v>
          </cell>
        </row>
        <row r="783">
          <cell r="A783">
            <v>44575</v>
          </cell>
          <cell r="B783">
            <v>1.2945563796999999</v>
          </cell>
          <cell r="C783">
            <v>1.2942377352000001</v>
          </cell>
          <cell r="D783">
            <v>1.2948751028000001</v>
          </cell>
        </row>
        <row r="784">
          <cell r="A784">
            <v>44578</v>
          </cell>
          <cell r="B784">
            <v>1.2950884605999999</v>
          </cell>
          <cell r="C784">
            <v>1.2947696850999999</v>
          </cell>
          <cell r="D784">
            <v>1.2954073147</v>
          </cell>
        </row>
        <row r="785">
          <cell r="A785">
            <v>44579</v>
          </cell>
          <cell r="B785">
            <v>1.2956207602000001</v>
          </cell>
          <cell r="C785">
            <v>1.2953018536000001</v>
          </cell>
          <cell r="D785">
            <v>1.2959397452999999</v>
          </cell>
        </row>
        <row r="786">
          <cell r="A786">
            <v>44580</v>
          </cell>
          <cell r="B786">
            <v>1.2961532786000001</v>
          </cell>
          <cell r="C786">
            <v>1.2958342410000001</v>
          </cell>
          <cell r="D786">
            <v>1.2964723948000001</v>
          </cell>
        </row>
        <row r="787">
          <cell r="A787">
            <v>44581</v>
          </cell>
          <cell r="B787">
            <v>1.2966860158</v>
          </cell>
          <cell r="C787">
            <v>1.2963668471000001</v>
          </cell>
          <cell r="D787">
            <v>1.2970052632</v>
          </cell>
        </row>
        <row r="788">
          <cell r="A788">
            <v>44582</v>
          </cell>
          <cell r="B788">
            <v>1.297218972</v>
          </cell>
          <cell r="C788">
            <v>1.2968996720999999</v>
          </cell>
          <cell r="D788">
            <v>1.2975383506</v>
          </cell>
        </row>
        <row r="789">
          <cell r="A789">
            <v>44585</v>
          </cell>
          <cell r="B789">
            <v>1.2977521472</v>
          </cell>
          <cell r="C789">
            <v>1.2974327161000001</v>
          </cell>
          <cell r="D789">
            <v>1.2980716570999999</v>
          </cell>
        </row>
        <row r="790">
          <cell r="A790">
            <v>44586</v>
          </cell>
          <cell r="B790">
            <v>1.2982855416000001</v>
          </cell>
          <cell r="C790">
            <v>1.2979659792</v>
          </cell>
          <cell r="D790">
            <v>1.2986051828</v>
          </cell>
        </row>
        <row r="791">
          <cell r="A791">
            <v>44587</v>
          </cell>
          <cell r="B791">
            <v>1.2988191551999999</v>
          </cell>
          <cell r="C791">
            <v>1.2984994614000001</v>
          </cell>
          <cell r="D791">
            <v>1.2991389278000001</v>
          </cell>
        </row>
        <row r="792">
          <cell r="A792">
            <v>44588</v>
          </cell>
          <cell r="B792">
            <v>1.2993529881999999</v>
          </cell>
          <cell r="C792">
            <v>1.299033163</v>
          </cell>
          <cell r="D792">
            <v>1.2996728922</v>
          </cell>
        </row>
        <row r="793">
          <cell r="A793">
            <v>44589</v>
          </cell>
          <cell r="B793">
            <v>1.2998870406</v>
          </cell>
          <cell r="C793">
            <v>1.299567084</v>
          </cell>
          <cell r="D793">
            <v>1.3002070761</v>
          </cell>
        </row>
        <row r="794">
          <cell r="A794">
            <v>44592</v>
          </cell>
          <cell r="B794">
            <v>1.3004213124999999</v>
          </cell>
          <cell r="C794">
            <v>1.3001012243000001</v>
          </cell>
          <cell r="D794">
            <v>1.3007414795000001</v>
          </cell>
        </row>
        <row r="795">
          <cell r="A795">
            <v>44593</v>
          </cell>
          <cell r="B795">
            <v>1.3009558039</v>
          </cell>
          <cell r="C795">
            <v>1.3006355841999999</v>
          </cell>
          <cell r="D795">
            <v>1.3012761024999999</v>
          </cell>
        </row>
        <row r="796">
          <cell r="A796">
            <v>44594</v>
          </cell>
          <cell r="B796">
            <v>1.301490515</v>
          </cell>
          <cell r="C796">
            <v>1.3011701636999999</v>
          </cell>
          <cell r="D796">
            <v>1.3018109453</v>
          </cell>
        </row>
        <row r="797">
          <cell r="A797">
            <v>44595</v>
          </cell>
          <cell r="B797">
            <v>1.3020254459</v>
          </cell>
          <cell r="C797">
            <v>1.3017049628999999</v>
          </cell>
          <cell r="D797">
            <v>1.3023460079</v>
          </cell>
        </row>
        <row r="798">
          <cell r="A798">
            <v>44596</v>
          </cell>
          <cell r="B798">
            <v>1.3025605968</v>
          </cell>
          <cell r="C798">
            <v>1.3022399820999999</v>
          </cell>
          <cell r="D798">
            <v>1.3028812905</v>
          </cell>
        </row>
        <row r="799">
          <cell r="A799">
            <v>44599</v>
          </cell>
          <cell r="B799">
            <v>1.3030959675</v>
          </cell>
          <cell r="C799">
            <v>1.3027752210000001</v>
          </cell>
          <cell r="D799">
            <v>1.303416793</v>
          </cell>
        </row>
        <row r="800">
          <cell r="A800">
            <v>44600</v>
          </cell>
          <cell r="B800">
            <v>1.3036315583</v>
          </cell>
          <cell r="C800">
            <v>1.3033106800000001</v>
          </cell>
          <cell r="D800">
            <v>1.3039525157</v>
          </cell>
        </row>
        <row r="801">
          <cell r="A801">
            <v>44601</v>
          </cell>
          <cell r="B801">
            <v>1.3041673692</v>
          </cell>
          <cell r="C801">
            <v>1.303846359</v>
          </cell>
          <cell r="D801">
            <v>1.3044884585000001</v>
          </cell>
        </row>
        <row r="802">
          <cell r="A802">
            <v>44602</v>
          </cell>
          <cell r="B802">
            <v>1.3047034003</v>
          </cell>
          <cell r="C802">
            <v>1.3043822582</v>
          </cell>
          <cell r="D802">
            <v>1.3050246216000001</v>
          </cell>
        </row>
        <row r="803">
          <cell r="A803">
            <v>44603</v>
          </cell>
          <cell r="B803">
            <v>1.3052396518</v>
          </cell>
          <cell r="C803">
            <v>1.3049183776</v>
          </cell>
          <cell r="D803">
            <v>1.3055610050999999</v>
          </cell>
        </row>
        <row r="804">
          <cell r="A804">
            <v>44606</v>
          </cell>
          <cell r="B804">
            <v>1.3057761236000001</v>
          </cell>
          <cell r="C804">
            <v>1.3054547174</v>
          </cell>
          <cell r="D804">
            <v>1.306097609</v>
          </cell>
        </row>
        <row r="805">
          <cell r="A805">
            <v>44607</v>
          </cell>
          <cell r="B805">
            <v>1.3063128159999999</v>
          </cell>
          <cell r="C805">
            <v>1.3059912777</v>
          </cell>
          <cell r="D805">
            <v>1.3066344335</v>
          </cell>
        </row>
        <row r="806">
          <cell r="A806">
            <v>44608</v>
          </cell>
          <cell r="B806">
            <v>1.3068497290000001</v>
          </cell>
          <cell r="C806">
            <v>1.3065280585000001</v>
          </cell>
          <cell r="D806">
            <v>1.3071714786999999</v>
          </cell>
        </row>
        <row r="807">
          <cell r="A807">
            <v>44609</v>
          </cell>
          <cell r="B807">
            <v>1.3073868626</v>
          </cell>
          <cell r="C807">
            <v>1.30706506</v>
          </cell>
          <cell r="D807">
            <v>1.3077087446</v>
          </cell>
        </row>
        <row r="808">
          <cell r="A808">
            <v>44610</v>
          </cell>
          <cell r="B808">
            <v>1.3079242170000001</v>
          </cell>
          <cell r="C808">
            <v>1.3076022821</v>
          </cell>
          <cell r="D808">
            <v>1.3082462313000001</v>
          </cell>
        </row>
        <row r="809">
          <cell r="A809">
            <v>44613</v>
          </cell>
          <cell r="B809">
            <v>1.3084617922999999</v>
          </cell>
          <cell r="C809">
            <v>1.308139725</v>
          </cell>
          <cell r="D809">
            <v>1.3087839389</v>
          </cell>
        </row>
        <row r="810">
          <cell r="A810">
            <v>44614</v>
          </cell>
          <cell r="B810">
            <v>1.3089995885000001</v>
          </cell>
          <cell r="C810">
            <v>1.3086773889000001</v>
          </cell>
          <cell r="D810">
            <v>1.3093218675</v>
          </cell>
        </row>
        <row r="811">
          <cell r="A811">
            <v>44615</v>
          </cell>
          <cell r="B811">
            <v>1.3095376057000001</v>
          </cell>
          <cell r="C811">
            <v>1.3092152737</v>
          </cell>
          <cell r="D811">
            <v>1.3098600171999999</v>
          </cell>
        </row>
        <row r="812">
          <cell r="A812">
            <v>44616</v>
          </cell>
          <cell r="B812">
            <v>1.3100758441</v>
          </cell>
          <cell r="C812">
            <v>1.3097533796</v>
          </cell>
          <cell r="D812">
            <v>1.3103983881000001</v>
          </cell>
        </row>
        <row r="813">
          <cell r="A813">
            <v>44617</v>
          </cell>
          <cell r="B813">
            <v>1.3106143037</v>
          </cell>
          <cell r="C813">
            <v>1.3102917066999999</v>
          </cell>
          <cell r="D813">
            <v>1.3109369802999999</v>
          </cell>
        </row>
        <row r="814">
          <cell r="A814">
            <v>44622</v>
          </cell>
          <cell r="B814">
            <v>1.3111529846000001</v>
          </cell>
          <cell r="C814">
            <v>1.3108302548999999</v>
          </cell>
          <cell r="D814">
            <v>1.3114757937999999</v>
          </cell>
        </row>
        <row r="815">
          <cell r="A815">
            <v>44623</v>
          </cell>
          <cell r="B815">
            <v>1.3116918869</v>
          </cell>
          <cell r="C815">
            <v>1.3113690246</v>
          </cell>
          <cell r="D815">
            <v>1.3120148288</v>
          </cell>
        </row>
        <row r="816">
          <cell r="A816">
            <v>44624</v>
          </cell>
          <cell r="B816">
            <v>1.3122310107999999</v>
          </cell>
          <cell r="C816">
            <v>1.3119080158</v>
          </cell>
          <cell r="D816">
            <v>1.3125540854</v>
          </cell>
        </row>
        <row r="817">
          <cell r="A817">
            <v>44627</v>
          </cell>
          <cell r="B817">
            <v>1.3127703561999999</v>
          </cell>
          <cell r="C817">
            <v>1.3124472283999999</v>
          </cell>
          <cell r="D817">
            <v>1.3130935636000001</v>
          </cell>
        </row>
        <row r="818">
          <cell r="A818">
            <v>44628</v>
          </cell>
          <cell r="B818">
            <v>1.3133099233000001</v>
          </cell>
          <cell r="C818">
            <v>1.3129866627</v>
          </cell>
          <cell r="D818">
            <v>1.3136332635000001</v>
          </cell>
        </row>
        <row r="819">
          <cell r="A819">
            <v>44629</v>
          </cell>
          <cell r="B819">
            <v>1.3138497121999999</v>
          </cell>
          <cell r="C819">
            <v>1.3135263186999999</v>
          </cell>
          <cell r="D819">
            <v>1.3141731853</v>
          </cell>
        </row>
        <row r="820">
          <cell r="A820">
            <v>44630</v>
          </cell>
          <cell r="B820">
            <v>1.3143897228999999</v>
          </cell>
          <cell r="C820">
            <v>1.3140661966</v>
          </cell>
          <cell r="D820">
            <v>1.3147133289999999</v>
          </cell>
        </row>
        <row r="821">
          <cell r="A821">
            <v>44631</v>
          </cell>
          <cell r="B821">
            <v>1.3149299555</v>
          </cell>
          <cell r="C821">
            <v>1.3146062962</v>
          </cell>
          <cell r="D821">
            <v>1.3152536946</v>
          </cell>
        </row>
        <row r="822">
          <cell r="A822">
            <v>44634</v>
          </cell>
          <cell r="B822">
            <v>1.3154704102000001</v>
          </cell>
          <cell r="C822">
            <v>1.3151466179</v>
          </cell>
          <cell r="D822">
            <v>1.3157942824</v>
          </cell>
        </row>
        <row r="823">
          <cell r="A823">
            <v>44635</v>
          </cell>
          <cell r="B823">
            <v>1.3160110870999999</v>
          </cell>
          <cell r="C823">
            <v>1.3156871617000001</v>
          </cell>
          <cell r="D823">
            <v>1.3163350923999999</v>
          </cell>
        </row>
        <row r="824">
          <cell r="A824">
            <v>44636</v>
          </cell>
          <cell r="B824">
            <v>1.3165519861999999</v>
          </cell>
          <cell r="C824">
            <v>1.3162279276</v>
          </cell>
          <cell r="D824">
            <v>1.3168761246</v>
          </cell>
        </row>
        <row r="825">
          <cell r="A825">
            <v>44637</v>
          </cell>
          <cell r="B825">
            <v>1.3170931076000001</v>
          </cell>
          <cell r="C825">
            <v>1.3167689159</v>
          </cell>
          <cell r="D825">
            <v>1.3174173792999999</v>
          </cell>
        </row>
        <row r="826">
          <cell r="A826">
            <v>44638</v>
          </cell>
          <cell r="B826">
            <v>1.3176344514</v>
          </cell>
          <cell r="C826">
            <v>1.3173101263</v>
          </cell>
          <cell r="D826">
            <v>1.3179588563</v>
          </cell>
        </row>
        <row r="827">
          <cell r="A827">
            <v>44641</v>
          </cell>
          <cell r="B827">
            <v>1.3181760176999999</v>
          </cell>
          <cell r="C827">
            <v>1.3178515594</v>
          </cell>
          <cell r="D827">
            <v>1.318500556</v>
          </cell>
        </row>
        <row r="828">
          <cell r="A828">
            <v>44642</v>
          </cell>
          <cell r="B828">
            <v>1.3187178066</v>
          </cell>
          <cell r="C828">
            <v>1.3183932148999999</v>
          </cell>
          <cell r="D828">
            <v>1.3190424783000001</v>
          </cell>
        </row>
        <row r="829">
          <cell r="A829">
            <v>44643</v>
          </cell>
          <cell r="B829">
            <v>1.3192598181999999</v>
          </cell>
          <cell r="C829">
            <v>1.3189350930999999</v>
          </cell>
          <cell r="D829">
            <v>1.3195846232999999</v>
          </cell>
        </row>
        <row r="830">
          <cell r="A830">
            <v>44644</v>
          </cell>
          <cell r="B830">
            <v>1.3198020525</v>
          </cell>
          <cell r="C830">
            <v>1.3194771939000001</v>
          </cell>
          <cell r="D830">
            <v>1.3201269911</v>
          </cell>
        </row>
        <row r="831">
          <cell r="A831">
            <v>44645</v>
          </cell>
          <cell r="B831">
            <v>1.3203445096999999</v>
          </cell>
          <cell r="C831">
            <v>1.3200195176</v>
          </cell>
          <cell r="D831">
            <v>1.3206695819000001</v>
          </cell>
        </row>
        <row r="832">
          <cell r="A832">
            <v>44648</v>
          </cell>
          <cell r="B832">
            <v>1.3208871899000001</v>
          </cell>
          <cell r="C832">
            <v>1.3205620643</v>
          </cell>
          <cell r="D832">
            <v>1.3212123956999999</v>
          </cell>
        </row>
        <row r="833">
          <cell r="A833">
            <v>44649</v>
          </cell>
          <cell r="B833">
            <v>1.3214300932</v>
          </cell>
          <cell r="C833">
            <v>1.3211048339</v>
          </cell>
          <cell r="D833">
            <v>1.3217554326000001</v>
          </cell>
        </row>
        <row r="834">
          <cell r="A834">
            <v>44650</v>
          </cell>
          <cell r="B834">
            <v>1.3219732195</v>
          </cell>
          <cell r="C834">
            <v>1.3216478266</v>
          </cell>
          <cell r="D834">
            <v>1.3222986927</v>
          </cell>
        </row>
        <row r="835">
          <cell r="A835">
            <v>44651</v>
          </cell>
          <cell r="B835">
            <v>1.3225165691</v>
          </cell>
          <cell r="C835">
            <v>1.3221910423000001</v>
          </cell>
          <cell r="D835">
            <v>1.322842176</v>
          </cell>
        </row>
        <row r="836">
          <cell r="A836">
            <v>44652</v>
          </cell>
          <cell r="B836">
            <v>1.3230601420000001</v>
          </cell>
          <cell r="C836">
            <v>1.3227344814999999</v>
          </cell>
          <cell r="D836">
            <v>1.3233858828</v>
          </cell>
        </row>
        <row r="837">
          <cell r="A837">
            <v>44655</v>
          </cell>
          <cell r="B837">
            <v>1.3235848749000001</v>
          </cell>
          <cell r="C837">
            <v>1.3232590852999999</v>
          </cell>
          <cell r="D837">
            <v>1.3239107449</v>
          </cell>
        </row>
        <row r="838">
          <cell r="A838">
            <v>44656</v>
          </cell>
          <cell r="B838">
            <v>1.324109816</v>
          </cell>
          <cell r="C838">
            <v>1.3237838971</v>
          </cell>
          <cell r="D838">
            <v>1.3244358152</v>
          </cell>
        </row>
        <row r="839">
          <cell r="A839">
            <v>44657</v>
          </cell>
          <cell r="B839">
            <v>1.3246349652</v>
          </cell>
          <cell r="C839">
            <v>1.3243089171</v>
          </cell>
          <cell r="D839">
            <v>1.3249610937</v>
          </cell>
        </row>
        <row r="840">
          <cell r="A840">
            <v>44658</v>
          </cell>
          <cell r="B840">
            <v>1.3251603228</v>
          </cell>
          <cell r="C840">
            <v>1.3248341453000001</v>
          </cell>
          <cell r="D840">
            <v>1.3254865806</v>
          </cell>
        </row>
        <row r="841">
          <cell r="A841">
            <v>44659</v>
          </cell>
          <cell r="B841">
            <v>1.3256858887</v>
          </cell>
          <cell r="C841">
            <v>1.3253595817999999</v>
          </cell>
          <cell r="D841">
            <v>1.3260122758999999</v>
          </cell>
        </row>
        <row r="842">
          <cell r="A842">
            <v>44662</v>
          </cell>
          <cell r="B842">
            <v>1.326211663</v>
          </cell>
          <cell r="C842">
            <v>1.3258852268000001</v>
          </cell>
          <cell r="D842">
            <v>1.3265381797</v>
          </cell>
        </row>
        <row r="843">
          <cell r="A843">
            <v>44663</v>
          </cell>
          <cell r="B843">
            <v>1.3267376458</v>
          </cell>
          <cell r="C843">
            <v>1.3264110801</v>
          </cell>
          <cell r="D843">
            <v>1.327064292</v>
          </cell>
        </row>
        <row r="844">
          <cell r="A844">
            <v>44664</v>
          </cell>
          <cell r="B844">
            <v>1.3272638373000001</v>
          </cell>
          <cell r="C844">
            <v>1.3269371421</v>
          </cell>
          <cell r="D844">
            <v>1.3275906129999999</v>
          </cell>
        </row>
        <row r="845">
          <cell r="A845">
            <v>44665</v>
          </cell>
          <cell r="B845">
            <v>1.3277902374999999</v>
          </cell>
          <cell r="C845">
            <v>1.3274634127</v>
          </cell>
          <cell r="D845">
            <v>1.3281171428</v>
          </cell>
        </row>
        <row r="846">
          <cell r="A846">
            <v>44669</v>
          </cell>
          <cell r="B846">
            <v>1.3283168462999999</v>
          </cell>
          <cell r="C846">
            <v>1.3279898918999999</v>
          </cell>
          <cell r="D846">
            <v>1.3286438813000001</v>
          </cell>
        </row>
        <row r="847">
          <cell r="A847">
            <v>44670</v>
          </cell>
          <cell r="B847">
            <v>1.3288436641000001</v>
          </cell>
          <cell r="C847">
            <v>1.3285165800000001</v>
          </cell>
          <cell r="D847">
            <v>1.3291708287999999</v>
          </cell>
        </row>
        <row r="848">
          <cell r="A848">
            <v>44671</v>
          </cell>
          <cell r="B848">
            <v>1.3293706909</v>
          </cell>
          <cell r="C848">
            <v>1.3290434770999999</v>
          </cell>
          <cell r="D848">
            <v>1.3296979852999999</v>
          </cell>
        </row>
        <row r="849">
          <cell r="A849">
            <v>44673</v>
          </cell>
          <cell r="B849">
            <v>1.3298979265999999</v>
          </cell>
          <cell r="C849">
            <v>1.329570583</v>
          </cell>
          <cell r="D849">
            <v>1.3302253507999999</v>
          </cell>
        </row>
        <row r="850">
          <cell r="A850">
            <v>44676</v>
          </cell>
          <cell r="B850">
            <v>1.3304253714000001</v>
          </cell>
          <cell r="C850">
            <v>1.330097898</v>
          </cell>
          <cell r="D850">
            <v>1.3307529254999999</v>
          </cell>
        </row>
        <row r="851">
          <cell r="A851">
            <v>44677</v>
          </cell>
          <cell r="B851">
            <v>1.3309530254999999</v>
          </cell>
          <cell r="C851">
            <v>1.3306254222</v>
          </cell>
          <cell r="D851">
            <v>1.3312807095000001</v>
          </cell>
        </row>
        <row r="852">
          <cell r="A852">
            <v>44678</v>
          </cell>
          <cell r="B852">
            <v>1.3314808887</v>
          </cell>
          <cell r="C852">
            <v>1.3311531555</v>
          </cell>
          <cell r="D852">
            <v>1.3318087027000001</v>
          </cell>
        </row>
        <row r="853">
          <cell r="A853">
            <v>44679</v>
          </cell>
          <cell r="B853">
            <v>1.3320089613999999</v>
          </cell>
          <cell r="C853">
            <v>1.3316810982</v>
          </cell>
          <cell r="D853">
            <v>1.3323369054</v>
          </cell>
        </row>
        <row r="854">
          <cell r="A854">
            <v>44680</v>
          </cell>
          <cell r="B854">
            <v>1.3325372434</v>
          </cell>
          <cell r="C854">
            <v>1.3322092502</v>
          </cell>
          <cell r="D854">
            <v>1.3328653175</v>
          </cell>
        </row>
        <row r="855">
          <cell r="A855">
            <v>44683</v>
          </cell>
          <cell r="B855">
            <v>1.3330657350999999</v>
          </cell>
          <cell r="C855">
            <v>1.3327376118000001</v>
          </cell>
          <cell r="D855">
            <v>1.3333939393000001</v>
          </cell>
        </row>
        <row r="856">
          <cell r="A856">
            <v>44684</v>
          </cell>
          <cell r="B856">
            <v>1.3335944363000001</v>
          </cell>
          <cell r="C856">
            <v>1.3332661828000001</v>
          </cell>
          <cell r="D856">
            <v>1.3339227706000001</v>
          </cell>
        </row>
        <row r="857">
          <cell r="A857">
            <v>44685</v>
          </cell>
          <cell r="B857">
            <v>1.3341233472</v>
          </cell>
          <cell r="C857">
            <v>1.3337949635999999</v>
          </cell>
          <cell r="D857">
            <v>1.3344518117999999</v>
          </cell>
        </row>
        <row r="858">
          <cell r="A858">
            <v>44686</v>
          </cell>
          <cell r="B858">
            <v>1.3346524679</v>
          </cell>
          <cell r="C858">
            <v>1.334323954</v>
          </cell>
          <cell r="D858">
            <v>1.3349810627000001</v>
          </cell>
        </row>
        <row r="859">
          <cell r="A859">
            <v>44687</v>
          </cell>
          <cell r="B859">
            <v>1.3351817984000001</v>
          </cell>
          <cell r="C859">
            <v>1.3348531541999999</v>
          </cell>
          <cell r="D859">
            <v>1.3355105235</v>
          </cell>
        </row>
        <row r="860">
          <cell r="A860">
            <v>44690</v>
          </cell>
          <cell r="B860">
            <v>1.3357113388999999</v>
          </cell>
          <cell r="C860">
            <v>1.3353825643999999</v>
          </cell>
          <cell r="D860">
            <v>1.3360401944</v>
          </cell>
        </row>
        <row r="861">
          <cell r="A861">
            <v>44691</v>
          </cell>
          <cell r="B861">
            <v>1.3362410894000001</v>
          </cell>
          <cell r="C861">
            <v>1.3359121844999999</v>
          </cell>
          <cell r="D861">
            <v>1.3365700753</v>
          </cell>
        </row>
        <row r="862">
          <cell r="A862">
            <v>44692</v>
          </cell>
          <cell r="B862">
            <v>1.3367710499000001</v>
          </cell>
          <cell r="C862">
            <v>1.3364420145</v>
          </cell>
          <cell r="D862">
            <v>1.3371001662999999</v>
          </cell>
        </row>
        <row r="863">
          <cell r="A863">
            <v>44693</v>
          </cell>
          <cell r="B863">
            <v>1.3373012205999999</v>
          </cell>
          <cell r="C863">
            <v>1.3369720547999999</v>
          </cell>
          <cell r="D863">
            <v>1.3376304675999999</v>
          </cell>
        </row>
        <row r="864">
          <cell r="A864">
            <v>44694</v>
          </cell>
          <cell r="B864">
            <v>1.3378316017</v>
          </cell>
          <cell r="C864">
            <v>1.3375023052999999</v>
          </cell>
          <cell r="D864">
            <v>1.3381609792</v>
          </cell>
        </row>
        <row r="865">
          <cell r="A865">
            <v>44697</v>
          </cell>
          <cell r="B865">
            <v>1.338362193</v>
          </cell>
          <cell r="C865">
            <v>1.338032766</v>
          </cell>
          <cell r="D865">
            <v>1.3386917011999999</v>
          </cell>
        </row>
        <row r="866">
          <cell r="A866">
            <v>44698</v>
          </cell>
          <cell r="B866">
            <v>1.3388929947999999</v>
          </cell>
          <cell r="C866">
            <v>1.3385634371999999</v>
          </cell>
          <cell r="D866">
            <v>1.3392226336999999</v>
          </cell>
        </row>
        <row r="867">
          <cell r="A867">
            <v>44699</v>
          </cell>
          <cell r="B867">
            <v>1.3394240072000001</v>
          </cell>
          <cell r="C867">
            <v>1.3390943189</v>
          </cell>
          <cell r="D867">
            <v>1.3397537768000001</v>
          </cell>
        </row>
        <row r="868">
          <cell r="A868">
            <v>44700</v>
          </cell>
          <cell r="B868">
            <v>1.3399552300999999</v>
          </cell>
          <cell r="C868">
            <v>1.3396254110000001</v>
          </cell>
          <cell r="D868">
            <v>1.3402851305000001</v>
          </cell>
        </row>
        <row r="869">
          <cell r="A869">
            <v>44701</v>
          </cell>
          <cell r="B869">
            <v>1.3404866637999999</v>
          </cell>
          <cell r="C869">
            <v>1.3401567138999999</v>
          </cell>
          <cell r="D869">
            <v>1.340816695</v>
          </cell>
        </row>
        <row r="870">
          <cell r="A870">
            <v>44704</v>
          </cell>
          <cell r="B870">
            <v>1.3410183082</v>
          </cell>
          <cell r="C870">
            <v>1.3406882274</v>
          </cell>
          <cell r="D870">
            <v>1.3413484703</v>
          </cell>
        </row>
        <row r="871">
          <cell r="A871">
            <v>44705</v>
          </cell>
          <cell r="B871">
            <v>1.3415501634</v>
          </cell>
          <cell r="C871">
            <v>1.3412199518000001</v>
          </cell>
          <cell r="D871">
            <v>1.3418804565</v>
          </cell>
        </row>
        <row r="872">
          <cell r="A872">
            <v>44706</v>
          </cell>
          <cell r="B872">
            <v>1.3420822294999999</v>
          </cell>
          <cell r="C872">
            <v>1.3417518869</v>
          </cell>
          <cell r="D872">
            <v>1.3424126536000001</v>
          </cell>
        </row>
        <row r="873">
          <cell r="A873">
            <v>44707</v>
          </cell>
          <cell r="B873">
            <v>1.3426145067999999</v>
          </cell>
          <cell r="C873">
            <v>1.3422840331000001</v>
          </cell>
          <cell r="D873">
            <v>1.3429450619000001</v>
          </cell>
        </row>
        <row r="874">
          <cell r="A874">
            <v>44708</v>
          </cell>
          <cell r="B874">
            <v>1.3431469950999999</v>
          </cell>
          <cell r="C874">
            <v>1.3428163903999999</v>
          </cell>
          <cell r="D874">
            <v>1.3434776813</v>
          </cell>
        </row>
        <row r="875">
          <cell r="A875">
            <v>44711</v>
          </cell>
          <cell r="B875">
            <v>1.3436796945</v>
          </cell>
          <cell r="C875">
            <v>1.3433489587</v>
          </cell>
          <cell r="D875">
            <v>1.3440105119000001</v>
          </cell>
        </row>
        <row r="876">
          <cell r="A876">
            <v>44712</v>
          </cell>
          <cell r="B876">
            <v>1.3442126053000001</v>
          </cell>
          <cell r="C876">
            <v>1.3438817382999999</v>
          </cell>
          <cell r="D876">
            <v>1.3445435538999999</v>
          </cell>
        </row>
        <row r="877">
          <cell r="A877">
            <v>44713</v>
          </cell>
          <cell r="B877">
            <v>1.3447457275000001</v>
          </cell>
          <cell r="C877">
            <v>1.3444147291999999</v>
          </cell>
          <cell r="D877">
            <v>1.3450768072999999</v>
          </cell>
        </row>
        <row r="878">
          <cell r="A878">
            <v>44714</v>
          </cell>
          <cell r="B878">
            <v>1.3452790610000001</v>
          </cell>
          <cell r="C878">
            <v>1.3449479314999999</v>
          </cell>
          <cell r="D878">
            <v>1.3456102721000001</v>
          </cell>
        </row>
        <row r="879">
          <cell r="A879">
            <v>44715</v>
          </cell>
          <cell r="B879">
            <v>1.3458126061</v>
          </cell>
          <cell r="C879">
            <v>1.3454813453000001</v>
          </cell>
          <cell r="D879">
            <v>1.3461439486</v>
          </cell>
        </row>
        <row r="880">
          <cell r="A880">
            <v>44718</v>
          </cell>
          <cell r="B880">
            <v>1.3463463628000001</v>
          </cell>
          <cell r="C880">
            <v>1.3460149706</v>
          </cell>
          <cell r="D880">
            <v>1.3466778367000001</v>
          </cell>
        </row>
        <row r="881">
          <cell r="A881">
            <v>44719</v>
          </cell>
          <cell r="B881">
            <v>1.3468803310999999</v>
          </cell>
          <cell r="C881">
            <v>1.3465488075000001</v>
          </cell>
          <cell r="D881">
            <v>1.3472119364999999</v>
          </cell>
        </row>
        <row r="882">
          <cell r="A882">
            <v>44720</v>
          </cell>
          <cell r="B882">
            <v>1.3474145113</v>
          </cell>
          <cell r="C882">
            <v>1.3470828561999999</v>
          </cell>
          <cell r="D882">
            <v>1.3477462482</v>
          </cell>
        </row>
        <row r="883">
          <cell r="A883">
            <v>44721</v>
          </cell>
          <cell r="B883">
            <v>1.3479489034000001</v>
          </cell>
          <cell r="C883">
            <v>1.3476171167</v>
          </cell>
          <cell r="D883">
            <v>1.3482807718000001</v>
          </cell>
        </row>
        <row r="884">
          <cell r="A884">
            <v>44722</v>
          </cell>
          <cell r="B884">
            <v>1.3484835073000001</v>
          </cell>
          <cell r="C884">
            <v>1.3481515891</v>
          </cell>
          <cell r="D884">
            <v>1.3488155073999999</v>
          </cell>
        </row>
        <row r="885">
          <cell r="A885">
            <v>44725</v>
          </cell>
          <cell r="B885">
            <v>1.3490183232999999</v>
          </cell>
          <cell r="C885">
            <v>1.3486862734</v>
          </cell>
          <cell r="D885">
            <v>1.3493504549999999</v>
          </cell>
        </row>
        <row r="886">
          <cell r="A886">
            <v>44726</v>
          </cell>
          <cell r="B886">
            <v>1.3495533514</v>
          </cell>
          <cell r="C886">
            <v>1.3492211698000001</v>
          </cell>
          <cell r="D886">
            <v>1.3498856149</v>
          </cell>
        </row>
        <row r="887">
          <cell r="A887">
            <v>44727</v>
          </cell>
          <cell r="B887">
            <v>1.3500885917000001</v>
          </cell>
          <cell r="C887">
            <v>1.3497562782999999</v>
          </cell>
          <cell r="D887">
            <v>1.3504209868999999</v>
          </cell>
        </row>
        <row r="888">
          <cell r="A888">
            <v>44729</v>
          </cell>
          <cell r="B888">
            <v>1.3506240441999999</v>
          </cell>
          <cell r="C888">
            <v>1.3502915991</v>
          </cell>
          <cell r="D888">
            <v>1.3509565713</v>
          </cell>
        </row>
        <row r="889">
          <cell r="A889">
            <v>44732</v>
          </cell>
          <cell r="B889">
            <v>1.3511597092000001</v>
          </cell>
          <cell r="C889">
            <v>1.3508271322000001</v>
          </cell>
          <cell r="D889">
            <v>1.3514923681</v>
          </cell>
        </row>
        <row r="890">
          <cell r="A890">
            <v>44733</v>
          </cell>
          <cell r="B890">
            <v>1.3516955866</v>
          </cell>
          <cell r="C890">
            <v>1.3513628777</v>
          </cell>
          <cell r="D890">
            <v>1.3520283774999999</v>
          </cell>
        </row>
        <row r="891">
          <cell r="A891">
            <v>44734</v>
          </cell>
          <cell r="B891">
            <v>1.3522316765</v>
          </cell>
          <cell r="C891">
            <v>1.3518988356999999</v>
          </cell>
          <cell r="D891">
            <v>1.3525645994</v>
          </cell>
        </row>
        <row r="892">
          <cell r="A892">
            <v>44735</v>
          </cell>
          <cell r="B892">
            <v>1.352767979</v>
          </cell>
          <cell r="C892">
            <v>1.3524350060999999</v>
          </cell>
          <cell r="D892">
            <v>1.3531010339</v>
          </cell>
        </row>
        <row r="893">
          <cell r="A893">
            <v>44736</v>
          </cell>
          <cell r="B893">
            <v>1.3533044942000001</v>
          </cell>
          <cell r="C893">
            <v>1.3529713892999999</v>
          </cell>
          <cell r="D893">
            <v>1.3536376811999999</v>
          </cell>
        </row>
        <row r="894">
          <cell r="A894">
            <v>44739</v>
          </cell>
          <cell r="B894">
            <v>1.3538412223</v>
          </cell>
          <cell r="C894">
            <v>1.3535079852</v>
          </cell>
          <cell r="D894">
            <v>1.3541745413999999</v>
          </cell>
        </row>
        <row r="895">
          <cell r="A895">
            <v>44740</v>
          </cell>
          <cell r="B895">
            <v>1.3543781632</v>
          </cell>
          <cell r="C895">
            <v>1.354044794</v>
          </cell>
          <cell r="D895">
            <v>1.3547116145</v>
          </cell>
        </row>
        <row r="896">
          <cell r="A896">
            <v>44741</v>
          </cell>
          <cell r="B896">
            <v>1.3549153169999999</v>
          </cell>
          <cell r="C896">
            <v>1.3545818156</v>
          </cell>
          <cell r="D896">
            <v>1.3552489005999999</v>
          </cell>
        </row>
        <row r="897">
          <cell r="A897">
            <v>44742</v>
          </cell>
          <cell r="B897">
            <v>1.3554526838000001</v>
          </cell>
          <cell r="C897">
            <v>1.3551190501000001</v>
          </cell>
          <cell r="D897">
            <v>1.3557863996999999</v>
          </cell>
        </row>
        <row r="898">
          <cell r="A898">
            <v>44743</v>
          </cell>
          <cell r="B898">
            <v>1.3559902639000001</v>
          </cell>
          <cell r="C898">
            <v>1.3556564979000001</v>
          </cell>
          <cell r="D898">
            <v>1.3563241121</v>
          </cell>
        </row>
        <row r="899">
          <cell r="A899">
            <v>44746</v>
          </cell>
          <cell r="B899">
            <v>1.3565318998</v>
          </cell>
          <cell r="C899">
            <v>1.3561980005000001</v>
          </cell>
          <cell r="D899">
            <v>1.3568658814000001</v>
          </cell>
        </row>
        <row r="900">
          <cell r="A900">
            <v>44747</v>
          </cell>
          <cell r="B900">
            <v>1.357073752</v>
          </cell>
          <cell r="C900">
            <v>1.3567397192999999</v>
          </cell>
          <cell r="D900">
            <v>1.357407867</v>
          </cell>
        </row>
        <row r="901">
          <cell r="A901">
            <v>44748</v>
          </cell>
          <cell r="B901">
            <v>1.3576158207</v>
          </cell>
          <cell r="C901">
            <v>1.3572816545999999</v>
          </cell>
          <cell r="D901">
            <v>1.3579500691999999</v>
          </cell>
        </row>
        <row r="902">
          <cell r="A902">
            <v>44749</v>
          </cell>
          <cell r="B902">
            <v>1.3581581059000001</v>
          </cell>
          <cell r="C902">
            <v>1.3578238063000001</v>
          </cell>
          <cell r="D902">
            <v>1.3584924879</v>
          </cell>
        </row>
        <row r="903">
          <cell r="A903">
            <v>44750</v>
          </cell>
          <cell r="B903">
            <v>1.3587006077999999</v>
          </cell>
          <cell r="C903">
            <v>1.3583661746</v>
          </cell>
          <cell r="D903">
            <v>1.3590351233</v>
          </cell>
        </row>
        <row r="904">
          <cell r="A904">
            <v>44753</v>
          </cell>
          <cell r="B904">
            <v>1.3592433262000001</v>
          </cell>
          <cell r="C904">
            <v>1.3589087595</v>
          </cell>
          <cell r="D904">
            <v>1.3595779753999999</v>
          </cell>
        </row>
        <row r="905">
          <cell r="A905">
            <v>44754</v>
          </cell>
          <cell r="B905">
            <v>1.3597862616</v>
          </cell>
          <cell r="C905">
            <v>1.3594515612</v>
          </cell>
          <cell r="D905">
            <v>1.3601210444</v>
          </cell>
        </row>
        <row r="906">
          <cell r="A906">
            <v>44755</v>
          </cell>
          <cell r="B906">
            <v>1.3603294136999999</v>
          </cell>
          <cell r="C906">
            <v>1.3599945796999999</v>
          </cell>
          <cell r="D906">
            <v>1.3606643302999999</v>
          </cell>
        </row>
        <row r="907">
          <cell r="A907">
            <v>44756</v>
          </cell>
          <cell r="B907">
            <v>1.3608727829</v>
          </cell>
          <cell r="C907">
            <v>1.3605378151</v>
          </cell>
          <cell r="D907">
            <v>1.3612078331999999</v>
          </cell>
        </row>
        <row r="908">
          <cell r="A908">
            <v>44757</v>
          </cell>
          <cell r="B908">
            <v>1.3614163690000001</v>
          </cell>
          <cell r="C908">
            <v>1.3610812673999999</v>
          </cell>
          <cell r="D908">
            <v>1.3617515532</v>
          </cell>
        </row>
        <row r="909">
          <cell r="A909">
            <v>44760</v>
          </cell>
          <cell r="B909">
            <v>1.3619601723999999</v>
          </cell>
          <cell r="C909">
            <v>1.3616249369</v>
          </cell>
          <cell r="D909">
            <v>1.3622954904</v>
          </cell>
        </row>
        <row r="910">
          <cell r="A910">
            <v>44761</v>
          </cell>
          <cell r="B910">
            <v>1.3625041928999999</v>
          </cell>
          <cell r="C910">
            <v>1.3621688236</v>
          </cell>
          <cell r="D910">
            <v>1.3628396449</v>
          </cell>
        </row>
        <row r="911">
          <cell r="A911">
            <v>44762</v>
          </cell>
          <cell r="B911">
            <v>1.3630484306999999</v>
          </cell>
          <cell r="C911">
            <v>1.3627129274000001</v>
          </cell>
          <cell r="D911">
            <v>1.3633840167</v>
          </cell>
        </row>
        <row r="912">
          <cell r="A912">
            <v>44763</v>
          </cell>
          <cell r="B912">
            <v>1.3635928859999999</v>
          </cell>
          <cell r="C912">
            <v>1.3632572487000001</v>
          </cell>
          <cell r="D912">
            <v>1.363928606</v>
          </cell>
        </row>
        <row r="913">
          <cell r="A913">
            <v>44764</v>
          </cell>
          <cell r="B913">
            <v>1.3641375587</v>
          </cell>
          <cell r="C913">
            <v>1.3638017872999999</v>
          </cell>
          <cell r="D913">
            <v>1.3644734128</v>
          </cell>
        </row>
        <row r="914">
          <cell r="A914">
            <v>44767</v>
          </cell>
          <cell r="B914">
            <v>1.3646824489</v>
          </cell>
          <cell r="C914">
            <v>1.3643465433999999</v>
          </cell>
          <cell r="D914">
            <v>1.3650184372</v>
          </cell>
        </row>
        <row r="915">
          <cell r="A915">
            <v>44768</v>
          </cell>
          <cell r="B915">
            <v>1.3652275568000001</v>
          </cell>
          <cell r="C915">
            <v>1.3648915171</v>
          </cell>
          <cell r="D915">
            <v>1.3655636793000001</v>
          </cell>
        </row>
        <row r="916">
          <cell r="A916">
            <v>44769</v>
          </cell>
          <cell r="B916">
            <v>1.3657728825</v>
          </cell>
          <cell r="C916">
            <v>1.3654367085000001</v>
          </cell>
          <cell r="D916">
            <v>1.3661091392</v>
          </cell>
        </row>
        <row r="917">
          <cell r="A917">
            <v>44770</v>
          </cell>
          <cell r="B917">
            <v>1.3663184259000001</v>
          </cell>
          <cell r="C917">
            <v>1.3659821177</v>
          </cell>
          <cell r="D917">
            <v>1.3666548169999999</v>
          </cell>
        </row>
        <row r="918">
          <cell r="A918">
            <v>44771</v>
          </cell>
          <cell r="B918">
            <v>1.3668641873</v>
          </cell>
          <cell r="C918">
            <v>1.3665277446999999</v>
          </cell>
          <cell r="D918">
            <v>1.3672007127000001</v>
          </cell>
        </row>
        <row r="919">
          <cell r="A919">
            <v>44774</v>
          </cell>
          <cell r="B919">
            <v>1.3674101666</v>
          </cell>
          <cell r="C919">
            <v>1.3670735896999999</v>
          </cell>
          <cell r="D919">
            <v>1.3677468264999999</v>
          </cell>
        </row>
        <row r="920">
          <cell r="A920">
            <v>44775</v>
          </cell>
          <cell r="B920">
            <v>1.3679563642000001</v>
          </cell>
          <cell r="C920">
            <v>1.3676196528</v>
          </cell>
          <cell r="D920">
            <v>1.3682931585</v>
          </cell>
        </row>
        <row r="921">
          <cell r="A921">
            <v>44776</v>
          </cell>
          <cell r="B921">
            <v>1.3685027797</v>
          </cell>
          <cell r="C921">
            <v>1.3681659339000001</v>
          </cell>
          <cell r="D921">
            <v>1.3688397085999999</v>
          </cell>
        </row>
        <row r="922">
          <cell r="A922">
            <v>44777</v>
          </cell>
          <cell r="B922">
            <v>1.3690494137</v>
          </cell>
          <cell r="C922">
            <v>1.3687124333</v>
          </cell>
          <cell r="D922">
            <v>1.3693864770999999</v>
          </cell>
        </row>
        <row r="923">
          <cell r="A923">
            <v>44778</v>
          </cell>
          <cell r="B923">
            <v>1.3695962659000001</v>
          </cell>
          <cell r="C923">
            <v>1.3692591509000001</v>
          </cell>
          <cell r="D923">
            <v>1.369933464</v>
          </cell>
        </row>
        <row r="924">
          <cell r="A924">
            <v>44781</v>
          </cell>
          <cell r="B924">
            <v>1.3701433366</v>
          </cell>
          <cell r="C924">
            <v>1.369806087</v>
          </cell>
          <cell r="D924">
            <v>1.3704806694</v>
          </cell>
        </row>
        <row r="925">
          <cell r="A925">
            <v>44782</v>
          </cell>
          <cell r="B925">
            <v>1.3706906258</v>
          </cell>
          <cell r="C925">
            <v>1.3703532413999999</v>
          </cell>
          <cell r="D925">
            <v>1.3710280933000001</v>
          </cell>
        </row>
        <row r="926">
          <cell r="A926">
            <v>44783</v>
          </cell>
          <cell r="B926">
            <v>1.3712381335999999</v>
          </cell>
          <cell r="C926">
            <v>1.3709006145</v>
          </cell>
          <cell r="D926">
            <v>1.3715757359</v>
          </cell>
        </row>
        <row r="927">
          <cell r="A927">
            <v>44784</v>
          </cell>
          <cell r="B927">
            <v>1.3717858600999999</v>
          </cell>
          <cell r="C927">
            <v>1.3714482062</v>
          </cell>
          <cell r="D927">
            <v>1.3721235973000001</v>
          </cell>
        </row>
        <row r="928">
          <cell r="A928">
            <v>44785</v>
          </cell>
          <cell r="B928">
            <v>1.3723338054000001</v>
          </cell>
          <cell r="C928">
            <v>1.3719960166</v>
          </cell>
          <cell r="D928">
            <v>1.3726716775000001</v>
          </cell>
        </row>
        <row r="929">
          <cell r="A929">
            <v>44788</v>
          </cell>
          <cell r="B929">
            <v>1.3728819696000001</v>
          </cell>
          <cell r="C929">
            <v>1.3725440458</v>
          </cell>
          <cell r="D929">
            <v>1.3732199765999999</v>
          </cell>
        </row>
        <row r="930">
          <cell r="A930">
            <v>44789</v>
          </cell>
          <cell r="B930">
            <v>1.3734303527</v>
          </cell>
          <cell r="C930">
            <v>1.3730922939000001</v>
          </cell>
          <cell r="D930">
            <v>1.3737684947</v>
          </cell>
        </row>
        <row r="931">
          <cell r="A931">
            <v>44790</v>
          </cell>
          <cell r="B931">
            <v>1.3739789549000001</v>
          </cell>
          <cell r="C931">
            <v>1.3736407611000001</v>
          </cell>
          <cell r="D931">
            <v>1.3743172320000001</v>
          </cell>
        </row>
        <row r="932">
          <cell r="A932">
            <v>44791</v>
          </cell>
          <cell r="B932">
            <v>1.3745277762000001</v>
          </cell>
          <cell r="C932">
            <v>1.3741894473</v>
          </cell>
          <cell r="D932">
            <v>1.3748661884</v>
          </cell>
        </row>
        <row r="933">
          <cell r="A933">
            <v>44792</v>
          </cell>
          <cell r="B933">
            <v>1.3750768167</v>
          </cell>
          <cell r="C933">
            <v>1.3747383527000001</v>
          </cell>
          <cell r="D933">
            <v>1.3754153641</v>
          </cell>
        </row>
        <row r="934">
          <cell r="A934">
            <v>44795</v>
          </cell>
          <cell r="B934">
            <v>1.3756260764999999</v>
          </cell>
          <cell r="C934">
            <v>1.3752874772999999</v>
          </cell>
          <cell r="D934">
            <v>1.3759647590999999</v>
          </cell>
        </row>
        <row r="935">
          <cell r="A935">
            <v>44796</v>
          </cell>
          <cell r="B935">
            <v>1.3761755556999999</v>
          </cell>
          <cell r="C935">
            <v>1.3758368212000001</v>
          </cell>
          <cell r="D935">
            <v>1.3765143736000001</v>
          </cell>
        </row>
        <row r="936">
          <cell r="A936">
            <v>44797</v>
          </cell>
          <cell r="B936">
            <v>1.3767252544999999</v>
          </cell>
          <cell r="C936">
            <v>1.3763863847</v>
          </cell>
          <cell r="D936">
            <v>1.3770642076999999</v>
          </cell>
        </row>
        <row r="937">
          <cell r="A937">
            <v>44798</v>
          </cell>
          <cell r="B937">
            <v>1.3772751727000001</v>
          </cell>
          <cell r="C937">
            <v>1.3769361676</v>
          </cell>
          <cell r="D937">
            <v>1.3776142613</v>
          </cell>
        </row>
        <row r="938">
          <cell r="A938">
            <v>44799</v>
          </cell>
          <cell r="B938">
            <v>1.3778253106</v>
          </cell>
          <cell r="C938">
            <v>1.3774861701000001</v>
          </cell>
          <cell r="D938">
            <v>1.3781645347</v>
          </cell>
        </row>
        <row r="939">
          <cell r="A939">
            <v>44802</v>
          </cell>
          <cell r="B939">
            <v>1.3783756682999999</v>
          </cell>
          <cell r="C939">
            <v>1.3780363923000001</v>
          </cell>
          <cell r="D939">
            <v>1.3787150279</v>
          </cell>
        </row>
        <row r="940">
          <cell r="A940">
            <v>44803</v>
          </cell>
          <cell r="B940">
            <v>1.3789262459</v>
          </cell>
          <cell r="C940">
            <v>1.3785868344000001</v>
          </cell>
          <cell r="D940">
            <v>1.379265741</v>
          </cell>
        </row>
        <row r="941">
          <cell r="A941">
            <v>44804</v>
          </cell>
          <cell r="B941">
            <v>1.3794770433000001</v>
          </cell>
          <cell r="C941">
            <v>1.3791374962</v>
          </cell>
          <cell r="D941">
            <v>1.379816674</v>
          </cell>
        </row>
        <row r="942">
          <cell r="A942">
            <v>44805</v>
          </cell>
          <cell r="B942">
            <v>1.3800280606999999</v>
          </cell>
          <cell r="C942">
            <v>1.379688378</v>
          </cell>
          <cell r="D942">
            <v>1.3803678270999999</v>
          </cell>
        </row>
        <row r="943">
          <cell r="A943">
            <v>44806</v>
          </cell>
          <cell r="B943">
            <v>1.3805792983</v>
          </cell>
          <cell r="C943">
            <v>1.3802394799</v>
          </cell>
          <cell r="D943">
            <v>1.3809192003999999</v>
          </cell>
        </row>
        <row r="944">
          <cell r="A944">
            <v>44809</v>
          </cell>
          <cell r="B944">
            <v>1.3811307559999999</v>
          </cell>
          <cell r="C944">
            <v>1.3807908018999999</v>
          </cell>
          <cell r="D944">
            <v>1.3814707938999999</v>
          </cell>
        </row>
        <row r="945">
          <cell r="A945">
            <v>44810</v>
          </cell>
          <cell r="B945">
            <v>1.381682434</v>
          </cell>
          <cell r="C945">
            <v>1.3813423440999999</v>
          </cell>
          <cell r="D945">
            <v>1.3820226077</v>
          </cell>
        </row>
        <row r="946">
          <cell r="A946">
            <v>44812</v>
          </cell>
          <cell r="B946">
            <v>1.3822343323999999</v>
          </cell>
          <cell r="C946">
            <v>1.3818941065999999</v>
          </cell>
          <cell r="D946">
            <v>1.382574642</v>
          </cell>
        </row>
        <row r="947">
          <cell r="A947">
            <v>44813</v>
          </cell>
          <cell r="B947">
            <v>1.3827864512000001</v>
          </cell>
          <cell r="C947">
            <v>1.3824460894999999</v>
          </cell>
          <cell r="D947">
            <v>1.3831268967000001</v>
          </cell>
        </row>
        <row r="948">
          <cell r="A948">
            <v>44816</v>
          </cell>
          <cell r="B948">
            <v>1.3833387906000001</v>
          </cell>
          <cell r="C948">
            <v>1.382998293</v>
          </cell>
          <cell r="D948">
            <v>1.3836793721</v>
          </cell>
        </row>
        <row r="949">
          <cell r="A949">
            <v>44817</v>
          </cell>
          <cell r="B949">
            <v>1.3838913504999999</v>
          </cell>
          <cell r="C949">
            <v>1.3835507169000001</v>
          </cell>
          <cell r="D949">
            <v>1.3842320681</v>
          </cell>
        </row>
        <row r="950">
          <cell r="A950">
            <v>44818</v>
          </cell>
          <cell r="B950">
            <v>1.3844441312</v>
          </cell>
          <cell r="C950">
            <v>1.3841033616</v>
          </cell>
          <cell r="D950">
            <v>1.3847849849</v>
          </cell>
        </row>
        <row r="951">
          <cell r="A951">
            <v>44819</v>
          </cell>
          <cell r="B951">
            <v>1.3849971327999999</v>
          </cell>
          <cell r="C951">
            <v>1.384656227</v>
          </cell>
          <cell r="D951">
            <v>1.3853381226000001</v>
          </cell>
        </row>
        <row r="952">
          <cell r="A952">
            <v>44820</v>
          </cell>
          <cell r="B952">
            <v>1.3855503551999999</v>
          </cell>
          <cell r="C952">
            <v>1.3852093132000001</v>
          </cell>
          <cell r="D952">
            <v>1.3858914812000001</v>
          </cell>
        </row>
        <row r="953">
          <cell r="A953">
            <v>44823</v>
          </cell>
          <cell r="B953">
            <v>1.3861037985</v>
          </cell>
          <cell r="C953">
            <v>1.3857626203</v>
          </cell>
          <cell r="D953">
            <v>1.3864450608000001</v>
          </cell>
        </row>
        <row r="954">
          <cell r="A954">
            <v>44824</v>
          </cell>
          <cell r="B954">
            <v>1.3866574628999999</v>
          </cell>
          <cell r="C954">
            <v>1.3863161483999999</v>
          </cell>
          <cell r="D954">
            <v>1.3869988615</v>
          </cell>
        </row>
        <row r="955">
          <cell r="A955">
            <v>44825</v>
          </cell>
          <cell r="B955">
            <v>1.3872113484999999</v>
          </cell>
          <cell r="C955">
            <v>1.3868698977</v>
          </cell>
          <cell r="D955">
            <v>1.3875528834999999</v>
          </cell>
        </row>
        <row r="956">
          <cell r="A956">
            <v>44826</v>
          </cell>
          <cell r="B956">
            <v>1.3877654554000001</v>
          </cell>
          <cell r="C956">
            <v>1.3874238682</v>
          </cell>
          <cell r="D956">
            <v>1.3881071268</v>
          </cell>
        </row>
        <row r="957">
          <cell r="A957">
            <v>44827</v>
          </cell>
          <cell r="B957">
            <v>1.3883197835000001</v>
          </cell>
          <cell r="C957">
            <v>1.3879780599</v>
          </cell>
          <cell r="D957">
            <v>1.3886615914</v>
          </cell>
        </row>
        <row r="958">
          <cell r="A958">
            <v>44830</v>
          </cell>
          <cell r="B958">
            <v>1.3888743331</v>
          </cell>
          <cell r="C958">
            <v>1.3885324729999999</v>
          </cell>
          <cell r="D958">
            <v>1.3892162775000001</v>
          </cell>
        </row>
        <row r="959">
          <cell r="A959">
            <v>44831</v>
          </cell>
          <cell r="B959">
            <v>1.3894291042</v>
          </cell>
          <cell r="C959">
            <v>1.3890871075</v>
          </cell>
          <cell r="D959">
            <v>1.3897711852000001</v>
          </cell>
        </row>
        <row r="960">
          <cell r="A960">
            <v>44832</v>
          </cell>
          <cell r="B960">
            <v>1.3899840968999999</v>
          </cell>
          <cell r="C960">
            <v>1.3896419635999999</v>
          </cell>
          <cell r="D960">
            <v>1.3903263145</v>
          </cell>
        </row>
        <row r="961">
          <cell r="A961">
            <v>44833</v>
          </cell>
          <cell r="B961">
            <v>1.3905393113</v>
          </cell>
          <cell r="C961">
            <v>1.3901970413</v>
          </cell>
          <cell r="D961">
            <v>1.3908816656</v>
          </cell>
        </row>
        <row r="962">
          <cell r="A962">
            <v>44834</v>
          </cell>
          <cell r="B962">
            <v>1.3910947473999999</v>
          </cell>
          <cell r="C962">
            <v>1.3907523408</v>
          </cell>
          <cell r="D962">
            <v>1.3914372385</v>
          </cell>
        </row>
        <row r="963">
          <cell r="A963">
            <v>44837</v>
          </cell>
          <cell r="B963">
            <v>1.3916504055000001</v>
          </cell>
          <cell r="C963">
            <v>1.3913078620999999</v>
          </cell>
          <cell r="D963">
            <v>1.3919930333999999</v>
          </cell>
        </row>
        <row r="964">
          <cell r="A964">
            <v>44838</v>
          </cell>
          <cell r="B964">
            <v>1.3921879257000001</v>
          </cell>
          <cell r="C964">
            <v>1.3918452499</v>
          </cell>
          <cell r="D964">
            <v>1.3925306859</v>
          </cell>
        </row>
        <row r="965">
          <cell r="A965">
            <v>44839</v>
          </cell>
          <cell r="B965">
            <v>1.3927256535999999</v>
          </cell>
          <cell r="C965">
            <v>1.3923828455</v>
          </cell>
          <cell r="D965">
            <v>1.3930685462000001</v>
          </cell>
        </row>
        <row r="966">
          <cell r="A966">
            <v>44840</v>
          </cell>
          <cell r="B966">
            <v>1.3932635891</v>
          </cell>
          <cell r="C966">
            <v>1.3929206485000001</v>
          </cell>
          <cell r="D966">
            <v>1.3936066141000001</v>
          </cell>
        </row>
        <row r="967">
          <cell r="A967">
            <v>44841</v>
          </cell>
          <cell r="B967">
            <v>1.3938017325000001</v>
          </cell>
          <cell r="C967">
            <v>1.3934586595</v>
          </cell>
          <cell r="D967">
            <v>1.39414489</v>
          </cell>
        </row>
        <row r="968">
          <cell r="A968">
            <v>44844</v>
          </cell>
          <cell r="B968">
            <v>1.3943400835999999</v>
          </cell>
          <cell r="C968">
            <v>1.3939968781000001</v>
          </cell>
          <cell r="D968">
            <v>1.3946833737</v>
          </cell>
        </row>
        <row r="969">
          <cell r="A969">
            <v>44845</v>
          </cell>
          <cell r="B969">
            <v>1.3948786426999999</v>
          </cell>
          <cell r="C969">
            <v>1.3945353047</v>
          </cell>
          <cell r="D969">
            <v>1.3952220654</v>
          </cell>
        </row>
        <row r="970">
          <cell r="A970">
            <v>44847</v>
          </cell>
          <cell r="B970">
            <v>1.3954174098000001</v>
          </cell>
          <cell r="C970">
            <v>1.3950739391</v>
          </cell>
          <cell r="D970">
            <v>1.3957609651</v>
          </cell>
        </row>
        <row r="971">
          <cell r="A971">
            <v>44848</v>
          </cell>
          <cell r="B971">
            <v>1.3959563851000001</v>
          </cell>
          <cell r="C971">
            <v>1.3956127817999999</v>
          </cell>
          <cell r="D971">
            <v>1.3963000730999999</v>
          </cell>
        </row>
        <row r="972">
          <cell r="A972">
            <v>44851</v>
          </cell>
          <cell r="B972">
            <v>1.3964955684</v>
          </cell>
          <cell r="C972">
            <v>1.3961518324</v>
          </cell>
          <cell r="D972">
            <v>1.3968393891999999</v>
          </cell>
        </row>
        <row r="973">
          <cell r="A973">
            <v>44852</v>
          </cell>
          <cell r="B973">
            <v>1.3970349602000001</v>
          </cell>
          <cell r="C973">
            <v>1.3966910912999999</v>
          </cell>
          <cell r="D973">
            <v>1.3973789136999999</v>
          </cell>
        </row>
        <row r="974">
          <cell r="A974">
            <v>44853</v>
          </cell>
          <cell r="B974">
            <v>1.3975745601</v>
          </cell>
          <cell r="C974">
            <v>1.3972305585</v>
          </cell>
          <cell r="D974">
            <v>1.3979186465</v>
          </cell>
        </row>
        <row r="975">
          <cell r="A975">
            <v>44854</v>
          </cell>
          <cell r="B975">
            <v>1.3981143684999999</v>
          </cell>
          <cell r="C975">
            <v>1.397770234</v>
          </cell>
          <cell r="D975">
            <v>1.3984585878</v>
          </cell>
        </row>
        <row r="976">
          <cell r="A976">
            <v>44855</v>
          </cell>
          <cell r="B976">
            <v>1.3986543854</v>
          </cell>
          <cell r="C976">
            <v>1.3983101179999999</v>
          </cell>
          <cell r="D976">
            <v>1.3989987376999999</v>
          </cell>
        </row>
        <row r="977">
          <cell r="A977">
            <v>44858</v>
          </cell>
          <cell r="B977">
            <v>1.3991946109</v>
          </cell>
          <cell r="C977">
            <v>1.3988502105</v>
          </cell>
          <cell r="D977">
            <v>1.3995390962000001</v>
          </cell>
        </row>
        <row r="978">
          <cell r="A978">
            <v>44859</v>
          </cell>
          <cell r="B978">
            <v>1.3997350450999999</v>
          </cell>
          <cell r="C978">
            <v>1.3993905117000001</v>
          </cell>
          <cell r="D978">
            <v>1.4000796633999999</v>
          </cell>
        </row>
        <row r="979">
          <cell r="A979">
            <v>44860</v>
          </cell>
          <cell r="B979">
            <v>1.400275688</v>
          </cell>
          <cell r="C979">
            <v>1.3999310215</v>
          </cell>
          <cell r="D979">
            <v>1.4006204393999999</v>
          </cell>
        </row>
        <row r="980">
          <cell r="A980">
            <v>44861</v>
          </cell>
          <cell r="B980">
            <v>1.4008165397000001</v>
          </cell>
          <cell r="C980">
            <v>1.4004717401</v>
          </cell>
          <cell r="D980">
            <v>1.4011614242999999</v>
          </cell>
        </row>
        <row r="981">
          <cell r="A981">
            <v>44862</v>
          </cell>
          <cell r="B981">
            <v>1.4013576002999999</v>
          </cell>
          <cell r="C981">
            <v>1.4010126675000001</v>
          </cell>
          <cell r="D981">
            <v>1.4017026181000001</v>
          </cell>
        </row>
        <row r="982">
          <cell r="A982">
            <v>44865</v>
          </cell>
          <cell r="B982">
            <v>1.4018988698999999</v>
          </cell>
          <cell r="C982">
            <v>1.4015538039</v>
          </cell>
          <cell r="D982">
            <v>1.402244021</v>
          </cell>
        </row>
        <row r="983">
          <cell r="A983">
            <v>44866</v>
          </cell>
          <cell r="B983">
            <v>1.4024403486000001</v>
          </cell>
          <cell r="C983">
            <v>1.4020951493</v>
          </cell>
          <cell r="D983">
            <v>1.4027856329999999</v>
          </cell>
        </row>
        <row r="984">
          <cell r="A984">
            <v>44868</v>
          </cell>
          <cell r="B984">
            <v>1.4029820364000001</v>
          </cell>
          <cell r="C984">
            <v>1.4026367037</v>
          </cell>
          <cell r="D984">
            <v>1.4033274541</v>
          </cell>
        </row>
        <row r="985">
          <cell r="A985">
            <v>44869</v>
          </cell>
          <cell r="B985">
            <v>1.4035239334</v>
          </cell>
          <cell r="C985">
            <v>1.4031784674000001</v>
          </cell>
          <cell r="D985">
            <v>1.4038694845999999</v>
          </cell>
        </row>
        <row r="986">
          <cell r="A986">
            <v>44872</v>
          </cell>
          <cell r="B986">
            <v>1.4040660398</v>
          </cell>
          <cell r="C986">
            <v>1.4037204403000001</v>
          </cell>
          <cell r="D986">
            <v>1.4044117244000001</v>
          </cell>
        </row>
        <row r="987">
          <cell r="A987">
            <v>44873</v>
          </cell>
          <cell r="B987">
            <v>1.4046083555</v>
          </cell>
          <cell r="C987">
            <v>1.4042626224999999</v>
          </cell>
          <cell r="D987">
            <v>1.4049541736</v>
          </cell>
        </row>
        <row r="988">
          <cell r="A988">
            <v>44874</v>
          </cell>
          <cell r="B988">
            <v>1.4051508806999999</v>
          </cell>
          <cell r="C988">
            <v>1.4048050141999999</v>
          </cell>
          <cell r="D988">
            <v>1.4054968323999999</v>
          </cell>
        </row>
        <row r="989">
          <cell r="A989">
            <v>44875</v>
          </cell>
          <cell r="B989">
            <v>1.4056936154999999</v>
          </cell>
          <cell r="C989">
            <v>1.4053476154</v>
          </cell>
          <cell r="D989">
            <v>1.4060397008000001</v>
          </cell>
        </row>
        <row r="990">
          <cell r="A990">
            <v>44876</v>
          </cell>
          <cell r="B990">
            <v>1.4062365598</v>
          </cell>
          <cell r="C990">
            <v>1.4058904261</v>
          </cell>
          <cell r="D990">
            <v>1.4065827788</v>
          </cell>
        </row>
        <row r="991">
          <cell r="A991">
            <v>44879</v>
          </cell>
          <cell r="B991">
            <v>1.4067797139</v>
          </cell>
          <cell r="C991">
            <v>1.4064334464999999</v>
          </cell>
          <cell r="D991">
            <v>1.4071260666000001</v>
          </cell>
        </row>
        <row r="992">
          <cell r="A992">
            <v>44881</v>
          </cell>
          <cell r="B992">
            <v>1.4073230778000001</v>
          </cell>
          <cell r="C992">
            <v>1.4069766766</v>
          </cell>
          <cell r="D992">
            <v>1.4076695642999999</v>
          </cell>
        </row>
        <row r="993">
          <cell r="A993">
            <v>44882</v>
          </cell>
          <cell r="B993">
            <v>1.4078666516</v>
          </cell>
          <cell r="C993">
            <v>1.4075201166</v>
          </cell>
          <cell r="D993">
            <v>1.4082132719</v>
          </cell>
        </row>
        <row r="994">
          <cell r="A994">
            <v>44883</v>
          </cell>
          <cell r="B994">
            <v>1.4084104352</v>
          </cell>
          <cell r="C994">
            <v>1.4080637664</v>
          </cell>
          <cell r="D994">
            <v>1.4087571893999999</v>
          </cell>
        </row>
        <row r="995">
          <cell r="A995">
            <v>44886</v>
          </cell>
          <cell r="B995">
            <v>1.4089544289</v>
          </cell>
          <cell r="C995">
            <v>1.4086076263</v>
          </cell>
          <cell r="D995">
            <v>1.4093013171</v>
          </cell>
        </row>
        <row r="996">
          <cell r="A996">
            <v>44887</v>
          </cell>
          <cell r="B996">
            <v>1.4094986328000001</v>
          </cell>
          <cell r="C996">
            <v>1.4091516960999999</v>
          </cell>
          <cell r="D996">
            <v>1.4098456549</v>
          </cell>
        </row>
        <row r="997">
          <cell r="A997">
            <v>44888</v>
          </cell>
          <cell r="B997">
            <v>1.4100430468</v>
          </cell>
          <cell r="C997">
            <v>1.4096959762000001</v>
          </cell>
          <cell r="D997">
            <v>1.410390203</v>
          </cell>
        </row>
        <row r="998">
          <cell r="A998">
            <v>44889</v>
          </cell>
          <cell r="B998">
            <v>1.4105876711000001</v>
          </cell>
          <cell r="C998">
            <v>1.4102404663999999</v>
          </cell>
          <cell r="D998">
            <v>1.4109349614</v>
          </cell>
        </row>
        <row r="999">
          <cell r="A999">
            <v>44890</v>
          </cell>
          <cell r="B999">
            <v>1.4111325058999999</v>
          </cell>
          <cell r="C999">
            <v>1.4107851671</v>
          </cell>
          <cell r="D999">
            <v>1.4114799303000001</v>
          </cell>
        </row>
        <row r="1000">
          <cell r="A1000">
            <v>44893</v>
          </cell>
          <cell r="B1000">
            <v>1.4116775509999999</v>
          </cell>
          <cell r="C1000">
            <v>1.411330078</v>
          </cell>
          <cell r="D1000">
            <v>1.4120251096000001</v>
          </cell>
        </row>
        <row r="1001">
          <cell r="A1001">
            <v>44894</v>
          </cell>
          <cell r="B1001">
            <v>1.4122228067</v>
          </cell>
          <cell r="C1001">
            <v>1.4118751995000001</v>
          </cell>
          <cell r="D1001">
            <v>1.4125704994999999</v>
          </cell>
        </row>
        <row r="1002">
          <cell r="A1002">
            <v>44895</v>
          </cell>
          <cell r="B1002">
            <v>1.4127682729</v>
          </cell>
          <cell r="C1002">
            <v>1.4124205314</v>
          </cell>
          <cell r="D1002">
            <v>1.4131161000000001</v>
          </cell>
        </row>
        <row r="1003">
          <cell r="A1003">
            <v>44896</v>
          </cell>
          <cell r="B1003">
            <v>1.4133139498</v>
          </cell>
          <cell r="C1003">
            <v>1.4129660741000001</v>
          </cell>
          <cell r="D1003">
            <v>1.4136619113</v>
          </cell>
        </row>
        <row r="1004">
          <cell r="A1004">
            <v>44897</v>
          </cell>
          <cell r="B1004">
            <v>1.4138598375</v>
          </cell>
          <cell r="C1004">
            <v>1.4135118274</v>
          </cell>
          <cell r="D1004">
            <v>1.4142079334</v>
          </cell>
        </row>
        <row r="1005">
          <cell r="A1005">
            <v>44900</v>
          </cell>
          <cell r="B1005">
            <v>1.4144059361000001</v>
          </cell>
          <cell r="C1005">
            <v>1.4140577915000001</v>
          </cell>
          <cell r="D1005">
            <v>1.4147541664000001</v>
          </cell>
        </row>
        <row r="1006">
          <cell r="A1006">
            <v>44901</v>
          </cell>
          <cell r="B1006">
            <v>1.4149522456000001</v>
          </cell>
          <cell r="C1006">
            <v>1.4146039666000001</v>
          </cell>
          <cell r="D1006">
            <v>1.4153006104000001</v>
          </cell>
        </row>
        <row r="1007">
          <cell r="A1007">
            <v>44902</v>
          </cell>
          <cell r="B1007">
            <v>1.415498766</v>
          </cell>
          <cell r="C1007">
            <v>1.4151503525</v>
          </cell>
          <cell r="D1007">
            <v>1.4158472654000001</v>
          </cell>
        </row>
        <row r="1008">
          <cell r="A1008">
            <v>44903</v>
          </cell>
          <cell r="B1008">
            <v>1.4160454976000001</v>
          </cell>
          <cell r="C1008">
            <v>1.4156969495</v>
          </cell>
          <cell r="D1008">
            <v>1.4163941315999999</v>
          </cell>
        </row>
        <row r="1009">
          <cell r="A1009">
            <v>44904</v>
          </cell>
          <cell r="B1009">
            <v>1.4165924403000001</v>
          </cell>
          <cell r="C1009">
            <v>1.4162437576</v>
          </cell>
          <cell r="D1009">
            <v>1.416941209</v>
          </cell>
        </row>
        <row r="1010">
          <cell r="A1010">
            <v>44907</v>
          </cell>
          <cell r="B1010">
            <v>1.4171395943</v>
          </cell>
          <cell r="C1010">
            <v>1.4167907769000001</v>
          </cell>
          <cell r="D1010">
            <v>1.4174884977</v>
          </cell>
        </row>
        <row r="1011">
          <cell r="A1011">
            <v>44908</v>
          </cell>
          <cell r="B1011">
            <v>1.4176869596999999</v>
          </cell>
          <cell r="C1011">
            <v>1.4173380074999999</v>
          </cell>
          <cell r="D1011">
            <v>1.4180359977999999</v>
          </cell>
        </row>
        <row r="1012">
          <cell r="A1012">
            <v>44909</v>
          </cell>
          <cell r="B1012">
            <v>1.4182345365</v>
          </cell>
          <cell r="C1012">
            <v>1.4178854495</v>
          </cell>
          <cell r="D1012">
            <v>1.4185837094</v>
          </cell>
        </row>
        <row r="1013">
          <cell r="A1013">
            <v>44910</v>
          </cell>
          <cell r="B1013">
            <v>1.4187823247</v>
          </cell>
          <cell r="C1013">
            <v>1.4184331028999999</v>
          </cell>
          <cell r="D1013">
            <v>1.4191316325000001</v>
          </cell>
        </row>
        <row r="1014">
          <cell r="A1014">
            <v>44911</v>
          </cell>
          <cell r="B1014">
            <v>1.4193303246</v>
          </cell>
          <cell r="C1014">
            <v>1.4189809679000001</v>
          </cell>
          <cell r="D1014">
            <v>1.4196797672999999</v>
          </cell>
        </row>
        <row r="1015">
          <cell r="A1015">
            <v>44914</v>
          </cell>
          <cell r="B1015">
            <v>1.4198785360999999</v>
          </cell>
          <cell r="C1015">
            <v>1.4195290444999999</v>
          </cell>
          <cell r="D1015">
            <v>1.4202281137999999</v>
          </cell>
        </row>
        <row r="1016">
          <cell r="A1016">
            <v>44915</v>
          </cell>
          <cell r="B1016">
            <v>1.4204269594000001</v>
          </cell>
          <cell r="C1016">
            <v>1.4200773328</v>
          </cell>
          <cell r="D1016">
            <v>1.4207766720999999</v>
          </cell>
        </row>
        <row r="1017">
          <cell r="A1017">
            <v>44916</v>
          </cell>
          <cell r="B1017">
            <v>1.4209755944</v>
          </cell>
          <cell r="C1017">
            <v>1.4206258328000001</v>
          </cell>
          <cell r="D1017">
            <v>1.4213254421999999</v>
          </cell>
        </row>
        <row r="1018">
          <cell r="A1018">
            <v>44917</v>
          </cell>
          <cell r="B1018">
            <v>1.4215244413999999</v>
          </cell>
          <cell r="C1018">
            <v>1.4211745446999999</v>
          </cell>
          <cell r="D1018">
            <v>1.4218744243000001</v>
          </cell>
        </row>
        <row r="1019">
          <cell r="A1019">
            <v>44918</v>
          </cell>
          <cell r="B1019">
            <v>1.4220735004</v>
          </cell>
          <cell r="C1019">
            <v>1.4217234685</v>
          </cell>
          <cell r="D1019">
            <v>1.4224236185000001</v>
          </cell>
        </row>
        <row r="1020">
          <cell r="A1020">
            <v>44921</v>
          </cell>
          <cell r="B1020">
            <v>1.4226227714999999</v>
          </cell>
          <cell r="C1020">
            <v>1.4222726044</v>
          </cell>
          <cell r="D1020">
            <v>1.4229730248000001</v>
          </cell>
        </row>
        <row r="1021">
          <cell r="A1021">
            <v>44922</v>
          </cell>
          <cell r="B1021">
            <v>1.4231722546000001</v>
          </cell>
          <cell r="C1021">
            <v>1.4228219523000001</v>
          </cell>
          <cell r="D1021">
            <v>1.4235226432000001</v>
          </cell>
        </row>
        <row r="1022">
          <cell r="A1022">
            <v>44923</v>
          </cell>
          <cell r="B1022">
            <v>1.42372195</v>
          </cell>
          <cell r="C1022">
            <v>1.4233715123999999</v>
          </cell>
          <cell r="D1022">
            <v>1.4240724739999999</v>
          </cell>
        </row>
        <row r="1023">
          <cell r="A1023">
            <v>44924</v>
          </cell>
          <cell r="B1023">
            <v>1.4242718579</v>
          </cell>
          <cell r="C1023">
            <v>1.4239212849</v>
          </cell>
          <cell r="D1023">
            <v>1.4246225172</v>
          </cell>
        </row>
        <row r="1024">
          <cell r="A1024">
            <v>44925</v>
          </cell>
          <cell r="B1024">
            <v>1.424821978</v>
          </cell>
          <cell r="C1024">
            <v>1.4244712696999999</v>
          </cell>
          <cell r="D1024">
            <v>1.4251727728000001</v>
          </cell>
        </row>
        <row r="1025">
          <cell r="A1025">
            <v>44928</v>
          </cell>
          <cell r="B1025">
            <v>1.4253723106</v>
          </cell>
          <cell r="C1025">
            <v>1.4250214668000001</v>
          </cell>
          <cell r="D1025">
            <v>1.4257232409</v>
          </cell>
        </row>
        <row r="1026">
          <cell r="A1026">
            <v>44929</v>
          </cell>
          <cell r="B1026">
            <v>1.4259603819</v>
          </cell>
          <cell r="C1026">
            <v>1.4256093934</v>
          </cell>
          <cell r="D1026">
            <v>1.4263114569999999</v>
          </cell>
        </row>
        <row r="1027">
          <cell r="A1027">
            <v>44930</v>
          </cell>
          <cell r="B1027">
            <v>1.4265486959</v>
          </cell>
          <cell r="C1027">
            <v>1.4261975625000001</v>
          </cell>
          <cell r="D1027">
            <v>1.4268999158</v>
          </cell>
        </row>
        <row r="1028">
          <cell r="A1028">
            <v>44931</v>
          </cell>
          <cell r="B1028">
            <v>1.4271372524999999</v>
          </cell>
          <cell r="C1028">
            <v>1.4267859742</v>
          </cell>
          <cell r="D1028">
            <v>1.4274886173000001</v>
          </cell>
        </row>
        <row r="1029">
          <cell r="A1029">
            <v>44932</v>
          </cell>
          <cell r="B1029">
            <v>1.4277260519999999</v>
          </cell>
          <cell r="C1029">
            <v>1.4273746288</v>
          </cell>
          <cell r="D1029">
            <v>1.4280775617999999</v>
          </cell>
        </row>
        <row r="1030">
          <cell r="A1030">
            <v>44935</v>
          </cell>
          <cell r="B1030">
            <v>1.4283150944</v>
          </cell>
          <cell r="C1030">
            <v>1.4279635262000001</v>
          </cell>
          <cell r="D1030">
            <v>1.4286667492</v>
          </cell>
        </row>
        <row r="1031">
          <cell r="A1031">
            <v>44936</v>
          </cell>
          <cell r="B1031">
            <v>1.4289043798000001</v>
          </cell>
          <cell r="C1031">
            <v>1.4285526665999999</v>
          </cell>
          <cell r="D1031">
            <v>1.4292561797000001</v>
          </cell>
        </row>
        <row r="1032">
          <cell r="A1032">
            <v>44937</v>
          </cell>
          <cell r="B1032">
            <v>1.4294939084</v>
          </cell>
          <cell r="C1032">
            <v>1.4291420501000001</v>
          </cell>
          <cell r="D1032">
            <v>1.4298458534</v>
          </cell>
        </row>
        <row r="1033">
          <cell r="A1033">
            <v>44938</v>
          </cell>
          <cell r="B1033">
            <v>1.4300836802000001</v>
          </cell>
          <cell r="C1033">
            <v>1.4297316766999999</v>
          </cell>
          <cell r="D1033">
            <v>1.4304357703999999</v>
          </cell>
        </row>
        <row r="1034">
          <cell r="A1034">
            <v>44939</v>
          </cell>
          <cell r="B1034">
            <v>1.4306736953000001</v>
          </cell>
          <cell r="C1034">
            <v>1.4303215466000001</v>
          </cell>
          <cell r="D1034">
            <v>1.4310259308</v>
          </cell>
        </row>
        <row r="1035">
          <cell r="A1035">
            <v>44942</v>
          </cell>
          <cell r="B1035">
            <v>1.4312639538</v>
          </cell>
          <cell r="C1035">
            <v>1.4309116598</v>
          </cell>
          <cell r="D1035">
            <v>1.4316163345999999</v>
          </cell>
        </row>
        <row r="1036">
          <cell r="A1036">
            <v>44943</v>
          </cell>
          <cell r="B1036">
            <v>1.4318544557999999</v>
          </cell>
          <cell r="C1036">
            <v>1.4315020165000001</v>
          </cell>
          <cell r="D1036">
            <v>1.4322069820000001</v>
          </cell>
        </row>
        <row r="1037">
          <cell r="A1037">
            <v>44944</v>
          </cell>
          <cell r="B1037">
            <v>1.4324452016</v>
          </cell>
          <cell r="C1037">
            <v>1.4320926168000001</v>
          </cell>
          <cell r="D1037">
            <v>1.4327978732</v>
          </cell>
        </row>
        <row r="1038">
          <cell r="A1038">
            <v>44945</v>
          </cell>
          <cell r="B1038">
            <v>1.433036191</v>
          </cell>
          <cell r="C1038">
            <v>1.4326834607000001</v>
          </cell>
          <cell r="D1038">
            <v>1.4333890081</v>
          </cell>
        </row>
        <row r="1039">
          <cell r="A1039">
            <v>44946</v>
          </cell>
          <cell r="B1039">
            <v>1.4336274242</v>
          </cell>
          <cell r="C1039">
            <v>1.4332745484</v>
          </cell>
          <cell r="D1039">
            <v>1.4339803869000001</v>
          </cell>
        </row>
        <row r="1040">
          <cell r="A1040">
            <v>44949</v>
          </cell>
          <cell r="B1040">
            <v>1.4342189013</v>
          </cell>
          <cell r="C1040">
            <v>1.4338658798999999</v>
          </cell>
          <cell r="D1040">
            <v>1.4345720096000001</v>
          </cell>
        </row>
        <row r="1041">
          <cell r="A1041">
            <v>44950</v>
          </cell>
          <cell r="B1041">
            <v>1.4348106224999999</v>
          </cell>
          <cell r="C1041">
            <v>1.4344574555</v>
          </cell>
          <cell r="D1041">
            <v>1.4351638765000001</v>
          </cell>
        </row>
        <row r="1042">
          <cell r="A1042">
            <v>44951</v>
          </cell>
          <cell r="B1042">
            <v>1.4354025878000001</v>
          </cell>
          <cell r="C1042">
            <v>1.4350492750999999</v>
          </cell>
          <cell r="D1042">
            <v>1.4357559875999999</v>
          </cell>
        </row>
        <row r="1043">
          <cell r="A1043">
            <v>44952</v>
          </cell>
          <cell r="B1043">
            <v>1.4359947973</v>
          </cell>
          <cell r="C1043">
            <v>1.4356413389</v>
          </cell>
          <cell r="D1043">
            <v>1.4363483428999999</v>
          </cell>
        </row>
        <row r="1044">
          <cell r="A1044">
            <v>44953</v>
          </cell>
          <cell r="B1044">
            <v>1.4365872513</v>
          </cell>
          <cell r="C1044">
            <v>1.4362336469999999</v>
          </cell>
          <cell r="D1044">
            <v>1.4369409426999999</v>
          </cell>
        </row>
        <row r="1045">
          <cell r="A1045">
            <v>44956</v>
          </cell>
          <cell r="B1045">
            <v>1.4371799496</v>
          </cell>
          <cell r="C1045">
            <v>1.4368261994</v>
          </cell>
          <cell r="D1045">
            <v>1.4375337869</v>
          </cell>
        </row>
        <row r="1046">
          <cell r="A1046">
            <v>44957</v>
          </cell>
          <cell r="B1046">
            <v>1.4377728923999999</v>
          </cell>
          <cell r="C1046">
            <v>1.4374189961999999</v>
          </cell>
          <cell r="D1046">
            <v>1.4381268757000001</v>
          </cell>
        </row>
        <row r="1047">
          <cell r="A1047">
            <v>44958</v>
          </cell>
          <cell r="B1047">
            <v>1.4383660798</v>
          </cell>
          <cell r="C1047">
            <v>1.4380120377000001</v>
          </cell>
          <cell r="D1047">
            <v>1.4387202092</v>
          </cell>
        </row>
        <row r="1048">
          <cell r="A1048">
            <v>44959</v>
          </cell>
          <cell r="B1048">
            <v>1.4389595120000001</v>
          </cell>
          <cell r="C1048">
            <v>1.4386053238000001</v>
          </cell>
          <cell r="D1048">
            <v>1.4393137874999999</v>
          </cell>
        </row>
        <row r="1049">
          <cell r="A1049">
            <v>44960</v>
          </cell>
          <cell r="B1049">
            <v>1.4395531891</v>
          </cell>
          <cell r="C1049">
            <v>1.4391988547000001</v>
          </cell>
          <cell r="D1049">
            <v>1.4399076107</v>
          </cell>
        </row>
        <row r="1050">
          <cell r="A1050">
            <v>44963</v>
          </cell>
          <cell r="B1050">
            <v>1.4401471109999999</v>
          </cell>
          <cell r="C1050">
            <v>1.4397926304999999</v>
          </cell>
          <cell r="D1050">
            <v>1.4405016789</v>
          </cell>
        </row>
        <row r="1051">
          <cell r="A1051">
            <v>44964</v>
          </cell>
          <cell r="B1051">
            <v>1.440741278</v>
          </cell>
          <cell r="C1051">
            <v>1.4403866513000001</v>
          </cell>
          <cell r="D1051">
            <v>1.4410959922</v>
          </cell>
        </row>
        <row r="1052">
          <cell r="A1052">
            <v>44965</v>
          </cell>
          <cell r="B1052">
            <v>1.4413356902000001</v>
          </cell>
          <cell r="C1052">
            <v>1.4409809171000001</v>
          </cell>
          <cell r="D1052">
            <v>1.4416905507</v>
          </cell>
        </row>
        <row r="1053">
          <cell r="A1053">
            <v>44966</v>
          </cell>
          <cell r="B1053">
            <v>1.4419303476000001</v>
          </cell>
          <cell r="C1053">
            <v>1.4415754280999999</v>
          </cell>
          <cell r="D1053">
            <v>1.4422853545000001</v>
          </cell>
        </row>
        <row r="1054">
          <cell r="A1054">
            <v>44967</v>
          </cell>
          <cell r="B1054">
            <v>1.4425252502999999</v>
          </cell>
          <cell r="C1054">
            <v>1.4421701844000001</v>
          </cell>
          <cell r="D1054">
            <v>1.4428804037</v>
          </cell>
        </row>
        <row r="1055">
          <cell r="A1055">
            <v>44970</v>
          </cell>
          <cell r="B1055">
            <v>1.4431203985000001</v>
          </cell>
          <cell r="C1055">
            <v>1.4427651860999999</v>
          </cell>
          <cell r="D1055">
            <v>1.4434756983999999</v>
          </cell>
        </row>
        <row r="1056">
          <cell r="A1056">
            <v>44971</v>
          </cell>
          <cell r="B1056">
            <v>1.4437157921999999</v>
          </cell>
          <cell r="C1056">
            <v>1.4433604333000001</v>
          </cell>
          <cell r="D1056">
            <v>1.4440712387000001</v>
          </cell>
        </row>
        <row r="1057">
          <cell r="A1057">
            <v>44972</v>
          </cell>
          <cell r="B1057">
            <v>1.4443114316000001</v>
          </cell>
          <cell r="C1057">
            <v>1.4439559259999999</v>
          </cell>
          <cell r="D1057">
            <v>1.4446670247</v>
          </cell>
        </row>
        <row r="1058">
          <cell r="A1058">
            <v>44973</v>
          </cell>
          <cell r="B1058">
            <v>1.4449073166999999</v>
          </cell>
          <cell r="C1058">
            <v>1.4445516644</v>
          </cell>
          <cell r="D1058">
            <v>1.4452630565</v>
          </cell>
        </row>
        <row r="1059">
          <cell r="A1059">
            <v>44974</v>
          </cell>
          <cell r="B1059">
            <v>1.4455034475999999</v>
          </cell>
          <cell r="C1059">
            <v>1.4451476485999999</v>
          </cell>
          <cell r="D1059">
            <v>1.4458593341999999</v>
          </cell>
        </row>
        <row r="1060">
          <cell r="A1060">
            <v>44979</v>
          </cell>
          <cell r="B1060">
            <v>1.4460998246000001</v>
          </cell>
          <cell r="C1060">
            <v>1.4457438788000001</v>
          </cell>
          <cell r="D1060">
            <v>1.446455858</v>
          </cell>
        </row>
        <row r="1061">
          <cell r="A1061">
            <v>44980</v>
          </cell>
          <cell r="B1061">
            <v>1.4466964474999999</v>
          </cell>
          <cell r="C1061">
            <v>1.4463403549</v>
          </cell>
          <cell r="D1061">
            <v>1.4470526278</v>
          </cell>
        </row>
        <row r="1062">
          <cell r="A1062">
            <v>44981</v>
          </cell>
          <cell r="B1062">
            <v>1.4472933164999999</v>
          </cell>
          <cell r="C1062">
            <v>1.4469370770000001</v>
          </cell>
          <cell r="D1062">
            <v>1.4476496437999999</v>
          </cell>
        </row>
        <row r="1063">
          <cell r="A1063">
            <v>44984</v>
          </cell>
          <cell r="B1063">
            <v>1.4478904319000001</v>
          </cell>
          <cell r="C1063">
            <v>1.4475340454000001</v>
          </cell>
          <cell r="D1063">
            <v>1.4482469062000001</v>
          </cell>
        </row>
        <row r="1064">
          <cell r="A1064">
            <v>44985</v>
          </cell>
          <cell r="B1064">
            <v>1.4484877936</v>
          </cell>
          <cell r="C1064">
            <v>1.4481312601</v>
          </cell>
          <cell r="D1064">
            <v>1.4488444149999999</v>
          </cell>
        </row>
        <row r="1065">
          <cell r="A1065">
            <v>44986</v>
          </cell>
          <cell r="B1065">
            <v>1.4490854017999999</v>
          </cell>
          <cell r="C1065">
            <v>1.4487287212</v>
          </cell>
          <cell r="D1065">
            <v>1.4494421703</v>
          </cell>
        </row>
        <row r="1066">
          <cell r="A1066">
            <v>44987</v>
          </cell>
          <cell r="B1066">
            <v>1.4496832565</v>
          </cell>
          <cell r="C1066">
            <v>1.4493264287000001</v>
          </cell>
          <cell r="D1066">
            <v>1.4500401722</v>
          </cell>
        </row>
        <row r="1067">
          <cell r="A1067">
            <v>44988</v>
          </cell>
          <cell r="B1067">
            <v>1.4502813579</v>
          </cell>
          <cell r="C1067">
            <v>1.4499243828999999</v>
          </cell>
          <cell r="D1067">
            <v>1.4506384208000001</v>
          </cell>
        </row>
        <row r="1068">
          <cell r="A1068">
            <v>44991</v>
          </cell>
          <cell r="B1068">
            <v>1.4508797059</v>
          </cell>
          <cell r="C1068">
            <v>1.4505225837</v>
          </cell>
          <cell r="D1068">
            <v>1.4512369162000001</v>
          </cell>
        </row>
        <row r="1069">
          <cell r="A1069">
            <v>44992</v>
          </cell>
          <cell r="B1069">
            <v>1.4514783010000001</v>
          </cell>
          <cell r="C1069">
            <v>1.4511210314</v>
          </cell>
          <cell r="D1069">
            <v>1.4518356586000001</v>
          </cell>
        </row>
        <row r="1070">
          <cell r="A1070">
            <v>44993</v>
          </cell>
          <cell r="B1070">
            <v>1.4520771428999999</v>
          </cell>
          <cell r="C1070">
            <v>1.4517197259000001</v>
          </cell>
          <cell r="D1070">
            <v>1.4524346480000001</v>
          </cell>
        </row>
        <row r="1071">
          <cell r="A1071">
            <v>44994</v>
          </cell>
          <cell r="B1071">
            <v>1.4526762318999999</v>
          </cell>
          <cell r="C1071">
            <v>1.4523186674999999</v>
          </cell>
          <cell r="D1071">
            <v>1.4530338844999999</v>
          </cell>
        </row>
        <row r="1072">
          <cell r="A1072">
            <v>44995</v>
          </cell>
          <cell r="B1072">
            <v>1.4532755682</v>
          </cell>
          <cell r="C1072">
            <v>1.4529178562</v>
          </cell>
          <cell r="D1072">
            <v>1.4536333683</v>
          </cell>
        </row>
        <row r="1073">
          <cell r="A1073">
            <v>44998</v>
          </cell>
          <cell r="B1073">
            <v>1.4538751516999999</v>
          </cell>
          <cell r="C1073">
            <v>1.4535172920999999</v>
          </cell>
          <cell r="D1073">
            <v>1.4542330993999999</v>
          </cell>
        </row>
        <row r="1074">
          <cell r="A1074">
            <v>44999</v>
          </cell>
          <cell r="B1074">
            <v>1.4544749825000001</v>
          </cell>
          <cell r="C1074">
            <v>1.4541169753000001</v>
          </cell>
          <cell r="D1074">
            <v>1.4548330779</v>
          </cell>
        </row>
        <row r="1075">
          <cell r="A1075">
            <v>45000</v>
          </cell>
          <cell r="B1075">
            <v>1.4550750608</v>
          </cell>
          <cell r="C1075">
            <v>1.4547169059</v>
          </cell>
          <cell r="D1075">
            <v>1.455433304</v>
          </cell>
        </row>
        <row r="1076">
          <cell r="A1076">
            <v>45001</v>
          </cell>
          <cell r="B1076">
            <v>1.4556753866000001</v>
          </cell>
          <cell r="C1076">
            <v>1.4553170839</v>
          </cell>
          <cell r="D1076">
            <v>1.4560337776000001</v>
          </cell>
        </row>
        <row r="1077">
          <cell r="A1077">
            <v>45002</v>
          </cell>
          <cell r="B1077">
            <v>1.4562759602999999</v>
          </cell>
          <cell r="C1077">
            <v>1.4559175097999999</v>
          </cell>
          <cell r="D1077">
            <v>1.4566344991</v>
          </cell>
        </row>
        <row r="1078">
          <cell r="A1078">
            <v>45005</v>
          </cell>
          <cell r="B1078">
            <v>1.4568767815999999</v>
          </cell>
          <cell r="C1078">
            <v>1.4565181832</v>
          </cell>
          <cell r="D1078">
            <v>1.4572354684</v>
          </cell>
        </row>
        <row r="1079">
          <cell r="A1079">
            <v>45006</v>
          </cell>
          <cell r="B1079">
            <v>1.4574778508999999</v>
          </cell>
          <cell r="C1079">
            <v>1.4571191045</v>
          </cell>
          <cell r="D1079">
            <v>1.4578366856</v>
          </cell>
        </row>
        <row r="1080">
          <cell r="A1080">
            <v>45007</v>
          </cell>
          <cell r="B1080">
            <v>1.458079168</v>
          </cell>
          <cell r="C1080">
            <v>1.4577202736999999</v>
          </cell>
          <cell r="D1080">
            <v>1.4584381507999999</v>
          </cell>
        </row>
        <row r="1081">
          <cell r="A1081">
            <v>45008</v>
          </cell>
          <cell r="B1081">
            <v>1.4586807334</v>
          </cell>
          <cell r="C1081">
            <v>1.4583216910000001</v>
          </cell>
          <cell r="D1081">
            <v>1.4590398643</v>
          </cell>
        </row>
        <row r="1082">
          <cell r="A1082">
            <v>45009</v>
          </cell>
          <cell r="B1082">
            <v>1.4592825467999999</v>
          </cell>
          <cell r="C1082">
            <v>1.4589233562999999</v>
          </cell>
          <cell r="D1082">
            <v>1.4596418258999999</v>
          </cell>
        </row>
        <row r="1083">
          <cell r="A1083">
            <v>45012</v>
          </cell>
          <cell r="B1083">
            <v>1.4598846085999999</v>
          </cell>
          <cell r="C1083">
            <v>1.4595252699000001</v>
          </cell>
          <cell r="D1083">
            <v>1.4602440359</v>
          </cell>
        </row>
        <row r="1084">
          <cell r="A1084">
            <v>45013</v>
          </cell>
          <cell r="B1084">
            <v>1.4604869188</v>
          </cell>
          <cell r="C1084">
            <v>1.4601274317999999</v>
          </cell>
          <cell r="D1084">
            <v>1.4608464943999999</v>
          </cell>
        </row>
        <row r="1085">
          <cell r="A1085">
            <v>45014</v>
          </cell>
          <cell r="B1085">
            <v>1.4610894775000001</v>
          </cell>
          <cell r="C1085">
            <v>1.4607298421999999</v>
          </cell>
          <cell r="D1085">
            <v>1.4614492014</v>
          </cell>
        </row>
        <row r="1086">
          <cell r="A1086">
            <v>45015</v>
          </cell>
          <cell r="B1086">
            <v>1.4616922848</v>
          </cell>
          <cell r="C1086">
            <v>1.4613325011</v>
          </cell>
          <cell r="D1086">
            <v>1.4620521571</v>
          </cell>
        </row>
        <row r="1087">
          <cell r="A1087">
            <v>45016</v>
          </cell>
          <cell r="B1087">
            <v>1.4622953407999999</v>
          </cell>
          <cell r="C1087">
            <v>1.4619354087</v>
          </cell>
          <cell r="D1087">
            <v>1.4626553616</v>
          </cell>
        </row>
        <row r="1088">
          <cell r="A1088">
            <v>45019</v>
          </cell>
          <cell r="B1088">
            <v>1.4628986454999999</v>
          </cell>
          <cell r="C1088">
            <v>1.4625385649</v>
          </cell>
          <cell r="D1088">
            <v>1.4632588149000001</v>
          </cell>
        </row>
        <row r="1089">
          <cell r="A1089">
            <v>45020</v>
          </cell>
          <cell r="B1089">
            <v>1.4634714744999999</v>
          </cell>
          <cell r="C1089">
            <v>1.4631112529000001</v>
          </cell>
          <cell r="D1089">
            <v>1.4638317849</v>
          </cell>
        </row>
        <row r="1090">
          <cell r="A1090">
            <v>45021</v>
          </cell>
          <cell r="B1090">
            <v>1.4640445277</v>
          </cell>
          <cell r="C1090">
            <v>1.4636841650000001</v>
          </cell>
          <cell r="D1090">
            <v>1.4644049792</v>
          </cell>
        </row>
        <row r="1091">
          <cell r="A1091">
            <v>45022</v>
          </cell>
          <cell r="B1091">
            <v>1.4646178054000001</v>
          </cell>
          <cell r="C1091">
            <v>1.4642573016</v>
          </cell>
          <cell r="D1091">
            <v>1.464978398</v>
          </cell>
        </row>
        <row r="1092">
          <cell r="A1092">
            <v>45026</v>
          </cell>
          <cell r="B1092">
            <v>1.4651913075</v>
          </cell>
          <cell r="C1092">
            <v>1.4648306625</v>
          </cell>
          <cell r="D1092">
            <v>1.4655520413000001</v>
          </cell>
        </row>
        <row r="1093">
          <cell r="A1093">
            <v>45027</v>
          </cell>
          <cell r="B1093">
            <v>1.4657650340999999</v>
          </cell>
          <cell r="C1093">
            <v>1.465404248</v>
          </cell>
          <cell r="D1093">
            <v>1.4661259092000001</v>
          </cell>
        </row>
        <row r="1094">
          <cell r="A1094">
            <v>45028</v>
          </cell>
          <cell r="B1094">
            <v>1.4663389855</v>
          </cell>
          <cell r="C1094">
            <v>1.4659780580999999</v>
          </cell>
          <cell r="D1094">
            <v>1.4667000019</v>
          </cell>
        </row>
        <row r="1095">
          <cell r="A1095">
            <v>45029</v>
          </cell>
          <cell r="B1095">
            <v>1.4669131616</v>
          </cell>
          <cell r="C1095">
            <v>1.4665520928</v>
          </cell>
          <cell r="D1095">
            <v>1.4672743193</v>
          </cell>
        </row>
        <row r="1096">
          <cell r="A1096">
            <v>45030</v>
          </cell>
          <cell r="B1096">
            <v>1.4674875623999999</v>
          </cell>
          <cell r="C1096">
            <v>1.4671263523</v>
          </cell>
          <cell r="D1096">
            <v>1.4678488616000001</v>
          </cell>
        </row>
        <row r="1097">
          <cell r="A1097">
            <v>45033</v>
          </cell>
          <cell r="B1097">
            <v>1.4680621883</v>
          </cell>
          <cell r="C1097">
            <v>1.4677008367</v>
          </cell>
          <cell r="D1097">
            <v>1.4684236289000001</v>
          </cell>
        </row>
        <row r="1098">
          <cell r="A1098">
            <v>45034</v>
          </cell>
          <cell r="B1098">
            <v>1.4686370391000001</v>
          </cell>
          <cell r="C1098">
            <v>1.4682755461000001</v>
          </cell>
          <cell r="D1098">
            <v>1.4689986212999999</v>
          </cell>
        </row>
        <row r="1099">
          <cell r="A1099">
            <v>45035</v>
          </cell>
          <cell r="B1099">
            <v>1.4692121150999999</v>
          </cell>
          <cell r="C1099">
            <v>1.4688504804</v>
          </cell>
          <cell r="D1099">
            <v>1.4695738387999999</v>
          </cell>
        </row>
        <row r="1100">
          <cell r="A1100">
            <v>45036</v>
          </cell>
          <cell r="B1100">
            <v>1.4697874161</v>
          </cell>
          <cell r="C1100">
            <v>1.4694256399000001</v>
          </cell>
          <cell r="D1100">
            <v>1.4701492814999999</v>
          </cell>
        </row>
        <row r="1101">
          <cell r="A1101">
            <v>45040</v>
          </cell>
          <cell r="B1101">
            <v>1.4703629425</v>
          </cell>
          <cell r="C1101">
            <v>1.4700010245999999</v>
          </cell>
          <cell r="D1101">
            <v>1.4707249496000001</v>
          </cell>
        </row>
        <row r="1102">
          <cell r="A1102">
            <v>45041</v>
          </cell>
          <cell r="B1102">
            <v>1.4709386943</v>
          </cell>
          <cell r="C1102">
            <v>1.4705766346</v>
          </cell>
          <cell r="D1102">
            <v>1.4713008431000001</v>
          </cell>
        </row>
        <row r="1103">
          <cell r="A1103">
            <v>45042</v>
          </cell>
          <cell r="B1103">
            <v>1.4715146715</v>
          </cell>
          <cell r="C1103">
            <v>1.4711524701000001</v>
          </cell>
          <cell r="D1103">
            <v>1.4718769621000001</v>
          </cell>
        </row>
        <row r="1104">
          <cell r="A1104">
            <v>45043</v>
          </cell>
          <cell r="B1104">
            <v>1.4720908742000001</v>
          </cell>
          <cell r="C1104">
            <v>1.4717285309999999</v>
          </cell>
          <cell r="D1104">
            <v>1.4724533067000001</v>
          </cell>
        </row>
        <row r="1105">
          <cell r="A1105">
            <v>45044</v>
          </cell>
          <cell r="B1105">
            <v>1.4726673025999999</v>
          </cell>
          <cell r="C1105">
            <v>1.4723048175</v>
          </cell>
          <cell r="D1105">
            <v>1.4730298770000001</v>
          </cell>
        </row>
        <row r="1106">
          <cell r="A1106">
            <v>45048</v>
          </cell>
          <cell r="B1106">
            <v>1.4732439566</v>
          </cell>
          <cell r="C1106">
            <v>1.4728813296000001</v>
          </cell>
          <cell r="D1106">
            <v>1.4736066729999999</v>
          </cell>
        </row>
        <row r="1107">
          <cell r="A1107">
            <v>45049</v>
          </cell>
          <cell r="B1107">
            <v>1.4738208365000001</v>
          </cell>
          <cell r="C1107">
            <v>1.4734580674</v>
          </cell>
          <cell r="D1107">
            <v>1.4741836949</v>
          </cell>
        </row>
        <row r="1108">
          <cell r="A1108">
            <v>45050</v>
          </cell>
          <cell r="B1108">
            <v>1.4743979422</v>
          </cell>
          <cell r="C1108">
            <v>1.4740350310999999</v>
          </cell>
          <cell r="D1108">
            <v>1.4747609426999999</v>
          </cell>
        </row>
        <row r="1109">
          <cell r="A1109">
            <v>45051</v>
          </cell>
          <cell r="B1109">
            <v>1.4749752739999999</v>
          </cell>
          <cell r="C1109">
            <v>1.4746122208000001</v>
          </cell>
          <cell r="D1109">
            <v>1.4753384166000001</v>
          </cell>
        </row>
        <row r="1110">
          <cell r="A1110">
            <v>45054</v>
          </cell>
          <cell r="B1110">
            <v>1.4755528318</v>
          </cell>
          <cell r="C1110">
            <v>1.4751896363999999</v>
          </cell>
          <cell r="D1110">
            <v>1.4759161166000001</v>
          </cell>
        </row>
        <row r="1111">
          <cell r="A1111">
            <v>45055</v>
          </cell>
          <cell r="B1111">
            <v>1.4761306157</v>
          </cell>
          <cell r="C1111">
            <v>1.4757672781</v>
          </cell>
          <cell r="D1111">
            <v>1.4764940428</v>
          </cell>
        </row>
        <row r="1112">
          <cell r="A1112">
            <v>45056</v>
          </cell>
          <cell r="B1112">
            <v>1.4767086259</v>
          </cell>
          <cell r="C1112">
            <v>1.4763451460999999</v>
          </cell>
          <cell r="D1112">
            <v>1.4770721952999999</v>
          </cell>
        </row>
        <row r="1113">
          <cell r="A1113">
            <v>45057</v>
          </cell>
          <cell r="B1113">
            <v>1.4772868624</v>
          </cell>
          <cell r="C1113">
            <v>1.4769232403000001</v>
          </cell>
          <cell r="D1113">
            <v>1.4776505741999999</v>
          </cell>
        </row>
        <row r="1114">
          <cell r="A1114">
            <v>45058</v>
          </cell>
          <cell r="B1114">
            <v>1.4778653253</v>
          </cell>
          <cell r="C1114">
            <v>1.4775015607999999</v>
          </cell>
          <cell r="D1114">
            <v>1.4782291795</v>
          </cell>
        </row>
        <row r="1115">
          <cell r="A1115">
            <v>45061</v>
          </cell>
          <cell r="B1115">
            <v>1.4784440148</v>
          </cell>
          <cell r="C1115">
            <v>1.4780801078000001</v>
          </cell>
          <cell r="D1115">
            <v>1.4788080115</v>
          </cell>
        </row>
        <row r="1116">
          <cell r="A1116">
            <v>45062</v>
          </cell>
          <cell r="B1116">
            <v>1.4790229309</v>
          </cell>
          <cell r="C1116">
            <v>1.4786588813999999</v>
          </cell>
          <cell r="D1116">
            <v>1.4793870701</v>
          </cell>
        </row>
        <row r="1117">
          <cell r="A1117">
            <v>45063</v>
          </cell>
          <cell r="B1117">
            <v>1.4796020736</v>
          </cell>
          <cell r="C1117">
            <v>1.4792378816</v>
          </cell>
          <cell r="D1117">
            <v>1.4799663554</v>
          </cell>
        </row>
        <row r="1118">
          <cell r="A1118">
            <v>45064</v>
          </cell>
          <cell r="B1118">
            <v>1.4801814431</v>
          </cell>
          <cell r="C1118">
            <v>1.4798171084</v>
          </cell>
          <cell r="D1118">
            <v>1.4805458675000001</v>
          </cell>
        </row>
        <row r="1119">
          <cell r="A1119">
            <v>45065</v>
          </cell>
          <cell r="B1119">
            <v>1.4807610394999999</v>
          </cell>
          <cell r="C1119">
            <v>1.4803965621999999</v>
          </cell>
          <cell r="D1119">
            <v>1.4811256066</v>
          </cell>
        </row>
        <row r="1120">
          <cell r="A1120">
            <v>45068</v>
          </cell>
          <cell r="B1120">
            <v>1.4813408628</v>
          </cell>
          <cell r="C1120">
            <v>1.4809762428</v>
          </cell>
          <cell r="D1120">
            <v>1.4817055726999999</v>
          </cell>
        </row>
        <row r="1121">
          <cell r="A1121">
            <v>45069</v>
          </cell>
          <cell r="B1121">
            <v>1.4819209132</v>
          </cell>
          <cell r="C1121">
            <v>1.4815561504000001</v>
          </cell>
          <cell r="D1121">
            <v>1.4822857658999999</v>
          </cell>
        </row>
        <row r="1122">
          <cell r="A1122">
            <v>45070</v>
          </cell>
          <cell r="B1122">
            <v>1.4825011908000001</v>
          </cell>
          <cell r="C1122">
            <v>1.4821362851</v>
          </cell>
          <cell r="D1122">
            <v>1.4828661863000001</v>
          </cell>
        </row>
        <row r="1123">
          <cell r="A1123">
            <v>45071</v>
          </cell>
          <cell r="B1123">
            <v>1.4830816953999999</v>
          </cell>
          <cell r="C1123">
            <v>1.4827166468999999</v>
          </cell>
          <cell r="D1123">
            <v>1.4834468339</v>
          </cell>
        </row>
        <row r="1124">
          <cell r="A1124">
            <v>45072</v>
          </cell>
          <cell r="B1124">
            <v>1.4836624275000001</v>
          </cell>
          <cell r="C1124">
            <v>1.4832972360000001</v>
          </cell>
          <cell r="D1124">
            <v>1.4840277089</v>
          </cell>
        </row>
        <row r="1125">
          <cell r="A1125">
            <v>45075</v>
          </cell>
          <cell r="B1125">
            <v>1.4842433869</v>
          </cell>
          <cell r="C1125">
            <v>1.4838780524999999</v>
          </cell>
          <cell r="D1125">
            <v>1.4846088114</v>
          </cell>
        </row>
        <row r="1126">
          <cell r="A1126">
            <v>45076</v>
          </cell>
          <cell r="B1126">
            <v>1.4848245738000001</v>
          </cell>
          <cell r="C1126">
            <v>1.4844590962999999</v>
          </cell>
          <cell r="D1126">
            <v>1.4851901413999999</v>
          </cell>
        </row>
        <row r="1127">
          <cell r="A1127">
            <v>45077</v>
          </cell>
          <cell r="B1127">
            <v>1.4854059883999999</v>
          </cell>
          <cell r="C1127">
            <v>1.4850403677999999</v>
          </cell>
          <cell r="D1127">
            <v>1.4857716991000001</v>
          </cell>
        </row>
        <row r="1128">
          <cell r="A1128">
            <v>45078</v>
          </cell>
          <cell r="B1128">
            <v>1.4859876304999999</v>
          </cell>
          <cell r="C1128">
            <v>1.4856218667000001</v>
          </cell>
          <cell r="D1128">
            <v>1.4863534843999999</v>
          </cell>
        </row>
        <row r="1129">
          <cell r="A1129">
            <v>45079</v>
          </cell>
          <cell r="B1129">
            <v>1.4865695003999999</v>
          </cell>
          <cell r="C1129">
            <v>1.4862035934</v>
          </cell>
          <cell r="D1129">
            <v>1.4869354976</v>
          </cell>
        </row>
        <row r="1130">
          <cell r="A1130">
            <v>45082</v>
          </cell>
          <cell r="B1130">
            <v>1.4871515982000001</v>
          </cell>
          <cell r="C1130">
            <v>1.4867855479000001</v>
          </cell>
          <cell r="D1130">
            <v>1.4875177387</v>
          </cell>
        </row>
        <row r="1131">
          <cell r="A1131">
            <v>45083</v>
          </cell>
          <cell r="B1131">
            <v>1.4877339238</v>
          </cell>
          <cell r="C1131">
            <v>1.4873677301999999</v>
          </cell>
          <cell r="D1131">
            <v>1.4881002077000001</v>
          </cell>
        </row>
        <row r="1132">
          <cell r="A1132">
            <v>45084</v>
          </cell>
          <cell r="B1132">
            <v>1.4883164776</v>
          </cell>
          <cell r="C1132">
            <v>1.4879501406</v>
          </cell>
          <cell r="D1132">
            <v>1.4886829049000001</v>
          </cell>
        </row>
        <row r="1133">
          <cell r="A1133">
            <v>45086</v>
          </cell>
          <cell r="B1133">
            <v>1.4888992593999999</v>
          </cell>
          <cell r="C1133">
            <v>1.488532779</v>
          </cell>
          <cell r="D1133">
            <v>1.4892658301999999</v>
          </cell>
        </row>
        <row r="1134">
          <cell r="A1134">
            <v>45089</v>
          </cell>
          <cell r="B1134">
            <v>1.4894822694000001</v>
          </cell>
          <cell r="C1134">
            <v>1.4891156454000001</v>
          </cell>
          <cell r="D1134">
            <v>1.4898489837</v>
          </cell>
        </row>
        <row r="1135">
          <cell r="A1135">
            <v>45090</v>
          </cell>
          <cell r="B1135">
            <v>1.4900655078</v>
          </cell>
          <cell r="C1135">
            <v>1.4896987402999999</v>
          </cell>
          <cell r="D1135">
            <v>1.4904323657</v>
          </cell>
        </row>
        <row r="1136">
          <cell r="A1136">
            <v>45091</v>
          </cell>
          <cell r="B1136">
            <v>1.4906489744</v>
          </cell>
          <cell r="C1136">
            <v>1.4902820633</v>
          </cell>
          <cell r="D1136">
            <v>1.4910159759999999</v>
          </cell>
        </row>
        <row r="1137">
          <cell r="A1137">
            <v>45092</v>
          </cell>
          <cell r="B1137">
            <v>1.4912326696</v>
          </cell>
          <cell r="C1137">
            <v>1.4908656147999999</v>
          </cell>
          <cell r="D1137">
            <v>1.4915998149</v>
          </cell>
        </row>
        <row r="1138">
          <cell r="A1138">
            <v>45093</v>
          </cell>
          <cell r="B1138">
            <v>1.4918165934000001</v>
          </cell>
          <cell r="C1138">
            <v>1.4914493948000001</v>
          </cell>
          <cell r="D1138">
            <v>1.4921838824</v>
          </cell>
        </row>
        <row r="1139">
          <cell r="A1139">
            <v>45096</v>
          </cell>
          <cell r="B1139">
            <v>1.4924007456999999</v>
          </cell>
          <cell r="C1139">
            <v>1.4920334033</v>
          </cell>
          <cell r="D1139">
            <v>1.4927681785</v>
          </cell>
        </row>
        <row r="1140">
          <cell r="A1140">
            <v>45097</v>
          </cell>
          <cell r="B1140">
            <v>1.4929851268000001</v>
          </cell>
          <cell r="C1140">
            <v>1.4926176406</v>
          </cell>
          <cell r="D1140">
            <v>1.4933527035</v>
          </cell>
        </row>
        <row r="1141">
          <cell r="A1141">
            <v>45098</v>
          </cell>
          <cell r="B1141">
            <v>1.4935697367</v>
          </cell>
          <cell r="C1141">
            <v>1.4932021067000001</v>
          </cell>
          <cell r="D1141">
            <v>1.4939374573999999</v>
          </cell>
        </row>
        <row r="1142">
          <cell r="A1142">
            <v>45099</v>
          </cell>
          <cell r="B1142">
            <v>1.4941545756000001</v>
          </cell>
          <cell r="C1142">
            <v>1.4937868015</v>
          </cell>
          <cell r="D1142">
            <v>1.4945224401999999</v>
          </cell>
        </row>
        <row r="1143">
          <cell r="A1143">
            <v>45100</v>
          </cell>
          <cell r="B1143">
            <v>1.4947396434</v>
          </cell>
          <cell r="C1143">
            <v>1.4943717254</v>
          </cell>
          <cell r="D1143">
            <v>1.4951076521</v>
          </cell>
        </row>
        <row r="1144">
          <cell r="A1144">
            <v>45103</v>
          </cell>
          <cell r="B1144">
            <v>1.4953249404</v>
          </cell>
          <cell r="C1144">
            <v>1.4949568783</v>
          </cell>
          <cell r="D1144">
            <v>1.4956930932000001</v>
          </cell>
        </row>
        <row r="1145">
          <cell r="A1145">
            <v>45104</v>
          </cell>
          <cell r="B1145">
            <v>1.4959104666</v>
          </cell>
          <cell r="C1145">
            <v>1.4955422602999999</v>
          </cell>
          <cell r="D1145">
            <v>1.4962787635000001</v>
          </cell>
        </row>
        <row r="1146">
          <cell r="A1146">
            <v>45105</v>
          </cell>
          <cell r="B1146">
            <v>1.4964962219</v>
          </cell>
          <cell r="C1146">
            <v>1.4961278714999999</v>
          </cell>
          <cell r="D1146">
            <v>1.4968646631</v>
          </cell>
        </row>
        <row r="1147">
          <cell r="A1147">
            <v>45106</v>
          </cell>
          <cell r="B1147">
            <v>1.4970822068</v>
          </cell>
          <cell r="C1147">
            <v>1.4967137121</v>
          </cell>
          <cell r="D1147">
            <v>1.4974507922</v>
          </cell>
        </row>
        <row r="1148">
          <cell r="A1148">
            <v>45107</v>
          </cell>
          <cell r="B1148">
            <v>1.4976684209</v>
          </cell>
          <cell r="C1148">
            <v>1.497299782</v>
          </cell>
          <cell r="D1148">
            <v>1.4980371507000001</v>
          </cell>
        </row>
        <row r="1149">
          <cell r="A1149">
            <v>45110</v>
          </cell>
          <cell r="B1149">
            <v>1.4982548648</v>
          </cell>
          <cell r="C1149">
            <v>1.4978860814999999</v>
          </cell>
          <cell r="D1149">
            <v>1.4986237388999999</v>
          </cell>
        </row>
        <row r="1150">
          <cell r="A1150">
            <v>45111</v>
          </cell>
          <cell r="B1150">
            <v>1.4988667685999999</v>
          </cell>
          <cell r="C1150">
            <v>1.4984978347</v>
          </cell>
          <cell r="D1150">
            <v>1.4992357934</v>
          </cell>
        </row>
        <row r="1151">
          <cell r="A1151">
            <v>45112</v>
          </cell>
          <cell r="B1151">
            <v>1.4994789224</v>
          </cell>
          <cell r="C1151">
            <v>1.4991098378000001</v>
          </cell>
          <cell r="D1151">
            <v>1.4998480979</v>
          </cell>
        </row>
        <row r="1152">
          <cell r="A1152">
            <v>45113</v>
          </cell>
          <cell r="B1152">
            <v>1.5000913262</v>
          </cell>
          <cell r="C1152">
            <v>1.4997220909</v>
          </cell>
          <cell r="D1152">
            <v>1.5004606524999999</v>
          </cell>
        </row>
        <row r="1153">
          <cell r="A1153">
            <v>45114</v>
          </cell>
          <cell r="B1153">
            <v>1.5007039800999999</v>
          </cell>
          <cell r="C1153">
            <v>1.5003345939999999</v>
          </cell>
          <cell r="D1153">
            <v>1.5010734572</v>
          </cell>
        </row>
        <row r="1154">
          <cell r="A1154">
            <v>45117</v>
          </cell>
          <cell r="B1154">
            <v>1.5013168843</v>
          </cell>
          <cell r="C1154">
            <v>1.5009473472999999</v>
          </cell>
          <cell r="D1154">
            <v>1.5016865123000001</v>
          </cell>
        </row>
        <row r="1155">
          <cell r="A1155">
            <v>45118</v>
          </cell>
          <cell r="B1155">
            <v>1.5019300387000001</v>
          </cell>
          <cell r="C1155">
            <v>1.5015603507999999</v>
          </cell>
          <cell r="D1155">
            <v>1.5022998177</v>
          </cell>
        </row>
        <row r="1156">
          <cell r="A1156">
            <v>45119</v>
          </cell>
          <cell r="B1156">
            <v>1.5025434435</v>
          </cell>
          <cell r="C1156">
            <v>1.5021736046</v>
          </cell>
          <cell r="D1156">
            <v>1.5029133735</v>
          </cell>
        </row>
        <row r="1157">
          <cell r="A1157">
            <v>45120</v>
          </cell>
          <cell r="B1157">
            <v>1.5031570989</v>
          </cell>
          <cell r="C1157">
            <v>1.502787109</v>
          </cell>
          <cell r="D1157">
            <v>1.5035271800000001</v>
          </cell>
        </row>
        <row r="1158">
          <cell r="A1158">
            <v>45121</v>
          </cell>
          <cell r="B1158">
            <v>1.5037710049999999</v>
          </cell>
          <cell r="C1158">
            <v>1.5034008639000001</v>
          </cell>
          <cell r="D1158">
            <v>1.5041412372</v>
          </cell>
        </row>
        <row r="1159">
          <cell r="A1159">
            <v>45124</v>
          </cell>
          <cell r="B1159">
            <v>1.5043851616999999</v>
          </cell>
          <cell r="C1159">
            <v>1.5040148695</v>
          </cell>
          <cell r="D1159">
            <v>1.5047555451000001</v>
          </cell>
        </row>
        <row r="1160">
          <cell r="A1160">
            <v>45125</v>
          </cell>
          <cell r="B1160">
            <v>1.5049995692</v>
          </cell>
          <cell r="C1160">
            <v>1.5046291258</v>
          </cell>
          <cell r="D1160">
            <v>1.5053701039</v>
          </cell>
        </row>
        <row r="1161">
          <cell r="A1161">
            <v>45126</v>
          </cell>
          <cell r="B1161">
            <v>1.5056142278</v>
          </cell>
          <cell r="C1161">
            <v>1.5052436330000001</v>
          </cell>
          <cell r="D1161">
            <v>1.5059849138000001</v>
          </cell>
        </row>
        <row r="1162">
          <cell r="A1162">
            <v>45127</v>
          </cell>
          <cell r="B1162">
            <v>1.5062291373000001</v>
          </cell>
          <cell r="C1162">
            <v>1.5058583912000001</v>
          </cell>
          <cell r="D1162">
            <v>1.5065999747000001</v>
          </cell>
        </row>
        <row r="1163">
          <cell r="A1163">
            <v>45128</v>
          </cell>
          <cell r="B1163">
            <v>1.5068442979000001</v>
          </cell>
          <cell r="C1163">
            <v>1.5064734004</v>
          </cell>
          <cell r="D1163">
            <v>1.5072152867999999</v>
          </cell>
        </row>
        <row r="1164">
          <cell r="A1164">
            <v>45131</v>
          </cell>
          <cell r="B1164">
            <v>1.5074597098</v>
          </cell>
          <cell r="C1164">
            <v>1.5070886608</v>
          </cell>
          <cell r="D1164">
            <v>1.5078308502</v>
          </cell>
        </row>
        <row r="1165">
          <cell r="A1165">
            <v>45132</v>
          </cell>
          <cell r="B1165">
            <v>1.5080753730000001</v>
          </cell>
          <cell r="C1165">
            <v>1.5077041725</v>
          </cell>
          <cell r="D1165">
            <v>1.5084466649999999</v>
          </cell>
        </row>
        <row r="1166">
          <cell r="A1166">
            <v>45133</v>
          </cell>
          <cell r="B1166">
            <v>1.5086912877</v>
          </cell>
          <cell r="C1166">
            <v>1.5083199356000001</v>
          </cell>
          <cell r="D1166">
            <v>1.5090627313</v>
          </cell>
        </row>
        <row r="1167">
          <cell r="A1167">
            <v>45134</v>
          </cell>
          <cell r="B1167">
            <v>1.509307454</v>
          </cell>
          <cell r="C1167">
            <v>1.5089359501999999</v>
          </cell>
          <cell r="D1167">
            <v>1.5096790493000001</v>
          </cell>
        </row>
        <row r="1168">
          <cell r="A1168">
            <v>45135</v>
          </cell>
          <cell r="B1168">
            <v>1.5099238718000001</v>
          </cell>
          <cell r="C1168">
            <v>1.5095522162999999</v>
          </cell>
          <cell r="D1168">
            <v>1.5102956189000001</v>
          </cell>
        </row>
        <row r="1169">
          <cell r="A1169">
            <v>45138</v>
          </cell>
          <cell r="B1169">
            <v>1.5105405414999999</v>
          </cell>
          <cell r="C1169">
            <v>1.5101687342000001</v>
          </cell>
          <cell r="D1169">
            <v>1.5109124404000001</v>
          </cell>
        </row>
        <row r="1170">
          <cell r="A1170">
            <v>45139</v>
          </cell>
          <cell r="B1170">
            <v>1.5111574629</v>
          </cell>
          <cell r="C1170">
            <v>1.5107855038</v>
          </cell>
          <cell r="D1170">
            <v>1.5115295137</v>
          </cell>
        </row>
        <row r="1171">
          <cell r="A1171">
            <v>45140</v>
          </cell>
          <cell r="B1171">
            <v>1.5117746364</v>
          </cell>
          <cell r="C1171">
            <v>1.5114025253000001</v>
          </cell>
          <cell r="D1171">
            <v>1.5121468390999999</v>
          </cell>
        </row>
        <row r="1172">
          <cell r="A1172">
            <v>45141</v>
          </cell>
          <cell r="B1172">
            <v>1.5123920618</v>
          </cell>
          <cell r="C1172">
            <v>1.5120197987999999</v>
          </cell>
          <cell r="D1172">
            <v>1.5127644166000001</v>
          </cell>
        </row>
        <row r="1173">
          <cell r="A1173">
            <v>45142</v>
          </cell>
          <cell r="B1173">
            <v>1.5130097396</v>
          </cell>
          <cell r="C1173">
            <v>1.5126373245</v>
          </cell>
          <cell r="D1173">
            <v>1.5133822464</v>
          </cell>
        </row>
        <row r="1174">
          <cell r="A1174">
            <v>45145</v>
          </cell>
          <cell r="B1174">
            <v>1.5136276694999999</v>
          </cell>
          <cell r="C1174">
            <v>1.5132551024000001</v>
          </cell>
          <cell r="D1174">
            <v>1.5140003285000001</v>
          </cell>
        </row>
        <row r="1175">
          <cell r="A1175">
            <v>45146</v>
          </cell>
          <cell r="B1175">
            <v>1.5142458517999999</v>
          </cell>
          <cell r="C1175">
            <v>1.5138731325000001</v>
          </cell>
          <cell r="D1175">
            <v>1.514618663</v>
          </cell>
        </row>
        <row r="1176">
          <cell r="A1176">
            <v>45147</v>
          </cell>
          <cell r="B1176">
            <v>1.5148642865999999</v>
          </cell>
          <cell r="C1176">
            <v>1.514491415</v>
          </cell>
          <cell r="D1176">
            <v>1.51523725</v>
          </cell>
        </row>
        <row r="1177">
          <cell r="A1177">
            <v>45148</v>
          </cell>
          <cell r="B1177">
            <v>1.515482974</v>
          </cell>
          <cell r="C1177">
            <v>1.5151099501</v>
          </cell>
          <cell r="D1177">
            <v>1.5158560897</v>
          </cell>
        </row>
        <row r="1178">
          <cell r="A1178">
            <v>45149</v>
          </cell>
          <cell r="B1178">
            <v>1.5161019140000001</v>
          </cell>
          <cell r="C1178">
            <v>1.5157287377999999</v>
          </cell>
          <cell r="D1178">
            <v>1.5164751821</v>
          </cell>
        </row>
        <row r="1179">
          <cell r="A1179">
            <v>45152</v>
          </cell>
          <cell r="B1179">
            <v>1.5167211066999999</v>
          </cell>
          <cell r="C1179">
            <v>1.5163477781000001</v>
          </cell>
          <cell r="D1179">
            <v>1.5170945273000001</v>
          </cell>
        </row>
        <row r="1180">
          <cell r="A1180">
            <v>45153</v>
          </cell>
          <cell r="B1180">
            <v>1.5173405524000001</v>
          </cell>
          <cell r="C1180">
            <v>1.5169670714000001</v>
          </cell>
          <cell r="D1180">
            <v>1.5177141255</v>
          </cell>
        </row>
        <row r="1181">
          <cell r="A1181">
            <v>45154</v>
          </cell>
          <cell r="B1181">
            <v>1.5179602511000001</v>
          </cell>
          <cell r="C1181">
            <v>1.5175866174999999</v>
          </cell>
          <cell r="D1181">
            <v>1.5183339767999999</v>
          </cell>
        </row>
        <row r="1182">
          <cell r="A1182">
            <v>45155</v>
          </cell>
          <cell r="B1182">
            <v>1.5185802029</v>
          </cell>
          <cell r="C1182">
            <v>1.5182064167</v>
          </cell>
          <cell r="D1182">
            <v>1.5189540812</v>
          </cell>
        </row>
        <row r="1183">
          <cell r="A1183">
            <v>45156</v>
          </cell>
          <cell r="B1183">
            <v>1.5192004079000001</v>
          </cell>
          <cell r="C1183">
            <v>1.5188264691</v>
          </cell>
          <cell r="D1183">
            <v>1.5195744389000001</v>
          </cell>
        </row>
        <row r="1184">
          <cell r="A1184">
            <v>45159</v>
          </cell>
          <cell r="B1184">
            <v>1.5198208661999999</v>
          </cell>
          <cell r="C1184">
            <v>1.5194467746</v>
          </cell>
          <cell r="D1184">
            <v>1.5201950499000001</v>
          </cell>
        </row>
        <row r="1185">
          <cell r="A1185">
            <v>45160</v>
          </cell>
          <cell r="B1185">
            <v>1.5204415778</v>
          </cell>
          <cell r="C1185">
            <v>1.5200673334999999</v>
          </cell>
          <cell r="D1185">
            <v>1.5208159144</v>
          </cell>
        </row>
        <row r="1186">
          <cell r="A1186">
            <v>45161</v>
          </cell>
          <cell r="B1186">
            <v>1.521062543</v>
          </cell>
          <cell r="C1186">
            <v>1.5206881457999999</v>
          </cell>
          <cell r="D1186">
            <v>1.5214370325</v>
          </cell>
        </row>
        <row r="1187">
          <cell r="A1187">
            <v>45162</v>
          </cell>
          <cell r="B1187">
            <v>1.5216837618000001</v>
          </cell>
          <cell r="C1187">
            <v>1.5213092117</v>
          </cell>
          <cell r="D1187">
            <v>1.5220584042</v>
          </cell>
        </row>
        <row r="1188">
          <cell r="A1188">
            <v>45163</v>
          </cell>
          <cell r="B1188">
            <v>1.5223052343000001</v>
          </cell>
          <cell r="C1188">
            <v>1.5219305312</v>
          </cell>
          <cell r="D1188">
            <v>1.5226800297</v>
          </cell>
        </row>
        <row r="1189">
          <cell r="A1189">
            <v>45166</v>
          </cell>
          <cell r="B1189">
            <v>1.5229269606</v>
          </cell>
          <cell r="C1189">
            <v>1.5225521044999999</v>
          </cell>
          <cell r="D1189">
            <v>1.5233019091</v>
          </cell>
        </row>
        <row r="1190">
          <cell r="A1190">
            <v>45167</v>
          </cell>
          <cell r="B1190">
            <v>1.5235489409</v>
          </cell>
          <cell r="C1190">
            <v>1.5231739316999999</v>
          </cell>
          <cell r="D1190">
            <v>1.5239240425</v>
          </cell>
        </row>
        <row r="1191">
          <cell r="A1191">
            <v>45168</v>
          </cell>
          <cell r="B1191">
            <v>1.5241711751</v>
          </cell>
          <cell r="C1191">
            <v>1.5237960127000001</v>
          </cell>
          <cell r="D1191">
            <v>1.5245464299</v>
          </cell>
        </row>
        <row r="1192">
          <cell r="A1192">
            <v>45169</v>
          </cell>
          <cell r="B1192">
            <v>1.5247936634999999</v>
          </cell>
          <cell r="C1192">
            <v>1.524418348</v>
          </cell>
          <cell r="D1192">
            <v>1.5251690715999999</v>
          </cell>
        </row>
        <row r="1193">
          <cell r="A1193">
            <v>45170</v>
          </cell>
          <cell r="B1193">
            <v>1.5254164061</v>
          </cell>
          <cell r="C1193">
            <v>1.5250409372</v>
          </cell>
          <cell r="D1193">
            <v>1.5257919675</v>
          </cell>
        </row>
        <row r="1194">
          <cell r="A1194">
            <v>45173</v>
          </cell>
          <cell r="B1194">
            <v>1.526039403</v>
          </cell>
          <cell r="C1194">
            <v>1.5256637808</v>
          </cell>
          <cell r="D1194">
            <v>1.5264151178000001</v>
          </cell>
        </row>
        <row r="1195">
          <cell r="A1195">
            <v>45174</v>
          </cell>
          <cell r="B1195">
            <v>1.5266626544999999</v>
          </cell>
          <cell r="C1195">
            <v>1.5262868788999999</v>
          </cell>
          <cell r="D1195">
            <v>1.5270385227000001</v>
          </cell>
        </row>
        <row r="1196">
          <cell r="A1196">
            <v>45175</v>
          </cell>
          <cell r="B1196">
            <v>1.5272861604000001</v>
          </cell>
          <cell r="C1196">
            <v>1.5269102313</v>
          </cell>
          <cell r="D1196">
            <v>1.5276621821</v>
          </cell>
        </row>
        <row r="1197">
          <cell r="A1197">
            <v>45177</v>
          </cell>
          <cell r="B1197">
            <v>1.527909921</v>
          </cell>
          <cell r="C1197">
            <v>1.5275338383999999</v>
          </cell>
          <cell r="D1197">
            <v>1.5282860963</v>
          </cell>
        </row>
        <row r="1198">
          <cell r="A1198">
            <v>45180</v>
          </cell>
          <cell r="B1198">
            <v>1.5285339362999999</v>
          </cell>
          <cell r="C1198">
            <v>1.5281577001</v>
          </cell>
          <cell r="D1198">
            <v>1.5289102652</v>
          </cell>
        </row>
        <row r="1199">
          <cell r="A1199">
            <v>45181</v>
          </cell>
          <cell r="B1199">
            <v>1.5291582065</v>
          </cell>
          <cell r="C1199">
            <v>1.5287818166</v>
          </cell>
          <cell r="D1199">
            <v>1.5295346890999999</v>
          </cell>
        </row>
        <row r="1200">
          <cell r="A1200">
            <v>45182</v>
          </cell>
          <cell r="B1200">
            <v>1.5297827315999999</v>
          </cell>
          <cell r="C1200">
            <v>1.5294061880000001</v>
          </cell>
          <cell r="D1200">
            <v>1.5301593680000001</v>
          </cell>
        </row>
        <row r="1201">
          <cell r="A1201">
            <v>45183</v>
          </cell>
          <cell r="B1201">
            <v>1.5304075118</v>
          </cell>
          <cell r="C1201">
            <v>1.5300308144000001</v>
          </cell>
          <cell r="D1201">
            <v>1.530784302</v>
          </cell>
        </row>
        <row r="1202">
          <cell r="A1202">
            <v>45184</v>
          </cell>
          <cell r="B1202">
            <v>1.5310325471999999</v>
          </cell>
          <cell r="C1202">
            <v>1.530655696</v>
          </cell>
          <cell r="D1202">
            <v>1.5314094913</v>
          </cell>
        </row>
        <row r="1203">
          <cell r="A1203">
            <v>45187</v>
          </cell>
          <cell r="B1203">
            <v>1.5316578379000001</v>
          </cell>
          <cell r="C1203">
            <v>1.5312808327</v>
          </cell>
          <cell r="D1203">
            <v>1.5320349359000001</v>
          </cell>
        </row>
        <row r="1204">
          <cell r="A1204">
            <v>45188</v>
          </cell>
          <cell r="B1204">
            <v>1.5322833839000001</v>
          </cell>
          <cell r="C1204">
            <v>1.5319062246999999</v>
          </cell>
          <cell r="D1204">
            <v>1.5326606358999999</v>
          </cell>
        </row>
        <row r="1205">
          <cell r="A1205">
            <v>45189</v>
          </cell>
          <cell r="B1205">
            <v>1.5329091854000001</v>
          </cell>
          <cell r="C1205">
            <v>1.5325318722000001</v>
          </cell>
          <cell r="D1205">
            <v>1.5332865915</v>
          </cell>
        </row>
        <row r="1206">
          <cell r="A1206">
            <v>45190</v>
          </cell>
          <cell r="B1206">
            <v>1.5335352423999999</v>
          </cell>
          <cell r="C1206">
            <v>1.5331577752000001</v>
          </cell>
          <cell r="D1206">
            <v>1.5339128027</v>
          </cell>
        </row>
        <row r="1207">
          <cell r="A1207">
            <v>45191</v>
          </cell>
          <cell r="B1207">
            <v>1.5341615552000001</v>
          </cell>
          <cell r="C1207">
            <v>1.5337839338000001</v>
          </cell>
          <cell r="D1207">
            <v>1.5345392697</v>
          </cell>
        </row>
        <row r="1208">
          <cell r="A1208">
            <v>45194</v>
          </cell>
          <cell r="B1208">
            <v>1.5347881238000001</v>
          </cell>
          <cell r="C1208">
            <v>1.5344103481</v>
          </cell>
          <cell r="D1208">
            <v>1.5351659925000001</v>
          </cell>
        </row>
        <row r="1209">
          <cell r="A1209">
            <v>45195</v>
          </cell>
          <cell r="B1209">
            <v>1.5354149482999999</v>
          </cell>
          <cell r="C1209">
            <v>1.5350370182999999</v>
          </cell>
          <cell r="D1209">
            <v>1.5357929713</v>
          </cell>
        </row>
        <row r="1210">
          <cell r="A1210">
            <v>45196</v>
          </cell>
          <cell r="B1210">
            <v>1.5360420288000001</v>
          </cell>
          <cell r="C1210">
            <v>1.5356639445</v>
          </cell>
          <cell r="D1210">
            <v>1.5364202062000001</v>
          </cell>
        </row>
        <row r="1211">
          <cell r="A1211">
            <v>45197</v>
          </cell>
          <cell r="B1211">
            <v>1.5366693653000001</v>
          </cell>
          <cell r="C1211">
            <v>1.5362911265999999</v>
          </cell>
          <cell r="D1211">
            <v>1.5370476972</v>
          </cell>
        </row>
        <row r="1212">
          <cell r="A1212">
            <v>45198</v>
          </cell>
          <cell r="B1212">
            <v>1.5372969581</v>
          </cell>
          <cell r="C1212">
            <v>1.5369185648999999</v>
          </cell>
          <cell r="D1212">
            <v>1.5376754445</v>
          </cell>
        </row>
        <row r="1213">
          <cell r="A1213">
            <v>45201</v>
          </cell>
          <cell r="B1213">
            <v>1.5379248072</v>
          </cell>
          <cell r="C1213">
            <v>1.5375462595</v>
          </cell>
          <cell r="D1213">
            <v>1.5383034482</v>
          </cell>
        </row>
        <row r="1214">
          <cell r="A1214">
            <v>45202</v>
          </cell>
          <cell r="B1214">
            <v>1.5385928472999999</v>
          </cell>
          <cell r="C1214">
            <v>1.5382141352000001</v>
          </cell>
          <cell r="D1214">
            <v>1.5389716527999999</v>
          </cell>
        </row>
        <row r="1215">
          <cell r="A1215">
            <v>45203</v>
          </cell>
          <cell r="B1215">
            <v>1.5392611777</v>
          </cell>
          <cell r="C1215">
            <v>1.5388823010999999</v>
          </cell>
          <cell r="D1215">
            <v>1.5396401476999999</v>
          </cell>
        </row>
        <row r="1216">
          <cell r="A1216">
            <v>45204</v>
          </cell>
          <cell r="B1216">
            <v>1.5399297984</v>
          </cell>
          <cell r="C1216">
            <v>1.5395507572</v>
          </cell>
          <cell r="D1216">
            <v>1.5403089329999999</v>
          </cell>
        </row>
        <row r="1217">
          <cell r="A1217">
            <v>45205</v>
          </cell>
          <cell r="B1217">
            <v>1.5405987094</v>
          </cell>
          <cell r="C1217">
            <v>1.5402195034999999</v>
          </cell>
          <cell r="D1217">
            <v>1.5409780087</v>
          </cell>
        </row>
        <row r="1218">
          <cell r="A1218">
            <v>45208</v>
          </cell>
          <cell r="B1218">
            <v>1.541267911</v>
          </cell>
          <cell r="C1218">
            <v>1.5408885404999999</v>
          </cell>
          <cell r="D1218">
            <v>1.5416473750999999</v>
          </cell>
        </row>
        <row r="1219">
          <cell r="A1219">
            <v>45209</v>
          </cell>
          <cell r="B1219">
            <v>1.5419374034</v>
          </cell>
          <cell r="C1219">
            <v>1.5415578679999999</v>
          </cell>
          <cell r="D1219">
            <v>1.5423170322999999</v>
          </cell>
        </row>
        <row r="1220">
          <cell r="A1220">
            <v>45210</v>
          </cell>
          <cell r="B1220">
            <v>1.5426071864999999</v>
          </cell>
          <cell r="C1220">
            <v>1.5422274863000001</v>
          </cell>
          <cell r="D1220">
            <v>1.5429869803</v>
          </cell>
        </row>
        <row r="1221">
          <cell r="A1221">
            <v>45212</v>
          </cell>
          <cell r="B1221">
            <v>1.5432772606</v>
          </cell>
          <cell r="C1221">
            <v>1.5428973955</v>
          </cell>
          <cell r="D1221">
            <v>1.5436572194</v>
          </cell>
        </row>
        <row r="1222">
          <cell r="A1222">
            <v>45215</v>
          </cell>
          <cell r="B1222">
            <v>1.5439476257</v>
          </cell>
          <cell r="C1222">
            <v>1.5435675954999999</v>
          </cell>
          <cell r="D1222">
            <v>1.5443277495000001</v>
          </cell>
        </row>
        <row r="1223">
          <cell r="A1223">
            <v>45216</v>
          </cell>
          <cell r="B1223">
            <v>1.5446182821000001</v>
          </cell>
          <cell r="C1223">
            <v>1.5442380868000001</v>
          </cell>
          <cell r="D1223">
            <v>1.544998571</v>
          </cell>
        </row>
        <row r="1224">
          <cell r="A1224">
            <v>45217</v>
          </cell>
          <cell r="B1224">
            <v>1.5452892297</v>
          </cell>
          <cell r="C1224">
            <v>1.5449088692999999</v>
          </cell>
          <cell r="D1224">
            <v>1.5456696837999999</v>
          </cell>
        </row>
        <row r="1225">
          <cell r="A1225">
            <v>45218</v>
          </cell>
          <cell r="B1225">
            <v>1.5459604687999999</v>
          </cell>
          <cell r="C1225">
            <v>1.5455799431999999</v>
          </cell>
          <cell r="D1225">
            <v>1.5463410881999999</v>
          </cell>
        </row>
        <row r="1226">
          <cell r="A1226">
            <v>45219</v>
          </cell>
          <cell r="B1226">
            <v>1.5466319995</v>
          </cell>
          <cell r="C1226">
            <v>1.5462513086</v>
          </cell>
          <cell r="D1226">
            <v>1.5470127842000001</v>
          </cell>
        </row>
        <row r="1227">
          <cell r="A1227">
            <v>45222</v>
          </cell>
          <cell r="B1227">
            <v>1.5473038217999999</v>
          </cell>
          <cell r="C1227">
            <v>1.5469229655000001</v>
          </cell>
          <cell r="D1227">
            <v>1.5476847719</v>
          </cell>
        </row>
        <row r="1228">
          <cell r="A1228">
            <v>45223</v>
          </cell>
          <cell r="B1228">
            <v>1.5479759360000001</v>
          </cell>
          <cell r="C1228">
            <v>1.5475949143000001</v>
          </cell>
          <cell r="D1228">
            <v>1.5483570516</v>
          </cell>
        </row>
        <row r="1229">
          <cell r="A1229">
            <v>45224</v>
          </cell>
          <cell r="B1229">
            <v>1.5486483421999999</v>
          </cell>
          <cell r="C1229">
            <v>1.5482671549</v>
          </cell>
          <cell r="D1229">
            <v>1.5490296233</v>
          </cell>
        </row>
        <row r="1230">
          <cell r="A1230">
            <v>45225</v>
          </cell>
          <cell r="B1230">
            <v>1.5493210403</v>
          </cell>
          <cell r="C1230">
            <v>1.5489396875000001</v>
          </cell>
          <cell r="D1230">
            <v>1.5497024871</v>
          </cell>
        </row>
        <row r="1231">
          <cell r="A1231">
            <v>45226</v>
          </cell>
          <cell r="B1231">
            <v>1.5499940307</v>
          </cell>
          <cell r="C1231">
            <v>1.5496125123</v>
          </cell>
          <cell r="D1231">
            <v>1.5503756432</v>
          </cell>
        </row>
        <row r="1232">
          <cell r="A1232">
            <v>45229</v>
          </cell>
          <cell r="B1232">
            <v>1.5506673136</v>
          </cell>
          <cell r="C1232">
            <v>1.5502856294</v>
          </cell>
          <cell r="D1232">
            <v>1.5510490917999999</v>
          </cell>
        </row>
        <row r="1233">
          <cell r="A1233">
            <v>45230</v>
          </cell>
          <cell r="B1233">
            <v>1.5513408887</v>
          </cell>
          <cell r="C1233">
            <v>1.5509590388000001</v>
          </cell>
          <cell r="D1233">
            <v>1.5517228327999999</v>
          </cell>
        </row>
        <row r="1234">
          <cell r="A1234">
            <v>45231</v>
          </cell>
          <cell r="B1234">
            <v>1.5520147565</v>
          </cell>
          <cell r="C1234">
            <v>1.5516327406999999</v>
          </cell>
          <cell r="D1234">
            <v>1.5523968665000001</v>
          </cell>
        </row>
        <row r="1235">
          <cell r="A1235">
            <v>45233</v>
          </cell>
          <cell r="B1235">
            <v>1.5526889171</v>
          </cell>
          <cell r="C1235">
            <v>1.5523067353</v>
          </cell>
          <cell r="D1235">
            <v>1.5530711930000001</v>
          </cell>
        </row>
        <row r="1236">
          <cell r="A1236">
            <v>45236</v>
          </cell>
          <cell r="B1236">
            <v>1.5533633704000001</v>
          </cell>
          <cell r="C1236">
            <v>1.5529810226</v>
          </cell>
          <cell r="D1236">
            <v>1.5537458124000001</v>
          </cell>
        </row>
        <row r="1237">
          <cell r="A1237">
            <v>45237</v>
          </cell>
          <cell r="B1237">
            <v>1.5540381166999999</v>
          </cell>
          <cell r="C1237">
            <v>1.5536556027999999</v>
          </cell>
          <cell r="D1237">
            <v>1.5544207247999999</v>
          </cell>
        </row>
        <row r="1238">
          <cell r="A1238">
            <v>45238</v>
          </cell>
          <cell r="B1238">
            <v>1.5547131562000001</v>
          </cell>
          <cell r="C1238">
            <v>1.5543304762000001</v>
          </cell>
          <cell r="D1238">
            <v>1.5550959305000001</v>
          </cell>
        </row>
        <row r="1239">
          <cell r="A1239">
            <v>45239</v>
          </cell>
          <cell r="B1239">
            <v>1.5553884888</v>
          </cell>
          <cell r="C1239">
            <v>1.5550056426000001</v>
          </cell>
          <cell r="D1239">
            <v>1.5557714294</v>
          </cell>
        </row>
        <row r="1240">
          <cell r="A1240">
            <v>45240</v>
          </cell>
          <cell r="B1240">
            <v>1.5560641148000001</v>
          </cell>
          <cell r="C1240">
            <v>1.5556811022000001</v>
          </cell>
          <cell r="D1240">
            <v>1.5564472217</v>
          </cell>
        </row>
        <row r="1241">
          <cell r="A1241">
            <v>45243</v>
          </cell>
          <cell r="B1241">
            <v>1.5567400343</v>
          </cell>
          <cell r="C1241">
            <v>1.5563568553</v>
          </cell>
          <cell r="D1241">
            <v>1.5571233076</v>
          </cell>
        </row>
        <row r="1242">
          <cell r="A1242">
            <v>45244</v>
          </cell>
          <cell r="B1242">
            <v>1.5574162472999999</v>
          </cell>
          <cell r="C1242">
            <v>1.5570329019</v>
          </cell>
          <cell r="D1242">
            <v>1.5577996870999999</v>
          </cell>
        </row>
        <row r="1243">
          <cell r="A1243">
            <v>45246</v>
          </cell>
          <cell r="B1243">
            <v>1.5580927541</v>
          </cell>
          <cell r="C1243">
            <v>1.5577092422000001</v>
          </cell>
          <cell r="D1243">
            <v>1.5584763605</v>
          </cell>
        </row>
        <row r="1244">
          <cell r="A1244">
            <v>45247</v>
          </cell>
          <cell r="B1244">
            <v>1.5587695548</v>
          </cell>
          <cell r="C1244">
            <v>1.5583858763</v>
          </cell>
          <cell r="D1244">
            <v>1.5591533278</v>
          </cell>
        </row>
        <row r="1245">
          <cell r="A1245">
            <v>45250</v>
          </cell>
          <cell r="B1245">
            <v>1.5594466494000001</v>
          </cell>
          <cell r="C1245">
            <v>1.5590628043000001</v>
          </cell>
          <cell r="D1245">
            <v>1.5598305890999999</v>
          </cell>
        </row>
        <row r="1246">
          <cell r="A1246">
            <v>45251</v>
          </cell>
          <cell r="B1246">
            <v>1.5601240381000001</v>
          </cell>
          <cell r="C1246">
            <v>1.5597400262000001</v>
          </cell>
          <cell r="D1246">
            <v>1.5605081446</v>
          </cell>
        </row>
        <row r="1247">
          <cell r="A1247">
            <v>45252</v>
          </cell>
          <cell r="B1247">
            <v>1.5608017212</v>
          </cell>
          <cell r="C1247">
            <v>1.5604175425</v>
          </cell>
          <cell r="D1247">
            <v>1.5611859945</v>
          </cell>
        </row>
        <row r="1248">
          <cell r="A1248">
            <v>45253</v>
          </cell>
          <cell r="B1248">
            <v>1.5614796984999999</v>
          </cell>
          <cell r="C1248">
            <v>1.561095353</v>
          </cell>
          <cell r="D1248">
            <v>1.5618641388000001</v>
          </cell>
        </row>
        <row r="1249">
          <cell r="A1249">
            <v>45254</v>
          </cell>
          <cell r="B1249">
            <v>1.5621579703999999</v>
          </cell>
          <cell r="C1249">
            <v>1.5617734578</v>
          </cell>
          <cell r="D1249">
            <v>1.5625425775999999</v>
          </cell>
        </row>
        <row r="1250">
          <cell r="A1250">
            <v>45257</v>
          </cell>
          <cell r="B1250">
            <v>1.5628365368999999</v>
          </cell>
          <cell r="C1250">
            <v>1.5624518573999999</v>
          </cell>
          <cell r="D1250">
            <v>1.5632213112</v>
          </cell>
        </row>
        <row r="1251">
          <cell r="A1251">
            <v>45258</v>
          </cell>
          <cell r="B1251">
            <v>1.5635153982000001</v>
          </cell>
          <cell r="C1251">
            <v>1.5631305515</v>
          </cell>
          <cell r="D1251">
            <v>1.5639003396</v>
          </cell>
        </row>
        <row r="1252">
          <cell r="A1252">
            <v>45259</v>
          </cell>
          <cell r="B1252">
            <v>1.5641945542</v>
          </cell>
          <cell r="C1252">
            <v>1.5638095404000001</v>
          </cell>
          <cell r="D1252">
            <v>1.5645796628999999</v>
          </cell>
        </row>
        <row r="1253">
          <cell r="A1253">
            <v>45260</v>
          </cell>
          <cell r="B1253">
            <v>1.5648740055000001</v>
          </cell>
          <cell r="C1253">
            <v>1.5644888243999999</v>
          </cell>
          <cell r="D1253">
            <v>1.5652592813999999</v>
          </cell>
        </row>
        <row r="1254">
          <cell r="A1254">
            <v>45261</v>
          </cell>
          <cell r="B1254">
            <v>1.5655537517</v>
          </cell>
          <cell r="C1254">
            <v>1.5651684034</v>
          </cell>
          <cell r="D1254">
            <v>1.5659391949999999</v>
          </cell>
        </row>
        <row r="1255">
          <cell r="A1255">
            <v>45264</v>
          </cell>
          <cell r="B1255">
            <v>1.5662337932999999</v>
          </cell>
          <cell r="C1255">
            <v>1.5658482775</v>
          </cell>
          <cell r="D1255">
            <v>1.5666194040000001</v>
          </cell>
        </row>
        <row r="1256">
          <cell r="A1256">
            <v>45265</v>
          </cell>
          <cell r="B1256">
            <v>1.5669141302</v>
          </cell>
          <cell r="C1256">
            <v>1.566528447</v>
          </cell>
          <cell r="D1256">
            <v>1.5672999084000001</v>
          </cell>
        </row>
        <row r="1257">
          <cell r="A1257">
            <v>45266</v>
          </cell>
          <cell r="B1257">
            <v>1.5675947627</v>
          </cell>
          <cell r="C1257">
            <v>1.5672089119999999</v>
          </cell>
          <cell r="D1257">
            <v>1.5679807084999999</v>
          </cell>
        </row>
        <row r="1258">
          <cell r="A1258">
            <v>45267</v>
          </cell>
          <cell r="B1258">
            <v>1.5682756908</v>
          </cell>
          <cell r="C1258">
            <v>1.5678896724</v>
          </cell>
          <cell r="D1258">
            <v>1.5686618042</v>
          </cell>
        </row>
        <row r="1259">
          <cell r="A1259">
            <v>45268</v>
          </cell>
          <cell r="B1259">
            <v>1.5689569146</v>
          </cell>
          <cell r="C1259">
            <v>1.5685707285999999</v>
          </cell>
          <cell r="D1259">
            <v>1.5693431957999999</v>
          </cell>
        </row>
        <row r="1260">
          <cell r="A1260">
            <v>45271</v>
          </cell>
          <cell r="B1260">
            <v>1.5696384344000001</v>
          </cell>
          <cell r="C1260">
            <v>1.5692520807000001</v>
          </cell>
          <cell r="D1260">
            <v>1.5700248833999999</v>
          </cell>
        </row>
        <row r="1261">
          <cell r="A1261">
            <v>45272</v>
          </cell>
          <cell r="B1261">
            <v>1.5703202503</v>
          </cell>
          <cell r="C1261">
            <v>1.5699337286999999</v>
          </cell>
          <cell r="D1261">
            <v>1.5707068671</v>
          </cell>
        </row>
        <row r="1262">
          <cell r="A1262">
            <v>45273</v>
          </cell>
          <cell r="B1262">
            <v>1.5710023623</v>
          </cell>
          <cell r="C1262">
            <v>1.5706156729</v>
          </cell>
          <cell r="D1262">
            <v>1.5713891471000001</v>
          </cell>
        </row>
        <row r="1263">
          <cell r="A1263">
            <v>45274</v>
          </cell>
          <cell r="B1263">
            <v>1.5716847705999999</v>
          </cell>
          <cell r="C1263">
            <v>1.5712979132</v>
          </cell>
          <cell r="D1263">
            <v>1.5720717233999999</v>
          </cell>
        </row>
        <row r="1264">
          <cell r="A1264">
            <v>45275</v>
          </cell>
          <cell r="B1264">
            <v>1.5723674753000001</v>
          </cell>
          <cell r="C1264">
            <v>1.5719804499000001</v>
          </cell>
          <cell r="D1264">
            <v>1.5727545962</v>
          </cell>
        </row>
        <row r="1265">
          <cell r="A1265">
            <v>45278</v>
          </cell>
          <cell r="B1265">
            <v>1.5730504766</v>
          </cell>
          <cell r="C1265">
            <v>1.572663283</v>
          </cell>
          <cell r="D1265">
            <v>1.5734377656</v>
          </cell>
        </row>
        <row r="1266">
          <cell r="A1266">
            <v>45279</v>
          </cell>
          <cell r="B1266">
            <v>1.5737337746</v>
          </cell>
          <cell r="C1266">
            <v>1.5733464128000001</v>
          </cell>
          <cell r="D1266">
            <v>1.5741212318</v>
          </cell>
        </row>
        <row r="1267">
          <cell r="A1267">
            <v>45280</v>
          </cell>
          <cell r="B1267">
            <v>1.5744173694000001</v>
          </cell>
          <cell r="C1267">
            <v>1.5740298393000001</v>
          </cell>
          <cell r="D1267">
            <v>1.5748049949</v>
          </cell>
        </row>
        <row r="1268">
          <cell r="A1268">
            <v>45281</v>
          </cell>
          <cell r="B1268">
            <v>1.5751012610999999</v>
          </cell>
          <cell r="C1268">
            <v>1.5747135627</v>
          </cell>
          <cell r="D1268">
            <v>1.575489055</v>
          </cell>
        </row>
        <row r="1269">
          <cell r="A1269">
            <v>45282</v>
          </cell>
          <cell r="B1269">
            <v>1.5757854497999999</v>
          </cell>
          <cell r="C1269">
            <v>1.575397583</v>
          </cell>
          <cell r="D1269">
            <v>1.5761734122</v>
          </cell>
        </row>
        <row r="1270">
          <cell r="A1270">
            <v>45286</v>
          </cell>
          <cell r="B1270">
            <v>1.5764699358000001</v>
          </cell>
          <cell r="C1270">
            <v>1.5760819005</v>
          </cell>
          <cell r="D1270">
            <v>1.5768580667000001</v>
          </cell>
        </row>
        <row r="1271">
          <cell r="A1271">
            <v>45287</v>
          </cell>
          <cell r="B1271">
            <v>1.5771547190999999</v>
          </cell>
          <cell r="C1271">
            <v>1.5767665152999999</v>
          </cell>
          <cell r="D1271">
            <v>1.5775430185999999</v>
          </cell>
        </row>
        <row r="1272">
          <cell r="A1272">
            <v>45288</v>
          </cell>
          <cell r="B1272">
            <v>1.5778397998</v>
          </cell>
          <cell r="C1272">
            <v>1.5774514274</v>
          </cell>
          <cell r="D1272">
            <v>1.5782282679999999</v>
          </cell>
        </row>
        <row r="1273">
          <cell r="A1273">
            <v>45289</v>
          </cell>
          <cell r="B1273">
            <v>1.5785251782</v>
          </cell>
          <cell r="C1273">
            <v>1.5781366370000001</v>
          </cell>
          <cell r="D1273">
            <v>1.5789138151</v>
          </cell>
        </row>
        <row r="1274">
          <cell r="A1274">
            <v>45293</v>
          </cell>
          <cell r="B1274">
            <v>1.5792108542000001</v>
          </cell>
          <cell r="C1274">
            <v>1.5788221442999999</v>
          </cell>
          <cell r="D1274">
            <v>1.5795996599</v>
          </cell>
        </row>
        <row r="1275">
          <cell r="A1275">
            <v>45294</v>
          </cell>
          <cell r="B1275">
            <v>1.5798365386</v>
          </cell>
          <cell r="C1275">
            <v>1.5794476746999999</v>
          </cell>
          <cell r="D1275">
            <v>1.5802254983999999</v>
          </cell>
        </row>
        <row r="1276">
          <cell r="A1276">
            <v>45295</v>
          </cell>
          <cell r="B1276">
            <v>1.5804624708999999</v>
          </cell>
          <cell r="C1276">
            <v>1.5800734529</v>
          </cell>
          <cell r="D1276">
            <v>1.5808515848</v>
          </cell>
        </row>
        <row r="1277">
          <cell r="A1277">
            <v>45296</v>
          </cell>
          <cell r="B1277">
            <v>1.5810886513</v>
          </cell>
          <cell r="C1277">
            <v>1.5806994791</v>
          </cell>
          <cell r="D1277">
            <v>1.5814779192999999</v>
          </cell>
        </row>
        <row r="1278">
          <cell r="A1278">
            <v>45299</v>
          </cell>
          <cell r="B1278">
            <v>1.5817150795999999</v>
          </cell>
          <cell r="C1278">
            <v>1.5813257533</v>
          </cell>
          <cell r="D1278">
            <v>1.5821045019</v>
          </cell>
        </row>
        <row r="1279">
          <cell r="A1279">
            <v>45300</v>
          </cell>
          <cell r="B1279">
            <v>1.5823417563</v>
          </cell>
          <cell r="C1279">
            <v>1.5819522757</v>
          </cell>
          <cell r="D1279">
            <v>1.5827313327999999</v>
          </cell>
        </row>
        <row r="1280">
          <cell r="A1280">
            <v>45301</v>
          </cell>
          <cell r="B1280">
            <v>1.5829686811000001</v>
          </cell>
          <cell r="C1280">
            <v>1.5825790462</v>
          </cell>
          <cell r="D1280">
            <v>1.5833584119999999</v>
          </cell>
        </row>
        <row r="1281">
          <cell r="A1281">
            <v>45302</v>
          </cell>
          <cell r="B1281">
            <v>1.5835958543999999</v>
          </cell>
          <cell r="C1281">
            <v>1.5832060650999999</v>
          </cell>
          <cell r="D1281">
            <v>1.5839857396999999</v>
          </cell>
        </row>
        <row r="1282">
          <cell r="A1282">
            <v>45303</v>
          </cell>
          <cell r="B1282">
            <v>1.5842232760999999</v>
          </cell>
          <cell r="C1282">
            <v>1.5838333324</v>
          </cell>
          <cell r="D1282">
            <v>1.5846133159</v>
          </cell>
        </row>
        <row r="1283">
          <cell r="A1283">
            <v>45306</v>
          </cell>
          <cell r="B1283">
            <v>1.5848509465</v>
          </cell>
          <cell r="C1283">
            <v>1.5844608483</v>
          </cell>
          <cell r="D1283">
            <v>1.5852411408</v>
          </cell>
        </row>
        <row r="1284">
          <cell r="A1284">
            <v>45307</v>
          </cell>
          <cell r="B1284">
            <v>1.5854788655000001</v>
          </cell>
          <cell r="C1284">
            <v>1.5850886126999999</v>
          </cell>
          <cell r="D1284">
            <v>1.5858692143999999</v>
          </cell>
        </row>
        <row r="1285">
          <cell r="A1285">
            <v>45308</v>
          </cell>
          <cell r="B1285">
            <v>1.5861070332</v>
          </cell>
          <cell r="C1285">
            <v>1.5857166259</v>
          </cell>
          <cell r="D1285">
            <v>1.5864975368000001</v>
          </cell>
        </row>
        <row r="1286">
          <cell r="A1286">
            <v>45309</v>
          </cell>
          <cell r="B1286">
            <v>1.5867354498999999</v>
          </cell>
          <cell r="C1286">
            <v>1.5863448878999999</v>
          </cell>
          <cell r="D1286">
            <v>1.5871261082000001</v>
          </cell>
        </row>
        <row r="1287">
          <cell r="A1287">
            <v>45310</v>
          </cell>
          <cell r="B1287">
            <v>1.5873641156</v>
          </cell>
          <cell r="C1287">
            <v>1.5869733988000001</v>
          </cell>
          <cell r="D1287">
            <v>1.5877549286999999</v>
          </cell>
        </row>
        <row r="1288">
          <cell r="A1288">
            <v>45313</v>
          </cell>
          <cell r="B1288">
            <v>1.5879930304000001</v>
          </cell>
          <cell r="C1288">
            <v>1.5876021588</v>
          </cell>
          <cell r="D1288">
            <v>1.5883839983000001</v>
          </cell>
        </row>
        <row r="1289">
          <cell r="A1289">
            <v>45314</v>
          </cell>
          <cell r="B1289">
            <v>1.5886221943000001</v>
          </cell>
          <cell r="C1289">
            <v>1.5882311678000001</v>
          </cell>
          <cell r="D1289">
            <v>1.5890133171</v>
          </cell>
        </row>
        <row r="1290">
          <cell r="A1290">
            <v>45315</v>
          </cell>
          <cell r="B1290">
            <v>1.5892516074</v>
          </cell>
          <cell r="C1290">
            <v>1.5888604260000001</v>
          </cell>
          <cell r="D1290">
            <v>1.5896428852</v>
          </cell>
        </row>
        <row r="1291">
          <cell r="A1291">
            <v>45316</v>
          </cell>
          <cell r="B1291">
            <v>1.58988127</v>
          </cell>
          <cell r="C1291">
            <v>1.5894899335999999</v>
          </cell>
          <cell r="D1291">
            <v>1.5902727028000001</v>
          </cell>
        </row>
        <row r="1292">
          <cell r="A1292">
            <v>45317</v>
          </cell>
          <cell r="B1292">
            <v>1.590511182</v>
          </cell>
          <cell r="C1292">
            <v>1.5901196905999999</v>
          </cell>
          <cell r="D1292">
            <v>1.5909027699</v>
          </cell>
        </row>
        <row r="1293">
          <cell r="A1293">
            <v>45320</v>
          </cell>
          <cell r="B1293">
            <v>1.5911413436999999</v>
          </cell>
          <cell r="C1293">
            <v>1.5907496970999999</v>
          </cell>
          <cell r="D1293">
            <v>1.5915330866999999</v>
          </cell>
        </row>
        <row r="1294">
          <cell r="A1294">
            <v>45321</v>
          </cell>
          <cell r="B1294">
            <v>1.5917717549999999</v>
          </cell>
          <cell r="C1294">
            <v>1.5913799532999999</v>
          </cell>
          <cell r="D1294">
            <v>1.5921636532000001</v>
          </cell>
        </row>
        <row r="1295">
          <cell r="A1295">
            <v>45322</v>
          </cell>
          <cell r="B1295">
            <v>1.5924024160000001</v>
          </cell>
          <cell r="C1295">
            <v>1.5920104590999999</v>
          </cell>
          <cell r="D1295">
            <v>1.5927944695</v>
          </cell>
        </row>
        <row r="1296">
          <cell r="A1296">
            <v>45323</v>
          </cell>
          <cell r="B1296">
            <v>1.5930333269000001</v>
          </cell>
          <cell r="C1296">
            <v>1.5926412146</v>
          </cell>
          <cell r="D1296">
            <v>1.5934255357</v>
          </cell>
        </row>
        <row r="1297">
          <cell r="A1297">
            <v>45324</v>
          </cell>
          <cell r="B1297">
            <v>1.5936644877999999</v>
          </cell>
          <cell r="C1297">
            <v>1.5932722202</v>
          </cell>
          <cell r="D1297">
            <v>1.594056852</v>
          </cell>
        </row>
        <row r="1298">
          <cell r="A1298">
            <v>45327</v>
          </cell>
          <cell r="B1298">
            <v>1.5942958987</v>
          </cell>
          <cell r="C1298">
            <v>1.5939034756999999</v>
          </cell>
          <cell r="D1298">
            <v>1.5946884184000001</v>
          </cell>
        </row>
        <row r="1299">
          <cell r="A1299">
            <v>45328</v>
          </cell>
          <cell r="B1299">
            <v>1.5949275598999999</v>
          </cell>
          <cell r="C1299">
            <v>1.5945349814000001</v>
          </cell>
          <cell r="D1299">
            <v>1.5953202351</v>
          </cell>
        </row>
        <row r="1300">
          <cell r="A1300">
            <v>45329</v>
          </cell>
          <cell r="B1300">
            <v>1.5955594712000001</v>
          </cell>
          <cell r="C1300">
            <v>1.5951667372</v>
          </cell>
          <cell r="D1300">
            <v>1.5959523019999999</v>
          </cell>
        </row>
        <row r="1301">
          <cell r="A1301">
            <v>45330</v>
          </cell>
          <cell r="B1301">
            <v>1.5961916330000001</v>
          </cell>
          <cell r="C1301">
            <v>1.5957987434000001</v>
          </cell>
          <cell r="D1301">
            <v>1.5965846194</v>
          </cell>
        </row>
        <row r="1302">
          <cell r="A1302">
            <v>45331</v>
          </cell>
          <cell r="B1302">
            <v>1.5968240452</v>
          </cell>
          <cell r="C1302">
            <v>1.5964309998999999</v>
          </cell>
          <cell r="D1302">
            <v>1.5972171873000001</v>
          </cell>
        </row>
        <row r="1303">
          <cell r="A1303">
            <v>45336</v>
          </cell>
          <cell r="B1303">
            <v>1.5974567078999999</v>
          </cell>
          <cell r="C1303">
            <v>1.5970635069000001</v>
          </cell>
          <cell r="D1303">
            <v>1.5978500058</v>
          </cell>
        </row>
        <row r="1304">
          <cell r="A1304">
            <v>45337</v>
          </cell>
          <cell r="B1304">
            <v>1.5980896214</v>
          </cell>
          <cell r="C1304">
            <v>1.5976962645999999</v>
          </cell>
          <cell r="D1304">
            <v>1.5984830751000001</v>
          </cell>
        </row>
        <row r="1305">
          <cell r="A1305">
            <v>45338</v>
          </cell>
          <cell r="B1305">
            <v>1.5987227855999999</v>
          </cell>
          <cell r="C1305">
            <v>1.5983292730000001</v>
          </cell>
          <cell r="D1305">
            <v>1.5991163952</v>
          </cell>
        </row>
        <row r="1306">
          <cell r="A1306">
            <v>45341</v>
          </cell>
          <cell r="B1306">
            <v>1.5993562007</v>
          </cell>
          <cell r="C1306">
            <v>1.5989625321000001</v>
          </cell>
          <cell r="D1306">
            <v>1.5997499662000001</v>
          </cell>
        </row>
        <row r="1307">
          <cell r="A1307">
            <v>45342</v>
          </cell>
          <cell r="B1307">
            <v>1.5999898666000001</v>
          </cell>
          <cell r="C1307">
            <v>1.5995960420999999</v>
          </cell>
          <cell r="D1307">
            <v>1.6003837882</v>
          </cell>
        </row>
        <row r="1308">
          <cell r="A1308">
            <v>45343</v>
          </cell>
          <cell r="B1308">
            <v>1.6006237836999999</v>
          </cell>
          <cell r="C1308">
            <v>1.6002298031</v>
          </cell>
          <cell r="D1308">
            <v>1.6010178612999999</v>
          </cell>
        </row>
        <row r="1309">
          <cell r="A1309">
            <v>45344</v>
          </cell>
          <cell r="B1309">
            <v>1.6012579519000001</v>
          </cell>
          <cell r="C1309">
            <v>1.6008638153000001</v>
          </cell>
          <cell r="D1309">
            <v>1.6016521856999999</v>
          </cell>
        </row>
        <row r="1310">
          <cell r="A1310">
            <v>45345</v>
          </cell>
          <cell r="B1310">
            <v>1.6018923714</v>
          </cell>
          <cell r="C1310">
            <v>1.6014980785999999</v>
          </cell>
          <cell r="D1310">
            <v>1.6022867614</v>
          </cell>
        </row>
        <row r="1311">
          <cell r="A1311">
            <v>45348</v>
          </cell>
          <cell r="B1311">
            <v>1.6025270423</v>
          </cell>
          <cell r="C1311">
            <v>1.6021325932999999</v>
          </cell>
          <cell r="D1311">
            <v>1.6029215885000001</v>
          </cell>
        </row>
        <row r="1312">
          <cell r="A1312">
            <v>45349</v>
          </cell>
          <cell r="B1312">
            <v>1.6031619645999999</v>
          </cell>
          <cell r="C1312">
            <v>1.6027673593</v>
          </cell>
          <cell r="D1312">
            <v>1.6035566671000001</v>
          </cell>
        </row>
        <row r="1313">
          <cell r="A1313">
            <v>45350</v>
          </cell>
          <cell r="B1313">
            <v>1.6037971384</v>
          </cell>
          <cell r="C1313">
            <v>1.6034023767000001</v>
          </cell>
          <cell r="D1313">
            <v>1.6041919973000001</v>
          </cell>
        </row>
        <row r="1314">
          <cell r="A1314">
            <v>45351</v>
          </cell>
          <cell r="B1314">
            <v>1.6044325639000001</v>
          </cell>
          <cell r="C1314">
            <v>1.6040376459000001</v>
          </cell>
          <cell r="D1314">
            <v>1.6048275793</v>
          </cell>
        </row>
        <row r="1315">
          <cell r="A1315">
            <v>45352</v>
          </cell>
          <cell r="B1315">
            <v>1.6050682411999999</v>
          </cell>
          <cell r="C1315">
            <v>1.6046731667</v>
          </cell>
          <cell r="D1315">
            <v>1.6054634131000001</v>
          </cell>
        </row>
        <row r="1316">
          <cell r="A1316">
            <v>45355</v>
          </cell>
          <cell r="B1316">
            <v>1.6057041703999999</v>
          </cell>
          <cell r="C1316">
            <v>1.6053089393</v>
          </cell>
          <cell r="D1316">
            <v>1.6060994987999999</v>
          </cell>
        </row>
        <row r="1317">
          <cell r="A1317">
            <v>45356</v>
          </cell>
          <cell r="B1317">
            <v>1.6063403514000001</v>
          </cell>
          <cell r="C1317">
            <v>1.6059449638000001</v>
          </cell>
          <cell r="D1317">
            <v>1.6067358365</v>
          </cell>
        </row>
        <row r="1318">
          <cell r="A1318">
            <v>45357</v>
          </cell>
          <cell r="B1318">
            <v>1.6069767845</v>
          </cell>
          <cell r="C1318">
            <v>1.6065812402999999</v>
          </cell>
          <cell r="D1318">
            <v>1.6073724263</v>
          </cell>
        </row>
        <row r="1319">
          <cell r="A1319">
            <v>45358</v>
          </cell>
          <cell r="B1319">
            <v>1.6076134698</v>
          </cell>
          <cell r="C1319">
            <v>1.6072177688</v>
          </cell>
          <cell r="D1319">
            <v>1.6080092683</v>
          </cell>
        </row>
        <row r="1320">
          <cell r="A1320">
            <v>45359</v>
          </cell>
          <cell r="B1320">
            <v>1.6082504073999999</v>
          </cell>
          <cell r="C1320">
            <v>1.6078545496000001</v>
          </cell>
          <cell r="D1320">
            <v>1.6086463627000001</v>
          </cell>
        </row>
        <row r="1321">
          <cell r="A1321">
            <v>45362</v>
          </cell>
          <cell r="B1321">
            <v>1.6088875973000001</v>
          </cell>
          <cell r="C1321">
            <v>1.6084915826999999</v>
          </cell>
          <cell r="D1321">
            <v>1.6092837095000001</v>
          </cell>
        </row>
        <row r="1322">
          <cell r="A1322">
            <v>45363</v>
          </cell>
          <cell r="B1322">
            <v>1.6095250397</v>
          </cell>
          <cell r="C1322">
            <v>1.6091288681</v>
          </cell>
          <cell r="D1322">
            <v>1.6099213088</v>
          </cell>
        </row>
        <row r="1323">
          <cell r="A1323">
            <v>45364</v>
          </cell>
          <cell r="B1323">
            <v>1.6101627346</v>
          </cell>
          <cell r="C1323">
            <v>1.6097664061000001</v>
          </cell>
          <cell r="D1323">
            <v>1.6105591607</v>
          </cell>
        </row>
        <row r="1324">
          <cell r="A1324">
            <v>45365</v>
          </cell>
          <cell r="B1324">
            <v>1.6108006821</v>
          </cell>
          <cell r="C1324">
            <v>1.6104041966</v>
          </cell>
          <cell r="D1324">
            <v>1.6111972653</v>
          </cell>
        </row>
        <row r="1325">
          <cell r="A1325">
            <v>45366</v>
          </cell>
          <cell r="B1325">
            <v>1.6114388824999999</v>
          </cell>
          <cell r="C1325">
            <v>1.6110422399</v>
          </cell>
          <cell r="D1325">
            <v>1.6118356227999999</v>
          </cell>
        </row>
        <row r="1326">
          <cell r="A1326">
            <v>45369</v>
          </cell>
          <cell r="B1326">
            <v>1.6120773356</v>
          </cell>
          <cell r="C1326">
            <v>1.6116805357999999</v>
          </cell>
          <cell r="D1326">
            <v>1.6124742330999999</v>
          </cell>
        </row>
        <row r="1327">
          <cell r="A1327">
            <v>45370</v>
          </cell>
          <cell r="B1327">
            <v>1.6127160416999999</v>
          </cell>
          <cell r="C1327">
            <v>1.6123190848</v>
          </cell>
          <cell r="D1327">
            <v>1.6131130965</v>
          </cell>
        </row>
        <row r="1328">
          <cell r="A1328">
            <v>45371</v>
          </cell>
          <cell r="B1328">
            <v>1.6133550008999999</v>
          </cell>
          <cell r="C1328">
            <v>1.6129578867000001</v>
          </cell>
          <cell r="D1328">
            <v>1.6137522129999999</v>
          </cell>
        </row>
        <row r="1329">
          <cell r="A1329">
            <v>45372</v>
          </cell>
          <cell r="B1329">
            <v>1.6139942132</v>
          </cell>
          <cell r="C1329">
            <v>1.6135969417</v>
          </cell>
          <cell r="D1329">
            <v>1.6143915826999999</v>
          </cell>
        </row>
        <row r="1330">
          <cell r="A1330">
            <v>45373</v>
          </cell>
          <cell r="B1330">
            <v>1.6146336789</v>
          </cell>
          <cell r="C1330">
            <v>1.6142362499</v>
          </cell>
          <cell r="D1330">
            <v>1.6150312058</v>
          </cell>
        </row>
        <row r="1331">
          <cell r="A1331">
            <v>45376</v>
          </cell>
          <cell r="B1331">
            <v>1.6152733978</v>
          </cell>
          <cell r="C1331">
            <v>1.6148758113999999</v>
          </cell>
          <cell r="D1331">
            <v>1.6156710822</v>
          </cell>
        </row>
        <row r="1332">
          <cell r="A1332">
            <v>45377</v>
          </cell>
          <cell r="B1332">
            <v>1.6159133701999999</v>
          </cell>
          <cell r="C1332">
            <v>1.6155156262999999</v>
          </cell>
          <cell r="D1332">
            <v>1.6163112122000001</v>
          </cell>
        </row>
        <row r="1333">
          <cell r="A1333">
            <v>45378</v>
          </cell>
          <cell r="B1333">
            <v>1.6165535961999999</v>
          </cell>
          <cell r="C1333">
            <v>1.6161556947</v>
          </cell>
          <cell r="D1333">
            <v>1.6169515958</v>
          </cell>
        </row>
        <row r="1334">
          <cell r="A1334">
            <v>45379</v>
          </cell>
          <cell r="B1334">
            <v>1.6171940758000001</v>
          </cell>
          <cell r="C1334">
            <v>1.6167960165999999</v>
          </cell>
          <cell r="D1334">
            <v>1.6175922331000001</v>
          </cell>
        </row>
        <row r="1335">
          <cell r="A1335">
            <v>45383</v>
          </cell>
          <cell r="B1335">
            <v>1.6178348092999999</v>
          </cell>
          <cell r="C1335">
            <v>1.6174365924</v>
          </cell>
          <cell r="D1335">
            <v>1.6182331243000001</v>
          </cell>
        </row>
        <row r="1336">
          <cell r="A1336">
            <v>45384</v>
          </cell>
          <cell r="B1336">
            <v>1.6184757965000001</v>
          </cell>
          <cell r="C1336">
            <v>1.6180774218</v>
          </cell>
          <cell r="D1336">
            <v>1.6188742693</v>
          </cell>
        </row>
        <row r="1337">
          <cell r="A1337">
            <v>45385</v>
          </cell>
          <cell r="B1337">
            <v>1.6191170376999999</v>
          </cell>
          <cell r="C1337">
            <v>1.6187185051999999</v>
          </cell>
          <cell r="D1337">
            <v>1.6195156684000001</v>
          </cell>
        </row>
        <row r="1338">
          <cell r="A1338">
            <v>45386</v>
          </cell>
          <cell r="B1338">
            <v>1.6197585328999999</v>
          </cell>
          <cell r="C1338">
            <v>1.6193598425</v>
          </cell>
          <cell r="D1338">
            <v>1.6201573216</v>
          </cell>
        </row>
        <row r="1339">
          <cell r="A1339">
            <v>45387</v>
          </cell>
          <cell r="B1339">
            <v>1.6204002823000001</v>
          </cell>
          <cell r="C1339">
            <v>1.620001434</v>
          </cell>
          <cell r="D1339">
            <v>1.620799229</v>
          </cell>
        </row>
        <row r="1340">
          <cell r="A1340">
            <v>45390</v>
          </cell>
          <cell r="B1340">
            <v>1.6210422861</v>
          </cell>
          <cell r="C1340">
            <v>1.6206432797000001</v>
          </cell>
          <cell r="D1340">
            <v>1.6214413908</v>
          </cell>
        </row>
        <row r="1341">
          <cell r="A1341">
            <v>45391</v>
          </cell>
          <cell r="B1341">
            <v>1.6216845442000001</v>
          </cell>
          <cell r="C1341">
            <v>1.6212853797</v>
          </cell>
          <cell r="D1341">
            <v>1.6220838070000001</v>
          </cell>
        </row>
        <row r="1342">
          <cell r="A1342">
            <v>45392</v>
          </cell>
          <cell r="B1342">
            <v>1.6223270567000001</v>
          </cell>
          <cell r="C1342">
            <v>1.621927734</v>
          </cell>
          <cell r="D1342">
            <v>1.6227264776999999</v>
          </cell>
        </row>
        <row r="1343">
          <cell r="A1343">
            <v>45393</v>
          </cell>
          <cell r="B1343">
            <v>1.6229698237000001</v>
          </cell>
          <cell r="C1343">
            <v>1.6225703429</v>
          </cell>
          <cell r="D1343">
            <v>1.6233694030000001</v>
          </cell>
        </row>
        <row r="1344">
          <cell r="A1344">
            <v>45394</v>
          </cell>
          <cell r="B1344">
            <v>1.6236128454000001</v>
          </cell>
          <cell r="C1344">
            <v>1.6232132063</v>
          </cell>
          <cell r="D1344">
            <v>1.6240125830000001</v>
          </cell>
        </row>
        <row r="1345">
          <cell r="A1345">
            <v>45397</v>
          </cell>
          <cell r="B1345">
            <v>1.6242561219</v>
          </cell>
          <cell r="C1345">
            <v>1.6238563244999999</v>
          </cell>
          <cell r="D1345">
            <v>1.6246560179</v>
          </cell>
        </row>
        <row r="1346">
          <cell r="A1346">
            <v>45398</v>
          </cell>
          <cell r="B1346">
            <v>1.6248996533</v>
          </cell>
          <cell r="C1346">
            <v>1.6244996974000001</v>
          </cell>
          <cell r="D1346">
            <v>1.6252997077</v>
          </cell>
        </row>
        <row r="1347">
          <cell r="A1347">
            <v>45399</v>
          </cell>
          <cell r="B1347">
            <v>1.6255434396999999</v>
          </cell>
          <cell r="C1347">
            <v>1.6251433254000001</v>
          </cell>
          <cell r="D1347">
            <v>1.6259436526</v>
          </cell>
        </row>
        <row r="1348">
          <cell r="A1348">
            <v>45400</v>
          </cell>
          <cell r="B1348">
            <v>1.6261874811000001</v>
          </cell>
          <cell r="C1348">
            <v>1.6257872083</v>
          </cell>
          <cell r="D1348">
            <v>1.6265878525999999</v>
          </cell>
        </row>
        <row r="1349">
          <cell r="A1349">
            <v>45401</v>
          </cell>
          <cell r="B1349">
            <v>1.6268317777000001</v>
          </cell>
          <cell r="C1349">
            <v>1.6264313463</v>
          </cell>
          <cell r="D1349">
            <v>1.6272323077999999</v>
          </cell>
        </row>
        <row r="1350">
          <cell r="A1350">
            <v>45404</v>
          </cell>
          <cell r="B1350">
            <v>1.6274763295000001</v>
          </cell>
          <cell r="C1350">
            <v>1.6270757393999999</v>
          </cell>
          <cell r="D1350">
            <v>1.6278770183</v>
          </cell>
        </row>
        <row r="1351">
          <cell r="A1351">
            <v>45405</v>
          </cell>
          <cell r="B1351">
            <v>1.6281211367999999</v>
          </cell>
          <cell r="C1351">
            <v>1.627720388</v>
          </cell>
          <cell r="D1351">
            <v>1.6285219843000001</v>
          </cell>
        </row>
        <row r="1352">
          <cell r="A1352">
            <v>45406</v>
          </cell>
          <cell r="B1352">
            <v>1.6287661994</v>
          </cell>
          <cell r="C1352">
            <v>1.6283652919</v>
          </cell>
          <cell r="D1352">
            <v>1.6291672058</v>
          </cell>
        </row>
        <row r="1353">
          <cell r="A1353">
            <v>45407</v>
          </cell>
          <cell r="B1353">
            <v>1.6294115177999999</v>
          </cell>
          <cell r="C1353">
            <v>1.6290104513000001</v>
          </cell>
          <cell r="D1353">
            <v>1.6298126829999999</v>
          </cell>
        </row>
        <row r="1354">
          <cell r="A1354">
            <v>45408</v>
          </cell>
          <cell r="B1354">
            <v>1.6300570916999999</v>
          </cell>
          <cell r="C1354">
            <v>1.6296558664</v>
          </cell>
          <cell r="D1354">
            <v>1.6304584159</v>
          </cell>
        </row>
        <row r="1355">
          <cell r="A1355">
            <v>45411</v>
          </cell>
          <cell r="B1355">
            <v>1.6307029213999999</v>
          </cell>
          <cell r="C1355">
            <v>1.6303015371</v>
          </cell>
          <cell r="D1355">
            <v>1.6311044046000001</v>
          </cell>
        </row>
        <row r="1356">
          <cell r="A1356">
            <v>45412</v>
          </cell>
          <cell r="B1356">
            <v>1.6313490070000001</v>
          </cell>
          <cell r="C1356">
            <v>1.6309474637000001</v>
          </cell>
          <cell r="D1356">
            <v>1.6317506493</v>
          </cell>
        </row>
        <row r="1357">
          <cell r="A1357">
            <v>45414</v>
          </cell>
          <cell r="B1357">
            <v>1.6319953486000001</v>
          </cell>
          <cell r="C1357">
            <v>1.6315936462</v>
          </cell>
          <cell r="D1357">
            <v>1.6323971500000001</v>
          </cell>
        </row>
        <row r="1358">
          <cell r="A1358">
            <v>45415</v>
          </cell>
          <cell r="B1358">
            <v>1.6326419461999999</v>
          </cell>
          <cell r="C1358">
            <v>1.6322400847</v>
          </cell>
          <cell r="D1358">
            <v>1.6330439068</v>
          </cell>
        </row>
        <row r="1359">
          <cell r="A1359">
            <v>45418</v>
          </cell>
          <cell r="B1359">
            <v>1.6332888001000001</v>
          </cell>
          <cell r="C1359">
            <v>1.6328867792999999</v>
          </cell>
          <cell r="D1359">
            <v>1.6336909199</v>
          </cell>
        </row>
        <row r="1360">
          <cell r="A1360">
            <v>45419</v>
          </cell>
          <cell r="B1360">
            <v>1.6339359102</v>
          </cell>
          <cell r="C1360">
            <v>1.6335337301999999</v>
          </cell>
          <cell r="D1360">
            <v>1.6343381894</v>
          </cell>
        </row>
        <row r="1361">
          <cell r="A1361">
            <v>45420</v>
          </cell>
          <cell r="B1361">
            <v>1.6345832767999999</v>
          </cell>
          <cell r="C1361">
            <v>1.6341809374</v>
          </cell>
          <cell r="D1361">
            <v>1.6349857153</v>
          </cell>
        </row>
        <row r="1362">
          <cell r="A1362">
            <v>45421</v>
          </cell>
          <cell r="B1362">
            <v>1.6352308997</v>
          </cell>
          <cell r="C1362">
            <v>1.6348284009</v>
          </cell>
          <cell r="D1362">
            <v>1.6356334977</v>
          </cell>
        </row>
        <row r="1363">
          <cell r="A1363">
            <v>45422</v>
          </cell>
          <cell r="B1363">
            <v>1.6358787793</v>
          </cell>
          <cell r="C1363">
            <v>1.6354761209999999</v>
          </cell>
          <cell r="D1363">
            <v>1.6362815368000001</v>
          </cell>
        </row>
        <row r="1364">
          <cell r="A1364">
            <v>45425</v>
          </cell>
          <cell r="B1364">
            <v>1.6365269156</v>
          </cell>
          <cell r="C1364">
            <v>1.6361240978</v>
          </cell>
          <cell r="D1364">
            <v>1.6369298326999999</v>
          </cell>
        </row>
        <row r="1365">
          <cell r="A1365">
            <v>45426</v>
          </cell>
          <cell r="B1365">
            <v>1.6371753087000001</v>
          </cell>
          <cell r="C1365">
            <v>1.6367723313</v>
          </cell>
          <cell r="D1365">
            <v>1.6375783853999999</v>
          </cell>
        </row>
        <row r="1366">
          <cell r="A1366">
            <v>45427</v>
          </cell>
          <cell r="B1366">
            <v>1.6378239586000001</v>
          </cell>
          <cell r="C1366">
            <v>1.6374208214999999</v>
          </cell>
          <cell r="D1366">
            <v>1.638227195</v>
          </cell>
        </row>
        <row r="1367">
          <cell r="A1367">
            <v>45428</v>
          </cell>
          <cell r="B1367">
            <v>1.6384728656000001</v>
          </cell>
          <cell r="C1367">
            <v>1.6380695688</v>
          </cell>
          <cell r="D1367">
            <v>1.6388762617999999</v>
          </cell>
        </row>
        <row r="1368">
          <cell r="A1368">
            <v>45429</v>
          </cell>
          <cell r="B1368">
            <v>1.6391220297</v>
          </cell>
          <cell r="C1368">
            <v>1.6387185731</v>
          </cell>
          <cell r="D1368">
            <v>1.6395255857</v>
          </cell>
        </row>
        <row r="1369">
          <cell r="A1369">
            <v>45432</v>
          </cell>
          <cell r="B1369">
            <v>1.6397714509000001</v>
          </cell>
          <cell r="C1369">
            <v>1.6393678345</v>
          </cell>
          <cell r="D1369">
            <v>1.6401751668</v>
          </cell>
        </row>
        <row r="1370">
          <cell r="A1370">
            <v>45433</v>
          </cell>
          <cell r="B1370">
            <v>1.6404211295</v>
          </cell>
          <cell r="C1370">
            <v>1.6400173531</v>
          </cell>
          <cell r="D1370">
            <v>1.6408250053</v>
          </cell>
        </row>
        <row r="1371">
          <cell r="A1371">
            <v>45434</v>
          </cell>
          <cell r="B1371">
            <v>1.6410710655</v>
          </cell>
          <cell r="C1371">
            <v>1.6406671290999999</v>
          </cell>
          <cell r="D1371">
            <v>1.6414751013</v>
          </cell>
        </row>
        <row r="1372">
          <cell r="A1372">
            <v>45435</v>
          </cell>
          <cell r="B1372">
            <v>1.6417212589000001</v>
          </cell>
          <cell r="C1372">
            <v>1.6413171625</v>
          </cell>
          <cell r="D1372">
            <v>1.6421254547999999</v>
          </cell>
        </row>
        <row r="1373">
          <cell r="A1373">
            <v>45436</v>
          </cell>
          <cell r="B1373">
            <v>1.6423717099999999</v>
          </cell>
          <cell r="C1373">
            <v>1.6419674536</v>
          </cell>
          <cell r="D1373">
            <v>1.6427760660999999</v>
          </cell>
        </row>
        <row r="1374">
          <cell r="A1374">
            <v>45439</v>
          </cell>
          <cell r="B1374">
            <v>1.6430224187</v>
          </cell>
          <cell r="C1374">
            <v>1.6426180021000001</v>
          </cell>
          <cell r="D1374">
            <v>1.6434269349999999</v>
          </cell>
        </row>
        <row r="1375">
          <cell r="A1375">
            <v>45440</v>
          </cell>
          <cell r="B1375">
            <v>1.6436733854000001</v>
          </cell>
          <cell r="C1375">
            <v>1.6432688085</v>
          </cell>
          <cell r="D1375">
            <v>1.6440780618999999</v>
          </cell>
        </row>
        <row r="1376">
          <cell r="A1376">
            <v>45441</v>
          </cell>
          <cell r="B1376">
            <v>1.6443246099</v>
          </cell>
          <cell r="C1376">
            <v>1.6439198728</v>
          </cell>
          <cell r="D1376">
            <v>1.6447294468</v>
          </cell>
        </row>
        <row r="1377">
          <cell r="A1377">
            <v>45443</v>
          </cell>
          <cell r="B1377">
            <v>1.6449760924000001</v>
          </cell>
          <cell r="C1377">
            <v>1.6445711948999999</v>
          </cell>
          <cell r="D1377">
            <v>1.6453810897000001</v>
          </cell>
        </row>
        <row r="1378">
          <cell r="A1378">
            <v>45446</v>
          </cell>
          <cell r="B1378">
            <v>1.6456278331</v>
          </cell>
          <cell r="C1378">
            <v>1.6452227750999999</v>
          </cell>
          <cell r="D1378">
            <v>1.6460329908</v>
          </cell>
        </row>
        <row r="1379">
          <cell r="A1379">
            <v>45447</v>
          </cell>
          <cell r="B1379">
            <v>1.6462798319</v>
          </cell>
          <cell r="C1379">
            <v>1.6458746135</v>
          </cell>
          <cell r="D1379">
            <v>1.6466851501999999</v>
          </cell>
        </row>
        <row r="1380">
          <cell r="A1380">
            <v>45448</v>
          </cell>
          <cell r="B1380">
            <v>1.6469320891000001</v>
          </cell>
          <cell r="C1380">
            <v>1.6465267101000001</v>
          </cell>
          <cell r="D1380">
            <v>1.6473375679</v>
          </cell>
        </row>
        <row r="1381">
          <cell r="A1381">
            <v>45449</v>
          </cell>
          <cell r="B1381">
            <v>1.6475846047</v>
          </cell>
          <cell r="C1381">
            <v>1.6471790651</v>
          </cell>
          <cell r="D1381">
            <v>1.6479902442000001</v>
          </cell>
        </row>
        <row r="1382">
          <cell r="A1382">
            <v>45450</v>
          </cell>
          <cell r="B1382">
            <v>1.6482373788</v>
          </cell>
          <cell r="C1382">
            <v>1.6478316785</v>
          </cell>
          <cell r="D1382">
            <v>1.648643179</v>
          </cell>
        </row>
        <row r="1383">
          <cell r="A1383">
            <v>45453</v>
          </cell>
          <cell r="B1383">
            <v>1.6488904116</v>
          </cell>
          <cell r="C1383">
            <v>1.6484845506000001</v>
          </cell>
          <cell r="D1383">
            <v>1.6492963726000001</v>
          </cell>
        </row>
        <row r="1384">
          <cell r="A1384">
            <v>45454</v>
          </cell>
          <cell r="B1384">
            <v>1.6495437031</v>
          </cell>
          <cell r="C1384">
            <v>1.6491376813</v>
          </cell>
          <cell r="D1384">
            <v>1.6499498249</v>
          </cell>
        </row>
        <row r="1385">
          <cell r="A1385">
            <v>45455</v>
          </cell>
          <cell r="B1385">
            <v>1.6501972535</v>
          </cell>
          <cell r="C1385">
            <v>1.6497910708000001</v>
          </cell>
          <cell r="D1385">
            <v>1.6506035362</v>
          </cell>
        </row>
        <row r="1386">
          <cell r="A1386">
            <v>45456</v>
          </cell>
          <cell r="B1386">
            <v>1.6508510626999999</v>
          </cell>
          <cell r="C1386">
            <v>1.6504447191</v>
          </cell>
          <cell r="D1386">
            <v>1.6512575063999999</v>
          </cell>
        </row>
        <row r="1387">
          <cell r="A1387">
            <v>45457</v>
          </cell>
          <cell r="B1387">
            <v>1.651505131</v>
          </cell>
          <cell r="C1387">
            <v>1.6510986264</v>
          </cell>
          <cell r="D1387">
            <v>1.6519117356999999</v>
          </cell>
        </row>
        <row r="1388">
          <cell r="A1388">
            <v>45460</v>
          </cell>
          <cell r="B1388">
            <v>1.6521594584999999</v>
          </cell>
          <cell r="C1388">
            <v>1.6517527928</v>
          </cell>
          <cell r="D1388">
            <v>1.6525662243000001</v>
          </cell>
        </row>
        <row r="1389">
          <cell r="A1389">
            <v>45461</v>
          </cell>
          <cell r="B1389">
            <v>1.6528140452</v>
          </cell>
          <cell r="C1389">
            <v>1.6524072184</v>
          </cell>
          <cell r="D1389">
            <v>1.6532209722</v>
          </cell>
        </row>
        <row r="1390">
          <cell r="A1390">
            <v>45462</v>
          </cell>
          <cell r="B1390">
            <v>1.6534688912</v>
          </cell>
          <cell r="C1390">
            <v>1.6530619032</v>
          </cell>
          <cell r="D1390">
            <v>1.6538759794</v>
          </cell>
        </row>
        <row r="1391">
          <cell r="A1391">
            <v>45463</v>
          </cell>
          <cell r="B1391">
            <v>1.6541239967000001</v>
          </cell>
          <cell r="C1391">
            <v>1.6537168474999999</v>
          </cell>
          <cell r="D1391">
            <v>1.6545312461999999</v>
          </cell>
        </row>
        <row r="1392">
          <cell r="A1392">
            <v>45464</v>
          </cell>
          <cell r="B1392">
            <v>1.6547793617</v>
          </cell>
          <cell r="C1392">
            <v>1.6543720512</v>
          </cell>
          <cell r="D1392">
            <v>1.6551867726</v>
          </cell>
        </row>
        <row r="1393">
          <cell r="A1393">
            <v>45467</v>
          </cell>
          <cell r="B1393">
            <v>1.6554349864</v>
          </cell>
          <cell r="C1393">
            <v>1.6550275145</v>
          </cell>
          <cell r="D1393">
            <v>1.6558425587000001</v>
          </cell>
        </row>
        <row r="1394">
          <cell r="A1394">
            <v>45468</v>
          </cell>
          <cell r="B1394">
            <v>1.6560908709</v>
          </cell>
          <cell r="C1394">
            <v>1.6556832375999999</v>
          </cell>
          <cell r="D1394">
            <v>1.6564986047000001</v>
          </cell>
        </row>
        <row r="1395">
          <cell r="A1395">
            <v>45469</v>
          </cell>
          <cell r="B1395">
            <v>1.6567470151999999</v>
          </cell>
          <cell r="C1395">
            <v>1.6563392204</v>
          </cell>
          <cell r="D1395">
            <v>1.6571549105000001</v>
          </cell>
        </row>
        <row r="1396">
          <cell r="A1396">
            <v>45470</v>
          </cell>
          <cell r="B1396">
            <v>1.6574034195</v>
          </cell>
          <cell r="C1396">
            <v>1.6569954630999999</v>
          </cell>
          <cell r="D1396">
            <v>1.6578114764</v>
          </cell>
        </row>
        <row r="1397">
          <cell r="A1397">
            <v>45471</v>
          </cell>
          <cell r="B1397">
            <v>1.6580600838999999</v>
          </cell>
          <cell r="C1397">
            <v>1.6576519659</v>
          </cell>
          <cell r="D1397">
            <v>1.6584683025</v>
          </cell>
        </row>
        <row r="1398">
          <cell r="A1398">
            <v>45474</v>
          </cell>
          <cell r="B1398">
            <v>1.6587170084</v>
          </cell>
          <cell r="C1398">
            <v>1.6583087286</v>
          </cell>
          <cell r="D1398">
            <v>1.6591253886999999</v>
          </cell>
        </row>
        <row r="1399">
          <cell r="A1399">
            <v>45475</v>
          </cell>
          <cell r="B1399">
            <v>1.6594103401</v>
          </cell>
          <cell r="C1399">
            <v>1.6590018897000001</v>
          </cell>
          <cell r="D1399">
            <v>1.6598188911</v>
          </cell>
        </row>
        <row r="1400">
          <cell r="A1400">
            <v>45476</v>
          </cell>
          <cell r="B1400">
            <v>1.6601039614999999</v>
          </cell>
          <cell r="C1400">
            <v>1.6596953404000001</v>
          </cell>
          <cell r="D1400">
            <v>1.6605126832999999</v>
          </cell>
        </row>
        <row r="1401">
          <cell r="A1401">
            <v>45477</v>
          </cell>
          <cell r="B1401">
            <v>1.6607978728999999</v>
          </cell>
          <cell r="C1401">
            <v>1.6603890808999999</v>
          </cell>
          <cell r="D1401">
            <v>1.6612067655</v>
          </cell>
        </row>
        <row r="1402">
          <cell r="A1402">
            <v>45478</v>
          </cell>
          <cell r="B1402">
            <v>1.6614920742999999</v>
          </cell>
          <cell r="C1402">
            <v>1.6610831116</v>
          </cell>
          <cell r="D1402">
            <v>1.6619011378999999</v>
          </cell>
        </row>
        <row r="1403">
          <cell r="A1403">
            <v>45481</v>
          </cell>
          <cell r="B1403">
            <v>1.6621865659999999</v>
          </cell>
          <cell r="C1403">
            <v>1.6617774322000001</v>
          </cell>
          <cell r="D1403">
            <v>1.6625958005000001</v>
          </cell>
        </row>
        <row r="1404">
          <cell r="A1404">
            <v>45482</v>
          </cell>
          <cell r="B1404">
            <v>1.6628813478</v>
          </cell>
          <cell r="C1404">
            <v>1.6624720431</v>
          </cell>
          <cell r="D1404">
            <v>1.6632907534000001</v>
          </cell>
        </row>
        <row r="1405">
          <cell r="A1405">
            <v>45483</v>
          </cell>
          <cell r="B1405">
            <v>1.6635764202000001</v>
          </cell>
          <cell r="C1405">
            <v>1.6631669442999999</v>
          </cell>
          <cell r="D1405">
            <v>1.6639859968999999</v>
          </cell>
        </row>
        <row r="1406">
          <cell r="A1406">
            <v>45484</v>
          </cell>
          <cell r="B1406">
            <v>1.664271783</v>
          </cell>
          <cell r="C1406">
            <v>1.6638621360000001</v>
          </cell>
          <cell r="D1406">
            <v>1.6646815309</v>
          </cell>
        </row>
        <row r="1407">
          <cell r="A1407">
            <v>45485</v>
          </cell>
          <cell r="B1407">
            <v>1.6649674365</v>
          </cell>
          <cell r="C1407">
            <v>1.6645576182999999</v>
          </cell>
          <cell r="D1407">
            <v>1.6653773557</v>
          </cell>
        </row>
        <row r="1408">
          <cell r="A1408">
            <v>45488</v>
          </cell>
          <cell r="B1408">
            <v>1.6656633808000001</v>
          </cell>
          <cell r="C1408">
            <v>1.6652533912</v>
          </cell>
          <cell r="D1408">
            <v>1.6660734713000001</v>
          </cell>
        </row>
        <row r="1409">
          <cell r="A1409">
            <v>45489</v>
          </cell>
          <cell r="B1409">
            <v>1.6663596159</v>
          </cell>
          <cell r="C1409">
            <v>1.6659494551</v>
          </cell>
          <cell r="D1409">
            <v>1.6667698779</v>
          </cell>
        </row>
        <row r="1410">
          <cell r="A1410">
            <v>45490</v>
          </cell>
          <cell r="B1410">
            <v>1.6670561422000001</v>
          </cell>
          <cell r="C1410">
            <v>1.6666458098000001</v>
          </cell>
          <cell r="D1410">
            <v>1.6674665756</v>
          </cell>
        </row>
        <row r="1411">
          <cell r="A1411">
            <v>45491</v>
          </cell>
          <cell r="B1411">
            <v>1.6677529595</v>
          </cell>
          <cell r="C1411">
            <v>1.6673424556000001</v>
          </cell>
          <cell r="D1411">
            <v>1.6681635644999999</v>
          </cell>
        </row>
        <row r="1412">
          <cell r="A1412">
            <v>45492</v>
          </cell>
          <cell r="B1412">
            <v>1.6684500681000001</v>
          </cell>
          <cell r="C1412">
            <v>1.6680393925999999</v>
          </cell>
          <cell r="D1412">
            <v>1.6688608447</v>
          </cell>
        </row>
        <row r="1413">
          <cell r="A1413">
            <v>45495</v>
          </cell>
          <cell r="B1413">
            <v>1.6691474681</v>
          </cell>
          <cell r="C1413">
            <v>1.6687366210000001</v>
          </cell>
          <cell r="D1413">
            <v>1.6695584163999999</v>
          </cell>
        </row>
        <row r="1414">
          <cell r="A1414">
            <v>45496</v>
          </cell>
          <cell r="B1414">
            <v>1.6698451595999999</v>
          </cell>
          <cell r="C1414">
            <v>1.6694341408</v>
          </cell>
          <cell r="D1414">
            <v>1.6702562797</v>
          </cell>
        </row>
        <row r="1415">
          <cell r="A1415">
            <v>45497</v>
          </cell>
          <cell r="B1415">
            <v>1.6705431427999999</v>
          </cell>
          <cell r="C1415">
            <v>1.6701319521</v>
          </cell>
          <cell r="D1415">
            <v>1.6709544347</v>
          </cell>
        </row>
        <row r="1416">
          <cell r="A1416">
            <v>45498</v>
          </cell>
          <cell r="B1416">
            <v>1.6712414175999999</v>
          </cell>
          <cell r="C1416">
            <v>1.6708300550999999</v>
          </cell>
          <cell r="D1416">
            <v>1.6716528815</v>
          </cell>
        </row>
        <row r="1417">
          <cell r="A1417">
            <v>45499</v>
          </cell>
          <cell r="B1417">
            <v>1.6719399843</v>
          </cell>
          <cell r="C1417">
            <v>1.6715284499</v>
          </cell>
          <cell r="D1417">
            <v>1.6723516201999999</v>
          </cell>
        </row>
        <row r="1418">
          <cell r="A1418">
            <v>45502</v>
          </cell>
          <cell r="B1418">
            <v>1.6726388431000001</v>
          </cell>
          <cell r="C1418">
            <v>1.6722271366000001</v>
          </cell>
          <cell r="D1418">
            <v>1.6730506510000001</v>
          </cell>
        </row>
        <row r="1419">
          <cell r="A1419">
            <v>45503</v>
          </cell>
          <cell r="B1419">
            <v>1.6733379939999999</v>
          </cell>
          <cell r="C1419">
            <v>1.6729261153999999</v>
          </cell>
          <cell r="D1419">
            <v>1.6737499739999999</v>
          </cell>
        </row>
        <row r="1420">
          <cell r="A1420">
            <v>45504</v>
          </cell>
          <cell r="B1420">
            <v>1.674037437</v>
          </cell>
          <cell r="C1420">
            <v>1.6736253862999999</v>
          </cell>
          <cell r="D1420">
            <v>1.6744495893</v>
          </cell>
        </row>
        <row r="1421">
          <cell r="A1421">
            <v>45505</v>
          </cell>
          <cell r="B1421">
            <v>1.6747371726</v>
          </cell>
          <cell r="C1421">
            <v>1.6743249495999999</v>
          </cell>
          <cell r="D1421">
            <v>1.6751494971000001</v>
          </cell>
        </row>
        <row r="1422">
          <cell r="A1422">
            <v>45506</v>
          </cell>
          <cell r="B1422">
            <v>1.6754372005</v>
          </cell>
          <cell r="C1422">
            <v>1.6750248053000001</v>
          </cell>
          <cell r="D1422">
            <v>1.6758496973999999</v>
          </cell>
        </row>
        <row r="1423">
          <cell r="A1423">
            <v>45509</v>
          </cell>
          <cell r="B1423">
            <v>1.6761375211</v>
          </cell>
          <cell r="C1423">
            <v>1.6757249535000001</v>
          </cell>
          <cell r="D1423">
            <v>1.6765501904</v>
          </cell>
        </row>
        <row r="1424">
          <cell r="A1424">
            <v>45510</v>
          </cell>
          <cell r="B1424">
            <v>1.6768381344000001</v>
          </cell>
          <cell r="C1424">
            <v>1.6764253943</v>
          </cell>
          <cell r="D1424">
            <v>1.6772509762000001</v>
          </cell>
        </row>
        <row r="1425">
          <cell r="A1425">
            <v>45511</v>
          </cell>
          <cell r="B1425">
            <v>1.6775390404999999</v>
          </cell>
          <cell r="C1425">
            <v>1.6771261279</v>
          </cell>
          <cell r="D1425">
            <v>1.6779520549</v>
          </cell>
        </row>
        <row r="1426">
          <cell r="A1426">
            <v>45512</v>
          </cell>
          <cell r="B1426">
            <v>1.6782402396</v>
          </cell>
          <cell r="C1426">
            <v>1.6778271544000001</v>
          </cell>
          <cell r="D1426">
            <v>1.6786534265999999</v>
          </cell>
        </row>
        <row r="1427">
          <cell r="A1427">
            <v>45513</v>
          </cell>
          <cell r="B1427">
            <v>1.6789417319</v>
          </cell>
          <cell r="C1427">
            <v>1.6785284739999999</v>
          </cell>
          <cell r="D1427">
            <v>1.6793550916</v>
          </cell>
        </row>
        <row r="1428">
          <cell r="A1428">
            <v>45516</v>
          </cell>
          <cell r="B1428">
            <v>1.6796435172999999</v>
          </cell>
          <cell r="C1428">
            <v>1.6792300867000001</v>
          </cell>
          <cell r="D1428">
            <v>1.6800570498</v>
          </cell>
        </row>
        <row r="1429">
          <cell r="A1429">
            <v>45517</v>
          </cell>
          <cell r="B1429">
            <v>1.6803455961</v>
          </cell>
          <cell r="C1429">
            <v>1.6799319926</v>
          </cell>
          <cell r="D1429">
            <v>1.6807593014</v>
          </cell>
        </row>
        <row r="1430">
          <cell r="A1430">
            <v>45518</v>
          </cell>
          <cell r="B1430">
            <v>1.6810479682999999</v>
          </cell>
          <cell r="C1430">
            <v>1.6806341920000001</v>
          </cell>
          <cell r="D1430">
            <v>1.6814618466</v>
          </cell>
        </row>
        <row r="1431">
          <cell r="A1431">
            <v>45519</v>
          </cell>
          <cell r="B1431">
            <v>1.6817506340999999</v>
          </cell>
          <cell r="C1431">
            <v>1.6813366849</v>
          </cell>
          <cell r="D1431">
            <v>1.6821646854000001</v>
          </cell>
        </row>
        <row r="1432">
          <cell r="A1432">
            <v>45520</v>
          </cell>
          <cell r="B1432">
            <v>1.6824535937</v>
          </cell>
          <cell r="C1432">
            <v>1.6820394714</v>
          </cell>
          <cell r="D1432">
            <v>1.6828678180000001</v>
          </cell>
        </row>
        <row r="1433">
          <cell r="A1433">
            <v>45523</v>
          </cell>
          <cell r="B1433">
            <v>1.683156847</v>
          </cell>
          <cell r="C1433">
            <v>1.6827425516000001</v>
          </cell>
          <cell r="D1433">
            <v>1.6835712445</v>
          </cell>
        </row>
        <row r="1434">
          <cell r="A1434">
            <v>45524</v>
          </cell>
          <cell r="B1434">
            <v>1.6838603942999999</v>
          </cell>
          <cell r="C1434">
            <v>1.6834459257000001</v>
          </cell>
          <cell r="D1434">
            <v>1.684274965</v>
          </cell>
        </row>
        <row r="1435">
          <cell r="A1435">
            <v>45525</v>
          </cell>
          <cell r="B1435">
            <v>1.6845642356999999</v>
          </cell>
          <cell r="C1435">
            <v>1.6841495939</v>
          </cell>
          <cell r="D1435">
            <v>1.6849789797000001</v>
          </cell>
        </row>
        <row r="1436">
          <cell r="A1436">
            <v>45526</v>
          </cell>
          <cell r="B1436">
            <v>1.6852683714000001</v>
          </cell>
          <cell r="C1436">
            <v>1.6848535562</v>
          </cell>
          <cell r="D1436">
            <v>1.6856832886999999</v>
          </cell>
        </row>
        <row r="1437">
          <cell r="A1437">
            <v>45527</v>
          </cell>
          <cell r="B1437">
            <v>1.6859728011999999</v>
          </cell>
          <cell r="C1437">
            <v>1.6855578126999999</v>
          </cell>
          <cell r="D1437">
            <v>1.6863878919999999</v>
          </cell>
        </row>
        <row r="1438">
          <cell r="A1438">
            <v>45530</v>
          </cell>
          <cell r="B1438">
            <v>1.6866775255999999</v>
          </cell>
          <cell r="C1438">
            <v>1.6862623636</v>
          </cell>
          <cell r="D1438">
            <v>1.6870927898999999</v>
          </cell>
        </row>
        <row r="1439">
          <cell r="A1439">
            <v>45531</v>
          </cell>
          <cell r="B1439">
            <v>1.6873825444999999</v>
          </cell>
          <cell r="C1439">
            <v>1.6869672090000001</v>
          </cell>
          <cell r="D1439">
            <v>1.6877979824</v>
          </cell>
        </row>
        <row r="1440">
          <cell r="A1440">
            <v>45532</v>
          </cell>
          <cell r="B1440">
            <v>1.6880878582000001</v>
          </cell>
          <cell r="C1440">
            <v>1.6876723491000001</v>
          </cell>
          <cell r="D1440">
            <v>1.6885034697000001</v>
          </cell>
        </row>
        <row r="1441">
          <cell r="A1441">
            <v>45533</v>
          </cell>
          <cell r="B1441">
            <v>1.6887934667</v>
          </cell>
          <cell r="C1441">
            <v>1.6883777839</v>
          </cell>
          <cell r="D1441">
            <v>1.6892092518999999</v>
          </cell>
        </row>
        <row r="1442">
          <cell r="A1442">
            <v>45534</v>
          </cell>
          <cell r="B1442">
            <v>1.6894993701000001</v>
          </cell>
          <cell r="C1442">
            <v>1.6890835135</v>
          </cell>
          <cell r="D1442">
            <v>1.6899153291</v>
          </cell>
        </row>
        <row r="1443">
          <cell r="A1443">
            <v>45537</v>
          </cell>
          <cell r="B1443">
            <v>1.6902055684999999</v>
          </cell>
          <cell r="C1443">
            <v>1.6897895381000001</v>
          </cell>
          <cell r="D1443">
            <v>1.6906217014</v>
          </cell>
        </row>
        <row r="1444">
          <cell r="A1444">
            <v>45538</v>
          </cell>
          <cell r="B1444">
            <v>1.6909120621</v>
          </cell>
          <cell r="C1444">
            <v>1.6904958578</v>
          </cell>
          <cell r="D1444">
            <v>1.6913283689</v>
          </cell>
        </row>
        <row r="1445">
          <cell r="A1445">
            <v>45539</v>
          </cell>
          <cell r="B1445">
            <v>1.6916188511000001</v>
          </cell>
          <cell r="C1445">
            <v>1.6912024727999999</v>
          </cell>
          <cell r="D1445">
            <v>1.6920353319000001</v>
          </cell>
        </row>
        <row r="1446">
          <cell r="A1446">
            <v>45540</v>
          </cell>
          <cell r="B1446">
            <v>1.6923259355</v>
          </cell>
          <cell r="C1446">
            <v>1.6919093832000001</v>
          </cell>
          <cell r="D1446">
            <v>1.6927425904</v>
          </cell>
        </row>
        <row r="1447">
          <cell r="A1447">
            <v>45541</v>
          </cell>
          <cell r="B1447">
            <v>1.6930333153999999</v>
          </cell>
          <cell r="C1447">
            <v>1.692616589</v>
          </cell>
          <cell r="D1447">
            <v>1.6934501445000001</v>
          </cell>
        </row>
        <row r="1448">
          <cell r="A1448">
            <v>45544</v>
          </cell>
          <cell r="B1448">
            <v>1.6937409910000001</v>
          </cell>
          <cell r="C1448">
            <v>1.6933240904</v>
          </cell>
          <cell r="D1448">
            <v>1.6941579943</v>
          </cell>
        </row>
        <row r="1449">
          <cell r="A1449">
            <v>45545</v>
          </cell>
          <cell r="B1449">
            <v>1.6944489624000001</v>
          </cell>
          <cell r="C1449">
            <v>1.6940318875</v>
          </cell>
          <cell r="D1449">
            <v>1.69486614</v>
          </cell>
        </row>
        <row r="1450">
          <cell r="A1450">
            <v>45546</v>
          </cell>
          <cell r="B1450">
            <v>1.6951572296999999</v>
          </cell>
          <cell r="C1450">
            <v>1.6947399805000001</v>
          </cell>
          <cell r="D1450">
            <v>1.6955745817000001</v>
          </cell>
        </row>
        <row r="1451">
          <cell r="A1451">
            <v>45547</v>
          </cell>
          <cell r="B1451">
            <v>1.6958657932000001</v>
          </cell>
          <cell r="C1451">
            <v>1.6954483696</v>
          </cell>
          <cell r="D1451">
            <v>1.6962833196</v>
          </cell>
        </row>
        <row r="1452">
          <cell r="A1452">
            <v>45548</v>
          </cell>
          <cell r="B1452">
            <v>1.6965746527000001</v>
          </cell>
          <cell r="C1452">
            <v>1.6961570546</v>
          </cell>
          <cell r="D1452">
            <v>1.6969923537</v>
          </cell>
        </row>
        <row r="1453">
          <cell r="A1453">
            <v>45551</v>
          </cell>
          <cell r="B1453">
            <v>1.6972838084999999</v>
          </cell>
          <cell r="C1453">
            <v>1.6968660359000001</v>
          </cell>
          <cell r="D1453">
            <v>1.6977016841000001</v>
          </cell>
        </row>
        <row r="1454">
          <cell r="A1454">
            <v>45552</v>
          </cell>
          <cell r="B1454">
            <v>1.6979932608999999</v>
          </cell>
          <cell r="C1454">
            <v>1.6975753136</v>
          </cell>
          <cell r="D1454">
            <v>1.6984113111000001</v>
          </cell>
        </row>
        <row r="1455">
          <cell r="A1455">
            <v>45553</v>
          </cell>
          <cell r="B1455">
            <v>1.6987030097</v>
          </cell>
          <cell r="C1455">
            <v>1.6982848878000001</v>
          </cell>
          <cell r="D1455">
            <v>1.6991212347</v>
          </cell>
        </row>
        <row r="1456">
          <cell r="A1456">
            <v>45554</v>
          </cell>
          <cell r="B1456">
            <v>1.6994130552</v>
          </cell>
          <cell r="C1456">
            <v>1.6989947585</v>
          </cell>
          <cell r="D1456">
            <v>1.699831455</v>
          </cell>
        </row>
        <row r="1457">
          <cell r="A1457">
            <v>45555</v>
          </cell>
          <cell r="B1457">
            <v>1.7001233975000001</v>
          </cell>
          <cell r="C1457">
            <v>1.6997049259000001</v>
          </cell>
          <cell r="D1457">
            <v>1.7005419721999999</v>
          </cell>
        </row>
        <row r="1458">
          <cell r="A1458">
            <v>45558</v>
          </cell>
          <cell r="B1458">
            <v>1.7008340367000001</v>
          </cell>
          <cell r="C1458">
            <v>1.7004153902000001</v>
          </cell>
          <cell r="D1458">
            <v>1.7012527863</v>
          </cell>
        </row>
        <row r="1459">
          <cell r="A1459">
            <v>45559</v>
          </cell>
          <cell r="B1459">
            <v>1.7015449729000001</v>
          </cell>
          <cell r="C1459">
            <v>1.7011261514</v>
          </cell>
          <cell r="D1459">
            <v>1.7019638976</v>
          </cell>
        </row>
        <row r="1460">
          <cell r="A1460">
            <v>45560</v>
          </cell>
          <cell r="B1460">
            <v>1.7022562064</v>
          </cell>
          <cell r="C1460">
            <v>1.7018372099000001</v>
          </cell>
          <cell r="D1460">
            <v>1.7026753062</v>
          </cell>
        </row>
        <row r="1461">
          <cell r="A1461">
            <v>45561</v>
          </cell>
          <cell r="B1461">
            <v>1.7029677371</v>
          </cell>
          <cell r="C1461">
            <v>1.7025485654000001</v>
          </cell>
          <cell r="D1461">
            <v>1.7033870121000001</v>
          </cell>
        </row>
        <row r="1462">
          <cell r="A1462">
            <v>45562</v>
          </cell>
          <cell r="B1462">
            <v>1.7036795652000001</v>
          </cell>
          <cell r="C1462">
            <v>1.7032602183000001</v>
          </cell>
          <cell r="D1462">
            <v>1.7040990154</v>
          </cell>
        </row>
        <row r="1463">
          <cell r="A1463">
            <v>45565</v>
          </cell>
          <cell r="B1463">
            <v>1.7043916909000001</v>
          </cell>
          <cell r="C1463">
            <v>1.7039721687</v>
          </cell>
          <cell r="D1463">
            <v>1.7048113164000001</v>
          </cell>
        </row>
        <row r="1464">
          <cell r="A1464">
            <v>45566</v>
          </cell>
          <cell r="B1464">
            <v>1.7051041143000001</v>
          </cell>
          <cell r="C1464">
            <v>1.7046844166999999</v>
          </cell>
          <cell r="D1464">
            <v>1.7055239151999999</v>
          </cell>
        </row>
        <row r="1465">
          <cell r="A1465">
            <v>45567</v>
          </cell>
          <cell r="B1465">
            <v>1.7058168354000001</v>
          </cell>
          <cell r="C1465">
            <v>1.7053969624</v>
          </cell>
          <cell r="D1465">
            <v>1.7062368118</v>
          </cell>
        </row>
        <row r="1466">
          <cell r="A1466">
            <v>45568</v>
          </cell>
          <cell r="B1466">
            <v>1.7065298543</v>
          </cell>
          <cell r="C1466">
            <v>1.7061098058999999</v>
          </cell>
          <cell r="D1466">
            <v>1.7069500063</v>
          </cell>
        </row>
        <row r="1467">
          <cell r="A1467">
            <v>45569</v>
          </cell>
          <cell r="B1467">
            <v>1.7072431714</v>
          </cell>
          <cell r="C1467">
            <v>1.7068229474000001</v>
          </cell>
          <cell r="D1467">
            <v>1.7076634989999999</v>
          </cell>
        </row>
        <row r="1468">
          <cell r="A1468">
            <v>45572</v>
          </cell>
          <cell r="B1468">
            <v>1.7079567867000001</v>
          </cell>
          <cell r="C1468">
            <v>1.707536387</v>
          </cell>
          <cell r="D1468">
            <v>1.70837729</v>
          </cell>
        </row>
        <row r="1469">
          <cell r="A1469">
            <v>45573</v>
          </cell>
          <cell r="B1469">
            <v>1.7086707001999999</v>
          </cell>
          <cell r="C1469">
            <v>1.7082501246999999</v>
          </cell>
          <cell r="D1469">
            <v>1.7090913792</v>
          </cell>
        </row>
        <row r="1470">
          <cell r="A1470">
            <v>45574</v>
          </cell>
          <cell r="B1470">
            <v>1.7093849121</v>
          </cell>
          <cell r="C1470">
            <v>1.7089641608999999</v>
          </cell>
          <cell r="D1470">
            <v>1.709805767</v>
          </cell>
        </row>
        <row r="1471">
          <cell r="A1471">
            <v>45575</v>
          </cell>
          <cell r="B1471">
            <v>1.7100994225999999</v>
          </cell>
          <cell r="C1471">
            <v>1.7096784955</v>
          </cell>
          <cell r="D1471">
            <v>1.7105204534</v>
          </cell>
        </row>
        <row r="1472">
          <cell r="A1472">
            <v>45576</v>
          </cell>
          <cell r="B1472">
            <v>1.7108142316999999</v>
          </cell>
          <cell r="C1472">
            <v>1.7103931287</v>
          </cell>
          <cell r="D1472">
            <v>1.7112354384999999</v>
          </cell>
        </row>
        <row r="1473">
          <cell r="A1473">
            <v>45579</v>
          </cell>
          <cell r="B1473">
            <v>1.7115293396</v>
          </cell>
          <cell r="C1473">
            <v>1.7111080606</v>
          </cell>
          <cell r="D1473">
            <v>1.7119507224999999</v>
          </cell>
        </row>
        <row r="1474">
          <cell r="A1474">
            <v>45580</v>
          </cell>
          <cell r="B1474">
            <v>1.7122447463999999</v>
          </cell>
          <cell r="C1474">
            <v>1.7118232913</v>
          </cell>
          <cell r="D1474">
            <v>1.7126663054</v>
          </cell>
        </row>
        <row r="1475">
          <cell r="A1475">
            <v>45581</v>
          </cell>
          <cell r="B1475">
            <v>1.7129604522999999</v>
          </cell>
          <cell r="C1475">
            <v>1.7125388210000001</v>
          </cell>
          <cell r="D1475">
            <v>1.7133821874999999</v>
          </cell>
        </row>
        <row r="1476">
          <cell r="A1476">
            <v>45582</v>
          </cell>
          <cell r="B1476">
            <v>1.7136764573000001</v>
          </cell>
          <cell r="C1476">
            <v>1.7132546498000001</v>
          </cell>
          <cell r="D1476">
            <v>1.7140983688</v>
          </cell>
        </row>
        <row r="1477">
          <cell r="A1477">
            <v>45583</v>
          </cell>
          <cell r="B1477">
            <v>1.7143927616000001</v>
          </cell>
          <cell r="C1477">
            <v>1.7139707776999999</v>
          </cell>
          <cell r="D1477">
            <v>1.7148148494</v>
          </cell>
        </row>
        <row r="1478">
          <cell r="A1478">
            <v>45586</v>
          </cell>
          <cell r="B1478">
            <v>1.7151093652</v>
          </cell>
          <cell r="C1478">
            <v>1.7146872049999999</v>
          </cell>
          <cell r="D1478">
            <v>1.7155316295</v>
          </cell>
        </row>
        <row r="1479">
          <cell r="A1479">
            <v>45587</v>
          </cell>
          <cell r="B1479">
            <v>1.7158262685000001</v>
          </cell>
          <cell r="C1479">
            <v>1.7154039318000001</v>
          </cell>
          <cell r="D1479">
            <v>1.7162487093000001</v>
          </cell>
        </row>
        <row r="1480">
          <cell r="A1480">
            <v>45588</v>
          </cell>
          <cell r="B1480">
            <v>1.7165434715000001</v>
          </cell>
          <cell r="C1480">
            <v>1.7161209582000001</v>
          </cell>
          <cell r="D1480">
            <v>1.7169660888</v>
          </cell>
        </row>
        <row r="1481">
          <cell r="A1481">
            <v>45589</v>
          </cell>
          <cell r="B1481">
            <v>1.7172609741</v>
          </cell>
          <cell r="C1481">
            <v>1.7168382843000001</v>
          </cell>
          <cell r="D1481">
            <v>1.7176837680999999</v>
          </cell>
        </row>
        <row r="1482">
          <cell r="A1482">
            <v>45590</v>
          </cell>
          <cell r="B1482">
            <v>1.7179787767000001</v>
          </cell>
          <cell r="C1482">
            <v>1.7175559101</v>
          </cell>
          <cell r="D1482">
            <v>1.7184017474</v>
          </cell>
        </row>
        <row r="1483">
          <cell r="A1483">
            <v>45593</v>
          </cell>
          <cell r="B1483">
            <v>1.7186968793999999</v>
          </cell>
          <cell r="C1483">
            <v>1.7182738361000001</v>
          </cell>
          <cell r="D1483">
            <v>1.7191200269</v>
          </cell>
        </row>
        <row r="1484">
          <cell r="A1484">
            <v>45594</v>
          </cell>
          <cell r="B1484">
            <v>1.7194152820999999</v>
          </cell>
          <cell r="C1484">
            <v>1.7189920620000001</v>
          </cell>
          <cell r="D1484">
            <v>1.7198386065</v>
          </cell>
        </row>
        <row r="1485">
          <cell r="A1485">
            <v>45595</v>
          </cell>
          <cell r="B1485">
            <v>1.7201339852999999</v>
          </cell>
          <cell r="C1485">
            <v>1.7197105881999999</v>
          </cell>
          <cell r="D1485">
            <v>1.7205574866</v>
          </cell>
        </row>
        <row r="1486">
          <cell r="A1486">
            <v>45596</v>
          </cell>
          <cell r="B1486">
            <v>1.7208529886999999</v>
          </cell>
          <cell r="C1486">
            <v>1.7204294147000001</v>
          </cell>
          <cell r="D1486">
            <v>1.7212766670999999</v>
          </cell>
        </row>
        <row r="1487">
          <cell r="A1487">
            <v>45597</v>
          </cell>
          <cell r="B1487">
            <v>1.7215722926999999</v>
          </cell>
          <cell r="C1487">
            <v>1.7211485417000001</v>
          </cell>
          <cell r="D1487">
            <v>1.7219961481999999</v>
          </cell>
        </row>
        <row r="1488">
          <cell r="A1488">
            <v>45600</v>
          </cell>
          <cell r="B1488">
            <v>1.7222918974999999</v>
          </cell>
          <cell r="C1488">
            <v>1.7218679693000001</v>
          </cell>
          <cell r="D1488">
            <v>1.7227159300999999</v>
          </cell>
        </row>
        <row r="1489">
          <cell r="A1489">
            <v>45601</v>
          </cell>
          <cell r="B1489">
            <v>1.7230118028999999</v>
          </cell>
          <cell r="C1489">
            <v>1.7225876976000001</v>
          </cell>
          <cell r="D1489">
            <v>1.7234360127999999</v>
          </cell>
        </row>
        <row r="1490">
          <cell r="A1490">
            <v>45602</v>
          </cell>
          <cell r="B1490">
            <v>1.7237320092999999</v>
          </cell>
          <cell r="C1490">
            <v>1.7233077267000001</v>
          </cell>
          <cell r="D1490">
            <v>1.7241563965</v>
          </cell>
        </row>
        <row r="1491">
          <cell r="A1491">
            <v>45603</v>
          </cell>
          <cell r="B1491">
            <v>1.7244525167</v>
          </cell>
          <cell r="C1491">
            <v>1.7240280566999999</v>
          </cell>
          <cell r="D1491">
            <v>1.7248770813000001</v>
          </cell>
        </row>
        <row r="1492">
          <cell r="A1492">
            <v>45604</v>
          </cell>
          <cell r="B1492">
            <v>1.7251733253999999</v>
          </cell>
          <cell r="C1492">
            <v>1.724748688</v>
          </cell>
          <cell r="D1492">
            <v>1.7255980674</v>
          </cell>
        </row>
        <row r="1493">
          <cell r="A1493">
            <v>45607</v>
          </cell>
          <cell r="B1493">
            <v>1.7258944353000001</v>
          </cell>
          <cell r="C1493">
            <v>1.7254696204</v>
          </cell>
          <cell r="D1493">
            <v>1.7263193549</v>
          </cell>
        </row>
        <row r="1494">
          <cell r="A1494">
            <v>45608</v>
          </cell>
          <cell r="B1494">
            <v>1.7266158465999999</v>
          </cell>
          <cell r="C1494">
            <v>1.7261908540999999</v>
          </cell>
          <cell r="D1494">
            <v>1.7270409438000001</v>
          </cell>
        </row>
        <row r="1495">
          <cell r="A1495">
            <v>45609</v>
          </cell>
          <cell r="B1495">
            <v>1.7273375595</v>
          </cell>
          <cell r="C1495">
            <v>1.7269123894</v>
          </cell>
          <cell r="D1495">
            <v>1.7277628344</v>
          </cell>
        </row>
        <row r="1496">
          <cell r="A1496">
            <v>45610</v>
          </cell>
          <cell r="B1496">
            <v>1.7280595741</v>
          </cell>
          <cell r="C1496">
            <v>1.7276342262</v>
          </cell>
          <cell r="D1496">
            <v>1.7284850267</v>
          </cell>
        </row>
        <row r="1497">
          <cell r="A1497">
            <v>45614</v>
          </cell>
          <cell r="B1497">
            <v>1.7287818903000001</v>
          </cell>
          <cell r="C1497">
            <v>1.7283563647</v>
          </cell>
          <cell r="D1497">
            <v>1.7292075208</v>
          </cell>
        </row>
        <row r="1498">
          <cell r="A1498">
            <v>45615</v>
          </cell>
          <cell r="B1498">
            <v>1.7295045086</v>
          </cell>
          <cell r="C1498">
            <v>1.7290788050999999</v>
          </cell>
          <cell r="D1498">
            <v>1.729930317</v>
          </cell>
        </row>
        <row r="1499">
          <cell r="A1499">
            <v>45616</v>
          </cell>
          <cell r="B1499">
            <v>1.7302274288999999</v>
          </cell>
          <cell r="C1499">
            <v>1.7298015474999999</v>
          </cell>
          <cell r="D1499">
            <v>1.7306534152999999</v>
          </cell>
        </row>
        <row r="1500">
          <cell r="A1500">
            <v>45617</v>
          </cell>
          <cell r="B1500">
            <v>1.7309506513999999</v>
          </cell>
          <cell r="C1500">
            <v>1.7305245919000001</v>
          </cell>
          <cell r="D1500">
            <v>1.7313768158</v>
          </cell>
        </row>
        <row r="1501">
          <cell r="A1501">
            <v>45618</v>
          </cell>
          <cell r="B1501">
            <v>1.7316741761000001</v>
          </cell>
          <cell r="C1501">
            <v>1.7312479385999999</v>
          </cell>
          <cell r="D1501">
            <v>1.7321005187</v>
          </cell>
        </row>
        <row r="1502">
          <cell r="A1502">
            <v>45621</v>
          </cell>
          <cell r="B1502">
            <v>1.7323980033999999</v>
          </cell>
          <cell r="C1502">
            <v>1.7319715876999999</v>
          </cell>
          <cell r="D1502">
            <v>1.7328245242</v>
          </cell>
        </row>
        <row r="1503">
          <cell r="A1503">
            <v>45622</v>
          </cell>
          <cell r="B1503">
            <v>1.7331221331</v>
          </cell>
          <cell r="C1503">
            <v>1.7326955392000001</v>
          </cell>
          <cell r="D1503">
            <v>1.7335488321999999</v>
          </cell>
        </row>
        <row r="1504">
          <cell r="A1504">
            <v>45623</v>
          </cell>
          <cell r="B1504">
            <v>1.7338465655999999</v>
          </cell>
          <cell r="C1504">
            <v>1.7334197933</v>
          </cell>
          <cell r="D1504">
            <v>1.734273443</v>
          </cell>
        </row>
        <row r="1505">
          <cell r="A1505">
            <v>45624</v>
          </cell>
          <cell r="B1505">
            <v>1.7345713008999999</v>
          </cell>
          <cell r="C1505">
            <v>1.7341443502</v>
          </cell>
          <cell r="D1505">
            <v>1.7349983567</v>
          </cell>
        </row>
        <row r="1506">
          <cell r="A1506">
            <v>45625</v>
          </cell>
          <cell r="B1506">
            <v>1.7352963391</v>
          </cell>
          <cell r="C1506">
            <v>1.7348692099</v>
          </cell>
          <cell r="D1506">
            <v>1.7357235734000001</v>
          </cell>
        </row>
        <row r="1507">
          <cell r="A1507">
            <v>45628</v>
          </cell>
          <cell r="B1507">
            <v>1.7360216802999999</v>
          </cell>
          <cell r="C1507">
            <v>1.7355943726</v>
          </cell>
          <cell r="D1507">
            <v>1.7364490932000001</v>
          </cell>
        </row>
        <row r="1508">
          <cell r="A1508">
            <v>45629</v>
          </cell>
          <cell r="B1508">
            <v>1.7367473247</v>
          </cell>
          <cell r="C1508">
            <v>1.7363198385</v>
          </cell>
          <cell r="D1508">
            <v>1.7371749163000001</v>
          </cell>
        </row>
        <row r="1509">
          <cell r="A1509">
            <v>45630</v>
          </cell>
          <cell r="B1509">
            <v>1.7374732724999999</v>
          </cell>
          <cell r="C1509">
            <v>1.7370456075</v>
          </cell>
          <cell r="D1509">
            <v>1.7379010427999999</v>
          </cell>
        </row>
        <row r="1510">
          <cell r="A1510">
            <v>45631</v>
          </cell>
          <cell r="B1510">
            <v>1.7381995237000001</v>
          </cell>
          <cell r="C1510">
            <v>1.73777168</v>
          </cell>
          <cell r="D1510">
            <v>1.7386274728</v>
          </cell>
        </row>
        <row r="1511">
          <cell r="A1511">
            <v>45632</v>
          </cell>
          <cell r="B1511">
            <v>1.7389260784</v>
          </cell>
          <cell r="C1511">
            <v>1.7384980559000001</v>
          </cell>
          <cell r="D1511">
            <v>1.7393542064</v>
          </cell>
        </row>
        <row r="1512">
          <cell r="A1512">
            <v>45635</v>
          </cell>
          <cell r="B1512">
            <v>1.7396529368</v>
          </cell>
          <cell r="C1512">
            <v>1.7392247354000001</v>
          </cell>
          <cell r="D1512">
            <v>1.7400812438</v>
          </cell>
        </row>
        <row r="1513">
          <cell r="A1513">
            <v>45636</v>
          </cell>
          <cell r="B1513">
            <v>1.7403800991</v>
          </cell>
          <cell r="C1513">
            <v>1.7399517187</v>
          </cell>
          <cell r="D1513">
            <v>1.7408085850999999</v>
          </cell>
        </row>
        <row r="1514">
          <cell r="A1514">
            <v>45637</v>
          </cell>
          <cell r="B1514">
            <v>1.7411075653999999</v>
          </cell>
          <cell r="C1514">
            <v>1.7406790058999999</v>
          </cell>
          <cell r="D1514">
            <v>1.7415362304999999</v>
          </cell>
        </row>
        <row r="1515">
          <cell r="A1515">
            <v>45638</v>
          </cell>
          <cell r="B1515">
            <v>1.7418353356</v>
          </cell>
          <cell r="C1515">
            <v>1.7414065969999999</v>
          </cell>
          <cell r="D1515">
            <v>1.7422641799</v>
          </cell>
        </row>
        <row r="1516">
          <cell r="A1516">
            <v>45639</v>
          </cell>
          <cell r="B1516">
            <v>1.7425634102000001</v>
          </cell>
          <cell r="C1516">
            <v>1.7421344922999999</v>
          </cell>
          <cell r="D1516">
            <v>1.7429924337</v>
          </cell>
        </row>
        <row r="1517">
          <cell r="A1517">
            <v>45642</v>
          </cell>
          <cell r="B1517">
            <v>1.7432917890999999</v>
          </cell>
          <cell r="C1517">
            <v>1.7428626919000001</v>
          </cell>
          <cell r="D1517">
            <v>1.7437209919000001</v>
          </cell>
        </row>
        <row r="1518">
          <cell r="A1518">
            <v>45643</v>
          </cell>
          <cell r="B1518">
            <v>1.7440204722999999</v>
          </cell>
          <cell r="C1518">
            <v>1.7435911958999999</v>
          </cell>
          <cell r="D1518">
            <v>1.7444498546</v>
          </cell>
        </row>
        <row r="1519">
          <cell r="A1519">
            <v>45644</v>
          </cell>
          <cell r="B1519">
            <v>1.7447494602</v>
          </cell>
          <cell r="C1519">
            <v>1.7443200043</v>
          </cell>
          <cell r="D1519">
            <v>1.7451790219000001</v>
          </cell>
        </row>
        <row r="1520">
          <cell r="A1520">
            <v>45645</v>
          </cell>
          <cell r="B1520">
            <v>1.7454787527</v>
          </cell>
          <cell r="C1520">
            <v>1.7450491173</v>
          </cell>
          <cell r="D1520">
            <v>1.745908494</v>
          </cell>
        </row>
        <row r="1521">
          <cell r="A1521">
            <v>45646</v>
          </cell>
          <cell r="B1521">
            <v>1.7462083502000001</v>
          </cell>
          <cell r="C1521">
            <v>1.7457785351999999</v>
          </cell>
          <cell r="D1521">
            <v>1.7466382710999999</v>
          </cell>
        </row>
        <row r="1522">
          <cell r="A1522">
            <v>45649</v>
          </cell>
          <cell r="B1522">
            <v>1.7469382525999999</v>
          </cell>
          <cell r="C1522">
            <v>1.7465082579</v>
          </cell>
          <cell r="D1522">
            <v>1.7473683531999999</v>
          </cell>
        </row>
        <row r="1523">
          <cell r="A1523">
            <v>45650</v>
          </cell>
          <cell r="B1523">
            <v>1.7476684601000001</v>
          </cell>
          <cell r="C1523">
            <v>1.7472382856999999</v>
          </cell>
          <cell r="D1523">
            <v>1.7480987404999999</v>
          </cell>
        </row>
        <row r="1524">
          <cell r="A1524">
            <v>45652</v>
          </cell>
          <cell r="B1524">
            <v>1.7483989728</v>
          </cell>
          <cell r="C1524">
            <v>1.7479686185000001</v>
          </cell>
          <cell r="D1524">
            <v>1.748829433</v>
          </cell>
        </row>
        <row r="1525">
          <cell r="A1525">
            <v>45653</v>
          </cell>
          <cell r="B1525">
            <v>1.7491297908000001</v>
          </cell>
          <cell r="C1525">
            <v>1.7486992566999999</v>
          </cell>
          <cell r="D1525">
            <v>1.7495604309999999</v>
          </cell>
        </row>
        <row r="1526">
          <cell r="A1526">
            <v>45656</v>
          </cell>
          <cell r="B1526">
            <v>1.7498609142999999</v>
          </cell>
          <cell r="C1526">
            <v>1.7494302003</v>
          </cell>
          <cell r="D1526">
            <v>1.7502917345</v>
          </cell>
        </row>
        <row r="1527">
          <cell r="A1527">
            <v>45657</v>
          </cell>
          <cell r="B1527">
            <v>1.7505923433999999</v>
          </cell>
          <cell r="C1527">
            <v>1.7501614492999999</v>
          </cell>
          <cell r="D1527">
            <v>1.7510233437</v>
          </cell>
        </row>
        <row r="1528">
          <cell r="A1528">
            <v>45659</v>
          </cell>
          <cell r="B1528">
            <v>1.7513240783999999</v>
          </cell>
          <cell r="C1528">
            <v>1.7508930041999999</v>
          </cell>
          <cell r="D1528">
            <v>1.7517552588</v>
          </cell>
        </row>
        <row r="1529">
          <cell r="A1529">
            <v>45660</v>
          </cell>
          <cell r="B1529">
            <v>1.7520557327999999</v>
          </cell>
          <cell r="C1529">
            <v>1.7516244785999999</v>
          </cell>
          <cell r="D1529">
            <v>1.7524870934000001</v>
          </cell>
        </row>
        <row r="1530">
          <cell r="A1530">
            <v>45663</v>
          </cell>
          <cell r="B1530">
            <v>1.7527876930999999</v>
          </cell>
          <cell r="C1530">
            <v>1.7523562586999999</v>
          </cell>
          <cell r="D1530">
            <v>1.7532192338999999</v>
          </cell>
        </row>
        <row r="1531">
          <cell r="A1531">
            <v>45664</v>
          </cell>
          <cell r="B1531">
            <v>1.7535199591999999</v>
          </cell>
          <cell r="C1531">
            <v>1.7530883444000001</v>
          </cell>
          <cell r="D1531">
            <v>1.7539516801999999</v>
          </cell>
        </row>
        <row r="1532">
          <cell r="A1532">
            <v>45665</v>
          </cell>
          <cell r="B1532">
            <v>1.7542525309999999</v>
          </cell>
          <cell r="C1532">
            <v>1.753820736</v>
          </cell>
          <cell r="D1532">
            <v>1.7546844323999999</v>
          </cell>
        </row>
        <row r="1533">
          <cell r="A1533">
            <v>45666</v>
          </cell>
          <cell r="B1533">
            <v>1.7549854090000001</v>
          </cell>
          <cell r="C1533">
            <v>1.7545534334999999</v>
          </cell>
          <cell r="D1533">
            <v>1.7554174908</v>
          </cell>
        </row>
        <row r="1534">
          <cell r="A1534">
            <v>45667</v>
          </cell>
          <cell r="B1534">
            <v>1.7557185930999999</v>
          </cell>
          <cell r="C1534">
            <v>1.7552864372999999</v>
          </cell>
          <cell r="D1534">
            <v>1.7561508555000001</v>
          </cell>
        </row>
        <row r="1535">
          <cell r="A1535">
            <v>45670</v>
          </cell>
          <cell r="B1535">
            <v>1.7564520835999999</v>
          </cell>
          <cell r="C1535">
            <v>1.7560197471000001</v>
          </cell>
          <cell r="D1535">
            <v>1.7568845264999999</v>
          </cell>
        </row>
        <row r="1536">
          <cell r="A1536">
            <v>45671</v>
          </cell>
          <cell r="B1536">
            <v>1.7571858805</v>
          </cell>
          <cell r="C1536">
            <v>1.7567533635000001</v>
          </cell>
          <cell r="D1536">
            <v>1.7576185041000001</v>
          </cell>
        </row>
        <row r="1537">
          <cell r="A1537">
            <v>45672</v>
          </cell>
          <cell r="B1537">
            <v>1.7579199839999999</v>
          </cell>
          <cell r="C1537">
            <v>1.7574872861999999</v>
          </cell>
          <cell r="D1537">
            <v>1.7583527883000001</v>
          </cell>
        </row>
        <row r="1538">
          <cell r="A1538">
            <v>45673</v>
          </cell>
          <cell r="B1538">
            <v>1.7586543939999999</v>
          </cell>
          <cell r="C1538">
            <v>1.7582215155000001</v>
          </cell>
          <cell r="D1538">
            <v>1.7590873791999999</v>
          </cell>
        </row>
        <row r="1539">
          <cell r="A1539">
            <v>45674</v>
          </cell>
          <cell r="B1539">
            <v>1.759389111</v>
          </cell>
          <cell r="C1539">
            <v>1.7589560516</v>
          </cell>
          <cell r="D1539">
            <v>1.759822277</v>
          </cell>
        </row>
        <row r="1540">
          <cell r="A1540">
            <v>45677</v>
          </cell>
          <cell r="B1540">
            <v>1.7601241349000001</v>
          </cell>
          <cell r="C1540">
            <v>1.7596908946000001</v>
          </cell>
          <cell r="D1540">
            <v>1.7605574819000001</v>
          </cell>
        </row>
        <row r="1541">
          <cell r="A1541">
            <v>45678</v>
          </cell>
          <cell r="B1541">
            <v>1.7608594658000001</v>
          </cell>
          <cell r="C1541">
            <v>1.7604260446</v>
          </cell>
          <cell r="D1541">
            <v>1.7612929938999999</v>
          </cell>
        </row>
        <row r="1542">
          <cell r="A1542">
            <v>45679</v>
          </cell>
          <cell r="B1542">
            <v>1.761595104</v>
          </cell>
          <cell r="C1542">
            <v>1.7611615017</v>
          </cell>
          <cell r="D1542">
            <v>1.7620288131999999</v>
          </cell>
        </row>
        <row r="1543">
          <cell r="A1543">
            <v>45680</v>
          </cell>
          <cell r="B1543">
            <v>1.7623310495</v>
          </cell>
          <cell r="C1543">
            <v>1.7618972661000001</v>
          </cell>
          <cell r="D1543">
            <v>1.7627649399</v>
          </cell>
        </row>
        <row r="1544">
          <cell r="A1544">
            <v>45681</v>
          </cell>
          <cell r="B1544">
            <v>1.7630673025000001</v>
          </cell>
          <cell r="C1544">
            <v>1.7626333378000001</v>
          </cell>
          <cell r="D1544">
            <v>1.7635013741000001</v>
          </cell>
        </row>
        <row r="1545">
          <cell r="A1545">
            <v>45684</v>
          </cell>
          <cell r="B1545">
            <v>1.7638038629999999</v>
          </cell>
          <cell r="C1545">
            <v>1.763369717</v>
          </cell>
          <cell r="D1545">
            <v>1.764238116</v>
          </cell>
        </row>
        <row r="1546">
          <cell r="A1546">
            <v>45685</v>
          </cell>
          <cell r="B1546">
            <v>1.7645407312000001</v>
          </cell>
          <cell r="C1546">
            <v>1.7641064038000001</v>
          </cell>
          <cell r="D1546">
            <v>1.7649751655999999</v>
          </cell>
        </row>
        <row r="1547">
          <cell r="A1547">
            <v>45686</v>
          </cell>
          <cell r="B1547">
            <v>1.7652779073</v>
          </cell>
          <cell r="C1547">
            <v>1.7648433985</v>
          </cell>
          <cell r="D1547">
            <v>1.7657125231999999</v>
          </cell>
        </row>
        <row r="1548">
          <cell r="A1548">
            <v>45687</v>
          </cell>
          <cell r="B1548">
            <v>1.7660153914000001</v>
          </cell>
          <cell r="C1548">
            <v>1.7655807011</v>
          </cell>
          <cell r="D1548">
            <v>1.7664501888999999</v>
          </cell>
        </row>
        <row r="1549">
          <cell r="A1549">
            <v>45688</v>
          </cell>
          <cell r="B1549">
            <v>1.7667531836000001</v>
          </cell>
          <cell r="C1549">
            <v>1.7663183116000001</v>
          </cell>
          <cell r="D1549">
            <v>1.7671881626999999</v>
          </cell>
        </row>
        <row r="1550">
          <cell r="A1550">
            <v>45691</v>
          </cell>
          <cell r="B1550">
            <v>1.7674912840000001</v>
          </cell>
          <cell r="C1550">
            <v>1.7670562302999999</v>
          </cell>
          <cell r="D1550">
            <v>1.7679264448000001</v>
          </cell>
        </row>
        <row r="1551">
          <cell r="A1551">
            <v>45692</v>
          </cell>
          <cell r="B1551">
            <v>1.7682296927000001</v>
          </cell>
          <cell r="C1551">
            <v>1.7677944573</v>
          </cell>
          <cell r="D1551">
            <v>1.7686650353</v>
          </cell>
        </row>
        <row r="1552">
          <cell r="A1552">
            <v>45693</v>
          </cell>
          <cell r="B1552">
            <v>1.7689684099</v>
          </cell>
          <cell r="C1552">
            <v>1.7685329927</v>
          </cell>
          <cell r="D1552">
            <v>1.7694039344000001</v>
          </cell>
        </row>
        <row r="1553">
          <cell r="A1553">
            <v>45694</v>
          </cell>
          <cell r="B1553">
            <v>1.7697074358</v>
          </cell>
          <cell r="C1553">
            <v>1.7692718366</v>
          </cell>
          <cell r="D1553">
            <v>1.7701431422</v>
          </cell>
        </row>
        <row r="1554">
          <cell r="A1554">
            <v>45695</v>
          </cell>
          <cell r="B1554">
            <v>1.7704467704</v>
          </cell>
          <cell r="C1554">
            <v>1.7700109893</v>
          </cell>
          <cell r="D1554">
            <v>1.7708826589</v>
          </cell>
        </row>
        <row r="1555">
          <cell r="A1555">
            <v>45698</v>
          </cell>
          <cell r="B1555">
            <v>1.7711864138</v>
          </cell>
          <cell r="C1555">
            <v>1.7707504507</v>
          </cell>
          <cell r="D1555">
            <v>1.7716224843999999</v>
          </cell>
        </row>
        <row r="1556">
          <cell r="A1556">
            <v>45699</v>
          </cell>
          <cell r="B1556">
            <v>1.7719263663</v>
          </cell>
          <cell r="C1556">
            <v>1.7714902211000001</v>
          </cell>
          <cell r="D1556">
            <v>1.7723626190999999</v>
          </cell>
        </row>
        <row r="1557">
          <cell r="A1557">
            <v>45700</v>
          </cell>
          <cell r="B1557">
            <v>1.7726666280000001</v>
          </cell>
          <cell r="C1557">
            <v>1.7722303005</v>
          </cell>
          <cell r="D1557">
            <v>1.773103063</v>
          </cell>
        </row>
        <row r="1558">
          <cell r="A1558">
            <v>45701</v>
          </cell>
          <cell r="B1558">
            <v>1.7734071989</v>
          </cell>
          <cell r="C1558">
            <v>1.7729706891000001</v>
          </cell>
          <cell r="D1558">
            <v>1.7738438162000001</v>
          </cell>
        </row>
        <row r="1559">
          <cell r="A1559">
            <v>45702</v>
          </cell>
          <cell r="B1559">
            <v>1.7741480790999999</v>
          </cell>
          <cell r="C1559">
            <v>1.7737113869000001</v>
          </cell>
          <cell r="D1559">
            <v>1.7745848788</v>
          </cell>
        </row>
        <row r="1560">
          <cell r="A1560">
            <v>45705</v>
          </cell>
          <cell r="B1560">
            <v>1.7748892689</v>
          </cell>
          <cell r="C1560">
            <v>1.7744523942999999</v>
          </cell>
          <cell r="D1560">
            <v>1.7753262511000001</v>
          </cell>
        </row>
        <row r="1561">
          <cell r="A1561">
            <v>45706</v>
          </cell>
          <cell r="B1561">
            <v>1.7756307683000001</v>
          </cell>
          <cell r="C1561">
            <v>1.7751937112</v>
          </cell>
          <cell r="D1561">
            <v>1.7760679331</v>
          </cell>
        </row>
        <row r="1562">
          <cell r="A1562">
            <v>45707</v>
          </cell>
          <cell r="B1562">
            <v>1.7763725775000001</v>
          </cell>
          <cell r="C1562">
            <v>1.7759353378</v>
          </cell>
          <cell r="D1562">
            <v>1.7768099249</v>
          </cell>
        </row>
        <row r="1563">
          <cell r="A1563">
            <v>45708</v>
          </cell>
          <cell r="B1563">
            <v>1.7771146966</v>
          </cell>
          <cell r="C1563">
            <v>1.7766772742000001</v>
          </cell>
          <cell r="D1563">
            <v>1.7775522266999999</v>
          </cell>
        </row>
        <row r="1564">
          <cell r="A1564">
            <v>45709</v>
          </cell>
          <cell r="B1564">
            <v>1.7778571258</v>
          </cell>
          <cell r="C1564">
            <v>1.7774195207000001</v>
          </cell>
          <cell r="D1564">
            <v>1.7782948386999999</v>
          </cell>
        </row>
        <row r="1565">
          <cell r="A1565">
            <v>45712</v>
          </cell>
          <cell r="B1565">
            <v>1.7785998649999999</v>
          </cell>
          <cell r="C1565">
            <v>1.7781620771</v>
          </cell>
          <cell r="D1565">
            <v>1.7790377608000001</v>
          </cell>
        </row>
        <row r="1566">
          <cell r="A1566">
            <v>45713</v>
          </cell>
          <cell r="B1566">
            <v>1.7793429146999999</v>
          </cell>
          <cell r="C1566">
            <v>1.7789049439</v>
          </cell>
          <cell r="D1566">
            <v>1.7797809934</v>
          </cell>
        </row>
        <row r="1567">
          <cell r="A1567">
            <v>45714</v>
          </cell>
          <cell r="B1567">
            <v>1.7800862746999999</v>
          </cell>
          <cell r="C1567">
            <v>1.7796481208999999</v>
          </cell>
          <cell r="D1567">
            <v>1.7805245364</v>
          </cell>
        </row>
        <row r="1568">
          <cell r="A1568">
            <v>45715</v>
          </cell>
          <cell r="B1568">
            <v>1.7808299453000001</v>
          </cell>
          <cell r="C1568">
            <v>1.7803916084</v>
          </cell>
          <cell r="D1568">
            <v>1.7812683900999999</v>
          </cell>
        </row>
        <row r="1569">
          <cell r="A1569">
            <v>45716</v>
          </cell>
          <cell r="B1569">
            <v>1.7815739265999999</v>
          </cell>
          <cell r="C1569">
            <v>1.7811354066</v>
          </cell>
          <cell r="D1569">
            <v>1.7820125546000001</v>
          </cell>
        </row>
        <row r="1570">
          <cell r="A1570">
            <v>45721</v>
          </cell>
          <cell r="B1570">
            <v>1.7823182185999999</v>
          </cell>
          <cell r="C1570">
            <v>1.7818795155</v>
          </cell>
          <cell r="D1570">
            <v>1.7827570299</v>
          </cell>
        </row>
        <row r="1571">
          <cell r="A1571">
            <v>45722</v>
          </cell>
          <cell r="B1571">
            <v>1.7830628217</v>
          </cell>
          <cell r="C1571">
            <v>1.7826239353</v>
          </cell>
          <cell r="D1571">
            <v>1.7835018163</v>
          </cell>
        </row>
        <row r="1572">
          <cell r="A1572">
            <v>45723</v>
          </cell>
          <cell r="B1572">
            <v>1.7838077358</v>
          </cell>
          <cell r="C1572">
            <v>1.7833686660000001</v>
          </cell>
          <cell r="D1572">
            <v>1.7842469137999999</v>
          </cell>
        </row>
        <row r="1573">
          <cell r="A1573">
            <v>45726</v>
          </cell>
          <cell r="B1573">
            <v>1.7845529610999999</v>
          </cell>
          <cell r="C1573">
            <v>1.7841137079</v>
          </cell>
          <cell r="D1573">
            <v>1.7849923226</v>
          </cell>
        </row>
        <row r="1574">
          <cell r="A1574">
            <v>45727</v>
          </cell>
          <cell r="B1574">
            <v>1.7852984977999999</v>
          </cell>
          <cell r="C1574">
            <v>1.7848590610999999</v>
          </cell>
          <cell r="D1574">
            <v>1.7857380428</v>
          </cell>
        </row>
        <row r="1575">
          <cell r="A1575">
            <v>45728</v>
          </cell>
          <cell r="B1575">
            <v>1.7860443458999999</v>
          </cell>
          <cell r="C1575">
            <v>1.7856047255</v>
          </cell>
          <cell r="D1575">
            <v>1.7864840744999999</v>
          </cell>
        </row>
        <row r="1576">
          <cell r="A1576">
            <v>45729</v>
          </cell>
          <cell r="B1576">
            <v>1.7867905056</v>
          </cell>
          <cell r="C1576">
            <v>1.7863507016</v>
          </cell>
          <cell r="D1576">
            <v>1.7872304179</v>
          </cell>
        </row>
        <row r="1577">
          <cell r="A1577">
            <v>45730</v>
          </cell>
          <cell r="B1577">
            <v>1.787536977</v>
          </cell>
          <cell r="C1577">
            <v>1.7870969892999999</v>
          </cell>
          <cell r="D1577">
            <v>1.7879770731</v>
          </cell>
        </row>
        <row r="1578">
          <cell r="A1578">
            <v>45733</v>
          </cell>
          <cell r="B1578">
            <v>1.7882837602999999</v>
          </cell>
          <cell r="C1578">
            <v>1.7878435887999999</v>
          </cell>
          <cell r="D1578">
            <v>1.7887240403</v>
          </cell>
        </row>
        <row r="1579">
          <cell r="A1579">
            <v>45734</v>
          </cell>
          <cell r="B1579">
            <v>1.7890308556000001</v>
          </cell>
          <cell r="C1579">
            <v>1.7885905002</v>
          </cell>
          <cell r="D1579">
            <v>1.7894713195</v>
          </cell>
        </row>
        <row r="1580">
          <cell r="A1580">
            <v>45735</v>
          </cell>
          <cell r="B1580">
            <v>1.7897782630000001</v>
          </cell>
          <cell r="C1580">
            <v>1.7893377236000001</v>
          </cell>
          <cell r="D1580">
            <v>1.7902189109</v>
          </cell>
        </row>
        <row r="1581">
          <cell r="A1581">
            <v>45736</v>
          </cell>
          <cell r="B1581">
            <v>1.7905259826</v>
          </cell>
          <cell r="C1581">
            <v>1.7900852591</v>
          </cell>
          <cell r="D1581">
            <v>1.7909668146</v>
          </cell>
        </row>
        <row r="1582">
          <cell r="A1582">
            <v>45737</v>
          </cell>
          <cell r="B1582">
            <v>1.7912740145999999</v>
          </cell>
          <cell r="C1582">
            <v>1.7908331070000001</v>
          </cell>
          <cell r="D1582">
            <v>1.7917150308000001</v>
          </cell>
        </row>
        <row r="1583">
          <cell r="A1583">
            <v>45740</v>
          </cell>
          <cell r="B1583">
            <v>1.7920223592</v>
          </cell>
          <cell r="C1583">
            <v>1.7915812674</v>
          </cell>
          <cell r="D1583">
            <v>1.7924635596</v>
          </cell>
        </row>
        <row r="1584">
          <cell r="A1584">
            <v>45741</v>
          </cell>
          <cell r="B1584">
            <v>1.7927710161999999</v>
          </cell>
          <cell r="C1584">
            <v>1.7923297402</v>
          </cell>
          <cell r="D1584">
            <v>1.7932124009999999</v>
          </cell>
        </row>
        <row r="1585">
          <cell r="A1585">
            <v>45742</v>
          </cell>
          <cell r="B1585">
            <v>1.7935199862</v>
          </cell>
          <cell r="C1585">
            <v>1.7930785258999999</v>
          </cell>
          <cell r="D1585">
            <v>1.7939615553999999</v>
          </cell>
        </row>
        <row r="1586">
          <cell r="A1586">
            <v>45743</v>
          </cell>
          <cell r="B1586">
            <v>1.7942692689999999</v>
          </cell>
          <cell r="C1586">
            <v>1.7938276242</v>
          </cell>
          <cell r="D1586">
            <v>1.7947110226</v>
          </cell>
        </row>
        <row r="1587">
          <cell r="A1587">
            <v>45744</v>
          </cell>
          <cell r="B1587">
            <v>1.7950188649000001</v>
          </cell>
          <cell r="C1587">
            <v>1.7945770355999999</v>
          </cell>
          <cell r="D1587">
            <v>1.7954608030999999</v>
          </cell>
        </row>
        <row r="1588">
          <cell r="A1588">
            <v>45747</v>
          </cell>
          <cell r="B1588">
            <v>1.7957687738999999</v>
          </cell>
          <cell r="C1588">
            <v>1.79532676</v>
          </cell>
          <cell r="D1588">
            <v>1.7962108966999999</v>
          </cell>
        </row>
        <row r="1589">
          <cell r="A1589">
            <v>45748</v>
          </cell>
          <cell r="B1589">
            <v>1.7965189962000001</v>
          </cell>
          <cell r="C1589">
            <v>1.7960767976000001</v>
          </cell>
          <cell r="D1589">
            <v>1.7969613037000001</v>
          </cell>
        </row>
        <row r="1590">
          <cell r="A1590">
            <v>45749</v>
          </cell>
          <cell r="B1590">
            <v>1.7972695319000001</v>
          </cell>
          <cell r="C1590">
            <v>1.7968271486</v>
          </cell>
          <cell r="D1590">
            <v>1.7977120242</v>
          </cell>
        </row>
        <row r="1591">
          <cell r="A1591">
            <v>45750</v>
          </cell>
          <cell r="B1591">
            <v>1.7980203811</v>
          </cell>
          <cell r="C1591">
            <v>1.797577813</v>
          </cell>
          <cell r="D1591">
            <v>1.7984630583000001</v>
          </cell>
        </row>
        <row r="1592">
          <cell r="A1592">
            <v>45751</v>
          </cell>
          <cell r="B1592">
            <v>1.7987715441000001</v>
          </cell>
          <cell r="C1592">
            <v>1.7983287911000001</v>
          </cell>
          <cell r="D1592">
            <v>1.7992144061999999</v>
          </cell>
        </row>
        <row r="1593">
          <cell r="A1593">
            <v>45754</v>
          </cell>
          <cell r="B1593">
            <v>1.7995230208999999</v>
          </cell>
          <cell r="C1593">
            <v>1.7990800829</v>
          </cell>
          <cell r="D1593">
            <v>1.799966068</v>
          </cell>
        </row>
        <row r="1594">
          <cell r="A1594">
            <v>45755</v>
          </cell>
          <cell r="B1594">
            <v>1.8002748117</v>
          </cell>
          <cell r="C1594">
            <v>1.7998316887000001</v>
          </cell>
          <cell r="D1594">
            <v>1.8007180438999999</v>
          </cell>
        </row>
        <row r="1595">
          <cell r="A1595">
            <v>45756</v>
          </cell>
          <cell r="B1595">
            <v>1.8010269163999999</v>
          </cell>
          <cell r="C1595">
            <v>1.8005836083</v>
          </cell>
          <cell r="D1595">
            <v>1.8014703338</v>
          </cell>
        </row>
        <row r="1596">
          <cell r="A1596">
            <v>45757</v>
          </cell>
          <cell r="B1596">
            <v>1.8017793355</v>
          </cell>
          <cell r="C1596">
            <v>1.8013358421000001</v>
          </cell>
          <cell r="D1596">
            <v>1.8022229380999999</v>
          </cell>
        </row>
        <row r="1597">
          <cell r="A1597">
            <v>45758</v>
          </cell>
          <cell r="B1597">
            <v>1.8025320687999999</v>
          </cell>
          <cell r="C1597">
            <v>1.8020883902</v>
          </cell>
          <cell r="D1597">
            <v>1.8029758568000001</v>
          </cell>
        </row>
        <row r="1598">
          <cell r="A1598">
            <v>45761</v>
          </cell>
          <cell r="B1598">
            <v>1.8032851165999999</v>
          </cell>
          <cell r="C1598">
            <v>1.8028412527</v>
          </cell>
          <cell r="D1598">
            <v>1.80372909</v>
          </cell>
        </row>
        <row r="1599">
          <cell r="A1599">
            <v>45762</v>
          </cell>
          <cell r="B1599">
            <v>1.8040384790999999</v>
          </cell>
          <cell r="C1599">
            <v>1.8035944295999999</v>
          </cell>
          <cell r="D1599">
            <v>1.8044826379000001</v>
          </cell>
        </row>
        <row r="1600">
          <cell r="A1600">
            <v>45763</v>
          </cell>
          <cell r="B1600">
            <v>1.8047921562</v>
          </cell>
          <cell r="C1600">
            <v>1.8043479213</v>
          </cell>
          <cell r="D1600">
            <v>1.8052365006</v>
          </cell>
        </row>
        <row r="1601">
          <cell r="A1601">
            <v>45764</v>
          </cell>
          <cell r="B1601">
            <v>1.8055461481999999</v>
          </cell>
          <cell r="C1601">
            <v>1.8051017276000001</v>
          </cell>
          <cell r="D1601">
            <v>1.8059906781999999</v>
          </cell>
        </row>
        <row r="1602">
          <cell r="A1602">
            <v>45769</v>
          </cell>
          <cell r="B1602">
            <v>1.8063004552999999</v>
          </cell>
          <cell r="C1602">
            <v>1.8058558491000001</v>
          </cell>
          <cell r="D1602">
            <v>1.806745171</v>
          </cell>
        </row>
        <row r="1603">
          <cell r="A1603">
            <v>45770</v>
          </cell>
          <cell r="B1603">
            <v>1.8070550774</v>
          </cell>
          <cell r="C1603">
            <v>1.8066102853999999</v>
          </cell>
          <cell r="D1603">
            <v>1.8074999788999999</v>
          </cell>
        </row>
        <row r="1604">
          <cell r="A1604">
            <v>45771</v>
          </cell>
          <cell r="B1604">
            <v>1.8078100148</v>
          </cell>
          <cell r="C1604">
            <v>1.8073650370000001</v>
          </cell>
          <cell r="D1604">
            <v>1.8082551022</v>
          </cell>
        </row>
        <row r="1605">
          <cell r="A1605">
            <v>45772</v>
          </cell>
          <cell r="B1605">
            <v>1.8085652675999999</v>
          </cell>
          <cell r="C1605">
            <v>1.8081201039000001</v>
          </cell>
          <cell r="D1605">
            <v>1.8090105408999999</v>
          </cell>
        </row>
        <row r="1606">
          <cell r="A1606">
            <v>45775</v>
          </cell>
          <cell r="B1606">
            <v>1.8093208358999999</v>
          </cell>
          <cell r="C1606">
            <v>1.8088754863000001</v>
          </cell>
          <cell r="D1606">
            <v>1.8097662953</v>
          </cell>
        </row>
        <row r="1607">
          <cell r="A1607">
            <v>45776</v>
          </cell>
          <cell r="B1607">
            <v>1.8100767199000001</v>
          </cell>
          <cell r="C1607">
            <v>1.8096311841999999</v>
          </cell>
          <cell r="D1607">
            <v>1.8105223654</v>
          </cell>
        </row>
        <row r="1608">
          <cell r="A1608">
            <v>45777</v>
          </cell>
          <cell r="B1608">
            <v>1.8108329196999999</v>
          </cell>
          <cell r="C1608">
            <v>1.8103871977999999</v>
          </cell>
          <cell r="D1608">
            <v>1.8112787512999999</v>
          </cell>
        </row>
        <row r="1609">
          <cell r="A1609">
            <v>45779</v>
          </cell>
          <cell r="B1609">
            <v>1.8115894352999999</v>
          </cell>
          <cell r="C1609">
            <v>1.8111435273000001</v>
          </cell>
          <cell r="D1609">
            <v>1.8120354532</v>
          </cell>
        </row>
        <row r="1610">
          <cell r="A1610">
            <v>45782</v>
          </cell>
          <cell r="B1610">
            <v>1.8123462670999999</v>
          </cell>
          <cell r="C1610">
            <v>1.8119001726999999</v>
          </cell>
          <cell r="D1610">
            <v>1.8127924713000001</v>
          </cell>
        </row>
        <row r="1611">
          <cell r="A1611">
            <v>45783</v>
          </cell>
          <cell r="B1611">
            <v>1.8131034150000001</v>
          </cell>
          <cell r="C1611">
            <v>1.8126571343</v>
          </cell>
          <cell r="D1611">
            <v>1.8135498055999999</v>
          </cell>
        </row>
        <row r="1612">
          <cell r="A1612">
            <v>45784</v>
          </cell>
          <cell r="B1612">
            <v>1.8138608793</v>
          </cell>
          <cell r="C1612">
            <v>1.8134144121</v>
          </cell>
          <cell r="D1612">
            <v>1.8143074563999999</v>
          </cell>
        </row>
        <row r="1613">
          <cell r="A1613">
            <v>45785</v>
          </cell>
          <cell r="B1613">
            <v>1.8146186599</v>
          </cell>
          <cell r="C1613">
            <v>1.8141720062</v>
          </cell>
          <cell r="D1613">
            <v>1.8150654235999999</v>
          </cell>
        </row>
        <row r="1614">
          <cell r="A1614">
            <v>45786</v>
          </cell>
          <cell r="B1614">
            <v>1.8153767571999999</v>
          </cell>
          <cell r="C1614">
            <v>1.8149299168999999</v>
          </cell>
          <cell r="D1614">
            <v>1.8158237075000001</v>
          </cell>
        </row>
        <row r="1615">
          <cell r="A1615">
            <v>45789</v>
          </cell>
          <cell r="B1615">
            <v>1.8161351711</v>
          </cell>
          <cell r="C1615">
            <v>1.8156881441999999</v>
          </cell>
          <cell r="D1615">
            <v>1.8165823082000001</v>
          </cell>
        </row>
        <row r="1616">
          <cell r="A1616">
            <v>45790</v>
          </cell>
          <cell r="B1616">
            <v>1.8168939019000001</v>
          </cell>
          <cell r="C1616">
            <v>1.8164466882000001</v>
          </cell>
          <cell r="D1616">
            <v>1.8173412257999999</v>
          </cell>
        </row>
        <row r="1617">
          <cell r="A1617">
            <v>45791</v>
          </cell>
          <cell r="B1617">
            <v>1.8176529497</v>
          </cell>
          <cell r="C1617">
            <v>1.8172055492000001</v>
          </cell>
          <cell r="D1617">
            <v>1.8181004605</v>
          </cell>
        </row>
        <row r="1618">
          <cell r="A1618">
            <v>45792</v>
          </cell>
          <cell r="B1618">
            <v>1.8184123147</v>
          </cell>
          <cell r="C1618">
            <v>1.8179647272999999</v>
          </cell>
          <cell r="D1618">
            <v>1.8188600124000001</v>
          </cell>
        </row>
        <row r="1619">
          <cell r="A1619">
            <v>45793</v>
          </cell>
          <cell r="B1619">
            <v>1.8191719968</v>
          </cell>
          <cell r="C1619">
            <v>1.8187242223</v>
          </cell>
          <cell r="D1619">
            <v>1.8196198815</v>
          </cell>
        </row>
        <row r="1620">
          <cell r="A1620">
            <v>45796</v>
          </cell>
          <cell r="B1620">
            <v>1.8199319963</v>
          </cell>
          <cell r="C1620">
            <v>1.8194840349000001</v>
          </cell>
          <cell r="D1620">
            <v>1.8203800682</v>
          </cell>
        </row>
        <row r="1621">
          <cell r="A1621">
            <v>45797</v>
          </cell>
          <cell r="B1621">
            <v>1.8206923133999999</v>
          </cell>
          <cell r="C1621">
            <v>1.8202441647000001</v>
          </cell>
          <cell r="D1621">
            <v>1.8211405724</v>
          </cell>
        </row>
        <row r="1622">
          <cell r="A1622">
            <v>45798</v>
          </cell>
          <cell r="B1622">
            <v>1.8214529479999999</v>
          </cell>
          <cell r="C1622">
            <v>1.8210046121000001</v>
          </cell>
          <cell r="D1622">
            <v>1.8219013943</v>
          </cell>
        </row>
        <row r="1623">
          <cell r="A1623">
            <v>45799</v>
          </cell>
          <cell r="B1623">
            <v>1.8222139004</v>
          </cell>
          <cell r="C1623">
            <v>1.8217653773</v>
          </cell>
          <cell r="D1623">
            <v>1.8226625341</v>
          </cell>
        </row>
        <row r="1624">
          <cell r="A1624">
            <v>45800</v>
          </cell>
          <cell r="B1624">
            <v>1.8229751707999999</v>
          </cell>
          <cell r="C1624">
            <v>1.8225264603</v>
          </cell>
          <cell r="D1624">
            <v>1.8234239918999999</v>
          </cell>
        </row>
        <row r="1625">
          <cell r="A1625">
            <v>45803</v>
          </cell>
          <cell r="B1625">
            <v>1.8237367592</v>
          </cell>
          <cell r="C1625">
            <v>1.8232878612000001</v>
          </cell>
          <cell r="D1625">
            <v>1.8241857678</v>
          </cell>
        </row>
        <row r="1626">
          <cell r="A1626">
            <v>45804</v>
          </cell>
          <cell r="B1626">
            <v>1.8244986657</v>
          </cell>
          <cell r="C1626">
            <v>1.8240495802000001</v>
          </cell>
          <cell r="D1626">
            <v>1.8249478618999999</v>
          </cell>
        </row>
        <row r="1627">
          <cell r="A1627">
            <v>45805</v>
          </cell>
          <cell r="B1627">
            <v>1.8252608906000001</v>
          </cell>
          <cell r="C1627">
            <v>1.8248116174</v>
          </cell>
          <cell r="D1627">
            <v>1.8257102744</v>
          </cell>
        </row>
        <row r="1628">
          <cell r="A1628">
            <v>45806</v>
          </cell>
          <cell r="B1628">
            <v>1.8260234338000001</v>
          </cell>
          <cell r="C1628">
            <v>1.825573973</v>
          </cell>
          <cell r="D1628">
            <v>1.8264730054</v>
          </cell>
        </row>
        <row r="1629">
          <cell r="A1629">
            <v>45807</v>
          </cell>
          <cell r="B1629">
            <v>1.8267862957000001</v>
          </cell>
          <cell r="C1629">
            <v>1.8263366471</v>
          </cell>
          <cell r="D1629">
            <v>1.8272360551</v>
          </cell>
        </row>
        <row r="1630">
          <cell r="A1630">
            <v>45810</v>
          </cell>
          <cell r="B1630">
            <v>1.8275494763</v>
          </cell>
          <cell r="C1630">
            <v>1.8270996397999999</v>
          </cell>
          <cell r="D1630">
            <v>1.8279994235999999</v>
          </cell>
        </row>
        <row r="1631">
          <cell r="A1631">
            <v>45811</v>
          </cell>
          <cell r="B1631">
            <v>1.8283129757000001</v>
          </cell>
          <cell r="C1631">
            <v>1.8278629513</v>
          </cell>
          <cell r="D1631">
            <v>1.828763111</v>
          </cell>
        </row>
        <row r="1632">
          <cell r="A1632">
            <v>45812</v>
          </cell>
          <cell r="B1632">
            <v>1.8290767940999999</v>
          </cell>
          <cell r="C1632">
            <v>1.8286265817</v>
          </cell>
          <cell r="D1632">
            <v>1.8295271174000001</v>
          </cell>
        </row>
        <row r="1633">
          <cell r="A1633">
            <v>45813</v>
          </cell>
          <cell r="B1633">
            <v>1.8298409314999999</v>
          </cell>
          <cell r="C1633">
            <v>1.829390531</v>
          </cell>
          <cell r="D1633">
            <v>1.8302914429999999</v>
          </cell>
        </row>
        <row r="1634">
          <cell r="A1634">
            <v>45814</v>
          </cell>
          <cell r="B1634">
            <v>1.8306053882</v>
          </cell>
          <cell r="C1634">
            <v>1.8301547996</v>
          </cell>
          <cell r="D1634">
            <v>1.8310560879</v>
          </cell>
        </row>
        <row r="1635">
          <cell r="A1635">
            <v>45817</v>
          </cell>
          <cell r="B1635">
            <v>1.8313701642</v>
          </cell>
          <cell r="C1635">
            <v>1.8309193873</v>
          </cell>
          <cell r="D1635">
            <v>1.8318210522</v>
          </cell>
        </row>
        <row r="1636">
          <cell r="A1636">
            <v>45818</v>
          </cell>
          <cell r="B1636">
            <v>1.8321352599</v>
          </cell>
          <cell r="C1636">
            <v>1.8316842946</v>
          </cell>
          <cell r="D1636">
            <v>1.8325863362000001</v>
          </cell>
        </row>
        <row r="1637">
          <cell r="A1637">
            <v>45819</v>
          </cell>
          <cell r="B1637">
            <v>1.8329006750000001</v>
          </cell>
          <cell r="C1637">
            <v>1.8324495214000001</v>
          </cell>
          <cell r="D1637">
            <v>1.8333519398</v>
          </cell>
        </row>
        <row r="1638">
          <cell r="A1638">
            <v>45820</v>
          </cell>
          <cell r="B1638">
            <v>1.8336664101</v>
          </cell>
          <cell r="C1638">
            <v>1.8332150679999999</v>
          </cell>
          <cell r="D1638">
            <v>1.8341178633999999</v>
          </cell>
        </row>
        <row r="1639">
          <cell r="A1639">
            <v>45821</v>
          </cell>
          <cell r="B1639">
            <v>1.8344324648999999</v>
          </cell>
          <cell r="C1639">
            <v>1.8339809342</v>
          </cell>
          <cell r="D1639">
            <v>1.8348841067999999</v>
          </cell>
        </row>
        <row r="1640">
          <cell r="A1640">
            <v>45824</v>
          </cell>
          <cell r="B1640">
            <v>1.8351988398000001</v>
          </cell>
          <cell r="C1640">
            <v>1.8347471205000001</v>
          </cell>
          <cell r="D1640">
            <v>1.8356506704</v>
          </cell>
        </row>
        <row r="1641">
          <cell r="A1641">
            <v>45825</v>
          </cell>
          <cell r="B1641">
            <v>1.8359655348999999</v>
          </cell>
          <cell r="C1641">
            <v>1.8355136269000001</v>
          </cell>
          <cell r="D1641">
            <v>1.8364175543000001</v>
          </cell>
        </row>
        <row r="1642">
          <cell r="A1642">
            <v>45826</v>
          </cell>
          <cell r="B1642">
            <v>1.8367325503</v>
          </cell>
          <cell r="C1642">
            <v>1.8362804534999999</v>
          </cell>
          <cell r="D1642">
            <v>1.8371847585000001</v>
          </cell>
        </row>
        <row r="1643">
          <cell r="A1643">
            <v>45828</v>
          </cell>
          <cell r="B1643">
            <v>1.8374998862</v>
          </cell>
          <cell r="C1643">
            <v>1.8370476005</v>
          </cell>
          <cell r="D1643">
            <v>1.8379522832999999</v>
          </cell>
        </row>
        <row r="1644">
          <cell r="A1644">
            <v>45831</v>
          </cell>
          <cell r="B1644">
            <v>1.8382675425999999</v>
          </cell>
          <cell r="C1644">
            <v>1.8378150679</v>
          </cell>
          <cell r="D1644">
            <v>1.8387201286999999</v>
          </cell>
        </row>
        <row r="1645">
          <cell r="A1645">
            <v>45832</v>
          </cell>
          <cell r="B1645">
            <v>1.8390355196999999</v>
          </cell>
          <cell r="C1645">
            <v>1.8385828559999999</v>
          </cell>
          <cell r="D1645">
            <v>1.8394882949</v>
          </cell>
        </row>
        <row r="1646">
          <cell r="A1646">
            <v>45833</v>
          </cell>
          <cell r="B1646">
            <v>1.8398038177</v>
          </cell>
          <cell r="C1646">
            <v>1.8393509648999999</v>
          </cell>
          <cell r="D1646">
            <v>1.840256782</v>
          </cell>
        </row>
        <row r="1647">
          <cell r="A1647">
            <v>45834</v>
          </cell>
          <cell r="B1647">
            <v>1.8405724365</v>
          </cell>
          <cell r="C1647">
            <v>1.8401193945000001</v>
          </cell>
          <cell r="D1647">
            <v>1.8410255901000001</v>
          </cell>
        </row>
        <row r="1648">
          <cell r="A1648">
            <v>45835</v>
          </cell>
          <cell r="B1648">
            <v>1.8413413766</v>
          </cell>
          <cell r="C1648">
            <v>1.8408881453999999</v>
          </cell>
          <cell r="D1648">
            <v>1.8417947195</v>
          </cell>
        </row>
        <row r="1649">
          <cell r="A1649">
            <v>45838</v>
          </cell>
          <cell r="B1649">
            <v>1.8421106378000001</v>
          </cell>
          <cell r="C1649">
            <v>1.8416572172000001</v>
          </cell>
          <cell r="D1649">
            <v>1.8425641701</v>
          </cell>
        </row>
        <row r="1650">
          <cell r="A1650">
            <v>45839</v>
          </cell>
          <cell r="B1650">
            <v>1.8428802204000001</v>
          </cell>
          <cell r="C1650">
            <v>1.8424266104</v>
          </cell>
          <cell r="D1650">
            <v>1.8433339421999999</v>
          </cell>
        </row>
        <row r="1651">
          <cell r="A1651">
            <v>45840</v>
          </cell>
          <cell r="B1651">
            <v>1.8436293673999999</v>
          </cell>
          <cell r="C1651">
            <v>1.8431755729999999</v>
          </cell>
          <cell r="D1651">
            <v>1.8440832735999999</v>
          </cell>
        </row>
        <row r="1652">
          <cell r="A1652">
            <v>45841</v>
          </cell>
          <cell r="B1652">
            <v>1.8443788188000001</v>
          </cell>
          <cell r="C1652">
            <v>1.8439248398999999</v>
          </cell>
          <cell r="D1652">
            <v>1.8448329095</v>
          </cell>
        </row>
        <row r="1653">
          <cell r="A1653">
            <v>45842</v>
          </cell>
          <cell r="B1653">
            <v>1.8451285747999999</v>
          </cell>
          <cell r="C1653">
            <v>1.8446744114</v>
          </cell>
          <cell r="D1653">
            <v>1.8455828501</v>
          </cell>
        </row>
        <row r="1654">
          <cell r="A1654">
            <v>45845</v>
          </cell>
          <cell r="B1654">
            <v>1.8458786356000001</v>
          </cell>
          <cell r="C1654">
            <v>1.8454242876</v>
          </cell>
          <cell r="D1654">
            <v>1.8463330955999999</v>
          </cell>
        </row>
        <row r="1655">
          <cell r="A1655">
            <v>45846</v>
          </cell>
          <cell r="B1655">
            <v>1.8466290014</v>
          </cell>
          <cell r="C1655">
            <v>1.8461744685999999</v>
          </cell>
          <cell r="D1655">
            <v>1.8470836461</v>
          </cell>
        </row>
        <row r="1656">
          <cell r="A1656">
            <v>45847</v>
          </cell>
          <cell r="B1656">
            <v>1.8473796722</v>
          </cell>
          <cell r="C1656">
            <v>1.8469249545999999</v>
          </cell>
          <cell r="D1656">
            <v>1.8478345017</v>
          </cell>
        </row>
        <row r="1657">
          <cell r="A1657">
            <v>45848</v>
          </cell>
          <cell r="B1657">
            <v>1.8481306480999999</v>
          </cell>
          <cell r="C1657">
            <v>1.8476757456999999</v>
          </cell>
          <cell r="D1657">
            <v>1.8485856624999999</v>
          </cell>
        </row>
        <row r="1658">
          <cell r="A1658">
            <v>45849</v>
          </cell>
          <cell r="B1658">
            <v>1.8488819293000001</v>
          </cell>
          <cell r="C1658">
            <v>1.8484268420000001</v>
          </cell>
          <cell r="D1658">
            <v>1.8493371287</v>
          </cell>
        </row>
        <row r="1659">
          <cell r="A1659">
            <v>45852</v>
          </cell>
          <cell r="B1659">
            <v>1.8496335158999999</v>
          </cell>
          <cell r="C1659">
            <v>1.8491782435999999</v>
          </cell>
          <cell r="D1659">
            <v>1.8500889003000001</v>
          </cell>
        </row>
        <row r="1660">
          <cell r="A1660">
            <v>45853</v>
          </cell>
          <cell r="B1660">
            <v>1.850385408</v>
          </cell>
          <cell r="C1660">
            <v>1.8499299507</v>
          </cell>
          <cell r="D1660">
            <v>1.8508409776000001</v>
          </cell>
        </row>
        <row r="1661">
          <cell r="A1661">
            <v>45854</v>
          </cell>
          <cell r="B1661">
            <v>1.8511376058</v>
          </cell>
          <cell r="C1661">
            <v>1.8506819633</v>
          </cell>
          <cell r="D1661">
            <v>1.8515933605999999</v>
          </cell>
        </row>
        <row r="1662">
          <cell r="A1662">
            <v>45855</v>
          </cell>
          <cell r="B1662">
            <v>1.8518901094</v>
          </cell>
          <cell r="C1662">
            <v>1.8514342817</v>
          </cell>
          <cell r="D1662">
            <v>1.8523460493999999</v>
          </cell>
        </row>
        <row r="1663">
          <cell r="A1663">
            <v>45856</v>
          </cell>
          <cell r="B1663">
            <v>1.8526429188</v>
          </cell>
          <cell r="C1663">
            <v>1.8521869058</v>
          </cell>
          <cell r="D1663">
            <v>1.8530990441999999</v>
          </cell>
        </row>
        <row r="1664">
          <cell r="A1664">
            <v>45859</v>
          </cell>
          <cell r="B1664">
            <v>1.8533960343</v>
          </cell>
          <cell r="C1664">
            <v>1.8529398359</v>
          </cell>
          <cell r="D1664">
            <v>1.8538523451</v>
          </cell>
        </row>
        <row r="1665">
          <cell r="A1665">
            <v>45860</v>
          </cell>
          <cell r="B1665">
            <v>1.8541494559</v>
          </cell>
          <cell r="C1665">
            <v>1.8536930721</v>
          </cell>
          <cell r="D1665">
            <v>1.8546059522</v>
          </cell>
        </row>
        <row r="1666">
          <cell r="A1666">
            <v>45861</v>
          </cell>
          <cell r="B1666">
            <v>1.8549031838000001</v>
          </cell>
          <cell r="C1666">
            <v>1.8544466145</v>
          </cell>
          <cell r="D1666">
            <v>1.8553598657000001</v>
          </cell>
        </row>
        <row r="1667">
          <cell r="A1667">
            <v>45862</v>
          </cell>
          <cell r="B1667">
            <v>1.8556572180999999</v>
          </cell>
          <cell r="C1667">
            <v>1.8552004631000001</v>
          </cell>
          <cell r="D1667">
            <v>1.8561140856</v>
          </cell>
        </row>
        <row r="1668">
          <cell r="A1668">
            <v>45863</v>
          </cell>
          <cell r="B1668">
            <v>1.8564115590000001</v>
          </cell>
          <cell r="C1668">
            <v>1.8559546183</v>
          </cell>
          <cell r="D1668">
            <v>1.8568686122</v>
          </cell>
        </row>
        <row r="1669">
          <cell r="A1669">
            <v>45866</v>
          </cell>
          <cell r="B1669">
            <v>1.8571662064000001</v>
          </cell>
          <cell r="C1669">
            <v>1.8567090799999999</v>
          </cell>
          <cell r="D1669">
            <v>1.8576234454</v>
          </cell>
        </row>
        <row r="1670">
          <cell r="A1670">
            <v>45867</v>
          </cell>
          <cell r="B1670">
            <v>1.8579211605999999</v>
          </cell>
          <cell r="C1670">
            <v>1.8574638483999999</v>
          </cell>
          <cell r="D1670">
            <v>1.8583785854999999</v>
          </cell>
        </row>
        <row r="1671">
          <cell r="A1671">
            <v>45868</v>
          </cell>
          <cell r="B1671">
            <v>1.8586764218</v>
          </cell>
          <cell r="C1671">
            <v>1.8582189237</v>
          </cell>
          <cell r="D1671">
            <v>1.8591340326000001</v>
          </cell>
        </row>
        <row r="1672">
          <cell r="A1672">
            <v>45869</v>
          </cell>
          <cell r="B1672">
            <v>1.8594319899</v>
          </cell>
          <cell r="C1672">
            <v>1.8589743058999999</v>
          </cell>
          <cell r="D1672">
            <v>1.8598897867999999</v>
          </cell>
        </row>
        <row r="1673">
          <cell r="A1673">
            <v>45870</v>
          </cell>
          <cell r="B1673">
            <v>1.8601878651999999</v>
          </cell>
          <cell r="C1673">
            <v>1.8597299950999999</v>
          </cell>
          <cell r="D1673">
            <v>1.8606458481999999</v>
          </cell>
        </row>
        <row r="1674">
          <cell r="A1674">
            <v>45873</v>
          </cell>
          <cell r="B1674">
            <v>1.8609440477999999</v>
          </cell>
          <cell r="C1674">
            <v>1.8604859915</v>
          </cell>
          <cell r="D1674">
            <v>1.8614022169</v>
          </cell>
        </row>
        <row r="1675">
          <cell r="A1675">
            <v>45874</v>
          </cell>
          <cell r="B1675">
            <v>1.8617005378</v>
          </cell>
          <cell r="C1675">
            <v>1.8612422953000001</v>
          </cell>
          <cell r="D1675">
            <v>1.8621588931999999</v>
          </cell>
        </row>
        <row r="1676">
          <cell r="A1676">
            <v>45875</v>
          </cell>
          <cell r="B1676">
            <v>1.8624573353</v>
          </cell>
          <cell r="C1676">
            <v>1.8619989065</v>
          </cell>
          <cell r="D1676">
            <v>1.8629158770000001</v>
          </cell>
        </row>
        <row r="1677">
          <cell r="A1677">
            <v>45876</v>
          </cell>
          <cell r="B1677">
            <v>1.8632144403999999</v>
          </cell>
          <cell r="C1677">
            <v>1.8627558253000001</v>
          </cell>
          <cell r="D1677">
            <v>1.8636731685000001</v>
          </cell>
        </row>
        <row r="1678">
          <cell r="A1678">
            <v>45877</v>
          </cell>
          <cell r="B1678">
            <v>1.8639718533</v>
          </cell>
          <cell r="C1678">
            <v>1.8635130518</v>
          </cell>
          <cell r="D1678">
            <v>1.8644307679000001</v>
          </cell>
        </row>
        <row r="1679">
          <cell r="A1679">
            <v>45880</v>
          </cell>
          <cell r="B1679">
            <v>1.8647295741000001</v>
          </cell>
          <cell r="C1679">
            <v>1.864270586</v>
          </cell>
          <cell r="D1679">
            <v>1.8651886752</v>
          </cell>
        </row>
        <row r="1680">
          <cell r="A1680">
            <v>45881</v>
          </cell>
          <cell r="B1680">
            <v>1.8654876029</v>
          </cell>
          <cell r="C1680">
            <v>1.8650284283</v>
          </cell>
          <cell r="D1680">
            <v>1.8659468907000001</v>
          </cell>
        </row>
        <row r="1681">
          <cell r="A1681">
            <v>45882</v>
          </cell>
          <cell r="B1681">
            <v>1.8662459398</v>
          </cell>
          <cell r="C1681">
            <v>1.8657865785000001</v>
          </cell>
          <cell r="D1681">
            <v>1.8667054142999999</v>
          </cell>
        </row>
        <row r="1682">
          <cell r="A1682">
            <v>45883</v>
          </cell>
          <cell r="B1682">
            <v>1.8670045850999999</v>
          </cell>
          <cell r="C1682">
            <v>1.8665450370000001</v>
          </cell>
          <cell r="D1682">
            <v>1.8674642463</v>
          </cell>
        </row>
        <row r="1683">
          <cell r="A1683">
            <v>45884</v>
          </cell>
          <cell r="B1683">
            <v>1.8677635387</v>
          </cell>
          <cell r="C1683">
            <v>1.8673038039000001</v>
          </cell>
          <cell r="D1683">
            <v>1.8682233868</v>
          </cell>
        </row>
        <row r="1684">
          <cell r="A1684">
            <v>45887</v>
          </cell>
          <cell r="B1684">
            <v>1.8685228008999999</v>
          </cell>
          <cell r="C1684">
            <v>1.8680628791</v>
          </cell>
          <cell r="D1684">
            <v>1.8689828359</v>
          </cell>
        </row>
        <row r="1685">
          <cell r="A1685">
            <v>45888</v>
          </cell>
          <cell r="B1685">
            <v>1.8692823717</v>
          </cell>
          <cell r="C1685">
            <v>1.868822263</v>
          </cell>
          <cell r="D1685">
            <v>1.8697425937000001</v>
          </cell>
        </row>
        <row r="1686">
          <cell r="A1686">
            <v>45889</v>
          </cell>
          <cell r="B1686">
            <v>1.8700422511999999</v>
          </cell>
          <cell r="C1686">
            <v>1.8695819554999999</v>
          </cell>
          <cell r="D1686">
            <v>1.8705026602999999</v>
          </cell>
        </row>
        <row r="1687">
          <cell r="A1687">
            <v>45890</v>
          </cell>
          <cell r="B1687">
            <v>1.8708024397</v>
          </cell>
          <cell r="C1687">
            <v>1.8703419568999999</v>
          </cell>
          <cell r="D1687">
            <v>1.871263036</v>
          </cell>
        </row>
        <row r="1688">
          <cell r="A1688">
            <v>45891</v>
          </cell>
          <cell r="B1688">
            <v>1.8715629372</v>
          </cell>
          <cell r="C1688">
            <v>1.8711022670999999</v>
          </cell>
          <cell r="D1688">
            <v>1.8720237206999999</v>
          </cell>
        </row>
        <row r="1689">
          <cell r="A1689">
            <v>45894</v>
          </cell>
          <cell r="B1689">
            <v>1.8723237438</v>
          </cell>
          <cell r="C1689">
            <v>1.8718628865</v>
          </cell>
          <cell r="D1689">
            <v>1.8727847146000001</v>
          </cell>
        </row>
        <row r="1690">
          <cell r="A1690">
            <v>45895</v>
          </cell>
          <cell r="B1690">
            <v>1.8730848597</v>
          </cell>
          <cell r="C1690">
            <v>1.8726238150000001</v>
          </cell>
          <cell r="D1690">
            <v>1.8735460179000001</v>
          </cell>
        </row>
        <row r="1691">
          <cell r="A1691">
            <v>45896</v>
          </cell>
          <cell r="B1691">
            <v>1.8738462849999999</v>
          </cell>
          <cell r="C1691">
            <v>1.873385053</v>
          </cell>
          <cell r="D1691">
            <v>1.8743076306999999</v>
          </cell>
        </row>
        <row r="1692">
          <cell r="A1692">
            <v>45897</v>
          </cell>
          <cell r="B1692">
            <v>1.8746080198999999</v>
          </cell>
          <cell r="C1692">
            <v>1.8741466003</v>
          </cell>
          <cell r="D1692">
            <v>1.8750695530999999</v>
          </cell>
        </row>
        <row r="1693">
          <cell r="A1693">
            <v>45898</v>
          </cell>
          <cell r="B1693">
            <v>1.8753700644</v>
          </cell>
          <cell r="C1693">
            <v>1.8749084572000001</v>
          </cell>
          <cell r="D1693">
            <v>1.8758317851999999</v>
          </cell>
        </row>
        <row r="1694">
          <cell r="A1694">
            <v>45901</v>
          </cell>
          <cell r="B1694">
            <v>1.8761324186999999</v>
          </cell>
          <cell r="C1694">
            <v>1.8756706239000001</v>
          </cell>
          <cell r="D1694">
            <v>1.8765943272000001</v>
          </cell>
        </row>
        <row r="1695">
          <cell r="A1695">
            <v>45902</v>
          </cell>
          <cell r="B1695">
            <v>1.8768950827999999</v>
          </cell>
          <cell r="C1695">
            <v>1.8764331003000001</v>
          </cell>
          <cell r="D1695">
            <v>1.8773571791000001</v>
          </cell>
        </row>
        <row r="1696">
          <cell r="A1696">
            <v>45903</v>
          </cell>
          <cell r="B1696">
            <v>1.8776580569000001</v>
          </cell>
          <cell r="C1696">
            <v>1.8771958867</v>
          </cell>
          <cell r="D1696">
            <v>1.8781203411</v>
          </cell>
        </row>
        <row r="1697">
          <cell r="A1697">
            <v>45904</v>
          </cell>
          <cell r="B1697">
            <v>1.8784213412999999</v>
          </cell>
          <cell r="C1697">
            <v>1.8779589832000001</v>
          </cell>
          <cell r="D1697">
            <v>1.8788838134000001</v>
          </cell>
        </row>
        <row r="1698">
          <cell r="A1698">
            <v>45905</v>
          </cell>
          <cell r="B1698">
            <v>1.8791849358999999</v>
          </cell>
          <cell r="C1698">
            <v>1.8787223898000001</v>
          </cell>
          <cell r="D1698">
            <v>1.8796475960000001</v>
          </cell>
        </row>
        <row r="1699">
          <cell r="A1699">
            <v>45908</v>
          </cell>
          <cell r="B1699">
            <v>1.879948841</v>
          </cell>
          <cell r="C1699">
            <v>1.8794861069</v>
          </cell>
          <cell r="D1699">
            <v>1.8804116892</v>
          </cell>
        </row>
        <row r="1700">
          <cell r="A1700">
            <v>45909</v>
          </cell>
          <cell r="B1700">
            <v>1.8807130566000001</v>
          </cell>
          <cell r="C1700">
            <v>1.8802501343</v>
          </cell>
          <cell r="D1700">
            <v>1.8811760929000001</v>
          </cell>
        </row>
        <row r="1701">
          <cell r="A1701">
            <v>45910</v>
          </cell>
          <cell r="B1701">
            <v>1.8814775828999999</v>
          </cell>
          <cell r="C1701">
            <v>1.8810144724</v>
          </cell>
          <cell r="D1701">
            <v>1.8819408073999999</v>
          </cell>
        </row>
        <row r="1702">
          <cell r="A1702">
            <v>45911</v>
          </cell>
          <cell r="B1702">
            <v>1.8822424199000001</v>
          </cell>
          <cell r="C1702">
            <v>1.8817791211999999</v>
          </cell>
          <cell r="D1702">
            <v>1.8827058326999999</v>
          </cell>
        </row>
        <row r="1703">
          <cell r="A1703">
            <v>45912</v>
          </cell>
          <cell r="B1703">
            <v>1.8830075678</v>
          </cell>
          <cell r="C1703">
            <v>1.8825440807</v>
          </cell>
          <cell r="D1703">
            <v>1.8834711689999999</v>
          </cell>
        </row>
        <row r="1704">
          <cell r="A1704">
            <v>45915</v>
          </cell>
          <cell r="B1704">
            <v>1.8837730266999999</v>
          </cell>
          <cell r="C1704">
            <v>1.8833093513000001</v>
          </cell>
          <cell r="D1704">
            <v>1.8842368164000001</v>
          </cell>
        </row>
        <row r="1705">
          <cell r="A1705">
            <v>45916</v>
          </cell>
          <cell r="B1705">
            <v>1.8845387969</v>
          </cell>
          <cell r="C1705">
            <v>1.884074933</v>
          </cell>
          <cell r="D1705">
            <v>1.8850027751</v>
          </cell>
        </row>
        <row r="1706">
          <cell r="A1706">
            <v>45917</v>
          </cell>
          <cell r="B1706">
            <v>1.8853048783999999</v>
          </cell>
          <cell r="C1706">
            <v>1.8848408259</v>
          </cell>
          <cell r="D1706">
            <v>1.8857690452</v>
          </cell>
        </row>
        <row r="1707">
          <cell r="A1707">
            <v>45918</v>
          </cell>
          <cell r="B1707">
            <v>1.8860712712000001</v>
          </cell>
          <cell r="C1707">
            <v>1.8856070301000001</v>
          </cell>
          <cell r="D1707">
            <v>1.8865356267</v>
          </cell>
        </row>
        <row r="1708">
          <cell r="A1708">
            <v>45919</v>
          </cell>
          <cell r="B1708">
            <v>1.8868379756</v>
          </cell>
          <cell r="C1708">
            <v>1.8863735457999999</v>
          </cell>
          <cell r="D1708">
            <v>1.8873025199</v>
          </cell>
        </row>
        <row r="1709">
          <cell r="A1709">
            <v>45922</v>
          </cell>
          <cell r="B1709">
            <v>1.8876049917</v>
          </cell>
          <cell r="C1709">
            <v>1.887140373</v>
          </cell>
          <cell r="D1709">
            <v>1.8880697248</v>
          </cell>
        </row>
        <row r="1710">
          <cell r="A1710">
            <v>45923</v>
          </cell>
          <cell r="B1710">
            <v>1.8883723196</v>
          </cell>
          <cell r="C1710">
            <v>1.887907512</v>
          </cell>
          <cell r="D1710">
            <v>1.8888372416000001</v>
          </cell>
        </row>
        <row r="1711">
          <cell r="A1711">
            <v>45924</v>
          </cell>
          <cell r="B1711">
            <v>1.8891399594</v>
          </cell>
          <cell r="C1711">
            <v>1.8886749628999999</v>
          </cell>
          <cell r="D1711">
            <v>1.8896050704</v>
          </cell>
        </row>
        <row r="1712">
          <cell r="A1712">
            <v>45925</v>
          </cell>
          <cell r="B1712">
            <v>1.8899079111999999</v>
          </cell>
          <cell r="C1712">
            <v>1.8894427256999999</v>
          </cell>
          <cell r="D1712">
            <v>1.8903732113</v>
          </cell>
        </row>
        <row r="1713">
          <cell r="A1713">
            <v>45926</v>
          </cell>
          <cell r="B1713">
            <v>1.8906761752000001</v>
          </cell>
          <cell r="C1713">
            <v>1.8902108007</v>
          </cell>
          <cell r="D1713">
            <v>1.8911416645000001</v>
          </cell>
        </row>
        <row r="1714">
          <cell r="A1714">
            <v>45929</v>
          </cell>
          <cell r="B1714">
            <v>1.8914447514999999</v>
          </cell>
          <cell r="C1714">
            <v>1.8909791877</v>
          </cell>
          <cell r="D1714">
            <v>1.89191043</v>
          </cell>
        </row>
        <row r="1715">
          <cell r="A1715">
            <v>45930</v>
          </cell>
          <cell r="B1715">
            <v>1.8922136403000001</v>
          </cell>
          <cell r="C1715">
            <v>1.8917478873</v>
          </cell>
          <cell r="D1715">
            <v>1.8926795081000001</v>
          </cell>
        </row>
        <row r="1716">
          <cell r="A1716">
            <v>45931</v>
          </cell>
          <cell r="B1716">
            <v>1.8929828416000001</v>
          </cell>
          <cell r="C1716">
            <v>1.8925168993000001</v>
          </cell>
          <cell r="D1716">
            <v>1.8934488988</v>
          </cell>
        </row>
        <row r="1717">
          <cell r="A1717">
            <v>45932</v>
          </cell>
          <cell r="B1717">
            <v>1.8937523557</v>
          </cell>
          <cell r="C1717">
            <v>1.8932862238999999</v>
          </cell>
          <cell r="D1717">
            <v>1.8942186023000001</v>
          </cell>
        </row>
        <row r="1718">
          <cell r="A1718">
            <v>45933</v>
          </cell>
          <cell r="B1718">
            <v>1.8945221825</v>
          </cell>
          <cell r="C1718">
            <v>1.8940558612</v>
          </cell>
          <cell r="D1718">
            <v>1.8949886186</v>
          </cell>
        </row>
        <row r="1719">
          <cell r="A1719">
            <v>45936</v>
          </cell>
          <cell r="B1719">
            <v>1.8952923222</v>
          </cell>
          <cell r="C1719">
            <v>1.8948258114000001</v>
          </cell>
          <cell r="D1719">
            <v>1.8957589480000001</v>
          </cell>
        </row>
        <row r="1720">
          <cell r="A1720">
            <v>45937</v>
          </cell>
          <cell r="B1720">
            <v>1.8960627751000001</v>
          </cell>
          <cell r="C1720">
            <v>1.8955960746</v>
          </cell>
          <cell r="D1720">
            <v>1.8965295904999999</v>
          </cell>
        </row>
        <row r="1721">
          <cell r="A1721">
            <v>45938</v>
          </cell>
          <cell r="B1721">
            <v>1.8968335410999999</v>
          </cell>
          <cell r="C1721">
            <v>1.8963666508999999</v>
          </cell>
          <cell r="D1721">
            <v>1.8973005462999999</v>
          </cell>
        </row>
        <row r="1722">
          <cell r="A1722">
            <v>45939</v>
          </cell>
          <cell r="B1722">
            <v>1.8976046204000001</v>
          </cell>
          <cell r="C1722">
            <v>1.8971375404999999</v>
          </cell>
          <cell r="D1722">
            <v>1.8980718155</v>
          </cell>
        </row>
        <row r="1723">
          <cell r="A1723">
            <v>45940</v>
          </cell>
          <cell r="B1723">
            <v>1.8983760132</v>
          </cell>
          <cell r="C1723">
            <v>1.8979087433999999</v>
          </cell>
          <cell r="D1723">
            <v>1.8988433981999999</v>
          </cell>
        </row>
        <row r="1724">
          <cell r="A1724">
            <v>45943</v>
          </cell>
          <cell r="B1724">
            <v>1.8991477196</v>
          </cell>
          <cell r="C1724">
            <v>1.8986802598000001</v>
          </cell>
          <cell r="D1724">
            <v>1.8996152946</v>
          </cell>
        </row>
        <row r="1725">
          <cell r="A1725">
            <v>45944</v>
          </cell>
          <cell r="B1725">
            <v>1.8999197398000001</v>
          </cell>
          <cell r="C1725">
            <v>1.8994520899</v>
          </cell>
          <cell r="D1725">
            <v>1.9003875048000001</v>
          </cell>
        </row>
        <row r="1726">
          <cell r="A1726">
            <v>45945</v>
          </cell>
          <cell r="B1726">
            <v>1.9006920736999999</v>
          </cell>
          <cell r="C1726">
            <v>1.9002242337999999</v>
          </cell>
          <cell r="D1726">
            <v>1.9011600288999999</v>
          </cell>
        </row>
        <row r="1727">
          <cell r="A1727">
            <v>45946</v>
          </cell>
          <cell r="B1727">
            <v>1.9014647216</v>
          </cell>
          <cell r="C1727">
            <v>1.9009966915000001</v>
          </cell>
          <cell r="D1727">
            <v>1.901932867</v>
          </cell>
        </row>
        <row r="1728">
          <cell r="A1728">
            <v>45947</v>
          </cell>
          <cell r="B1728">
            <v>1.9022376835000001</v>
          </cell>
          <cell r="C1728">
            <v>1.9017694630999999</v>
          </cell>
          <cell r="D1728">
            <v>1.9027060192</v>
          </cell>
        </row>
        <row r="1729">
          <cell r="A1729">
            <v>45950</v>
          </cell>
          <cell r="B1729">
            <v>1.9030109597</v>
          </cell>
          <cell r="C1729">
            <v>1.9025425490000001</v>
          </cell>
          <cell r="D1729">
            <v>1.9034794857999999</v>
          </cell>
        </row>
        <row r="1730">
          <cell r="A1730">
            <v>45951</v>
          </cell>
          <cell r="B1730">
            <v>1.9037845501999999</v>
          </cell>
          <cell r="C1730">
            <v>1.9033159491</v>
          </cell>
          <cell r="D1730">
            <v>1.9042532668000001</v>
          </cell>
        </row>
        <row r="1731">
          <cell r="A1731">
            <v>45952</v>
          </cell>
          <cell r="B1731">
            <v>1.9045584551999999</v>
          </cell>
          <cell r="C1731">
            <v>1.9040896636</v>
          </cell>
          <cell r="D1731">
            <v>1.9050273623</v>
          </cell>
        </row>
        <row r="1732">
          <cell r="A1732">
            <v>45953</v>
          </cell>
          <cell r="B1732">
            <v>1.9053326748999999</v>
          </cell>
          <cell r="C1732">
            <v>1.9048636927</v>
          </cell>
          <cell r="D1732">
            <v>1.9058017726000001</v>
          </cell>
        </row>
        <row r="1733">
          <cell r="A1733">
            <v>45954</v>
          </cell>
          <cell r="B1733">
            <v>1.9061072092</v>
          </cell>
          <cell r="C1733">
            <v>1.9056380364000001</v>
          </cell>
          <cell r="D1733">
            <v>1.9065764975999999</v>
          </cell>
        </row>
        <row r="1734">
          <cell r="A1734">
            <v>45957</v>
          </cell>
          <cell r="B1734">
            <v>1.9068820582999999</v>
          </cell>
          <cell r="C1734">
            <v>1.9064126948</v>
          </cell>
          <cell r="D1734">
            <v>1.9073515375000001</v>
          </cell>
        </row>
        <row r="1735">
          <cell r="A1735">
            <v>45958</v>
          </cell>
          <cell r="B1735">
            <v>1.9076572224999999</v>
          </cell>
          <cell r="C1735">
            <v>1.9071876681</v>
          </cell>
          <cell r="D1735">
            <v>1.9081268924999999</v>
          </cell>
        </row>
        <row r="1736">
          <cell r="A1736">
            <v>45959</v>
          </cell>
          <cell r="B1736">
            <v>1.9084327017</v>
          </cell>
          <cell r="C1736">
            <v>1.9079629565</v>
          </cell>
          <cell r="D1736">
            <v>1.9089025627</v>
          </cell>
        </row>
        <row r="1737">
          <cell r="A1737">
            <v>45960</v>
          </cell>
          <cell r="B1737">
            <v>1.9092084963</v>
          </cell>
          <cell r="C1737">
            <v>1.9087385602</v>
          </cell>
          <cell r="D1737">
            <v>1.9096785483000001</v>
          </cell>
        </row>
        <row r="1738">
          <cell r="A1738">
            <v>45961</v>
          </cell>
          <cell r="B1738">
            <v>1.9099846062000001</v>
          </cell>
          <cell r="C1738">
            <v>1.909514479</v>
          </cell>
          <cell r="D1738">
            <v>1.9104548492</v>
          </cell>
        </row>
        <row r="1739">
          <cell r="A1739">
            <v>45964</v>
          </cell>
          <cell r="B1739">
            <v>1.9107610316000001</v>
          </cell>
          <cell r="C1739">
            <v>1.9102907133</v>
          </cell>
          <cell r="D1739">
            <v>1.9112314658</v>
          </cell>
        </row>
        <row r="1740">
          <cell r="A1740">
            <v>45965</v>
          </cell>
          <cell r="B1740">
            <v>1.9115377726</v>
          </cell>
          <cell r="C1740">
            <v>1.9110672631000001</v>
          </cell>
          <cell r="D1740">
            <v>1.912008398</v>
          </cell>
        </row>
        <row r="1741">
          <cell r="A1741">
            <v>45966</v>
          </cell>
          <cell r="B1741">
            <v>1.9123148294000001</v>
          </cell>
          <cell r="C1741">
            <v>1.9118441286000001</v>
          </cell>
          <cell r="D1741">
            <v>1.9127856460999999</v>
          </cell>
        </row>
        <row r="1742">
          <cell r="A1742">
            <v>45967</v>
          </cell>
          <cell r="B1742">
            <v>1.9130922020000001</v>
          </cell>
          <cell r="C1742">
            <v>1.9126213098</v>
          </cell>
          <cell r="D1742">
            <v>1.9135632101</v>
          </cell>
        </row>
        <row r="1743">
          <cell r="A1743">
            <v>45968</v>
          </cell>
          <cell r="B1743">
            <v>1.9138698906</v>
          </cell>
          <cell r="C1743">
            <v>1.9133988071000001</v>
          </cell>
          <cell r="D1743">
            <v>1.9143410902</v>
          </cell>
        </row>
        <row r="1744">
          <cell r="A1744">
            <v>45971</v>
          </cell>
          <cell r="B1744">
            <v>1.9146478953999999</v>
          </cell>
          <cell r="C1744">
            <v>1.9141766202999999</v>
          </cell>
          <cell r="D1744">
            <v>1.9151192865</v>
          </cell>
        </row>
        <row r="1745">
          <cell r="A1745">
            <v>45972</v>
          </cell>
          <cell r="B1745">
            <v>1.9154262164</v>
          </cell>
          <cell r="C1745">
            <v>1.9149547497999999</v>
          </cell>
          <cell r="D1745">
            <v>1.9158977991999999</v>
          </cell>
        </row>
        <row r="1746">
          <cell r="A1746">
            <v>45973</v>
          </cell>
          <cell r="B1746">
            <v>1.9162048538000001</v>
          </cell>
          <cell r="C1746">
            <v>1.9157331956000001</v>
          </cell>
          <cell r="D1746">
            <v>1.9166766283000001</v>
          </cell>
        </row>
        <row r="1747">
          <cell r="A1747">
            <v>45974</v>
          </cell>
          <cell r="B1747">
            <v>1.9169838078000001</v>
          </cell>
          <cell r="C1747">
            <v>1.9165119578000001</v>
          </cell>
          <cell r="D1747">
            <v>1.9174557741</v>
          </cell>
        </row>
        <row r="1748">
          <cell r="A1748">
            <v>45975</v>
          </cell>
          <cell r="B1748">
            <v>1.9177630784999999</v>
          </cell>
          <cell r="C1748">
            <v>1.9172910367</v>
          </cell>
          <cell r="D1748">
            <v>1.9182352365999999</v>
          </cell>
        </row>
        <row r="1749">
          <cell r="A1749">
            <v>45978</v>
          </cell>
          <cell r="B1749">
            <v>1.9185426658</v>
          </cell>
          <cell r="C1749">
            <v>1.9180704320999999</v>
          </cell>
          <cell r="D1749">
            <v>1.9190150158999999</v>
          </cell>
        </row>
        <row r="1750">
          <cell r="A1750">
            <v>45979</v>
          </cell>
          <cell r="B1750">
            <v>1.9193225701000001</v>
          </cell>
          <cell r="C1750">
            <v>1.9188501444999999</v>
          </cell>
          <cell r="D1750">
            <v>1.9197951122000001</v>
          </cell>
        </row>
        <row r="1751">
          <cell r="A1751">
            <v>45980</v>
          </cell>
          <cell r="B1751">
            <v>1.9201027914</v>
          </cell>
          <cell r="C1751">
            <v>1.9196301737000001</v>
          </cell>
          <cell r="D1751">
            <v>1.9205755256000001</v>
          </cell>
        </row>
        <row r="1752">
          <cell r="A1752">
            <v>45981</v>
          </cell>
          <cell r="B1752">
            <v>1.9208833300000001</v>
          </cell>
          <cell r="C1752">
            <v>1.9204105200999999</v>
          </cell>
          <cell r="D1752">
            <v>1.9213562563</v>
          </cell>
        </row>
        <row r="1753">
          <cell r="A1753">
            <v>45982</v>
          </cell>
          <cell r="B1753">
            <v>1.9216641858000001</v>
          </cell>
          <cell r="C1753">
            <v>1.9211911838</v>
          </cell>
          <cell r="D1753">
            <v>1.9221373044000001</v>
          </cell>
        </row>
        <row r="1754">
          <cell r="A1754">
            <v>45985</v>
          </cell>
          <cell r="B1754">
            <v>1.9224453589999999</v>
          </cell>
          <cell r="C1754">
            <v>1.9219721647000001</v>
          </cell>
          <cell r="D1754">
            <v>1.9229186699</v>
          </cell>
        </row>
        <row r="1755">
          <cell r="A1755">
            <v>45986</v>
          </cell>
          <cell r="B1755">
            <v>1.9232268498</v>
          </cell>
          <cell r="C1755">
            <v>1.9227534631000001</v>
          </cell>
          <cell r="D1755">
            <v>1.9237003531000001</v>
          </cell>
        </row>
        <row r="1756">
          <cell r="A1756">
            <v>45987</v>
          </cell>
          <cell r="B1756">
            <v>1.9240086583</v>
          </cell>
          <cell r="C1756">
            <v>1.9235350792000001</v>
          </cell>
          <cell r="D1756">
            <v>1.9244823541</v>
          </cell>
        </row>
        <row r="1757">
          <cell r="A1757">
            <v>45988</v>
          </cell>
          <cell r="B1757">
            <v>1.9247907845000001</v>
          </cell>
          <cell r="C1757">
            <v>1.9243170129</v>
          </cell>
          <cell r="D1757">
            <v>1.9252646729</v>
          </cell>
        </row>
        <row r="1758">
          <cell r="A1758">
            <v>45989</v>
          </cell>
          <cell r="B1758">
            <v>1.9255732288</v>
          </cell>
          <cell r="C1758">
            <v>1.9250992646</v>
          </cell>
          <cell r="D1758">
            <v>1.9260473097999999</v>
          </cell>
        </row>
        <row r="1759">
          <cell r="A1759">
            <v>45992</v>
          </cell>
          <cell r="B1759">
            <v>1.9263559911000001</v>
          </cell>
          <cell r="C1759">
            <v>1.9258818341999999</v>
          </cell>
          <cell r="D1759">
            <v>1.9268302648</v>
          </cell>
        </row>
        <row r="1760">
          <cell r="A1760">
            <v>45993</v>
          </cell>
          <cell r="B1760">
            <v>1.9271390716000001</v>
          </cell>
          <cell r="C1760">
            <v>1.9266647219999999</v>
          </cell>
          <cell r="D1760">
            <v>1.9276135380999999</v>
          </cell>
        </row>
        <row r="1761">
          <cell r="A1761">
            <v>45994</v>
          </cell>
          <cell r="B1761">
            <v>1.9279224703</v>
          </cell>
          <cell r="C1761">
            <v>1.9274479278000001</v>
          </cell>
          <cell r="D1761">
            <v>1.9283971297</v>
          </cell>
        </row>
        <row r="1762">
          <cell r="A1762">
            <v>45995</v>
          </cell>
          <cell r="B1762">
            <v>1.9287061877</v>
          </cell>
          <cell r="C1762">
            <v>1.9282314522999999</v>
          </cell>
          <cell r="D1762">
            <v>1.92918104</v>
          </cell>
        </row>
        <row r="1763">
          <cell r="A1763">
            <v>45996</v>
          </cell>
          <cell r="B1763">
            <v>1.9294902235</v>
          </cell>
          <cell r="C1763">
            <v>1.9290152951999999</v>
          </cell>
          <cell r="D1763">
            <v>1.9299652689</v>
          </cell>
        </row>
        <row r="1764">
          <cell r="A1764">
            <v>45999</v>
          </cell>
          <cell r="B1764">
            <v>1.9302745780999999</v>
          </cell>
          <cell r="C1764">
            <v>1.9297994567000001</v>
          </cell>
          <cell r="D1764">
            <v>1.9307498165999999</v>
          </cell>
        </row>
        <row r="1765">
          <cell r="A1765">
            <v>46000</v>
          </cell>
          <cell r="B1765">
            <v>1.9310592515</v>
          </cell>
          <cell r="C1765">
            <v>1.930583937</v>
          </cell>
          <cell r="D1765">
            <v>1.9315346832</v>
          </cell>
        </row>
        <row r="1766">
          <cell r="A1766">
            <v>46001</v>
          </cell>
          <cell r="B1766">
            <v>1.9318442440000001</v>
          </cell>
          <cell r="C1766">
            <v>1.9313687362</v>
          </cell>
          <cell r="D1766">
            <v>1.9323198689000001</v>
          </cell>
        </row>
        <row r="1767">
          <cell r="A1767">
            <v>46002</v>
          </cell>
          <cell r="B1767">
            <v>1.9326295553999999</v>
          </cell>
          <cell r="C1767">
            <v>1.9321538543000001</v>
          </cell>
          <cell r="D1767">
            <v>1.9331053736999999</v>
          </cell>
        </row>
        <row r="1768">
          <cell r="A1768">
            <v>46003</v>
          </cell>
          <cell r="B1768">
            <v>1.9334151862</v>
          </cell>
          <cell r="C1768">
            <v>1.9329392916999999</v>
          </cell>
          <cell r="D1768">
            <v>1.9338911979</v>
          </cell>
        </row>
        <row r="1769">
          <cell r="A1769">
            <v>46006</v>
          </cell>
          <cell r="B1769">
            <v>1.9342011363</v>
          </cell>
          <cell r="C1769">
            <v>1.9337250483999999</v>
          </cell>
          <cell r="D1769">
            <v>1.9346773415</v>
          </cell>
        </row>
        <row r="1770">
          <cell r="A1770">
            <v>46007</v>
          </cell>
          <cell r="B1770">
            <v>1.9349874059000001</v>
          </cell>
          <cell r="C1770">
            <v>1.9345111245</v>
          </cell>
          <cell r="D1770">
            <v>1.9354638046999999</v>
          </cell>
        </row>
        <row r="1771">
          <cell r="A1771">
            <v>46008</v>
          </cell>
          <cell r="B1771">
            <v>1.9357739951999999</v>
          </cell>
          <cell r="C1771">
            <v>1.9352975201</v>
          </cell>
          <cell r="D1771">
            <v>1.9362505876</v>
          </cell>
        </row>
        <row r="1772">
          <cell r="A1772">
            <v>46009</v>
          </cell>
          <cell r="B1772">
            <v>1.9365609041</v>
          </cell>
          <cell r="C1772">
            <v>1.9360842354000001</v>
          </cell>
          <cell r="D1772">
            <v>1.9370376902999999</v>
          </cell>
        </row>
        <row r="1773">
          <cell r="A1773">
            <v>46010</v>
          </cell>
          <cell r="B1773">
            <v>1.937348133</v>
          </cell>
          <cell r="C1773">
            <v>1.9368712705</v>
          </cell>
          <cell r="D1773">
            <v>1.9378251129999999</v>
          </cell>
        </row>
        <row r="1774">
          <cell r="A1774">
            <v>46013</v>
          </cell>
          <cell r="B1774">
            <v>1.9381356819</v>
          </cell>
          <cell r="C1774">
            <v>1.9376586254999999</v>
          </cell>
          <cell r="D1774">
            <v>1.9386128558</v>
          </cell>
        </row>
        <row r="1775">
          <cell r="A1775">
            <v>46014</v>
          </cell>
          <cell r="B1775">
            <v>1.9389235509</v>
          </cell>
          <cell r="C1775">
            <v>1.9384463005999999</v>
          </cell>
          <cell r="D1775">
            <v>1.9394009188000001</v>
          </cell>
        </row>
        <row r="1776">
          <cell r="A1776">
            <v>46015</v>
          </cell>
          <cell r="B1776">
            <v>1.9397117402999999</v>
          </cell>
          <cell r="C1776">
            <v>1.939234296</v>
          </cell>
          <cell r="D1776">
            <v>1.9401893022000001</v>
          </cell>
        </row>
        <row r="1777">
          <cell r="A1777">
            <v>46017</v>
          </cell>
          <cell r="B1777">
            <v>1.9405002498999999</v>
          </cell>
          <cell r="C1777">
            <v>1.9400226115999999</v>
          </cell>
          <cell r="D1777">
            <v>1.9409780059999999</v>
          </cell>
        </row>
        <row r="1778">
          <cell r="A1778">
            <v>46020</v>
          </cell>
          <cell r="B1778">
            <v>1.9412890802</v>
          </cell>
          <cell r="C1778">
            <v>1.9408112476999999</v>
          </cell>
          <cell r="D1778">
            <v>1.9417670305000001</v>
          </cell>
        </row>
        <row r="1779">
          <cell r="A1779">
            <v>46021</v>
          </cell>
          <cell r="B1779">
            <v>1.9420782311</v>
          </cell>
          <cell r="C1779">
            <v>1.9416002043</v>
          </cell>
          <cell r="D1779">
            <v>1.9425563756999999</v>
          </cell>
        </row>
        <row r="1780">
          <cell r="A1780">
            <v>46022</v>
          </cell>
          <cell r="B1780">
            <v>1.9428677029000001</v>
          </cell>
          <cell r="C1780">
            <v>1.9423894817</v>
          </cell>
          <cell r="D1780">
            <v>1.9433460417999999</v>
          </cell>
        </row>
        <row r="1781">
          <cell r="A1781">
            <v>46024</v>
          </cell>
          <cell r="B1781">
            <v>1.9436574955000001</v>
          </cell>
          <cell r="C1781">
            <v>1.9431790799999999</v>
          </cell>
          <cell r="D1781">
            <v>1.9441360289</v>
          </cell>
        </row>
        <row r="1782">
          <cell r="A1782">
            <v>46027</v>
          </cell>
          <cell r="B1782">
            <v>1.9444791433999999</v>
          </cell>
          <cell r="C1782">
            <v>1.9440005256999999</v>
          </cell>
          <cell r="D1782">
            <v>1.9449578791</v>
          </cell>
        </row>
        <row r="1783">
          <cell r="A1783">
            <v>46028</v>
          </cell>
          <cell r="B1783">
            <v>1.9453011386000001</v>
          </cell>
          <cell r="C1783">
            <v>1.9448223186</v>
          </cell>
          <cell r="D1783">
            <v>1.9457800767</v>
          </cell>
        </row>
        <row r="1784">
          <cell r="A1784">
            <v>46029</v>
          </cell>
          <cell r="B1784">
            <v>1.9461234813999999</v>
          </cell>
          <cell r="C1784">
            <v>1.9456444588999999</v>
          </cell>
          <cell r="D1784">
            <v>1.9466026219000001</v>
          </cell>
        </row>
        <row r="1785">
          <cell r="A1785">
            <v>46030</v>
          </cell>
          <cell r="B1785">
            <v>1.9469461717000001</v>
          </cell>
          <cell r="C1785">
            <v>1.9464669467</v>
          </cell>
          <cell r="D1785">
            <v>1.9474255147999999</v>
          </cell>
        </row>
        <row r="1786">
          <cell r="A1786">
            <v>46031</v>
          </cell>
          <cell r="B1786">
            <v>1.9477692097999999</v>
          </cell>
          <cell r="C1786">
            <v>1.9472897821999999</v>
          </cell>
          <cell r="D1786">
            <v>1.9482487555000001</v>
          </cell>
        </row>
        <row r="1787">
          <cell r="A1787">
            <v>46034</v>
          </cell>
          <cell r="B1787">
            <v>1.9485925958999999</v>
          </cell>
          <cell r="C1787">
            <v>1.9481129656</v>
          </cell>
          <cell r="D1787">
            <v>1.9490723443</v>
          </cell>
        </row>
        <row r="1788">
          <cell r="A1788">
            <v>46035</v>
          </cell>
          <cell r="B1788">
            <v>1.94941633</v>
          </cell>
          <cell r="C1788">
            <v>1.948936497</v>
          </cell>
          <cell r="D1788">
            <v>1.9498962812</v>
          </cell>
        </row>
        <row r="1789">
          <cell r="A1789">
            <v>46036</v>
          </cell>
          <cell r="B1789">
            <v>1.9502404123999999</v>
          </cell>
          <cell r="C1789">
            <v>1.9497603765</v>
          </cell>
          <cell r="D1789">
            <v>1.9507205665</v>
          </cell>
        </row>
        <row r="1790">
          <cell r="A1790">
            <v>46037</v>
          </cell>
          <cell r="B1790">
            <v>1.9510648430999999</v>
          </cell>
          <cell r="C1790">
            <v>1.9505846042999999</v>
          </cell>
          <cell r="D1790">
            <v>1.9515452002</v>
          </cell>
        </row>
        <row r="1791">
          <cell r="A1791">
            <v>46038</v>
          </cell>
          <cell r="B1791">
            <v>1.9518896223</v>
          </cell>
          <cell r="C1791">
            <v>1.9514091806</v>
          </cell>
          <cell r="D1791">
            <v>1.9523701824999999</v>
          </cell>
        </row>
        <row r="1792">
          <cell r="A1792">
            <v>46041</v>
          </cell>
          <cell r="B1792">
            <v>1.9527147502</v>
          </cell>
          <cell r="C1792">
            <v>1.9522341053000001</v>
          </cell>
          <cell r="D1792">
            <v>1.9531955135000001</v>
          </cell>
        </row>
        <row r="1793">
          <cell r="A1793">
            <v>46042</v>
          </cell>
          <cell r="B1793">
            <v>1.9535402269</v>
          </cell>
          <cell r="C1793">
            <v>1.9530593787999999</v>
          </cell>
          <cell r="D1793">
            <v>1.9540211934</v>
          </cell>
        </row>
        <row r="1794">
          <cell r="A1794">
            <v>46043</v>
          </cell>
          <cell r="B1794">
            <v>1.9543660525</v>
          </cell>
          <cell r="C1794">
            <v>1.9538850012</v>
          </cell>
          <cell r="D1794">
            <v>1.9548472224</v>
          </cell>
        </row>
        <row r="1795">
          <cell r="A1795">
            <v>46044</v>
          </cell>
          <cell r="B1795">
            <v>1.9551922273</v>
          </cell>
          <cell r="C1795">
            <v>1.9547109726</v>
          </cell>
          <cell r="D1795">
            <v>1.9556736006</v>
          </cell>
        </row>
        <row r="1796">
          <cell r="A1796">
            <v>46045</v>
          </cell>
          <cell r="B1796">
            <v>1.9560187513</v>
          </cell>
          <cell r="C1796">
            <v>1.9555372931999999</v>
          </cell>
          <cell r="D1796">
            <v>1.9565003281</v>
          </cell>
        </row>
        <row r="1797">
          <cell r="A1797">
            <v>46048</v>
          </cell>
          <cell r="B1797">
            <v>1.9568456247999999</v>
          </cell>
          <cell r="C1797">
            <v>1.9563639631</v>
          </cell>
          <cell r="D1797">
            <v>1.9573274051</v>
          </cell>
        </row>
        <row r="1798">
          <cell r="A1798">
            <v>46049</v>
          </cell>
          <cell r="B1798">
            <v>1.9576728477000001</v>
          </cell>
          <cell r="C1798">
            <v>1.9571909824</v>
          </cell>
          <cell r="D1798">
            <v>1.9581548316999999</v>
          </cell>
        </row>
        <row r="1799">
          <cell r="A1799">
            <v>46050</v>
          </cell>
          <cell r="B1799">
            <v>1.9585004204000001</v>
          </cell>
          <cell r="C1799">
            <v>1.9580183514</v>
          </cell>
          <cell r="D1799">
            <v>1.9589826080999999</v>
          </cell>
        </row>
        <row r="1800">
          <cell r="A1800">
            <v>46051</v>
          </cell>
          <cell r="B1800">
            <v>1.9593283427999999</v>
          </cell>
          <cell r="C1800">
            <v>1.9588460700000001</v>
          </cell>
          <cell r="D1800">
            <v>1.9598107344</v>
          </cell>
        </row>
        <row r="1801">
          <cell r="A1801">
            <v>46052</v>
          </cell>
          <cell r="B1801">
            <v>1.9601566153000001</v>
          </cell>
          <cell r="C1801">
            <v>1.9596741386000001</v>
          </cell>
          <cell r="D1801">
            <v>1.9606392107999999</v>
          </cell>
        </row>
        <row r="1802">
          <cell r="A1802">
            <v>46055</v>
          </cell>
          <cell r="B1802">
            <v>1.9609852378999999</v>
          </cell>
          <cell r="C1802">
            <v>1.9605025572999999</v>
          </cell>
          <cell r="D1802">
            <v>1.9614680374</v>
          </cell>
        </row>
        <row r="1803">
          <cell r="A1803">
            <v>46056</v>
          </cell>
          <cell r="B1803">
            <v>1.9618142108000001</v>
          </cell>
          <cell r="C1803">
            <v>1.9613313261</v>
          </cell>
          <cell r="D1803">
            <v>1.9622972143999999</v>
          </cell>
        </row>
        <row r="1804">
          <cell r="A1804">
            <v>46057</v>
          </cell>
          <cell r="B1804">
            <v>1.9626435341999999</v>
          </cell>
          <cell r="C1804">
            <v>1.9621604453999999</v>
          </cell>
          <cell r="D1804">
            <v>1.963126742</v>
          </cell>
        </row>
        <row r="1805">
          <cell r="A1805">
            <v>46058</v>
          </cell>
          <cell r="B1805">
            <v>1.9634732080999999</v>
          </cell>
          <cell r="C1805">
            <v>1.9629899151000001</v>
          </cell>
          <cell r="D1805">
            <v>1.9639566202000001</v>
          </cell>
        </row>
        <row r="1806">
          <cell r="A1806">
            <v>46059</v>
          </cell>
          <cell r="B1806">
            <v>1.9643032328000001</v>
          </cell>
          <cell r="C1806">
            <v>1.9638197355</v>
          </cell>
          <cell r="D1806">
            <v>1.9647868492</v>
          </cell>
        </row>
        <row r="1807">
          <cell r="A1807">
            <v>46062</v>
          </cell>
          <cell r="B1807">
            <v>1.9651336081999999</v>
          </cell>
          <cell r="C1807">
            <v>1.9646499066000001</v>
          </cell>
          <cell r="D1807">
            <v>1.9656174290999999</v>
          </cell>
        </row>
        <row r="1808">
          <cell r="A1808">
            <v>46063</v>
          </cell>
          <cell r="B1808">
            <v>1.9659643348</v>
          </cell>
          <cell r="C1808">
            <v>1.9654804287000001</v>
          </cell>
          <cell r="D1808">
            <v>1.9664483602</v>
          </cell>
        </row>
        <row r="1809">
          <cell r="A1809">
            <v>46064</v>
          </cell>
          <cell r="B1809">
            <v>1.9667954126</v>
          </cell>
          <cell r="C1809">
            <v>1.9663113019</v>
          </cell>
          <cell r="D1809">
            <v>1.9672796426000001</v>
          </cell>
        </row>
        <row r="1810">
          <cell r="A1810">
            <v>46065</v>
          </cell>
          <cell r="B1810">
            <v>1.9676268416</v>
          </cell>
          <cell r="C1810">
            <v>1.9671425262</v>
          </cell>
          <cell r="D1810">
            <v>1.9681112762999999</v>
          </cell>
        </row>
        <row r="1811">
          <cell r="A1811">
            <v>46066</v>
          </cell>
          <cell r="B1811">
            <v>1.9684586221</v>
          </cell>
          <cell r="C1811">
            <v>1.9679741019999999</v>
          </cell>
          <cell r="D1811">
            <v>1.9689432616</v>
          </cell>
        </row>
        <row r="1812">
          <cell r="A1812">
            <v>46071</v>
          </cell>
          <cell r="B1812">
            <v>1.9692907543</v>
          </cell>
          <cell r="C1812">
            <v>1.9688060294</v>
          </cell>
          <cell r="D1812">
            <v>1.9697755987000001</v>
          </cell>
        </row>
        <row r="1813">
          <cell r="A1813">
            <v>46072</v>
          </cell>
          <cell r="B1813">
            <v>1.9701232382</v>
          </cell>
          <cell r="C1813">
            <v>1.9696383083</v>
          </cell>
          <cell r="D1813">
            <v>1.9706082874999999</v>
          </cell>
        </row>
        <row r="1814">
          <cell r="A1814">
            <v>46073</v>
          </cell>
          <cell r="B1814">
            <v>1.9709560740000001</v>
          </cell>
          <cell r="C1814">
            <v>1.9704709391999999</v>
          </cell>
          <cell r="D1814">
            <v>1.9714413284000001</v>
          </cell>
        </row>
        <row r="1815">
          <cell r="A1815">
            <v>46076</v>
          </cell>
          <cell r="B1815">
            <v>1.9717892619999999</v>
          </cell>
          <cell r="C1815">
            <v>1.9713039220999999</v>
          </cell>
          <cell r="D1815">
            <v>1.9722747215</v>
          </cell>
        </row>
        <row r="1816">
          <cell r="A1816">
            <v>46077</v>
          </cell>
          <cell r="B1816">
            <v>1.9726228021000001</v>
          </cell>
          <cell r="C1816">
            <v>1.972137257</v>
          </cell>
          <cell r="D1816">
            <v>1.9731084668000001</v>
          </cell>
        </row>
        <row r="1817">
          <cell r="A1817">
            <v>46078</v>
          </cell>
          <cell r="B1817">
            <v>1.9734566946000001</v>
          </cell>
          <cell r="C1817">
            <v>1.9729709442000001</v>
          </cell>
          <cell r="D1817">
            <v>1.9739425645999999</v>
          </cell>
        </row>
        <row r="1818">
          <cell r="A1818">
            <v>46079</v>
          </cell>
          <cell r="B1818">
            <v>1.9742909395999999</v>
          </cell>
          <cell r="C1818">
            <v>1.9738049839</v>
          </cell>
          <cell r="D1818">
            <v>1.9747770149999999</v>
          </cell>
        </row>
        <row r="1819">
          <cell r="A1819">
            <v>46080</v>
          </cell>
          <cell r="B1819">
            <v>1.9751255372000001</v>
          </cell>
          <cell r="C1819">
            <v>1.9746393761000001</v>
          </cell>
          <cell r="D1819">
            <v>1.9756118181</v>
          </cell>
        </row>
        <row r="1820">
          <cell r="A1820">
            <v>46083</v>
          </cell>
          <cell r="B1820">
            <v>1.9759604877000001</v>
          </cell>
          <cell r="C1820">
            <v>1.9754741211</v>
          </cell>
          <cell r="D1820">
            <v>1.9764469741999999</v>
          </cell>
        </row>
        <row r="1821">
          <cell r="A1821">
            <v>46084</v>
          </cell>
          <cell r="B1821">
            <v>1.9767957912</v>
          </cell>
          <cell r="C1821">
            <v>1.9763092189</v>
          </cell>
          <cell r="D1821">
            <v>1.9772824833</v>
          </cell>
        </row>
        <row r="1822">
          <cell r="A1822">
            <v>46085</v>
          </cell>
          <cell r="B1822">
            <v>1.9776314477000001</v>
          </cell>
          <cell r="C1822">
            <v>1.9771446697999999</v>
          </cell>
          <cell r="D1822">
            <v>1.9781183456</v>
          </cell>
        </row>
        <row r="1823">
          <cell r="A1823">
            <v>46086</v>
          </cell>
          <cell r="B1823">
            <v>1.9784674575000001</v>
          </cell>
          <cell r="C1823">
            <v>1.9779804738</v>
          </cell>
          <cell r="D1823">
            <v>1.9789545611999999</v>
          </cell>
        </row>
        <row r="1824">
          <cell r="A1824">
            <v>46087</v>
          </cell>
          <cell r="B1824">
            <v>1.9793038207</v>
          </cell>
          <cell r="C1824">
            <v>1.9788166310999999</v>
          </cell>
          <cell r="D1824">
            <v>1.9797911303</v>
          </cell>
        </row>
        <row r="1825">
          <cell r="A1825">
            <v>46090</v>
          </cell>
          <cell r="B1825">
            <v>1.9801405375000001</v>
          </cell>
          <cell r="C1825">
            <v>1.9796531420000001</v>
          </cell>
          <cell r="D1825">
            <v>1.9806280531</v>
          </cell>
        </row>
        <row r="1826">
          <cell r="A1826">
            <v>46091</v>
          </cell>
          <cell r="B1826">
            <v>1.9809776079999999</v>
          </cell>
          <cell r="C1826">
            <v>1.9804900065</v>
          </cell>
          <cell r="D1826">
            <v>1.9814653297</v>
          </cell>
        </row>
        <row r="1827">
          <cell r="A1827">
            <v>46092</v>
          </cell>
          <cell r="B1827">
            <v>1.9818150322999999</v>
          </cell>
          <cell r="C1827">
            <v>1.9813272246</v>
          </cell>
          <cell r="D1827">
            <v>1.9823029602</v>
          </cell>
        </row>
        <row r="1828">
          <cell r="A1828">
            <v>46093</v>
          </cell>
          <cell r="B1828">
            <v>1.9826528107000001</v>
          </cell>
          <cell r="C1828">
            <v>1.9821647968</v>
          </cell>
          <cell r="D1828">
            <v>1.9831409447999999</v>
          </cell>
        </row>
        <row r="1829">
          <cell r="A1829">
            <v>46094</v>
          </cell>
          <cell r="B1829">
            <v>1.9834909431000001</v>
          </cell>
          <cell r="C1829">
            <v>1.9830027229</v>
          </cell>
          <cell r="D1829">
            <v>1.9839792836000001</v>
          </cell>
        </row>
        <row r="1830">
          <cell r="A1830">
            <v>46097</v>
          </cell>
          <cell r="B1830">
            <v>1.9843294300000001</v>
          </cell>
          <cell r="C1830">
            <v>1.9838410034</v>
          </cell>
          <cell r="D1830">
            <v>1.9848179769000001</v>
          </cell>
        </row>
        <row r="1831">
          <cell r="A1831">
            <v>46098</v>
          </cell>
          <cell r="B1831">
            <v>1.9851682713000001</v>
          </cell>
          <cell r="C1831">
            <v>1.9846796382</v>
          </cell>
          <cell r="D1831">
            <v>1.9856570247000001</v>
          </cell>
        </row>
        <row r="1832">
          <cell r="A1832">
            <v>46099</v>
          </cell>
          <cell r="B1832">
            <v>1.9860074671000001</v>
          </cell>
          <cell r="C1832">
            <v>1.9855186275000001</v>
          </cell>
          <cell r="D1832">
            <v>1.9864964272000001</v>
          </cell>
        </row>
        <row r="1833">
          <cell r="A1833">
            <v>46100</v>
          </cell>
          <cell r="B1833">
            <v>1.9868470176999999</v>
          </cell>
          <cell r="C1833">
            <v>1.9863579714999999</v>
          </cell>
          <cell r="D1833">
            <v>1.9873361844999999</v>
          </cell>
        </row>
        <row r="1834">
          <cell r="A1834">
            <v>46101</v>
          </cell>
          <cell r="B1834">
            <v>1.9876869233000001</v>
          </cell>
          <cell r="C1834">
            <v>1.9871976703000001</v>
          </cell>
          <cell r="D1834">
            <v>1.9881762968000001</v>
          </cell>
        </row>
        <row r="1835">
          <cell r="A1835">
            <v>46104</v>
          </cell>
          <cell r="B1835">
            <v>1.9885271839000001</v>
          </cell>
          <cell r="C1835">
            <v>1.9880377241</v>
          </cell>
          <cell r="D1835">
            <v>1.9890167643000001</v>
          </cell>
        </row>
        <row r="1836">
          <cell r="A1836">
            <v>46105</v>
          </cell>
          <cell r="B1836">
            <v>1.9893677996000001</v>
          </cell>
          <cell r="C1836">
            <v>1.9888781329</v>
          </cell>
          <cell r="D1836">
            <v>1.9898575869999999</v>
          </cell>
        </row>
        <row r="1837">
          <cell r="A1837">
            <v>46106</v>
          </cell>
          <cell r="B1837">
            <v>1.9902087708</v>
          </cell>
          <cell r="C1837">
            <v>1.9897188969999999</v>
          </cell>
          <cell r="D1837">
            <v>1.9906987652000001</v>
          </cell>
        </row>
        <row r="1838">
          <cell r="A1838">
            <v>46107</v>
          </cell>
          <cell r="B1838">
            <v>1.9910500974000001</v>
          </cell>
          <cell r="C1838">
            <v>1.9905600165999999</v>
          </cell>
          <cell r="D1838">
            <v>1.991540299</v>
          </cell>
        </row>
        <row r="1839">
          <cell r="A1839">
            <v>46108</v>
          </cell>
          <cell r="B1839">
            <v>1.9918917797</v>
          </cell>
          <cell r="C1839">
            <v>1.9914014917</v>
          </cell>
          <cell r="D1839">
            <v>1.9923821884999999</v>
          </cell>
        </row>
        <row r="1840">
          <cell r="A1840">
            <v>46111</v>
          </cell>
          <cell r="B1840">
            <v>1.9927338179</v>
          </cell>
          <cell r="C1840">
            <v>1.9922433226</v>
          </cell>
          <cell r="D1840">
            <v>1.993224434</v>
          </cell>
        </row>
        <row r="1841">
          <cell r="A1841">
            <v>46112</v>
          </cell>
          <cell r="B1841">
            <v>1.9935762119</v>
          </cell>
          <cell r="C1841">
            <v>1.9930855092999999</v>
          </cell>
          <cell r="D1841">
            <v>1.9940670354000001</v>
          </cell>
        </row>
        <row r="1842">
          <cell r="A1842">
            <v>46113</v>
          </cell>
          <cell r="B1842">
            <v>1.9944189620999999</v>
          </cell>
          <cell r="C1842">
            <v>1.9939280521</v>
          </cell>
          <cell r="D1842">
            <v>1.9949099931000001</v>
          </cell>
        </row>
        <row r="1843">
          <cell r="A1843">
            <v>46114</v>
          </cell>
          <cell r="B1843">
            <v>1.9952620685</v>
          </cell>
          <cell r="C1843">
            <v>1.994770951</v>
          </cell>
          <cell r="D1843">
            <v>1.9957533071</v>
          </cell>
        </row>
        <row r="1844">
          <cell r="A1844">
            <v>46118</v>
          </cell>
          <cell r="B1844">
            <v>1.9961055314</v>
          </cell>
          <cell r="C1844">
            <v>1.9956142062</v>
          </cell>
          <cell r="D1844">
            <v>1.9965969776000001</v>
          </cell>
        </row>
        <row r="1845">
          <cell r="A1845">
            <v>46119</v>
          </cell>
          <cell r="B1845">
            <v>1.9969493508</v>
          </cell>
          <cell r="C1845">
            <v>1.9964578180000001</v>
          </cell>
          <cell r="D1845">
            <v>1.9974410048</v>
          </cell>
        </row>
        <row r="1846">
          <cell r="A1846">
            <v>46120</v>
          </cell>
          <cell r="B1846">
            <v>1.997793527</v>
          </cell>
          <cell r="C1846">
            <v>1.9973017863</v>
          </cell>
          <cell r="D1846">
            <v>1.9982853888000001</v>
          </cell>
        </row>
        <row r="1847">
          <cell r="A1847">
            <v>46121</v>
          </cell>
          <cell r="B1847">
            <v>1.99863806</v>
          </cell>
          <cell r="C1847">
            <v>1.9981461114000001</v>
          </cell>
          <cell r="D1847">
            <v>1.9991301296999999</v>
          </cell>
        </row>
        <row r="1848">
          <cell r="A1848">
            <v>46122</v>
          </cell>
          <cell r="B1848">
            <v>1.9994829499</v>
          </cell>
          <cell r="C1848">
            <v>1.9989907934</v>
          </cell>
          <cell r="D1848">
            <v>1.9999752277</v>
          </cell>
        </row>
        <row r="1849">
          <cell r="A1849">
            <v>46125</v>
          </cell>
          <cell r="B1849">
            <v>2.000328197</v>
          </cell>
          <cell r="C1849">
            <v>1.9998358325000001</v>
          </cell>
          <cell r="D1849">
            <v>2.0008206829000001</v>
          </cell>
        </row>
        <row r="1850">
          <cell r="A1850">
            <v>46126</v>
          </cell>
          <cell r="B1850">
            <v>2.0011738015999998</v>
          </cell>
          <cell r="C1850">
            <v>2.0006812289</v>
          </cell>
          <cell r="D1850">
            <v>2.0016664955999999</v>
          </cell>
        </row>
        <row r="1851">
          <cell r="A1851">
            <v>46127</v>
          </cell>
          <cell r="B1851">
            <v>2.0020197634999999</v>
          </cell>
          <cell r="C1851">
            <v>2.0015269826000002</v>
          </cell>
          <cell r="D1851">
            <v>2.0025126657999999</v>
          </cell>
        </row>
        <row r="1852">
          <cell r="A1852">
            <v>46128</v>
          </cell>
          <cell r="B1852">
            <v>2.0028660829999998</v>
          </cell>
          <cell r="C1852">
            <v>2.0023730938000002</v>
          </cell>
          <cell r="D1852">
            <v>2.0033591937000002</v>
          </cell>
        </row>
        <row r="1853">
          <cell r="A1853">
            <v>46129</v>
          </cell>
          <cell r="B1853">
            <v>2.0037127604</v>
          </cell>
          <cell r="C1853">
            <v>2.0032195627</v>
          </cell>
          <cell r="D1853">
            <v>2.0042060794999998</v>
          </cell>
        </row>
        <row r="1854">
          <cell r="A1854">
            <v>46132</v>
          </cell>
          <cell r="B1854">
            <v>2.0045597955000001</v>
          </cell>
          <cell r="C1854">
            <v>2.0040663894000001</v>
          </cell>
          <cell r="D1854">
            <v>2.0050533231999998</v>
          </cell>
        </row>
        <row r="1855">
          <cell r="A1855">
            <v>46134</v>
          </cell>
          <cell r="B1855">
            <v>2.0054071889</v>
          </cell>
          <cell r="C1855">
            <v>2.0049135742000002</v>
          </cell>
          <cell r="D1855">
            <v>2.0059009252000002</v>
          </cell>
        </row>
        <row r="1856">
          <cell r="A1856">
            <v>46135</v>
          </cell>
          <cell r="B1856">
            <v>2.0062549403999999</v>
          </cell>
          <cell r="C1856">
            <v>2.005761117</v>
          </cell>
          <cell r="D1856">
            <v>2.0067488854</v>
          </cell>
        </row>
        <row r="1857">
          <cell r="A1857">
            <v>46136</v>
          </cell>
          <cell r="B1857">
            <v>2.0071030503</v>
          </cell>
          <cell r="C1857">
            <v>2.0066090180999998</v>
          </cell>
          <cell r="D1857">
            <v>2.0075972041000001</v>
          </cell>
        </row>
        <row r="1858">
          <cell r="A1858">
            <v>46139</v>
          </cell>
          <cell r="B1858">
            <v>2.0079515187000001</v>
          </cell>
          <cell r="C1858">
            <v>2.0074572776999999</v>
          </cell>
          <cell r="D1858">
            <v>2.0084458814000001</v>
          </cell>
        </row>
        <row r="1859">
          <cell r="A1859">
            <v>46140</v>
          </cell>
          <cell r="B1859">
            <v>2.0088003458000001</v>
          </cell>
          <cell r="C1859">
            <v>2.0083058959</v>
          </cell>
          <cell r="D1859">
            <v>2.0092949175000001</v>
          </cell>
        </row>
        <row r="1860">
          <cell r="A1860">
            <v>46141</v>
          </cell>
          <cell r="B1860">
            <v>2.0096495317</v>
          </cell>
          <cell r="C1860">
            <v>2.0091548727999999</v>
          </cell>
          <cell r="D1860">
            <v>2.0101443125</v>
          </cell>
        </row>
        <row r="1861">
          <cell r="A1861">
            <v>46142</v>
          </cell>
          <cell r="B1861">
            <v>2.0104990766999999</v>
          </cell>
          <cell r="C1861">
            <v>2.0100042085999998</v>
          </cell>
          <cell r="D1861">
            <v>2.0109940665999999</v>
          </cell>
        </row>
        <row r="1862">
          <cell r="A1862">
            <v>46146</v>
          </cell>
          <cell r="B1862">
            <v>2.0113489806999998</v>
          </cell>
          <cell r="C1862">
            <v>2.0108539035000002</v>
          </cell>
          <cell r="D1862">
            <v>2.0118441799000002</v>
          </cell>
        </row>
        <row r="1863">
          <cell r="A1863">
            <v>46147</v>
          </cell>
          <cell r="B1863">
            <v>2.0121992440000001</v>
          </cell>
          <cell r="C1863">
            <v>2.0117039575</v>
          </cell>
          <cell r="D1863">
            <v>2.0126946525</v>
          </cell>
        </row>
        <row r="1864">
          <cell r="A1864">
            <v>46148</v>
          </cell>
          <cell r="B1864">
            <v>2.0130498666999999</v>
          </cell>
          <cell r="C1864">
            <v>2.0125543708999998</v>
          </cell>
          <cell r="D1864">
            <v>2.0135454846999998</v>
          </cell>
        </row>
        <row r="1865">
          <cell r="A1865">
            <v>46149</v>
          </cell>
          <cell r="B1865">
            <v>2.0139008490000001</v>
          </cell>
          <cell r="C1865">
            <v>2.0134051437</v>
          </cell>
          <cell r="D1865">
            <v>2.0143966765000001</v>
          </cell>
        </row>
        <row r="1866">
          <cell r="A1866">
            <v>46150</v>
          </cell>
          <cell r="B1866">
            <v>2.0147521910999999</v>
          </cell>
          <cell r="C1866">
            <v>2.0142562761999998</v>
          </cell>
          <cell r="D1866">
            <v>2.0152482281999999</v>
          </cell>
        </row>
        <row r="1867">
          <cell r="A1867">
            <v>46153</v>
          </cell>
          <cell r="B1867">
            <v>2.0156038931000002</v>
          </cell>
          <cell r="C1867">
            <v>2.0151077686000001</v>
          </cell>
          <cell r="D1867">
            <v>2.0161001398999998</v>
          </cell>
        </row>
        <row r="1868">
          <cell r="A1868">
            <v>46154</v>
          </cell>
          <cell r="B1868">
            <v>2.0164559552000001</v>
          </cell>
          <cell r="C1868">
            <v>2.0159596208999999</v>
          </cell>
          <cell r="D1868">
            <v>2.0169524117000002</v>
          </cell>
        </row>
        <row r="1869">
          <cell r="A1869">
            <v>46155</v>
          </cell>
          <cell r="B1869">
            <v>2.0173083773</v>
          </cell>
          <cell r="C1869">
            <v>2.0168118331999998</v>
          </cell>
          <cell r="D1869">
            <v>2.0178050437000001</v>
          </cell>
        </row>
        <row r="1870">
          <cell r="A1870">
            <v>46156</v>
          </cell>
          <cell r="B1870">
            <v>2.0181611598</v>
          </cell>
          <cell r="C1870">
            <v>2.0176644058000002</v>
          </cell>
          <cell r="D1870">
            <v>2.0186580362000002</v>
          </cell>
        </row>
        <row r="1871">
          <cell r="A1871">
            <v>46157</v>
          </cell>
          <cell r="B1871">
            <v>2.0190143029000001</v>
          </cell>
          <cell r="C1871">
            <v>2.0185173389000002</v>
          </cell>
          <cell r="D1871">
            <v>2.0195113892999998</v>
          </cell>
        </row>
        <row r="1872">
          <cell r="A1872">
            <v>46160</v>
          </cell>
          <cell r="B1872">
            <v>2.0198678066000002</v>
          </cell>
          <cell r="C1872">
            <v>2.0193706325999998</v>
          </cell>
          <cell r="D1872">
            <v>2.0203651032000001</v>
          </cell>
        </row>
        <row r="1873">
          <cell r="A1873">
            <v>46161</v>
          </cell>
          <cell r="B1873">
            <v>2.0207216711</v>
          </cell>
          <cell r="C1873">
            <v>2.0202242869</v>
          </cell>
          <cell r="D1873">
            <v>2.0212191778999999</v>
          </cell>
        </row>
        <row r="1874">
          <cell r="A1874">
            <v>46162</v>
          </cell>
          <cell r="B1874">
            <v>2.0215758965999999</v>
          </cell>
          <cell r="C1874">
            <v>2.0210783020999998</v>
          </cell>
          <cell r="D1874">
            <v>2.0220736136999999</v>
          </cell>
        </row>
        <row r="1875">
          <cell r="A1875">
            <v>46163</v>
          </cell>
          <cell r="B1875">
            <v>2.0224304831</v>
          </cell>
          <cell r="C1875">
            <v>2.0219326782999998</v>
          </cell>
          <cell r="D1875">
            <v>2.0229284106000001</v>
          </cell>
        </row>
        <row r="1876">
          <cell r="A1876">
            <v>46164</v>
          </cell>
          <cell r="B1876">
            <v>2.0232854310000001</v>
          </cell>
          <cell r="C1876">
            <v>2.0227874156999999</v>
          </cell>
          <cell r="D1876">
            <v>2.0237835689999999</v>
          </cell>
        </row>
        <row r="1877">
          <cell r="A1877">
            <v>46167</v>
          </cell>
          <cell r="B1877">
            <v>2.0241407402</v>
          </cell>
          <cell r="C1877">
            <v>2.0236425144000001</v>
          </cell>
          <cell r="D1877">
            <v>2.0246390887999999</v>
          </cell>
        </row>
        <row r="1878">
          <cell r="A1878">
            <v>46168</v>
          </cell>
          <cell r="B1878">
            <v>2.0249964111000001</v>
          </cell>
          <cell r="C1878">
            <v>2.0244979746</v>
          </cell>
          <cell r="D1878">
            <v>2.0254949703</v>
          </cell>
        </row>
        <row r="1879">
          <cell r="A1879">
            <v>46169</v>
          </cell>
          <cell r="B1879">
            <v>2.0258524434999998</v>
          </cell>
          <cell r="C1879">
            <v>2.0253537964000001</v>
          </cell>
          <cell r="D1879">
            <v>2.0263512134999999</v>
          </cell>
        </row>
        <row r="1880">
          <cell r="A1880">
            <v>46170</v>
          </cell>
          <cell r="B1880">
            <v>2.0267088379999998</v>
          </cell>
          <cell r="C1880">
            <v>2.02620998</v>
          </cell>
          <cell r="D1880">
            <v>2.0272078188</v>
          </cell>
        </row>
        <row r="1881">
          <cell r="A1881">
            <v>46171</v>
          </cell>
          <cell r="B1881">
            <v>2.0275655943999999</v>
          </cell>
          <cell r="C1881">
            <v>2.0270665256</v>
          </cell>
          <cell r="D1881">
            <v>2.0280647861999999</v>
          </cell>
        </row>
        <row r="1882">
          <cell r="A1882">
            <v>46174</v>
          </cell>
          <cell r="B1882">
            <v>2.0284227129999999</v>
          </cell>
          <cell r="C1882">
            <v>2.0279234331999998</v>
          </cell>
          <cell r="D1882">
            <v>2.0289221157999999</v>
          </cell>
        </row>
        <row r="1883">
          <cell r="A1883">
            <v>46175</v>
          </cell>
          <cell r="B1883">
            <v>2.029280194</v>
          </cell>
          <cell r="C1883">
            <v>2.0287807030999998</v>
          </cell>
          <cell r="D1883">
            <v>2.0297798078999998</v>
          </cell>
        </row>
        <row r="1884">
          <cell r="A1884">
            <v>46176</v>
          </cell>
          <cell r="B1884">
            <v>2.0301380374</v>
          </cell>
          <cell r="C1884">
            <v>2.0296383354</v>
          </cell>
          <cell r="D1884">
            <v>2.0306378624999999</v>
          </cell>
        </row>
        <row r="1885">
          <cell r="A1885">
            <v>46178</v>
          </cell>
          <cell r="B1885">
            <v>2.0309962435000002</v>
          </cell>
          <cell r="C1885">
            <v>2.0304963303000001</v>
          </cell>
          <cell r="D1885">
            <v>2.0314962798999998</v>
          </cell>
        </row>
        <row r="1886">
          <cell r="A1886">
            <v>46181</v>
          </cell>
          <cell r="B1886">
            <v>2.0318548123000002</v>
          </cell>
          <cell r="C1886">
            <v>2.0313546876999999</v>
          </cell>
          <cell r="D1886">
            <v>2.0323550601</v>
          </cell>
        </row>
        <row r="1887">
          <cell r="A1887">
            <v>46182</v>
          </cell>
          <cell r="B1887">
            <v>2.0327137441000001</v>
          </cell>
          <cell r="C1887">
            <v>2.0322134082000001</v>
          </cell>
          <cell r="D1887">
            <v>2.0332142034</v>
          </cell>
        </row>
        <row r="1888">
          <cell r="A1888">
            <v>46183</v>
          </cell>
          <cell r="B1888">
            <v>2.0335730390000002</v>
          </cell>
          <cell r="C1888">
            <v>2.0330724915</v>
          </cell>
          <cell r="D1888">
            <v>2.0340737097999999</v>
          </cell>
        </row>
        <row r="1889">
          <cell r="A1889">
            <v>46184</v>
          </cell>
          <cell r="B1889">
            <v>2.0344326971000002</v>
          </cell>
          <cell r="C1889">
            <v>2.0339319379999998</v>
          </cell>
          <cell r="D1889">
            <v>2.0349335796000001</v>
          </cell>
        </row>
        <row r="1890">
          <cell r="A1890">
            <v>46185</v>
          </cell>
          <cell r="B1890">
            <v>2.0352927187000001</v>
          </cell>
          <cell r="C1890">
            <v>2.0347917478999999</v>
          </cell>
          <cell r="D1890">
            <v>2.0357938129000002</v>
          </cell>
        </row>
        <row r="1891">
          <cell r="A1891">
            <v>46188</v>
          </cell>
          <cell r="B1891">
            <v>2.0361531038999998</v>
          </cell>
          <cell r="C1891">
            <v>2.0356519212999999</v>
          </cell>
          <cell r="D1891">
            <v>2.0366544099000001</v>
          </cell>
        </row>
        <row r="1892">
          <cell r="A1892">
            <v>46189</v>
          </cell>
          <cell r="B1892">
            <v>2.0370138525999999</v>
          </cell>
          <cell r="C1892">
            <v>2.0365124581999998</v>
          </cell>
          <cell r="D1892">
            <v>2.0375153706</v>
          </cell>
        </row>
        <row r="1893">
          <cell r="A1893">
            <v>46190</v>
          </cell>
          <cell r="B1893">
            <v>2.0378749652999999</v>
          </cell>
          <cell r="C1893">
            <v>2.0373733590000001</v>
          </cell>
          <cell r="D1893">
            <v>2.0383766953000002</v>
          </cell>
        </row>
        <row r="1894">
          <cell r="A1894">
            <v>46191</v>
          </cell>
          <cell r="B1894">
            <v>2.0387364420999998</v>
          </cell>
          <cell r="C1894">
            <v>2.0382346237000002</v>
          </cell>
          <cell r="D1894">
            <v>2.0392383841999999</v>
          </cell>
        </row>
        <row r="1895">
          <cell r="A1895">
            <v>46192</v>
          </cell>
          <cell r="B1895">
            <v>2.0395982830000001</v>
          </cell>
          <cell r="C1895">
            <v>2.0390962523999998</v>
          </cell>
          <cell r="D1895">
            <v>2.0401004372</v>
          </cell>
        </row>
        <row r="1896">
          <cell r="A1896">
            <v>46195</v>
          </cell>
          <cell r="B1896">
            <v>2.0404604881999999</v>
          </cell>
          <cell r="C1896">
            <v>2.0399582453999998</v>
          </cell>
          <cell r="D1896">
            <v>2.0409628547000001</v>
          </cell>
        </row>
        <row r="1897">
          <cell r="A1897">
            <v>46196</v>
          </cell>
          <cell r="B1897">
            <v>2.0413230579000001</v>
          </cell>
          <cell r="C1897">
            <v>2.0408206028000002</v>
          </cell>
          <cell r="D1897">
            <v>2.0418256368000001</v>
          </cell>
        </row>
        <row r="1898">
          <cell r="A1898">
            <v>46197</v>
          </cell>
          <cell r="B1898">
            <v>2.0421859922999999</v>
          </cell>
          <cell r="C1898">
            <v>2.0416833247000001</v>
          </cell>
          <cell r="D1898">
            <v>2.0426887836000001</v>
          </cell>
        </row>
        <row r="1899">
          <cell r="A1899">
            <v>46198</v>
          </cell>
          <cell r="B1899">
            <v>2.0430492914</v>
          </cell>
          <cell r="C1899">
            <v>2.0425464114</v>
          </cell>
          <cell r="D1899">
            <v>2.0435522953</v>
          </cell>
        </row>
        <row r="1900">
          <cell r="A1900">
            <v>46199</v>
          </cell>
          <cell r="B1900">
            <v>2.0439129555000002</v>
          </cell>
          <cell r="C1900">
            <v>2.0434098628999999</v>
          </cell>
          <cell r="D1900">
            <v>2.044416172</v>
          </cell>
        </row>
        <row r="1901">
          <cell r="A1901">
            <v>46202</v>
          </cell>
          <cell r="B1901">
            <v>2.0447769845999999</v>
          </cell>
          <cell r="C1901">
            <v>2.0442736793999998</v>
          </cell>
          <cell r="D1901">
            <v>2.0452804139</v>
          </cell>
        </row>
        <row r="1902">
          <cell r="A1902">
            <v>46203</v>
          </cell>
          <cell r="B1902">
            <v>2.0456413791000001</v>
          </cell>
          <cell r="C1902">
            <v>2.0451378611000002</v>
          </cell>
          <cell r="D1902">
            <v>2.0461450212000001</v>
          </cell>
        </row>
        <row r="1903">
          <cell r="A1903">
            <v>46204</v>
          </cell>
          <cell r="B1903">
            <v>2.0465061388999999</v>
          </cell>
          <cell r="C1903">
            <v>2.0460024080000001</v>
          </cell>
          <cell r="D1903">
            <v>2.0470099939000002</v>
          </cell>
        </row>
        <row r="1904">
          <cell r="A1904">
            <v>46205</v>
          </cell>
          <cell r="B1904">
            <v>2.0473454066999999</v>
          </cell>
          <cell r="C1904">
            <v>2.0468414691999999</v>
          </cell>
          <cell r="D1904">
            <v>2.0478494682999999</v>
          </cell>
        </row>
        <row r="1905">
          <cell r="A1905">
            <v>46206</v>
          </cell>
          <cell r="B1905">
            <v>2.0481850185999999</v>
          </cell>
          <cell r="C1905">
            <v>2.0476808745000001</v>
          </cell>
          <cell r="D1905">
            <v>2.0486892869000002</v>
          </cell>
        </row>
        <row r="1906">
          <cell r="A1906">
            <v>46209</v>
          </cell>
          <cell r="B1906">
            <v>2.0490249748</v>
          </cell>
          <cell r="C1906">
            <v>2.0485206239</v>
          </cell>
          <cell r="D1906">
            <v>2.0495294499000001</v>
          </cell>
        </row>
        <row r="1907">
          <cell r="A1907">
            <v>46210</v>
          </cell>
          <cell r="B1907">
            <v>2.0498652755000002</v>
          </cell>
          <cell r="C1907">
            <v>2.0493607178</v>
          </cell>
          <cell r="D1907">
            <v>2.0503699575000001</v>
          </cell>
        </row>
        <row r="1908">
          <cell r="A1908">
            <v>46211</v>
          </cell>
          <cell r="B1908">
            <v>2.0507059208</v>
          </cell>
          <cell r="C1908">
            <v>2.0502011562</v>
          </cell>
          <cell r="D1908">
            <v>2.0512108098000001</v>
          </cell>
        </row>
        <row r="1909">
          <cell r="A1909">
            <v>46212</v>
          </cell>
          <cell r="B1909">
            <v>2.0515469109</v>
          </cell>
          <cell r="C1909">
            <v>2.0510419393000001</v>
          </cell>
          <cell r="D1909">
            <v>2.0520520068999999</v>
          </cell>
        </row>
        <row r="1910">
          <cell r="A1910">
            <v>46213</v>
          </cell>
          <cell r="B1910">
            <v>2.0523882458</v>
          </cell>
          <cell r="C1910">
            <v>2.0518830670999999</v>
          </cell>
          <cell r="D1910">
            <v>2.0528935490000002</v>
          </cell>
        </row>
        <row r="1911">
          <cell r="A1911">
            <v>46216</v>
          </cell>
          <cell r="B1911">
            <v>2.0532299257000002</v>
          </cell>
          <cell r="C1911">
            <v>2.0527245397999998</v>
          </cell>
          <cell r="D1911">
            <v>2.0537354361000002</v>
          </cell>
        </row>
        <row r="1912">
          <cell r="A1912">
            <v>46217</v>
          </cell>
          <cell r="B1912">
            <v>2.0540719509000001</v>
          </cell>
          <cell r="C1912">
            <v>2.0535663577999999</v>
          </cell>
          <cell r="D1912">
            <v>2.0545776685999999</v>
          </cell>
        </row>
        <row r="1913">
          <cell r="A1913">
            <v>46218</v>
          </cell>
          <cell r="B1913">
            <v>2.0549143213000001</v>
          </cell>
          <cell r="C1913">
            <v>2.0544085208</v>
          </cell>
          <cell r="D1913">
            <v>2.0554202464000002</v>
          </cell>
        </row>
        <row r="1914">
          <cell r="A1914">
            <v>46219</v>
          </cell>
          <cell r="B1914">
            <v>2.0557570371999998</v>
          </cell>
          <cell r="C1914">
            <v>2.0552510292999999</v>
          </cell>
          <cell r="D1914">
            <v>2.0562631697999998</v>
          </cell>
        </row>
        <row r="1915">
          <cell r="A1915">
            <v>46220</v>
          </cell>
          <cell r="B1915">
            <v>2.0566000988000002</v>
          </cell>
          <cell r="C1915">
            <v>2.0560938833</v>
          </cell>
          <cell r="D1915">
            <v>2.0571064389</v>
          </cell>
        </row>
        <row r="1916">
          <cell r="A1916">
            <v>46223</v>
          </cell>
          <cell r="B1916">
            <v>2.0574435059999998</v>
          </cell>
          <cell r="C1916">
            <v>2.0569370830000002</v>
          </cell>
          <cell r="D1916">
            <v>2.0579500538</v>
          </cell>
        </row>
        <row r="1917">
          <cell r="A1917">
            <v>46224</v>
          </cell>
          <cell r="B1917">
            <v>2.0582872591000001</v>
          </cell>
          <cell r="C1917">
            <v>2.0577806284000002</v>
          </cell>
          <cell r="D1917">
            <v>2.0587940146000001</v>
          </cell>
        </row>
        <row r="1918">
          <cell r="A1918">
            <v>46225</v>
          </cell>
          <cell r="B1918">
            <v>2.0591313583000002</v>
          </cell>
          <cell r="C1918">
            <v>2.0586245197999999</v>
          </cell>
          <cell r="D1918">
            <v>2.0596383216</v>
          </cell>
        </row>
        <row r="1919">
          <cell r="A1919">
            <v>46226</v>
          </cell>
          <cell r="B1919">
            <v>2.0599758036</v>
          </cell>
          <cell r="C1919">
            <v>2.0594687571999999</v>
          </cell>
          <cell r="D1919">
            <v>2.0604829748000002</v>
          </cell>
        </row>
        <row r="1920">
          <cell r="A1920">
            <v>46227</v>
          </cell>
          <cell r="B1920">
            <v>2.0608205952</v>
          </cell>
          <cell r="C1920">
            <v>2.0603133409000001</v>
          </cell>
          <cell r="D1920">
            <v>2.0613279744000002</v>
          </cell>
        </row>
        <row r="1921">
          <cell r="A1921">
            <v>46230</v>
          </cell>
          <cell r="B1921">
            <v>2.0616657331999999</v>
          </cell>
          <cell r="C1921">
            <v>2.0611582709</v>
          </cell>
          <cell r="D1921">
            <v>2.0621733204999999</v>
          </cell>
        </row>
        <row r="1922">
          <cell r="A1922">
            <v>46231</v>
          </cell>
          <cell r="B1922">
            <v>2.0625112178</v>
          </cell>
          <cell r="C1922">
            <v>2.0620035473999998</v>
          </cell>
          <cell r="D1922">
            <v>2.0630190132999999</v>
          </cell>
        </row>
        <row r="1923">
          <cell r="A1923">
            <v>46232</v>
          </cell>
          <cell r="B1923">
            <v>2.0633570493</v>
          </cell>
          <cell r="C1923">
            <v>2.0628491706999998</v>
          </cell>
          <cell r="D1923">
            <v>2.0638650529999998</v>
          </cell>
        </row>
        <row r="1924">
          <cell r="A1924">
            <v>46233</v>
          </cell>
          <cell r="B1924">
            <v>2.0642032275000002</v>
          </cell>
          <cell r="C1924">
            <v>2.0636951406000001</v>
          </cell>
          <cell r="D1924">
            <v>2.0647114394999999</v>
          </cell>
        </row>
        <row r="1925">
          <cell r="A1925">
            <v>46234</v>
          </cell>
          <cell r="B1925">
            <v>2.0650497526999998</v>
          </cell>
          <cell r="C1925">
            <v>2.0645414574999998</v>
          </cell>
          <cell r="D1925">
            <v>2.0655581731999999</v>
          </cell>
        </row>
        <row r="1926">
          <cell r="A1926">
            <v>46237</v>
          </cell>
          <cell r="B1926">
            <v>2.0658966251000002</v>
          </cell>
          <cell r="C1926">
            <v>2.0653881213999998</v>
          </cell>
          <cell r="D1926">
            <v>2.0664052541000002</v>
          </cell>
        </row>
        <row r="1927">
          <cell r="A1927">
            <v>46238</v>
          </cell>
          <cell r="B1927">
            <v>2.0667438449</v>
          </cell>
          <cell r="C1927">
            <v>2.0662351327000001</v>
          </cell>
          <cell r="D1927">
            <v>2.0672526824999999</v>
          </cell>
        </row>
        <row r="1928">
          <cell r="A1928">
            <v>46239</v>
          </cell>
          <cell r="B1928">
            <v>2.0675914121000001</v>
          </cell>
          <cell r="C1928">
            <v>2.0670824911999999</v>
          </cell>
          <cell r="D1928">
            <v>2.0681004583</v>
          </cell>
        </row>
        <row r="1929">
          <cell r="A1929">
            <v>46240</v>
          </cell>
          <cell r="B1929">
            <v>2.0684393268000001</v>
          </cell>
          <cell r="C1929">
            <v>2.0679301972999999</v>
          </cell>
          <cell r="D1929">
            <v>2.0689485818</v>
          </cell>
        </row>
        <row r="1930">
          <cell r="A1930">
            <v>46241</v>
          </cell>
          <cell r="B1930">
            <v>2.0692875893</v>
          </cell>
          <cell r="C1930">
            <v>2.0687782508999999</v>
          </cell>
          <cell r="D1930">
            <v>2.0697970530999998</v>
          </cell>
        </row>
        <row r="1931">
          <cell r="A1931">
            <v>46244</v>
          </cell>
          <cell r="B1931">
            <v>2.0701361995999998</v>
          </cell>
          <cell r="C1931">
            <v>2.0696266524000002</v>
          </cell>
          <cell r="D1931">
            <v>2.0706458724000001</v>
          </cell>
        </row>
        <row r="1932">
          <cell r="A1932">
            <v>46245</v>
          </cell>
          <cell r="B1932">
            <v>2.070985158</v>
          </cell>
          <cell r="C1932">
            <v>2.0704754018</v>
          </cell>
          <cell r="D1932">
            <v>2.0714950397999998</v>
          </cell>
        </row>
        <row r="1933">
          <cell r="A1933">
            <v>46246</v>
          </cell>
          <cell r="B1933">
            <v>2.0718344645000002</v>
          </cell>
          <cell r="C1933">
            <v>2.0713244993000002</v>
          </cell>
          <cell r="D1933">
            <v>2.0723445554</v>
          </cell>
        </row>
        <row r="1934">
          <cell r="A1934">
            <v>46247</v>
          </cell>
          <cell r="B1934">
            <v>2.0726841192999998</v>
          </cell>
          <cell r="C1934">
            <v>2.0721739449999999</v>
          </cell>
          <cell r="D1934">
            <v>2.0731944194</v>
          </cell>
        </row>
        <row r="1935">
          <cell r="A1935">
            <v>46248</v>
          </cell>
          <cell r="B1935">
            <v>2.0735341226999999</v>
          </cell>
          <cell r="C1935">
            <v>2.0730237390999999</v>
          </cell>
          <cell r="D1935">
            <v>2.0740446320000001</v>
          </cell>
        </row>
        <row r="1936">
          <cell r="A1936">
            <v>46251</v>
          </cell>
          <cell r="B1936">
            <v>2.0743844745</v>
          </cell>
          <cell r="C1936">
            <v>2.0738738816</v>
          </cell>
          <cell r="D1936">
            <v>2.0748951932000002</v>
          </cell>
        </row>
        <row r="1937">
          <cell r="A1937">
            <v>46252</v>
          </cell>
          <cell r="B1937">
            <v>2.0752351751</v>
          </cell>
          <cell r="C1937">
            <v>2.0747243728</v>
          </cell>
          <cell r="D1937">
            <v>2.0757461032000002</v>
          </cell>
        </row>
        <row r="1938">
          <cell r="A1938">
            <v>46253</v>
          </cell>
          <cell r="B1938">
            <v>2.0760862244</v>
          </cell>
          <cell r="C1938">
            <v>2.0755752127</v>
          </cell>
          <cell r="D1938">
            <v>2.0765973620999998</v>
          </cell>
        </row>
        <row r="1939">
          <cell r="A1939">
            <v>46254</v>
          </cell>
          <cell r="B1939">
            <v>2.0769376229000001</v>
          </cell>
          <cell r="C1939">
            <v>2.0764264016</v>
          </cell>
          <cell r="D1939">
            <v>2.0774489701999999</v>
          </cell>
        </row>
        <row r="1940">
          <cell r="A1940">
            <v>46255</v>
          </cell>
          <cell r="B1940">
            <v>2.0777893705000001</v>
          </cell>
          <cell r="C1940">
            <v>2.0772779395000001</v>
          </cell>
          <cell r="D1940">
            <v>2.0783009275</v>
          </cell>
        </row>
        <row r="1941">
          <cell r="A1941">
            <v>46258</v>
          </cell>
          <cell r="B1941">
            <v>2.0786414674000002</v>
          </cell>
          <cell r="C1941">
            <v>2.0781298267000001</v>
          </cell>
          <cell r="D1941">
            <v>2.0791532342000001</v>
          </cell>
        </row>
        <row r="1942">
          <cell r="A1942">
            <v>46259</v>
          </cell>
          <cell r="B1942">
            <v>2.0794939137999999</v>
          </cell>
          <cell r="C1942">
            <v>2.0789820632999998</v>
          </cell>
          <cell r="D1942">
            <v>2.0800058904999998</v>
          </cell>
        </row>
        <row r="1943">
          <cell r="A1943">
            <v>46260</v>
          </cell>
          <cell r="B1943">
            <v>2.0803467098000001</v>
          </cell>
          <cell r="C1943">
            <v>2.0798346492999999</v>
          </cell>
          <cell r="D1943">
            <v>2.0808588964000001</v>
          </cell>
        </row>
        <row r="1944">
          <cell r="A1944">
            <v>46261</v>
          </cell>
          <cell r="B1944">
            <v>2.0811998554</v>
          </cell>
          <cell r="C1944">
            <v>2.0806875850000002</v>
          </cell>
          <cell r="D1944">
            <v>2.0817122521</v>
          </cell>
        </row>
        <row r="1945">
          <cell r="A1945">
            <v>46262</v>
          </cell>
          <cell r="B1945">
            <v>2.0820533509999999</v>
          </cell>
          <cell r="C1945">
            <v>2.0815408705</v>
          </cell>
          <cell r="D1945">
            <v>2.0825659578</v>
          </cell>
        </row>
        <row r="1946">
          <cell r="A1946">
            <v>46265</v>
          </cell>
          <cell r="B1946">
            <v>2.0829071965999999</v>
          </cell>
          <cell r="C1946">
            <v>2.0823945059</v>
          </cell>
          <cell r="D1946">
            <v>2.0834200136000001</v>
          </cell>
        </row>
        <row r="1947">
          <cell r="A1947">
            <v>46266</v>
          </cell>
          <cell r="B1947">
            <v>2.0837613923</v>
          </cell>
          <cell r="C1947">
            <v>2.0832484913</v>
          </cell>
          <cell r="D1947">
            <v>2.0842744195999998</v>
          </cell>
        </row>
        <row r="1948">
          <cell r="A1948">
            <v>46267</v>
          </cell>
          <cell r="B1948">
            <v>2.0846159382999998</v>
          </cell>
          <cell r="C1948">
            <v>2.0841028270000002</v>
          </cell>
          <cell r="D1948">
            <v>2.0851291760000001</v>
          </cell>
        </row>
        <row r="1949">
          <cell r="A1949">
            <v>46268</v>
          </cell>
          <cell r="B1949">
            <v>2.0854708348000002</v>
          </cell>
          <cell r="C1949">
            <v>2.0849575131</v>
          </cell>
          <cell r="D1949">
            <v>2.0859842830000002</v>
          </cell>
        </row>
        <row r="1950">
          <cell r="A1950">
            <v>46269</v>
          </cell>
          <cell r="B1950">
            <v>2.0863260818999998</v>
          </cell>
          <cell r="C1950">
            <v>2.0858125496</v>
          </cell>
          <cell r="D1950">
            <v>2.0868397405999999</v>
          </cell>
        </row>
        <row r="1951">
          <cell r="A1951">
            <v>46273</v>
          </cell>
          <cell r="B1951">
            <v>2.0871816796</v>
          </cell>
          <cell r="C1951">
            <v>2.0866679368000001</v>
          </cell>
          <cell r="D1951">
            <v>2.0876955490000002</v>
          </cell>
        </row>
        <row r="1952">
          <cell r="A1952">
            <v>46274</v>
          </cell>
          <cell r="B1952">
            <v>2.0880376282999999</v>
          </cell>
          <cell r="C1952">
            <v>2.0875236747999999</v>
          </cell>
          <cell r="D1952">
            <v>2.0885517083999998</v>
          </cell>
        </row>
        <row r="1953">
          <cell r="A1953">
            <v>46275</v>
          </cell>
          <cell r="B1953">
            <v>2.0888939280000001</v>
          </cell>
          <cell r="C1953">
            <v>2.0883797637999999</v>
          </cell>
          <cell r="D1953">
            <v>2.0894082190000001</v>
          </cell>
        </row>
        <row r="1954">
          <cell r="A1954">
            <v>46276</v>
          </cell>
          <cell r="B1954">
            <v>2.0897505787999999</v>
          </cell>
          <cell r="C1954">
            <v>2.0892362037000001</v>
          </cell>
          <cell r="D1954">
            <v>2.0902650807000001</v>
          </cell>
        </row>
        <row r="1955">
          <cell r="A1955">
            <v>46279</v>
          </cell>
          <cell r="B1955">
            <v>2.090607581</v>
          </cell>
          <cell r="C1955">
            <v>2.0900929949</v>
          </cell>
          <cell r="D1955">
            <v>2.0911222938999998</v>
          </cell>
        </row>
        <row r="1956">
          <cell r="A1956">
            <v>46280</v>
          </cell>
          <cell r="B1956">
            <v>2.0914649346999998</v>
          </cell>
          <cell r="C1956">
            <v>2.0909501375000001</v>
          </cell>
          <cell r="D1956">
            <v>2.0919798585999998</v>
          </cell>
        </row>
        <row r="1957">
          <cell r="A1957">
            <v>46281</v>
          </cell>
          <cell r="B1957">
            <v>2.0923226398999999</v>
          </cell>
          <cell r="C1957">
            <v>2.0918076316000001</v>
          </cell>
          <cell r="D1957">
            <v>2.092837775</v>
          </cell>
        </row>
        <row r="1958">
          <cell r="A1958">
            <v>46282</v>
          </cell>
          <cell r="B1958">
            <v>2.0931806969000002</v>
          </cell>
          <cell r="C1958">
            <v>2.0926654775000002</v>
          </cell>
          <cell r="D1958">
            <v>2.0936960433</v>
          </cell>
        </row>
        <row r="1959">
          <cell r="A1959">
            <v>46283</v>
          </cell>
          <cell r="B1959">
            <v>2.0940391057999999</v>
          </cell>
          <cell r="C1959">
            <v>2.0935236751000001</v>
          </cell>
          <cell r="D1959">
            <v>2.0945546634999999</v>
          </cell>
        </row>
        <row r="1960">
          <cell r="A1960">
            <v>46286</v>
          </cell>
          <cell r="B1960">
            <v>2.0948978667000002</v>
          </cell>
          <cell r="C1960">
            <v>2.0943822245999999</v>
          </cell>
          <cell r="D1960">
            <v>2.0954136358</v>
          </cell>
        </row>
        <row r="1961">
          <cell r="A1961">
            <v>46287</v>
          </cell>
          <cell r="B1961">
            <v>2.0957569797</v>
          </cell>
          <cell r="C1961">
            <v>2.0952411261999999</v>
          </cell>
          <cell r="D1961">
            <v>2.0962729603999999</v>
          </cell>
        </row>
        <row r="1962">
          <cell r="A1962">
            <v>46288</v>
          </cell>
          <cell r="B1962">
            <v>2.0966164451</v>
          </cell>
          <cell r="C1962">
            <v>2.0961003800000002</v>
          </cell>
          <cell r="D1962">
            <v>2.0971326374000001</v>
          </cell>
        </row>
        <row r="1963">
          <cell r="A1963">
            <v>46289</v>
          </cell>
          <cell r="B1963">
            <v>2.0974762629999999</v>
          </cell>
          <cell r="C1963">
            <v>2.0969599861999999</v>
          </cell>
          <cell r="D1963">
            <v>2.0979926669000002</v>
          </cell>
        </row>
        <row r="1964">
          <cell r="A1964">
            <v>46290</v>
          </cell>
          <cell r="B1964">
            <v>2.0983364335000001</v>
          </cell>
          <cell r="C1964">
            <v>2.0978199449999999</v>
          </cell>
          <cell r="D1964">
            <v>2.0988530492000002</v>
          </cell>
        </row>
        <row r="1965">
          <cell r="A1965">
            <v>46293</v>
          </cell>
          <cell r="B1965">
            <v>2.0991969566000002</v>
          </cell>
          <cell r="C1965">
            <v>2.0986802563000002</v>
          </cell>
          <cell r="D1965">
            <v>2.0997137842</v>
          </cell>
        </row>
        <row r="1966">
          <cell r="A1966">
            <v>46294</v>
          </cell>
          <cell r="B1966">
            <v>2.1000578328000001</v>
          </cell>
          <cell r="C1966">
            <v>2.0995409206</v>
          </cell>
          <cell r="D1966">
            <v>2.1005748723000002</v>
          </cell>
        </row>
        <row r="1967">
          <cell r="A1967">
            <v>46295</v>
          </cell>
          <cell r="B1967">
            <v>2.1009190619</v>
          </cell>
          <cell r="C1967">
            <v>2.1004019377000001</v>
          </cell>
          <cell r="D1967">
            <v>2.1014363134999998</v>
          </cell>
        </row>
        <row r="1968">
          <cell r="A1968">
            <v>46296</v>
          </cell>
          <cell r="B1968">
            <v>2.1017806442999998</v>
          </cell>
          <cell r="C1968">
            <v>2.1012633081000001</v>
          </cell>
          <cell r="D1968">
            <v>2.1022981079999998</v>
          </cell>
        </row>
        <row r="1969">
          <cell r="A1969">
            <v>46297</v>
          </cell>
          <cell r="B1969">
            <v>2.1026425799999999</v>
          </cell>
          <cell r="C1969">
            <v>2.1021250316</v>
          </cell>
          <cell r="D1969">
            <v>2.1031602559000002</v>
          </cell>
        </row>
        <row r="1970">
          <cell r="A1970">
            <v>46300</v>
          </cell>
          <cell r="B1970">
            <v>2.1035048691</v>
          </cell>
          <cell r="C1970">
            <v>2.1029871083999998</v>
          </cell>
          <cell r="D1970">
            <v>2.1040227573000001</v>
          </cell>
        </row>
        <row r="1971">
          <cell r="A1971">
            <v>46301</v>
          </cell>
          <cell r="B1971">
            <v>2.1043675119</v>
          </cell>
          <cell r="C1971">
            <v>2.1038495389</v>
          </cell>
          <cell r="D1971">
            <v>2.1048856124999999</v>
          </cell>
        </row>
        <row r="1972">
          <cell r="A1972">
            <v>46302</v>
          </cell>
          <cell r="B1972">
            <v>2.1052305084</v>
          </cell>
          <cell r="C1972">
            <v>2.1047123230000002</v>
          </cell>
          <cell r="D1972">
            <v>2.1057488215000002</v>
          </cell>
        </row>
        <row r="1973">
          <cell r="A1973">
            <v>46303</v>
          </cell>
          <cell r="B1973">
            <v>2.106093859</v>
          </cell>
          <cell r="C1973">
            <v>2.1055754610999999</v>
          </cell>
          <cell r="D1973">
            <v>2.1066123846</v>
          </cell>
        </row>
        <row r="1974">
          <cell r="A1974">
            <v>46304</v>
          </cell>
          <cell r="B1974">
            <v>2.1069575634</v>
          </cell>
          <cell r="C1974">
            <v>2.1064389529000001</v>
          </cell>
          <cell r="D1974">
            <v>2.1074763017000002</v>
          </cell>
        </row>
        <row r="1975">
          <cell r="A1975">
            <v>46308</v>
          </cell>
          <cell r="B1975">
            <v>2.1078216221999999</v>
          </cell>
          <cell r="C1975">
            <v>2.1073027990000002</v>
          </cell>
          <cell r="D1975">
            <v>2.1083405732</v>
          </cell>
        </row>
        <row r="1976">
          <cell r="A1976">
            <v>46309</v>
          </cell>
          <cell r="B1976">
            <v>2.1086860352999999</v>
          </cell>
          <cell r="C1976">
            <v>2.1081669992999998</v>
          </cell>
          <cell r="D1976">
            <v>2.1092051990999998</v>
          </cell>
        </row>
        <row r="1977">
          <cell r="A1977">
            <v>46310</v>
          </cell>
          <cell r="B1977">
            <v>2.1095508028999999</v>
          </cell>
          <cell r="C1977">
            <v>2.1090315541</v>
          </cell>
          <cell r="D1977">
            <v>2.1100701796000001</v>
          </cell>
        </row>
        <row r="1978">
          <cell r="A1978">
            <v>46311</v>
          </cell>
          <cell r="B1978">
            <v>2.1104159250999999</v>
          </cell>
          <cell r="C1978">
            <v>2.1098964633000001</v>
          </cell>
          <cell r="D1978">
            <v>2.1109355148</v>
          </cell>
        </row>
        <row r="1979">
          <cell r="A1979">
            <v>46314</v>
          </cell>
          <cell r="B1979">
            <v>2.1112814019999999</v>
          </cell>
          <cell r="C1979">
            <v>2.1107617271999999</v>
          </cell>
          <cell r="D1979">
            <v>2.1118012047999999</v>
          </cell>
        </row>
        <row r="1980">
          <cell r="A1980">
            <v>46315</v>
          </cell>
          <cell r="B1980">
            <v>2.1121472339</v>
          </cell>
          <cell r="C1980">
            <v>2.1116273460000001</v>
          </cell>
          <cell r="D1980">
            <v>2.1126672498999999</v>
          </cell>
        </row>
        <row r="1981">
          <cell r="A1981">
            <v>46316</v>
          </cell>
          <cell r="B1981">
            <v>2.1130134209999998</v>
          </cell>
          <cell r="C1981">
            <v>2.1124933199</v>
          </cell>
          <cell r="D1981">
            <v>2.1135336501999999</v>
          </cell>
        </row>
        <row r="1982">
          <cell r="A1982">
            <v>46317</v>
          </cell>
          <cell r="B1982">
            <v>2.1138799631</v>
          </cell>
          <cell r="C1982">
            <v>2.1133596486999999</v>
          </cell>
          <cell r="D1982">
            <v>2.1144004057000001</v>
          </cell>
        </row>
        <row r="1983">
          <cell r="A1983">
            <v>46318</v>
          </cell>
          <cell r="B1983">
            <v>2.1147468608</v>
          </cell>
          <cell r="C1983">
            <v>2.114226333</v>
          </cell>
          <cell r="D1983">
            <v>2.1152675167999999</v>
          </cell>
        </row>
        <row r="1984">
          <cell r="A1984">
            <v>46321</v>
          </cell>
          <cell r="B1984">
            <v>2.1156141139</v>
          </cell>
          <cell r="C1984">
            <v>2.1150933726000001</v>
          </cell>
          <cell r="D1984">
            <v>2.1161349833999998</v>
          </cell>
        </row>
        <row r="1985">
          <cell r="A1985">
            <v>46322</v>
          </cell>
          <cell r="B1985">
            <v>2.1164817227000001</v>
          </cell>
          <cell r="C1985">
            <v>2.1159607678999999</v>
          </cell>
          <cell r="D1985">
            <v>2.1170028057999999</v>
          </cell>
        </row>
        <row r="1986">
          <cell r="A1986">
            <v>46323</v>
          </cell>
          <cell r="B1986">
            <v>2.1173496871999999</v>
          </cell>
          <cell r="C1986">
            <v>2.1168285187000002</v>
          </cell>
          <cell r="D1986">
            <v>2.1178709840000001</v>
          </cell>
        </row>
        <row r="1987">
          <cell r="A1987">
            <v>46324</v>
          </cell>
          <cell r="B1987">
            <v>2.1182180076999999</v>
          </cell>
          <cell r="C1987">
            <v>2.1176966254999998</v>
          </cell>
          <cell r="D1987">
            <v>2.1187395183</v>
          </cell>
        </row>
        <row r="1988">
          <cell r="A1988">
            <v>46325</v>
          </cell>
          <cell r="B1988">
            <v>2.1190866843</v>
          </cell>
          <cell r="C1988">
            <v>2.1185650883</v>
          </cell>
          <cell r="D1988">
            <v>2.1196084088</v>
          </cell>
        </row>
        <row r="1989">
          <cell r="A1989">
            <v>46329</v>
          </cell>
          <cell r="B1989">
            <v>2.1199557171999999</v>
          </cell>
          <cell r="C1989">
            <v>2.1194339072999999</v>
          </cell>
          <cell r="D1989">
            <v>2.1204776555999998</v>
          </cell>
        </row>
        <row r="1990">
          <cell r="A1990">
            <v>46330</v>
          </cell>
          <cell r="B1990">
            <v>2.1208251063999999</v>
          </cell>
          <cell r="C1990">
            <v>2.1203030825</v>
          </cell>
          <cell r="D1990">
            <v>2.1213472589000002</v>
          </cell>
        </row>
        <row r="1991">
          <cell r="A1991">
            <v>46331</v>
          </cell>
          <cell r="B1991">
            <v>2.1216948522000001</v>
          </cell>
          <cell r="C1991">
            <v>2.1211726141999998</v>
          </cell>
          <cell r="D1991">
            <v>2.1222172187999999</v>
          </cell>
        </row>
        <row r="1992">
          <cell r="A1992">
            <v>46332</v>
          </cell>
          <cell r="B1992">
            <v>2.1225649547000001</v>
          </cell>
          <cell r="C1992">
            <v>2.1220425024999998</v>
          </cell>
          <cell r="D1992">
            <v>2.1230875354999998</v>
          </cell>
        </row>
        <row r="1993">
          <cell r="A1993">
            <v>46335</v>
          </cell>
          <cell r="B1993">
            <v>2.1234354138999998</v>
          </cell>
          <cell r="C1993">
            <v>2.1229127476</v>
          </cell>
          <cell r="D1993">
            <v>2.1239582091</v>
          </cell>
        </row>
        <row r="1994">
          <cell r="A1994">
            <v>46336</v>
          </cell>
          <cell r="B1994">
            <v>2.1243062301000002</v>
          </cell>
          <cell r="C1994">
            <v>2.1237833494</v>
          </cell>
          <cell r="D1994">
            <v>2.1248292396999999</v>
          </cell>
        </row>
        <row r="1995">
          <cell r="A1995">
            <v>46337</v>
          </cell>
          <cell r="B1995">
            <v>2.1251774036</v>
          </cell>
          <cell r="C1995">
            <v>2.1246543083999998</v>
          </cell>
          <cell r="D1995">
            <v>2.1257006276000001</v>
          </cell>
        </row>
        <row r="1996">
          <cell r="A1996">
            <v>46338</v>
          </cell>
          <cell r="B1996">
            <v>2.1260489342</v>
          </cell>
          <cell r="C1996">
            <v>2.1255256244999998</v>
          </cell>
          <cell r="D1996">
            <v>2.1265723728000001</v>
          </cell>
        </row>
        <row r="1997">
          <cell r="A1997">
            <v>46339</v>
          </cell>
          <cell r="B1997">
            <v>2.1269208221999998</v>
          </cell>
          <cell r="C1997">
            <v>2.1263972979000001</v>
          </cell>
          <cell r="D1997">
            <v>2.1274444754999999</v>
          </cell>
        </row>
        <row r="1998">
          <cell r="A1998">
            <v>46342</v>
          </cell>
          <cell r="B1998">
            <v>2.1277930678999999</v>
          </cell>
          <cell r="C1998">
            <v>2.1272693289000002</v>
          </cell>
          <cell r="D1998">
            <v>2.1283169359</v>
          </cell>
        </row>
        <row r="1999">
          <cell r="A1999">
            <v>46343</v>
          </cell>
          <cell r="B1999">
            <v>2.1286656710999998</v>
          </cell>
          <cell r="C1999">
            <v>2.1281417174000001</v>
          </cell>
          <cell r="D1999">
            <v>2.129189754</v>
          </cell>
        </row>
        <row r="2000">
          <cell r="A2000">
            <v>46344</v>
          </cell>
          <cell r="B2000">
            <v>2.1295386323000001</v>
          </cell>
          <cell r="C2000">
            <v>2.1290144636999999</v>
          </cell>
          <cell r="D2000">
            <v>2.1300629300999998</v>
          </cell>
        </row>
        <row r="2001">
          <cell r="A2001">
            <v>46345</v>
          </cell>
          <cell r="B2001">
            <v>2.1304119515000002</v>
          </cell>
          <cell r="C2001">
            <v>2.1298875679</v>
          </cell>
          <cell r="D2001">
            <v>2.1309364642999999</v>
          </cell>
        </row>
        <row r="2002">
          <cell r="A2002">
            <v>46346</v>
          </cell>
          <cell r="B2002">
            <v>2.1312856288000002</v>
          </cell>
          <cell r="C2002">
            <v>2.1307610301</v>
          </cell>
          <cell r="D2002">
            <v>2.1318103567</v>
          </cell>
        </row>
        <row r="2003">
          <cell r="A2003">
            <v>46349</v>
          </cell>
          <cell r="B2003">
            <v>2.1321596644</v>
          </cell>
          <cell r="C2003">
            <v>2.1316348505999998</v>
          </cell>
          <cell r="D2003">
            <v>2.1326846074999999</v>
          </cell>
        </row>
        <row r="2004">
          <cell r="A2004">
            <v>46350</v>
          </cell>
          <cell r="B2004">
            <v>2.1330340584999998</v>
          </cell>
          <cell r="C2004">
            <v>2.1325090295</v>
          </cell>
          <cell r="D2004">
            <v>2.1335592169000002</v>
          </cell>
        </row>
        <row r="2005">
          <cell r="A2005">
            <v>46351</v>
          </cell>
          <cell r="B2005">
            <v>2.1339088112</v>
          </cell>
          <cell r="C2005">
            <v>2.1333835668000001</v>
          </cell>
          <cell r="D2005">
            <v>2.1344341848999999</v>
          </cell>
        </row>
        <row r="2006">
          <cell r="A2006">
            <v>46352</v>
          </cell>
          <cell r="B2006">
            <v>2.1347839225</v>
          </cell>
          <cell r="C2006">
            <v>2.1342584628000001</v>
          </cell>
          <cell r="D2006">
            <v>2.1353095117000001</v>
          </cell>
        </row>
        <row r="2007">
          <cell r="A2007">
            <v>46353</v>
          </cell>
          <cell r="B2007">
            <v>2.1356593928000001</v>
          </cell>
          <cell r="C2007">
            <v>2.1351337175</v>
          </cell>
          <cell r="D2007">
            <v>2.1361851975000001</v>
          </cell>
        </row>
        <row r="2008">
          <cell r="A2008">
            <v>46356</v>
          </cell>
          <cell r="B2008">
            <v>2.136535222</v>
          </cell>
          <cell r="C2008">
            <v>2.1360093311999999</v>
          </cell>
          <cell r="D2008">
            <v>2.1370612424000002</v>
          </cell>
        </row>
        <row r="2009">
          <cell r="A2009">
            <v>46357</v>
          </cell>
          <cell r="B2009">
            <v>2.1374114104999999</v>
          </cell>
          <cell r="C2009">
            <v>2.1368853040000002</v>
          </cell>
          <cell r="D2009">
            <v>2.1379376466000002</v>
          </cell>
        </row>
        <row r="2010">
          <cell r="A2010">
            <v>46358</v>
          </cell>
          <cell r="B2010">
            <v>2.1382879582999998</v>
          </cell>
          <cell r="C2010">
            <v>2.1377616361</v>
          </cell>
          <cell r="D2010">
            <v>2.1388144102000002</v>
          </cell>
        </row>
        <row r="2011">
          <cell r="A2011">
            <v>46359</v>
          </cell>
          <cell r="B2011">
            <v>2.1391648655000002</v>
          </cell>
          <cell r="C2011">
            <v>2.1386383273999998</v>
          </cell>
          <cell r="D2011">
            <v>2.1396915333000002</v>
          </cell>
        </row>
        <row r="2012">
          <cell r="A2012">
            <v>46360</v>
          </cell>
          <cell r="B2012">
            <v>2.1400421324000001</v>
          </cell>
          <cell r="C2012">
            <v>2.1395153784000001</v>
          </cell>
          <cell r="D2012">
            <v>2.1405690162000002</v>
          </cell>
        </row>
        <row r="2013">
          <cell r="A2013">
            <v>46363</v>
          </cell>
          <cell r="B2013">
            <v>2.1409197591</v>
          </cell>
          <cell r="C2013">
            <v>2.1403927889999999</v>
          </cell>
          <cell r="D2013">
            <v>2.1414468589000002</v>
          </cell>
        </row>
        <row r="2014">
          <cell r="A2014">
            <v>46364</v>
          </cell>
          <cell r="B2014">
            <v>2.1417977455999999</v>
          </cell>
          <cell r="C2014">
            <v>2.1412705595000001</v>
          </cell>
          <cell r="D2014">
            <v>2.1423250615999998</v>
          </cell>
        </row>
        <row r="2015">
          <cell r="A2015">
            <v>46365</v>
          </cell>
          <cell r="B2015">
            <v>2.1426760921999999</v>
          </cell>
          <cell r="C2015">
            <v>2.1421486899</v>
          </cell>
          <cell r="D2015">
            <v>2.1432036244999999</v>
          </cell>
        </row>
        <row r="2016">
          <cell r="A2016">
            <v>46366</v>
          </cell>
          <cell r="B2016">
            <v>2.1435547989999999</v>
          </cell>
          <cell r="C2016">
            <v>2.1430271803999998</v>
          </cell>
          <cell r="D2016">
            <v>2.1440825476000001</v>
          </cell>
        </row>
        <row r="2017">
          <cell r="A2017">
            <v>46367</v>
          </cell>
          <cell r="B2017">
            <v>2.1444338662</v>
          </cell>
          <cell r="C2017">
            <v>2.1439060311999998</v>
          </cell>
          <cell r="D2017">
            <v>2.1449618311999998</v>
          </cell>
        </row>
        <row r="2018">
          <cell r="A2018">
            <v>46370</v>
          </cell>
          <cell r="B2018">
            <v>2.1453132939000001</v>
          </cell>
          <cell r="C2018">
            <v>2.1447852423999998</v>
          </cell>
          <cell r="D2018">
            <v>2.1458414754000001</v>
          </cell>
        </row>
        <row r="2019">
          <cell r="A2019">
            <v>46371</v>
          </cell>
          <cell r="B2019">
            <v>2.1461930821999999</v>
          </cell>
          <cell r="C2019">
            <v>2.1456648141999999</v>
          </cell>
          <cell r="D2019">
            <v>2.1467214804000001</v>
          </cell>
        </row>
        <row r="2020">
          <cell r="A2020">
            <v>46372</v>
          </cell>
          <cell r="B2020">
            <v>2.1470732313999998</v>
          </cell>
          <cell r="C2020">
            <v>2.1465447467000001</v>
          </cell>
          <cell r="D2020">
            <v>2.1476018462000002</v>
          </cell>
        </row>
        <row r="2021">
          <cell r="A2021">
            <v>46373</v>
          </cell>
          <cell r="B2021">
            <v>2.1479537413999998</v>
          </cell>
          <cell r="C2021">
            <v>2.1474250399999999</v>
          </cell>
          <cell r="D2021">
            <v>2.1484825729999999</v>
          </cell>
        </row>
        <row r="2022">
          <cell r="A2022">
            <v>46374</v>
          </cell>
          <cell r="B2022">
            <v>2.1488346126</v>
          </cell>
          <cell r="C2022">
            <v>2.1483056943999999</v>
          </cell>
          <cell r="D2022">
            <v>2.1493636611000002</v>
          </cell>
        </row>
        <row r="2023">
          <cell r="A2023">
            <v>46377</v>
          </cell>
          <cell r="B2023">
            <v>2.1497158449999998</v>
          </cell>
          <cell r="C2023">
            <v>2.1491867098999999</v>
          </cell>
          <cell r="D2023">
            <v>2.1502451104999998</v>
          </cell>
        </row>
        <row r="2024">
          <cell r="A2024">
            <v>46378</v>
          </cell>
          <cell r="B2024">
            <v>2.1505974388000002</v>
          </cell>
          <cell r="C2024">
            <v>2.1500680867000002</v>
          </cell>
          <cell r="D2024">
            <v>2.1511269212999999</v>
          </cell>
        </row>
        <row r="2025">
          <cell r="A2025">
            <v>46379</v>
          </cell>
          <cell r="B2025">
            <v>2.1514793940999999</v>
          </cell>
          <cell r="C2025">
            <v>2.1509498250000001</v>
          </cell>
          <cell r="D2025">
            <v>2.1520090937999998</v>
          </cell>
        </row>
        <row r="2026">
          <cell r="A2026">
            <v>46380</v>
          </cell>
          <cell r="B2026">
            <v>2.1523617112000002</v>
          </cell>
          <cell r="C2026">
            <v>2.1518319249000002</v>
          </cell>
          <cell r="D2026">
            <v>2.1528916280999999</v>
          </cell>
        </row>
        <row r="2027">
          <cell r="A2027">
            <v>46384</v>
          </cell>
          <cell r="B2027">
            <v>2.1532443899999998</v>
          </cell>
          <cell r="C2027">
            <v>2.1527143864</v>
          </cell>
          <cell r="D2027">
            <v>2.1537745242000002</v>
          </cell>
        </row>
        <row r="2028">
          <cell r="A2028">
            <v>46385</v>
          </cell>
          <cell r="B2028">
            <v>2.1541274309</v>
          </cell>
          <cell r="C2028">
            <v>2.1535972099</v>
          </cell>
          <cell r="D2028">
            <v>2.1546577825000002</v>
          </cell>
        </row>
        <row r="2029">
          <cell r="A2029">
            <v>46386</v>
          </cell>
          <cell r="B2029">
            <v>2.1550108339</v>
          </cell>
          <cell r="C2029">
            <v>2.1544803954999998</v>
          </cell>
          <cell r="D2029">
            <v>2.155541403</v>
          </cell>
        </row>
        <row r="2030">
          <cell r="A2030">
            <v>46387</v>
          </cell>
          <cell r="B2030">
            <v>2.1558945990999998</v>
          </cell>
          <cell r="C2030">
            <v>2.1553639431999998</v>
          </cell>
          <cell r="D2030">
            <v>2.1564253858</v>
          </cell>
        </row>
        <row r="2031">
          <cell r="A2031">
            <v>46391</v>
          </cell>
          <cell r="B2031">
            <v>2.1567787267999998</v>
          </cell>
          <cell r="C2031">
            <v>2.1562478533</v>
          </cell>
          <cell r="D2031">
            <v>2.1573097311999998</v>
          </cell>
        </row>
        <row r="2032">
          <cell r="A2032">
            <v>46392</v>
          </cell>
          <cell r="B2032">
            <v>2.1576456318999999</v>
          </cell>
          <cell r="C2032">
            <v>2.1571145449000002</v>
          </cell>
          <cell r="D2032">
            <v>2.1581768496999998</v>
          </cell>
        </row>
        <row r="2033">
          <cell r="A2033">
            <v>46393</v>
          </cell>
          <cell r="B2033">
            <v>2.1585128854</v>
          </cell>
          <cell r="C2033">
            <v>2.1579815849999999</v>
          </cell>
          <cell r="D2033">
            <v>2.1590443167000002</v>
          </cell>
        </row>
        <row r="2034">
          <cell r="A2034">
            <v>46394</v>
          </cell>
          <cell r="B2034">
            <v>2.1593804876</v>
          </cell>
          <cell r="C2034">
            <v>2.1588489736000001</v>
          </cell>
          <cell r="D2034">
            <v>2.1599121325000001</v>
          </cell>
        </row>
        <row r="2035">
          <cell r="A2035">
            <v>46395</v>
          </cell>
          <cell r="B2035">
            <v>2.1602484384</v>
          </cell>
          <cell r="C2035">
            <v>2.1597167108000002</v>
          </cell>
          <cell r="D2035">
            <v>2.1607802970000001</v>
          </cell>
        </row>
        <row r="2036">
          <cell r="A2036">
            <v>46398</v>
          </cell>
          <cell r="B2036">
            <v>2.161116738</v>
          </cell>
          <cell r="C2036">
            <v>2.1605847966999998</v>
          </cell>
          <cell r="D2036">
            <v>2.1616488104</v>
          </cell>
        </row>
        <row r="2037">
          <cell r="A2037">
            <v>46399</v>
          </cell>
          <cell r="B2037">
            <v>2.1619853867000001</v>
          </cell>
          <cell r="C2037">
            <v>2.1614532315999999</v>
          </cell>
          <cell r="D2037">
            <v>2.162517673</v>
          </cell>
        </row>
        <row r="2038">
          <cell r="A2038">
            <v>46400</v>
          </cell>
          <cell r="B2038">
            <v>2.1628543846000001</v>
          </cell>
          <cell r="C2038">
            <v>2.1623220155</v>
          </cell>
          <cell r="D2038">
            <v>2.1633868848</v>
          </cell>
        </row>
        <row r="2039">
          <cell r="A2039">
            <v>46401</v>
          </cell>
          <cell r="B2039">
            <v>2.1637237318000002</v>
          </cell>
          <cell r="C2039">
            <v>2.1631911487000002</v>
          </cell>
          <cell r="D2039">
            <v>2.164256446</v>
          </cell>
        </row>
        <row r="2040">
          <cell r="A2040">
            <v>46402</v>
          </cell>
          <cell r="B2040">
            <v>2.1645934282999999</v>
          </cell>
          <cell r="C2040">
            <v>2.1640606311999999</v>
          </cell>
          <cell r="D2040">
            <v>2.1651263567000001</v>
          </cell>
        </row>
        <row r="2041">
          <cell r="A2041">
            <v>46405</v>
          </cell>
          <cell r="B2041">
            <v>2.1654634744000001</v>
          </cell>
          <cell r="C2041">
            <v>2.1649304632000002</v>
          </cell>
          <cell r="D2041">
            <v>2.1659966169999998</v>
          </cell>
        </row>
        <row r="2042">
          <cell r="A2042">
            <v>46406</v>
          </cell>
          <cell r="B2042">
            <v>2.1663338702999999</v>
          </cell>
          <cell r="C2042">
            <v>2.1658006448</v>
          </cell>
          <cell r="D2042">
            <v>2.1668672272</v>
          </cell>
        </row>
        <row r="2043">
          <cell r="A2043">
            <v>46407</v>
          </cell>
          <cell r="B2043">
            <v>2.1672046160999998</v>
          </cell>
          <cell r="C2043">
            <v>2.1666711761999999</v>
          </cell>
          <cell r="D2043">
            <v>2.1677381872999999</v>
          </cell>
        </row>
        <row r="2044">
          <cell r="A2044">
            <v>46408</v>
          </cell>
          <cell r="B2044">
            <v>2.1680757116999998</v>
          </cell>
          <cell r="C2044">
            <v>2.1675420575</v>
          </cell>
          <cell r="D2044">
            <v>2.1686094973999999</v>
          </cell>
        </row>
        <row r="2045">
          <cell r="A2045">
            <v>46409</v>
          </cell>
          <cell r="B2045">
            <v>2.1689471574999999</v>
          </cell>
          <cell r="C2045">
            <v>2.1684132888000001</v>
          </cell>
          <cell r="D2045">
            <v>2.1694811577999999</v>
          </cell>
        </row>
        <row r="2046">
          <cell r="A2046">
            <v>46412</v>
          </cell>
          <cell r="B2046">
            <v>2.1698189536000001</v>
          </cell>
          <cell r="C2046">
            <v>2.1692848702999998</v>
          </cell>
          <cell r="D2046">
            <v>2.1703531685000002</v>
          </cell>
        </row>
        <row r="2047">
          <cell r="A2047">
            <v>46413</v>
          </cell>
          <cell r="B2047">
            <v>2.1706911002</v>
          </cell>
          <cell r="C2047">
            <v>2.1701568022000002</v>
          </cell>
          <cell r="D2047">
            <v>2.1712255298000001</v>
          </cell>
        </row>
        <row r="2048">
          <cell r="A2048">
            <v>46414</v>
          </cell>
          <cell r="B2048">
            <v>2.1715635972</v>
          </cell>
          <cell r="C2048">
            <v>2.1710290844000002</v>
          </cell>
          <cell r="D2048">
            <v>2.1720982416000001</v>
          </cell>
        </row>
        <row r="2049">
          <cell r="A2049">
            <v>46415</v>
          </cell>
          <cell r="B2049">
            <v>2.1724364450000002</v>
          </cell>
          <cell r="C2049">
            <v>2.1719017173999999</v>
          </cell>
          <cell r="D2049">
            <v>2.1729713042999999</v>
          </cell>
        </row>
        <row r="2050">
          <cell r="A2050">
            <v>46416</v>
          </cell>
          <cell r="B2050">
            <v>2.1733096436000001</v>
          </cell>
          <cell r="C2050">
            <v>2.1727747010999998</v>
          </cell>
          <cell r="D2050">
            <v>2.1738447178999998</v>
          </cell>
        </row>
        <row r="2051">
          <cell r="A2051">
            <v>46419</v>
          </cell>
          <cell r="B2051">
            <v>2.1741831931000002</v>
          </cell>
          <cell r="C2051">
            <v>2.1736480355999999</v>
          </cell>
          <cell r="D2051">
            <v>2.1747184824999999</v>
          </cell>
        </row>
        <row r="2052">
          <cell r="A2052">
            <v>46420</v>
          </cell>
          <cell r="B2052">
            <v>2.1750570939</v>
          </cell>
          <cell r="C2052">
            <v>2.1745217212000001</v>
          </cell>
          <cell r="D2052">
            <v>2.1755925984000002</v>
          </cell>
        </row>
        <row r="2053">
          <cell r="A2053">
            <v>46421</v>
          </cell>
          <cell r="B2053">
            <v>2.1759313458</v>
          </cell>
          <cell r="C2053">
            <v>2.1753957580000001</v>
          </cell>
          <cell r="D2053">
            <v>2.1764670655999998</v>
          </cell>
        </row>
        <row r="2054">
          <cell r="A2054">
            <v>46422</v>
          </cell>
          <cell r="B2054">
            <v>2.1768059491999998</v>
          </cell>
          <cell r="C2054">
            <v>2.1762701460999998</v>
          </cell>
          <cell r="D2054">
            <v>2.1773418843000001</v>
          </cell>
        </row>
        <row r="2055">
          <cell r="A2055">
            <v>46423</v>
          </cell>
          <cell r="B2055">
            <v>2.1776809040999998</v>
          </cell>
          <cell r="C2055">
            <v>2.1771448856000002</v>
          </cell>
          <cell r="D2055">
            <v>2.1782170546000001</v>
          </cell>
        </row>
        <row r="2056">
          <cell r="A2056">
            <v>46428</v>
          </cell>
          <cell r="B2056">
            <v>2.1785562106</v>
          </cell>
          <cell r="C2056">
            <v>2.1780199765999999</v>
          </cell>
          <cell r="D2056">
            <v>2.1790925766</v>
          </cell>
        </row>
        <row r="2057">
          <cell r="A2057">
            <v>46429</v>
          </cell>
          <cell r="B2057">
            <v>2.1794318690000001</v>
          </cell>
          <cell r="C2057">
            <v>2.1788954194999999</v>
          </cell>
          <cell r="D2057">
            <v>2.1799684506000001</v>
          </cell>
        </row>
        <row r="2058">
          <cell r="A2058">
            <v>46430</v>
          </cell>
          <cell r="B2058">
            <v>2.1803078793999999</v>
          </cell>
          <cell r="C2058">
            <v>2.1797712143000001</v>
          </cell>
          <cell r="D2058">
            <v>2.1808446767</v>
          </cell>
        </row>
        <row r="2059">
          <cell r="A2059">
            <v>46433</v>
          </cell>
          <cell r="B2059">
            <v>2.1811842418</v>
          </cell>
          <cell r="C2059">
            <v>2.1806473610000001</v>
          </cell>
          <cell r="D2059">
            <v>2.1817212548999998</v>
          </cell>
        </row>
        <row r="2060">
          <cell r="A2060">
            <v>46434</v>
          </cell>
          <cell r="B2060">
            <v>2.1820609566</v>
          </cell>
          <cell r="C2060">
            <v>2.18152386</v>
          </cell>
          <cell r="D2060">
            <v>2.1825981854999998</v>
          </cell>
        </row>
        <row r="2061">
          <cell r="A2061">
            <v>46435</v>
          </cell>
          <cell r="B2061">
            <v>2.1829380236999998</v>
          </cell>
          <cell r="C2061">
            <v>2.1824007112000001</v>
          </cell>
          <cell r="D2061">
            <v>2.1834754685000002</v>
          </cell>
        </row>
        <row r="2062">
          <cell r="A2062">
            <v>46436</v>
          </cell>
          <cell r="B2062">
            <v>2.1838154432999999</v>
          </cell>
          <cell r="C2062">
            <v>2.1832779149000001</v>
          </cell>
          <cell r="D2062">
            <v>2.1843531042</v>
          </cell>
        </row>
        <row r="2063">
          <cell r="A2063">
            <v>46437</v>
          </cell>
          <cell r="B2063">
            <v>2.1846932155999998</v>
          </cell>
          <cell r="C2063">
            <v>2.1841554711</v>
          </cell>
          <cell r="D2063">
            <v>2.1852310926</v>
          </cell>
        </row>
        <row r="2064">
          <cell r="A2064">
            <v>46440</v>
          </cell>
          <cell r="B2064">
            <v>2.1855713408000002</v>
          </cell>
          <cell r="C2064">
            <v>2.1850333802000002</v>
          </cell>
          <cell r="D2064">
            <v>2.186109434</v>
          </cell>
        </row>
        <row r="2065">
          <cell r="A2065">
            <v>46441</v>
          </cell>
          <cell r="B2065">
            <v>2.1864498188999999</v>
          </cell>
          <cell r="C2065">
            <v>2.1859116421000002</v>
          </cell>
          <cell r="D2065">
            <v>2.1869881283999999</v>
          </cell>
        </row>
        <row r="2066">
          <cell r="A2066">
            <v>46442</v>
          </cell>
          <cell r="B2066">
            <v>2.1873286501</v>
          </cell>
          <cell r="C2066">
            <v>2.1867902569000002</v>
          </cell>
          <cell r="D2066">
            <v>2.1878671759000001</v>
          </cell>
        </row>
        <row r="2067">
          <cell r="A2067">
            <v>46443</v>
          </cell>
          <cell r="B2067">
            <v>2.1882078345</v>
          </cell>
          <cell r="C2067">
            <v>2.1876692249</v>
          </cell>
          <cell r="D2067">
            <v>2.1887465767999998</v>
          </cell>
        </row>
        <row r="2068">
          <cell r="A2068">
            <v>46444</v>
          </cell>
          <cell r="B2068">
            <v>2.1890873724</v>
          </cell>
          <cell r="C2068">
            <v>2.1885485462999998</v>
          </cell>
          <cell r="D2068">
            <v>2.1896263311999999</v>
          </cell>
        </row>
        <row r="2069">
          <cell r="A2069">
            <v>46447</v>
          </cell>
          <cell r="B2069">
            <v>2.1899672636999998</v>
          </cell>
          <cell r="C2069">
            <v>2.1894282211</v>
          </cell>
          <cell r="D2069">
            <v>2.1905064392</v>
          </cell>
        </row>
        <row r="2070">
          <cell r="A2070">
            <v>46448</v>
          </cell>
          <cell r="B2070">
            <v>2.1908475087000001</v>
          </cell>
          <cell r="C2070">
            <v>2.1903082494000001</v>
          </cell>
          <cell r="D2070">
            <v>2.1913869009</v>
          </cell>
        </row>
        <row r="2071">
          <cell r="A2071">
            <v>46449</v>
          </cell>
          <cell r="B2071">
            <v>2.1917281074999999</v>
          </cell>
          <cell r="C2071">
            <v>2.1911886314000002</v>
          </cell>
          <cell r="D2071">
            <v>2.1922677165</v>
          </cell>
        </row>
        <row r="2072">
          <cell r="A2072">
            <v>46450</v>
          </cell>
          <cell r="B2072">
            <v>2.1926090603000001</v>
          </cell>
          <cell r="C2072">
            <v>2.1920693673999998</v>
          </cell>
          <cell r="D2072">
            <v>2.1931488861999999</v>
          </cell>
        </row>
        <row r="2073">
          <cell r="A2073">
            <v>46451</v>
          </cell>
          <cell r="B2073">
            <v>2.1934903670999999</v>
          </cell>
          <cell r="C2073">
            <v>2.1929504572999998</v>
          </cell>
          <cell r="D2073">
            <v>2.1940304099999999</v>
          </cell>
        </row>
        <row r="2074">
          <cell r="A2074">
            <v>46454</v>
          </cell>
          <cell r="B2074">
            <v>2.1943720283000001</v>
          </cell>
          <cell r="C2074">
            <v>2.1938319013999998</v>
          </cell>
          <cell r="D2074">
            <v>2.1949122881999998</v>
          </cell>
        </row>
        <row r="2075">
          <cell r="A2075">
            <v>46455</v>
          </cell>
          <cell r="B2075">
            <v>2.1952540436999999</v>
          </cell>
          <cell r="C2075">
            <v>2.1947136997999999</v>
          </cell>
          <cell r="D2075">
            <v>2.1957945207999998</v>
          </cell>
        </row>
        <row r="2076">
          <cell r="A2076">
            <v>46456</v>
          </cell>
          <cell r="B2076">
            <v>2.1961364138000001</v>
          </cell>
          <cell r="C2076">
            <v>2.1955958525999999</v>
          </cell>
          <cell r="D2076">
            <v>2.1966771080999998</v>
          </cell>
        </row>
        <row r="2077">
          <cell r="A2077">
            <v>46457</v>
          </cell>
          <cell r="B2077">
            <v>2.1970191384</v>
          </cell>
          <cell r="C2077">
            <v>2.19647836</v>
          </cell>
          <cell r="D2077">
            <v>2.1975600500999999</v>
          </cell>
        </row>
        <row r="2078">
          <cell r="A2078">
            <v>46458</v>
          </cell>
          <cell r="B2078">
            <v>2.1979022178999998</v>
          </cell>
          <cell r="C2078">
            <v>2.1973612221000001</v>
          </cell>
          <cell r="D2078">
            <v>2.198443347</v>
          </cell>
        </row>
        <row r="2079">
          <cell r="A2079">
            <v>46461</v>
          </cell>
          <cell r="B2079">
            <v>2.1987856522999998</v>
          </cell>
          <cell r="C2079">
            <v>2.1982444390999998</v>
          </cell>
          <cell r="D2079">
            <v>2.1993269989000002</v>
          </cell>
        </row>
        <row r="2080">
          <cell r="A2080">
            <v>46462</v>
          </cell>
          <cell r="B2080">
            <v>2.1996694417999998</v>
          </cell>
          <cell r="C2080">
            <v>2.1991280111</v>
          </cell>
          <cell r="D2080">
            <v>2.200211006</v>
          </cell>
        </row>
        <row r="2081">
          <cell r="A2081">
            <v>46463</v>
          </cell>
          <cell r="B2081">
            <v>2.2005535865999999</v>
          </cell>
          <cell r="C2081">
            <v>2.2000119381999999</v>
          </cell>
          <cell r="D2081">
            <v>2.2010953683999999</v>
          </cell>
        </row>
        <row r="2082">
          <cell r="A2082">
            <v>46464</v>
          </cell>
          <cell r="B2082">
            <v>2.2014380867000001</v>
          </cell>
          <cell r="C2082">
            <v>2.2008962205999998</v>
          </cell>
          <cell r="D2082">
            <v>2.2019800862999999</v>
          </cell>
        </row>
        <row r="2083">
          <cell r="A2083">
            <v>46465</v>
          </cell>
          <cell r="B2083">
            <v>2.2023229422999999</v>
          </cell>
          <cell r="C2083">
            <v>2.2017808583999998</v>
          </cell>
          <cell r="D2083">
            <v>2.2028651598</v>
          </cell>
        </row>
        <row r="2084">
          <cell r="A2084">
            <v>46468</v>
          </cell>
          <cell r="B2084">
            <v>2.2032081535999999</v>
          </cell>
          <cell r="C2084">
            <v>2.2026658518</v>
          </cell>
          <cell r="D2084">
            <v>2.2037505890000002</v>
          </cell>
        </row>
        <row r="2085">
          <cell r="A2085">
            <v>46469</v>
          </cell>
          <cell r="B2085">
            <v>2.2040937208</v>
          </cell>
          <cell r="C2085">
            <v>2.2035512009999998</v>
          </cell>
          <cell r="D2085">
            <v>2.2046363742000001</v>
          </cell>
        </row>
        <row r="2086">
          <cell r="A2086">
            <v>46470</v>
          </cell>
          <cell r="B2086">
            <v>2.2049796438000002</v>
          </cell>
          <cell r="C2086">
            <v>2.2044369060000002</v>
          </cell>
          <cell r="D2086">
            <v>2.2055225154000002</v>
          </cell>
        </row>
        <row r="2087">
          <cell r="A2087">
            <v>46471</v>
          </cell>
          <cell r="B2087">
            <v>2.2058659229000002</v>
          </cell>
          <cell r="C2087">
            <v>2.2053229669999999</v>
          </cell>
          <cell r="D2087">
            <v>2.2064090127</v>
          </cell>
        </row>
        <row r="2088">
          <cell r="A2088">
            <v>46475</v>
          </cell>
          <cell r="B2088">
            <v>2.2067525583999998</v>
          </cell>
          <cell r="C2088">
            <v>2.2062093841000001</v>
          </cell>
          <cell r="D2088">
            <v>2.2072958664</v>
          </cell>
        </row>
        <row r="2089">
          <cell r="A2089">
            <v>46476</v>
          </cell>
          <cell r="B2089">
            <v>2.2076395501000001</v>
          </cell>
          <cell r="C2089">
            <v>2.2070961575000001</v>
          </cell>
          <cell r="D2089">
            <v>2.2081830765000001</v>
          </cell>
        </row>
        <row r="2090">
          <cell r="A2090">
            <v>46477</v>
          </cell>
          <cell r="B2090">
            <v>2.2085268984000002</v>
          </cell>
          <cell r="C2090">
            <v>2.2079832873999998</v>
          </cell>
          <cell r="D2090">
            <v>2.2090706433</v>
          </cell>
        </row>
        <row r="2091">
          <cell r="A2091">
            <v>46478</v>
          </cell>
          <cell r="B2091">
            <v>2.2094146034</v>
          </cell>
          <cell r="C2091">
            <v>2.2088707739000002</v>
          </cell>
          <cell r="D2091">
            <v>2.2099585668000001</v>
          </cell>
        </row>
        <row r="2092">
          <cell r="A2092">
            <v>46479</v>
          </cell>
          <cell r="B2092">
            <v>2.2103026651</v>
          </cell>
          <cell r="C2092">
            <v>2.2097586169999999</v>
          </cell>
          <cell r="D2092">
            <v>2.2108468472</v>
          </cell>
        </row>
        <row r="2093">
          <cell r="A2093">
            <v>46482</v>
          </cell>
          <cell r="B2093">
            <v>2.2111910838000002</v>
          </cell>
          <cell r="C2093">
            <v>2.2106468170000002</v>
          </cell>
          <cell r="D2093">
            <v>2.2117354846000001</v>
          </cell>
        </row>
        <row r="2094">
          <cell r="A2094">
            <v>46483</v>
          </cell>
          <cell r="B2094">
            <v>2.2120798597000002</v>
          </cell>
          <cell r="C2094">
            <v>2.2115353741999999</v>
          </cell>
          <cell r="D2094">
            <v>2.2126244793000001</v>
          </cell>
        </row>
        <row r="2095">
          <cell r="A2095">
            <v>46484</v>
          </cell>
          <cell r="B2095">
            <v>2.2129689927</v>
          </cell>
          <cell r="C2095">
            <v>2.2124242882999998</v>
          </cell>
          <cell r="D2095">
            <v>2.2135138311999998</v>
          </cell>
        </row>
        <row r="2096">
          <cell r="A2096">
            <v>46485</v>
          </cell>
          <cell r="B2096">
            <v>2.2138584831000001</v>
          </cell>
          <cell r="C2096">
            <v>2.2133135598</v>
          </cell>
          <cell r="D2096">
            <v>2.2144035406000002</v>
          </cell>
        </row>
        <row r="2097">
          <cell r="A2097">
            <v>46486</v>
          </cell>
          <cell r="B2097">
            <v>2.2147483311</v>
          </cell>
          <cell r="C2097">
            <v>2.2142031887</v>
          </cell>
          <cell r="D2097">
            <v>2.2152936077000001</v>
          </cell>
        </row>
        <row r="2098">
          <cell r="A2098">
            <v>46489</v>
          </cell>
          <cell r="B2098">
            <v>2.2156385367000002</v>
          </cell>
          <cell r="C2098">
            <v>2.2150931752999998</v>
          </cell>
          <cell r="D2098">
            <v>2.2161840325000002</v>
          </cell>
        </row>
        <row r="2099">
          <cell r="A2099">
            <v>46490</v>
          </cell>
          <cell r="B2099">
            <v>2.2165291000999998</v>
          </cell>
          <cell r="C2099">
            <v>2.2159835194999999</v>
          </cell>
          <cell r="D2099">
            <v>2.2170748152000002</v>
          </cell>
        </row>
        <row r="2100">
          <cell r="A2100">
            <v>46491</v>
          </cell>
          <cell r="B2100">
            <v>2.2174200215000002</v>
          </cell>
          <cell r="C2100">
            <v>2.2168742215999999</v>
          </cell>
          <cell r="D2100">
            <v>2.2179659559</v>
          </cell>
        </row>
        <row r="2101">
          <cell r="A2101">
            <v>46492</v>
          </cell>
          <cell r="B2101">
            <v>2.218311301</v>
          </cell>
          <cell r="C2101">
            <v>2.2177652816000002</v>
          </cell>
          <cell r="D2101">
            <v>2.2188574548000002</v>
          </cell>
        </row>
        <row r="2102">
          <cell r="A2102">
            <v>46493</v>
          </cell>
          <cell r="B2102">
            <v>2.2192029387000001</v>
          </cell>
          <cell r="C2102">
            <v>2.2186566998999999</v>
          </cell>
          <cell r="D2102">
            <v>2.2197493120999998</v>
          </cell>
        </row>
        <row r="2103">
          <cell r="A2103">
            <v>46496</v>
          </cell>
          <cell r="B2103">
            <v>2.2200949348000001</v>
          </cell>
          <cell r="C2103">
            <v>2.2195484765</v>
          </cell>
          <cell r="D2103">
            <v>2.2206415277999998</v>
          </cell>
        </row>
        <row r="2104">
          <cell r="A2104">
            <v>46497</v>
          </cell>
          <cell r="B2104">
            <v>2.2209872895</v>
          </cell>
          <cell r="C2104">
            <v>2.2204406114999999</v>
          </cell>
          <cell r="D2104">
            <v>2.2215341022000001</v>
          </cell>
        </row>
        <row r="2105">
          <cell r="A2105">
            <v>46499</v>
          </cell>
          <cell r="B2105">
            <v>2.2218800027999999</v>
          </cell>
          <cell r="C2105">
            <v>2.2213331050999998</v>
          </cell>
          <cell r="D2105">
            <v>2.2224270353</v>
          </cell>
        </row>
        <row r="2106">
          <cell r="A2106">
            <v>46500</v>
          </cell>
          <cell r="B2106">
            <v>2.2227730750000001</v>
          </cell>
          <cell r="C2106">
            <v>2.2222259574000001</v>
          </cell>
          <cell r="D2106">
            <v>2.2233203273000002</v>
          </cell>
        </row>
        <row r="2107">
          <cell r="A2107">
            <v>46503</v>
          </cell>
          <cell r="B2107">
            <v>2.2236665060999998</v>
          </cell>
          <cell r="C2107">
            <v>2.2231191685999998</v>
          </cell>
          <cell r="D2107">
            <v>2.2242139783999999</v>
          </cell>
        </row>
        <row r="2108">
          <cell r="A2108">
            <v>46504</v>
          </cell>
          <cell r="B2108">
            <v>2.2245602963</v>
          </cell>
          <cell r="C2108">
            <v>2.2240127389</v>
          </cell>
          <cell r="D2108">
            <v>2.2251079887</v>
          </cell>
        </row>
        <row r="2109">
          <cell r="A2109">
            <v>46505</v>
          </cell>
          <cell r="B2109">
            <v>2.2254544458000001</v>
          </cell>
          <cell r="C2109">
            <v>2.2249066683000001</v>
          </cell>
          <cell r="D2109">
            <v>2.2260023583000002</v>
          </cell>
        </row>
        <row r="2110">
          <cell r="A2110">
            <v>46506</v>
          </cell>
          <cell r="B2110">
            <v>2.2263489548000002</v>
          </cell>
          <cell r="C2110">
            <v>2.2258009570000001</v>
          </cell>
          <cell r="D2110">
            <v>2.2268970874999998</v>
          </cell>
        </row>
        <row r="2111">
          <cell r="A2111">
            <v>46507</v>
          </cell>
          <cell r="B2111">
            <v>2.2272438231999998</v>
          </cell>
          <cell r="C2111">
            <v>2.2266956052000002</v>
          </cell>
          <cell r="D2111">
            <v>2.2277921761999999</v>
          </cell>
        </row>
        <row r="2112">
          <cell r="A2112">
            <v>46510</v>
          </cell>
          <cell r="B2112">
            <v>2.2281390511999999</v>
          </cell>
          <cell r="C2112">
            <v>2.2275906128999998</v>
          </cell>
          <cell r="D2112">
            <v>2.2286876247</v>
          </cell>
        </row>
        <row r="2113">
          <cell r="A2113">
            <v>46511</v>
          </cell>
          <cell r="B2113">
            <v>2.2290346392</v>
          </cell>
          <cell r="C2113">
            <v>2.2284859804999999</v>
          </cell>
          <cell r="D2113">
            <v>2.2295834332000002</v>
          </cell>
        </row>
        <row r="2114">
          <cell r="A2114">
            <v>46512</v>
          </cell>
          <cell r="B2114">
            <v>2.2299305872000001</v>
          </cell>
          <cell r="C2114">
            <v>2.2293817078</v>
          </cell>
          <cell r="D2114">
            <v>2.2304796016999999</v>
          </cell>
        </row>
        <row r="2115">
          <cell r="A2115">
            <v>46513</v>
          </cell>
          <cell r="B2115">
            <v>2.2308268951999999</v>
          </cell>
          <cell r="C2115">
            <v>2.2302777953000001</v>
          </cell>
          <cell r="D2115">
            <v>2.2313761304000002</v>
          </cell>
        </row>
        <row r="2116">
          <cell r="A2116">
            <v>46514</v>
          </cell>
          <cell r="B2116">
            <v>2.2317235635000001</v>
          </cell>
          <cell r="C2116">
            <v>2.2311742428999999</v>
          </cell>
          <cell r="D2116">
            <v>2.2322730195</v>
          </cell>
        </row>
        <row r="2117">
          <cell r="A2117">
            <v>46517</v>
          </cell>
          <cell r="B2117">
            <v>2.2326205922</v>
          </cell>
          <cell r="C2117">
            <v>2.2320710507000001</v>
          </cell>
          <cell r="D2117">
            <v>2.2331702689999999</v>
          </cell>
        </row>
        <row r="2118">
          <cell r="A2118">
            <v>46518</v>
          </cell>
          <cell r="B2118">
            <v>2.2335179813999999</v>
          </cell>
          <cell r="C2118">
            <v>2.2329682191</v>
          </cell>
          <cell r="D2118">
            <v>2.2340678791999999</v>
          </cell>
        </row>
        <row r="2119">
          <cell r="A2119">
            <v>46519</v>
          </cell>
          <cell r="B2119">
            <v>2.2344157314999999</v>
          </cell>
          <cell r="C2119">
            <v>2.2338657481999999</v>
          </cell>
          <cell r="D2119">
            <v>2.2349658503000001</v>
          </cell>
        </row>
        <row r="2120">
          <cell r="A2120">
            <v>46520</v>
          </cell>
          <cell r="B2120">
            <v>2.2353138423000001</v>
          </cell>
          <cell r="C2120">
            <v>2.2347636379</v>
          </cell>
          <cell r="D2120">
            <v>2.2358641821999998</v>
          </cell>
        </row>
        <row r="2121">
          <cell r="A2121">
            <v>46521</v>
          </cell>
          <cell r="B2121">
            <v>2.2362123140999999</v>
          </cell>
          <cell r="C2121">
            <v>2.2356618886000001</v>
          </cell>
          <cell r="D2121">
            <v>2.2367628752000002</v>
          </cell>
        </row>
        <row r="2122">
          <cell r="A2122">
            <v>46524</v>
          </cell>
          <cell r="B2122">
            <v>2.2371111470999998</v>
          </cell>
          <cell r="C2122">
            <v>2.2365605003</v>
          </cell>
          <cell r="D2122">
            <v>2.2376619295000002</v>
          </cell>
        </row>
        <row r="2123">
          <cell r="A2123">
            <v>46525</v>
          </cell>
          <cell r="B2123">
            <v>2.2380103412999999</v>
          </cell>
          <cell r="C2123">
            <v>2.2374594731999999</v>
          </cell>
          <cell r="D2123">
            <v>2.2385613450999999</v>
          </cell>
        </row>
        <row r="2124">
          <cell r="A2124">
            <v>46526</v>
          </cell>
          <cell r="B2124">
            <v>2.2389098969000001</v>
          </cell>
          <cell r="C2124">
            <v>2.2383588074</v>
          </cell>
          <cell r="D2124">
            <v>2.2394611221999998</v>
          </cell>
        </row>
        <row r="2125">
          <cell r="A2125">
            <v>46527</v>
          </cell>
          <cell r="B2125">
            <v>2.2398098142</v>
          </cell>
          <cell r="C2125">
            <v>2.2392585031999999</v>
          </cell>
          <cell r="D2125">
            <v>2.2403612609999999</v>
          </cell>
        </row>
        <row r="2126">
          <cell r="A2126">
            <v>46528</v>
          </cell>
          <cell r="B2126">
            <v>2.2407100931000001</v>
          </cell>
          <cell r="C2126">
            <v>2.2401585604999998</v>
          </cell>
          <cell r="D2126">
            <v>2.2412617616000001</v>
          </cell>
        </row>
        <row r="2127">
          <cell r="A2127">
            <v>46531</v>
          </cell>
          <cell r="B2127">
            <v>2.2416107339</v>
          </cell>
          <cell r="C2127">
            <v>2.2410589796</v>
          </cell>
          <cell r="D2127">
            <v>2.2421626241000001</v>
          </cell>
        </row>
        <row r="2128">
          <cell r="A2128">
            <v>46532</v>
          </cell>
          <cell r="B2128">
            <v>2.2425117368</v>
          </cell>
          <cell r="C2128">
            <v>2.2419597606999999</v>
          </cell>
          <cell r="D2128">
            <v>2.2430638487999999</v>
          </cell>
        </row>
        <row r="2129">
          <cell r="A2129">
            <v>46533</v>
          </cell>
          <cell r="B2129">
            <v>2.2434131015999998</v>
          </cell>
          <cell r="C2129">
            <v>2.2428609037</v>
          </cell>
          <cell r="D2129">
            <v>2.2439654355999998</v>
          </cell>
        </row>
        <row r="2130">
          <cell r="A2130">
            <v>46535</v>
          </cell>
          <cell r="B2130">
            <v>2.2443148288999999</v>
          </cell>
          <cell r="C2130">
            <v>2.2437624089999999</v>
          </cell>
          <cell r="D2130">
            <v>2.2448673849</v>
          </cell>
        </row>
        <row r="2131">
          <cell r="A2131">
            <v>46538</v>
          </cell>
          <cell r="B2131">
            <v>2.2452169186000002</v>
          </cell>
          <cell r="C2131">
            <v>2.2446642767</v>
          </cell>
          <cell r="D2131">
            <v>2.2457696967</v>
          </cell>
        </row>
        <row r="2132">
          <cell r="A2132">
            <v>46539</v>
          </cell>
          <cell r="B2132">
            <v>2.2461193708999998</v>
          </cell>
          <cell r="C2132">
            <v>2.2455665068999999</v>
          </cell>
          <cell r="D2132">
            <v>2.2466723711999999</v>
          </cell>
        </row>
        <row r="2133">
          <cell r="A2133">
            <v>46540</v>
          </cell>
          <cell r="B2133">
            <v>2.2470221860000001</v>
          </cell>
          <cell r="C2133">
            <v>2.2464690997000001</v>
          </cell>
          <cell r="D2133">
            <v>2.2475754084999999</v>
          </cell>
        </row>
        <row r="2134">
          <cell r="A2134">
            <v>46541</v>
          </cell>
          <cell r="B2134">
            <v>2.2479253638999999</v>
          </cell>
          <cell r="C2134">
            <v>2.2473720553000001</v>
          </cell>
          <cell r="D2134">
            <v>2.2484788087999998</v>
          </cell>
        </row>
        <row r="2135">
          <cell r="A2135">
            <v>46542</v>
          </cell>
          <cell r="B2135">
            <v>2.2488289048999999</v>
          </cell>
          <cell r="C2135">
            <v>2.2482753738999999</v>
          </cell>
          <cell r="D2135">
            <v>2.2493825722</v>
          </cell>
        </row>
        <row r="2136">
          <cell r="A2136">
            <v>46545</v>
          </cell>
          <cell r="B2136">
            <v>2.2497328090000002</v>
          </cell>
          <cell r="C2136">
            <v>2.2491790555</v>
          </cell>
          <cell r="D2136">
            <v>2.2502866989000001</v>
          </cell>
        </row>
        <row r="2137">
          <cell r="A2137">
            <v>46546</v>
          </cell>
          <cell r="B2137">
            <v>2.2506370763999999</v>
          </cell>
          <cell r="C2137">
            <v>2.2500831002999999</v>
          </cell>
          <cell r="D2137">
            <v>2.2511911889</v>
          </cell>
        </row>
        <row r="2138">
          <cell r="A2138">
            <v>46547</v>
          </cell>
          <cell r="B2138">
            <v>2.2515417072999999</v>
          </cell>
          <cell r="C2138">
            <v>2.2509875085000002</v>
          </cell>
          <cell r="D2138">
            <v>2.2520960424999998</v>
          </cell>
        </row>
        <row r="2139">
          <cell r="A2139">
            <v>46548</v>
          </cell>
          <cell r="B2139">
            <v>2.2524467017999998</v>
          </cell>
          <cell r="C2139">
            <v>2.2518922803999999</v>
          </cell>
          <cell r="D2139">
            <v>2.2530012599</v>
          </cell>
        </row>
        <row r="2140">
          <cell r="A2140">
            <v>46549</v>
          </cell>
          <cell r="B2140">
            <v>2.2533520600000001</v>
          </cell>
          <cell r="C2140">
            <v>2.2527974156999999</v>
          </cell>
          <cell r="D2140">
            <v>2.253906841</v>
          </cell>
        </row>
        <row r="2141">
          <cell r="A2141">
            <v>46552</v>
          </cell>
          <cell r="B2141">
            <v>2.2542577821999998</v>
          </cell>
          <cell r="C2141">
            <v>2.2537029149999999</v>
          </cell>
          <cell r="D2141">
            <v>2.2548127862</v>
          </cell>
        </row>
        <row r="2142">
          <cell r="A2142">
            <v>46553</v>
          </cell>
          <cell r="B2142">
            <v>2.2551638684999999</v>
          </cell>
          <cell r="C2142">
            <v>2.2546087782000002</v>
          </cell>
          <cell r="D2142">
            <v>2.2557190954999999</v>
          </cell>
        </row>
        <row r="2143">
          <cell r="A2143">
            <v>46554</v>
          </cell>
          <cell r="B2143">
            <v>2.2560703189</v>
          </cell>
          <cell r="C2143">
            <v>2.2555150054999999</v>
          </cell>
          <cell r="D2143">
            <v>2.2566257690999998</v>
          </cell>
        </row>
        <row r="2144">
          <cell r="A2144">
            <v>46555</v>
          </cell>
          <cell r="B2144">
            <v>2.2569771336</v>
          </cell>
          <cell r="C2144">
            <v>2.2564215970000001</v>
          </cell>
          <cell r="D2144">
            <v>2.2575328071</v>
          </cell>
        </row>
        <row r="2145">
          <cell r="A2145">
            <v>46556</v>
          </cell>
          <cell r="B2145">
            <v>2.2578843128999999</v>
          </cell>
          <cell r="C2145">
            <v>2.2573285529999998</v>
          </cell>
          <cell r="D2145">
            <v>2.2584402096999998</v>
          </cell>
        </row>
        <row r="2146">
          <cell r="A2146">
            <v>46559</v>
          </cell>
          <cell r="B2146">
            <v>2.2587918566999998</v>
          </cell>
          <cell r="C2146">
            <v>2.2582358734999999</v>
          </cell>
          <cell r="D2146">
            <v>2.259347977</v>
          </cell>
        </row>
        <row r="2147">
          <cell r="A2147">
            <v>46560</v>
          </cell>
          <cell r="B2147">
            <v>2.2596997654000002</v>
          </cell>
          <cell r="C2147">
            <v>2.2591435586999999</v>
          </cell>
          <cell r="D2147">
            <v>2.2602561092000002</v>
          </cell>
        </row>
        <row r="2148">
          <cell r="A2148">
            <v>46561</v>
          </cell>
          <cell r="B2148">
            <v>2.2606080391000001</v>
          </cell>
          <cell r="C2148">
            <v>2.2600516088</v>
          </cell>
          <cell r="D2148">
            <v>2.2611646065</v>
          </cell>
        </row>
        <row r="2149">
          <cell r="A2149">
            <v>46562</v>
          </cell>
          <cell r="B2149">
            <v>2.2615166777</v>
          </cell>
          <cell r="C2149">
            <v>2.2609600237</v>
          </cell>
          <cell r="D2149">
            <v>2.2620734688000002</v>
          </cell>
        </row>
        <row r="2150">
          <cell r="A2150">
            <v>46563</v>
          </cell>
          <cell r="B2150">
            <v>2.2624256815999999</v>
          </cell>
          <cell r="C2150">
            <v>2.2618688039000001</v>
          </cell>
          <cell r="D2150">
            <v>2.2629826964999999</v>
          </cell>
        </row>
        <row r="2151">
          <cell r="A2151">
            <v>46566</v>
          </cell>
          <cell r="B2151">
            <v>2.2633350508999999</v>
          </cell>
          <cell r="C2151">
            <v>2.2627779493000002</v>
          </cell>
          <cell r="D2151">
            <v>2.2638922896999998</v>
          </cell>
        </row>
        <row r="2152">
          <cell r="A2152">
            <v>46567</v>
          </cell>
          <cell r="B2152">
            <v>2.2642447855999999</v>
          </cell>
          <cell r="C2152">
            <v>2.2636874600999999</v>
          </cell>
          <cell r="D2152">
            <v>2.2648022484000001</v>
          </cell>
        </row>
        <row r="2153">
          <cell r="A2153">
            <v>46568</v>
          </cell>
          <cell r="B2153">
            <v>2.2651548861999999</v>
          </cell>
          <cell r="C2153">
            <v>2.2645973367000001</v>
          </cell>
          <cell r="D2153">
            <v>2.2657125730000001</v>
          </cell>
        </row>
        <row r="2154">
          <cell r="A2154">
            <v>46569</v>
          </cell>
          <cell r="B2154">
            <v>2.2660653524000001</v>
          </cell>
          <cell r="C2154">
            <v>2.2655075787999999</v>
          </cell>
          <cell r="D2154">
            <v>2.2666232634000001</v>
          </cell>
        </row>
        <row r="2155">
          <cell r="A2155">
            <v>46570</v>
          </cell>
          <cell r="B2155">
            <v>2.2669761844999998</v>
          </cell>
          <cell r="C2155">
            <v>2.2664181868000002</v>
          </cell>
          <cell r="D2155">
            <v>2.2675343198000002</v>
          </cell>
        </row>
        <row r="2156">
          <cell r="A2156">
            <v>46573</v>
          </cell>
          <cell r="B2156">
            <v>2.2678873829000001</v>
          </cell>
          <cell r="C2156">
            <v>2.2673291608000001</v>
          </cell>
          <cell r="D2156">
            <v>2.2684457425</v>
          </cell>
        </row>
        <row r="2157">
          <cell r="A2157">
            <v>46574</v>
          </cell>
          <cell r="B2157">
            <v>2.2687989475000001</v>
          </cell>
          <cell r="C2157">
            <v>2.2682405010000002</v>
          </cell>
          <cell r="D2157">
            <v>2.2693575314999999</v>
          </cell>
        </row>
        <row r="2158">
          <cell r="A2158">
            <v>46575</v>
          </cell>
          <cell r="B2158">
            <v>2.2697108785000002</v>
          </cell>
          <cell r="C2158">
            <v>2.2691522074999999</v>
          </cell>
          <cell r="D2158">
            <v>2.2702696869999999</v>
          </cell>
        </row>
        <row r="2159">
          <cell r="A2159">
            <v>46576</v>
          </cell>
          <cell r="B2159">
            <v>2.2706231759</v>
          </cell>
          <cell r="C2159">
            <v>2.2700642805000002</v>
          </cell>
          <cell r="D2159">
            <v>2.2711822091</v>
          </cell>
        </row>
        <row r="2160">
          <cell r="A2160">
            <v>46577</v>
          </cell>
          <cell r="B2160">
            <v>2.2715358400999999</v>
          </cell>
          <cell r="C2160">
            <v>2.2709767200000002</v>
          </cell>
          <cell r="D2160">
            <v>2.2720950979999999</v>
          </cell>
        </row>
        <row r="2161">
          <cell r="A2161">
            <v>46580</v>
          </cell>
          <cell r="B2161">
            <v>2.2724488711999999</v>
          </cell>
          <cell r="C2161">
            <v>2.2718895262999999</v>
          </cell>
          <cell r="D2161">
            <v>2.2730083537999999</v>
          </cell>
        </row>
        <row r="2162">
          <cell r="A2162">
            <v>46581</v>
          </cell>
          <cell r="B2162">
            <v>2.2733622692000002</v>
          </cell>
          <cell r="C2162">
            <v>2.2728026995000001</v>
          </cell>
          <cell r="D2162">
            <v>2.2739219767000001</v>
          </cell>
        </row>
        <row r="2163">
          <cell r="A2163">
            <v>46582</v>
          </cell>
          <cell r="B2163">
            <v>2.2742760344000001</v>
          </cell>
          <cell r="C2163">
            <v>2.2737162398000001</v>
          </cell>
          <cell r="D2163">
            <v>2.2748359669</v>
          </cell>
        </row>
        <row r="2164">
          <cell r="A2164">
            <v>46583</v>
          </cell>
          <cell r="B2164">
            <v>2.2751901667999999</v>
          </cell>
          <cell r="C2164">
            <v>2.2746301471999999</v>
          </cell>
          <cell r="D2164">
            <v>2.2757503244000001</v>
          </cell>
        </row>
        <row r="2165">
          <cell r="A2165">
            <v>46584</v>
          </cell>
          <cell r="B2165">
            <v>2.2761046666999998</v>
          </cell>
          <cell r="C2165">
            <v>2.2755444219999998</v>
          </cell>
          <cell r="D2165">
            <v>2.2766650494</v>
          </cell>
        </row>
        <row r="2166">
          <cell r="A2166">
            <v>46587</v>
          </cell>
          <cell r="B2166">
            <v>2.2770195340999999</v>
          </cell>
          <cell r="C2166">
            <v>2.2764590643</v>
          </cell>
          <cell r="D2166">
            <v>2.2775801421000001</v>
          </cell>
        </row>
        <row r="2167">
          <cell r="A2167">
            <v>46588</v>
          </cell>
          <cell r="B2167">
            <v>2.2779347692999998</v>
          </cell>
          <cell r="C2167">
            <v>2.2773740741999999</v>
          </cell>
          <cell r="D2167">
            <v>2.2784956026000001</v>
          </cell>
        </row>
        <row r="2168">
          <cell r="A2168">
            <v>46589</v>
          </cell>
          <cell r="B2168">
            <v>2.2788503724</v>
          </cell>
          <cell r="C2168">
            <v>2.2782894519000001</v>
          </cell>
          <cell r="D2168">
            <v>2.2794114311000002</v>
          </cell>
        </row>
        <row r="2169">
          <cell r="A2169">
            <v>46590</v>
          </cell>
          <cell r="B2169">
            <v>2.2797663435</v>
          </cell>
          <cell r="C2169">
            <v>2.2792051975000001</v>
          </cell>
          <cell r="D2169">
            <v>2.2803276277000002</v>
          </cell>
        </row>
        <row r="2170">
          <cell r="A2170">
            <v>46591</v>
          </cell>
          <cell r="B2170">
            <v>2.2806826827000002</v>
          </cell>
          <cell r="C2170">
            <v>2.2801213110999998</v>
          </cell>
          <cell r="D2170">
            <v>2.2812441925</v>
          </cell>
        </row>
        <row r="2171">
          <cell r="A2171">
            <v>46594</v>
          </cell>
          <cell r="B2171">
            <v>2.2815993902999998</v>
          </cell>
          <cell r="C2171">
            <v>2.2810377930999999</v>
          </cell>
          <cell r="D2171">
            <v>2.2821611258000001</v>
          </cell>
        </row>
        <row r="2172">
          <cell r="A2172">
            <v>46595</v>
          </cell>
          <cell r="B2172">
            <v>2.2825164663000002</v>
          </cell>
          <cell r="C2172">
            <v>2.2819546434000002</v>
          </cell>
          <cell r="D2172">
            <v>2.2830784276</v>
          </cell>
        </row>
        <row r="2173">
          <cell r="A2173">
            <v>46596</v>
          </cell>
          <cell r="B2173">
            <v>2.2834339108999999</v>
          </cell>
          <cell r="C2173">
            <v>2.2828718621999999</v>
          </cell>
          <cell r="D2173">
            <v>2.2839960980999998</v>
          </cell>
        </row>
        <row r="2174">
          <cell r="A2174">
            <v>46597</v>
          </cell>
          <cell r="B2174">
            <v>2.2843517243</v>
          </cell>
          <cell r="C2174">
            <v>2.2837894497</v>
          </cell>
          <cell r="D2174">
            <v>2.2849141374999999</v>
          </cell>
        </row>
        <row r="2175">
          <cell r="A2175">
            <v>46598</v>
          </cell>
          <cell r="B2175">
            <v>2.2852699067</v>
          </cell>
          <cell r="C2175">
            <v>2.2847074059999999</v>
          </cell>
          <cell r="D2175">
            <v>2.2858325459</v>
          </cell>
        </row>
        <row r="2176">
          <cell r="A2176">
            <v>46601</v>
          </cell>
          <cell r="B2176">
            <v>2.2861884579999998</v>
          </cell>
          <cell r="C2176">
            <v>2.2856257313000001</v>
          </cell>
          <cell r="D2176">
            <v>2.2867513233999999</v>
          </cell>
        </row>
        <row r="2177">
          <cell r="A2177">
            <v>46602</v>
          </cell>
          <cell r="B2177">
            <v>2.2871073786</v>
          </cell>
          <cell r="C2177">
            <v>2.2865444256999998</v>
          </cell>
          <cell r="D2177">
            <v>2.2876704702000001</v>
          </cell>
        </row>
        <row r="2178">
          <cell r="A2178">
            <v>46603</v>
          </cell>
          <cell r="B2178">
            <v>2.2880266686000001</v>
          </cell>
          <cell r="C2178">
            <v>2.2874634893999999</v>
          </cell>
          <cell r="D2178">
            <v>2.2885899864999999</v>
          </cell>
        </row>
        <row r="2179">
          <cell r="A2179">
            <v>46604</v>
          </cell>
          <cell r="B2179">
            <v>2.2889463279000002</v>
          </cell>
          <cell r="C2179">
            <v>2.2883829223999999</v>
          </cell>
          <cell r="D2179">
            <v>2.2895098723</v>
          </cell>
        </row>
        <row r="2180">
          <cell r="A2180">
            <v>46605</v>
          </cell>
          <cell r="B2180">
            <v>2.2898663570000002</v>
          </cell>
          <cell r="C2180">
            <v>2.2893027250000002</v>
          </cell>
          <cell r="D2180">
            <v>2.2904301279000001</v>
          </cell>
        </row>
        <row r="2181">
          <cell r="A2181">
            <v>46608</v>
          </cell>
          <cell r="B2181">
            <v>2.2907867559000001</v>
          </cell>
          <cell r="C2181">
            <v>2.2902228974000001</v>
          </cell>
          <cell r="D2181">
            <v>2.2913507534000002</v>
          </cell>
        </row>
        <row r="2182">
          <cell r="A2182">
            <v>46609</v>
          </cell>
          <cell r="B2182">
            <v>2.2917075247000001</v>
          </cell>
          <cell r="C2182">
            <v>2.2911434394999999</v>
          </cell>
          <cell r="D2182">
            <v>2.2922717489000002</v>
          </cell>
        </row>
        <row r="2183">
          <cell r="A2183">
            <v>46610</v>
          </cell>
          <cell r="B2183">
            <v>2.2926286637</v>
          </cell>
          <cell r="C2183">
            <v>2.2920643518000001</v>
          </cell>
          <cell r="D2183">
            <v>2.2931931147000002</v>
          </cell>
        </row>
        <row r="2184">
          <cell r="A2184">
            <v>46611</v>
          </cell>
          <cell r="B2184">
            <v>2.2935501728999999</v>
          </cell>
          <cell r="C2184">
            <v>2.2929856340999999</v>
          </cell>
          <cell r="D2184">
            <v>2.2941148507000002</v>
          </cell>
        </row>
        <row r="2185">
          <cell r="A2185">
            <v>46612</v>
          </cell>
          <cell r="B2185">
            <v>2.2944720525000002</v>
          </cell>
          <cell r="C2185">
            <v>2.2939072868000001</v>
          </cell>
          <cell r="D2185">
            <v>2.2950369572999998</v>
          </cell>
        </row>
        <row r="2186">
          <cell r="A2186">
            <v>46615</v>
          </cell>
          <cell r="B2186">
            <v>2.2953943026000001</v>
          </cell>
          <cell r="C2186">
            <v>2.2948293099999999</v>
          </cell>
          <cell r="D2186">
            <v>2.2959594344999998</v>
          </cell>
        </row>
        <row r="2187">
          <cell r="A2187">
            <v>46616</v>
          </cell>
          <cell r="B2187">
            <v>2.2963169234</v>
          </cell>
          <cell r="C2187">
            <v>2.2957517036000001</v>
          </cell>
          <cell r="D2187">
            <v>2.2968822823999999</v>
          </cell>
        </row>
        <row r="2188">
          <cell r="A2188">
            <v>46617</v>
          </cell>
          <cell r="B2188">
            <v>2.297239915</v>
          </cell>
          <cell r="C2188">
            <v>2.2966744681</v>
          </cell>
          <cell r="D2188">
            <v>2.2978055013000001</v>
          </cell>
        </row>
        <row r="2189">
          <cell r="A2189">
            <v>46618</v>
          </cell>
          <cell r="B2189">
            <v>2.2981632777000001</v>
          </cell>
          <cell r="C2189">
            <v>2.2975976034999999</v>
          </cell>
          <cell r="D2189">
            <v>2.2987290912999998</v>
          </cell>
        </row>
        <row r="2190">
          <cell r="A2190">
            <v>46619</v>
          </cell>
          <cell r="B2190">
            <v>2.2990870115000002</v>
          </cell>
          <cell r="C2190">
            <v>2.2985211098999998</v>
          </cell>
          <cell r="D2190">
            <v>2.2996530525000001</v>
          </cell>
        </row>
        <row r="2191">
          <cell r="A2191">
            <v>46622</v>
          </cell>
          <cell r="B2191">
            <v>2.3000111165999999</v>
          </cell>
          <cell r="C2191">
            <v>2.2994449874999998</v>
          </cell>
          <cell r="D2191">
            <v>2.3005773851</v>
          </cell>
        </row>
        <row r="2192">
          <cell r="A2192">
            <v>46623</v>
          </cell>
          <cell r="B2192">
            <v>2.3009355932000002</v>
          </cell>
          <cell r="C2192">
            <v>2.3003692364999999</v>
          </cell>
          <cell r="D2192">
            <v>2.3015020893</v>
          </cell>
        </row>
        <row r="2193">
          <cell r="A2193">
            <v>46624</v>
          </cell>
          <cell r="B2193">
            <v>2.3018604413000001</v>
          </cell>
          <cell r="C2193">
            <v>2.3012938570000001</v>
          </cell>
          <cell r="D2193">
            <v>2.3024271651000001</v>
          </cell>
        </row>
        <row r="2194">
          <cell r="A2194">
            <v>46625</v>
          </cell>
          <cell r="B2194">
            <v>2.3027856611000002</v>
          </cell>
          <cell r="C2194">
            <v>2.3022188491</v>
          </cell>
          <cell r="D2194">
            <v>2.3033526126999999</v>
          </cell>
        </row>
        <row r="2195">
          <cell r="A2195">
            <v>46626</v>
          </cell>
          <cell r="B2195">
            <v>2.3037112527999999</v>
          </cell>
          <cell r="C2195">
            <v>2.3031442129999999</v>
          </cell>
          <cell r="D2195">
            <v>2.3042784322999998</v>
          </cell>
        </row>
        <row r="2196">
          <cell r="A2196">
            <v>46629</v>
          </cell>
          <cell r="B2196">
            <v>2.3046372165000002</v>
          </cell>
          <cell r="C2196">
            <v>2.3040699488</v>
          </cell>
          <cell r="D2196">
            <v>2.3052046239999999</v>
          </cell>
        </row>
        <row r="2197">
          <cell r="A2197">
            <v>46630</v>
          </cell>
          <cell r="B2197">
            <v>2.3055635524999998</v>
          </cell>
          <cell r="C2197">
            <v>2.3049960567999999</v>
          </cell>
          <cell r="D2197">
            <v>2.3061311881000002</v>
          </cell>
        </row>
        <row r="2198">
          <cell r="A2198">
            <v>46631</v>
          </cell>
          <cell r="B2198">
            <v>2.3064902608</v>
          </cell>
          <cell r="C2198">
            <v>2.3059225368999998</v>
          </cell>
          <cell r="D2198">
            <v>2.3070581245000001</v>
          </cell>
        </row>
        <row r="2199">
          <cell r="A2199">
            <v>46632</v>
          </cell>
          <cell r="B2199">
            <v>2.3074173414999999</v>
          </cell>
          <cell r="C2199">
            <v>2.3068493895</v>
          </cell>
          <cell r="D2199">
            <v>2.3079854334999998</v>
          </cell>
        </row>
        <row r="2200">
          <cell r="A2200">
            <v>46633</v>
          </cell>
          <cell r="B2200">
            <v>2.308344795</v>
          </cell>
          <cell r="C2200">
            <v>2.3077766146999998</v>
          </cell>
          <cell r="D2200">
            <v>2.3089131153000002</v>
          </cell>
        </row>
        <row r="2201">
          <cell r="A2201">
            <v>46636</v>
          </cell>
          <cell r="B2201">
            <v>2.3092726211999999</v>
          </cell>
          <cell r="C2201">
            <v>2.3087042123999999</v>
          </cell>
          <cell r="D2201">
            <v>2.3098411698999999</v>
          </cell>
        </row>
        <row r="2202">
          <cell r="A2202">
            <v>46638</v>
          </cell>
          <cell r="B2202">
            <v>2.3102008203</v>
          </cell>
          <cell r="C2202">
            <v>2.3096321832000002</v>
          </cell>
          <cell r="D2202">
            <v>2.3107695975999998</v>
          </cell>
        </row>
        <row r="2203">
          <cell r="A2203">
            <v>46639</v>
          </cell>
          <cell r="B2203">
            <v>2.3111293924999998</v>
          </cell>
          <cell r="C2203">
            <v>2.3105605267999998</v>
          </cell>
          <cell r="D2203">
            <v>2.3116983983999999</v>
          </cell>
        </row>
        <row r="2204">
          <cell r="A2204">
            <v>46640</v>
          </cell>
          <cell r="B2204">
            <v>2.3120583378999999</v>
          </cell>
          <cell r="C2204">
            <v>2.3114892435000001</v>
          </cell>
          <cell r="D2204">
            <v>2.3126275724999998</v>
          </cell>
        </row>
        <row r="2205">
          <cell r="A2205">
            <v>46643</v>
          </cell>
          <cell r="B2205">
            <v>2.3129876567999998</v>
          </cell>
          <cell r="C2205">
            <v>2.3124183337000002</v>
          </cell>
          <cell r="D2205">
            <v>2.3135571202</v>
          </cell>
        </row>
        <row r="2206">
          <cell r="A2206">
            <v>46644</v>
          </cell>
          <cell r="B2206">
            <v>2.3139173491</v>
          </cell>
          <cell r="C2206">
            <v>2.3133477971</v>
          </cell>
          <cell r="D2206">
            <v>2.3144870414000001</v>
          </cell>
        </row>
        <row r="2207">
          <cell r="A2207">
            <v>46645</v>
          </cell>
          <cell r="B2207">
            <v>2.3148474152</v>
          </cell>
          <cell r="C2207">
            <v>2.3142776343000002</v>
          </cell>
          <cell r="D2207">
            <v>2.3154173364999999</v>
          </cell>
        </row>
        <row r="2208">
          <cell r="A2208">
            <v>46646</v>
          </cell>
          <cell r="B2208">
            <v>2.3157778550999999</v>
          </cell>
          <cell r="C2208">
            <v>2.3152078451000002</v>
          </cell>
          <cell r="D2208">
            <v>2.3163480054000001</v>
          </cell>
        </row>
        <row r="2209">
          <cell r="A2209">
            <v>46647</v>
          </cell>
          <cell r="B2209">
            <v>2.3167086690000001</v>
          </cell>
          <cell r="C2209">
            <v>2.3161384299000001</v>
          </cell>
          <cell r="D2209">
            <v>2.3172790485000001</v>
          </cell>
        </row>
        <row r="2210">
          <cell r="A2210">
            <v>46650</v>
          </cell>
          <cell r="B2210">
            <v>2.3176398569000001</v>
          </cell>
          <cell r="C2210">
            <v>2.3170693886999998</v>
          </cell>
          <cell r="D2210">
            <v>2.3182104657</v>
          </cell>
        </row>
        <row r="2211">
          <cell r="A2211">
            <v>46651</v>
          </cell>
          <cell r="B2211">
            <v>2.3185714193</v>
          </cell>
          <cell r="C2211">
            <v>2.3180007216999998</v>
          </cell>
          <cell r="D2211">
            <v>2.3191422573999998</v>
          </cell>
        </row>
        <row r="2212">
          <cell r="A2212">
            <v>46652</v>
          </cell>
          <cell r="B2212">
            <v>2.3195033559999998</v>
          </cell>
          <cell r="C2212">
            <v>2.3189324291000002</v>
          </cell>
          <cell r="D2212">
            <v>2.3200744235999999</v>
          </cell>
        </row>
        <row r="2213">
          <cell r="A2213">
            <v>46653</v>
          </cell>
          <cell r="B2213">
            <v>2.3204356672999999</v>
          </cell>
          <cell r="C2213">
            <v>2.3198645109</v>
          </cell>
          <cell r="D2213">
            <v>2.3210069644</v>
          </cell>
        </row>
        <row r="2214">
          <cell r="A2214">
            <v>46654</v>
          </cell>
          <cell r="B2214">
            <v>2.3213683534</v>
          </cell>
          <cell r="C2214">
            <v>2.3207969674000002</v>
          </cell>
          <cell r="D2214">
            <v>2.3219398801</v>
          </cell>
        </row>
        <row r="2215">
          <cell r="A2215">
            <v>46657</v>
          </cell>
          <cell r="B2215">
            <v>2.3223014142</v>
          </cell>
          <cell r="C2215">
            <v>2.3217297985999998</v>
          </cell>
          <cell r="D2215">
            <v>2.3228731706999999</v>
          </cell>
        </row>
        <row r="2216">
          <cell r="A2216">
            <v>46658</v>
          </cell>
          <cell r="B2216">
            <v>2.3232348502</v>
          </cell>
          <cell r="C2216">
            <v>2.3226630047999999</v>
          </cell>
          <cell r="D2216">
            <v>2.3238068365000002</v>
          </cell>
        </row>
        <row r="2217">
          <cell r="A2217">
            <v>46659</v>
          </cell>
          <cell r="B2217">
            <v>2.3241686613999999</v>
          </cell>
          <cell r="C2217">
            <v>2.3235965861999999</v>
          </cell>
          <cell r="D2217">
            <v>2.3247408776</v>
          </cell>
        </row>
        <row r="2218">
          <cell r="A2218">
            <v>46660</v>
          </cell>
          <cell r="B2218">
            <v>2.3251028479000002</v>
          </cell>
          <cell r="C2218">
            <v>2.3245305426999998</v>
          </cell>
          <cell r="D2218">
            <v>2.3256752940999998</v>
          </cell>
        </row>
        <row r="2219">
          <cell r="A2219">
            <v>46661</v>
          </cell>
          <cell r="B2219">
            <v>2.3260374099000001</v>
          </cell>
          <cell r="C2219">
            <v>2.3254648747000002</v>
          </cell>
          <cell r="D2219">
            <v>2.3266100862000001</v>
          </cell>
        </row>
        <row r="2220">
          <cell r="A2220">
            <v>46664</v>
          </cell>
          <cell r="B2220">
            <v>2.3269723474999999</v>
          </cell>
          <cell r="C2220">
            <v>2.3263995822000001</v>
          </cell>
          <cell r="D2220">
            <v>2.3275452539999999</v>
          </cell>
        </row>
        <row r="2221">
          <cell r="A2221">
            <v>46665</v>
          </cell>
          <cell r="B2221">
            <v>2.3279076609999998</v>
          </cell>
          <cell r="C2221">
            <v>2.3273346654</v>
          </cell>
          <cell r="D2221">
            <v>2.3284807977000002</v>
          </cell>
        </row>
        <row r="2222">
          <cell r="A2222">
            <v>46666</v>
          </cell>
          <cell r="B2222">
            <v>2.3288433504000001</v>
          </cell>
          <cell r="C2222">
            <v>2.3282701244999999</v>
          </cell>
          <cell r="D2222">
            <v>2.3294167175</v>
          </cell>
        </row>
        <row r="2223">
          <cell r="A2223">
            <v>46667</v>
          </cell>
          <cell r="B2223">
            <v>2.3297794158</v>
          </cell>
          <cell r="C2223">
            <v>2.3292059594999999</v>
          </cell>
          <cell r="D2223">
            <v>2.3303530133999999</v>
          </cell>
        </row>
        <row r="2224">
          <cell r="A2224">
            <v>46668</v>
          </cell>
          <cell r="B2224">
            <v>2.3307158576</v>
          </cell>
          <cell r="C2224">
            <v>2.3301421707999999</v>
          </cell>
          <cell r="D2224">
            <v>2.3312896856999998</v>
          </cell>
        </row>
        <row r="2225">
          <cell r="A2225">
            <v>46671</v>
          </cell>
          <cell r="B2225">
            <v>2.3316526757</v>
          </cell>
          <cell r="C2225">
            <v>2.3310787583999999</v>
          </cell>
          <cell r="D2225">
            <v>2.3322267344999998</v>
          </cell>
        </row>
        <row r="2226">
          <cell r="A2226">
            <v>46673</v>
          </cell>
          <cell r="B2226">
            <v>2.3325898704000001</v>
          </cell>
          <cell r="C2226">
            <v>2.3320157223</v>
          </cell>
          <cell r="D2226">
            <v>2.3331641598999999</v>
          </cell>
        </row>
        <row r="2227">
          <cell r="A2227">
            <v>46674</v>
          </cell>
          <cell r="B2227">
            <v>2.3335274417999998</v>
          </cell>
          <cell r="C2227">
            <v>2.3329530629000002</v>
          </cell>
          <cell r="D2227">
            <v>2.3341019621000001</v>
          </cell>
        </row>
        <row r="2228">
          <cell r="A2228">
            <v>46675</v>
          </cell>
          <cell r="B2228">
            <v>2.3344653899000001</v>
          </cell>
          <cell r="C2228">
            <v>2.3338907802</v>
          </cell>
          <cell r="D2228">
            <v>2.3350401411999999</v>
          </cell>
        </row>
        <row r="2229">
          <cell r="A2229">
            <v>46678</v>
          </cell>
          <cell r="B2229">
            <v>2.3354037151</v>
          </cell>
          <cell r="C2229">
            <v>2.3348288743999999</v>
          </cell>
          <cell r="D2229">
            <v>2.3359786973999999</v>
          </cell>
        </row>
        <row r="2230">
          <cell r="A2230">
            <v>46679</v>
          </cell>
          <cell r="B2230">
            <v>2.3363424175</v>
          </cell>
          <cell r="C2230">
            <v>2.3357673457999999</v>
          </cell>
          <cell r="D2230">
            <v>2.3369176308999999</v>
          </cell>
        </row>
        <row r="2231">
          <cell r="A2231">
            <v>46680</v>
          </cell>
          <cell r="B2231">
            <v>2.3372814971999998</v>
          </cell>
          <cell r="C2231">
            <v>2.3367061943</v>
          </cell>
          <cell r="D2231">
            <v>2.3378569418000001</v>
          </cell>
        </row>
        <row r="2232">
          <cell r="A2232">
            <v>46681</v>
          </cell>
          <cell r="B2232">
            <v>2.3382209543000001</v>
          </cell>
          <cell r="C2232">
            <v>2.3376454201999999</v>
          </cell>
          <cell r="D2232">
            <v>2.3387966302000001</v>
          </cell>
        </row>
        <row r="2233">
          <cell r="A2233">
            <v>46682</v>
          </cell>
          <cell r="B2233">
            <v>2.3391607891000001</v>
          </cell>
          <cell r="C2233">
            <v>2.3385850236999999</v>
          </cell>
          <cell r="D2233">
            <v>2.3397366964000001</v>
          </cell>
        </row>
        <row r="2234">
          <cell r="A2234">
            <v>46685</v>
          </cell>
          <cell r="B2234">
            <v>2.3401010015999999</v>
          </cell>
          <cell r="C2234">
            <v>2.3395250048</v>
          </cell>
          <cell r="D2234">
            <v>2.3406771404</v>
          </cell>
        </row>
        <row r="2235">
          <cell r="A2235">
            <v>46686</v>
          </cell>
          <cell r="B2235">
            <v>2.3410415920999998</v>
          </cell>
          <cell r="C2235">
            <v>2.3404653636999999</v>
          </cell>
          <cell r="D2235">
            <v>2.3416179624</v>
          </cell>
        </row>
        <row r="2236">
          <cell r="A2236">
            <v>46687</v>
          </cell>
          <cell r="B2236">
            <v>2.3419825605</v>
          </cell>
          <cell r="C2236">
            <v>2.3414061005</v>
          </cell>
          <cell r="D2236">
            <v>2.3425591625000002</v>
          </cell>
        </row>
        <row r="2237">
          <cell r="A2237">
            <v>46688</v>
          </cell>
          <cell r="B2237">
            <v>2.3429239071999999</v>
          </cell>
          <cell r="C2237">
            <v>2.3423472154999998</v>
          </cell>
          <cell r="D2237">
            <v>2.3435007410000002</v>
          </cell>
        </row>
        <row r="2238">
          <cell r="A2238">
            <v>46689</v>
          </cell>
          <cell r="B2238">
            <v>2.3438656323</v>
          </cell>
          <cell r="C2238">
            <v>2.3432887087999998</v>
          </cell>
          <cell r="D2238">
            <v>2.3444426978999999</v>
          </cell>
        </row>
        <row r="2239">
          <cell r="A2239">
            <v>46692</v>
          </cell>
          <cell r="B2239">
            <v>2.3448077358999999</v>
          </cell>
          <cell r="C2239">
            <v>2.3442305805000001</v>
          </cell>
          <cell r="D2239">
            <v>2.3453850334999999</v>
          </cell>
        </row>
        <row r="2240">
          <cell r="A2240">
            <v>46694</v>
          </cell>
          <cell r="B2240">
            <v>2.3457502182000001</v>
          </cell>
          <cell r="C2240">
            <v>2.3451728308000002</v>
          </cell>
          <cell r="D2240">
            <v>2.3463277478000002</v>
          </cell>
        </row>
        <row r="2241">
          <cell r="A2241">
            <v>46695</v>
          </cell>
          <cell r="B2241">
            <v>2.3466930792</v>
          </cell>
          <cell r="C2241">
            <v>2.3461154598</v>
          </cell>
          <cell r="D2241">
            <v>2.3472708409999998</v>
          </cell>
        </row>
        <row r="2242">
          <cell r="A2242">
            <v>46696</v>
          </cell>
          <cell r="B2242">
            <v>2.3476363192999998</v>
          </cell>
          <cell r="C2242">
            <v>2.3470584677000002</v>
          </cell>
          <cell r="D2242">
            <v>2.3482143133000002</v>
          </cell>
        </row>
        <row r="2243">
          <cell r="A2243">
            <v>46699</v>
          </cell>
          <cell r="B2243">
            <v>2.3485799384999999</v>
          </cell>
          <cell r="C2243">
            <v>2.3480018546000001</v>
          </cell>
          <cell r="D2243">
            <v>2.3491581647999999</v>
          </cell>
        </row>
        <row r="2244">
          <cell r="A2244">
            <v>46700</v>
          </cell>
          <cell r="B2244">
            <v>2.3495239369999998</v>
          </cell>
          <cell r="C2244">
            <v>2.3489456206999999</v>
          </cell>
          <cell r="D2244">
            <v>2.3501023957</v>
          </cell>
        </row>
        <row r="2245">
          <cell r="A2245">
            <v>46701</v>
          </cell>
          <cell r="B2245">
            <v>2.3504683149000001</v>
          </cell>
          <cell r="C2245">
            <v>2.3498897662</v>
          </cell>
          <cell r="D2245">
            <v>2.3510470060999999</v>
          </cell>
        </row>
        <row r="2246">
          <cell r="A2246">
            <v>46702</v>
          </cell>
          <cell r="B2246">
            <v>2.3514130724000002</v>
          </cell>
          <cell r="C2246">
            <v>2.3508342911</v>
          </cell>
          <cell r="D2246">
            <v>2.3519919962000002</v>
          </cell>
        </row>
        <row r="2247">
          <cell r="A2247">
            <v>46703</v>
          </cell>
          <cell r="B2247">
            <v>2.3523582097000002</v>
          </cell>
          <cell r="C2247">
            <v>2.3517791957999998</v>
          </cell>
          <cell r="D2247">
            <v>2.3529373661999999</v>
          </cell>
        </row>
        <row r="2248">
          <cell r="A2248">
            <v>46707</v>
          </cell>
          <cell r="B2248">
            <v>2.3533037268000001</v>
          </cell>
          <cell r="C2248">
            <v>2.3527244802</v>
          </cell>
          <cell r="D2248">
            <v>2.3538831161</v>
          </cell>
        </row>
        <row r="2249">
          <cell r="A2249">
            <v>46708</v>
          </cell>
          <cell r="B2249">
            <v>2.3542496239999999</v>
          </cell>
          <cell r="C2249">
            <v>2.3536701446000001</v>
          </cell>
          <cell r="D2249">
            <v>2.3548292462</v>
          </cell>
        </row>
        <row r="2250">
          <cell r="A2250">
            <v>46709</v>
          </cell>
          <cell r="B2250">
            <v>2.3551959013000001</v>
          </cell>
          <cell r="C2250">
            <v>2.3546161890000001</v>
          </cell>
          <cell r="D2250">
            <v>2.3557757564999999</v>
          </cell>
        </row>
        <row r="2251">
          <cell r="A2251">
            <v>46710</v>
          </cell>
          <cell r="B2251">
            <v>2.3561425590999998</v>
          </cell>
          <cell r="C2251">
            <v>2.3555626137000001</v>
          </cell>
          <cell r="D2251">
            <v>2.3567226472999998</v>
          </cell>
        </row>
        <row r="2252">
          <cell r="A2252">
            <v>46713</v>
          </cell>
          <cell r="B2252">
            <v>2.3570895972999999</v>
          </cell>
          <cell r="C2252">
            <v>2.3565094188</v>
          </cell>
          <cell r="D2252">
            <v>2.3576699187000001</v>
          </cell>
        </row>
        <row r="2253">
          <cell r="A2253">
            <v>46714</v>
          </cell>
          <cell r="B2253">
            <v>2.3580370161999999</v>
          </cell>
          <cell r="C2253">
            <v>2.3574566045999998</v>
          </cell>
          <cell r="D2253">
            <v>2.3586175708999999</v>
          </cell>
        </row>
        <row r="2254">
          <cell r="A2254">
            <v>46715</v>
          </cell>
          <cell r="B2254">
            <v>2.3589848159</v>
          </cell>
          <cell r="C2254">
            <v>2.3584041709000001</v>
          </cell>
          <cell r="D2254">
            <v>2.3595656039000001</v>
          </cell>
        </row>
        <row r="2255">
          <cell r="A2255">
            <v>46716</v>
          </cell>
          <cell r="B2255">
            <v>2.3599329965</v>
          </cell>
          <cell r="C2255">
            <v>2.3593521181999999</v>
          </cell>
          <cell r="D2255">
            <v>2.3605140179999999</v>
          </cell>
        </row>
        <row r="2256">
          <cell r="A2256">
            <v>46717</v>
          </cell>
          <cell r="B2256">
            <v>2.3608815583</v>
          </cell>
          <cell r="C2256">
            <v>2.3603004465000001</v>
          </cell>
          <cell r="D2256">
            <v>2.3614628133000002</v>
          </cell>
        </row>
        <row r="2257">
          <cell r="A2257">
            <v>46720</v>
          </cell>
          <cell r="B2257">
            <v>2.3618305014000001</v>
          </cell>
          <cell r="C2257">
            <v>2.361249156</v>
          </cell>
          <cell r="D2257">
            <v>2.36241199</v>
          </cell>
        </row>
        <row r="2258">
          <cell r="A2258">
            <v>46721</v>
          </cell>
          <cell r="B2258">
            <v>2.3627798258000001</v>
          </cell>
          <cell r="C2258">
            <v>2.3621982467999998</v>
          </cell>
          <cell r="D2258">
            <v>2.3633615481999999</v>
          </cell>
        </row>
        <row r="2259">
          <cell r="A2259">
            <v>46722</v>
          </cell>
          <cell r="B2259">
            <v>2.3637295318999998</v>
          </cell>
          <cell r="C2259">
            <v>2.3631477191000001</v>
          </cell>
          <cell r="D2259">
            <v>2.3643114880999998</v>
          </cell>
        </row>
        <row r="2260">
          <cell r="A2260">
            <v>46723</v>
          </cell>
          <cell r="B2260">
            <v>2.3646796197</v>
          </cell>
          <cell r="C2260">
            <v>2.364097573</v>
          </cell>
          <cell r="D2260">
            <v>2.3652618097999998</v>
          </cell>
        </row>
        <row r="2261">
          <cell r="A2261">
            <v>46724</v>
          </cell>
          <cell r="B2261">
            <v>2.3656300894000002</v>
          </cell>
          <cell r="C2261">
            <v>2.3650478088</v>
          </cell>
          <cell r="D2261">
            <v>2.3662125134999998</v>
          </cell>
        </row>
        <row r="2262">
          <cell r="A2262">
            <v>46727</v>
          </cell>
          <cell r="B2262">
            <v>2.366580941</v>
          </cell>
          <cell r="C2262">
            <v>2.3659984263</v>
          </cell>
          <cell r="D2262">
            <v>2.3671635992</v>
          </cell>
        </row>
        <row r="2263">
          <cell r="A2263">
            <v>46728</v>
          </cell>
          <cell r="B2263">
            <v>2.3675321749</v>
          </cell>
          <cell r="C2263">
            <v>2.3669494261000001</v>
          </cell>
          <cell r="D2263">
            <v>2.3681150673000002</v>
          </cell>
        </row>
        <row r="2264">
          <cell r="A2264">
            <v>46729</v>
          </cell>
          <cell r="B2264">
            <v>2.3684837911000001</v>
          </cell>
          <cell r="C2264">
            <v>2.3679008080999999</v>
          </cell>
          <cell r="D2264">
            <v>2.3690669178000001</v>
          </cell>
        </row>
        <row r="2265">
          <cell r="A2265">
            <v>46730</v>
          </cell>
          <cell r="B2265">
            <v>2.3694357898999998</v>
          </cell>
          <cell r="C2265">
            <v>2.3688525724999998</v>
          </cell>
          <cell r="D2265">
            <v>2.3700191510000002</v>
          </cell>
        </row>
        <row r="2266">
          <cell r="A2266">
            <v>46731</v>
          </cell>
          <cell r="B2266">
            <v>2.3703881713000001</v>
          </cell>
          <cell r="C2266">
            <v>2.3698047193999998</v>
          </cell>
          <cell r="D2266">
            <v>2.3709717667999999</v>
          </cell>
        </row>
        <row r="2267">
          <cell r="A2267">
            <v>46734</v>
          </cell>
          <cell r="B2267">
            <v>2.3713409355000001</v>
          </cell>
          <cell r="C2267">
            <v>2.3707572492</v>
          </cell>
          <cell r="D2267">
            <v>2.3719247656000002</v>
          </cell>
        </row>
        <row r="2268">
          <cell r="A2268">
            <v>46735</v>
          </cell>
          <cell r="B2268">
            <v>2.3722940825999999</v>
          </cell>
          <cell r="C2268">
            <v>2.3717101616999998</v>
          </cell>
          <cell r="D2268">
            <v>2.3728781473999998</v>
          </cell>
        </row>
        <row r="2269">
          <cell r="A2269">
            <v>46736</v>
          </cell>
          <cell r="B2269">
            <v>2.3732476129000002</v>
          </cell>
          <cell r="C2269">
            <v>2.3726634571999998</v>
          </cell>
          <cell r="D2269">
            <v>2.3738319124</v>
          </cell>
        </row>
        <row r="2270">
          <cell r="A2270">
            <v>46737</v>
          </cell>
          <cell r="B2270">
            <v>2.3742015262999998</v>
          </cell>
          <cell r="C2270">
            <v>2.3736171359</v>
          </cell>
          <cell r="D2270">
            <v>2.3747860607</v>
          </cell>
        </row>
        <row r="2271">
          <cell r="A2271">
            <v>46738</v>
          </cell>
          <cell r="B2271">
            <v>2.3751558232000001</v>
          </cell>
          <cell r="C2271">
            <v>2.3745711978999999</v>
          </cell>
          <cell r="D2271">
            <v>2.3757405926000001</v>
          </cell>
        </row>
        <row r="2272">
          <cell r="A2272">
            <v>46741</v>
          </cell>
          <cell r="B2272">
            <v>2.3761105038000001</v>
          </cell>
          <cell r="C2272">
            <v>2.3755256435000001</v>
          </cell>
          <cell r="D2272">
            <v>2.3766955082000001</v>
          </cell>
        </row>
        <row r="2273">
          <cell r="A2273">
            <v>46742</v>
          </cell>
          <cell r="B2273">
            <v>2.3770655680999999</v>
          </cell>
          <cell r="C2273">
            <v>2.3764804727</v>
          </cell>
          <cell r="D2273">
            <v>2.3776508075999998</v>
          </cell>
        </row>
        <row r="2274">
          <cell r="A2274">
            <v>46743</v>
          </cell>
          <cell r="B2274">
            <v>2.3780210160999999</v>
          </cell>
          <cell r="C2274">
            <v>2.3774356856000001</v>
          </cell>
          <cell r="D2274">
            <v>2.3786064909000002</v>
          </cell>
        </row>
        <row r="2275">
          <cell r="A2275">
            <v>46744</v>
          </cell>
          <cell r="B2275">
            <v>2.3789768482999998</v>
          </cell>
          <cell r="C2275">
            <v>2.3783912825</v>
          </cell>
          <cell r="D2275">
            <v>2.3795625584</v>
          </cell>
        </row>
        <row r="2276">
          <cell r="A2276">
            <v>46745</v>
          </cell>
          <cell r="B2276">
            <v>2.3799330646999999</v>
          </cell>
          <cell r="C2276">
            <v>2.3793472635000001</v>
          </cell>
          <cell r="D2276">
            <v>2.3805190102</v>
          </cell>
        </row>
        <row r="2277">
          <cell r="A2277">
            <v>46748</v>
          </cell>
          <cell r="B2277">
            <v>2.3808896653999998</v>
          </cell>
          <cell r="C2277">
            <v>2.3803036287000001</v>
          </cell>
          <cell r="D2277">
            <v>2.3814758463999999</v>
          </cell>
        </row>
        <row r="2278">
          <cell r="A2278">
            <v>46749</v>
          </cell>
          <cell r="B2278">
            <v>2.3818466506</v>
          </cell>
          <cell r="C2278">
            <v>2.3812603782999999</v>
          </cell>
          <cell r="D2278">
            <v>2.3824330672</v>
          </cell>
        </row>
        <row r="2279">
          <cell r="A2279">
            <v>46750</v>
          </cell>
          <cell r="B2279">
            <v>2.3828040204000001</v>
          </cell>
          <cell r="C2279">
            <v>2.3822175126</v>
          </cell>
          <cell r="D2279">
            <v>2.3833906728000001</v>
          </cell>
        </row>
        <row r="2280">
          <cell r="A2280">
            <v>46751</v>
          </cell>
          <cell r="B2280">
            <v>2.383761775</v>
          </cell>
          <cell r="C2280">
            <v>2.3831750314</v>
          </cell>
          <cell r="D2280">
            <v>2.3843486631999999</v>
          </cell>
        </row>
        <row r="2281">
          <cell r="A2281">
            <v>46752</v>
          </cell>
          <cell r="B2281">
            <v>2.3847199146000002</v>
          </cell>
          <cell r="C2281">
            <v>2.3841329351999998</v>
          </cell>
          <cell r="D2281">
            <v>2.3853070387000002</v>
          </cell>
        </row>
        <row r="2282">
          <cell r="A2282">
            <v>46755</v>
          </cell>
          <cell r="B2282">
            <v>2.3856784394999999</v>
          </cell>
          <cell r="C2282">
            <v>2.3850912241</v>
          </cell>
          <cell r="D2282">
            <v>2.3862657994999998</v>
          </cell>
        </row>
        <row r="2283">
          <cell r="A2283">
            <v>46756</v>
          </cell>
          <cell r="B2283">
            <v>2.3866759917000002</v>
          </cell>
          <cell r="C2283">
            <v>2.3860885306999999</v>
          </cell>
          <cell r="D2283">
            <v>2.3872635973</v>
          </cell>
        </row>
        <row r="2284">
          <cell r="A2284">
            <v>46757</v>
          </cell>
          <cell r="B2284">
            <v>2.3876739611</v>
          </cell>
          <cell r="C2284">
            <v>2.3870862544999998</v>
          </cell>
          <cell r="D2284">
            <v>2.3882618124000001</v>
          </cell>
        </row>
        <row r="2285">
          <cell r="A2285">
            <v>46758</v>
          </cell>
          <cell r="B2285">
            <v>2.3886723477</v>
          </cell>
          <cell r="C2285">
            <v>2.3880843953999999</v>
          </cell>
          <cell r="D2285">
            <v>2.3892604449000001</v>
          </cell>
        </row>
        <row r="2286">
          <cell r="A2286">
            <v>46759</v>
          </cell>
          <cell r="B2286">
            <v>2.3896711519</v>
          </cell>
          <cell r="C2286">
            <v>2.3890829538</v>
          </cell>
          <cell r="D2286">
            <v>2.390259495</v>
          </cell>
        </row>
        <row r="2287">
          <cell r="A2287">
            <v>46762</v>
          </cell>
          <cell r="B2287">
            <v>2.3906703736999999</v>
          </cell>
          <cell r="C2287">
            <v>2.3900819296</v>
          </cell>
          <cell r="D2287">
            <v>2.3912589627999998</v>
          </cell>
        </row>
        <row r="2288">
          <cell r="A2288">
            <v>46763</v>
          </cell>
          <cell r="B2288">
            <v>2.3916700133000002</v>
          </cell>
          <cell r="C2288">
            <v>2.3910813231999999</v>
          </cell>
          <cell r="D2288">
            <v>2.3922588485</v>
          </cell>
        </row>
        <row r="2289">
          <cell r="A2289">
            <v>46764</v>
          </cell>
          <cell r="B2289">
            <v>2.3926700708999999</v>
          </cell>
          <cell r="C2289">
            <v>2.3920811346000002</v>
          </cell>
          <cell r="D2289">
            <v>2.3932591523000002</v>
          </cell>
        </row>
        <row r="2290">
          <cell r="A2290">
            <v>46765</v>
          </cell>
          <cell r="B2290">
            <v>2.3936705467000001</v>
          </cell>
          <cell r="C2290">
            <v>2.3930813640999999</v>
          </cell>
          <cell r="D2290">
            <v>2.3942598743999999</v>
          </cell>
        </row>
        <row r="2291">
          <cell r="A2291">
            <v>46766</v>
          </cell>
          <cell r="B2291">
            <v>2.3946714407999998</v>
          </cell>
          <cell r="C2291">
            <v>2.3940820118000001</v>
          </cell>
          <cell r="D2291">
            <v>2.3952610149</v>
          </cell>
        </row>
        <row r="2292">
          <cell r="A2292">
            <v>46769</v>
          </cell>
          <cell r="B2292">
            <v>2.3956727534</v>
          </cell>
          <cell r="C2292">
            <v>2.3950830779999999</v>
          </cell>
          <cell r="D2292">
            <v>2.3962625741000001</v>
          </cell>
        </row>
        <row r="2293">
          <cell r="A2293">
            <v>46770</v>
          </cell>
          <cell r="B2293">
            <v>2.3966744847000001</v>
          </cell>
          <cell r="C2293">
            <v>2.3960845627</v>
          </cell>
          <cell r="D2293">
            <v>2.3972645520000002</v>
          </cell>
        </row>
        <row r="2294">
          <cell r="A2294">
            <v>46771</v>
          </cell>
          <cell r="B2294">
            <v>2.3976766348999998</v>
          </cell>
          <cell r="C2294">
            <v>2.3970864662000002</v>
          </cell>
          <cell r="D2294">
            <v>2.3982669488999999</v>
          </cell>
        </row>
        <row r="2295">
          <cell r="A2295">
            <v>46772</v>
          </cell>
          <cell r="B2295">
            <v>2.3986792041</v>
          </cell>
          <cell r="C2295">
            <v>2.3980887887</v>
          </cell>
          <cell r="D2295">
            <v>2.3992697650000001</v>
          </cell>
        </row>
        <row r="2296">
          <cell r="A2296">
            <v>46773</v>
          </cell>
          <cell r="B2296">
            <v>2.3996821925999998</v>
          </cell>
          <cell r="C2296">
            <v>2.3990915303000002</v>
          </cell>
          <cell r="D2296">
            <v>2.4002730003999999</v>
          </cell>
        </row>
        <row r="2297">
          <cell r="A2297">
            <v>46776</v>
          </cell>
          <cell r="B2297">
            <v>2.4006856004000001</v>
          </cell>
          <cell r="C2297">
            <v>2.4000946911000001</v>
          </cell>
          <cell r="D2297">
            <v>2.4012766552000002</v>
          </cell>
        </row>
        <row r="2298">
          <cell r="A2298">
            <v>46777</v>
          </cell>
          <cell r="B2298">
            <v>2.4016894278000001</v>
          </cell>
          <cell r="C2298">
            <v>2.4010982714</v>
          </cell>
          <cell r="D2298">
            <v>2.4022807298000002</v>
          </cell>
        </row>
        <row r="2299">
          <cell r="A2299">
            <v>46778</v>
          </cell>
          <cell r="B2299">
            <v>2.4026936750000001</v>
          </cell>
          <cell r="C2299">
            <v>2.4021022714</v>
          </cell>
          <cell r="D2299">
            <v>2.4032852241999998</v>
          </cell>
        </row>
        <row r="2300">
          <cell r="A2300">
            <v>46779</v>
          </cell>
          <cell r="B2300">
            <v>2.4036983420000002</v>
          </cell>
          <cell r="C2300">
            <v>2.4031066912000001</v>
          </cell>
          <cell r="D2300">
            <v>2.4042901386</v>
          </cell>
        </row>
        <row r="2301">
          <cell r="A2301">
            <v>46780</v>
          </cell>
          <cell r="B2301">
            <v>2.4047034292</v>
          </cell>
          <cell r="C2301">
            <v>2.4041115308999998</v>
          </cell>
          <cell r="D2301">
            <v>2.4052954731999998</v>
          </cell>
        </row>
        <row r="2302">
          <cell r="A2302">
            <v>46783</v>
          </cell>
          <cell r="B2302">
            <v>2.4057089366</v>
          </cell>
          <cell r="C2302">
            <v>2.4051167909000002</v>
          </cell>
          <cell r="D2302">
            <v>2.4063012281999998</v>
          </cell>
        </row>
        <row r="2303">
          <cell r="A2303">
            <v>46784</v>
          </cell>
          <cell r="B2303">
            <v>2.4067148644</v>
          </cell>
          <cell r="C2303">
            <v>2.4061224711000002</v>
          </cell>
          <cell r="D2303">
            <v>2.4073074037</v>
          </cell>
        </row>
        <row r="2304">
          <cell r="A2304">
            <v>46785</v>
          </cell>
          <cell r="B2304">
            <v>2.4077212128999999</v>
          </cell>
          <cell r="C2304">
            <v>2.4071285717999999</v>
          </cell>
          <cell r="D2304">
            <v>2.4083139998999998</v>
          </cell>
        </row>
        <row r="2305">
          <cell r="A2305">
            <v>46786</v>
          </cell>
          <cell r="B2305">
            <v>2.4087279821999998</v>
          </cell>
          <cell r="C2305">
            <v>2.4081350933999999</v>
          </cell>
          <cell r="D2305">
            <v>2.4093210170999999</v>
          </cell>
        </row>
        <row r="2306">
          <cell r="A2306">
            <v>46787</v>
          </cell>
          <cell r="B2306">
            <v>2.4097351724</v>
          </cell>
          <cell r="C2306">
            <v>2.4091420357</v>
          </cell>
          <cell r="D2306">
            <v>2.4103284553000002</v>
          </cell>
        </row>
        <row r="2307">
          <cell r="A2307">
            <v>46790</v>
          </cell>
          <cell r="B2307">
            <v>2.4107427838</v>
          </cell>
          <cell r="C2307">
            <v>2.4101493990999998</v>
          </cell>
          <cell r="D2307">
            <v>2.4113363148000002</v>
          </cell>
        </row>
        <row r="2308">
          <cell r="A2308">
            <v>46791</v>
          </cell>
          <cell r="B2308">
            <v>2.4117508166000001</v>
          </cell>
          <cell r="C2308">
            <v>2.4111571836999999</v>
          </cell>
          <cell r="D2308">
            <v>2.4123445957</v>
          </cell>
        </row>
        <row r="2309">
          <cell r="A2309">
            <v>46792</v>
          </cell>
          <cell r="B2309">
            <v>2.4127592708000001</v>
          </cell>
          <cell r="C2309">
            <v>2.4121653897000002</v>
          </cell>
          <cell r="D2309">
            <v>2.4133532982000001</v>
          </cell>
        </row>
        <row r="2310">
          <cell r="A2310">
            <v>46793</v>
          </cell>
          <cell r="B2310">
            <v>2.4137681466999998</v>
          </cell>
          <cell r="C2310">
            <v>2.4131740172999998</v>
          </cell>
          <cell r="D2310">
            <v>2.4143624225</v>
          </cell>
        </row>
        <row r="2311">
          <cell r="A2311">
            <v>46794</v>
          </cell>
          <cell r="B2311">
            <v>2.4147774444999999</v>
          </cell>
          <cell r="C2311">
            <v>2.4141830666000001</v>
          </cell>
          <cell r="D2311">
            <v>2.4153719688000002</v>
          </cell>
        </row>
        <row r="2312">
          <cell r="A2312">
            <v>46797</v>
          </cell>
          <cell r="B2312">
            <v>2.4157871642000002</v>
          </cell>
          <cell r="C2312">
            <v>2.4151925377999999</v>
          </cell>
          <cell r="D2312">
            <v>2.4163819371000002</v>
          </cell>
        </row>
        <row r="2313">
          <cell r="A2313">
            <v>46798</v>
          </cell>
          <cell r="B2313">
            <v>2.4167973061999999</v>
          </cell>
          <cell r="C2313">
            <v>2.4162024311999999</v>
          </cell>
          <cell r="D2313">
            <v>2.4173923278</v>
          </cell>
        </row>
        <row r="2314">
          <cell r="A2314">
            <v>46799</v>
          </cell>
          <cell r="B2314">
            <v>2.4178078705999999</v>
          </cell>
          <cell r="C2314">
            <v>2.4172127468000002</v>
          </cell>
          <cell r="D2314">
            <v>2.4184031410000002</v>
          </cell>
        </row>
        <row r="2315">
          <cell r="A2315">
            <v>46800</v>
          </cell>
          <cell r="B2315">
            <v>2.4188188575999998</v>
          </cell>
          <cell r="C2315">
            <v>2.418223485</v>
          </cell>
          <cell r="D2315">
            <v>2.4194143768999998</v>
          </cell>
        </row>
        <row r="2316">
          <cell r="A2316">
            <v>46801</v>
          </cell>
          <cell r="B2316">
            <v>2.4198302672000001</v>
          </cell>
          <cell r="C2316">
            <v>2.4192346456</v>
          </cell>
          <cell r="D2316">
            <v>2.4204260354999998</v>
          </cell>
        </row>
        <row r="2317">
          <cell r="A2317">
            <v>46804</v>
          </cell>
          <cell r="B2317">
            <v>2.4208420998000002</v>
          </cell>
          <cell r="C2317">
            <v>2.4202462291</v>
          </cell>
          <cell r="D2317">
            <v>2.4214381172000001</v>
          </cell>
        </row>
        <row r="2318">
          <cell r="A2318">
            <v>46805</v>
          </cell>
          <cell r="B2318">
            <v>2.4218543554999998</v>
          </cell>
          <cell r="C2318">
            <v>2.4212582356999999</v>
          </cell>
          <cell r="D2318">
            <v>2.4224506221</v>
          </cell>
        </row>
        <row r="2319">
          <cell r="A2319">
            <v>46806</v>
          </cell>
          <cell r="B2319">
            <v>2.4228670343999998</v>
          </cell>
          <cell r="C2319">
            <v>2.4222706654000001</v>
          </cell>
          <cell r="D2319">
            <v>2.4234635504000002</v>
          </cell>
        </row>
        <row r="2320">
          <cell r="A2320">
            <v>46807</v>
          </cell>
          <cell r="B2320">
            <v>2.4238801367999998</v>
          </cell>
          <cell r="C2320">
            <v>2.4232835183999999</v>
          </cell>
          <cell r="D2320">
            <v>2.4244769021999999</v>
          </cell>
        </row>
        <row r="2321">
          <cell r="A2321">
            <v>46808</v>
          </cell>
          <cell r="B2321">
            <v>2.4248936628000002</v>
          </cell>
          <cell r="C2321">
            <v>2.4242967949000001</v>
          </cell>
          <cell r="D2321">
            <v>2.4254906777</v>
          </cell>
        </row>
        <row r="2322">
          <cell r="A2322">
            <v>46813</v>
          </cell>
          <cell r="B2322">
            <v>2.4259076126000001</v>
          </cell>
          <cell r="C2322">
            <v>2.4253104952000002</v>
          </cell>
          <cell r="D2322">
            <v>2.4265048772000002</v>
          </cell>
        </row>
        <row r="2323">
          <cell r="A2323">
            <v>46814</v>
          </cell>
          <cell r="B2323">
            <v>2.4269219864</v>
          </cell>
          <cell r="C2323">
            <v>2.4263246191999999</v>
          </cell>
          <cell r="D2323">
            <v>2.4275195006999999</v>
          </cell>
        </row>
        <row r="2324">
          <cell r="A2324">
            <v>46815</v>
          </cell>
          <cell r="B2324">
            <v>2.4279367842999999</v>
          </cell>
          <cell r="C2324">
            <v>2.4273391674</v>
          </cell>
          <cell r="D2324">
            <v>2.4285345485000001</v>
          </cell>
        </row>
        <row r="2325">
          <cell r="A2325">
            <v>46818</v>
          </cell>
          <cell r="B2325">
            <v>2.4289520065999999</v>
          </cell>
          <cell r="C2325">
            <v>2.4283541398000001</v>
          </cell>
          <cell r="D2325">
            <v>2.4295500206999998</v>
          </cell>
        </row>
        <row r="2326">
          <cell r="A2326">
            <v>46819</v>
          </cell>
          <cell r="B2326">
            <v>2.4299676532999999</v>
          </cell>
          <cell r="C2326">
            <v>2.4293695364999999</v>
          </cell>
          <cell r="D2326">
            <v>2.4305659175000001</v>
          </cell>
        </row>
        <row r="2327">
          <cell r="A2327">
            <v>46820</v>
          </cell>
          <cell r="B2327">
            <v>2.4309837247999999</v>
          </cell>
          <cell r="C2327">
            <v>2.4303853579000001</v>
          </cell>
          <cell r="D2327">
            <v>2.4315822390999999</v>
          </cell>
        </row>
        <row r="2328">
          <cell r="A2328">
            <v>46821</v>
          </cell>
          <cell r="B2328">
            <v>2.4320002211</v>
          </cell>
          <cell r="C2328">
            <v>2.4314016039999999</v>
          </cell>
          <cell r="D2328">
            <v>2.4325989856999999</v>
          </cell>
        </row>
        <row r="2329">
          <cell r="A2329">
            <v>46822</v>
          </cell>
          <cell r="B2329">
            <v>2.4330171424000002</v>
          </cell>
          <cell r="C2329">
            <v>2.4324182749999999</v>
          </cell>
          <cell r="D2329">
            <v>2.4336161573999999</v>
          </cell>
        </row>
        <row r="2330">
          <cell r="A2330">
            <v>46825</v>
          </cell>
          <cell r="B2330">
            <v>2.4340344891000001</v>
          </cell>
          <cell r="C2330">
            <v>2.4334353711999999</v>
          </cell>
          <cell r="D2330">
            <v>2.4346337545000001</v>
          </cell>
        </row>
        <row r="2331">
          <cell r="A2331">
            <v>46826</v>
          </cell>
          <cell r="B2331">
            <v>2.4350522610000001</v>
          </cell>
          <cell r="C2331">
            <v>2.4344528926</v>
          </cell>
          <cell r="D2331">
            <v>2.4356517769999999</v>
          </cell>
        </row>
        <row r="2332">
          <cell r="A2332">
            <v>46827</v>
          </cell>
          <cell r="B2332">
            <v>2.4360704585000001</v>
          </cell>
          <cell r="C2332">
            <v>2.4354708395000002</v>
          </cell>
          <cell r="D2332">
            <v>2.4366702251999999</v>
          </cell>
        </row>
        <row r="2333">
          <cell r="A2333">
            <v>46828</v>
          </cell>
          <cell r="B2333">
            <v>2.4370890817999999</v>
          </cell>
          <cell r="C2333">
            <v>2.4364892121000001</v>
          </cell>
          <cell r="D2333">
            <v>2.4376890993</v>
          </cell>
        </row>
        <row r="2334">
          <cell r="A2334">
            <v>46829</v>
          </cell>
          <cell r="B2334">
            <v>2.4381081309999999</v>
          </cell>
          <cell r="C2334">
            <v>2.4375080105000002</v>
          </cell>
          <cell r="D2334">
            <v>2.4387083993999998</v>
          </cell>
        </row>
        <row r="2335">
          <cell r="A2335">
            <v>46832</v>
          </cell>
          <cell r="B2335">
            <v>2.4391276063</v>
          </cell>
          <cell r="C2335">
            <v>2.4385272349</v>
          </cell>
          <cell r="D2335">
            <v>2.4397281256999999</v>
          </cell>
        </row>
        <row r="2336">
          <cell r="A2336">
            <v>46833</v>
          </cell>
          <cell r="B2336">
            <v>2.4401475079999999</v>
          </cell>
          <cell r="C2336">
            <v>2.4395468855</v>
          </cell>
          <cell r="D2336">
            <v>2.4407482785000001</v>
          </cell>
        </row>
        <row r="2337">
          <cell r="A2337">
            <v>46834</v>
          </cell>
          <cell r="B2337">
            <v>2.441167836</v>
          </cell>
          <cell r="C2337">
            <v>2.4405669624000002</v>
          </cell>
          <cell r="D2337">
            <v>2.4417688577000001</v>
          </cell>
        </row>
        <row r="2338">
          <cell r="A2338">
            <v>46835</v>
          </cell>
          <cell r="B2338">
            <v>2.4421885907999998</v>
          </cell>
          <cell r="C2338">
            <v>2.4415874659000001</v>
          </cell>
          <cell r="D2338">
            <v>2.4427898637999998</v>
          </cell>
        </row>
        <row r="2339">
          <cell r="A2339">
            <v>46836</v>
          </cell>
          <cell r="B2339">
            <v>2.4432097722999999</v>
          </cell>
          <cell r="C2339">
            <v>2.4426083959999998</v>
          </cell>
          <cell r="D2339">
            <v>2.4438112966999999</v>
          </cell>
        </row>
        <row r="2340">
          <cell r="A2340">
            <v>46839</v>
          </cell>
          <cell r="B2340">
            <v>2.4442313808999998</v>
          </cell>
          <cell r="C2340">
            <v>2.4436297532000002</v>
          </cell>
          <cell r="D2340">
            <v>2.4448331568000001</v>
          </cell>
        </row>
        <row r="2341">
          <cell r="A2341">
            <v>46840</v>
          </cell>
          <cell r="B2341">
            <v>2.4452534164999999</v>
          </cell>
          <cell r="C2341">
            <v>2.4446515373</v>
          </cell>
          <cell r="D2341">
            <v>2.4458554441000002</v>
          </cell>
        </row>
        <row r="2342">
          <cell r="A2342">
            <v>46841</v>
          </cell>
          <cell r="B2342">
            <v>2.4462758795999999</v>
          </cell>
          <cell r="C2342">
            <v>2.4456737487</v>
          </cell>
          <cell r="D2342">
            <v>2.4468781589000002</v>
          </cell>
        </row>
        <row r="2343">
          <cell r="A2343">
            <v>46842</v>
          </cell>
          <cell r="B2343">
            <v>2.4472987703000002</v>
          </cell>
          <cell r="C2343">
            <v>2.4466963874999998</v>
          </cell>
          <cell r="D2343">
            <v>2.4479013014</v>
          </cell>
        </row>
        <row r="2344">
          <cell r="A2344">
            <v>46843</v>
          </cell>
          <cell r="B2344">
            <v>2.4483220884999999</v>
          </cell>
          <cell r="C2344">
            <v>2.4477194539</v>
          </cell>
          <cell r="D2344">
            <v>2.4489248716000001</v>
          </cell>
        </row>
        <row r="2345">
          <cell r="A2345">
            <v>46846</v>
          </cell>
          <cell r="B2345">
            <v>2.4493458347999999</v>
          </cell>
          <cell r="C2345">
            <v>2.4487429482</v>
          </cell>
          <cell r="D2345">
            <v>2.4499488699</v>
          </cell>
        </row>
        <row r="2346">
          <cell r="A2346">
            <v>46847</v>
          </cell>
          <cell r="B2346">
            <v>2.4503700089999998</v>
          </cell>
          <cell r="C2346">
            <v>2.4497668703</v>
          </cell>
          <cell r="D2346">
            <v>2.4509732962999999</v>
          </cell>
        </row>
        <row r="2347">
          <cell r="A2347">
            <v>46848</v>
          </cell>
          <cell r="B2347">
            <v>2.4513946116000001</v>
          </cell>
          <cell r="C2347">
            <v>2.4507912207000002</v>
          </cell>
          <cell r="D2347">
            <v>2.4519981511000002</v>
          </cell>
        </row>
        <row r="2348">
          <cell r="A2348">
            <v>46849</v>
          </cell>
          <cell r="B2348">
            <v>2.4524196425999998</v>
          </cell>
          <cell r="C2348">
            <v>2.4518159993999999</v>
          </cell>
          <cell r="D2348">
            <v>2.4530234344999999</v>
          </cell>
        </row>
        <row r="2349">
          <cell r="A2349">
            <v>46850</v>
          </cell>
          <cell r="B2349">
            <v>2.4534451020999999</v>
          </cell>
          <cell r="C2349">
            <v>2.4528412065</v>
          </cell>
          <cell r="D2349">
            <v>2.4540491465000001</v>
          </cell>
        </row>
        <row r="2350">
          <cell r="A2350">
            <v>46853</v>
          </cell>
          <cell r="B2350">
            <v>2.4544709904999999</v>
          </cell>
          <cell r="C2350">
            <v>2.4538668423000001</v>
          </cell>
          <cell r="D2350">
            <v>2.4550752874000001</v>
          </cell>
        </row>
        <row r="2351">
          <cell r="A2351">
            <v>46854</v>
          </cell>
          <cell r="B2351">
            <v>2.4554973078</v>
          </cell>
          <cell r="C2351">
            <v>2.4548929070000001</v>
          </cell>
          <cell r="D2351">
            <v>2.4561018574000002</v>
          </cell>
        </row>
        <row r="2352">
          <cell r="A2352">
            <v>46855</v>
          </cell>
          <cell r="B2352">
            <v>2.4565240543</v>
          </cell>
          <cell r="C2352">
            <v>2.4559194008</v>
          </cell>
          <cell r="D2352">
            <v>2.4571288566999998</v>
          </cell>
        </row>
        <row r="2353">
          <cell r="A2353">
            <v>46856</v>
          </cell>
          <cell r="B2353">
            <v>2.4575512301</v>
          </cell>
          <cell r="C2353">
            <v>2.4569463238</v>
          </cell>
          <cell r="D2353">
            <v>2.4581562853999999</v>
          </cell>
        </row>
        <row r="2354">
          <cell r="A2354">
            <v>46860</v>
          </cell>
          <cell r="B2354">
            <v>2.4585788354</v>
          </cell>
          <cell r="C2354">
            <v>2.4579736762</v>
          </cell>
          <cell r="D2354">
            <v>2.4591841436999999</v>
          </cell>
        </row>
        <row r="2355">
          <cell r="A2355">
            <v>46861</v>
          </cell>
          <cell r="B2355">
            <v>2.4596068704</v>
          </cell>
          <cell r="C2355">
            <v>2.4590014580999999</v>
          </cell>
          <cell r="D2355">
            <v>2.4602124318</v>
          </cell>
        </row>
        <row r="2356">
          <cell r="A2356">
            <v>46862</v>
          </cell>
          <cell r="B2356">
            <v>2.4606353352000001</v>
          </cell>
          <cell r="C2356">
            <v>2.4600296697999999</v>
          </cell>
          <cell r="D2356">
            <v>2.4612411498000002</v>
          </cell>
        </row>
        <row r="2357">
          <cell r="A2357">
            <v>46863</v>
          </cell>
          <cell r="B2357">
            <v>2.4616642300999998</v>
          </cell>
          <cell r="C2357">
            <v>2.4610583114</v>
          </cell>
          <cell r="D2357">
            <v>2.462270298</v>
          </cell>
        </row>
        <row r="2358">
          <cell r="A2358">
            <v>46867</v>
          </cell>
          <cell r="B2358">
            <v>2.4626935552</v>
          </cell>
          <cell r="C2358">
            <v>2.4620873832000001</v>
          </cell>
          <cell r="D2358">
            <v>2.4632998765999998</v>
          </cell>
        </row>
        <row r="2359">
          <cell r="A2359">
            <v>46868</v>
          </cell>
          <cell r="B2359">
            <v>2.4637233106999998</v>
          </cell>
          <cell r="C2359">
            <v>2.4631168851999998</v>
          </cell>
          <cell r="D2359">
            <v>2.4643298856000002</v>
          </cell>
        </row>
        <row r="2360">
          <cell r="A2360">
            <v>46869</v>
          </cell>
          <cell r="B2360">
            <v>2.4647534968999998</v>
          </cell>
          <cell r="C2360">
            <v>2.4641468178000001</v>
          </cell>
          <cell r="D2360">
            <v>2.4653603253999998</v>
          </cell>
        </row>
        <row r="2361">
          <cell r="A2361">
            <v>46870</v>
          </cell>
          <cell r="B2361">
            <v>2.4657841136999998</v>
          </cell>
          <cell r="C2361">
            <v>2.4651771810000001</v>
          </cell>
          <cell r="D2361">
            <v>2.466391196</v>
          </cell>
        </row>
        <row r="2362">
          <cell r="A2362">
            <v>46871</v>
          </cell>
          <cell r="B2362">
            <v>2.4668151616</v>
          </cell>
          <cell r="C2362">
            <v>2.4662079751000001</v>
          </cell>
          <cell r="D2362">
            <v>2.4674224976999999</v>
          </cell>
        </row>
        <row r="2363">
          <cell r="A2363">
            <v>46875</v>
          </cell>
          <cell r="B2363">
            <v>2.4678466404999999</v>
          </cell>
          <cell r="C2363">
            <v>2.4672392000999999</v>
          </cell>
          <cell r="D2363">
            <v>2.4684542305999999</v>
          </cell>
        </row>
        <row r="2364">
          <cell r="A2364">
            <v>46876</v>
          </cell>
          <cell r="B2364">
            <v>2.4688785508</v>
          </cell>
          <cell r="C2364">
            <v>2.4682708564000002</v>
          </cell>
          <cell r="D2364">
            <v>2.4694863949000001</v>
          </cell>
        </row>
        <row r="2365">
          <cell r="A2365">
            <v>46877</v>
          </cell>
          <cell r="B2365">
            <v>2.4699108925000002</v>
          </cell>
          <cell r="C2365">
            <v>2.4693029439999998</v>
          </cell>
          <cell r="D2365">
            <v>2.4705189908</v>
          </cell>
        </row>
        <row r="2366">
          <cell r="A2366">
            <v>46878</v>
          </cell>
          <cell r="B2366">
            <v>2.4709436658000001</v>
          </cell>
          <cell r="C2366">
            <v>2.4703354631000001</v>
          </cell>
          <cell r="D2366">
            <v>2.4715520184000002</v>
          </cell>
        </row>
        <row r="2367">
          <cell r="A2367">
            <v>46881</v>
          </cell>
          <cell r="B2367">
            <v>2.4719768710999999</v>
          </cell>
          <cell r="C2367">
            <v>2.4713684140000001</v>
          </cell>
          <cell r="D2367">
            <v>2.4725854780000001</v>
          </cell>
        </row>
        <row r="2368">
          <cell r="A2368">
            <v>46882</v>
          </cell>
          <cell r="B2368">
            <v>2.4730105083999998</v>
          </cell>
          <cell r="C2368">
            <v>2.4724017968999998</v>
          </cell>
          <cell r="D2368">
            <v>2.4736193698000002</v>
          </cell>
        </row>
        <row r="2369">
          <cell r="A2369">
            <v>46883</v>
          </cell>
          <cell r="B2369">
            <v>2.4740445779</v>
          </cell>
          <cell r="C2369">
            <v>2.4734356118999998</v>
          </cell>
          <cell r="D2369">
            <v>2.4746536939000001</v>
          </cell>
        </row>
        <row r="2370">
          <cell r="A2370">
            <v>46884</v>
          </cell>
          <cell r="B2370">
            <v>2.4750790797</v>
          </cell>
          <cell r="C2370">
            <v>2.4744698591000001</v>
          </cell>
          <cell r="D2370">
            <v>2.4756884503999999</v>
          </cell>
        </row>
        <row r="2371">
          <cell r="A2371">
            <v>46885</v>
          </cell>
          <cell r="B2371">
            <v>2.4761140142000002</v>
          </cell>
          <cell r="C2371">
            <v>2.4755045388000001</v>
          </cell>
          <cell r="D2371">
            <v>2.4767236396999999</v>
          </cell>
        </row>
        <row r="2372">
          <cell r="A2372">
            <v>46888</v>
          </cell>
          <cell r="B2372">
            <v>2.4771493812999998</v>
          </cell>
          <cell r="C2372">
            <v>2.4765396511</v>
          </cell>
          <cell r="D2372">
            <v>2.4777592617000002</v>
          </cell>
        </row>
        <row r="2373">
          <cell r="A2373">
            <v>46889</v>
          </cell>
          <cell r="B2373">
            <v>2.4781851814999998</v>
          </cell>
          <cell r="C2373">
            <v>2.4775751963000001</v>
          </cell>
          <cell r="D2373">
            <v>2.4787953168999999</v>
          </cell>
        </row>
        <row r="2374">
          <cell r="A2374">
            <v>46890</v>
          </cell>
          <cell r="B2374">
            <v>2.4792214146</v>
          </cell>
          <cell r="C2374">
            <v>2.4786111744000001</v>
          </cell>
          <cell r="D2374">
            <v>2.4798318051999999</v>
          </cell>
        </row>
        <row r="2375">
          <cell r="A2375">
            <v>46891</v>
          </cell>
          <cell r="B2375">
            <v>2.4802580812000001</v>
          </cell>
          <cell r="C2375">
            <v>2.4796475858</v>
          </cell>
          <cell r="D2375">
            <v>2.4808687269999998</v>
          </cell>
        </row>
        <row r="2376">
          <cell r="A2376">
            <v>46892</v>
          </cell>
          <cell r="B2376">
            <v>2.4812951812000001</v>
          </cell>
          <cell r="C2376">
            <v>2.4806844305000002</v>
          </cell>
          <cell r="D2376">
            <v>2.4819060823000001</v>
          </cell>
        </row>
        <row r="2377">
          <cell r="A2377">
            <v>46895</v>
          </cell>
          <cell r="B2377">
            <v>2.4823327148000001</v>
          </cell>
          <cell r="C2377">
            <v>2.4817217087999999</v>
          </cell>
          <cell r="D2377">
            <v>2.4829438713999998</v>
          </cell>
        </row>
        <row r="2378">
          <cell r="A2378">
            <v>46896</v>
          </cell>
          <cell r="B2378">
            <v>2.4833706822999999</v>
          </cell>
          <cell r="C2378">
            <v>2.4827594206999999</v>
          </cell>
          <cell r="D2378">
            <v>2.4839820944</v>
          </cell>
        </row>
        <row r="2379">
          <cell r="A2379">
            <v>46897</v>
          </cell>
          <cell r="B2379">
            <v>2.4844090838000001</v>
          </cell>
          <cell r="C2379">
            <v>2.4837975666999998</v>
          </cell>
          <cell r="D2379">
            <v>2.4850207516</v>
          </cell>
        </row>
        <row r="2380">
          <cell r="A2380">
            <v>46898</v>
          </cell>
          <cell r="B2380">
            <v>2.4854479194999999</v>
          </cell>
          <cell r="C2380">
            <v>2.4848361466000002</v>
          </cell>
          <cell r="D2380">
            <v>2.486059843</v>
          </cell>
        </row>
        <row r="2381">
          <cell r="A2381">
            <v>46899</v>
          </cell>
          <cell r="B2381">
            <v>2.4864871896</v>
          </cell>
          <cell r="C2381">
            <v>2.4858751609</v>
          </cell>
          <cell r="D2381">
            <v>2.4870993690000001</v>
          </cell>
        </row>
        <row r="2382">
          <cell r="A2382">
            <v>46902</v>
          </cell>
          <cell r="B2382">
            <v>2.4875268942000002</v>
          </cell>
          <cell r="C2382">
            <v>2.4869146096999999</v>
          </cell>
          <cell r="D2382">
            <v>2.4881393296000001</v>
          </cell>
        </row>
        <row r="2383">
          <cell r="A2383">
            <v>46903</v>
          </cell>
          <cell r="B2383">
            <v>2.4885670335999999</v>
          </cell>
          <cell r="C2383">
            <v>2.4879544930000002</v>
          </cell>
          <cell r="D2383">
            <v>2.4891797251000001</v>
          </cell>
        </row>
        <row r="2384">
          <cell r="A2384">
            <v>46904</v>
          </cell>
          <cell r="B2384">
            <v>2.4896076079</v>
          </cell>
          <cell r="C2384">
            <v>2.4889948112</v>
          </cell>
          <cell r="D2384">
            <v>2.4902205556000001</v>
          </cell>
        </row>
        <row r="2385">
          <cell r="A2385">
            <v>46905</v>
          </cell>
          <cell r="B2385">
            <v>2.4906486173000002</v>
          </cell>
          <cell r="C2385">
            <v>2.4900355643999998</v>
          </cell>
          <cell r="D2385">
            <v>2.4912618213000002</v>
          </cell>
        </row>
        <row r="2386">
          <cell r="A2386">
            <v>46906</v>
          </cell>
          <cell r="B2386">
            <v>2.491690062</v>
          </cell>
          <cell r="C2386">
            <v>2.4910767527000002</v>
          </cell>
          <cell r="D2386">
            <v>2.4923035223999999</v>
          </cell>
        </row>
        <row r="2387">
          <cell r="A2387">
            <v>46909</v>
          </cell>
          <cell r="B2387">
            <v>2.4927319421999998</v>
          </cell>
          <cell r="C2387">
            <v>2.4921183765000001</v>
          </cell>
          <cell r="D2387">
            <v>2.4933456591000001</v>
          </cell>
        </row>
        <row r="2388">
          <cell r="A2388">
            <v>46910</v>
          </cell>
          <cell r="B2388">
            <v>2.4937742581000002</v>
          </cell>
          <cell r="C2388">
            <v>2.4931604358000001</v>
          </cell>
          <cell r="D2388">
            <v>2.4943882315999999</v>
          </cell>
        </row>
        <row r="2389">
          <cell r="A2389">
            <v>46911</v>
          </cell>
          <cell r="B2389">
            <v>2.4948170098000002</v>
          </cell>
          <cell r="C2389">
            <v>2.4942029308000002</v>
          </cell>
          <cell r="D2389">
            <v>2.4954312399999998</v>
          </cell>
        </row>
        <row r="2390">
          <cell r="A2390">
            <v>46912</v>
          </cell>
          <cell r="B2390">
            <v>2.4958601973999999</v>
          </cell>
          <cell r="C2390">
            <v>2.4952458617</v>
          </cell>
          <cell r="D2390">
            <v>2.4964746844999999</v>
          </cell>
        </row>
        <row r="2391">
          <cell r="A2391">
            <v>46913</v>
          </cell>
          <cell r="B2391">
            <v>2.4969038213000001</v>
          </cell>
          <cell r="C2391">
            <v>2.4962892286999998</v>
          </cell>
          <cell r="D2391">
            <v>2.4975185653</v>
          </cell>
        </row>
        <row r="2392">
          <cell r="A2392">
            <v>46916</v>
          </cell>
          <cell r="B2392">
            <v>2.4979478815</v>
          </cell>
          <cell r="C2392">
            <v>2.4973330319000002</v>
          </cell>
          <cell r="D2392">
            <v>2.4985628825999999</v>
          </cell>
        </row>
        <row r="2393">
          <cell r="A2393">
            <v>46917</v>
          </cell>
          <cell r="B2393">
            <v>2.4989923784000001</v>
          </cell>
          <cell r="C2393">
            <v>2.4983772716999999</v>
          </cell>
          <cell r="D2393">
            <v>2.4996076366</v>
          </cell>
        </row>
        <row r="2394">
          <cell r="A2394">
            <v>46918</v>
          </cell>
          <cell r="B2394">
            <v>2.5000373119999999</v>
          </cell>
          <cell r="C2394">
            <v>2.4994219481000002</v>
          </cell>
          <cell r="D2394">
            <v>2.5006528275000002</v>
          </cell>
        </row>
        <row r="2395">
          <cell r="A2395">
            <v>46920</v>
          </cell>
          <cell r="B2395">
            <v>2.5010826824999999</v>
          </cell>
          <cell r="C2395">
            <v>2.5004670613000002</v>
          </cell>
          <cell r="D2395">
            <v>2.5016984554000001</v>
          </cell>
        </row>
        <row r="2396">
          <cell r="A2396">
            <v>46923</v>
          </cell>
          <cell r="B2396">
            <v>2.5021284902000001</v>
          </cell>
          <cell r="C2396">
            <v>2.5015126114999999</v>
          </cell>
          <cell r="D2396">
            <v>2.5027445204999998</v>
          </cell>
        </row>
        <row r="2397">
          <cell r="A2397">
            <v>46924</v>
          </cell>
          <cell r="B2397">
            <v>2.5031747351</v>
          </cell>
          <cell r="C2397">
            <v>2.5025585988999999</v>
          </cell>
          <cell r="D2397">
            <v>2.5037910229999998</v>
          </cell>
        </row>
        <row r="2398">
          <cell r="A2398">
            <v>46925</v>
          </cell>
          <cell r="B2398">
            <v>2.5042214175000002</v>
          </cell>
          <cell r="C2398">
            <v>2.5036050237</v>
          </cell>
          <cell r="D2398">
            <v>2.5048379631</v>
          </cell>
        </row>
        <row r="2399">
          <cell r="A2399">
            <v>46926</v>
          </cell>
          <cell r="B2399">
            <v>2.5052685376000001</v>
          </cell>
          <cell r="C2399">
            <v>2.5046518861</v>
          </cell>
          <cell r="D2399">
            <v>2.5058853409999999</v>
          </cell>
        </row>
        <row r="2400">
          <cell r="A2400">
            <v>46927</v>
          </cell>
          <cell r="B2400">
            <v>2.5063160954999999</v>
          </cell>
          <cell r="C2400">
            <v>2.5056991861000002</v>
          </cell>
          <cell r="D2400">
            <v>2.5069331568000002</v>
          </cell>
        </row>
        <row r="2401">
          <cell r="A2401">
            <v>46930</v>
          </cell>
          <cell r="B2401">
            <v>2.5073640912999999</v>
          </cell>
          <cell r="C2401">
            <v>2.5067469240000002</v>
          </cell>
          <cell r="D2401">
            <v>2.5079814106999998</v>
          </cell>
        </row>
        <row r="2402">
          <cell r="A2402">
            <v>46931</v>
          </cell>
          <cell r="B2402">
            <v>2.5084125254999998</v>
          </cell>
          <cell r="C2402">
            <v>2.5077951001000001</v>
          </cell>
          <cell r="D2402">
            <v>2.5090301030000002</v>
          </cell>
        </row>
        <row r="2403">
          <cell r="A2403">
            <v>46932</v>
          </cell>
          <cell r="B2403">
            <v>2.5094613981</v>
          </cell>
          <cell r="C2403">
            <v>2.5088437145000002</v>
          </cell>
          <cell r="D2403">
            <v>2.5100792338</v>
          </cell>
        </row>
        <row r="2404">
          <cell r="A2404">
            <v>46933</v>
          </cell>
          <cell r="B2404">
            <v>2.5105107092000001</v>
          </cell>
          <cell r="C2404">
            <v>2.5098927673999998</v>
          </cell>
          <cell r="D2404">
            <v>2.5111288033000001</v>
          </cell>
        </row>
        <row r="2405">
          <cell r="A2405">
            <v>46934</v>
          </cell>
          <cell r="B2405">
            <v>2.5115604591</v>
          </cell>
          <cell r="C2405">
            <v>2.5109422589000001</v>
          </cell>
          <cell r="D2405">
            <v>2.5121788116000001</v>
          </cell>
        </row>
        <row r="2406">
          <cell r="A2406">
            <v>46937</v>
          </cell>
          <cell r="B2406">
            <v>2.5126106478999999</v>
          </cell>
          <cell r="C2406">
            <v>2.5119921891999999</v>
          </cell>
          <cell r="D2406">
            <v>2.513229259</v>
          </cell>
        </row>
        <row r="2407">
          <cell r="A2407">
            <v>46938</v>
          </cell>
          <cell r="B2407">
            <v>2.5136612759000001</v>
          </cell>
          <cell r="C2407">
            <v>2.5130425585</v>
          </cell>
          <cell r="D2407">
            <v>2.5142801455999999</v>
          </cell>
        </row>
        <row r="2408">
          <cell r="A2408">
            <v>46939</v>
          </cell>
          <cell r="B2408">
            <v>2.5147123430999998</v>
          </cell>
          <cell r="C2408">
            <v>2.5140933671000001</v>
          </cell>
          <cell r="D2408">
            <v>2.5153314716000001</v>
          </cell>
        </row>
        <row r="2409">
          <cell r="A2409">
            <v>46940</v>
          </cell>
          <cell r="B2409">
            <v>2.5157638498999999</v>
          </cell>
          <cell r="C2409">
            <v>2.5151446150000001</v>
          </cell>
          <cell r="D2409">
            <v>2.5163832372999999</v>
          </cell>
        </row>
        <row r="2410">
          <cell r="A2410">
            <v>46941</v>
          </cell>
          <cell r="B2410">
            <v>2.5168157963</v>
          </cell>
          <cell r="C2410">
            <v>2.5161963025</v>
          </cell>
          <cell r="D2410">
            <v>2.5174354427000001</v>
          </cell>
        </row>
        <row r="2411">
          <cell r="A2411">
            <v>46944</v>
          </cell>
          <cell r="B2411">
            <v>2.5178681826</v>
          </cell>
          <cell r="C2411">
            <v>2.5172484298</v>
          </cell>
          <cell r="D2411">
            <v>2.5184880880999998</v>
          </cell>
        </row>
        <row r="2412">
          <cell r="A2412">
            <v>46945</v>
          </cell>
          <cell r="B2412">
            <v>2.518921009</v>
          </cell>
          <cell r="C2412">
            <v>2.5183009969999999</v>
          </cell>
          <cell r="D2412">
            <v>2.5195411737</v>
          </cell>
        </row>
        <row r="2413">
          <cell r="A2413">
            <v>46946</v>
          </cell>
          <cell r="B2413">
            <v>2.5199742756000001</v>
          </cell>
          <cell r="C2413">
            <v>2.5193540043999998</v>
          </cell>
          <cell r="D2413">
            <v>2.5205946996000002</v>
          </cell>
        </row>
        <row r="2414">
          <cell r="A2414">
            <v>46947</v>
          </cell>
          <cell r="B2414">
            <v>2.5210279826000002</v>
          </cell>
          <cell r="C2414">
            <v>2.5204074520000002</v>
          </cell>
          <cell r="D2414">
            <v>2.5216486659999999</v>
          </cell>
        </row>
        <row r="2415">
          <cell r="A2415">
            <v>46948</v>
          </cell>
          <cell r="B2415">
            <v>2.5220821300999998</v>
          </cell>
          <cell r="C2415">
            <v>2.5214613401000001</v>
          </cell>
          <cell r="D2415">
            <v>2.5227030731000002</v>
          </cell>
        </row>
        <row r="2416">
          <cell r="A2416">
            <v>46951</v>
          </cell>
          <cell r="B2416">
            <v>2.5231367186</v>
          </cell>
          <cell r="C2416">
            <v>2.5225156690000001</v>
          </cell>
          <cell r="D2416">
            <v>2.5237579212000001</v>
          </cell>
        </row>
        <row r="2417">
          <cell r="A2417">
            <v>46952</v>
          </cell>
          <cell r="B2417">
            <v>2.5241917478999998</v>
          </cell>
          <cell r="C2417">
            <v>2.5235704386000002</v>
          </cell>
          <cell r="D2417">
            <v>2.5248132103000001</v>
          </cell>
        </row>
        <row r="2418">
          <cell r="A2418">
            <v>46953</v>
          </cell>
          <cell r="B2418">
            <v>2.5252472184000001</v>
          </cell>
          <cell r="C2418">
            <v>2.5246256492999999</v>
          </cell>
          <cell r="D2418">
            <v>2.5258689406000001</v>
          </cell>
        </row>
        <row r="2419">
          <cell r="A2419">
            <v>46954</v>
          </cell>
          <cell r="B2419">
            <v>2.5263031302000001</v>
          </cell>
          <cell r="C2419">
            <v>2.5256813012000001</v>
          </cell>
          <cell r="D2419">
            <v>2.5269251123999998</v>
          </cell>
        </row>
        <row r="2420">
          <cell r="A2420">
            <v>46955</v>
          </cell>
          <cell r="B2420">
            <v>2.5273594836000002</v>
          </cell>
          <cell r="C2420">
            <v>2.5267373946</v>
          </cell>
          <cell r="D2420">
            <v>2.5279817259000001</v>
          </cell>
        </row>
        <row r="2421">
          <cell r="A2421">
            <v>46958</v>
          </cell>
          <cell r="B2421">
            <v>2.5284162786</v>
          </cell>
          <cell r="C2421">
            <v>2.5277939295</v>
          </cell>
          <cell r="D2421">
            <v>2.5290387811000001</v>
          </cell>
        </row>
        <row r="2422">
          <cell r="A2422">
            <v>46959</v>
          </cell>
          <cell r="B2422">
            <v>2.5294735154999999</v>
          </cell>
          <cell r="C2422">
            <v>2.5288509062000002</v>
          </cell>
          <cell r="D2422">
            <v>2.5300962782999998</v>
          </cell>
        </row>
        <row r="2423">
          <cell r="A2423">
            <v>46960</v>
          </cell>
          <cell r="B2423">
            <v>2.5305311946</v>
          </cell>
          <cell r="C2423">
            <v>2.5299083249000001</v>
          </cell>
          <cell r="D2423">
            <v>2.5311542178000002</v>
          </cell>
        </row>
        <row r="2424">
          <cell r="A2424">
            <v>46961</v>
          </cell>
          <cell r="B2424">
            <v>2.5315893158999998</v>
          </cell>
          <cell r="C2424">
            <v>2.5309661858000001</v>
          </cell>
          <cell r="D2424">
            <v>2.5322125995999998</v>
          </cell>
        </row>
        <row r="2425">
          <cell r="A2425">
            <v>46962</v>
          </cell>
          <cell r="B2425">
            <v>2.5326478795999998</v>
          </cell>
          <cell r="C2425">
            <v>2.5320244888999999</v>
          </cell>
          <cell r="D2425">
            <v>2.5332714239</v>
          </cell>
        </row>
        <row r="2426">
          <cell r="A2426">
            <v>46965</v>
          </cell>
          <cell r="B2426">
            <v>2.533706886</v>
          </cell>
          <cell r="C2426">
            <v>2.5330832345999998</v>
          </cell>
          <cell r="D2426">
            <v>2.5343306910000001</v>
          </cell>
        </row>
        <row r="2427">
          <cell r="A2427">
            <v>46966</v>
          </cell>
          <cell r="B2427">
            <v>2.5347663351</v>
          </cell>
          <cell r="C2427">
            <v>2.534142423</v>
          </cell>
          <cell r="D2427">
            <v>2.5353904009999999</v>
          </cell>
        </row>
        <row r="2428">
          <cell r="A2428">
            <v>46967</v>
          </cell>
          <cell r="B2428">
            <v>2.5358262273999999</v>
          </cell>
          <cell r="C2428">
            <v>2.5352020543</v>
          </cell>
          <cell r="D2428">
            <v>2.5364505542</v>
          </cell>
        </row>
        <row r="2429">
          <cell r="A2429">
            <v>46968</v>
          </cell>
          <cell r="B2429">
            <v>2.5368865626999999</v>
          </cell>
          <cell r="C2429">
            <v>2.5362621286999998</v>
          </cell>
          <cell r="D2429">
            <v>2.5375111505999999</v>
          </cell>
        </row>
        <row r="2430">
          <cell r="A2430">
            <v>46969</v>
          </cell>
          <cell r="B2430">
            <v>2.5379473414999998</v>
          </cell>
          <cell r="C2430">
            <v>2.5373226462999998</v>
          </cell>
          <cell r="D2430">
            <v>2.5385721905</v>
          </cell>
        </row>
        <row r="2431">
          <cell r="A2431">
            <v>46972</v>
          </cell>
          <cell r="B2431">
            <v>2.5390085638</v>
          </cell>
          <cell r="C2431">
            <v>2.5383836074000001</v>
          </cell>
          <cell r="D2431">
            <v>2.5396336741000001</v>
          </cell>
        </row>
        <row r="2432">
          <cell r="A2432">
            <v>46973</v>
          </cell>
          <cell r="B2432">
            <v>2.5400702298</v>
          </cell>
          <cell r="C2432">
            <v>2.5394450120999998</v>
          </cell>
          <cell r="D2432">
            <v>2.5406956015</v>
          </cell>
        </row>
        <row r="2433">
          <cell r="A2433">
            <v>46974</v>
          </cell>
          <cell r="B2433">
            <v>2.5411323396999999</v>
          </cell>
          <cell r="C2433">
            <v>2.5405068605999999</v>
          </cell>
          <cell r="D2433">
            <v>2.5417579729000002</v>
          </cell>
        </row>
        <row r="2434">
          <cell r="A2434">
            <v>46975</v>
          </cell>
          <cell r="B2434">
            <v>2.5421948938000001</v>
          </cell>
          <cell r="C2434">
            <v>2.5415691532000002</v>
          </cell>
          <cell r="D2434">
            <v>2.5428207885999998</v>
          </cell>
        </row>
        <row r="2435">
          <cell r="A2435">
            <v>46976</v>
          </cell>
          <cell r="B2435">
            <v>2.5432578922000002</v>
          </cell>
          <cell r="C2435">
            <v>2.5426318899</v>
          </cell>
          <cell r="D2435">
            <v>2.5438840486999998</v>
          </cell>
        </row>
        <row r="2436">
          <cell r="A2436">
            <v>46979</v>
          </cell>
          <cell r="B2436">
            <v>2.5443213350999998</v>
          </cell>
          <cell r="C2436">
            <v>2.5436950710000001</v>
          </cell>
          <cell r="D2436">
            <v>2.5449477533999998</v>
          </cell>
        </row>
        <row r="2437">
          <cell r="A2437">
            <v>46980</v>
          </cell>
          <cell r="B2437">
            <v>2.5453852225000002</v>
          </cell>
          <cell r="C2437">
            <v>2.5447586966000002</v>
          </cell>
          <cell r="D2437">
            <v>2.5460119028000001</v>
          </cell>
        </row>
        <row r="2438">
          <cell r="A2438">
            <v>46981</v>
          </cell>
          <cell r="B2438">
            <v>2.5464495549000001</v>
          </cell>
          <cell r="C2438">
            <v>2.5458227670000002</v>
          </cell>
          <cell r="D2438">
            <v>2.5470764972</v>
          </cell>
        </row>
        <row r="2439">
          <cell r="A2439">
            <v>46982</v>
          </cell>
          <cell r="B2439">
            <v>2.5475143324</v>
          </cell>
          <cell r="C2439">
            <v>2.5468872824000002</v>
          </cell>
          <cell r="D2439">
            <v>2.5481415368000002</v>
          </cell>
        </row>
        <row r="2440">
          <cell r="A2440">
            <v>46983</v>
          </cell>
          <cell r="B2440">
            <v>2.5485795549999999</v>
          </cell>
          <cell r="C2440">
            <v>2.5479522428000001</v>
          </cell>
          <cell r="D2440">
            <v>2.5492070217</v>
          </cell>
        </row>
        <row r="2441">
          <cell r="A2441">
            <v>46986</v>
          </cell>
          <cell r="B2441">
            <v>2.5496452231000002</v>
          </cell>
          <cell r="C2441">
            <v>2.5490176486</v>
          </cell>
          <cell r="D2441">
            <v>2.5502729521999998</v>
          </cell>
        </row>
        <row r="2442">
          <cell r="A2442">
            <v>46987</v>
          </cell>
          <cell r="B2442">
            <v>2.5507113367000001</v>
          </cell>
          <cell r="C2442">
            <v>2.5500834997999999</v>
          </cell>
          <cell r="D2442">
            <v>2.5513393283000001</v>
          </cell>
        </row>
        <row r="2443">
          <cell r="A2443">
            <v>46988</v>
          </cell>
          <cell r="B2443">
            <v>2.5517778962</v>
          </cell>
          <cell r="C2443">
            <v>2.5511497966999999</v>
          </cell>
          <cell r="D2443">
            <v>2.5524061503</v>
          </cell>
        </row>
        <row r="2444">
          <cell r="A2444">
            <v>46989</v>
          </cell>
          <cell r="B2444">
            <v>2.5528449016999999</v>
          </cell>
          <cell r="C2444">
            <v>2.5522165395999998</v>
          </cell>
          <cell r="D2444">
            <v>2.5534734184999999</v>
          </cell>
        </row>
        <row r="2445">
          <cell r="A2445">
            <v>46990</v>
          </cell>
          <cell r="B2445">
            <v>2.5539123531999999</v>
          </cell>
          <cell r="C2445">
            <v>2.5532837283999998</v>
          </cell>
          <cell r="D2445">
            <v>2.5545411328999998</v>
          </cell>
        </row>
        <row r="2446">
          <cell r="A2446">
            <v>46993</v>
          </cell>
          <cell r="B2446">
            <v>2.5549802510999999</v>
          </cell>
          <cell r="C2446">
            <v>2.5543513634999999</v>
          </cell>
          <cell r="D2446">
            <v>2.5556092936999999</v>
          </cell>
        </row>
        <row r="2447">
          <cell r="A2447">
            <v>46994</v>
          </cell>
          <cell r="B2447">
            <v>2.5560485956000001</v>
          </cell>
          <cell r="C2447">
            <v>2.5554194450000001</v>
          </cell>
          <cell r="D2447">
            <v>2.5566779012</v>
          </cell>
        </row>
        <row r="2448">
          <cell r="A2448">
            <v>46995</v>
          </cell>
          <cell r="B2448">
            <v>2.5571173867999999</v>
          </cell>
          <cell r="C2448">
            <v>2.5564879730999999</v>
          </cell>
          <cell r="D2448">
            <v>2.5577469554999999</v>
          </cell>
        </row>
        <row r="2449">
          <cell r="A2449">
            <v>46996</v>
          </cell>
          <cell r="B2449">
            <v>2.5581866248999998</v>
          </cell>
          <cell r="C2449">
            <v>2.5575569480000002</v>
          </cell>
          <cell r="D2449">
            <v>2.5588164568999998</v>
          </cell>
        </row>
        <row r="2450">
          <cell r="A2450">
            <v>46997</v>
          </cell>
          <cell r="B2450">
            <v>2.5592563099999999</v>
          </cell>
          <cell r="C2450">
            <v>2.5586263698999998</v>
          </cell>
          <cell r="D2450">
            <v>2.5598864053999999</v>
          </cell>
        </row>
        <row r="2451">
          <cell r="A2451">
            <v>47000</v>
          </cell>
          <cell r="B2451">
            <v>2.5603264426000001</v>
          </cell>
          <cell r="C2451">
            <v>2.559696239</v>
          </cell>
          <cell r="D2451">
            <v>2.5609568014000001</v>
          </cell>
        </row>
        <row r="2452">
          <cell r="A2452">
            <v>47001</v>
          </cell>
          <cell r="B2452">
            <v>2.5613970225</v>
          </cell>
          <cell r="C2452">
            <v>2.5607665553999999</v>
          </cell>
          <cell r="D2452">
            <v>2.5620276449000001</v>
          </cell>
        </row>
        <row r="2453">
          <cell r="A2453">
            <v>47002</v>
          </cell>
          <cell r="B2453">
            <v>2.5624680500000001</v>
          </cell>
          <cell r="C2453">
            <v>2.5618373192999999</v>
          </cell>
          <cell r="D2453">
            <v>2.5630989360999998</v>
          </cell>
        </row>
        <row r="2454">
          <cell r="A2454">
            <v>47004</v>
          </cell>
          <cell r="B2454">
            <v>2.5635395255</v>
          </cell>
          <cell r="C2454">
            <v>2.5629085311000002</v>
          </cell>
          <cell r="D2454">
            <v>2.5641706754000002</v>
          </cell>
        </row>
        <row r="2455">
          <cell r="A2455">
            <v>47007</v>
          </cell>
          <cell r="B2455">
            <v>2.5646114489</v>
          </cell>
          <cell r="C2455">
            <v>2.5639801906000002</v>
          </cell>
          <cell r="D2455">
            <v>2.5652428626999999</v>
          </cell>
        </row>
        <row r="2456">
          <cell r="A2456">
            <v>47008</v>
          </cell>
          <cell r="B2456">
            <v>2.5656838205999999</v>
          </cell>
          <cell r="C2456">
            <v>2.5650522982999999</v>
          </cell>
          <cell r="D2456">
            <v>2.5663154983999998</v>
          </cell>
        </row>
        <row r="2457">
          <cell r="A2457">
            <v>47009</v>
          </cell>
          <cell r="B2457">
            <v>2.5667566406</v>
          </cell>
          <cell r="C2457">
            <v>2.5661248542999999</v>
          </cell>
          <cell r="D2457">
            <v>2.5673885826</v>
          </cell>
        </row>
        <row r="2458">
          <cell r="A2458">
            <v>47010</v>
          </cell>
          <cell r="B2458">
            <v>2.5678299092999999</v>
          </cell>
          <cell r="C2458">
            <v>2.5671978588000002</v>
          </cell>
          <cell r="D2458">
            <v>2.5684621155</v>
          </cell>
        </row>
        <row r="2459">
          <cell r="A2459">
            <v>47011</v>
          </cell>
          <cell r="B2459">
            <v>2.5689036268000001</v>
          </cell>
          <cell r="C2459">
            <v>2.5682713119999998</v>
          </cell>
          <cell r="D2459">
            <v>2.5695360972999999</v>
          </cell>
        </row>
        <row r="2460">
          <cell r="A2460">
            <v>47014</v>
          </cell>
          <cell r="B2460">
            <v>2.5699777932000001</v>
          </cell>
          <cell r="C2460">
            <v>2.5693452140000002</v>
          </cell>
          <cell r="D2460">
            <v>2.5706105282</v>
          </cell>
        </row>
        <row r="2461">
          <cell r="A2461">
            <v>47015</v>
          </cell>
          <cell r="B2461">
            <v>2.5710524088</v>
          </cell>
          <cell r="C2461">
            <v>2.5704195650999999</v>
          </cell>
          <cell r="D2461">
            <v>2.5716854084</v>
          </cell>
        </row>
        <row r="2462">
          <cell r="A2462">
            <v>47016</v>
          </cell>
          <cell r="B2462">
            <v>2.5721274736000002</v>
          </cell>
          <cell r="C2462">
            <v>2.5714943653</v>
          </cell>
          <cell r="D2462">
            <v>2.5727607378999999</v>
          </cell>
        </row>
        <row r="2463">
          <cell r="A2463">
            <v>47017</v>
          </cell>
          <cell r="B2463">
            <v>2.5732029880999998</v>
          </cell>
          <cell r="C2463">
            <v>2.5725696150999999</v>
          </cell>
          <cell r="D2463">
            <v>2.5738365172000002</v>
          </cell>
        </row>
        <row r="2464">
          <cell r="A2464">
            <v>47018</v>
          </cell>
          <cell r="B2464">
            <v>2.5742789521999998</v>
          </cell>
          <cell r="C2464">
            <v>2.5736453144000002</v>
          </cell>
          <cell r="D2464">
            <v>2.5749127461999999</v>
          </cell>
        </row>
        <row r="2465">
          <cell r="A2465">
            <v>47021</v>
          </cell>
          <cell r="B2465">
            <v>2.5753553663000002</v>
          </cell>
          <cell r="C2465">
            <v>2.5747214635</v>
          </cell>
          <cell r="D2465">
            <v>2.5759894253</v>
          </cell>
        </row>
        <row r="2466">
          <cell r="A2466">
            <v>47022</v>
          </cell>
          <cell r="B2466">
            <v>2.5764322305</v>
          </cell>
          <cell r="C2466">
            <v>2.5757980626000001</v>
          </cell>
          <cell r="D2466">
            <v>2.5770665546</v>
          </cell>
        </row>
        <row r="2467">
          <cell r="A2467">
            <v>47023</v>
          </cell>
          <cell r="B2467">
            <v>2.5775095449999998</v>
          </cell>
          <cell r="C2467">
            <v>2.5768751119000002</v>
          </cell>
          <cell r="D2467">
            <v>2.5781441343</v>
          </cell>
        </row>
        <row r="2468">
          <cell r="A2468">
            <v>47024</v>
          </cell>
          <cell r="B2468">
            <v>2.5785873098000001</v>
          </cell>
          <cell r="C2468">
            <v>2.5779526115000002</v>
          </cell>
          <cell r="D2468">
            <v>2.5792221645</v>
          </cell>
        </row>
        <row r="2469">
          <cell r="A2469">
            <v>47025</v>
          </cell>
          <cell r="B2469">
            <v>2.5796655253999998</v>
          </cell>
          <cell r="C2469">
            <v>2.5790305616999998</v>
          </cell>
          <cell r="D2469">
            <v>2.5803006455999999</v>
          </cell>
        </row>
        <row r="2470">
          <cell r="A2470">
            <v>47028</v>
          </cell>
          <cell r="B2470">
            <v>2.5807441918</v>
          </cell>
          <cell r="C2470">
            <v>2.5801089625000002</v>
          </cell>
          <cell r="D2470">
            <v>2.5813795774999999</v>
          </cell>
        </row>
        <row r="2471">
          <cell r="A2471">
            <v>47029</v>
          </cell>
          <cell r="B2471">
            <v>2.5818233092999998</v>
          </cell>
          <cell r="C2471">
            <v>2.5811878143999998</v>
          </cell>
          <cell r="D2471">
            <v>2.5824589606999999</v>
          </cell>
        </row>
        <row r="2472">
          <cell r="A2472">
            <v>47030</v>
          </cell>
          <cell r="B2472">
            <v>2.5829028779000001</v>
          </cell>
          <cell r="C2472">
            <v>2.5822671172999998</v>
          </cell>
          <cell r="D2472">
            <v>2.5835387951</v>
          </cell>
        </row>
        <row r="2473">
          <cell r="A2473">
            <v>47031</v>
          </cell>
          <cell r="B2473">
            <v>2.5839828979999999</v>
          </cell>
          <cell r="C2473">
            <v>2.5833468715999999</v>
          </cell>
          <cell r="D2473">
            <v>2.5846190811</v>
          </cell>
        </row>
        <row r="2474">
          <cell r="A2474">
            <v>47032</v>
          </cell>
          <cell r="B2474">
            <v>2.5850633696999998</v>
          </cell>
          <cell r="C2474">
            <v>2.5844270773</v>
          </cell>
          <cell r="D2474">
            <v>2.5856998188000002</v>
          </cell>
        </row>
        <row r="2475">
          <cell r="A2475">
            <v>47035</v>
          </cell>
          <cell r="B2475">
            <v>2.5861442931999998</v>
          </cell>
          <cell r="C2475">
            <v>2.5855077347000002</v>
          </cell>
          <cell r="D2475">
            <v>2.5867810084</v>
          </cell>
        </row>
        <row r="2476">
          <cell r="A2476">
            <v>47036</v>
          </cell>
          <cell r="B2476">
            <v>2.5872256685999999</v>
          </cell>
          <cell r="C2476">
            <v>2.586588844</v>
          </cell>
          <cell r="D2476">
            <v>2.5878626500999999</v>
          </cell>
        </row>
        <row r="2477">
          <cell r="A2477">
            <v>47037</v>
          </cell>
          <cell r="B2477">
            <v>2.5883074963000001</v>
          </cell>
          <cell r="C2477">
            <v>2.5876704053999999</v>
          </cell>
          <cell r="D2477">
            <v>2.5889447441</v>
          </cell>
        </row>
        <row r="2478">
          <cell r="A2478">
            <v>47039</v>
          </cell>
          <cell r="B2478">
            <v>2.5893897762</v>
          </cell>
          <cell r="C2478">
            <v>2.5887524189</v>
          </cell>
          <cell r="D2478">
            <v>2.5900272905000001</v>
          </cell>
        </row>
        <row r="2479">
          <cell r="A2479">
            <v>47042</v>
          </cell>
          <cell r="B2479">
            <v>2.5904725087</v>
          </cell>
          <cell r="C2479">
            <v>2.5898348850000001</v>
          </cell>
          <cell r="D2479">
            <v>2.5911102896</v>
          </cell>
        </row>
        <row r="2480">
          <cell r="A2480">
            <v>47043</v>
          </cell>
          <cell r="B2480">
            <v>2.5915556941000002</v>
          </cell>
          <cell r="C2480">
            <v>2.5909178037</v>
          </cell>
          <cell r="D2480">
            <v>2.5921937416</v>
          </cell>
        </row>
        <row r="2481">
          <cell r="A2481">
            <v>47044</v>
          </cell>
          <cell r="B2481">
            <v>2.5926393323000001</v>
          </cell>
          <cell r="C2481">
            <v>2.5920011751000001</v>
          </cell>
          <cell r="D2481">
            <v>2.5932776465999998</v>
          </cell>
        </row>
        <row r="2482">
          <cell r="A2482">
            <v>47045</v>
          </cell>
          <cell r="B2482">
            <v>2.5937234236000002</v>
          </cell>
          <cell r="C2482">
            <v>2.5930849995999998</v>
          </cell>
          <cell r="D2482">
            <v>2.5943620047999998</v>
          </cell>
        </row>
        <row r="2483">
          <cell r="A2483">
            <v>47046</v>
          </cell>
          <cell r="B2483">
            <v>2.5948079681</v>
          </cell>
          <cell r="C2483">
            <v>2.5941692771999998</v>
          </cell>
          <cell r="D2483">
            <v>2.5954468164</v>
          </cell>
        </row>
        <row r="2484">
          <cell r="A2484">
            <v>47049</v>
          </cell>
          <cell r="B2484">
            <v>2.5958929663000001</v>
          </cell>
          <cell r="C2484">
            <v>2.5952540083</v>
          </cell>
          <cell r="D2484">
            <v>2.5965320816999999</v>
          </cell>
        </row>
        <row r="2485">
          <cell r="A2485">
            <v>47050</v>
          </cell>
          <cell r="B2485">
            <v>2.5969784181</v>
          </cell>
          <cell r="C2485">
            <v>2.5963391928999999</v>
          </cell>
          <cell r="D2485">
            <v>2.5976178007000001</v>
          </cell>
        </row>
        <row r="2486">
          <cell r="A2486">
            <v>47051</v>
          </cell>
          <cell r="B2486">
            <v>2.5980643237000001</v>
          </cell>
          <cell r="C2486">
            <v>2.5974248313000001</v>
          </cell>
          <cell r="D2486">
            <v>2.5987039737000002</v>
          </cell>
        </row>
        <row r="2487">
          <cell r="A2487">
            <v>47052</v>
          </cell>
          <cell r="B2487">
            <v>2.5991506835</v>
          </cell>
          <cell r="C2487">
            <v>2.5985109236000001</v>
          </cell>
          <cell r="D2487">
            <v>2.5997906009</v>
          </cell>
        </row>
        <row r="2488">
          <cell r="A2488">
            <v>47053</v>
          </cell>
          <cell r="B2488">
            <v>2.6002374974000002</v>
          </cell>
          <cell r="C2488">
            <v>2.59959747</v>
          </cell>
          <cell r="D2488">
            <v>2.6008776824000002</v>
          </cell>
        </row>
        <row r="2489">
          <cell r="A2489">
            <v>47056</v>
          </cell>
          <cell r="B2489">
            <v>2.6013247657999998</v>
          </cell>
          <cell r="C2489">
            <v>2.6006844708000001</v>
          </cell>
          <cell r="D2489">
            <v>2.6019652185000002</v>
          </cell>
        </row>
        <row r="2490">
          <cell r="A2490">
            <v>47057</v>
          </cell>
          <cell r="B2490">
            <v>2.6024124889000002</v>
          </cell>
          <cell r="C2490">
            <v>2.6017719262000001</v>
          </cell>
          <cell r="D2490">
            <v>2.6030532094000001</v>
          </cell>
        </row>
        <row r="2491">
          <cell r="A2491">
            <v>47058</v>
          </cell>
          <cell r="B2491">
            <v>2.6035006668</v>
          </cell>
          <cell r="C2491">
            <v>2.6028598361999999</v>
          </cell>
          <cell r="D2491">
            <v>2.6041416551999998</v>
          </cell>
        </row>
        <row r="2492">
          <cell r="A2492">
            <v>47060</v>
          </cell>
          <cell r="B2492">
            <v>2.6045892997000002</v>
          </cell>
          <cell r="C2492">
            <v>2.6039482011000001</v>
          </cell>
          <cell r="D2492">
            <v>2.6052305561</v>
          </cell>
        </row>
        <row r="2493">
          <cell r="A2493">
            <v>47063</v>
          </cell>
          <cell r="B2493">
            <v>2.6056783876999998</v>
          </cell>
          <cell r="C2493">
            <v>2.6050370210999998</v>
          </cell>
          <cell r="D2493">
            <v>2.6063199123</v>
          </cell>
        </row>
        <row r="2494">
          <cell r="A2494">
            <v>47064</v>
          </cell>
          <cell r="B2494">
            <v>2.6067679312999998</v>
          </cell>
          <cell r="C2494">
            <v>2.6061262964999998</v>
          </cell>
          <cell r="D2494">
            <v>2.6074097241</v>
          </cell>
        </row>
        <row r="2495">
          <cell r="A2495">
            <v>47065</v>
          </cell>
          <cell r="B2495">
            <v>2.6078579302999998</v>
          </cell>
          <cell r="C2495">
            <v>2.6072160271999998</v>
          </cell>
          <cell r="D2495">
            <v>2.6084999915</v>
          </cell>
        </row>
        <row r="2496">
          <cell r="A2496">
            <v>47066</v>
          </cell>
          <cell r="B2496">
            <v>2.6089483851000002</v>
          </cell>
          <cell r="C2496">
            <v>2.6083062137000002</v>
          </cell>
          <cell r="D2496">
            <v>2.6095907147999999</v>
          </cell>
        </row>
        <row r="2497">
          <cell r="A2497">
            <v>47067</v>
          </cell>
          <cell r="B2497">
            <v>2.6100392960000001</v>
          </cell>
          <cell r="C2497">
            <v>2.609396856</v>
          </cell>
          <cell r="D2497">
            <v>2.6106818941999999</v>
          </cell>
        </row>
        <row r="2498">
          <cell r="A2498">
            <v>47070</v>
          </cell>
          <cell r="B2498">
            <v>2.6111306629</v>
          </cell>
          <cell r="C2498">
            <v>2.6104879541999999</v>
          </cell>
          <cell r="D2498">
            <v>2.6117735298000002</v>
          </cell>
        </row>
        <row r="2499">
          <cell r="A2499">
            <v>47071</v>
          </cell>
          <cell r="B2499">
            <v>2.6122224861999999</v>
          </cell>
          <cell r="C2499">
            <v>2.6115795088999998</v>
          </cell>
          <cell r="D2499">
            <v>2.6128656220000002</v>
          </cell>
        </row>
        <row r="2500">
          <cell r="A2500">
            <v>47073</v>
          </cell>
          <cell r="B2500">
            <v>2.6133147659999998</v>
          </cell>
          <cell r="C2500">
            <v>2.6126715198000001</v>
          </cell>
          <cell r="D2500">
            <v>2.6139581707000001</v>
          </cell>
        </row>
        <row r="2501">
          <cell r="A2501">
            <v>47074</v>
          </cell>
          <cell r="B2501">
            <v>2.6144075026000002</v>
          </cell>
          <cell r="C2501">
            <v>2.6137639874</v>
          </cell>
          <cell r="D2501">
            <v>2.6150511763000002</v>
          </cell>
        </row>
        <row r="2502">
          <cell r="A2502">
            <v>47077</v>
          </cell>
          <cell r="B2502">
            <v>2.6155006960999998</v>
          </cell>
          <cell r="C2502">
            <v>2.6148569119</v>
          </cell>
          <cell r="D2502">
            <v>2.6161446389999998</v>
          </cell>
        </row>
        <row r="2503">
          <cell r="A2503">
            <v>47078</v>
          </cell>
          <cell r="B2503">
            <v>2.6165943466999999</v>
          </cell>
          <cell r="C2503">
            <v>2.6159502932000001</v>
          </cell>
          <cell r="D2503">
            <v>2.6172385588</v>
          </cell>
        </row>
        <row r="2504">
          <cell r="A2504">
            <v>47079</v>
          </cell>
          <cell r="B2504">
            <v>2.6176884546000001</v>
          </cell>
          <cell r="C2504">
            <v>2.6170441318000002</v>
          </cell>
          <cell r="D2504">
            <v>2.6183329360999998</v>
          </cell>
        </row>
        <row r="2505">
          <cell r="A2505">
            <v>47080</v>
          </cell>
          <cell r="B2505">
            <v>2.61878302</v>
          </cell>
          <cell r="C2505">
            <v>2.6181384277999999</v>
          </cell>
          <cell r="D2505">
            <v>2.6194277709999998</v>
          </cell>
        </row>
        <row r="2506">
          <cell r="A2506">
            <v>47081</v>
          </cell>
          <cell r="B2506">
            <v>2.6198780430999999</v>
          </cell>
          <cell r="C2506">
            <v>2.6192331813999998</v>
          </cell>
          <cell r="D2506">
            <v>2.6205230636999999</v>
          </cell>
        </row>
        <row r="2507">
          <cell r="A2507">
            <v>47084</v>
          </cell>
          <cell r="B2507">
            <v>2.6209735240000001</v>
          </cell>
          <cell r="C2507">
            <v>2.6203283926999998</v>
          </cell>
          <cell r="D2507">
            <v>2.6216188143000001</v>
          </cell>
        </row>
        <row r="2508">
          <cell r="A2508">
            <v>47085</v>
          </cell>
          <cell r="B2508">
            <v>2.6220694630999999</v>
          </cell>
          <cell r="C2508">
            <v>2.621424062</v>
          </cell>
          <cell r="D2508">
            <v>2.6227150232000001</v>
          </cell>
        </row>
        <row r="2509">
          <cell r="A2509">
            <v>47086</v>
          </cell>
          <cell r="B2509">
            <v>2.6231658603999999</v>
          </cell>
          <cell r="C2509">
            <v>2.6225201893999999</v>
          </cell>
          <cell r="D2509">
            <v>2.6238116904000002</v>
          </cell>
        </row>
        <row r="2510">
          <cell r="A2510">
            <v>47087</v>
          </cell>
          <cell r="B2510">
            <v>2.6242627161000001</v>
          </cell>
          <cell r="C2510">
            <v>2.6236167750999999</v>
          </cell>
          <cell r="D2510">
            <v>2.6249088162000001</v>
          </cell>
        </row>
        <row r="2511">
          <cell r="A2511">
            <v>47088</v>
          </cell>
          <cell r="B2511">
            <v>2.6253600304</v>
          </cell>
          <cell r="C2511">
            <v>2.6247138194000001</v>
          </cell>
          <cell r="D2511">
            <v>2.6260064007000001</v>
          </cell>
        </row>
        <row r="2512">
          <cell r="A2512">
            <v>47091</v>
          </cell>
          <cell r="B2512">
            <v>2.6264578037000001</v>
          </cell>
          <cell r="C2512">
            <v>2.6258113224000001</v>
          </cell>
          <cell r="D2512">
            <v>2.6271044442</v>
          </cell>
        </row>
        <row r="2513">
          <cell r="A2513">
            <v>47092</v>
          </cell>
          <cell r="B2513">
            <v>2.6275560359000001</v>
          </cell>
          <cell r="C2513">
            <v>2.6269092842999999</v>
          </cell>
          <cell r="D2513">
            <v>2.6282029468000001</v>
          </cell>
        </row>
        <row r="2514">
          <cell r="A2514">
            <v>47093</v>
          </cell>
          <cell r="B2514">
            <v>2.6286547272999998</v>
          </cell>
          <cell r="C2514">
            <v>2.6280077052999999</v>
          </cell>
          <cell r="D2514">
            <v>2.6293019087</v>
          </cell>
        </row>
        <row r="2515">
          <cell r="A2515">
            <v>47094</v>
          </cell>
          <cell r="B2515">
            <v>2.6297538781999998</v>
          </cell>
          <cell r="C2515">
            <v>2.6291065856000002</v>
          </cell>
          <cell r="D2515">
            <v>2.6304013302000002</v>
          </cell>
        </row>
        <row r="2516">
          <cell r="A2516">
            <v>47095</v>
          </cell>
          <cell r="B2516">
            <v>2.6308534886000001</v>
          </cell>
          <cell r="C2516">
            <v>2.6302059253999999</v>
          </cell>
          <cell r="D2516">
            <v>2.6315012113999998</v>
          </cell>
        </row>
        <row r="2517">
          <cell r="A2517">
            <v>47098</v>
          </cell>
          <cell r="B2517">
            <v>2.6319535588999998</v>
          </cell>
          <cell r="C2517">
            <v>2.6313057248999998</v>
          </cell>
          <cell r="D2517">
            <v>2.6326015525000002</v>
          </cell>
        </row>
        <row r="2518">
          <cell r="A2518">
            <v>47099</v>
          </cell>
          <cell r="B2518">
            <v>2.6330540891999998</v>
          </cell>
          <cell r="C2518">
            <v>2.6324059843000001</v>
          </cell>
          <cell r="D2518">
            <v>2.6337023536999999</v>
          </cell>
        </row>
        <row r="2519">
          <cell r="A2519">
            <v>47100</v>
          </cell>
          <cell r="B2519">
            <v>2.6341550796000002</v>
          </cell>
          <cell r="C2519">
            <v>2.6335067037000002</v>
          </cell>
          <cell r="D2519">
            <v>2.6348036152000001</v>
          </cell>
        </row>
        <row r="2520">
          <cell r="A2520">
            <v>47101</v>
          </cell>
          <cell r="B2520">
            <v>2.6352565303</v>
          </cell>
          <cell r="C2520">
            <v>2.6346078833000002</v>
          </cell>
          <cell r="D2520">
            <v>2.6359053371000001</v>
          </cell>
        </row>
        <row r="2521">
          <cell r="A2521">
            <v>47102</v>
          </cell>
          <cell r="B2521">
            <v>2.6363584417000001</v>
          </cell>
          <cell r="C2521">
            <v>2.6357095235000001</v>
          </cell>
          <cell r="D2521">
            <v>2.6370075198</v>
          </cell>
        </row>
        <row r="2522">
          <cell r="A2522">
            <v>47105</v>
          </cell>
          <cell r="B2522">
            <v>2.6374608138000002</v>
          </cell>
          <cell r="C2522">
            <v>2.6368116241999999</v>
          </cell>
          <cell r="D2522">
            <v>2.6381101632999999</v>
          </cell>
        </row>
        <row r="2523">
          <cell r="A2523">
            <v>47106</v>
          </cell>
          <cell r="B2523">
            <v>2.6385636468000002</v>
          </cell>
          <cell r="C2523">
            <v>2.6379141858000001</v>
          </cell>
          <cell r="D2523">
            <v>2.6392132678000002</v>
          </cell>
        </row>
        <row r="2524">
          <cell r="A2524">
            <v>47107</v>
          </cell>
          <cell r="B2524">
            <v>2.6396669410000002</v>
          </cell>
          <cell r="C2524">
            <v>2.6390172084999999</v>
          </cell>
          <cell r="D2524">
            <v>2.6403168337</v>
          </cell>
        </row>
        <row r="2525">
          <cell r="A2525">
            <v>47108</v>
          </cell>
          <cell r="B2525">
            <v>2.6407706965000002</v>
          </cell>
          <cell r="C2525">
            <v>2.6401206922</v>
          </cell>
          <cell r="D2525">
            <v>2.6414208608999998</v>
          </cell>
        </row>
        <row r="2526">
          <cell r="A2526">
            <v>47109</v>
          </cell>
          <cell r="B2526">
            <v>2.6418749135000001</v>
          </cell>
          <cell r="C2526">
            <v>2.6412246375000001</v>
          </cell>
          <cell r="D2526">
            <v>2.6425253498000001</v>
          </cell>
        </row>
        <row r="2527">
          <cell r="A2527">
            <v>47113</v>
          </cell>
          <cell r="B2527">
            <v>2.6429795924000001</v>
          </cell>
          <cell r="C2527">
            <v>2.6423290443999998</v>
          </cell>
          <cell r="D2527">
            <v>2.6436303005999999</v>
          </cell>
        </row>
        <row r="2528">
          <cell r="A2528">
            <v>47114</v>
          </cell>
          <cell r="B2528">
            <v>2.6440847331000001</v>
          </cell>
          <cell r="C2528">
            <v>2.6434339131</v>
          </cell>
          <cell r="D2528">
            <v>2.6447357133999998</v>
          </cell>
        </row>
        <row r="2529">
          <cell r="A2529">
            <v>47115</v>
          </cell>
          <cell r="B2529">
            <v>2.6451903358000002</v>
          </cell>
          <cell r="C2529">
            <v>2.6445392436000001</v>
          </cell>
          <cell r="D2529">
            <v>2.6458415883000002</v>
          </cell>
        </row>
        <row r="2530">
          <cell r="A2530">
            <v>47116</v>
          </cell>
          <cell r="B2530">
            <v>2.6462964008999998</v>
          </cell>
          <cell r="C2530">
            <v>2.6456450364999999</v>
          </cell>
          <cell r="D2530">
            <v>2.6469479257000001</v>
          </cell>
        </row>
        <row r="2531">
          <cell r="A2531">
            <v>47120</v>
          </cell>
          <cell r="B2531">
            <v>2.6474029285</v>
          </cell>
          <cell r="C2531">
            <v>2.6467512917999998</v>
          </cell>
          <cell r="D2531">
            <v>2.6480547257999998</v>
          </cell>
        </row>
        <row r="2532">
          <cell r="A2532">
            <v>47121</v>
          </cell>
          <cell r="B2532">
            <v>2.6484628243000001</v>
          </cell>
          <cell r="C2532">
            <v>2.6478109267000001</v>
          </cell>
          <cell r="D2532">
            <v>2.6491148825000002</v>
          </cell>
        </row>
        <row r="2533">
          <cell r="A2533">
            <v>47122</v>
          </cell>
          <cell r="B2533">
            <v>2.6495231442999998</v>
          </cell>
          <cell r="C2533">
            <v>2.6488709856999999</v>
          </cell>
          <cell r="D2533">
            <v>2.6501754636000001</v>
          </cell>
        </row>
        <row r="2534">
          <cell r="A2534">
            <v>47123</v>
          </cell>
          <cell r="B2534">
            <v>2.650583889</v>
          </cell>
          <cell r="C2534">
            <v>2.6499314692999998</v>
          </cell>
          <cell r="D2534">
            <v>2.6512364694000001</v>
          </cell>
        </row>
        <row r="2535">
          <cell r="A2535">
            <v>47126</v>
          </cell>
          <cell r="B2535">
            <v>2.6516450582000002</v>
          </cell>
          <cell r="C2535">
            <v>2.6509923773000001</v>
          </cell>
          <cell r="D2535">
            <v>2.6522978999000002</v>
          </cell>
        </row>
        <row r="2536">
          <cell r="A2536">
            <v>47127</v>
          </cell>
          <cell r="B2536">
            <v>2.6527066523</v>
          </cell>
          <cell r="C2536">
            <v>2.6520537101000001</v>
          </cell>
          <cell r="D2536">
            <v>2.6533597553999999</v>
          </cell>
        </row>
        <row r="2537">
          <cell r="A2537">
            <v>47128</v>
          </cell>
          <cell r="B2537">
            <v>2.6537686715</v>
          </cell>
          <cell r="C2537">
            <v>2.6531154678000002</v>
          </cell>
          <cell r="D2537">
            <v>2.6544220360000002</v>
          </cell>
        </row>
        <row r="2538">
          <cell r="A2538">
            <v>47129</v>
          </cell>
          <cell r="B2538">
            <v>2.6548311158</v>
          </cell>
          <cell r="C2538">
            <v>2.6541776506999999</v>
          </cell>
          <cell r="D2538">
            <v>2.6554847419000001</v>
          </cell>
        </row>
        <row r="2539">
          <cell r="A2539">
            <v>47130</v>
          </cell>
          <cell r="B2539">
            <v>2.6558939854000001</v>
          </cell>
          <cell r="C2539">
            <v>2.6552402587000001</v>
          </cell>
          <cell r="D2539">
            <v>2.6565478732000001</v>
          </cell>
        </row>
        <row r="2540">
          <cell r="A2540">
            <v>47133</v>
          </cell>
          <cell r="B2540">
            <v>2.6569572805999999</v>
          </cell>
          <cell r="C2540">
            <v>2.6563032922000001</v>
          </cell>
          <cell r="D2540">
            <v>2.6576114301999998</v>
          </cell>
        </row>
        <row r="2541">
          <cell r="A2541">
            <v>47134</v>
          </cell>
          <cell r="B2541">
            <v>2.6580210013999999</v>
          </cell>
          <cell r="C2541">
            <v>2.6573667511000001</v>
          </cell>
          <cell r="D2541">
            <v>2.6586754129000001</v>
          </cell>
        </row>
        <row r="2542">
          <cell r="A2542">
            <v>47135</v>
          </cell>
          <cell r="B2542">
            <v>2.6590851482</v>
          </cell>
          <cell r="C2542">
            <v>2.6584306359999998</v>
          </cell>
          <cell r="D2542">
            <v>2.6597398217000001</v>
          </cell>
        </row>
        <row r="2543">
          <cell r="A2543">
            <v>47136</v>
          </cell>
          <cell r="B2543">
            <v>2.6601497208999998</v>
          </cell>
          <cell r="C2543">
            <v>2.6594949467000002</v>
          </cell>
          <cell r="D2543">
            <v>2.6608046564999999</v>
          </cell>
        </row>
        <row r="2544">
          <cell r="A2544">
            <v>47137</v>
          </cell>
          <cell r="B2544">
            <v>2.6612147198999998</v>
          </cell>
          <cell r="C2544">
            <v>2.6605596834999998</v>
          </cell>
          <cell r="D2544">
            <v>2.6618699176999998</v>
          </cell>
        </row>
        <row r="2545">
          <cell r="A2545">
            <v>47140</v>
          </cell>
          <cell r="B2545">
            <v>2.6622801453</v>
          </cell>
          <cell r="C2545">
            <v>2.6616248467000001</v>
          </cell>
          <cell r="D2545">
            <v>2.6629356054</v>
          </cell>
        </row>
        <row r="2546">
          <cell r="A2546">
            <v>47141</v>
          </cell>
          <cell r="B2546">
            <v>2.6633459972</v>
          </cell>
          <cell r="C2546">
            <v>2.6626904362000001</v>
          </cell>
          <cell r="D2546">
            <v>2.6640017196999999</v>
          </cell>
        </row>
        <row r="2547">
          <cell r="A2547">
            <v>47142</v>
          </cell>
          <cell r="B2547">
            <v>2.6644122758000002</v>
          </cell>
          <cell r="C2547">
            <v>2.6637564522999999</v>
          </cell>
          <cell r="D2547">
            <v>2.6650682608</v>
          </cell>
        </row>
        <row r="2548">
          <cell r="A2548">
            <v>47143</v>
          </cell>
          <cell r="B2548">
            <v>2.6654789814000002</v>
          </cell>
          <cell r="C2548">
            <v>2.6648228952999999</v>
          </cell>
          <cell r="D2548">
            <v>2.666135229</v>
          </cell>
        </row>
        <row r="2549">
          <cell r="A2549">
            <v>47144</v>
          </cell>
          <cell r="B2549">
            <v>2.6665461139</v>
          </cell>
          <cell r="C2549">
            <v>2.6658897652000002</v>
          </cell>
          <cell r="D2549">
            <v>2.6672026243000002</v>
          </cell>
        </row>
        <row r="2550">
          <cell r="A2550">
            <v>47147</v>
          </cell>
          <cell r="B2550">
            <v>2.6676136737</v>
          </cell>
          <cell r="C2550">
            <v>2.6669570621999998</v>
          </cell>
          <cell r="D2550">
            <v>2.6682704468999998</v>
          </cell>
        </row>
        <row r="2551">
          <cell r="A2551">
            <v>47148</v>
          </cell>
          <cell r="B2551">
            <v>2.6686816608999999</v>
          </cell>
          <cell r="C2551">
            <v>2.6680247865000002</v>
          </cell>
          <cell r="D2551">
            <v>2.6693386970000001</v>
          </cell>
        </row>
        <row r="2552">
          <cell r="A2552">
            <v>47149</v>
          </cell>
          <cell r="B2552">
            <v>2.6697500756000001</v>
          </cell>
          <cell r="C2552">
            <v>2.6690929382999999</v>
          </cell>
          <cell r="D2552">
            <v>2.6704073747999999</v>
          </cell>
        </row>
        <row r="2553">
          <cell r="A2553">
            <v>47150</v>
          </cell>
          <cell r="B2553">
            <v>2.6708189182000002</v>
          </cell>
          <cell r="C2553">
            <v>2.6701615178</v>
          </cell>
          <cell r="D2553">
            <v>2.6714764805</v>
          </cell>
        </row>
        <row r="2554">
          <cell r="A2554">
            <v>47151</v>
          </cell>
          <cell r="B2554">
            <v>2.6718881886000001</v>
          </cell>
          <cell r="C2554">
            <v>2.6712305249999999</v>
          </cell>
          <cell r="D2554">
            <v>2.6725460141999999</v>
          </cell>
        </row>
        <row r="2555">
          <cell r="A2555">
            <v>47154</v>
          </cell>
          <cell r="B2555">
            <v>2.6729578870999999</v>
          </cell>
          <cell r="C2555">
            <v>2.6722999602000002</v>
          </cell>
          <cell r="D2555">
            <v>2.6736159760999998</v>
          </cell>
        </row>
        <row r="2556">
          <cell r="A2556">
            <v>47155</v>
          </cell>
          <cell r="B2556">
            <v>2.6740280139000001</v>
          </cell>
          <cell r="C2556">
            <v>2.6733698235999999</v>
          </cell>
          <cell r="D2556">
            <v>2.6746863663</v>
          </cell>
        </row>
        <row r="2557">
          <cell r="A2557">
            <v>47156</v>
          </cell>
          <cell r="B2557">
            <v>2.6750985691000002</v>
          </cell>
          <cell r="C2557">
            <v>2.6744401152999999</v>
          </cell>
          <cell r="D2557">
            <v>2.6757571851000002</v>
          </cell>
        </row>
        <row r="2558">
          <cell r="A2558">
            <v>47157</v>
          </cell>
          <cell r="B2558">
            <v>2.6761695527999998</v>
          </cell>
          <cell r="C2558">
            <v>2.6755108353999999</v>
          </cell>
          <cell r="D2558">
            <v>2.6768284324999998</v>
          </cell>
        </row>
        <row r="2559">
          <cell r="A2559">
            <v>47158</v>
          </cell>
          <cell r="B2559">
            <v>2.6772409653999998</v>
          </cell>
          <cell r="C2559">
            <v>2.6765819842999998</v>
          </cell>
          <cell r="D2559">
            <v>2.6779001088999999</v>
          </cell>
        </row>
        <row r="2560">
          <cell r="A2560">
            <v>47163</v>
          </cell>
          <cell r="B2560">
            <v>2.6783128069000002</v>
          </cell>
          <cell r="C2560">
            <v>2.6776535620000002</v>
          </cell>
          <cell r="D2560">
            <v>2.6789722142999999</v>
          </cell>
        </row>
        <row r="2561">
          <cell r="A2561">
            <v>47164</v>
          </cell>
          <cell r="B2561">
            <v>2.6793850775000001</v>
          </cell>
          <cell r="C2561">
            <v>2.6787255687</v>
          </cell>
          <cell r="D2561">
            <v>2.6800447488999999</v>
          </cell>
        </row>
        <row r="2562">
          <cell r="A2562">
            <v>47165</v>
          </cell>
          <cell r="B2562">
            <v>2.6804577774</v>
          </cell>
          <cell r="C2562">
            <v>2.6797980044999998</v>
          </cell>
          <cell r="D2562">
            <v>2.6811177128999999</v>
          </cell>
        </row>
        <row r="2563">
          <cell r="A2563">
            <v>47168</v>
          </cell>
          <cell r="B2563">
            <v>2.6815309067999999</v>
          </cell>
          <cell r="C2563">
            <v>2.6808708698000001</v>
          </cell>
          <cell r="D2563">
            <v>2.6821911064999999</v>
          </cell>
        </row>
        <row r="2564">
          <cell r="A2564">
            <v>47169</v>
          </cell>
          <cell r="B2564">
            <v>2.6826044657999999</v>
          </cell>
          <cell r="C2564">
            <v>2.6819441644999999</v>
          </cell>
          <cell r="D2564">
            <v>2.6832649298</v>
          </cell>
        </row>
        <row r="2565">
          <cell r="A2565">
            <v>47170</v>
          </cell>
          <cell r="B2565">
            <v>2.6836784545999999</v>
          </cell>
          <cell r="C2565">
            <v>2.6830178888999998</v>
          </cell>
          <cell r="D2565">
            <v>2.6843391830000001</v>
          </cell>
        </row>
        <row r="2566">
          <cell r="A2566">
            <v>47171</v>
          </cell>
          <cell r="B2566">
            <v>2.6847528733999999</v>
          </cell>
          <cell r="C2566">
            <v>2.6840920433000002</v>
          </cell>
          <cell r="D2566">
            <v>2.6854138662999998</v>
          </cell>
        </row>
        <row r="2567">
          <cell r="A2567">
            <v>47172</v>
          </cell>
          <cell r="B2567">
            <v>2.6858277224</v>
          </cell>
          <cell r="C2567">
            <v>2.6851666277000001</v>
          </cell>
          <cell r="D2567">
            <v>2.6864889799</v>
          </cell>
        </row>
        <row r="2568">
          <cell r="A2568">
            <v>47175</v>
          </cell>
          <cell r="B2568">
            <v>2.6869030016000002</v>
          </cell>
          <cell r="C2568">
            <v>2.6862416422000002</v>
          </cell>
          <cell r="D2568">
            <v>2.6875645238999999</v>
          </cell>
        </row>
        <row r="2569">
          <cell r="A2569">
            <v>47176</v>
          </cell>
          <cell r="B2569">
            <v>2.6879787113</v>
          </cell>
          <cell r="C2569">
            <v>2.6873170870999998</v>
          </cell>
          <cell r="D2569">
            <v>2.6886404983999999</v>
          </cell>
        </row>
        <row r="2570">
          <cell r="A2570">
            <v>47177</v>
          </cell>
          <cell r="B2570">
            <v>2.6890548516999999</v>
          </cell>
          <cell r="C2570">
            <v>2.6883929627000001</v>
          </cell>
          <cell r="D2570">
            <v>2.6897169037999999</v>
          </cell>
        </row>
        <row r="2571">
          <cell r="A2571">
            <v>47178</v>
          </cell>
          <cell r="B2571">
            <v>2.690131423</v>
          </cell>
          <cell r="C2571">
            <v>2.6894692689999999</v>
          </cell>
          <cell r="D2571">
            <v>2.6907937401000002</v>
          </cell>
        </row>
        <row r="2572">
          <cell r="A2572">
            <v>47179</v>
          </cell>
          <cell r="B2572">
            <v>2.6912084252000001</v>
          </cell>
          <cell r="C2572">
            <v>2.6905460060999999</v>
          </cell>
          <cell r="D2572">
            <v>2.6918710075000001</v>
          </cell>
        </row>
        <row r="2573">
          <cell r="A2573">
            <v>47182</v>
          </cell>
          <cell r="B2573">
            <v>2.6922858586</v>
          </cell>
          <cell r="C2573">
            <v>2.6916231743000001</v>
          </cell>
          <cell r="D2573">
            <v>2.6929487062000002</v>
          </cell>
        </row>
        <row r="2574">
          <cell r="A2574">
            <v>47183</v>
          </cell>
          <cell r="B2574">
            <v>2.6933637234000001</v>
          </cell>
          <cell r="C2574">
            <v>2.6927007736999999</v>
          </cell>
          <cell r="D2574">
            <v>2.6940268362999999</v>
          </cell>
        </row>
        <row r="2575">
          <cell r="A2575">
            <v>47184</v>
          </cell>
          <cell r="B2575">
            <v>2.6944420196999999</v>
          </cell>
          <cell r="C2575">
            <v>2.6937788047</v>
          </cell>
          <cell r="D2575">
            <v>2.6951053980999999</v>
          </cell>
        </row>
        <row r="2576">
          <cell r="A2576">
            <v>47185</v>
          </cell>
          <cell r="B2576">
            <v>2.6955207476999998</v>
          </cell>
          <cell r="C2576">
            <v>2.6948572671000002</v>
          </cell>
          <cell r="D2576">
            <v>2.6961843917000001</v>
          </cell>
        </row>
        <row r="2577">
          <cell r="A2577">
            <v>47186</v>
          </cell>
          <cell r="B2577">
            <v>2.6965999076</v>
          </cell>
          <cell r="C2577">
            <v>2.6959361614000001</v>
          </cell>
          <cell r="D2577">
            <v>2.6972638173000001</v>
          </cell>
        </row>
        <row r="2578">
          <cell r="A2578">
            <v>47189</v>
          </cell>
          <cell r="B2578">
            <v>2.6976794995</v>
          </cell>
          <cell r="C2578">
            <v>2.6970154875999999</v>
          </cell>
          <cell r="D2578">
            <v>2.6983436749999998</v>
          </cell>
        </row>
        <row r="2579">
          <cell r="A2579">
            <v>47190</v>
          </cell>
          <cell r="B2579">
            <v>2.6987595236000002</v>
          </cell>
          <cell r="C2579">
            <v>2.6980952458999998</v>
          </cell>
          <cell r="D2579">
            <v>2.6994239649999998</v>
          </cell>
        </row>
        <row r="2580">
          <cell r="A2580">
            <v>47191</v>
          </cell>
          <cell r="B2580">
            <v>2.6998399802000002</v>
          </cell>
          <cell r="C2580">
            <v>2.6991754365</v>
          </cell>
          <cell r="D2580">
            <v>2.7005046876000001</v>
          </cell>
        </row>
        <row r="2581">
          <cell r="A2581">
            <v>47192</v>
          </cell>
          <cell r="B2581">
            <v>2.7009208693</v>
          </cell>
          <cell r="C2581">
            <v>2.7002560595</v>
          </cell>
          <cell r="D2581">
            <v>2.7015858428000001</v>
          </cell>
        </row>
        <row r="2582">
          <cell r="A2582">
            <v>47193</v>
          </cell>
          <cell r="B2582">
            <v>2.7020021911000001</v>
          </cell>
          <cell r="C2582">
            <v>2.7013371150999999</v>
          </cell>
          <cell r="D2582">
            <v>2.7026674308</v>
          </cell>
        </row>
        <row r="2583">
          <cell r="A2583">
            <v>47196</v>
          </cell>
          <cell r="B2583">
            <v>2.7030839458</v>
          </cell>
          <cell r="C2583">
            <v>2.7024186037</v>
          </cell>
          <cell r="D2583">
            <v>2.7037494518999998</v>
          </cell>
        </row>
        <row r="2584">
          <cell r="A2584">
            <v>47197</v>
          </cell>
          <cell r="B2584">
            <v>2.7041661336999998</v>
          </cell>
          <cell r="C2584">
            <v>2.7035005250999999</v>
          </cell>
          <cell r="D2584">
            <v>2.7048319061999999</v>
          </cell>
        </row>
        <row r="2585">
          <cell r="A2585">
            <v>47198</v>
          </cell>
          <cell r="B2585">
            <v>2.7052487546999999</v>
          </cell>
          <cell r="C2585">
            <v>2.7045828797000002</v>
          </cell>
          <cell r="D2585">
            <v>2.7059147937999999</v>
          </cell>
        </row>
        <row r="2586">
          <cell r="A2586">
            <v>47199</v>
          </cell>
          <cell r="B2586">
            <v>2.7063318092999999</v>
          </cell>
          <cell r="C2586">
            <v>2.7056656676999999</v>
          </cell>
          <cell r="D2586">
            <v>2.7069981150000002</v>
          </cell>
        </row>
        <row r="2587">
          <cell r="A2587">
            <v>47200</v>
          </cell>
          <cell r="B2587">
            <v>2.7074152972999999</v>
          </cell>
          <cell r="C2587">
            <v>2.706748889</v>
          </cell>
          <cell r="D2587">
            <v>2.7080818698</v>
          </cell>
        </row>
        <row r="2588">
          <cell r="A2588">
            <v>47203</v>
          </cell>
          <cell r="B2588">
            <v>2.7084992193000001</v>
          </cell>
          <cell r="C2588">
            <v>2.7078325442</v>
          </cell>
          <cell r="D2588">
            <v>2.7091660586000001</v>
          </cell>
        </row>
        <row r="2589">
          <cell r="A2589">
            <v>47204</v>
          </cell>
          <cell r="B2589">
            <v>2.7095835750999999</v>
          </cell>
          <cell r="C2589">
            <v>2.7089166330999999</v>
          </cell>
          <cell r="D2589">
            <v>2.7102506813999998</v>
          </cell>
        </row>
        <row r="2590">
          <cell r="A2590">
            <v>47205</v>
          </cell>
          <cell r="B2590">
            <v>2.7106683651000001</v>
          </cell>
          <cell r="C2590">
            <v>2.7100011561000001</v>
          </cell>
          <cell r="D2590">
            <v>2.7113357384999999</v>
          </cell>
        </row>
        <row r="2591">
          <cell r="A2591">
            <v>47206</v>
          </cell>
          <cell r="B2591">
            <v>2.7117535893000002</v>
          </cell>
          <cell r="C2591">
            <v>2.7110861131999999</v>
          </cell>
          <cell r="D2591">
            <v>2.7124212298999999</v>
          </cell>
        </row>
        <row r="2592">
          <cell r="A2592">
            <v>47210</v>
          </cell>
          <cell r="B2592">
            <v>2.7128392479999999</v>
          </cell>
          <cell r="C2592">
            <v>2.7121715047000001</v>
          </cell>
          <cell r="D2592">
            <v>2.7135071558999999</v>
          </cell>
        </row>
        <row r="2593">
          <cell r="A2593">
            <v>47211</v>
          </cell>
          <cell r="B2593">
            <v>2.7139253414</v>
          </cell>
          <cell r="C2593">
            <v>2.7132573307999999</v>
          </cell>
          <cell r="D2593">
            <v>2.7145935166999999</v>
          </cell>
        </row>
        <row r="2594">
          <cell r="A2594">
            <v>47212</v>
          </cell>
          <cell r="B2594">
            <v>2.7150118697000001</v>
          </cell>
          <cell r="C2594">
            <v>2.7143435916</v>
          </cell>
          <cell r="D2594">
            <v>2.7156803125</v>
          </cell>
        </row>
        <row r="2595">
          <cell r="A2595">
            <v>47213</v>
          </cell>
          <cell r="B2595">
            <v>2.7160988329000002</v>
          </cell>
          <cell r="C2595">
            <v>2.7154302871999998</v>
          </cell>
          <cell r="D2595">
            <v>2.7167675433</v>
          </cell>
        </row>
        <row r="2596">
          <cell r="A2596">
            <v>47214</v>
          </cell>
          <cell r="B2596">
            <v>2.7171862312999999</v>
          </cell>
          <cell r="C2596">
            <v>2.716517418</v>
          </cell>
          <cell r="D2596">
            <v>2.7178552094000001</v>
          </cell>
        </row>
        <row r="2597">
          <cell r="A2597">
            <v>47217</v>
          </cell>
          <cell r="B2597">
            <v>2.7182740650000001</v>
          </cell>
          <cell r="C2597">
            <v>2.7176049838999998</v>
          </cell>
          <cell r="D2597">
            <v>2.7189433108999999</v>
          </cell>
        </row>
        <row r="2598">
          <cell r="A2598">
            <v>47218</v>
          </cell>
          <cell r="B2598">
            <v>2.7193623342</v>
          </cell>
          <cell r="C2598">
            <v>2.7186929853000001</v>
          </cell>
          <cell r="D2598">
            <v>2.7200318481000001</v>
          </cell>
        </row>
        <row r="2599">
          <cell r="A2599">
            <v>47219</v>
          </cell>
          <cell r="B2599">
            <v>2.7204510391999999</v>
          </cell>
          <cell r="C2599">
            <v>2.7197814223000001</v>
          </cell>
          <cell r="D2599">
            <v>2.7211208211</v>
          </cell>
        </row>
        <row r="2600">
          <cell r="A2600">
            <v>47220</v>
          </cell>
          <cell r="B2600">
            <v>2.7215401799999999</v>
          </cell>
          <cell r="C2600">
            <v>2.7208702949000001</v>
          </cell>
          <cell r="D2600">
            <v>2.72221023</v>
          </cell>
        </row>
        <row r="2601">
          <cell r="A2601">
            <v>47221</v>
          </cell>
          <cell r="B2601">
            <v>2.7226297568</v>
          </cell>
          <cell r="C2601">
            <v>2.7219596036000002</v>
          </cell>
          <cell r="D2601">
            <v>2.7233000751000001</v>
          </cell>
        </row>
        <row r="2602">
          <cell r="A2602">
            <v>47224</v>
          </cell>
          <cell r="B2602">
            <v>2.7237197698000002</v>
          </cell>
          <cell r="C2602">
            <v>2.7230493483</v>
          </cell>
          <cell r="D2602">
            <v>2.7243903564999998</v>
          </cell>
        </row>
        <row r="2603">
          <cell r="A2603">
            <v>47225</v>
          </cell>
          <cell r="B2603">
            <v>2.7248102193000001</v>
          </cell>
          <cell r="C2603">
            <v>2.7241395292999999</v>
          </cell>
          <cell r="D2603">
            <v>2.7254810744000002</v>
          </cell>
        </row>
        <row r="2604">
          <cell r="A2604">
            <v>47226</v>
          </cell>
          <cell r="B2604">
            <v>2.7259011053000002</v>
          </cell>
          <cell r="C2604">
            <v>2.7252301469</v>
          </cell>
          <cell r="D2604">
            <v>2.7265722289999998</v>
          </cell>
        </row>
        <row r="2605">
          <cell r="A2605">
            <v>47227</v>
          </cell>
          <cell r="B2605">
            <v>2.726992428</v>
          </cell>
          <cell r="C2605">
            <v>2.7263212009000002</v>
          </cell>
          <cell r="D2605">
            <v>2.7276638204000001</v>
          </cell>
        </row>
        <row r="2606">
          <cell r="A2606">
            <v>47228</v>
          </cell>
          <cell r="B2606">
            <v>2.7280841876999999</v>
          </cell>
          <cell r="C2606">
            <v>2.7274126919000001</v>
          </cell>
          <cell r="D2606">
            <v>2.7287558489000001</v>
          </cell>
        </row>
        <row r="2607">
          <cell r="A2607">
            <v>47231</v>
          </cell>
          <cell r="B2607">
            <v>2.7291763844000001</v>
          </cell>
          <cell r="C2607">
            <v>2.7285046197999998</v>
          </cell>
          <cell r="D2607">
            <v>2.7298483144999999</v>
          </cell>
        </row>
        <row r="2608">
          <cell r="A2608">
            <v>47232</v>
          </cell>
          <cell r="B2608">
            <v>2.7302690184</v>
          </cell>
          <cell r="C2608">
            <v>2.7295969848000001</v>
          </cell>
          <cell r="D2608">
            <v>2.7309412174999999</v>
          </cell>
        </row>
        <row r="2609">
          <cell r="A2609">
            <v>47233</v>
          </cell>
          <cell r="B2609">
            <v>2.7313620899000002</v>
          </cell>
          <cell r="C2609">
            <v>2.7306897872999998</v>
          </cell>
          <cell r="D2609">
            <v>2.7320345581000001</v>
          </cell>
        </row>
        <row r="2610">
          <cell r="A2610">
            <v>47234</v>
          </cell>
          <cell r="B2610">
            <v>2.7324555990000001</v>
          </cell>
          <cell r="C2610">
            <v>2.7317830272000001</v>
          </cell>
          <cell r="D2610">
            <v>2.7331283364000001</v>
          </cell>
        </row>
        <row r="2611">
          <cell r="A2611">
            <v>47235</v>
          </cell>
          <cell r="B2611">
            <v>2.7335495457999999</v>
          </cell>
          <cell r="C2611">
            <v>2.7328767047999998</v>
          </cell>
          <cell r="D2611">
            <v>2.7342225525999999</v>
          </cell>
        </row>
        <row r="2612">
          <cell r="A2612">
            <v>47238</v>
          </cell>
          <cell r="B2612">
            <v>2.7346439305999999</v>
          </cell>
          <cell r="C2612">
            <v>2.7339708202000002</v>
          </cell>
          <cell r="D2612">
            <v>2.7353172068</v>
          </cell>
        </row>
        <row r="2613">
          <cell r="A2613">
            <v>47240</v>
          </cell>
          <cell r="B2613">
            <v>2.7357387536000002</v>
          </cell>
          <cell r="C2613">
            <v>2.7350653736999999</v>
          </cell>
          <cell r="D2613">
            <v>2.7364122994</v>
          </cell>
        </row>
        <row r="2614">
          <cell r="A2614">
            <v>47241</v>
          </cell>
          <cell r="B2614">
            <v>2.7368340148999999</v>
          </cell>
          <cell r="C2614">
            <v>2.7361603654</v>
          </cell>
          <cell r="D2614">
            <v>2.7375078302999998</v>
          </cell>
        </row>
        <row r="2615">
          <cell r="A2615">
            <v>47242</v>
          </cell>
          <cell r="B2615">
            <v>2.7379297145999999</v>
          </cell>
          <cell r="C2615">
            <v>2.7372557953999999</v>
          </cell>
          <cell r="D2615">
            <v>2.7386037997999999</v>
          </cell>
        </row>
        <row r="2616">
          <cell r="A2616">
            <v>47245</v>
          </cell>
          <cell r="B2616">
            <v>2.7390258529999998</v>
          </cell>
          <cell r="C2616">
            <v>2.7383516641000001</v>
          </cell>
          <cell r="D2616">
            <v>2.7397002080999999</v>
          </cell>
        </row>
        <row r="2617">
          <cell r="A2617">
            <v>47246</v>
          </cell>
          <cell r="B2617">
            <v>2.7401224304</v>
          </cell>
          <cell r="C2617">
            <v>2.7394479715000002</v>
          </cell>
          <cell r="D2617">
            <v>2.7407970553999998</v>
          </cell>
        </row>
        <row r="2618">
          <cell r="A2618">
            <v>47247</v>
          </cell>
          <cell r="B2618">
            <v>2.7412194467000002</v>
          </cell>
          <cell r="C2618">
            <v>2.7405447178000002</v>
          </cell>
          <cell r="D2618">
            <v>2.7418943418000001</v>
          </cell>
        </row>
        <row r="2619">
          <cell r="A2619">
            <v>47248</v>
          </cell>
          <cell r="B2619">
            <v>2.7423169020999998</v>
          </cell>
          <cell r="C2619">
            <v>2.7416419030000001</v>
          </cell>
          <cell r="D2619">
            <v>2.7429920673999999</v>
          </cell>
        </row>
        <row r="2620">
          <cell r="A2620">
            <v>47249</v>
          </cell>
          <cell r="B2620">
            <v>2.7434147969999998</v>
          </cell>
          <cell r="C2620">
            <v>2.7427395277</v>
          </cell>
          <cell r="D2620">
            <v>2.7440902326000001</v>
          </cell>
        </row>
        <row r="2621">
          <cell r="A2621">
            <v>47252</v>
          </cell>
          <cell r="B2621">
            <v>2.7445131314000002</v>
          </cell>
          <cell r="C2621">
            <v>2.7438375917000002</v>
          </cell>
          <cell r="D2621">
            <v>2.7451888374000002</v>
          </cell>
        </row>
        <row r="2622">
          <cell r="A2622">
            <v>47253</v>
          </cell>
          <cell r="B2622">
            <v>2.7456119055000001</v>
          </cell>
          <cell r="C2622">
            <v>2.7449360953999999</v>
          </cell>
          <cell r="D2622">
            <v>2.7462878820999999</v>
          </cell>
        </row>
        <row r="2623">
          <cell r="A2623">
            <v>47254</v>
          </cell>
          <cell r="B2623">
            <v>2.7467111195</v>
          </cell>
          <cell r="C2623">
            <v>2.7460350389000001</v>
          </cell>
          <cell r="D2623">
            <v>2.7473873666999999</v>
          </cell>
        </row>
        <row r="2624">
          <cell r="A2624">
            <v>47255</v>
          </cell>
          <cell r="B2624">
            <v>2.7478107736999999</v>
          </cell>
          <cell r="C2624">
            <v>2.7471344222999998</v>
          </cell>
          <cell r="D2624">
            <v>2.7484872916</v>
          </cell>
        </row>
        <row r="2625">
          <cell r="A2625">
            <v>47256</v>
          </cell>
          <cell r="B2625">
            <v>2.7489108678999998</v>
          </cell>
          <cell r="C2625">
            <v>2.7482342458</v>
          </cell>
          <cell r="D2625">
            <v>2.7495876567000002</v>
          </cell>
        </row>
        <row r="2626">
          <cell r="A2626">
            <v>47259</v>
          </cell>
          <cell r="B2626">
            <v>2.7500114027999998</v>
          </cell>
          <cell r="C2626">
            <v>2.7493345098000002</v>
          </cell>
          <cell r="D2626">
            <v>2.7506884624999999</v>
          </cell>
        </row>
        <row r="2627">
          <cell r="A2627">
            <v>47260</v>
          </cell>
          <cell r="B2627">
            <v>2.7511123781000002</v>
          </cell>
          <cell r="C2627">
            <v>2.7504352140999999</v>
          </cell>
          <cell r="D2627">
            <v>2.7517897089000001</v>
          </cell>
        </row>
        <row r="2628">
          <cell r="A2628">
            <v>47261</v>
          </cell>
          <cell r="B2628">
            <v>2.7522137941999998</v>
          </cell>
          <cell r="C2628">
            <v>2.7515363591000002</v>
          </cell>
          <cell r="D2628">
            <v>2.7528913961999999</v>
          </cell>
        </row>
        <row r="2629">
          <cell r="A2629">
            <v>47262</v>
          </cell>
          <cell r="B2629">
            <v>2.7533156513999999</v>
          </cell>
          <cell r="C2629">
            <v>2.7526379451</v>
          </cell>
          <cell r="D2629">
            <v>2.7539935245999998</v>
          </cell>
        </row>
        <row r="2630">
          <cell r="A2630">
            <v>47263</v>
          </cell>
          <cell r="B2630">
            <v>2.7544179497000001</v>
          </cell>
          <cell r="C2630">
            <v>2.753739972</v>
          </cell>
          <cell r="D2630">
            <v>2.7550960942999998</v>
          </cell>
        </row>
        <row r="2631">
          <cell r="A2631">
            <v>47266</v>
          </cell>
          <cell r="B2631">
            <v>2.7555206891999999</v>
          </cell>
          <cell r="C2631">
            <v>2.7548424401</v>
          </cell>
          <cell r="D2631">
            <v>2.7561991052999999</v>
          </cell>
        </row>
        <row r="2632">
          <cell r="A2632">
            <v>47267</v>
          </cell>
          <cell r="B2632">
            <v>2.7566238701999999</v>
          </cell>
          <cell r="C2632">
            <v>2.7559453496000001</v>
          </cell>
          <cell r="D2632">
            <v>2.7573025579000001</v>
          </cell>
        </row>
        <row r="2633">
          <cell r="A2633">
            <v>47268</v>
          </cell>
          <cell r="B2633">
            <v>2.7577274928</v>
          </cell>
          <cell r="C2633">
            <v>2.7570487006</v>
          </cell>
          <cell r="D2633">
            <v>2.7584064523</v>
          </cell>
        </row>
        <row r="2634">
          <cell r="A2634">
            <v>47270</v>
          </cell>
          <cell r="B2634">
            <v>2.7588315574000002</v>
          </cell>
          <cell r="C2634">
            <v>2.7581524933999999</v>
          </cell>
          <cell r="D2634">
            <v>2.7595107887000001</v>
          </cell>
        </row>
        <row r="2635">
          <cell r="A2635">
            <v>47273</v>
          </cell>
          <cell r="B2635">
            <v>2.7599360640000001</v>
          </cell>
          <cell r="C2635">
            <v>2.7592567281</v>
          </cell>
          <cell r="D2635">
            <v>2.7606155671999999</v>
          </cell>
        </row>
        <row r="2636">
          <cell r="A2636">
            <v>47274</v>
          </cell>
          <cell r="B2636">
            <v>2.7610410127999998</v>
          </cell>
          <cell r="C2636">
            <v>2.7603614048999998</v>
          </cell>
          <cell r="D2636">
            <v>2.7617207879999999</v>
          </cell>
        </row>
        <row r="2637">
          <cell r="A2637">
            <v>47275</v>
          </cell>
          <cell r="B2637">
            <v>2.7621464038000001</v>
          </cell>
          <cell r="C2637">
            <v>2.7614665238999998</v>
          </cell>
          <cell r="D2637">
            <v>2.7628264512</v>
          </cell>
        </row>
        <row r="2638">
          <cell r="A2638">
            <v>47276</v>
          </cell>
          <cell r="B2638">
            <v>2.7632522374000001</v>
          </cell>
          <cell r="C2638">
            <v>2.7625720853</v>
          </cell>
          <cell r="D2638">
            <v>2.7639325571</v>
          </cell>
        </row>
        <row r="2639">
          <cell r="A2639">
            <v>47277</v>
          </cell>
          <cell r="B2639">
            <v>2.7643585139</v>
          </cell>
          <cell r="C2639">
            <v>2.7636780894999999</v>
          </cell>
          <cell r="D2639">
            <v>2.7650391059000001</v>
          </cell>
        </row>
        <row r="2640">
          <cell r="A2640">
            <v>47280</v>
          </cell>
          <cell r="B2640">
            <v>2.7654652332</v>
          </cell>
          <cell r="C2640">
            <v>2.7647845364000001</v>
          </cell>
          <cell r="D2640">
            <v>2.7661460977000001</v>
          </cell>
        </row>
        <row r="2641">
          <cell r="A2641">
            <v>47281</v>
          </cell>
          <cell r="B2641">
            <v>2.7665723954999999</v>
          </cell>
          <cell r="C2641">
            <v>2.7658914262000001</v>
          </cell>
          <cell r="D2641">
            <v>2.7672535325999998</v>
          </cell>
        </row>
        <row r="2642">
          <cell r="A2642">
            <v>47282</v>
          </cell>
          <cell r="B2642">
            <v>2.7676800011</v>
          </cell>
          <cell r="C2642">
            <v>2.7669987590999998</v>
          </cell>
          <cell r="D2642">
            <v>2.7683614108999999</v>
          </cell>
        </row>
        <row r="2643">
          <cell r="A2643">
            <v>47283</v>
          </cell>
          <cell r="B2643">
            <v>2.7687880502</v>
          </cell>
          <cell r="C2643">
            <v>2.7681065354999999</v>
          </cell>
          <cell r="D2643">
            <v>2.7694697328000002</v>
          </cell>
        </row>
        <row r="2644">
          <cell r="A2644">
            <v>47284</v>
          </cell>
          <cell r="B2644">
            <v>2.7698965429000002</v>
          </cell>
          <cell r="C2644">
            <v>2.7692147553000002</v>
          </cell>
          <cell r="D2644">
            <v>2.7705784983999999</v>
          </cell>
        </row>
        <row r="2645">
          <cell r="A2645">
            <v>47287</v>
          </cell>
          <cell r="B2645">
            <v>2.7710054792999999</v>
          </cell>
          <cell r="C2645">
            <v>2.7703234187999999</v>
          </cell>
          <cell r="D2645">
            <v>2.7716877078</v>
          </cell>
        </row>
        <row r="2646">
          <cell r="A2646">
            <v>47288</v>
          </cell>
          <cell r="B2646">
            <v>2.7721148596999998</v>
          </cell>
          <cell r="C2646">
            <v>2.7714325261999999</v>
          </cell>
          <cell r="D2646">
            <v>2.7727973613999999</v>
          </cell>
        </row>
        <row r="2647">
          <cell r="A2647">
            <v>47289</v>
          </cell>
          <cell r="B2647">
            <v>2.7732246843000001</v>
          </cell>
          <cell r="C2647">
            <v>2.7725420775999998</v>
          </cell>
          <cell r="D2647">
            <v>2.7739074592000001</v>
          </cell>
        </row>
        <row r="2648">
          <cell r="A2648">
            <v>47290</v>
          </cell>
          <cell r="B2648">
            <v>2.7743349530999999</v>
          </cell>
          <cell r="C2648">
            <v>2.7736520731000001</v>
          </cell>
          <cell r="D2648">
            <v>2.7750180013999999</v>
          </cell>
        </row>
        <row r="2649">
          <cell r="A2649">
            <v>47291</v>
          </cell>
          <cell r="B2649">
            <v>2.7754456665</v>
          </cell>
          <cell r="C2649">
            <v>2.7747625131000002</v>
          </cell>
          <cell r="D2649">
            <v>2.7761289882</v>
          </cell>
        </row>
        <row r="2650">
          <cell r="A2650">
            <v>47294</v>
          </cell>
          <cell r="B2650">
            <v>2.7765568246000001</v>
          </cell>
          <cell r="C2650">
            <v>2.7758733976999999</v>
          </cell>
          <cell r="D2650">
            <v>2.7772404199</v>
          </cell>
        </row>
        <row r="2651">
          <cell r="A2651">
            <v>47295</v>
          </cell>
          <cell r="B2651">
            <v>2.7776684275000001</v>
          </cell>
          <cell r="C2651">
            <v>2.7769847269999999</v>
          </cell>
          <cell r="D2651">
            <v>2.7783522965</v>
          </cell>
        </row>
        <row r="2652">
          <cell r="A2652">
            <v>47296</v>
          </cell>
          <cell r="B2652">
            <v>2.7787804754000001</v>
          </cell>
          <cell r="C2652">
            <v>2.7780965011999998</v>
          </cell>
          <cell r="D2652">
            <v>2.7794646182</v>
          </cell>
        </row>
        <row r="2653">
          <cell r="A2653">
            <v>47297</v>
          </cell>
          <cell r="B2653">
            <v>2.7798929687</v>
          </cell>
          <cell r="C2653">
            <v>2.7792087205999998</v>
          </cell>
          <cell r="D2653">
            <v>2.7805773853</v>
          </cell>
        </row>
        <row r="2654">
          <cell r="A2654">
            <v>47298</v>
          </cell>
          <cell r="B2654">
            <v>2.7810059071</v>
          </cell>
          <cell r="C2654">
            <v>2.7803213851000002</v>
          </cell>
          <cell r="D2654">
            <v>2.7816905977999999</v>
          </cell>
        </row>
        <row r="2655">
          <cell r="A2655">
            <v>47301</v>
          </cell>
          <cell r="B2655">
            <v>2.7821192912999999</v>
          </cell>
          <cell r="C2655">
            <v>2.7814344952000001</v>
          </cell>
          <cell r="D2655">
            <v>2.7828042560999999</v>
          </cell>
        </row>
        <row r="2656">
          <cell r="A2656">
            <v>47302</v>
          </cell>
          <cell r="B2656">
            <v>2.7832331210999999</v>
          </cell>
          <cell r="C2656">
            <v>2.7825480509</v>
          </cell>
          <cell r="D2656">
            <v>2.7839183600999999</v>
          </cell>
        </row>
        <row r="2657">
          <cell r="A2657">
            <v>47303</v>
          </cell>
          <cell r="B2657">
            <v>2.7843473969999999</v>
          </cell>
          <cell r="C2657">
            <v>2.7836620524</v>
          </cell>
          <cell r="D2657">
            <v>2.7850329103</v>
          </cell>
        </row>
        <row r="2658">
          <cell r="A2658">
            <v>47304</v>
          </cell>
          <cell r="B2658">
            <v>2.7854621187999999</v>
          </cell>
          <cell r="C2658">
            <v>2.7847764999</v>
          </cell>
          <cell r="D2658">
            <v>2.7861479066000001</v>
          </cell>
        </row>
        <row r="2659">
          <cell r="A2659">
            <v>47305</v>
          </cell>
          <cell r="B2659">
            <v>2.7865772870000001</v>
          </cell>
          <cell r="C2659">
            <v>2.7858913936</v>
          </cell>
          <cell r="D2659">
            <v>2.7872633492999999</v>
          </cell>
        </row>
        <row r="2660">
          <cell r="A2660">
            <v>47308</v>
          </cell>
          <cell r="B2660">
            <v>2.7876929016999998</v>
          </cell>
          <cell r="C2660">
            <v>2.7870067337000002</v>
          </cell>
          <cell r="D2660">
            <v>2.7883792387000002</v>
          </cell>
        </row>
        <row r="2661">
          <cell r="A2661">
            <v>47309</v>
          </cell>
          <cell r="B2661">
            <v>2.7888089629000001</v>
          </cell>
          <cell r="C2661">
            <v>2.7881225202</v>
          </cell>
          <cell r="D2661">
            <v>2.7894955747000001</v>
          </cell>
        </row>
        <row r="2662">
          <cell r="A2662">
            <v>47310</v>
          </cell>
          <cell r="B2662">
            <v>2.7899254710000001</v>
          </cell>
          <cell r="C2662">
            <v>2.7892387534999998</v>
          </cell>
          <cell r="D2662">
            <v>2.7906123577000002</v>
          </cell>
        </row>
        <row r="2663">
          <cell r="A2663">
            <v>47311</v>
          </cell>
          <cell r="B2663">
            <v>2.7910424261000002</v>
          </cell>
          <cell r="C2663">
            <v>2.7903554336999998</v>
          </cell>
          <cell r="D2663">
            <v>2.7917295877999999</v>
          </cell>
        </row>
        <row r="2664">
          <cell r="A2664">
            <v>47312</v>
          </cell>
          <cell r="B2664">
            <v>2.7921598284</v>
          </cell>
          <cell r="C2664">
            <v>2.7914725609</v>
          </cell>
          <cell r="D2664">
            <v>2.7928472651999998</v>
          </cell>
        </row>
        <row r="2665">
          <cell r="A2665">
            <v>47315</v>
          </cell>
          <cell r="B2665">
            <v>2.7932776779999999</v>
          </cell>
          <cell r="C2665">
            <v>2.7925901353999998</v>
          </cell>
          <cell r="D2665">
            <v>2.7939653899999999</v>
          </cell>
        </row>
        <row r="2666">
          <cell r="A2666">
            <v>47316</v>
          </cell>
          <cell r="B2666">
            <v>2.7943959752</v>
          </cell>
          <cell r="C2666">
            <v>2.7937081573000002</v>
          </cell>
          <cell r="D2666">
            <v>2.7950839625000001</v>
          </cell>
        </row>
        <row r="2667">
          <cell r="A2667">
            <v>47317</v>
          </cell>
          <cell r="B2667">
            <v>2.7955147199999999</v>
          </cell>
          <cell r="C2667">
            <v>2.7948266267999999</v>
          </cell>
          <cell r="D2667">
            <v>2.7962029828000001</v>
          </cell>
        </row>
        <row r="2668">
          <cell r="A2668">
            <v>47318</v>
          </cell>
          <cell r="B2668">
            <v>2.7966339128</v>
          </cell>
          <cell r="C2668">
            <v>2.7959455440999998</v>
          </cell>
          <cell r="D2668">
            <v>2.7973224510999999</v>
          </cell>
        </row>
        <row r="2669">
          <cell r="A2669">
            <v>47319</v>
          </cell>
          <cell r="B2669">
            <v>2.7977535536000002</v>
          </cell>
          <cell r="C2669">
            <v>2.7970649093</v>
          </cell>
          <cell r="D2669">
            <v>2.7984423675999999</v>
          </cell>
        </row>
        <row r="2670">
          <cell r="A2670">
            <v>47322</v>
          </cell>
          <cell r="B2670">
            <v>2.7988736427999998</v>
          </cell>
          <cell r="C2670">
            <v>2.7981847226999998</v>
          </cell>
          <cell r="D2670">
            <v>2.7995627325000001</v>
          </cell>
        </row>
        <row r="2671">
          <cell r="A2671">
            <v>47323</v>
          </cell>
          <cell r="B2671">
            <v>2.7999941803000001</v>
          </cell>
          <cell r="C2671">
            <v>2.7993049844</v>
          </cell>
          <cell r="D2671">
            <v>2.8006835459000001</v>
          </cell>
        </row>
        <row r="2672">
          <cell r="A2672">
            <v>47324</v>
          </cell>
          <cell r="B2672">
            <v>2.8011151663999998</v>
          </cell>
          <cell r="C2672">
            <v>2.8004256945999999</v>
          </cell>
          <cell r="D2672">
            <v>2.801804808</v>
          </cell>
        </row>
        <row r="2673">
          <cell r="A2673">
            <v>47325</v>
          </cell>
          <cell r="B2673">
            <v>2.8022366013000002</v>
          </cell>
          <cell r="C2673">
            <v>2.8015468535000001</v>
          </cell>
          <cell r="D2673">
            <v>2.8029265190000001</v>
          </cell>
        </row>
        <row r="2674">
          <cell r="A2674">
            <v>47326</v>
          </cell>
          <cell r="B2674">
            <v>2.8033584852</v>
          </cell>
          <cell r="C2674">
            <v>2.8026684612000001</v>
          </cell>
          <cell r="D2674">
            <v>2.8040486791000001</v>
          </cell>
        </row>
        <row r="2675">
          <cell r="A2675">
            <v>47329</v>
          </cell>
          <cell r="B2675">
            <v>2.8044808183000001</v>
          </cell>
          <cell r="C2675">
            <v>2.8037905181</v>
          </cell>
          <cell r="D2675">
            <v>2.8051712885</v>
          </cell>
        </row>
        <row r="2676">
          <cell r="A2676">
            <v>47330</v>
          </cell>
          <cell r="B2676">
            <v>2.8056036006</v>
          </cell>
          <cell r="C2676">
            <v>2.8049130241000002</v>
          </cell>
          <cell r="D2676">
            <v>2.8062943473000002</v>
          </cell>
        </row>
        <row r="2677">
          <cell r="A2677">
            <v>47331</v>
          </cell>
          <cell r="B2677">
            <v>2.8067268324999999</v>
          </cell>
          <cell r="C2677">
            <v>2.8060359794999998</v>
          </cell>
          <cell r="D2677">
            <v>2.8074178556999998</v>
          </cell>
        </row>
        <row r="2678">
          <cell r="A2678">
            <v>47332</v>
          </cell>
          <cell r="B2678">
            <v>2.8078505140000001</v>
          </cell>
          <cell r="C2678">
            <v>2.8071593843999998</v>
          </cell>
          <cell r="D2678">
            <v>2.8085418138999998</v>
          </cell>
        </row>
        <row r="2679">
          <cell r="A2679">
            <v>47333</v>
          </cell>
          <cell r="B2679">
            <v>2.8089746455000002</v>
          </cell>
          <cell r="C2679">
            <v>2.8082832392000001</v>
          </cell>
          <cell r="D2679">
            <v>2.8096662221000002</v>
          </cell>
        </row>
        <row r="2680">
          <cell r="A2680">
            <v>47336</v>
          </cell>
          <cell r="B2680">
            <v>2.8100992269999998</v>
          </cell>
          <cell r="C2680">
            <v>2.8094075438999999</v>
          </cell>
          <cell r="D2680">
            <v>2.8107910805</v>
          </cell>
        </row>
        <row r="2681">
          <cell r="A2681">
            <v>47337</v>
          </cell>
          <cell r="B2681">
            <v>2.8112242586999998</v>
          </cell>
          <cell r="C2681">
            <v>2.8105322987000001</v>
          </cell>
          <cell r="D2681">
            <v>2.8119163891999999</v>
          </cell>
        </row>
        <row r="2682">
          <cell r="A2682">
            <v>47338</v>
          </cell>
          <cell r="B2682">
            <v>2.8123497408000002</v>
          </cell>
          <cell r="C2682">
            <v>2.8116575037999998</v>
          </cell>
          <cell r="D2682">
            <v>2.8130421484000001</v>
          </cell>
        </row>
        <row r="2683">
          <cell r="A2683">
            <v>47339</v>
          </cell>
          <cell r="B2683">
            <v>2.8134756735000002</v>
          </cell>
          <cell r="C2683">
            <v>2.8127831592999999</v>
          </cell>
          <cell r="D2683">
            <v>2.8141683582999999</v>
          </cell>
        </row>
        <row r="2684">
          <cell r="A2684">
            <v>47340</v>
          </cell>
          <cell r="B2684">
            <v>2.8146020570000001</v>
          </cell>
          <cell r="C2684">
            <v>2.8139092655</v>
          </cell>
          <cell r="D2684">
            <v>2.8152950191000001</v>
          </cell>
        </row>
        <row r="2685">
          <cell r="A2685">
            <v>47343</v>
          </cell>
          <cell r="B2685">
            <v>2.8157288915000001</v>
          </cell>
          <cell r="C2685">
            <v>2.8150358226000001</v>
          </cell>
          <cell r="D2685">
            <v>2.8164221309999999</v>
          </cell>
        </row>
        <row r="2686">
          <cell r="A2686">
            <v>47344</v>
          </cell>
          <cell r="B2686">
            <v>2.816856177</v>
          </cell>
          <cell r="C2686">
            <v>2.8161628307000002</v>
          </cell>
          <cell r="D2686">
            <v>2.8175496940999998</v>
          </cell>
        </row>
        <row r="2687">
          <cell r="A2687">
            <v>47345</v>
          </cell>
          <cell r="B2687">
            <v>2.8179839139</v>
          </cell>
          <cell r="C2687">
            <v>2.8172902899999999</v>
          </cell>
          <cell r="D2687">
            <v>2.8186777086000001</v>
          </cell>
        </row>
        <row r="2688">
          <cell r="A2688">
            <v>47346</v>
          </cell>
          <cell r="B2688">
            <v>2.8191121023000001</v>
          </cell>
          <cell r="C2688">
            <v>2.8184182007</v>
          </cell>
          <cell r="D2688">
            <v>2.8198061748000001</v>
          </cell>
        </row>
        <row r="2689">
          <cell r="A2689">
            <v>47347</v>
          </cell>
          <cell r="B2689">
            <v>2.8202407423000002</v>
          </cell>
          <cell r="C2689">
            <v>2.8195465629999998</v>
          </cell>
          <cell r="D2689">
            <v>2.8209350927000001</v>
          </cell>
        </row>
        <row r="2690">
          <cell r="A2690">
            <v>47350</v>
          </cell>
          <cell r="B2690">
            <v>2.8213698342</v>
          </cell>
          <cell r="C2690">
            <v>2.8206753770000002</v>
          </cell>
          <cell r="D2690">
            <v>2.8220644626000002</v>
          </cell>
        </row>
        <row r="2691">
          <cell r="A2691">
            <v>47351</v>
          </cell>
          <cell r="B2691">
            <v>2.8224993780999998</v>
          </cell>
          <cell r="C2691">
            <v>2.8218046428000001</v>
          </cell>
          <cell r="D2691">
            <v>2.8231942846</v>
          </cell>
        </row>
        <row r="2692">
          <cell r="A2692">
            <v>47352</v>
          </cell>
          <cell r="B2692">
            <v>2.8236293742999998</v>
          </cell>
          <cell r="C2692">
            <v>2.8229343609000002</v>
          </cell>
          <cell r="D2692">
            <v>2.8243245589999999</v>
          </cell>
        </row>
        <row r="2693">
          <cell r="A2693">
            <v>47353</v>
          </cell>
          <cell r="B2693">
            <v>2.8247598227999999</v>
          </cell>
          <cell r="C2693">
            <v>2.8240645310999999</v>
          </cell>
          <cell r="D2693">
            <v>2.8254552857999999</v>
          </cell>
        </row>
        <row r="2694">
          <cell r="A2694">
            <v>47354</v>
          </cell>
          <cell r="B2694">
            <v>2.8258907240000002</v>
          </cell>
          <cell r="C2694">
            <v>2.8251951539000002</v>
          </cell>
          <cell r="D2694">
            <v>2.8265864654000001</v>
          </cell>
        </row>
        <row r="2695">
          <cell r="A2695">
            <v>47357</v>
          </cell>
          <cell r="B2695">
            <v>2.8270220778000001</v>
          </cell>
          <cell r="C2695">
            <v>2.8263262293000002</v>
          </cell>
          <cell r="D2695">
            <v>2.8277180978000001</v>
          </cell>
        </row>
        <row r="2696">
          <cell r="A2696">
            <v>47358</v>
          </cell>
          <cell r="B2696">
            <v>2.8281538846999998</v>
          </cell>
          <cell r="C2696">
            <v>2.8274577576</v>
          </cell>
          <cell r="D2696">
            <v>2.8288501833000002</v>
          </cell>
        </row>
        <row r="2697">
          <cell r="A2697">
            <v>47359</v>
          </cell>
          <cell r="B2697">
            <v>2.8292861446000002</v>
          </cell>
          <cell r="C2697">
            <v>2.8285897387999999</v>
          </cell>
          <cell r="D2697">
            <v>2.829982722</v>
          </cell>
        </row>
        <row r="2698">
          <cell r="A2698">
            <v>47360</v>
          </cell>
          <cell r="B2698">
            <v>2.8304188579999998</v>
          </cell>
          <cell r="C2698">
            <v>2.8297221733</v>
          </cell>
          <cell r="D2698">
            <v>2.8311157142000001</v>
          </cell>
        </row>
        <row r="2699">
          <cell r="A2699">
            <v>47361</v>
          </cell>
          <cell r="B2699">
            <v>2.8315520247000001</v>
          </cell>
          <cell r="C2699">
            <v>2.8308550610999998</v>
          </cell>
          <cell r="D2699">
            <v>2.8322491598999999</v>
          </cell>
        </row>
        <row r="2700">
          <cell r="A2700">
            <v>47364</v>
          </cell>
          <cell r="B2700">
            <v>2.8326856451000002</v>
          </cell>
          <cell r="C2700">
            <v>2.8319884024999999</v>
          </cell>
          <cell r="D2700">
            <v>2.8333830594</v>
          </cell>
        </row>
        <row r="2701">
          <cell r="A2701">
            <v>47365</v>
          </cell>
          <cell r="B2701">
            <v>2.8338197194000001</v>
          </cell>
          <cell r="C2701">
            <v>2.8331221975999998</v>
          </cell>
          <cell r="D2701">
            <v>2.8345174128999999</v>
          </cell>
        </row>
        <row r="2702">
          <cell r="A2702">
            <v>47366</v>
          </cell>
          <cell r="B2702">
            <v>2.8349542475999998</v>
          </cell>
          <cell r="C2702">
            <v>2.8342564466</v>
          </cell>
          <cell r="D2702">
            <v>2.8356522205000001</v>
          </cell>
        </row>
        <row r="2703">
          <cell r="A2703">
            <v>47367</v>
          </cell>
          <cell r="B2703">
            <v>2.8360892300999998</v>
          </cell>
          <cell r="C2703">
            <v>2.8353911496999999</v>
          </cell>
          <cell r="D2703">
            <v>2.8367874824000001</v>
          </cell>
        </row>
        <row r="2704">
          <cell r="A2704">
            <v>47371</v>
          </cell>
          <cell r="B2704">
            <v>2.8372246670000001</v>
          </cell>
          <cell r="C2704">
            <v>2.8365263072000002</v>
          </cell>
          <cell r="D2704">
            <v>2.8379231989</v>
          </cell>
        </row>
        <row r="2705">
          <cell r="A2705">
            <v>47372</v>
          </cell>
          <cell r="B2705">
            <v>2.8383605584999998</v>
          </cell>
          <cell r="C2705">
            <v>2.8376619190999999</v>
          </cell>
          <cell r="D2705">
            <v>2.8390593700000002</v>
          </cell>
        </row>
        <row r="2706">
          <cell r="A2706">
            <v>47373</v>
          </cell>
          <cell r="B2706">
            <v>2.8394969046999998</v>
          </cell>
          <cell r="C2706">
            <v>2.8387979855999999</v>
          </cell>
          <cell r="D2706">
            <v>2.8401959959999998</v>
          </cell>
        </row>
        <row r="2707">
          <cell r="A2707">
            <v>47374</v>
          </cell>
          <cell r="B2707">
            <v>2.8406337058000002</v>
          </cell>
          <cell r="C2707">
            <v>2.8399345069000002</v>
          </cell>
          <cell r="D2707">
            <v>2.8413330769999998</v>
          </cell>
        </row>
        <row r="2708">
          <cell r="A2708">
            <v>47375</v>
          </cell>
          <cell r="B2708">
            <v>2.8417709621</v>
          </cell>
          <cell r="C2708">
            <v>2.8410714832999999</v>
          </cell>
          <cell r="D2708">
            <v>2.8424706133000002</v>
          </cell>
        </row>
        <row r="2709">
          <cell r="A2709">
            <v>47378</v>
          </cell>
          <cell r="B2709">
            <v>2.8429086737000002</v>
          </cell>
          <cell r="C2709">
            <v>2.8422089148</v>
          </cell>
          <cell r="D2709">
            <v>2.843608605</v>
          </cell>
        </row>
        <row r="2710">
          <cell r="A2710">
            <v>47379</v>
          </cell>
          <cell r="B2710">
            <v>2.8440468407999999</v>
          </cell>
          <cell r="C2710">
            <v>2.8433468018000001</v>
          </cell>
          <cell r="D2710">
            <v>2.8447470522999998</v>
          </cell>
        </row>
        <row r="2711">
          <cell r="A2711">
            <v>47380</v>
          </cell>
          <cell r="B2711">
            <v>2.8451854636</v>
          </cell>
          <cell r="C2711">
            <v>2.8444851443000001</v>
          </cell>
          <cell r="D2711">
            <v>2.8458859554</v>
          </cell>
        </row>
        <row r="2712">
          <cell r="A2712">
            <v>47381</v>
          </cell>
          <cell r="B2712">
            <v>2.8463245421000001</v>
          </cell>
          <cell r="C2712">
            <v>2.8456239424000001</v>
          </cell>
          <cell r="D2712">
            <v>2.8470253144000002</v>
          </cell>
        </row>
        <row r="2713">
          <cell r="A2713">
            <v>47382</v>
          </cell>
          <cell r="B2713">
            <v>2.8474640768000001</v>
          </cell>
          <cell r="C2713">
            <v>2.8467631966</v>
          </cell>
          <cell r="D2713">
            <v>2.8481651295999999</v>
          </cell>
        </row>
        <row r="2714">
          <cell r="A2714">
            <v>47385</v>
          </cell>
          <cell r="B2714">
            <v>2.8486040676000002</v>
          </cell>
          <cell r="C2714">
            <v>2.8479029067999999</v>
          </cell>
          <cell r="D2714">
            <v>2.8493054011000001</v>
          </cell>
        </row>
        <row r="2715">
          <cell r="A2715">
            <v>47386</v>
          </cell>
          <cell r="B2715">
            <v>2.8497445148999998</v>
          </cell>
          <cell r="C2715">
            <v>2.8490430733999998</v>
          </cell>
          <cell r="D2715">
            <v>2.8504461291999998</v>
          </cell>
        </row>
        <row r="2716">
          <cell r="A2716">
            <v>47387</v>
          </cell>
          <cell r="B2716">
            <v>2.8508854186999999</v>
          </cell>
          <cell r="C2716">
            <v>2.8501836963999998</v>
          </cell>
          <cell r="D2716">
            <v>2.8515873139000001</v>
          </cell>
        </row>
        <row r="2717">
          <cell r="A2717">
            <v>47388</v>
          </cell>
          <cell r="B2717">
            <v>2.8520267793</v>
          </cell>
          <cell r="C2717">
            <v>2.8513247760999998</v>
          </cell>
          <cell r="D2717">
            <v>2.8527289554999999</v>
          </cell>
        </row>
        <row r="2718">
          <cell r="A2718">
            <v>47389</v>
          </cell>
          <cell r="B2718">
            <v>2.8531685967999998</v>
          </cell>
          <cell r="C2718">
            <v>2.8524663124999998</v>
          </cell>
          <cell r="D2718">
            <v>2.8538710540999999</v>
          </cell>
        </row>
        <row r="2719">
          <cell r="A2719">
            <v>47392</v>
          </cell>
          <cell r="B2719">
            <v>2.8543108715000001</v>
          </cell>
          <cell r="C2719">
            <v>2.8536083059999999</v>
          </cell>
          <cell r="D2719">
            <v>2.8550136099999999</v>
          </cell>
        </row>
        <row r="2720">
          <cell r="A2720">
            <v>47393</v>
          </cell>
          <cell r="B2720">
            <v>2.8554536035</v>
          </cell>
          <cell r="C2720">
            <v>2.8547507568000001</v>
          </cell>
          <cell r="D2720">
            <v>2.8561566234</v>
          </cell>
        </row>
        <row r="2721">
          <cell r="A2721">
            <v>47394</v>
          </cell>
          <cell r="B2721">
            <v>2.856596793</v>
          </cell>
          <cell r="C2721">
            <v>2.8558936649</v>
          </cell>
          <cell r="D2721">
            <v>2.8573000943000002</v>
          </cell>
        </row>
        <row r="2722">
          <cell r="A2722">
            <v>47395</v>
          </cell>
          <cell r="B2722">
            <v>2.8577404401000002</v>
          </cell>
          <cell r="C2722">
            <v>2.8570370304999999</v>
          </cell>
          <cell r="D2722">
            <v>2.8584440230000001</v>
          </cell>
        </row>
        <row r="2723">
          <cell r="A2723">
            <v>47396</v>
          </cell>
          <cell r="B2723">
            <v>2.8588845451</v>
          </cell>
          <cell r="C2723">
            <v>2.8581808539</v>
          </cell>
          <cell r="D2723">
            <v>2.8595884097000002</v>
          </cell>
        </row>
        <row r="2724">
          <cell r="A2724">
            <v>47399</v>
          </cell>
          <cell r="B2724">
            <v>2.8600291082</v>
          </cell>
          <cell r="C2724">
            <v>2.8593251353000002</v>
          </cell>
          <cell r="D2724">
            <v>2.8607332545999999</v>
          </cell>
        </row>
        <row r="2725">
          <cell r="A2725">
            <v>47400</v>
          </cell>
          <cell r="B2725">
            <v>2.8611741295000002</v>
          </cell>
          <cell r="C2725">
            <v>2.8604698747000001</v>
          </cell>
          <cell r="D2725">
            <v>2.8618785577999999</v>
          </cell>
        </row>
        <row r="2726">
          <cell r="A2726">
            <v>47401</v>
          </cell>
          <cell r="B2726">
            <v>2.8623196092000001</v>
          </cell>
          <cell r="C2726">
            <v>2.8616150724999998</v>
          </cell>
          <cell r="D2726">
            <v>2.8630243195</v>
          </cell>
        </row>
        <row r="2727">
          <cell r="A2727">
            <v>47402</v>
          </cell>
          <cell r="B2727">
            <v>2.8634655475000002</v>
          </cell>
          <cell r="C2727">
            <v>2.8627607287000001</v>
          </cell>
          <cell r="D2727">
            <v>2.8641705398999999</v>
          </cell>
        </row>
        <row r="2728">
          <cell r="A2728">
            <v>47406</v>
          </cell>
          <cell r="B2728">
            <v>2.8646119446</v>
          </cell>
          <cell r="C2728">
            <v>2.8639068436000001</v>
          </cell>
          <cell r="D2728">
            <v>2.8653172193000001</v>
          </cell>
        </row>
        <row r="2729">
          <cell r="A2729">
            <v>47407</v>
          </cell>
          <cell r="B2729">
            <v>2.8657588007000001</v>
          </cell>
          <cell r="C2729">
            <v>2.8650534174</v>
          </cell>
          <cell r="D2729">
            <v>2.8664643577</v>
          </cell>
        </row>
        <row r="2730">
          <cell r="A2730">
            <v>47408</v>
          </cell>
          <cell r="B2730">
            <v>2.8669061158</v>
          </cell>
          <cell r="C2730">
            <v>2.8662004501</v>
          </cell>
          <cell r="D2730">
            <v>2.8676119553000001</v>
          </cell>
        </row>
        <row r="2731">
          <cell r="A2731">
            <v>47409</v>
          </cell>
          <cell r="B2731">
            <v>2.8680538904000001</v>
          </cell>
          <cell r="C2731">
            <v>2.8673479421999999</v>
          </cell>
          <cell r="D2731">
            <v>2.8687600125000001</v>
          </cell>
        </row>
        <row r="2732">
          <cell r="A2732">
            <v>47410</v>
          </cell>
          <cell r="B2732">
            <v>2.8692021244000001</v>
          </cell>
          <cell r="C2732">
            <v>2.8684958936</v>
          </cell>
          <cell r="D2732">
            <v>2.8699085291999999</v>
          </cell>
        </row>
        <row r="2733">
          <cell r="A2733">
            <v>47413</v>
          </cell>
          <cell r="B2733">
            <v>2.8703508180999999</v>
          </cell>
          <cell r="C2733">
            <v>2.8696443045</v>
          </cell>
          <cell r="D2733">
            <v>2.8710575057000001</v>
          </cell>
        </row>
        <row r="2734">
          <cell r="A2734">
            <v>47414</v>
          </cell>
          <cell r="B2734">
            <v>2.8714999718000001</v>
          </cell>
          <cell r="C2734">
            <v>2.8707931753999998</v>
          </cell>
          <cell r="D2734">
            <v>2.8722069423000001</v>
          </cell>
        </row>
        <row r="2735">
          <cell r="A2735">
            <v>47415</v>
          </cell>
          <cell r="B2735">
            <v>2.8726495854</v>
          </cell>
          <cell r="C2735">
            <v>2.8719425060999999</v>
          </cell>
          <cell r="D2735">
            <v>2.8733568389999999</v>
          </cell>
        </row>
        <row r="2736">
          <cell r="A2736">
            <v>47416</v>
          </cell>
          <cell r="B2736">
            <v>2.8737996593999999</v>
          </cell>
          <cell r="C2736">
            <v>2.8730922968999999</v>
          </cell>
          <cell r="D2736">
            <v>2.8745071961000002</v>
          </cell>
        </row>
        <row r="2737">
          <cell r="A2737">
            <v>47417</v>
          </cell>
          <cell r="B2737">
            <v>2.8749501938000002</v>
          </cell>
          <cell r="C2737">
            <v>2.8742425481999998</v>
          </cell>
          <cell r="D2737">
            <v>2.8756580137999999</v>
          </cell>
        </row>
        <row r="2738">
          <cell r="A2738">
            <v>47420</v>
          </cell>
          <cell r="B2738">
            <v>2.8761011886999999</v>
          </cell>
          <cell r="C2738">
            <v>2.8753932598</v>
          </cell>
          <cell r="D2738">
            <v>2.8768092920999999</v>
          </cell>
        </row>
        <row r="2739">
          <cell r="A2739">
            <v>47421</v>
          </cell>
          <cell r="B2739">
            <v>2.8772526446</v>
          </cell>
          <cell r="C2739">
            <v>2.8765444321999998</v>
          </cell>
          <cell r="D2739">
            <v>2.8779610313999999</v>
          </cell>
        </row>
        <row r="2740">
          <cell r="A2740">
            <v>47422</v>
          </cell>
          <cell r="B2740">
            <v>2.8784045614</v>
          </cell>
          <cell r="C2740">
            <v>2.8776960653999999</v>
          </cell>
          <cell r="D2740">
            <v>2.8791132317999999</v>
          </cell>
        </row>
        <row r="2741">
          <cell r="A2741">
            <v>47423</v>
          </cell>
          <cell r="B2741">
            <v>2.8795569393</v>
          </cell>
          <cell r="C2741">
            <v>2.8788481598</v>
          </cell>
          <cell r="D2741">
            <v>2.8802658934999998</v>
          </cell>
        </row>
        <row r="2742">
          <cell r="A2742">
            <v>47427</v>
          </cell>
          <cell r="B2742">
            <v>2.8807097786</v>
          </cell>
          <cell r="C2742">
            <v>2.8800007153</v>
          </cell>
          <cell r="D2742">
            <v>2.8814190166000002</v>
          </cell>
        </row>
        <row r="2743">
          <cell r="A2743">
            <v>47428</v>
          </cell>
          <cell r="B2743">
            <v>2.8818630796</v>
          </cell>
          <cell r="C2743">
            <v>2.8811537323</v>
          </cell>
          <cell r="D2743">
            <v>2.8825726015000002</v>
          </cell>
        </row>
        <row r="2744">
          <cell r="A2744">
            <v>47429</v>
          </cell>
          <cell r="B2744">
            <v>2.8830168421</v>
          </cell>
          <cell r="C2744">
            <v>2.8823072109000001</v>
          </cell>
          <cell r="D2744">
            <v>2.8837266481000001</v>
          </cell>
        </row>
        <row r="2745">
          <cell r="A2745">
            <v>47430</v>
          </cell>
          <cell r="B2745">
            <v>2.8841710666</v>
          </cell>
          <cell r="C2745">
            <v>2.8834611513000001</v>
          </cell>
          <cell r="D2745">
            <v>2.8848811568000001</v>
          </cell>
        </row>
        <row r="2746">
          <cell r="A2746">
            <v>47431</v>
          </cell>
          <cell r="B2746">
            <v>2.8853257532000001</v>
          </cell>
          <cell r="C2746">
            <v>2.8846155536999998</v>
          </cell>
          <cell r="D2746">
            <v>2.8860361277000002</v>
          </cell>
        </row>
        <row r="2747">
          <cell r="A2747">
            <v>47434</v>
          </cell>
          <cell r="B2747">
            <v>2.8864809021000002</v>
          </cell>
          <cell r="C2747">
            <v>2.8857704182999999</v>
          </cell>
          <cell r="D2747">
            <v>2.8871915609999999</v>
          </cell>
        </row>
        <row r="2748">
          <cell r="A2748">
            <v>47435</v>
          </cell>
          <cell r="B2748">
            <v>2.8876365133999999</v>
          </cell>
          <cell r="C2748">
            <v>2.8869257451000001</v>
          </cell>
          <cell r="D2748">
            <v>2.8883474568</v>
          </cell>
        </row>
        <row r="2749">
          <cell r="A2749">
            <v>47436</v>
          </cell>
          <cell r="B2749">
            <v>2.8887925873999998</v>
          </cell>
          <cell r="C2749">
            <v>2.8880815344999999</v>
          </cell>
          <cell r="D2749">
            <v>2.8895038153999999</v>
          </cell>
        </row>
        <row r="2750">
          <cell r="A2750">
            <v>47438</v>
          </cell>
          <cell r="B2750">
            <v>2.8899491243000002</v>
          </cell>
          <cell r="C2750">
            <v>2.8892377866999999</v>
          </cell>
          <cell r="D2750">
            <v>2.8906606369999999</v>
          </cell>
        </row>
        <row r="2751">
          <cell r="A2751">
            <v>47441</v>
          </cell>
          <cell r="B2751">
            <v>2.8911061241999998</v>
          </cell>
          <cell r="C2751">
            <v>2.8903945018999999</v>
          </cell>
          <cell r="D2751">
            <v>2.8918179218</v>
          </cell>
        </row>
        <row r="2752">
          <cell r="A2752">
            <v>47442</v>
          </cell>
          <cell r="B2752">
            <v>2.8922635872</v>
          </cell>
          <cell r="C2752">
            <v>2.8915516800000001</v>
          </cell>
          <cell r="D2752">
            <v>2.8929756698000002</v>
          </cell>
        </row>
        <row r="2753">
          <cell r="A2753">
            <v>47443</v>
          </cell>
          <cell r="B2753">
            <v>2.8934215135999999</v>
          </cell>
          <cell r="C2753">
            <v>2.8927093213999999</v>
          </cell>
          <cell r="D2753">
            <v>2.8941338813000002</v>
          </cell>
        </row>
        <row r="2754">
          <cell r="A2754">
            <v>47444</v>
          </cell>
          <cell r="B2754">
            <v>2.8945799037</v>
          </cell>
          <cell r="C2754">
            <v>2.8938674263999999</v>
          </cell>
          <cell r="D2754">
            <v>2.8952925565999998</v>
          </cell>
        </row>
        <row r="2755">
          <cell r="A2755">
            <v>47445</v>
          </cell>
          <cell r="B2755">
            <v>2.8957387575000002</v>
          </cell>
          <cell r="C2755">
            <v>2.8950259949000001</v>
          </cell>
          <cell r="D2755">
            <v>2.8964516957000002</v>
          </cell>
        </row>
        <row r="2756">
          <cell r="A2756">
            <v>47448</v>
          </cell>
          <cell r="B2756">
            <v>2.8968980753000002</v>
          </cell>
          <cell r="C2756">
            <v>2.8961850274000001</v>
          </cell>
          <cell r="D2756">
            <v>2.8976112988999998</v>
          </cell>
        </row>
        <row r="2757">
          <cell r="A2757">
            <v>47449</v>
          </cell>
          <cell r="B2757">
            <v>2.8980578572</v>
          </cell>
          <cell r="C2757">
            <v>2.8973445237000002</v>
          </cell>
          <cell r="D2757">
            <v>2.8987713663000001</v>
          </cell>
        </row>
        <row r="2758">
          <cell r="A2758">
            <v>47450</v>
          </cell>
          <cell r="B2758">
            <v>2.8992181034</v>
          </cell>
          <cell r="C2758">
            <v>2.8985044844000001</v>
          </cell>
          <cell r="D2758">
            <v>2.8999318982000002</v>
          </cell>
        </row>
        <row r="2759">
          <cell r="A2759">
            <v>47451</v>
          </cell>
          <cell r="B2759">
            <v>2.9003788141000002</v>
          </cell>
          <cell r="C2759">
            <v>2.8996649094000002</v>
          </cell>
          <cell r="D2759">
            <v>2.9010928947000001</v>
          </cell>
        </row>
        <row r="2760">
          <cell r="A2760">
            <v>47452</v>
          </cell>
          <cell r="B2760">
            <v>2.9015399895999998</v>
          </cell>
          <cell r="C2760">
            <v>2.9008257990000001</v>
          </cell>
          <cell r="D2760">
            <v>2.9022543559999998</v>
          </cell>
        </row>
        <row r="2761">
          <cell r="A2761">
            <v>47455</v>
          </cell>
          <cell r="B2761">
            <v>2.9027016299000001</v>
          </cell>
          <cell r="C2761">
            <v>2.9019871533999999</v>
          </cell>
          <cell r="D2761">
            <v>2.9034162822999998</v>
          </cell>
        </row>
        <row r="2762">
          <cell r="A2762">
            <v>47456</v>
          </cell>
          <cell r="B2762">
            <v>2.9038637351999999</v>
          </cell>
          <cell r="C2762">
            <v>2.9031489726999999</v>
          </cell>
          <cell r="D2762">
            <v>2.9045786738000001</v>
          </cell>
        </row>
        <row r="2763">
          <cell r="A2763">
            <v>47457</v>
          </cell>
          <cell r="B2763">
            <v>2.9050263057999999</v>
          </cell>
          <cell r="C2763">
            <v>2.9043112571999998</v>
          </cell>
          <cell r="D2763">
            <v>2.9057415305999998</v>
          </cell>
        </row>
        <row r="2764">
          <cell r="A2764">
            <v>47458</v>
          </cell>
          <cell r="B2764">
            <v>2.9061893418999998</v>
          </cell>
          <cell r="C2764">
            <v>2.9054740069</v>
          </cell>
          <cell r="D2764">
            <v>2.9069048529999999</v>
          </cell>
        </row>
        <row r="2765">
          <cell r="A2765">
            <v>47459</v>
          </cell>
          <cell r="B2765">
            <v>2.9073528436</v>
          </cell>
          <cell r="C2765">
            <v>2.9066372223000001</v>
          </cell>
          <cell r="D2765">
            <v>2.9080686411999999</v>
          </cell>
        </row>
        <row r="2766">
          <cell r="A2766">
            <v>47462</v>
          </cell>
          <cell r="B2766">
            <v>2.9085168111000002</v>
          </cell>
          <cell r="C2766">
            <v>2.9078009033000001</v>
          </cell>
          <cell r="D2766">
            <v>2.9092328953000002</v>
          </cell>
        </row>
        <row r="2767">
          <cell r="A2767">
            <v>47463</v>
          </cell>
          <cell r="B2767">
            <v>2.9096812446000002</v>
          </cell>
          <cell r="C2767">
            <v>2.9089650500999999</v>
          </cell>
          <cell r="D2767">
            <v>2.9103976154</v>
          </cell>
        </row>
        <row r="2768">
          <cell r="A2768">
            <v>47464</v>
          </cell>
          <cell r="B2768">
            <v>2.9108461443000002</v>
          </cell>
          <cell r="C2768">
            <v>2.9101296631000002</v>
          </cell>
          <cell r="D2768">
            <v>2.9115628019000002</v>
          </cell>
        </row>
        <row r="2769">
          <cell r="A2769">
            <v>47465</v>
          </cell>
          <cell r="B2769">
            <v>2.9120115103000002</v>
          </cell>
          <cell r="C2769">
            <v>2.9112947423</v>
          </cell>
          <cell r="D2769">
            <v>2.9127284548999999</v>
          </cell>
        </row>
        <row r="2770">
          <cell r="A2770">
            <v>47466</v>
          </cell>
          <cell r="B2770">
            <v>2.9131773429000001</v>
          </cell>
          <cell r="C2770">
            <v>2.9124602879000001</v>
          </cell>
          <cell r="D2770">
            <v>2.9138945745</v>
          </cell>
        </row>
        <row r="2771">
          <cell r="A2771">
            <v>47469</v>
          </cell>
          <cell r="B2771">
            <v>2.9143436423</v>
          </cell>
          <cell r="C2771">
            <v>2.9136263001999998</v>
          </cell>
          <cell r="D2771">
            <v>2.9150611610000001</v>
          </cell>
        </row>
        <row r="2772">
          <cell r="A2772">
            <v>47470</v>
          </cell>
          <cell r="B2772">
            <v>2.9155104085999999</v>
          </cell>
          <cell r="C2772">
            <v>2.9147927793999999</v>
          </cell>
          <cell r="D2772">
            <v>2.9162282145999998</v>
          </cell>
        </row>
        <row r="2773">
          <cell r="A2773">
            <v>47471</v>
          </cell>
          <cell r="B2773">
            <v>2.9166776418999998</v>
          </cell>
          <cell r="C2773">
            <v>2.9159597254</v>
          </cell>
          <cell r="D2773">
            <v>2.9173957353</v>
          </cell>
        </row>
        <row r="2774">
          <cell r="A2774">
            <v>47472</v>
          </cell>
          <cell r="B2774">
            <v>2.9178453426000002</v>
          </cell>
          <cell r="C2774">
            <v>2.9171271387000002</v>
          </cell>
          <cell r="D2774">
            <v>2.9185637235000002</v>
          </cell>
        </row>
        <row r="2775">
          <cell r="A2775">
            <v>47473</v>
          </cell>
          <cell r="B2775">
            <v>2.9190135108000002</v>
          </cell>
          <cell r="C2775">
            <v>2.9182950192999999</v>
          </cell>
          <cell r="D2775">
            <v>2.9197321793</v>
          </cell>
        </row>
        <row r="2776">
          <cell r="A2776">
            <v>47476</v>
          </cell>
          <cell r="B2776">
            <v>2.9201821467000002</v>
          </cell>
          <cell r="C2776">
            <v>2.9194633676000001</v>
          </cell>
          <cell r="D2776">
            <v>2.9209011028999998</v>
          </cell>
        </row>
        <row r="2777">
          <cell r="A2777">
            <v>47478</v>
          </cell>
          <cell r="B2777">
            <v>2.9213512504999999</v>
          </cell>
          <cell r="C2777">
            <v>2.9206321836</v>
          </cell>
          <cell r="D2777">
            <v>2.9220704944999998</v>
          </cell>
        </row>
        <row r="2778">
          <cell r="A2778">
            <v>47479</v>
          </cell>
          <cell r="B2778">
            <v>2.9225208223000001</v>
          </cell>
          <cell r="C2778">
            <v>2.9218014674999999</v>
          </cell>
          <cell r="D2778">
            <v>2.9232403542999998</v>
          </cell>
        </row>
        <row r="2779">
          <cell r="A2779">
            <v>47480</v>
          </cell>
          <cell r="B2779">
            <v>2.9236908624</v>
          </cell>
          <cell r="C2779">
            <v>2.9229712195999999</v>
          </cell>
          <cell r="D2779">
            <v>2.9244106824</v>
          </cell>
        </row>
        <row r="2780">
          <cell r="A2780">
            <v>47483</v>
          </cell>
          <cell r="B2780">
            <v>2.9248613708</v>
          </cell>
          <cell r="C2780">
            <v>2.9241414399000001</v>
          </cell>
          <cell r="D2780">
            <v>2.9255814789999999</v>
          </cell>
        </row>
        <row r="2781">
          <cell r="A2781">
            <v>47485</v>
          </cell>
          <cell r="B2781">
            <v>2.9260323479000001</v>
          </cell>
          <cell r="C2781">
            <v>2.9253121287999999</v>
          </cell>
          <cell r="D2781">
            <v>2.9267527443999999</v>
          </cell>
        </row>
        <row r="2782">
          <cell r="A2782">
            <v>47486</v>
          </cell>
          <cell r="B2782">
            <v>2.9271632778000001</v>
          </cell>
          <cell r="C2782">
            <v>2.9264427803999999</v>
          </cell>
          <cell r="D2782">
            <v>2.9278839527999998</v>
          </cell>
        </row>
        <row r="2783">
          <cell r="A2783">
            <v>47487</v>
          </cell>
          <cell r="B2783">
            <v>2.9282946449999998</v>
          </cell>
          <cell r="C2783">
            <v>2.9275738690000002</v>
          </cell>
          <cell r="D2783">
            <v>2.9290155984999999</v>
          </cell>
        </row>
        <row r="2784">
          <cell r="A2784">
            <v>47490</v>
          </cell>
          <cell r="B2784">
            <v>2.9294264493000002</v>
          </cell>
          <cell r="C2784">
            <v>2.9287053948000001</v>
          </cell>
          <cell r="D2784">
            <v>2.9301476814999998</v>
          </cell>
        </row>
        <row r="2785">
          <cell r="A2785">
            <v>47491</v>
          </cell>
          <cell r="B2785">
            <v>2.9305586911999999</v>
          </cell>
          <cell r="C2785">
            <v>2.9298373578999999</v>
          </cell>
          <cell r="D2785">
            <v>2.9312802021</v>
          </cell>
        </row>
        <row r="2786">
          <cell r="A2786">
            <v>47492</v>
          </cell>
          <cell r="B2786">
            <v>2.9316913705999998</v>
          </cell>
          <cell r="C2786">
            <v>2.9309697585999999</v>
          </cell>
          <cell r="D2786">
            <v>2.9324131603999999</v>
          </cell>
        </row>
        <row r="2787">
          <cell r="A2787">
            <v>47493</v>
          </cell>
          <cell r="B2787">
            <v>2.9328244878</v>
          </cell>
          <cell r="C2787">
            <v>2.9321025969000001</v>
          </cell>
          <cell r="D2787">
            <v>2.9335465566000001</v>
          </cell>
        </row>
        <row r="2788">
          <cell r="A2788">
            <v>47494</v>
          </cell>
          <cell r="B2788">
            <v>2.9339580430000001</v>
          </cell>
          <cell r="C2788">
            <v>2.9332358731000001</v>
          </cell>
          <cell r="D2788">
            <v>2.9346803909000001</v>
          </cell>
        </row>
        <row r="2789">
          <cell r="A2789">
            <v>47497</v>
          </cell>
          <cell r="B2789">
            <v>2.9350920363999999</v>
          </cell>
          <cell r="C2789">
            <v>2.9343695873</v>
          </cell>
          <cell r="D2789">
            <v>2.9358146634</v>
          </cell>
        </row>
        <row r="2790">
          <cell r="A2790">
            <v>47498</v>
          </cell>
          <cell r="B2790">
            <v>2.9362264680000001</v>
          </cell>
          <cell r="C2790">
            <v>2.9355037396000001</v>
          </cell>
          <cell r="D2790">
            <v>2.9369493743000001</v>
          </cell>
        </row>
        <row r="2791">
          <cell r="A2791">
            <v>47499</v>
          </cell>
          <cell r="B2791">
            <v>2.9373613380000001</v>
          </cell>
          <cell r="C2791">
            <v>2.9366383304000001</v>
          </cell>
          <cell r="D2791">
            <v>2.9380845238000002</v>
          </cell>
        </row>
        <row r="2792">
          <cell r="A2792">
            <v>47500</v>
          </cell>
          <cell r="B2792">
            <v>2.9384966467</v>
          </cell>
          <cell r="C2792">
            <v>2.9377733596</v>
          </cell>
          <cell r="D2792">
            <v>2.9392201120000001</v>
          </cell>
        </row>
        <row r="2793">
          <cell r="A2793">
            <v>47501</v>
          </cell>
          <cell r="B2793">
            <v>2.9396323942000002</v>
          </cell>
          <cell r="C2793">
            <v>2.9389088276000002</v>
          </cell>
          <cell r="D2793">
            <v>2.9403561390999999</v>
          </cell>
        </row>
        <row r="2794">
          <cell r="A2794">
            <v>47504</v>
          </cell>
          <cell r="B2794">
            <v>2.9407685806999999</v>
          </cell>
          <cell r="C2794">
            <v>2.9400447343999998</v>
          </cell>
          <cell r="D2794">
            <v>2.9414926053000001</v>
          </cell>
        </row>
        <row r="2795">
          <cell r="A2795">
            <v>47505</v>
          </cell>
          <cell r="B2795">
            <v>2.9419052063</v>
          </cell>
          <cell r="C2795">
            <v>2.9411810801999998</v>
          </cell>
          <cell r="D2795">
            <v>2.9426295107999998</v>
          </cell>
        </row>
        <row r="2796">
          <cell r="A2796">
            <v>47506</v>
          </cell>
          <cell r="B2796">
            <v>2.9430422713</v>
          </cell>
          <cell r="C2796">
            <v>2.9423178653000002</v>
          </cell>
          <cell r="D2796">
            <v>2.9437668556999999</v>
          </cell>
        </row>
        <row r="2797">
          <cell r="A2797">
            <v>47507</v>
          </cell>
          <cell r="B2797">
            <v>2.9441797756999999</v>
          </cell>
          <cell r="C2797">
            <v>2.9434550898</v>
          </cell>
          <cell r="D2797">
            <v>2.9449046401999999</v>
          </cell>
        </row>
        <row r="2798">
          <cell r="A2798">
            <v>47508</v>
          </cell>
          <cell r="B2798">
            <v>2.9453177197999998</v>
          </cell>
          <cell r="C2798">
            <v>2.9445927536999998</v>
          </cell>
          <cell r="D2798">
            <v>2.9460428643999998</v>
          </cell>
        </row>
        <row r="2799">
          <cell r="A2799">
            <v>47511</v>
          </cell>
          <cell r="B2799">
            <v>2.9464561037000001</v>
          </cell>
          <cell r="C2799">
            <v>2.9457308574000001</v>
          </cell>
          <cell r="D2799">
            <v>2.9471815285999998</v>
          </cell>
        </row>
        <row r="2800">
          <cell r="A2800">
            <v>47512</v>
          </cell>
          <cell r="B2800">
            <v>2.9475949276</v>
          </cell>
          <cell r="C2800">
            <v>2.9468694009999998</v>
          </cell>
          <cell r="D2800">
            <v>2.9483206328999998</v>
          </cell>
        </row>
        <row r="2801">
          <cell r="A2801">
            <v>47513</v>
          </cell>
          <cell r="B2801">
            <v>2.9487341915999998</v>
          </cell>
          <cell r="C2801">
            <v>2.9480083846</v>
          </cell>
          <cell r="D2801">
            <v>2.9494601774000002</v>
          </cell>
        </row>
        <row r="2802">
          <cell r="A2802">
            <v>47514</v>
          </cell>
          <cell r="B2802">
            <v>2.9498738960000002</v>
          </cell>
          <cell r="C2802">
            <v>2.9491478084999998</v>
          </cell>
          <cell r="D2802">
            <v>2.9506001623999998</v>
          </cell>
        </row>
        <row r="2803">
          <cell r="A2803">
            <v>47515</v>
          </cell>
          <cell r="B2803">
            <v>2.9510140409000001</v>
          </cell>
          <cell r="C2803">
            <v>2.9502876728</v>
          </cell>
          <cell r="D2803">
            <v>2.9517405879999998</v>
          </cell>
        </row>
        <row r="2804">
          <cell r="A2804">
            <v>47518</v>
          </cell>
          <cell r="B2804">
            <v>2.9521546265</v>
          </cell>
          <cell r="C2804">
            <v>2.9514279775999999</v>
          </cell>
          <cell r="D2804">
            <v>2.9528814543999999</v>
          </cell>
        </row>
        <row r="2805">
          <cell r="A2805">
            <v>47519</v>
          </cell>
          <cell r="B2805">
            <v>2.9532956529000001</v>
          </cell>
          <cell r="C2805">
            <v>2.9525687231000002</v>
          </cell>
          <cell r="D2805">
            <v>2.9540227617000001</v>
          </cell>
        </row>
        <row r="2806">
          <cell r="A2806">
            <v>47520</v>
          </cell>
          <cell r="B2806">
            <v>2.9544371202000002</v>
          </cell>
          <cell r="C2806">
            <v>2.9537099095000001</v>
          </cell>
          <cell r="D2806">
            <v>2.9551645100999999</v>
          </cell>
        </row>
        <row r="2807">
          <cell r="A2807">
            <v>47521</v>
          </cell>
          <cell r="B2807">
            <v>2.9555790288999999</v>
          </cell>
          <cell r="C2807">
            <v>2.9548515371000001</v>
          </cell>
          <cell r="D2807">
            <v>2.9563066998999998</v>
          </cell>
        </row>
        <row r="2808">
          <cell r="A2808">
            <v>47522</v>
          </cell>
          <cell r="B2808">
            <v>2.9567213789000002</v>
          </cell>
          <cell r="C2808">
            <v>2.9559936058999998</v>
          </cell>
          <cell r="D2808">
            <v>2.9574493310999999</v>
          </cell>
        </row>
        <row r="2809">
          <cell r="A2809">
            <v>47525</v>
          </cell>
          <cell r="B2809">
            <v>2.9578641703000002</v>
          </cell>
          <cell r="C2809">
            <v>2.957136116</v>
          </cell>
          <cell r="D2809">
            <v>2.9585924039</v>
          </cell>
        </row>
        <row r="2810">
          <cell r="A2810">
            <v>47526</v>
          </cell>
          <cell r="B2810">
            <v>2.9590074034999998</v>
          </cell>
          <cell r="C2810">
            <v>2.9582790678999999</v>
          </cell>
          <cell r="D2810">
            <v>2.9597359185999998</v>
          </cell>
        </row>
        <row r="2811">
          <cell r="A2811">
            <v>47527</v>
          </cell>
          <cell r="B2811">
            <v>2.9601510786</v>
          </cell>
          <cell r="C2811">
            <v>2.9594224614</v>
          </cell>
          <cell r="D2811">
            <v>2.9608798751999998</v>
          </cell>
        </row>
        <row r="2812">
          <cell r="A2812">
            <v>47528</v>
          </cell>
          <cell r="B2812">
            <v>2.9612951957</v>
          </cell>
          <cell r="C2812">
            <v>2.9605662969000002</v>
          </cell>
          <cell r="D2812">
            <v>2.962024274</v>
          </cell>
        </row>
        <row r="2813">
          <cell r="A2813">
            <v>47529</v>
          </cell>
          <cell r="B2813">
            <v>2.9624397550000001</v>
          </cell>
          <cell r="C2813">
            <v>2.9617105745000001</v>
          </cell>
          <cell r="D2813">
            <v>2.9631691150999999</v>
          </cell>
        </row>
        <row r="2814">
          <cell r="A2814">
            <v>47532</v>
          </cell>
          <cell r="B2814">
            <v>2.9635847567</v>
          </cell>
          <cell r="C2814">
            <v>2.9628552943000002</v>
          </cell>
          <cell r="D2814">
            <v>2.9643143987</v>
          </cell>
        </row>
        <row r="2815">
          <cell r="A2815">
            <v>47533</v>
          </cell>
          <cell r="B2815">
            <v>2.9647302009000001</v>
          </cell>
          <cell r="C2815">
            <v>2.9640004566</v>
          </cell>
          <cell r="D2815">
            <v>2.9654601248999999</v>
          </cell>
        </row>
        <row r="2816">
          <cell r="A2816">
            <v>47534</v>
          </cell>
          <cell r="B2816">
            <v>2.9658760877999999</v>
          </cell>
          <cell r="C2816">
            <v>2.9651460615</v>
          </cell>
          <cell r="D2816">
            <v>2.966606294</v>
          </cell>
        </row>
        <row r="2817">
          <cell r="A2817">
            <v>47535</v>
          </cell>
          <cell r="B2817">
            <v>2.9670224176</v>
          </cell>
          <cell r="C2817">
            <v>2.9662921090999999</v>
          </cell>
          <cell r="D2817">
            <v>2.9677529059999999</v>
          </cell>
        </row>
        <row r="2818">
          <cell r="A2818">
            <v>47536</v>
          </cell>
          <cell r="B2818">
            <v>2.9681691905999998</v>
          </cell>
          <cell r="C2818">
            <v>2.9674385997999999</v>
          </cell>
          <cell r="D2818">
            <v>2.9688999613</v>
          </cell>
        </row>
        <row r="2819">
          <cell r="A2819">
            <v>47539</v>
          </cell>
          <cell r="B2819">
            <v>2.9693164066</v>
          </cell>
          <cell r="C2819">
            <v>2.9685855335000002</v>
          </cell>
          <cell r="D2819">
            <v>2.9700474598</v>
          </cell>
        </row>
        <row r="2820">
          <cell r="A2820">
            <v>47540</v>
          </cell>
          <cell r="B2820">
            <v>2.9704640661999999</v>
          </cell>
          <cell r="C2820">
            <v>2.9697329105999999</v>
          </cell>
          <cell r="D2820">
            <v>2.9711954019000002</v>
          </cell>
        </row>
        <row r="2821">
          <cell r="A2821">
            <v>47541</v>
          </cell>
          <cell r="B2821">
            <v>2.9716121693000002</v>
          </cell>
          <cell r="C2821">
            <v>2.9708807310999998</v>
          </cell>
          <cell r="D2821">
            <v>2.9723437876999999</v>
          </cell>
        </row>
        <row r="2822">
          <cell r="A2822">
            <v>47542</v>
          </cell>
          <cell r="B2822">
            <v>2.9727607161999998</v>
          </cell>
          <cell r="C2822">
            <v>2.9720289953000001</v>
          </cell>
          <cell r="D2822">
            <v>2.9734926173999998</v>
          </cell>
        </row>
        <row r="2823">
          <cell r="A2823">
            <v>47543</v>
          </cell>
          <cell r="B2823">
            <v>2.9739097069999998</v>
          </cell>
          <cell r="C2823">
            <v>2.9731777033000002</v>
          </cell>
          <cell r="D2823">
            <v>2.9746418911000001</v>
          </cell>
        </row>
        <row r="2824">
          <cell r="A2824">
            <v>47548</v>
          </cell>
          <cell r="B2824">
            <v>2.9750591419000001</v>
          </cell>
          <cell r="C2824">
            <v>2.9743268552000002</v>
          </cell>
          <cell r="D2824">
            <v>2.9757916088999998</v>
          </cell>
        </row>
        <row r="2825">
          <cell r="A2825">
            <v>47549</v>
          </cell>
          <cell r="B2825">
            <v>2.9762090209999998</v>
          </cell>
          <cell r="C2825">
            <v>2.9754764514000001</v>
          </cell>
          <cell r="D2825">
            <v>2.9769417711999999</v>
          </cell>
        </row>
        <row r="2826">
          <cell r="A2826">
            <v>47550</v>
          </cell>
          <cell r="B2826">
            <v>2.9773593446</v>
          </cell>
          <cell r="C2826">
            <v>2.9766264917999998</v>
          </cell>
          <cell r="D2826">
            <v>2.9780923779999999</v>
          </cell>
        </row>
        <row r="2827">
          <cell r="A2827">
            <v>47553</v>
          </cell>
          <cell r="B2827">
            <v>2.9785101128</v>
          </cell>
          <cell r="C2827">
            <v>2.9777769767</v>
          </cell>
          <cell r="D2827">
            <v>2.9792434294999999</v>
          </cell>
        </row>
        <row r="2828">
          <cell r="A2828">
            <v>47554</v>
          </cell>
          <cell r="B2828">
            <v>2.9796613258</v>
          </cell>
          <cell r="C2828">
            <v>2.9789279063</v>
          </cell>
          <cell r="D2828">
            <v>2.9803949259000002</v>
          </cell>
        </row>
        <row r="2829">
          <cell r="A2829">
            <v>47555</v>
          </cell>
          <cell r="B2829">
            <v>2.9808129835999999</v>
          </cell>
          <cell r="C2829">
            <v>2.9800792807000001</v>
          </cell>
          <cell r="D2829">
            <v>2.9815468673000001</v>
          </cell>
        </row>
        <row r="2830">
          <cell r="A2830">
            <v>47556</v>
          </cell>
          <cell r="B2830">
            <v>2.9819650866999998</v>
          </cell>
          <cell r="C2830">
            <v>2.9812311002</v>
          </cell>
          <cell r="D2830">
            <v>2.9826992539999999</v>
          </cell>
        </row>
        <row r="2831">
          <cell r="A2831">
            <v>47557</v>
          </cell>
          <cell r="B2831">
            <v>2.9831176350000002</v>
          </cell>
          <cell r="C2831">
            <v>2.9823833648</v>
          </cell>
          <cell r="D2831">
            <v>2.9838520861000002</v>
          </cell>
        </row>
        <row r="2832">
          <cell r="A2832">
            <v>47560</v>
          </cell>
          <cell r="B2832">
            <v>2.9842706289000001</v>
          </cell>
          <cell r="C2832">
            <v>2.9835360748999999</v>
          </cell>
          <cell r="D2832">
            <v>2.9850053638</v>
          </cell>
        </row>
        <row r="2833">
          <cell r="A2833">
            <v>47561</v>
          </cell>
          <cell r="B2833">
            <v>2.9854240683</v>
          </cell>
          <cell r="C2833">
            <v>2.9846892303999999</v>
          </cell>
          <cell r="D2833">
            <v>2.9861590871999999</v>
          </cell>
        </row>
        <row r="2834">
          <cell r="A2834">
            <v>47562</v>
          </cell>
          <cell r="B2834">
            <v>2.9865779535999999</v>
          </cell>
          <cell r="C2834">
            <v>2.9858428316999999</v>
          </cell>
          <cell r="D2834">
            <v>2.9873132565999998</v>
          </cell>
        </row>
        <row r="2835">
          <cell r="A2835">
            <v>47563</v>
          </cell>
          <cell r="B2835">
            <v>2.9877322847999999</v>
          </cell>
          <cell r="C2835">
            <v>2.9869968786999999</v>
          </cell>
          <cell r="D2835">
            <v>2.9884678720000002</v>
          </cell>
        </row>
        <row r="2836">
          <cell r="A2836">
            <v>47564</v>
          </cell>
          <cell r="B2836">
            <v>2.9888870621999999</v>
          </cell>
          <cell r="C2836">
            <v>2.9881513718999999</v>
          </cell>
          <cell r="D2836">
            <v>2.9896229337000002</v>
          </cell>
        </row>
        <row r="2837">
          <cell r="A2837">
            <v>47567</v>
          </cell>
          <cell r="B2837">
            <v>2.990042286</v>
          </cell>
          <cell r="C2837">
            <v>2.9893063113</v>
          </cell>
          <cell r="D2837">
            <v>2.9907784418999999</v>
          </cell>
        </row>
        <row r="2838">
          <cell r="A2838">
            <v>47568</v>
          </cell>
          <cell r="B2838">
            <v>2.9911979561000002</v>
          </cell>
          <cell r="C2838">
            <v>2.9904616970000002</v>
          </cell>
          <cell r="D2838">
            <v>2.9919343966</v>
          </cell>
        </row>
        <row r="2839">
          <cell r="A2839">
            <v>47569</v>
          </cell>
          <cell r="B2839">
            <v>2.9923540731</v>
          </cell>
          <cell r="C2839">
            <v>2.9916175294</v>
          </cell>
          <cell r="D2839">
            <v>2.9930907981999999</v>
          </cell>
        </row>
        <row r="2840">
          <cell r="A2840">
            <v>47570</v>
          </cell>
          <cell r="B2840">
            <v>2.9935106368</v>
          </cell>
          <cell r="C2840">
            <v>2.9927738085</v>
          </cell>
          <cell r="D2840">
            <v>2.9942476466999999</v>
          </cell>
        </row>
        <row r="2841">
          <cell r="A2841">
            <v>47571</v>
          </cell>
          <cell r="B2841">
            <v>2.9946676476</v>
          </cell>
          <cell r="C2841">
            <v>2.9939305345</v>
          </cell>
          <cell r="D2841">
            <v>2.9954049423</v>
          </cell>
        </row>
        <row r="2842">
          <cell r="A2842">
            <v>47574</v>
          </cell>
          <cell r="B2842">
            <v>2.9958251054999998</v>
          </cell>
          <cell r="C2842">
            <v>2.9950877075000002</v>
          </cell>
          <cell r="D2842">
            <v>2.9965626851999998</v>
          </cell>
        </row>
        <row r="2843">
          <cell r="A2843">
            <v>47575</v>
          </cell>
          <cell r="B2843">
            <v>2.9969830108000002</v>
          </cell>
          <cell r="C2843">
            <v>2.9962453278000001</v>
          </cell>
          <cell r="D2843">
            <v>2.9977208755999998</v>
          </cell>
        </row>
        <row r="2844">
          <cell r="A2844">
            <v>47576</v>
          </cell>
          <cell r="B2844">
            <v>2.9981413637999998</v>
          </cell>
          <cell r="C2844">
            <v>2.9974033956000001</v>
          </cell>
          <cell r="D2844">
            <v>2.9988795136999999</v>
          </cell>
        </row>
        <row r="2845">
          <cell r="A2845">
            <v>47577</v>
          </cell>
          <cell r="B2845">
            <v>2.9993001643000001</v>
          </cell>
          <cell r="C2845">
            <v>2.9985619108999999</v>
          </cell>
          <cell r="D2845">
            <v>3.0000385994999998</v>
          </cell>
        </row>
        <row r="2846">
          <cell r="A2846">
            <v>47578</v>
          </cell>
          <cell r="B2846">
            <v>3.0004594127000002</v>
          </cell>
          <cell r="C2846">
            <v>2.9997208739999999</v>
          </cell>
          <cell r="D2846">
            <v>3.0011981334</v>
          </cell>
        </row>
        <row r="2847">
          <cell r="A2847">
            <v>47581</v>
          </cell>
          <cell r="B2847">
            <v>3.0016191092</v>
          </cell>
          <cell r="C2847">
            <v>3.000880285</v>
          </cell>
          <cell r="D2847">
            <v>3.0023581153999999</v>
          </cell>
        </row>
        <row r="2848">
          <cell r="A2848">
            <v>47582</v>
          </cell>
          <cell r="B2848">
            <v>3.002779254</v>
          </cell>
          <cell r="C2848">
            <v>3.0020401442</v>
          </cell>
          <cell r="D2848">
            <v>3.0035185458</v>
          </cell>
        </row>
        <row r="2849">
          <cell r="A2849">
            <v>47583</v>
          </cell>
          <cell r="B2849">
            <v>3.0039398470999998</v>
          </cell>
          <cell r="C2849">
            <v>3.0032004517000002</v>
          </cell>
          <cell r="D2849">
            <v>3.0046794246999999</v>
          </cell>
        </row>
        <row r="2850">
          <cell r="A2850">
            <v>47584</v>
          </cell>
          <cell r="B2850">
            <v>3.0051008888999999</v>
          </cell>
          <cell r="C2850">
            <v>3.0043612077000001</v>
          </cell>
          <cell r="D2850">
            <v>3.0058407523000001</v>
          </cell>
        </row>
        <row r="2851">
          <cell r="A2851">
            <v>47585</v>
          </cell>
          <cell r="B2851">
            <v>3.0062623792999998</v>
          </cell>
          <cell r="C2851">
            <v>3.0055224122999999</v>
          </cell>
          <cell r="D2851">
            <v>3.0070025287000002</v>
          </cell>
        </row>
        <row r="2852">
          <cell r="A2852">
            <v>47588</v>
          </cell>
          <cell r="B2852">
            <v>3.0074243188000001</v>
          </cell>
          <cell r="C2852">
            <v>3.0066840657</v>
          </cell>
          <cell r="D2852">
            <v>3.0081647542000001</v>
          </cell>
        </row>
        <row r="2853">
          <cell r="A2853">
            <v>47589</v>
          </cell>
          <cell r="B2853">
            <v>3.0085867072000001</v>
          </cell>
          <cell r="C2853">
            <v>3.0078461679999999</v>
          </cell>
          <cell r="D2853">
            <v>3.0093274287999998</v>
          </cell>
        </row>
        <row r="2854">
          <cell r="A2854">
            <v>47590</v>
          </cell>
          <cell r="B2854">
            <v>3.009749545</v>
          </cell>
          <cell r="C2854">
            <v>3.0090087196000002</v>
          </cell>
          <cell r="D2854">
            <v>3.0104905528999999</v>
          </cell>
        </row>
        <row r="2855">
          <cell r="A2855">
            <v>47591</v>
          </cell>
          <cell r="B2855">
            <v>3.0109128321999998</v>
          </cell>
          <cell r="C2855">
            <v>3.0101717203999998</v>
          </cell>
          <cell r="D2855">
            <v>3.0116541264999999</v>
          </cell>
        </row>
        <row r="2856">
          <cell r="A2856">
            <v>47595</v>
          </cell>
          <cell r="B2856">
            <v>3.012076569</v>
          </cell>
          <cell r="C2856">
            <v>3.0113351707999998</v>
          </cell>
          <cell r="D2856">
            <v>3.0128181498000002</v>
          </cell>
        </row>
        <row r="2857">
          <cell r="A2857">
            <v>47596</v>
          </cell>
          <cell r="B2857">
            <v>3.0132407556</v>
          </cell>
          <cell r="C2857">
            <v>3.0124990709000001</v>
          </cell>
          <cell r="D2857">
            <v>3.0139826231</v>
          </cell>
        </row>
        <row r="2858">
          <cell r="A2858">
            <v>47597</v>
          </cell>
          <cell r="B2858">
            <v>3.0144053922</v>
          </cell>
          <cell r="C2858">
            <v>3.0136634207999999</v>
          </cell>
          <cell r="D2858">
            <v>3.0151475464000002</v>
          </cell>
        </row>
        <row r="2859">
          <cell r="A2859">
            <v>47598</v>
          </cell>
          <cell r="B2859">
            <v>3.015570479</v>
          </cell>
          <cell r="C2859">
            <v>3.0148282208000001</v>
          </cell>
          <cell r="D2859">
            <v>3.0163129199999998</v>
          </cell>
        </row>
        <row r="2860">
          <cell r="A2860">
            <v>47599</v>
          </cell>
          <cell r="B2860">
            <v>3.0167360159999999</v>
          </cell>
          <cell r="C2860">
            <v>3.0159934708999998</v>
          </cell>
          <cell r="D2860">
            <v>3.0174787439999999</v>
          </cell>
        </row>
        <row r="2861">
          <cell r="A2861">
            <v>47602</v>
          </cell>
          <cell r="B2861">
            <v>3.0179020035000002</v>
          </cell>
          <cell r="C2861">
            <v>3.0171591713999999</v>
          </cell>
          <cell r="D2861">
            <v>3.0186450186</v>
          </cell>
        </row>
        <row r="2862">
          <cell r="A2862">
            <v>47603</v>
          </cell>
          <cell r="B2862">
            <v>3.0190684417</v>
          </cell>
          <cell r="C2862">
            <v>3.0183253225</v>
          </cell>
          <cell r="D2862">
            <v>3.0198117439000001</v>
          </cell>
        </row>
        <row r="2863">
          <cell r="A2863">
            <v>47605</v>
          </cell>
          <cell r="B2863">
            <v>3.0202353306999998</v>
          </cell>
          <cell r="C2863">
            <v>3.0194919242</v>
          </cell>
          <cell r="D2863">
            <v>3.0209789202000001</v>
          </cell>
        </row>
        <row r="2864">
          <cell r="A2864">
            <v>47606</v>
          </cell>
          <cell r="B2864">
            <v>3.0214026708000001</v>
          </cell>
          <cell r="C2864">
            <v>3.0206589770000001</v>
          </cell>
          <cell r="D2864">
            <v>3.0221465476999998</v>
          </cell>
        </row>
        <row r="2865">
          <cell r="A2865">
            <v>47609</v>
          </cell>
          <cell r="B2865">
            <v>3.0225704619</v>
          </cell>
          <cell r="C2865">
            <v>3.0218264808000002</v>
          </cell>
          <cell r="D2865">
            <v>3.0233146263999999</v>
          </cell>
        </row>
        <row r="2866">
          <cell r="A2866">
            <v>47610</v>
          </cell>
          <cell r="B2866">
            <v>3.0237387044999999</v>
          </cell>
          <cell r="C2866">
            <v>3.0229944357999998</v>
          </cell>
          <cell r="D2866">
            <v>3.0244831566000001</v>
          </cell>
        </row>
        <row r="2867">
          <cell r="A2867">
            <v>47611</v>
          </cell>
          <cell r="B2867">
            <v>3.0249073985999999</v>
          </cell>
          <cell r="C2867">
            <v>3.0241628422</v>
          </cell>
          <cell r="D2867">
            <v>3.0256521383999999</v>
          </cell>
        </row>
        <row r="2868">
          <cell r="A2868">
            <v>47612</v>
          </cell>
          <cell r="B2868">
            <v>3.0260765444</v>
          </cell>
          <cell r="C2868">
            <v>3.0253317003000002</v>
          </cell>
          <cell r="D2868">
            <v>3.0268215720999998</v>
          </cell>
        </row>
        <row r="2869">
          <cell r="A2869">
            <v>47613</v>
          </cell>
          <cell r="B2869">
            <v>3.0272461421000001</v>
          </cell>
          <cell r="C2869">
            <v>3.02650101</v>
          </cell>
          <cell r="D2869">
            <v>3.0279914577000002</v>
          </cell>
        </row>
        <row r="2870">
          <cell r="A2870">
            <v>47616</v>
          </cell>
          <cell r="B2870">
            <v>3.0284161918999999</v>
          </cell>
          <cell r="C2870">
            <v>3.0276707718</v>
          </cell>
          <cell r="D2870">
            <v>3.0291617955999999</v>
          </cell>
        </row>
        <row r="2871">
          <cell r="A2871">
            <v>47617</v>
          </cell>
          <cell r="B2871">
            <v>3.0295866937999998</v>
          </cell>
          <cell r="C2871">
            <v>3.0288409857</v>
          </cell>
          <cell r="D2871">
            <v>3.0303325857000001</v>
          </cell>
        </row>
        <row r="2872">
          <cell r="A2872">
            <v>47618</v>
          </cell>
          <cell r="B2872">
            <v>3.0307576481999998</v>
          </cell>
          <cell r="C2872">
            <v>3.0300116518000002</v>
          </cell>
          <cell r="D2872">
            <v>3.0315038284</v>
          </cell>
        </row>
        <row r="2873">
          <cell r="A2873">
            <v>47619</v>
          </cell>
          <cell r="B2873">
            <v>3.0319290552</v>
          </cell>
          <cell r="C2873">
            <v>3.0311827705000001</v>
          </cell>
          <cell r="D2873">
            <v>3.0326755238000001</v>
          </cell>
        </row>
        <row r="2874">
          <cell r="A2874">
            <v>47620</v>
          </cell>
          <cell r="B2874">
            <v>3.0331009148999999</v>
          </cell>
          <cell r="C2874">
            <v>3.0323543417000001</v>
          </cell>
          <cell r="D2874">
            <v>3.0338476719999998</v>
          </cell>
        </row>
        <row r="2875">
          <cell r="A2875">
            <v>47623</v>
          </cell>
          <cell r="B2875">
            <v>3.0342732276</v>
          </cell>
          <cell r="C2875">
            <v>3.0335263658999998</v>
          </cell>
          <cell r="D2875">
            <v>3.0350202732999998</v>
          </cell>
        </row>
        <row r="2876">
          <cell r="A2876">
            <v>47624</v>
          </cell>
          <cell r="B2876">
            <v>3.0354459934000002</v>
          </cell>
          <cell r="C2876">
            <v>3.0346988430000001</v>
          </cell>
          <cell r="D2876">
            <v>3.0361933278</v>
          </cell>
        </row>
        <row r="2877">
          <cell r="A2877">
            <v>47625</v>
          </cell>
          <cell r="B2877">
            <v>3.0366192124000002</v>
          </cell>
          <cell r="C2877">
            <v>3.0358717731999998</v>
          </cell>
          <cell r="D2877">
            <v>3.0373668356999999</v>
          </cell>
        </row>
        <row r="2878">
          <cell r="A2878">
            <v>47626</v>
          </cell>
          <cell r="B2878">
            <v>3.0377928849</v>
          </cell>
          <cell r="C2878">
            <v>3.0370451569000001</v>
          </cell>
          <cell r="D2878">
            <v>3.0385407972</v>
          </cell>
        </row>
        <row r="2879">
          <cell r="A2879">
            <v>47627</v>
          </cell>
          <cell r="B2879">
            <v>3.0389670111</v>
          </cell>
          <cell r="C2879">
            <v>3.0382189940000002</v>
          </cell>
          <cell r="D2879">
            <v>3.0397152124</v>
          </cell>
        </row>
        <row r="2880">
          <cell r="A2880">
            <v>47630</v>
          </cell>
          <cell r="B2880">
            <v>3.0401415909999998</v>
          </cell>
          <cell r="C2880">
            <v>3.0393932848</v>
          </cell>
          <cell r="D2880">
            <v>3.0408900815000002</v>
          </cell>
        </row>
        <row r="2881">
          <cell r="A2881">
            <v>47631</v>
          </cell>
          <cell r="B2881">
            <v>3.0413166248999999</v>
          </cell>
          <cell r="C2881">
            <v>3.0405680295000002</v>
          </cell>
          <cell r="D2881">
            <v>3.0420654047000002</v>
          </cell>
        </row>
        <row r="2882">
          <cell r="A2882">
            <v>47632</v>
          </cell>
          <cell r="B2882">
            <v>3.0424921130000002</v>
          </cell>
          <cell r="C2882">
            <v>3.0417432282000001</v>
          </cell>
          <cell r="D2882">
            <v>3.0432411822000001</v>
          </cell>
        </row>
        <row r="2883">
          <cell r="A2883">
            <v>47633</v>
          </cell>
          <cell r="B2883">
            <v>3.0436680554</v>
          </cell>
          <cell r="C2883">
            <v>3.0429188811999999</v>
          </cell>
          <cell r="D2883">
            <v>3.0444174141000002</v>
          </cell>
        </row>
        <row r="2884">
          <cell r="A2884">
            <v>47634</v>
          </cell>
          <cell r="B2884">
            <v>3.0448444523</v>
          </cell>
          <cell r="C2884">
            <v>3.0440949885999999</v>
          </cell>
          <cell r="D2884">
            <v>3.0455941006999998</v>
          </cell>
        </row>
        <row r="2885">
          <cell r="A2885">
            <v>47637</v>
          </cell>
          <cell r="B2885">
            <v>3.0460213038999999</v>
          </cell>
          <cell r="C2885">
            <v>3.0452715504999999</v>
          </cell>
          <cell r="D2885">
            <v>3.0467712420000002</v>
          </cell>
        </row>
        <row r="2886">
          <cell r="A2886">
            <v>47638</v>
          </cell>
          <cell r="B2886">
            <v>3.0471986104000002</v>
          </cell>
          <cell r="C2886">
            <v>3.0464485672000001</v>
          </cell>
          <cell r="D2886">
            <v>3.0479488384</v>
          </cell>
        </row>
        <row r="2887">
          <cell r="A2887">
            <v>47639</v>
          </cell>
          <cell r="B2887">
            <v>3.0483763718999999</v>
          </cell>
          <cell r="C2887">
            <v>3.0476260387999998</v>
          </cell>
          <cell r="D2887">
            <v>3.0491268898000001</v>
          </cell>
        </row>
        <row r="2888">
          <cell r="A2888">
            <v>47640</v>
          </cell>
          <cell r="B2888">
            <v>3.0495545885999999</v>
          </cell>
          <cell r="C2888">
            <v>3.0488039654999999</v>
          </cell>
          <cell r="D2888">
            <v>3.0503053966000002</v>
          </cell>
        </row>
        <row r="2889">
          <cell r="A2889">
            <v>47641</v>
          </cell>
          <cell r="B2889">
            <v>3.0507332606999999</v>
          </cell>
          <cell r="C2889">
            <v>3.0499823474999999</v>
          </cell>
          <cell r="D2889">
            <v>3.0514843588999998</v>
          </cell>
        </row>
        <row r="2890">
          <cell r="A2890">
            <v>47644</v>
          </cell>
          <cell r="B2890">
            <v>3.0519123883999999</v>
          </cell>
          <cell r="C2890">
            <v>3.0511611849000002</v>
          </cell>
          <cell r="D2890">
            <v>3.0526637768999998</v>
          </cell>
        </row>
        <row r="2891">
          <cell r="A2891">
            <v>47645</v>
          </cell>
          <cell r="B2891">
            <v>3.0530919718999998</v>
          </cell>
          <cell r="C2891">
            <v>3.0523404781000001</v>
          </cell>
          <cell r="D2891">
            <v>3.0538436508000002</v>
          </cell>
        </row>
        <row r="2892">
          <cell r="A2892">
            <v>47646</v>
          </cell>
          <cell r="B2892">
            <v>3.0542720111000001</v>
          </cell>
          <cell r="C2892">
            <v>3.0535202268999999</v>
          </cell>
          <cell r="D2892">
            <v>3.0550239806000001</v>
          </cell>
        </row>
        <row r="2893">
          <cell r="A2893">
            <v>47647</v>
          </cell>
          <cell r="B2893">
            <v>3.0554525066</v>
          </cell>
          <cell r="C2893">
            <v>3.0547004318000002</v>
          </cell>
          <cell r="D2893">
            <v>3.0562047667000001</v>
          </cell>
        </row>
        <row r="2894">
          <cell r="A2894">
            <v>47648</v>
          </cell>
          <cell r="B2894">
            <v>3.0566334582999999</v>
          </cell>
          <cell r="C2894">
            <v>3.0558810927</v>
          </cell>
          <cell r="D2894">
            <v>3.0573860091</v>
          </cell>
        </row>
        <row r="2895">
          <cell r="A2895">
            <v>47651</v>
          </cell>
          <cell r="B2895">
            <v>3.0578148664000002</v>
          </cell>
          <cell r="C2895">
            <v>3.0570622100999998</v>
          </cell>
          <cell r="D2895">
            <v>3.0585677081</v>
          </cell>
        </row>
        <row r="2896">
          <cell r="A2896">
            <v>47652</v>
          </cell>
          <cell r="B2896">
            <v>3.0589967311000001</v>
          </cell>
          <cell r="C2896">
            <v>3.0582437839000001</v>
          </cell>
          <cell r="D2896">
            <v>3.0597498638</v>
          </cell>
        </row>
        <row r="2897">
          <cell r="A2897">
            <v>47653</v>
          </cell>
          <cell r="B2897">
            <v>3.0601790527000001</v>
          </cell>
          <cell r="C2897">
            <v>3.0594258145</v>
          </cell>
          <cell r="D2897">
            <v>3.0609324765000001</v>
          </cell>
        </row>
        <row r="2898">
          <cell r="A2898">
            <v>47655</v>
          </cell>
          <cell r="B2898">
            <v>3.0613618312000002</v>
          </cell>
          <cell r="C2898">
            <v>3.0606083017999999</v>
          </cell>
          <cell r="D2898">
            <v>3.0621155461999998</v>
          </cell>
        </row>
        <row r="2899">
          <cell r="A2899">
            <v>47658</v>
          </cell>
          <cell r="B2899">
            <v>3.0625450668999998</v>
          </cell>
          <cell r="C2899">
            <v>3.0617912462999999</v>
          </cell>
          <cell r="D2899">
            <v>3.0632990732000001</v>
          </cell>
        </row>
        <row r="2900">
          <cell r="A2900">
            <v>47659</v>
          </cell>
          <cell r="B2900">
            <v>3.0637287600000001</v>
          </cell>
          <cell r="C2900">
            <v>3.062974648</v>
          </cell>
          <cell r="D2900">
            <v>3.0644830577</v>
          </cell>
        </row>
        <row r="2901">
          <cell r="A2901">
            <v>47660</v>
          </cell>
          <cell r="B2901">
            <v>3.0649129103999999</v>
          </cell>
          <cell r="C2901">
            <v>3.0641585070000001</v>
          </cell>
          <cell r="D2901">
            <v>3.0656674997</v>
          </cell>
        </row>
        <row r="2902">
          <cell r="A2902">
            <v>47661</v>
          </cell>
          <cell r="B2902">
            <v>3.0660975186999999</v>
          </cell>
          <cell r="C2902">
            <v>3.0653428237</v>
          </cell>
          <cell r="D2902">
            <v>3.0668523996000001</v>
          </cell>
        </row>
        <row r="2903">
          <cell r="A2903">
            <v>47662</v>
          </cell>
          <cell r="B2903">
            <v>3.0672825847</v>
          </cell>
          <cell r="C2903">
            <v>3.066527598</v>
          </cell>
          <cell r="D2903">
            <v>3.0680377574</v>
          </cell>
        </row>
        <row r="2904">
          <cell r="A2904">
            <v>47665</v>
          </cell>
          <cell r="B2904">
            <v>3.0684681087999999</v>
          </cell>
          <cell r="C2904">
            <v>3.0677128303000001</v>
          </cell>
          <cell r="D2904">
            <v>3.0692235734</v>
          </cell>
        </row>
        <row r="2905">
          <cell r="A2905">
            <v>47666</v>
          </cell>
          <cell r="B2905">
            <v>3.0696540909999999</v>
          </cell>
          <cell r="C2905">
            <v>3.0688985205999999</v>
          </cell>
          <cell r="D2905">
            <v>3.0704098476000001</v>
          </cell>
        </row>
        <row r="2906">
          <cell r="A2906">
            <v>47667</v>
          </cell>
          <cell r="B2906">
            <v>3.0708405317</v>
          </cell>
          <cell r="C2906">
            <v>3.0700846692999999</v>
          </cell>
          <cell r="D2906">
            <v>3.0715965804000001</v>
          </cell>
        </row>
        <row r="2907">
          <cell r="A2907">
            <v>47668</v>
          </cell>
          <cell r="B2907">
            <v>3.072027431</v>
          </cell>
          <cell r="C2907">
            <v>3.0712712764000001</v>
          </cell>
          <cell r="D2907">
            <v>3.0727837719000002</v>
          </cell>
        </row>
        <row r="2908">
          <cell r="A2908">
            <v>47669</v>
          </cell>
          <cell r="B2908">
            <v>3.0732147891000001</v>
          </cell>
          <cell r="C2908">
            <v>3.0724583422</v>
          </cell>
          <cell r="D2908">
            <v>3.0739714223000001</v>
          </cell>
        </row>
        <row r="2909">
          <cell r="A2909">
            <v>47672</v>
          </cell>
          <cell r="B2909">
            <v>3.0744026059</v>
          </cell>
          <cell r="C2909">
            <v>3.0736458667000002</v>
          </cell>
          <cell r="D2909">
            <v>3.0751595316000002</v>
          </cell>
        </row>
        <row r="2910">
          <cell r="A2910">
            <v>47673</v>
          </cell>
          <cell r="B2910">
            <v>3.0755908820000002</v>
          </cell>
          <cell r="C2910">
            <v>3.0748338503000001</v>
          </cell>
          <cell r="D2910">
            <v>3.0763481002000002</v>
          </cell>
        </row>
        <row r="2911">
          <cell r="A2911">
            <v>47674</v>
          </cell>
          <cell r="B2911">
            <v>3.0767796173000002</v>
          </cell>
          <cell r="C2911">
            <v>3.0760222929999999</v>
          </cell>
          <cell r="D2911">
            <v>3.0775371281999999</v>
          </cell>
        </row>
        <row r="2912">
          <cell r="A2912">
            <v>47675</v>
          </cell>
          <cell r="B2912">
            <v>3.0779688119999999</v>
          </cell>
          <cell r="C2912">
            <v>3.0772111949999998</v>
          </cell>
          <cell r="D2912">
            <v>3.0787266156999999</v>
          </cell>
        </row>
        <row r="2913">
          <cell r="A2913">
            <v>47676</v>
          </cell>
          <cell r="B2913">
            <v>3.0791584664</v>
          </cell>
          <cell r="C2913">
            <v>3.0784005566000001</v>
          </cell>
          <cell r="D2913">
            <v>3.0799165629999998</v>
          </cell>
        </row>
        <row r="2914">
          <cell r="A2914">
            <v>47679</v>
          </cell>
          <cell r="B2914">
            <v>3.0803485805999999</v>
          </cell>
          <cell r="C2914">
            <v>3.0795903777999998</v>
          </cell>
          <cell r="D2914">
            <v>3.0811069702</v>
          </cell>
        </row>
        <row r="2915">
          <cell r="A2915">
            <v>47680</v>
          </cell>
          <cell r="B2915">
            <v>3.0815391548000002</v>
          </cell>
          <cell r="C2915">
            <v>3.0807806590000002</v>
          </cell>
          <cell r="D2915">
            <v>3.0822978375000001</v>
          </cell>
        </row>
        <row r="2916">
          <cell r="A2916">
            <v>47681</v>
          </cell>
          <cell r="B2916">
            <v>3.0827301891999999</v>
          </cell>
          <cell r="C2916">
            <v>3.0819714002</v>
          </cell>
          <cell r="D2916">
            <v>3.0834891651</v>
          </cell>
        </row>
        <row r="2917">
          <cell r="A2917">
            <v>47682</v>
          </cell>
          <cell r="B2917">
            <v>3.0839216837999999</v>
          </cell>
          <cell r="C2917">
            <v>3.0831626015000002</v>
          </cell>
          <cell r="D2917">
            <v>3.0846809530999999</v>
          </cell>
        </row>
        <row r="2918">
          <cell r="A2918">
            <v>47683</v>
          </cell>
          <cell r="B2918">
            <v>3.0851136390999998</v>
          </cell>
          <cell r="C2918">
            <v>3.0843542633999999</v>
          </cell>
          <cell r="D2918">
            <v>3.0858732018000001</v>
          </cell>
        </row>
        <row r="2919">
          <cell r="A2919">
            <v>47686</v>
          </cell>
          <cell r="B2919">
            <v>3.0863060550000001</v>
          </cell>
          <cell r="C2919">
            <v>3.0855463857999998</v>
          </cell>
          <cell r="D2919">
            <v>3.0870659112999999</v>
          </cell>
        </row>
        <row r="2920">
          <cell r="A2920">
            <v>47687</v>
          </cell>
          <cell r="B2920">
            <v>3.0874989316999999</v>
          </cell>
          <cell r="C2920">
            <v>3.0867389689000002</v>
          </cell>
          <cell r="D2920">
            <v>3.0882590817</v>
          </cell>
        </row>
        <row r="2921">
          <cell r="A2921">
            <v>47688</v>
          </cell>
          <cell r="B2921">
            <v>3.0886922696000001</v>
          </cell>
          <cell r="C2921">
            <v>3.0879320131000001</v>
          </cell>
          <cell r="D2921">
            <v>3.0894527134000001</v>
          </cell>
        </row>
        <row r="2922">
          <cell r="A2922">
            <v>47689</v>
          </cell>
          <cell r="B2922">
            <v>3.0898860685999998</v>
          </cell>
          <cell r="C2922">
            <v>3.0891255181999999</v>
          </cell>
          <cell r="D2922">
            <v>3.0906468063000001</v>
          </cell>
        </row>
        <row r="2923">
          <cell r="A2923">
            <v>47690</v>
          </cell>
          <cell r="B2923">
            <v>3.0910803291</v>
          </cell>
          <cell r="C2923">
            <v>3.0903194848000002</v>
          </cell>
          <cell r="D2923">
            <v>3.0918413609000002</v>
          </cell>
        </row>
        <row r="2924">
          <cell r="A2924">
            <v>47693</v>
          </cell>
          <cell r="B2924">
            <v>3.0922750512000001</v>
          </cell>
          <cell r="C2924">
            <v>3.0915139128</v>
          </cell>
          <cell r="D2924">
            <v>3.0930363770999998</v>
          </cell>
        </row>
        <row r="2925">
          <cell r="A2925">
            <v>47694</v>
          </cell>
          <cell r="B2925">
            <v>3.0934702349999998</v>
          </cell>
          <cell r="C2925">
            <v>3.0927088024999998</v>
          </cell>
          <cell r="D2925">
            <v>3.0942318551999999</v>
          </cell>
        </row>
        <row r="2926">
          <cell r="A2926">
            <v>47695</v>
          </cell>
          <cell r="B2926">
            <v>3.0946658808</v>
          </cell>
          <cell r="C2926">
            <v>3.0939041539000001</v>
          </cell>
          <cell r="D2926">
            <v>3.0954277953</v>
          </cell>
        </row>
        <row r="2927">
          <cell r="A2927">
            <v>47696</v>
          </cell>
          <cell r="B2927">
            <v>3.0958619886999998</v>
          </cell>
          <cell r="C2927">
            <v>3.0950999673999999</v>
          </cell>
          <cell r="D2927">
            <v>3.0966241977000002</v>
          </cell>
        </row>
        <row r="2928">
          <cell r="A2928">
            <v>47697</v>
          </cell>
          <cell r="B2928">
            <v>3.0970585589000001</v>
          </cell>
          <cell r="C2928">
            <v>3.0962962430999998</v>
          </cell>
          <cell r="D2928">
            <v>3.0978210625</v>
          </cell>
        </row>
        <row r="2929">
          <cell r="A2929">
            <v>47700</v>
          </cell>
          <cell r="B2929">
            <v>3.0982555916000001</v>
          </cell>
          <cell r="C2929">
            <v>3.0974929810999998</v>
          </cell>
          <cell r="D2929">
            <v>3.0990183898999999</v>
          </cell>
        </row>
        <row r="2930">
          <cell r="A2930">
            <v>47701</v>
          </cell>
          <cell r="B2930">
            <v>3.0994530870000001</v>
          </cell>
          <cell r="C2930">
            <v>3.0986901816999999</v>
          </cell>
          <cell r="D2930">
            <v>3.1002161800999999</v>
          </cell>
        </row>
        <row r="2931">
          <cell r="A2931">
            <v>47702</v>
          </cell>
          <cell r="B2931">
            <v>3.1006510450999998</v>
          </cell>
          <cell r="C2931">
            <v>3.099887845</v>
          </cell>
          <cell r="D2931">
            <v>3.1014144332</v>
          </cell>
        </row>
        <row r="2932">
          <cell r="A2932">
            <v>47703</v>
          </cell>
          <cell r="B2932">
            <v>3.1018494664</v>
          </cell>
          <cell r="C2932">
            <v>3.1010859712999999</v>
          </cell>
          <cell r="D2932">
            <v>3.1026131494999998</v>
          </cell>
        </row>
        <row r="2933">
          <cell r="A2933">
            <v>47704</v>
          </cell>
          <cell r="B2933">
            <v>3.1030483508</v>
          </cell>
          <cell r="C2933">
            <v>3.1022845605999998</v>
          </cell>
          <cell r="D2933">
            <v>3.1038123291000002</v>
          </cell>
        </row>
        <row r="2934">
          <cell r="A2934">
            <v>47707</v>
          </cell>
          <cell r="B2934">
            <v>3.1042476985</v>
          </cell>
          <cell r="C2934">
            <v>3.1034836130999999</v>
          </cell>
          <cell r="D2934">
            <v>3.1050119720999998</v>
          </cell>
        </row>
        <row r="2935">
          <cell r="A2935">
            <v>47708</v>
          </cell>
          <cell r="B2935">
            <v>3.1054475098999998</v>
          </cell>
          <cell r="C2935">
            <v>3.1046831292000001</v>
          </cell>
          <cell r="D2935">
            <v>3.1062120789000001</v>
          </cell>
        </row>
        <row r="2936">
          <cell r="A2936">
            <v>47709</v>
          </cell>
          <cell r="B2936">
            <v>3.1066477849999998</v>
          </cell>
          <cell r="C2936">
            <v>3.1058831089000001</v>
          </cell>
          <cell r="D2936">
            <v>3.1074126495000001</v>
          </cell>
        </row>
        <row r="2937">
          <cell r="A2937">
            <v>47710</v>
          </cell>
          <cell r="B2937">
            <v>3.107848524</v>
          </cell>
          <cell r="C2937">
            <v>3.1070835523000002</v>
          </cell>
          <cell r="D2937">
            <v>3.1086136840999998</v>
          </cell>
        </row>
        <row r="2938">
          <cell r="A2938">
            <v>47711</v>
          </cell>
          <cell r="B2938">
            <v>3.1090497269999999</v>
          </cell>
          <cell r="C2938">
            <v>3.1082844597000001</v>
          </cell>
          <cell r="D2938">
            <v>3.1098151828999998</v>
          </cell>
        </row>
        <row r="2939">
          <cell r="A2939">
            <v>47714</v>
          </cell>
          <cell r="B2939">
            <v>3.1102513944000001</v>
          </cell>
          <cell r="C2939">
            <v>3.1094858312000002</v>
          </cell>
          <cell r="D2939">
            <v>3.1110171461</v>
          </cell>
        </row>
        <row r="2940">
          <cell r="A2940">
            <v>47715</v>
          </cell>
          <cell r="B2940">
            <v>3.1114535262</v>
          </cell>
          <cell r="C2940">
            <v>3.1106876672000001</v>
          </cell>
          <cell r="D2940">
            <v>3.1122195739</v>
          </cell>
        </row>
        <row r="2941">
          <cell r="A2941">
            <v>47716</v>
          </cell>
          <cell r="B2941">
            <v>3.1126561225999998</v>
          </cell>
          <cell r="C2941">
            <v>3.1118899675999998</v>
          </cell>
          <cell r="D2941">
            <v>3.1134224663999999</v>
          </cell>
        </row>
        <row r="2942">
          <cell r="A2942">
            <v>47717</v>
          </cell>
          <cell r="B2942">
            <v>3.1138591837999998</v>
          </cell>
          <cell r="C2942">
            <v>3.1130927327000002</v>
          </cell>
          <cell r="D2942">
            <v>3.1146258238</v>
          </cell>
        </row>
        <row r="2943">
          <cell r="A2943">
            <v>47718</v>
          </cell>
          <cell r="B2943">
            <v>3.1150627101000001</v>
          </cell>
          <cell r="C2943">
            <v>3.1142959627</v>
          </cell>
          <cell r="D2943">
            <v>3.1158296463999999</v>
          </cell>
        </row>
        <row r="2944">
          <cell r="A2944">
            <v>47721</v>
          </cell>
          <cell r="B2944">
            <v>3.1162667014999998</v>
          </cell>
          <cell r="C2944">
            <v>3.1154996577</v>
          </cell>
          <cell r="D2944">
            <v>3.1170339342000002</v>
          </cell>
        </row>
        <row r="2945">
          <cell r="A2945">
            <v>47722</v>
          </cell>
          <cell r="B2945">
            <v>3.1174711582999999</v>
          </cell>
          <cell r="C2945">
            <v>3.116703818</v>
          </cell>
          <cell r="D2945">
            <v>3.1182386874999999</v>
          </cell>
        </row>
        <row r="2946">
          <cell r="A2946">
            <v>47723</v>
          </cell>
          <cell r="B2946">
            <v>3.1186760805999998</v>
          </cell>
          <cell r="C2946">
            <v>3.1179084438000002</v>
          </cell>
          <cell r="D2946">
            <v>3.1194439064999999</v>
          </cell>
        </row>
        <row r="2947">
          <cell r="A2947">
            <v>47724</v>
          </cell>
          <cell r="B2947">
            <v>3.1198814685</v>
          </cell>
          <cell r="C2947">
            <v>3.1191135349999999</v>
          </cell>
          <cell r="D2947">
            <v>3.1206495911999999</v>
          </cell>
        </row>
        <row r="2948">
          <cell r="A2948">
            <v>47725</v>
          </cell>
          <cell r="B2948">
            <v>3.1210873224000002</v>
          </cell>
          <cell r="C2948">
            <v>3.1203190920999999</v>
          </cell>
          <cell r="D2948">
            <v>3.1218557420000002</v>
          </cell>
        </row>
        <row r="2949">
          <cell r="A2949">
            <v>47728</v>
          </cell>
          <cell r="B2949">
            <v>3.1222936423999998</v>
          </cell>
          <cell r="C2949">
            <v>3.1215251151999999</v>
          </cell>
          <cell r="D2949">
            <v>3.123062359</v>
          </cell>
        </row>
        <row r="2950">
          <cell r="A2950">
            <v>47729</v>
          </cell>
          <cell r="B2950">
            <v>3.1235004285999999</v>
          </cell>
          <cell r="C2950">
            <v>3.1227316044000002</v>
          </cell>
          <cell r="D2950">
            <v>3.1242694423000001</v>
          </cell>
        </row>
        <row r="2951">
          <cell r="A2951">
            <v>47730</v>
          </cell>
          <cell r="B2951">
            <v>3.1247076812999999</v>
          </cell>
          <cell r="C2951">
            <v>3.1239385599</v>
          </cell>
          <cell r="D2951">
            <v>3.1254769921999999</v>
          </cell>
        </row>
        <row r="2952">
          <cell r="A2952">
            <v>47731</v>
          </cell>
          <cell r="B2952">
            <v>3.1259154005999998</v>
          </cell>
          <cell r="C2952">
            <v>3.1251459818999998</v>
          </cell>
          <cell r="D2952">
            <v>3.1266850088</v>
          </cell>
        </row>
        <row r="2953">
          <cell r="A2953">
            <v>47732</v>
          </cell>
          <cell r="B2953">
            <v>3.1271235865999998</v>
          </cell>
          <cell r="C2953">
            <v>3.1263538705</v>
          </cell>
          <cell r="D2953">
            <v>3.1278934923000001</v>
          </cell>
        </row>
        <row r="2954">
          <cell r="A2954">
            <v>47735</v>
          </cell>
          <cell r="B2954">
            <v>3.1283322395000002</v>
          </cell>
          <cell r="C2954">
            <v>3.1275622259000002</v>
          </cell>
          <cell r="D2954">
            <v>3.1291024427999998</v>
          </cell>
        </row>
        <row r="2955">
          <cell r="A2955">
            <v>47736</v>
          </cell>
          <cell r="B2955">
            <v>3.1295413597000001</v>
          </cell>
          <cell r="C2955">
            <v>3.1287710485</v>
          </cell>
          <cell r="D2955">
            <v>3.1303118607</v>
          </cell>
        </row>
        <row r="2956">
          <cell r="A2956">
            <v>47737</v>
          </cell>
          <cell r="B2956">
            <v>3.1307509472000001</v>
          </cell>
          <cell r="C2956">
            <v>3.1299803383000002</v>
          </cell>
          <cell r="D2956">
            <v>3.1315217460000002</v>
          </cell>
        </row>
        <row r="2957">
          <cell r="A2957">
            <v>47738</v>
          </cell>
          <cell r="B2957">
            <v>3.1319610022000002</v>
          </cell>
          <cell r="C2957">
            <v>3.1311900954</v>
          </cell>
          <cell r="D2957">
            <v>3.1327320989</v>
          </cell>
        </row>
        <row r="2958">
          <cell r="A2958">
            <v>47739</v>
          </cell>
          <cell r="B2958">
            <v>3.1331715249999998</v>
          </cell>
          <cell r="C2958">
            <v>3.1324003201999999</v>
          </cell>
          <cell r="D2958">
            <v>3.1339429196999999</v>
          </cell>
        </row>
        <row r="2959">
          <cell r="A2959">
            <v>47742</v>
          </cell>
          <cell r="B2959">
            <v>3.1343825155</v>
          </cell>
          <cell r="C2959">
            <v>3.1336110126999999</v>
          </cell>
          <cell r="D2959">
            <v>3.1351542083999999</v>
          </cell>
        </row>
        <row r="2960">
          <cell r="A2960">
            <v>47743</v>
          </cell>
          <cell r="B2960">
            <v>3.1355939741999999</v>
          </cell>
          <cell r="C2960">
            <v>3.1348221731999999</v>
          </cell>
          <cell r="D2960">
            <v>3.1363659653</v>
          </cell>
        </row>
        <row r="2961">
          <cell r="A2961">
            <v>47744</v>
          </cell>
          <cell r="B2961">
            <v>3.1368059010999998</v>
          </cell>
          <cell r="C2961">
            <v>3.1360338018</v>
          </cell>
          <cell r="D2961">
            <v>3.1375781906000002</v>
          </cell>
        </row>
        <row r="2962">
          <cell r="A2962">
            <v>47745</v>
          </cell>
          <cell r="B2962">
            <v>3.1380182962999998</v>
          </cell>
          <cell r="C2962">
            <v>3.1372458985999998</v>
          </cell>
          <cell r="D2962">
            <v>3.1387908843000001</v>
          </cell>
        </row>
        <row r="2963">
          <cell r="A2963">
            <v>47746</v>
          </cell>
          <cell r="B2963">
            <v>3.1392311602</v>
          </cell>
          <cell r="C2963">
            <v>3.1384584639000002</v>
          </cell>
          <cell r="D2963">
            <v>3.1400040468000001</v>
          </cell>
        </row>
        <row r="2964">
          <cell r="A2964">
            <v>47749</v>
          </cell>
          <cell r="B2964">
            <v>3.1404444928999999</v>
          </cell>
          <cell r="C2964">
            <v>3.1396714979000002</v>
          </cell>
          <cell r="D2964">
            <v>3.1412176781999999</v>
          </cell>
        </row>
        <row r="2965">
          <cell r="A2965">
            <v>47750</v>
          </cell>
          <cell r="B2965">
            <v>3.1416582945</v>
          </cell>
          <cell r="C2965">
            <v>3.1408850008</v>
          </cell>
          <cell r="D2965">
            <v>3.1424317786999998</v>
          </cell>
        </row>
        <row r="2966">
          <cell r="A2966">
            <v>47751</v>
          </cell>
          <cell r="B2966">
            <v>3.1428725652999998</v>
          </cell>
          <cell r="C2966">
            <v>3.1420989726999999</v>
          </cell>
          <cell r="D2966">
            <v>3.1436463483999999</v>
          </cell>
        </row>
        <row r="2967">
          <cell r="A2967">
            <v>47752</v>
          </cell>
          <cell r="B2967">
            <v>3.1440873053999998</v>
          </cell>
          <cell r="C2967">
            <v>3.1433134138000001</v>
          </cell>
          <cell r="D2967">
            <v>3.1448613875999998</v>
          </cell>
        </row>
        <row r="2968">
          <cell r="A2968">
            <v>47753</v>
          </cell>
          <cell r="B2968">
            <v>3.145302515</v>
          </cell>
          <cell r="C2968">
            <v>3.1445283243</v>
          </cell>
          <cell r="D2968">
            <v>3.1460768963999999</v>
          </cell>
        </row>
        <row r="2969">
          <cell r="A2969">
            <v>47756</v>
          </cell>
          <cell r="B2969">
            <v>3.1465181943</v>
          </cell>
          <cell r="C2969">
            <v>3.1457437044000001</v>
          </cell>
          <cell r="D2969">
            <v>3.1472928750000002</v>
          </cell>
        </row>
        <row r="2970">
          <cell r="A2970">
            <v>47757</v>
          </cell>
          <cell r="B2970">
            <v>3.1477343433999998</v>
          </cell>
          <cell r="C2970">
            <v>3.1469595540999999</v>
          </cell>
          <cell r="D2970">
            <v>3.1485093234999999</v>
          </cell>
        </row>
        <row r="2971">
          <cell r="A2971">
            <v>47758</v>
          </cell>
          <cell r="B2971">
            <v>3.1489509626999999</v>
          </cell>
          <cell r="C2971">
            <v>3.1481758739000001</v>
          </cell>
          <cell r="D2971">
            <v>3.1497262422999999</v>
          </cell>
        </row>
        <row r="2972">
          <cell r="A2972">
            <v>47759</v>
          </cell>
          <cell r="B2972">
            <v>3.1501680521000002</v>
          </cell>
          <cell r="C2972">
            <v>3.1493926638</v>
          </cell>
          <cell r="D2972">
            <v>3.1509436314000001</v>
          </cell>
        </row>
        <row r="2973">
          <cell r="A2973">
            <v>47760</v>
          </cell>
          <cell r="B2973">
            <v>3.1513856118999999</v>
          </cell>
          <cell r="C2973">
            <v>3.1506099238999998</v>
          </cell>
          <cell r="D2973">
            <v>3.1521614910000002</v>
          </cell>
        </row>
        <row r="2974">
          <cell r="A2974">
            <v>47763</v>
          </cell>
          <cell r="B2974">
            <v>3.1526036423999999</v>
          </cell>
          <cell r="C2974">
            <v>3.1518276545999999</v>
          </cell>
          <cell r="D2974">
            <v>3.1533798213000002</v>
          </cell>
        </row>
        <row r="2975">
          <cell r="A2975">
            <v>47764</v>
          </cell>
          <cell r="B2975">
            <v>3.1538221435999998</v>
          </cell>
          <cell r="C2975">
            <v>3.1530458557999999</v>
          </cell>
          <cell r="D2975">
            <v>3.1545986225</v>
          </cell>
        </row>
        <row r="2976">
          <cell r="A2976">
            <v>47765</v>
          </cell>
          <cell r="B2976">
            <v>3.1550411157</v>
          </cell>
          <cell r="C2976">
            <v>3.1542645280000001</v>
          </cell>
          <cell r="D2976">
            <v>3.1558178948000002</v>
          </cell>
        </row>
        <row r="2977">
          <cell r="A2977">
            <v>47766</v>
          </cell>
          <cell r="B2977">
            <v>3.1562605591000001</v>
          </cell>
          <cell r="C2977">
            <v>3.1554836711999998</v>
          </cell>
          <cell r="D2977">
            <v>3.1570376383999998</v>
          </cell>
        </row>
        <row r="2978">
          <cell r="A2978">
            <v>47767</v>
          </cell>
          <cell r="B2978">
            <v>3.1574804737000002</v>
          </cell>
          <cell r="C2978">
            <v>3.1567032854999999</v>
          </cell>
          <cell r="D2978">
            <v>3.1582578532999999</v>
          </cell>
        </row>
        <row r="2979">
          <cell r="A2979">
            <v>47770</v>
          </cell>
          <cell r="B2979">
            <v>3.1587008598000001</v>
          </cell>
          <cell r="C2979">
            <v>3.1579233711999999</v>
          </cell>
          <cell r="D2979">
            <v>3.1594785398999998</v>
          </cell>
        </row>
        <row r="2980">
          <cell r="A2980">
            <v>47771</v>
          </cell>
          <cell r="B2980">
            <v>3.1599217177000001</v>
          </cell>
          <cell r="C2980">
            <v>3.1591439285999998</v>
          </cell>
          <cell r="D2980">
            <v>3.1606996984000002</v>
          </cell>
        </row>
        <row r="2981">
          <cell r="A2981">
            <v>47772</v>
          </cell>
          <cell r="B2981">
            <v>3.1611430473</v>
          </cell>
          <cell r="C2981">
            <v>3.1603649576000001</v>
          </cell>
          <cell r="D2981">
            <v>3.1619213287000001</v>
          </cell>
        </row>
        <row r="2982">
          <cell r="A2982">
            <v>47773</v>
          </cell>
          <cell r="B2982">
            <v>3.1623648490999998</v>
          </cell>
          <cell r="C2982">
            <v>3.1615864587</v>
          </cell>
          <cell r="D2982">
            <v>3.1631434313</v>
          </cell>
        </row>
        <row r="2983">
          <cell r="A2983">
            <v>47774</v>
          </cell>
          <cell r="B2983">
            <v>3.1635871231000001</v>
          </cell>
          <cell r="C2983">
            <v>3.1628084317999998</v>
          </cell>
          <cell r="D2983">
            <v>3.1643660061999999</v>
          </cell>
        </row>
        <row r="2984">
          <cell r="A2984">
            <v>47777</v>
          </cell>
          <cell r="B2984">
            <v>3.1648098695</v>
          </cell>
          <cell r="C2984">
            <v>3.1640308773000001</v>
          </cell>
          <cell r="D2984">
            <v>3.1655890537000002</v>
          </cell>
        </row>
        <row r="2985">
          <cell r="A2985">
            <v>47778</v>
          </cell>
          <cell r="B2985">
            <v>3.1660330884999999</v>
          </cell>
          <cell r="C2985">
            <v>3.1652537950999999</v>
          </cell>
          <cell r="D2985">
            <v>3.1668125738000001</v>
          </cell>
        </row>
        <row r="2986">
          <cell r="A2986">
            <v>47779</v>
          </cell>
          <cell r="B2986">
            <v>3.1672567802999998</v>
          </cell>
          <cell r="C2986">
            <v>3.1664771857999998</v>
          </cell>
          <cell r="D2986">
            <v>3.1680365669000001</v>
          </cell>
        </row>
        <row r="2987">
          <cell r="A2987">
            <v>47780</v>
          </cell>
          <cell r="B2987">
            <v>3.1684809450000002</v>
          </cell>
          <cell r="C2987">
            <v>3.1677010492000002</v>
          </cell>
          <cell r="D2987">
            <v>3.1692610330000002</v>
          </cell>
        </row>
        <row r="2988">
          <cell r="A2988">
            <v>47781</v>
          </cell>
          <cell r="B2988">
            <v>3.1697055828999998</v>
          </cell>
          <cell r="C2988">
            <v>3.1689253856000001</v>
          </cell>
          <cell r="D2988">
            <v>3.1704859723999999</v>
          </cell>
        </row>
        <row r="2989">
          <cell r="A2989">
            <v>47784</v>
          </cell>
          <cell r="B2989">
            <v>3.1709306942</v>
          </cell>
          <cell r="C2989">
            <v>3.1701501953000002</v>
          </cell>
          <cell r="D2989">
            <v>3.1717113853000001</v>
          </cell>
        </row>
        <row r="2990">
          <cell r="A2990">
            <v>47785</v>
          </cell>
          <cell r="B2990">
            <v>3.1721562789000002</v>
          </cell>
          <cell r="C2990">
            <v>3.1713754783999999</v>
          </cell>
          <cell r="D2990">
            <v>3.1729372718</v>
          </cell>
        </row>
        <row r="2991">
          <cell r="A2991">
            <v>47786</v>
          </cell>
          <cell r="B2991">
            <v>3.1733823374000001</v>
          </cell>
          <cell r="C2991">
            <v>3.1726012351000001</v>
          </cell>
          <cell r="D2991">
            <v>3.1741636321</v>
          </cell>
        </row>
        <row r="2992">
          <cell r="A2992">
            <v>47787</v>
          </cell>
          <cell r="B2992">
            <v>3.1746088696000001</v>
          </cell>
          <cell r="C2992">
            <v>3.1738274654</v>
          </cell>
          <cell r="D2992">
            <v>3.1753904663000001</v>
          </cell>
        </row>
        <row r="2993">
          <cell r="A2993">
            <v>47788</v>
          </cell>
          <cell r="B2993">
            <v>3.1758358759999998</v>
          </cell>
          <cell r="C2993">
            <v>3.1750541698000001</v>
          </cell>
          <cell r="D2993">
            <v>3.1766177748</v>
          </cell>
        </row>
        <row r="2994">
          <cell r="A2994">
            <v>47791</v>
          </cell>
          <cell r="B2994">
            <v>3.1770633566000002</v>
          </cell>
          <cell r="C2994">
            <v>3.1762813482999999</v>
          </cell>
          <cell r="D2994">
            <v>3.1778455576</v>
          </cell>
        </row>
        <row r="2995">
          <cell r="A2995">
            <v>47792</v>
          </cell>
          <cell r="B2995">
            <v>3.1782913116999998</v>
          </cell>
          <cell r="C2995">
            <v>3.1775090010999998</v>
          </cell>
          <cell r="D2995">
            <v>3.1790738150000002</v>
          </cell>
        </row>
        <row r="2996">
          <cell r="A2996">
            <v>47793</v>
          </cell>
          <cell r="B2996">
            <v>3.1795197413</v>
          </cell>
          <cell r="C2996">
            <v>3.1787371283999999</v>
          </cell>
          <cell r="D2996">
            <v>3.1803025471000002</v>
          </cell>
        </row>
        <row r="2997">
          <cell r="A2997">
            <v>47794</v>
          </cell>
          <cell r="B2997">
            <v>3.1807486458000001</v>
          </cell>
          <cell r="C2997">
            <v>3.1799657303000002</v>
          </cell>
          <cell r="D2997">
            <v>3.1815317540999999</v>
          </cell>
        </row>
        <row r="2998">
          <cell r="A2998">
            <v>47795</v>
          </cell>
          <cell r="B2998">
            <v>3.1819780252999998</v>
          </cell>
          <cell r="C2998">
            <v>3.1811948071999998</v>
          </cell>
          <cell r="D2998">
            <v>3.1827614362999999</v>
          </cell>
        </row>
        <row r="2999">
          <cell r="A2999">
            <v>47798</v>
          </cell>
          <cell r="B2999">
            <v>3.1832078798999999</v>
          </cell>
          <cell r="C2999">
            <v>3.1824243591000001</v>
          </cell>
          <cell r="D2999">
            <v>3.1839915937000001</v>
          </cell>
        </row>
        <row r="3000">
          <cell r="A3000">
            <v>47799</v>
          </cell>
          <cell r="B3000">
            <v>3.1844382098000001</v>
          </cell>
          <cell r="C3000">
            <v>3.1836543862000002</v>
          </cell>
          <cell r="D3000">
            <v>3.1852222265000001</v>
          </cell>
        </row>
        <row r="3001">
          <cell r="A3001">
            <v>47800</v>
          </cell>
          <cell r="B3001">
            <v>3.1856690152999998</v>
          </cell>
          <cell r="C3001">
            <v>3.1848848887000001</v>
          </cell>
          <cell r="D3001">
            <v>3.1864533349999999</v>
          </cell>
        </row>
        <row r="3002">
          <cell r="A3002">
            <v>47801</v>
          </cell>
          <cell r="B3002">
            <v>3.1869002965000002</v>
          </cell>
          <cell r="C3002">
            <v>3.1861158668999998</v>
          </cell>
          <cell r="D3002">
            <v>3.1876849194000001</v>
          </cell>
        </row>
        <row r="3003">
          <cell r="A3003">
            <v>47805</v>
          </cell>
          <cell r="B3003">
            <v>3.1881320536</v>
          </cell>
          <cell r="C3003">
            <v>3.1873473206999998</v>
          </cell>
          <cell r="D3003">
            <v>3.1889169797000001</v>
          </cell>
        </row>
        <row r="3004">
          <cell r="A3004">
            <v>47806</v>
          </cell>
          <cell r="B3004">
            <v>3.1893642868000001</v>
          </cell>
          <cell r="C3004">
            <v>3.1885792507000001</v>
          </cell>
          <cell r="D3004">
            <v>3.1901495163</v>
          </cell>
        </row>
        <row r="3005">
          <cell r="A3005">
            <v>47807</v>
          </cell>
          <cell r="B3005">
            <v>3.1905969962</v>
          </cell>
          <cell r="C3005">
            <v>3.1898116565999999</v>
          </cell>
          <cell r="D3005">
            <v>3.1913825292000002</v>
          </cell>
        </row>
        <row r="3006">
          <cell r="A3006">
            <v>47808</v>
          </cell>
          <cell r="B3006">
            <v>3.1918301820999999</v>
          </cell>
          <cell r="C3006">
            <v>3.191044539</v>
          </cell>
          <cell r="D3006">
            <v>3.1926160186999999</v>
          </cell>
        </row>
        <row r="3007">
          <cell r="A3007">
            <v>47809</v>
          </cell>
          <cell r="B3007">
            <v>3.1930638446000001</v>
          </cell>
          <cell r="C3007">
            <v>3.1922778978999999</v>
          </cell>
          <cell r="D3007">
            <v>3.1938499849999999</v>
          </cell>
        </row>
        <row r="3008">
          <cell r="A3008">
            <v>47812</v>
          </cell>
          <cell r="B3008">
            <v>3.1942979838999999</v>
          </cell>
          <cell r="C3008">
            <v>3.1935117333999998</v>
          </cell>
          <cell r="D3008">
            <v>3.1950844280999999</v>
          </cell>
        </row>
        <row r="3009">
          <cell r="A3009">
            <v>47813</v>
          </cell>
          <cell r="B3009">
            <v>3.1955326003</v>
          </cell>
          <cell r="C3009">
            <v>3.1947460459000001</v>
          </cell>
          <cell r="D3009">
            <v>3.1963193484999999</v>
          </cell>
        </row>
        <row r="3010">
          <cell r="A3010">
            <v>47814</v>
          </cell>
          <cell r="B3010">
            <v>3.1967676939</v>
          </cell>
          <cell r="C3010">
            <v>3.1959808353999999</v>
          </cell>
          <cell r="D3010">
            <v>3.1975547460999998</v>
          </cell>
        </row>
        <row r="3011">
          <cell r="A3011">
            <v>47815</v>
          </cell>
          <cell r="B3011">
            <v>3.1980032648000001</v>
          </cell>
          <cell r="C3011">
            <v>3.1972161022000001</v>
          </cell>
          <cell r="D3011">
            <v>3.1987906212000001</v>
          </cell>
        </row>
        <row r="3012">
          <cell r="A3012">
            <v>47816</v>
          </cell>
          <cell r="B3012">
            <v>3.1992393131000001</v>
          </cell>
          <cell r="C3012">
            <v>3.1984518462999998</v>
          </cell>
          <cell r="D3012">
            <v>3.2000269739</v>
          </cell>
        </row>
        <row r="3013">
          <cell r="A3013">
            <v>47819</v>
          </cell>
          <cell r="B3013">
            <v>3.2004758394000001</v>
          </cell>
          <cell r="C3013">
            <v>3.1996880682</v>
          </cell>
          <cell r="D3013">
            <v>3.2012638045999999</v>
          </cell>
        </row>
        <row r="3014">
          <cell r="A3014">
            <v>47820</v>
          </cell>
          <cell r="B3014">
            <v>3.2017128435000002</v>
          </cell>
          <cell r="C3014">
            <v>3.2009247679000001</v>
          </cell>
          <cell r="D3014">
            <v>3.2025011132999999</v>
          </cell>
        </row>
        <row r="3015">
          <cell r="A3015">
            <v>47821</v>
          </cell>
          <cell r="B3015">
            <v>3.2029503257999998</v>
          </cell>
          <cell r="C3015">
            <v>3.2021619454999999</v>
          </cell>
          <cell r="D3015">
            <v>3.2037389001999999</v>
          </cell>
        </row>
        <row r="3016">
          <cell r="A3016">
            <v>47822</v>
          </cell>
          <cell r="B3016">
            <v>3.2041882863</v>
          </cell>
          <cell r="C3016">
            <v>3.2033996013000001</v>
          </cell>
          <cell r="D3016">
            <v>3.2049771654999999</v>
          </cell>
        </row>
        <row r="3017">
          <cell r="A3017">
            <v>47823</v>
          </cell>
          <cell r="B3017">
            <v>3.2054267253000002</v>
          </cell>
          <cell r="C3017">
            <v>3.2046377355</v>
          </cell>
          <cell r="D3017">
            <v>3.2062159094</v>
          </cell>
        </row>
        <row r="3018">
          <cell r="A3018">
            <v>47826</v>
          </cell>
          <cell r="B3018">
            <v>3.206665643</v>
          </cell>
          <cell r="C3018">
            <v>3.2058763481999999</v>
          </cell>
          <cell r="D3018">
            <v>3.2074551321000002</v>
          </cell>
        </row>
        <row r="3019">
          <cell r="A3019">
            <v>47827</v>
          </cell>
          <cell r="B3019">
            <v>3.2079050394999999</v>
          </cell>
          <cell r="C3019">
            <v>3.2071154396999999</v>
          </cell>
          <cell r="D3019">
            <v>3.2086948338000001</v>
          </cell>
        </row>
        <row r="3020">
          <cell r="A3020">
            <v>47828</v>
          </cell>
          <cell r="B3020">
            <v>3.209144915</v>
          </cell>
          <cell r="C3020">
            <v>3.2083550101</v>
          </cell>
          <cell r="D3020">
            <v>3.2099350146000001</v>
          </cell>
        </row>
        <row r="3021">
          <cell r="A3021">
            <v>47829</v>
          </cell>
          <cell r="B3021">
            <v>3.2103852698000002</v>
          </cell>
          <cell r="C3021">
            <v>3.2095950594999998</v>
          </cell>
          <cell r="D3021">
            <v>3.2111756747000002</v>
          </cell>
        </row>
        <row r="3022">
          <cell r="A3022">
            <v>47830</v>
          </cell>
          <cell r="B3022">
            <v>3.211626104</v>
          </cell>
          <cell r="C3022">
            <v>3.2108355883000002</v>
          </cell>
          <cell r="D3022">
            <v>3.2124168144</v>
          </cell>
        </row>
        <row r="3023">
          <cell r="A3023">
            <v>47833</v>
          </cell>
          <cell r="B3023">
            <v>3.2128674178000001</v>
          </cell>
          <cell r="C3023">
            <v>3.2120765965000002</v>
          </cell>
          <cell r="D3023">
            <v>3.2136584338</v>
          </cell>
        </row>
        <row r="3024">
          <cell r="A3024">
            <v>47834</v>
          </cell>
          <cell r="B3024">
            <v>3.2141092112999998</v>
          </cell>
          <cell r="C3024">
            <v>3.2133180844</v>
          </cell>
          <cell r="D3024">
            <v>3.2149005330999998</v>
          </cell>
        </row>
        <row r="3025">
          <cell r="A3025">
            <v>47835</v>
          </cell>
          <cell r="B3025">
            <v>3.2153514848000002</v>
          </cell>
          <cell r="C3025">
            <v>3.2145600521</v>
          </cell>
          <cell r="D3025">
            <v>3.2161431124000002</v>
          </cell>
        </row>
        <row r="3026">
          <cell r="A3026">
            <v>47836</v>
          </cell>
          <cell r="B3026">
            <v>3.2165942383999999</v>
          </cell>
          <cell r="C3026">
            <v>3.2158024998000001</v>
          </cell>
          <cell r="D3026">
            <v>3.2173861719999999</v>
          </cell>
        </row>
        <row r="3027">
          <cell r="A3027">
            <v>47837</v>
          </cell>
          <cell r="B3027">
            <v>3.2178374723999998</v>
          </cell>
          <cell r="C3027">
            <v>3.2170454278</v>
          </cell>
          <cell r="D3027">
            <v>3.2186297120999998</v>
          </cell>
        </row>
        <row r="3028">
          <cell r="A3028">
            <v>47840</v>
          </cell>
          <cell r="B3028">
            <v>3.2190811869</v>
          </cell>
          <cell r="C3028">
            <v>3.2182888362000002</v>
          </cell>
          <cell r="D3028">
            <v>3.2198737328</v>
          </cell>
        </row>
        <row r="3029">
          <cell r="A3029">
            <v>47841</v>
          </cell>
          <cell r="B3029">
            <v>3.2203253822</v>
          </cell>
          <cell r="C3029">
            <v>3.2195327252000001</v>
          </cell>
          <cell r="D3029">
            <v>3.2211182344</v>
          </cell>
        </row>
        <row r="3030">
          <cell r="A3030">
            <v>47843</v>
          </cell>
          <cell r="B3030">
            <v>3.2215700582000002</v>
          </cell>
          <cell r="C3030">
            <v>3.2207770948999999</v>
          </cell>
          <cell r="D3030">
            <v>3.2223632168999998</v>
          </cell>
        </row>
        <row r="3031">
          <cell r="A3031">
            <v>47844</v>
          </cell>
          <cell r="B3031">
            <v>3.2228152153999998</v>
          </cell>
          <cell r="C3031">
            <v>3.2220219455999999</v>
          </cell>
          <cell r="D3031">
            <v>3.2236086805999999</v>
          </cell>
        </row>
        <row r="3032">
          <cell r="A3032">
            <v>47847</v>
          </cell>
          <cell r="B3032">
            <v>3.2240608539000002</v>
          </cell>
          <cell r="C3032">
            <v>3.2232672775000002</v>
          </cell>
          <cell r="D3032">
            <v>3.2248546257999999</v>
          </cell>
        </row>
        <row r="3033">
          <cell r="A3033">
            <v>47848</v>
          </cell>
          <cell r="B3033">
            <v>3.2253069737</v>
          </cell>
          <cell r="C3033">
            <v>3.2245130905999999</v>
          </cell>
          <cell r="D3033">
            <v>3.2261010523999998</v>
          </cell>
        </row>
        <row r="3034">
          <cell r="A3034">
            <v>47850</v>
          </cell>
          <cell r="B3034">
            <v>3.2265535753000001</v>
          </cell>
          <cell r="C3034">
            <v>3.2257593852999999</v>
          </cell>
          <cell r="D3034">
            <v>3.2273479609</v>
          </cell>
        </row>
        <row r="3035">
          <cell r="A3035">
            <v>47851</v>
          </cell>
          <cell r="B3035">
            <v>3.2278006586000001</v>
          </cell>
          <cell r="C3035">
            <v>3.2270061615999999</v>
          </cell>
          <cell r="D3035">
            <v>3.2285953512000001</v>
          </cell>
        </row>
        <row r="3036">
          <cell r="A3036">
            <v>47854</v>
          </cell>
          <cell r="B3036">
            <v>3.2290482239</v>
          </cell>
          <cell r="C3036">
            <v>3.2282534199000001</v>
          </cell>
          <cell r="D3036">
            <v>3.2298432237000001</v>
          </cell>
        </row>
        <row r="3037">
          <cell r="A3037">
            <v>47855</v>
          </cell>
          <cell r="B3037">
            <v>3.2302962713999999</v>
          </cell>
          <cell r="C3037">
            <v>3.2295011601999999</v>
          </cell>
          <cell r="D3037">
            <v>3.2310915785000001</v>
          </cell>
        </row>
        <row r="3038">
          <cell r="A3038">
            <v>47856</v>
          </cell>
          <cell r="B3038">
            <v>3.2315448013000001</v>
          </cell>
          <cell r="C3038">
            <v>3.2307493828</v>
          </cell>
          <cell r="D3038">
            <v>3.2323404158</v>
          </cell>
        </row>
        <row r="3039">
          <cell r="A3039">
            <v>47857</v>
          </cell>
          <cell r="B3039">
            <v>3.2327938137999999</v>
          </cell>
          <cell r="C3039">
            <v>3.2319980879000001</v>
          </cell>
          <cell r="D3039">
            <v>3.2335897357999999</v>
          </cell>
        </row>
        <row r="3040">
          <cell r="A3040">
            <v>47858</v>
          </cell>
          <cell r="B3040">
            <v>3.2340433091</v>
          </cell>
          <cell r="C3040">
            <v>3.2332472756000001</v>
          </cell>
          <cell r="D3040">
            <v>3.2348395387000002</v>
          </cell>
        </row>
        <row r="3041">
          <cell r="A3041">
            <v>47861</v>
          </cell>
          <cell r="B3041">
            <v>3.2352932873000002</v>
          </cell>
          <cell r="C3041">
            <v>3.2344969461000002</v>
          </cell>
          <cell r="D3041">
            <v>3.2360898246000001</v>
          </cell>
        </row>
        <row r="3042">
          <cell r="A3042">
            <v>47862</v>
          </cell>
          <cell r="B3042">
            <v>3.2365437484999999</v>
          </cell>
          <cell r="C3042">
            <v>3.2357470995000002</v>
          </cell>
          <cell r="D3042">
            <v>3.2373405936999999</v>
          </cell>
        </row>
        <row r="3043">
          <cell r="A3043">
            <v>47863</v>
          </cell>
          <cell r="B3043">
            <v>3.2377946931000001</v>
          </cell>
          <cell r="C3043">
            <v>3.2369977362000002</v>
          </cell>
          <cell r="D3043">
            <v>3.2385918462999999</v>
          </cell>
        </row>
        <row r="3044">
          <cell r="A3044">
            <v>47864</v>
          </cell>
          <cell r="B3044">
            <v>3.2390461211999999</v>
          </cell>
          <cell r="C3044">
            <v>3.2382488562999998</v>
          </cell>
          <cell r="D3044">
            <v>3.2398435824999998</v>
          </cell>
        </row>
        <row r="3045">
          <cell r="A3045">
            <v>47865</v>
          </cell>
          <cell r="B3045">
            <v>3.2402980330000002</v>
          </cell>
          <cell r="C3045">
            <v>3.2395004598999999</v>
          </cell>
          <cell r="D3045">
            <v>3.2410958024999998</v>
          </cell>
        </row>
        <row r="3046">
          <cell r="A3046">
            <v>47868</v>
          </cell>
          <cell r="B3046">
            <v>3.2415504286000001</v>
          </cell>
          <cell r="C3046">
            <v>3.2407525473000001</v>
          </cell>
          <cell r="D3046">
            <v>3.2423485064999999</v>
          </cell>
        </row>
        <row r="3047">
          <cell r="A3047">
            <v>47869</v>
          </cell>
          <cell r="B3047">
            <v>3.2428033084000001</v>
          </cell>
          <cell r="C3047">
            <v>3.2420051186999999</v>
          </cell>
          <cell r="D3047">
            <v>3.2436016947000001</v>
          </cell>
        </row>
        <row r="3048">
          <cell r="A3048">
            <v>47870</v>
          </cell>
          <cell r="B3048">
            <v>3.2440566723000002</v>
          </cell>
          <cell r="C3048">
            <v>3.2432581741000002</v>
          </cell>
          <cell r="D3048">
            <v>3.2448553672</v>
          </cell>
        </row>
        <row r="3049">
          <cell r="A3049">
            <v>47871</v>
          </cell>
          <cell r="B3049">
            <v>3.2453105206999999</v>
          </cell>
          <cell r="C3049">
            <v>3.2445117138000001</v>
          </cell>
          <cell r="D3049">
            <v>3.2461095243</v>
          </cell>
        </row>
        <row r="3050">
          <cell r="A3050">
            <v>47872</v>
          </cell>
          <cell r="B3050">
            <v>3.2465648536999998</v>
          </cell>
          <cell r="C3050">
            <v>3.2457657380999998</v>
          </cell>
          <cell r="D3050">
            <v>3.2473641661000001</v>
          </cell>
        </row>
        <row r="3051">
          <cell r="A3051">
            <v>47875</v>
          </cell>
          <cell r="B3051">
            <v>3.2478196714999998</v>
          </cell>
          <cell r="C3051">
            <v>3.2470202471</v>
          </cell>
          <cell r="D3051">
            <v>3.2486192929</v>
          </cell>
        </row>
        <row r="3052">
          <cell r="A3052">
            <v>47876</v>
          </cell>
          <cell r="B3052">
            <v>3.2490749744</v>
          </cell>
          <cell r="C3052">
            <v>3.2482752409</v>
          </cell>
          <cell r="D3052">
            <v>3.2498749048</v>
          </cell>
        </row>
        <row r="3053">
          <cell r="A3053">
            <v>47877</v>
          </cell>
          <cell r="B3053">
            <v>3.2503307624</v>
          </cell>
          <cell r="C3053">
            <v>3.2495307199000001</v>
          </cell>
          <cell r="D3053">
            <v>3.2511310020000002</v>
          </cell>
        </row>
        <row r="3054">
          <cell r="A3054">
            <v>47878</v>
          </cell>
          <cell r="B3054">
            <v>3.2515870357000001</v>
          </cell>
          <cell r="C3054">
            <v>3.2507866838999999</v>
          </cell>
          <cell r="D3054">
            <v>3.2523875846000001</v>
          </cell>
        </row>
        <row r="3055">
          <cell r="A3055">
            <v>47879</v>
          </cell>
          <cell r="B3055">
            <v>3.2528437947</v>
          </cell>
          <cell r="C3055">
            <v>3.2520431336</v>
          </cell>
          <cell r="D3055">
            <v>3.2536446529999998</v>
          </cell>
        </row>
        <row r="3056">
          <cell r="A3056">
            <v>47882</v>
          </cell>
          <cell r="B3056">
            <v>3.2541010393000001</v>
          </cell>
          <cell r="C3056">
            <v>3.2533000687999998</v>
          </cell>
          <cell r="D3056">
            <v>3.2549022071999998</v>
          </cell>
        </row>
        <row r="3057">
          <cell r="A3057">
            <v>47883</v>
          </cell>
          <cell r="B3057">
            <v>3.2553587698999999</v>
          </cell>
          <cell r="C3057">
            <v>3.2545574896999998</v>
          </cell>
          <cell r="D3057">
            <v>3.2561602474</v>
          </cell>
        </row>
        <row r="3058">
          <cell r="A3058">
            <v>47884</v>
          </cell>
          <cell r="B3058">
            <v>3.2566169866000001</v>
          </cell>
          <cell r="C3058">
            <v>3.2558153968000001</v>
          </cell>
          <cell r="D3058">
            <v>3.2574187739</v>
          </cell>
        </row>
        <row r="3059">
          <cell r="A3059">
            <v>47885</v>
          </cell>
          <cell r="B3059">
            <v>3.2578756896000001</v>
          </cell>
          <cell r="C3059">
            <v>3.2570737900000002</v>
          </cell>
          <cell r="D3059">
            <v>3.2586777867999999</v>
          </cell>
        </row>
        <row r="3060">
          <cell r="A3060">
            <v>47886</v>
          </cell>
          <cell r="B3060">
            <v>3.2591348791999999</v>
          </cell>
          <cell r="C3060">
            <v>3.2583326696000001</v>
          </cell>
          <cell r="D3060">
            <v>3.2599372864</v>
          </cell>
        </row>
        <row r="3061">
          <cell r="A3061">
            <v>47889</v>
          </cell>
          <cell r="B3061">
            <v>3.2603945554</v>
          </cell>
          <cell r="C3061">
            <v>3.2595920356999999</v>
          </cell>
          <cell r="D3061">
            <v>3.2611972727</v>
          </cell>
        </row>
        <row r="3062">
          <cell r="A3062">
            <v>47890</v>
          </cell>
          <cell r="B3062">
            <v>3.2616547185</v>
          </cell>
          <cell r="C3062">
            <v>3.2608518887</v>
          </cell>
          <cell r="D3062">
            <v>3.2624577460999999</v>
          </cell>
        </row>
        <row r="3063">
          <cell r="A3063">
            <v>47891</v>
          </cell>
          <cell r="B3063">
            <v>3.2629153685999999</v>
          </cell>
          <cell r="C3063">
            <v>3.2621122284999999</v>
          </cell>
          <cell r="D3063">
            <v>3.2637187066000002</v>
          </cell>
        </row>
        <row r="3064">
          <cell r="A3064">
            <v>47892</v>
          </cell>
          <cell r="B3064">
            <v>3.2641765060000001</v>
          </cell>
          <cell r="C3064">
            <v>3.2633730554999998</v>
          </cell>
          <cell r="D3064">
            <v>3.2649801544999999</v>
          </cell>
        </row>
        <row r="3065">
          <cell r="A3065">
            <v>47893</v>
          </cell>
          <cell r="B3065">
            <v>3.2654381307999998</v>
          </cell>
          <cell r="C3065">
            <v>3.2646343697</v>
          </cell>
          <cell r="D3065">
            <v>3.2662420899</v>
          </cell>
        </row>
        <row r="3066">
          <cell r="A3066">
            <v>47896</v>
          </cell>
          <cell r="B3066">
            <v>3.2667002432999999</v>
          </cell>
          <cell r="C3066">
            <v>3.2658961715000001</v>
          </cell>
          <cell r="D3066">
            <v>3.2675045131</v>
          </cell>
        </row>
        <row r="3067">
          <cell r="A3067">
            <v>47897</v>
          </cell>
          <cell r="B3067">
            <v>3.2679628435999999</v>
          </cell>
          <cell r="C3067">
            <v>3.2671584611000002</v>
          </cell>
          <cell r="D3067">
            <v>3.2687674243</v>
          </cell>
        </row>
        <row r="3068">
          <cell r="A3068">
            <v>47898</v>
          </cell>
          <cell r="B3068">
            <v>3.2692259318999999</v>
          </cell>
          <cell r="C3068">
            <v>3.2684212384000002</v>
          </cell>
          <cell r="D3068">
            <v>3.2700308235</v>
          </cell>
        </row>
        <row r="3069">
          <cell r="A3069">
            <v>47899</v>
          </cell>
          <cell r="B3069">
            <v>3.2704895083999999</v>
          </cell>
          <cell r="C3069">
            <v>3.2696845039000002</v>
          </cell>
          <cell r="D3069">
            <v>3.2712947110999999</v>
          </cell>
        </row>
        <row r="3070">
          <cell r="A3070">
            <v>47900</v>
          </cell>
          <cell r="B3070">
            <v>3.2717535731999998</v>
          </cell>
          <cell r="C3070">
            <v>3.2709482577000002</v>
          </cell>
          <cell r="D3070">
            <v>3.2725590871999999</v>
          </cell>
        </row>
        <row r="3071">
          <cell r="A3071">
            <v>47905</v>
          </cell>
          <cell r="B3071">
            <v>3.2730181265999998</v>
          </cell>
          <cell r="C3071">
            <v>3.2722124998000002</v>
          </cell>
          <cell r="D3071">
            <v>3.2738239518999999</v>
          </cell>
        </row>
        <row r="3072">
          <cell r="A3072">
            <v>47906</v>
          </cell>
          <cell r="B3072">
            <v>3.2742831686999998</v>
          </cell>
          <cell r="C3072">
            <v>3.2734772305000002</v>
          </cell>
          <cell r="D3072">
            <v>3.2750893054999999</v>
          </cell>
        </row>
        <row r="3073">
          <cell r="A3073">
            <v>47907</v>
          </cell>
          <cell r="B3073">
            <v>3.2755486998999999</v>
          </cell>
          <cell r="C3073">
            <v>3.2747424501000002</v>
          </cell>
          <cell r="D3073">
            <v>3.2763551482</v>
          </cell>
        </row>
        <row r="3074">
          <cell r="A3074">
            <v>47910</v>
          </cell>
          <cell r="B3074">
            <v>3.2768147202</v>
          </cell>
          <cell r="C3074">
            <v>3.2760081587999998</v>
          </cell>
          <cell r="D3074">
            <v>3.2776214802000001</v>
          </cell>
        </row>
        <row r="3075">
          <cell r="A3075">
            <v>47911</v>
          </cell>
          <cell r="B3075">
            <v>3.2780812298000002</v>
          </cell>
          <cell r="C3075">
            <v>3.2772743567</v>
          </cell>
          <cell r="D3075">
            <v>3.2788883015999999</v>
          </cell>
        </row>
        <row r="3076">
          <cell r="A3076">
            <v>47912</v>
          </cell>
          <cell r="B3076">
            <v>3.2793482288</v>
          </cell>
          <cell r="C3076">
            <v>3.2785410438999998</v>
          </cell>
          <cell r="D3076">
            <v>3.2801556126000002</v>
          </cell>
        </row>
        <row r="3077">
          <cell r="A3077">
            <v>47913</v>
          </cell>
          <cell r="B3077">
            <v>3.2806157176999999</v>
          </cell>
          <cell r="C3077">
            <v>3.2798082207000001</v>
          </cell>
          <cell r="D3077">
            <v>3.2814234135000002</v>
          </cell>
        </row>
        <row r="3078">
          <cell r="A3078">
            <v>47914</v>
          </cell>
          <cell r="B3078">
            <v>3.2818836964</v>
          </cell>
          <cell r="C3078">
            <v>3.2810758873000001</v>
          </cell>
          <cell r="D3078">
            <v>3.2826917043999999</v>
          </cell>
        </row>
        <row r="3079">
          <cell r="A3079">
            <v>47917</v>
          </cell>
          <cell r="B3079">
            <v>3.2831521651000002</v>
          </cell>
          <cell r="C3079">
            <v>3.2823440438000002</v>
          </cell>
          <cell r="D3079">
            <v>3.2839604854000002</v>
          </cell>
        </row>
        <row r="3080">
          <cell r="A3080">
            <v>47918</v>
          </cell>
          <cell r="B3080">
            <v>3.2844211242000001</v>
          </cell>
          <cell r="C3080">
            <v>3.2836126906000001</v>
          </cell>
          <cell r="D3080">
            <v>3.2852297569000002</v>
          </cell>
        </row>
        <row r="3081">
          <cell r="A3081">
            <v>47919</v>
          </cell>
          <cell r="B3081">
            <v>3.2856905736000002</v>
          </cell>
          <cell r="C3081">
            <v>3.2848818275</v>
          </cell>
          <cell r="D3081">
            <v>3.2864995188999999</v>
          </cell>
        </row>
        <row r="3082">
          <cell r="A3082">
            <v>47920</v>
          </cell>
          <cell r="B3082">
            <v>3.2869605139</v>
          </cell>
          <cell r="C3082">
            <v>3.2861514552000002</v>
          </cell>
          <cell r="D3082">
            <v>3.2877697717999999</v>
          </cell>
        </row>
        <row r="3083">
          <cell r="A3083">
            <v>47921</v>
          </cell>
          <cell r="B3083">
            <v>3.2882309448</v>
          </cell>
          <cell r="C3083">
            <v>3.2874215734000001</v>
          </cell>
          <cell r="D3083">
            <v>3.2890405155</v>
          </cell>
        </row>
        <row r="3084">
          <cell r="A3084">
            <v>47924</v>
          </cell>
          <cell r="B3084">
            <v>3.2895018668999998</v>
          </cell>
          <cell r="C3084">
            <v>3.2886921827000002</v>
          </cell>
          <cell r="D3084">
            <v>3.2903117504999999</v>
          </cell>
        </row>
        <row r="3085">
          <cell r="A3085">
            <v>47925</v>
          </cell>
          <cell r="B3085">
            <v>3.2907732799999998</v>
          </cell>
          <cell r="C3085">
            <v>3.2899632829000001</v>
          </cell>
          <cell r="D3085">
            <v>3.2915834767000001</v>
          </cell>
        </row>
        <row r="3086">
          <cell r="A3086">
            <v>47926</v>
          </cell>
          <cell r="B3086">
            <v>3.2920451848000001</v>
          </cell>
          <cell r="C3086">
            <v>3.2912348746000002</v>
          </cell>
          <cell r="D3086">
            <v>3.2928556946</v>
          </cell>
        </row>
        <row r="3087">
          <cell r="A3087">
            <v>47927</v>
          </cell>
          <cell r="B3087">
            <v>3.2933175810000002</v>
          </cell>
          <cell r="C3087">
            <v>3.2925069576000001</v>
          </cell>
          <cell r="D3087">
            <v>3.2941284040999999</v>
          </cell>
        </row>
        <row r="3088">
          <cell r="A3088">
            <v>47928</v>
          </cell>
          <cell r="B3088">
            <v>3.2945904690000001</v>
          </cell>
          <cell r="C3088">
            <v>3.2937795322999999</v>
          </cell>
          <cell r="D3088">
            <v>3.2954016054999999</v>
          </cell>
        </row>
        <row r="3089">
          <cell r="A3089">
            <v>47931</v>
          </cell>
          <cell r="B3089">
            <v>3.2958638489999998</v>
          </cell>
          <cell r="C3089">
            <v>3.2950525988999999</v>
          </cell>
          <cell r="D3089">
            <v>3.2966752989999999</v>
          </cell>
        </row>
        <row r="3090">
          <cell r="A3090">
            <v>47932</v>
          </cell>
          <cell r="B3090">
            <v>3.2971377212999999</v>
          </cell>
          <cell r="C3090">
            <v>3.2963261575999998</v>
          </cell>
          <cell r="D3090">
            <v>3.2979494849000002</v>
          </cell>
        </row>
        <row r="3091">
          <cell r="A3091">
            <v>47933</v>
          </cell>
          <cell r="B3091">
            <v>3.2984120857999999</v>
          </cell>
          <cell r="C3091">
            <v>3.2976002085</v>
          </cell>
          <cell r="D3091">
            <v>3.2992241631999999</v>
          </cell>
        </row>
        <row r="3092">
          <cell r="A3092">
            <v>47934</v>
          </cell>
          <cell r="B3092">
            <v>3.2996869429000002</v>
          </cell>
          <cell r="C3092">
            <v>3.2988747517000001</v>
          </cell>
          <cell r="D3092">
            <v>3.3004993341</v>
          </cell>
        </row>
        <row r="3093">
          <cell r="A3093">
            <v>47935</v>
          </cell>
          <cell r="B3093">
            <v>3.3009622928</v>
          </cell>
          <cell r="C3093">
            <v>3.3001497877000001</v>
          </cell>
          <cell r="D3093">
            <v>3.301774998</v>
          </cell>
        </row>
        <row r="3094">
          <cell r="A3094">
            <v>47938</v>
          </cell>
          <cell r="B3094">
            <v>3.3022381356000001</v>
          </cell>
          <cell r="C3094">
            <v>3.3014253165</v>
          </cell>
          <cell r="D3094">
            <v>3.3030511548999999</v>
          </cell>
        </row>
        <row r="3095">
          <cell r="A3095">
            <v>47939</v>
          </cell>
          <cell r="B3095">
            <v>3.3035144714000002</v>
          </cell>
          <cell r="C3095">
            <v>3.3027013381999999</v>
          </cell>
          <cell r="D3095">
            <v>3.3043278049999998</v>
          </cell>
        </row>
        <row r="3096">
          <cell r="A3096">
            <v>47940</v>
          </cell>
          <cell r="B3096">
            <v>3.3047913006999998</v>
          </cell>
          <cell r="C3096">
            <v>3.3039778531000001</v>
          </cell>
          <cell r="D3096">
            <v>3.3056049486000001</v>
          </cell>
        </row>
        <row r="3097">
          <cell r="A3097">
            <v>47941</v>
          </cell>
          <cell r="B3097">
            <v>3.3060686232999998</v>
          </cell>
          <cell r="C3097">
            <v>3.3052548612999999</v>
          </cell>
          <cell r="D3097">
            <v>3.3068825856999999</v>
          </cell>
        </row>
        <row r="3098">
          <cell r="A3098">
            <v>47942</v>
          </cell>
          <cell r="B3098">
            <v>3.3073464396999999</v>
          </cell>
          <cell r="C3098">
            <v>3.3065323632000001</v>
          </cell>
          <cell r="D3098">
            <v>3.3081607166999998</v>
          </cell>
        </row>
        <row r="3099">
          <cell r="A3099">
            <v>47945</v>
          </cell>
          <cell r="B3099">
            <v>3.3086247500999999</v>
          </cell>
          <cell r="C3099">
            <v>3.3078103588999999</v>
          </cell>
          <cell r="D3099">
            <v>3.3094393418000001</v>
          </cell>
        </row>
        <row r="3100">
          <cell r="A3100">
            <v>47946</v>
          </cell>
          <cell r="B3100">
            <v>3.3099035543999999</v>
          </cell>
          <cell r="C3100">
            <v>3.3090888485000001</v>
          </cell>
          <cell r="D3100">
            <v>3.310718461</v>
          </cell>
        </row>
        <row r="3101">
          <cell r="A3101">
            <v>47947</v>
          </cell>
          <cell r="B3101">
            <v>3.3111828531</v>
          </cell>
          <cell r="C3101">
            <v>3.3103678322999999</v>
          </cell>
          <cell r="D3101">
            <v>3.3119980746</v>
          </cell>
        </row>
        <row r="3102">
          <cell r="A3102">
            <v>47948</v>
          </cell>
          <cell r="B3102">
            <v>3.3124626461000002</v>
          </cell>
          <cell r="C3102">
            <v>3.3116473103000001</v>
          </cell>
          <cell r="D3102">
            <v>3.3132781827</v>
          </cell>
        </row>
        <row r="3103">
          <cell r="A3103">
            <v>47952</v>
          </cell>
          <cell r="B3103">
            <v>3.3137429339</v>
          </cell>
          <cell r="C3103">
            <v>3.3129272829</v>
          </cell>
          <cell r="D3103">
            <v>3.3145587857000001</v>
          </cell>
        </row>
        <row r="3104">
          <cell r="A3104">
            <v>47953</v>
          </cell>
          <cell r="B3104">
            <v>3.3150237163999998</v>
          </cell>
          <cell r="C3104">
            <v>3.3142077502</v>
          </cell>
          <cell r="D3104">
            <v>3.3158398835999998</v>
          </cell>
        </row>
        <row r="3105">
          <cell r="A3105">
            <v>47954</v>
          </cell>
          <cell r="B3105">
            <v>3.3163049939999998</v>
          </cell>
          <cell r="C3105">
            <v>3.3154887124000001</v>
          </cell>
          <cell r="D3105">
            <v>3.3171214766000001</v>
          </cell>
        </row>
        <row r="3106">
          <cell r="A3106">
            <v>47955</v>
          </cell>
          <cell r="B3106">
            <v>3.3175867667999999</v>
          </cell>
          <cell r="C3106">
            <v>3.3167701696999998</v>
          </cell>
          <cell r="D3106">
            <v>3.3184035650000001</v>
          </cell>
        </row>
        <row r="3107">
          <cell r="A3107">
            <v>47956</v>
          </cell>
          <cell r="B3107">
            <v>3.3188690351000001</v>
          </cell>
          <cell r="C3107">
            <v>3.3180521224000001</v>
          </cell>
          <cell r="D3107">
            <v>3.3196861489999998</v>
          </cell>
        </row>
        <row r="3108">
          <cell r="A3108">
            <v>47960</v>
          </cell>
          <cell r="B3108">
            <v>3.3201517989</v>
          </cell>
          <cell r="C3108">
            <v>3.3193345705000001</v>
          </cell>
          <cell r="D3108">
            <v>3.3209692286000001</v>
          </cell>
        </row>
        <row r="3109">
          <cell r="A3109">
            <v>47961</v>
          </cell>
          <cell r="B3109">
            <v>3.3214350585000001</v>
          </cell>
          <cell r="C3109">
            <v>3.3206175142999999</v>
          </cell>
          <cell r="D3109">
            <v>3.3222528042000001</v>
          </cell>
        </row>
        <row r="3110">
          <cell r="A3110">
            <v>47962</v>
          </cell>
          <cell r="B3110">
            <v>3.3227188141999999</v>
          </cell>
          <cell r="C3110">
            <v>3.3219009539000002</v>
          </cell>
          <cell r="D3110">
            <v>3.3235368758999999</v>
          </cell>
        </row>
        <row r="3111">
          <cell r="A3111">
            <v>47963</v>
          </cell>
          <cell r="B3111">
            <v>3.324003066</v>
          </cell>
          <cell r="C3111">
            <v>3.3231848895999998</v>
          </cell>
          <cell r="D3111">
            <v>3.3248214438999999</v>
          </cell>
        </row>
        <row r="3112">
          <cell r="A3112">
            <v>47966</v>
          </cell>
          <cell r="B3112">
            <v>3.3252878142000002</v>
          </cell>
          <cell r="C3112">
            <v>3.3244693216000001</v>
          </cell>
          <cell r="D3112">
            <v>3.3261065084000001</v>
          </cell>
        </row>
        <row r="3113">
          <cell r="A3113">
            <v>47967</v>
          </cell>
          <cell r="B3113">
            <v>3.3265730588000002</v>
          </cell>
          <cell r="C3113">
            <v>3.3257542499000001</v>
          </cell>
          <cell r="D3113">
            <v>3.3273920695000001</v>
          </cell>
        </row>
        <row r="3114">
          <cell r="A3114">
            <v>47968</v>
          </cell>
          <cell r="B3114">
            <v>3.3278588004</v>
          </cell>
          <cell r="C3114">
            <v>3.327039675</v>
          </cell>
          <cell r="D3114">
            <v>3.3286781275999999</v>
          </cell>
        </row>
        <row r="3115">
          <cell r="A3115">
            <v>47970</v>
          </cell>
          <cell r="B3115">
            <v>3.3291450388000001</v>
          </cell>
          <cell r="C3115">
            <v>3.3283255968000001</v>
          </cell>
          <cell r="D3115">
            <v>3.3299646827</v>
          </cell>
        </row>
        <row r="3116">
          <cell r="A3116">
            <v>47973</v>
          </cell>
          <cell r="B3116">
            <v>3.3304317744</v>
          </cell>
          <cell r="C3116">
            <v>3.3296120157</v>
          </cell>
          <cell r="D3116">
            <v>3.3312517350999999</v>
          </cell>
        </row>
        <row r="3117">
          <cell r="A3117">
            <v>47974</v>
          </cell>
          <cell r="B3117">
            <v>3.3317190072999998</v>
          </cell>
          <cell r="C3117">
            <v>3.3308989317000002</v>
          </cell>
          <cell r="D3117">
            <v>3.3325392849000002</v>
          </cell>
        </row>
        <row r="3118">
          <cell r="A3118">
            <v>47975</v>
          </cell>
          <cell r="B3118">
            <v>3.3330067377999999</v>
          </cell>
          <cell r="C3118">
            <v>3.3321863451999998</v>
          </cell>
          <cell r="D3118">
            <v>3.3338273323999998</v>
          </cell>
        </row>
        <row r="3119">
          <cell r="A3119">
            <v>47976</v>
          </cell>
          <cell r="B3119">
            <v>3.3342949658999999</v>
          </cell>
          <cell r="C3119">
            <v>3.3334742563000002</v>
          </cell>
          <cell r="D3119">
            <v>3.3351158776999998</v>
          </cell>
        </row>
        <row r="3120">
          <cell r="A3120">
            <v>47977</v>
          </cell>
          <cell r="B3120">
            <v>3.3355836920000002</v>
          </cell>
          <cell r="C3120">
            <v>3.3347626652</v>
          </cell>
          <cell r="D3120">
            <v>3.3364049211000002</v>
          </cell>
        </row>
        <row r="3121">
          <cell r="A3121">
            <v>47980</v>
          </cell>
          <cell r="B3121">
            <v>3.3368729160999999</v>
          </cell>
          <cell r="C3121">
            <v>3.3360515719000001</v>
          </cell>
          <cell r="D3121">
            <v>3.3376944626</v>
          </cell>
        </row>
        <row r="3122">
          <cell r="A3122">
            <v>47981</v>
          </cell>
          <cell r="B3122">
            <v>3.3381626386000001</v>
          </cell>
          <cell r="C3122">
            <v>3.3373409769000002</v>
          </cell>
          <cell r="D3122">
            <v>3.3389845025999998</v>
          </cell>
        </row>
        <row r="3123">
          <cell r="A3123">
            <v>47982</v>
          </cell>
          <cell r="B3123">
            <v>3.3394528595000001</v>
          </cell>
          <cell r="C3123">
            <v>3.3386308803000002</v>
          </cell>
          <cell r="D3123">
            <v>3.3402750412</v>
          </cell>
        </row>
        <row r="3124">
          <cell r="A3124">
            <v>47983</v>
          </cell>
          <cell r="B3124">
            <v>3.3407435791000002</v>
          </cell>
          <cell r="C3124">
            <v>3.3399212822000002</v>
          </cell>
          <cell r="D3124">
            <v>3.3415660786000001</v>
          </cell>
        </row>
        <row r="3125">
          <cell r="A3125">
            <v>47984</v>
          </cell>
          <cell r="B3125">
            <v>3.3420347976000002</v>
          </cell>
          <cell r="C3125">
            <v>3.3412121829000001</v>
          </cell>
          <cell r="D3125">
            <v>3.3428576149999998</v>
          </cell>
        </row>
        <row r="3126">
          <cell r="A3126">
            <v>47987</v>
          </cell>
          <cell r="B3126">
            <v>3.3433265151999998</v>
          </cell>
          <cell r="C3126">
            <v>3.3425035825</v>
          </cell>
          <cell r="D3126">
            <v>3.3441496505999999</v>
          </cell>
        </row>
        <row r="3127">
          <cell r="A3127">
            <v>47988</v>
          </cell>
          <cell r="B3127">
            <v>3.3446187319999998</v>
          </cell>
          <cell r="C3127">
            <v>3.3437954811999999</v>
          </cell>
          <cell r="D3127">
            <v>3.3454421855000001</v>
          </cell>
        </row>
        <row r="3128">
          <cell r="A3128">
            <v>47989</v>
          </cell>
          <cell r="B3128">
            <v>3.3459114482999999</v>
          </cell>
          <cell r="C3128">
            <v>3.3450878792999998</v>
          </cell>
          <cell r="D3128">
            <v>3.3467352200999998</v>
          </cell>
        </row>
        <row r="3129">
          <cell r="A3129">
            <v>47990</v>
          </cell>
          <cell r="B3129">
            <v>3.3472046642</v>
          </cell>
          <cell r="C3129">
            <v>3.3463807768999998</v>
          </cell>
          <cell r="D3129">
            <v>3.3480287544</v>
          </cell>
        </row>
        <row r="3130">
          <cell r="A3130">
            <v>47991</v>
          </cell>
          <cell r="B3130">
            <v>3.3484983799000001</v>
          </cell>
          <cell r="C3130">
            <v>3.3476741741999998</v>
          </cell>
          <cell r="D3130">
            <v>3.3493227885999999</v>
          </cell>
        </row>
        <row r="3131">
          <cell r="A3131">
            <v>47994</v>
          </cell>
          <cell r="B3131">
            <v>3.3497925955999999</v>
          </cell>
          <cell r="C3131">
            <v>3.3489680713999999</v>
          </cell>
          <cell r="D3131">
            <v>3.3506173229999998</v>
          </cell>
        </row>
        <row r="3132">
          <cell r="A3132">
            <v>47995</v>
          </cell>
          <cell r="B3132">
            <v>3.3510873117000002</v>
          </cell>
          <cell r="C3132">
            <v>3.3502624687</v>
          </cell>
          <cell r="D3132">
            <v>3.3519123577999999</v>
          </cell>
        </row>
        <row r="3133">
          <cell r="A3133">
            <v>47996</v>
          </cell>
          <cell r="B3133">
            <v>3.3523825281000001</v>
          </cell>
          <cell r="C3133">
            <v>3.3515573662999998</v>
          </cell>
          <cell r="D3133">
            <v>3.3532078931</v>
          </cell>
        </row>
        <row r="3134">
          <cell r="A3134">
            <v>47997</v>
          </cell>
          <cell r="B3134">
            <v>3.3536782450999998</v>
          </cell>
          <cell r="C3134">
            <v>3.3528527644000001</v>
          </cell>
          <cell r="D3134">
            <v>3.3545039290999998</v>
          </cell>
        </row>
        <row r="3135">
          <cell r="A3135">
            <v>47998</v>
          </cell>
          <cell r="B3135">
            <v>3.3549744629</v>
          </cell>
          <cell r="C3135">
            <v>3.3541486632000002</v>
          </cell>
          <cell r="D3135">
            <v>3.3558004660999998</v>
          </cell>
        </row>
        <row r="3136">
          <cell r="A3136">
            <v>48001</v>
          </cell>
          <cell r="B3136">
            <v>3.3562711816999999</v>
          </cell>
          <cell r="C3136">
            <v>3.3554450627999999</v>
          </cell>
          <cell r="D3136">
            <v>3.3570975041</v>
          </cell>
        </row>
        <row r="3137">
          <cell r="A3137">
            <v>48002</v>
          </cell>
          <cell r="B3137">
            <v>3.3575684017</v>
          </cell>
          <cell r="C3137">
            <v>3.3567419635000002</v>
          </cell>
          <cell r="D3137">
            <v>3.3583950434999998</v>
          </cell>
        </row>
        <row r="3138">
          <cell r="A3138">
            <v>48003</v>
          </cell>
          <cell r="B3138">
            <v>3.3588661230999999</v>
          </cell>
          <cell r="C3138">
            <v>3.3580393654999998</v>
          </cell>
          <cell r="D3138">
            <v>3.3596930843999999</v>
          </cell>
        </row>
        <row r="3139">
          <cell r="A3139">
            <v>48004</v>
          </cell>
          <cell r="B3139">
            <v>3.3601643460999999</v>
          </cell>
          <cell r="C3139">
            <v>3.3593372689000001</v>
          </cell>
          <cell r="D3139">
            <v>3.3609916270000002</v>
          </cell>
        </row>
        <row r="3140">
          <cell r="A3140">
            <v>48005</v>
          </cell>
          <cell r="B3140">
            <v>3.3614630708000002</v>
          </cell>
          <cell r="C3140">
            <v>3.3606356740000001</v>
          </cell>
          <cell r="D3140">
            <v>3.3622906714999998</v>
          </cell>
        </row>
        <row r="3141">
          <cell r="A3141">
            <v>48008</v>
          </cell>
          <cell r="B3141">
            <v>3.3627622975999998</v>
          </cell>
          <cell r="C3141">
            <v>3.3619345808999999</v>
          </cell>
          <cell r="D3141">
            <v>3.3635902181000001</v>
          </cell>
        </row>
        <row r="3142">
          <cell r="A3142">
            <v>48009</v>
          </cell>
          <cell r="B3142">
            <v>3.3640620264000001</v>
          </cell>
          <cell r="C3142">
            <v>3.3632339897999999</v>
          </cell>
          <cell r="D3142">
            <v>3.3648902668999998</v>
          </cell>
        </row>
        <row r="3143">
          <cell r="A3143">
            <v>48010</v>
          </cell>
          <cell r="B3143">
            <v>3.3653622576000002</v>
          </cell>
          <cell r="C3143">
            <v>3.3645339010000002</v>
          </cell>
          <cell r="D3143">
            <v>3.3661908183000002</v>
          </cell>
        </row>
        <row r="3144">
          <cell r="A3144">
            <v>48012</v>
          </cell>
          <cell r="B3144">
            <v>3.3666629914000001</v>
          </cell>
          <cell r="C3144">
            <v>3.3658343145999998</v>
          </cell>
          <cell r="D3144">
            <v>3.3674918723</v>
          </cell>
        </row>
        <row r="3145">
          <cell r="A3145">
            <v>48015</v>
          </cell>
          <cell r="B3145">
            <v>3.3679642278999999</v>
          </cell>
          <cell r="C3145">
            <v>3.3671352309000002</v>
          </cell>
          <cell r="D3145">
            <v>3.3687934292000001</v>
          </cell>
        </row>
        <row r="3146">
          <cell r="A3146">
            <v>48016</v>
          </cell>
          <cell r="B3146">
            <v>3.3692659673000001</v>
          </cell>
          <cell r="C3146">
            <v>3.3684366499</v>
          </cell>
          <cell r="D3146">
            <v>3.3700954891000001</v>
          </cell>
        </row>
        <row r="3147">
          <cell r="A3147">
            <v>48017</v>
          </cell>
          <cell r="B3147">
            <v>3.3705682099000001</v>
          </cell>
          <cell r="C3147">
            <v>3.3697385719000001</v>
          </cell>
          <cell r="D3147">
            <v>3.3713980523</v>
          </cell>
        </row>
        <row r="3148">
          <cell r="A3148">
            <v>48018</v>
          </cell>
          <cell r="B3148">
            <v>3.3718709558</v>
          </cell>
          <cell r="C3148">
            <v>3.3710409971000002</v>
          </cell>
          <cell r="D3148">
            <v>3.3727011188999998</v>
          </cell>
        </row>
        <row r="3149">
          <cell r="A3149">
            <v>48019</v>
          </cell>
          <cell r="B3149">
            <v>3.3731742052000002</v>
          </cell>
          <cell r="C3149">
            <v>3.3723439258000001</v>
          </cell>
          <cell r="D3149">
            <v>3.3740046892</v>
          </cell>
        </row>
        <row r="3150">
          <cell r="A3150">
            <v>48022</v>
          </cell>
          <cell r="B3150">
            <v>3.3744779583</v>
          </cell>
          <cell r="C3150">
            <v>3.3736473579999999</v>
          </cell>
          <cell r="D3150">
            <v>3.3753087633000001</v>
          </cell>
        </row>
        <row r="3151">
          <cell r="A3151">
            <v>48023</v>
          </cell>
          <cell r="B3151">
            <v>3.3757822154000001</v>
          </cell>
          <cell r="C3151">
            <v>3.3749512940000002</v>
          </cell>
          <cell r="D3151">
            <v>3.3766133415000001</v>
          </cell>
        </row>
        <row r="3152">
          <cell r="A3152">
            <v>48024</v>
          </cell>
          <cell r="B3152">
            <v>3.3770869765999998</v>
          </cell>
          <cell r="C3152">
            <v>3.3762557339999999</v>
          </cell>
          <cell r="D3152">
            <v>3.3779184239000002</v>
          </cell>
        </row>
        <row r="3153">
          <cell r="A3153">
            <v>48025</v>
          </cell>
          <cell r="B3153">
            <v>3.3783922419999999</v>
          </cell>
          <cell r="C3153">
            <v>3.3775606782000001</v>
          </cell>
          <cell r="D3153">
            <v>3.3792240106999998</v>
          </cell>
        </row>
        <row r="3154">
          <cell r="A3154">
            <v>48026</v>
          </cell>
          <cell r="B3154">
            <v>3.379698012</v>
          </cell>
          <cell r="C3154">
            <v>3.3788661267000002</v>
          </cell>
          <cell r="D3154">
            <v>3.3805301020999998</v>
          </cell>
        </row>
        <row r="3155">
          <cell r="A3155">
            <v>48029</v>
          </cell>
          <cell r="B3155">
            <v>3.3810042865000001</v>
          </cell>
          <cell r="C3155">
            <v>3.3801720797999999</v>
          </cell>
          <cell r="D3155">
            <v>3.3818366982999999</v>
          </cell>
        </row>
        <row r="3156">
          <cell r="A3156">
            <v>48030</v>
          </cell>
          <cell r="B3156">
            <v>3.3823110661000002</v>
          </cell>
          <cell r="C3156">
            <v>3.3814785377000001</v>
          </cell>
          <cell r="D3156">
            <v>3.3831437996</v>
          </cell>
        </row>
        <row r="3157">
          <cell r="A3157">
            <v>48031</v>
          </cell>
          <cell r="B3157">
            <v>3.3836183506999999</v>
          </cell>
          <cell r="C3157">
            <v>3.3827855004999998</v>
          </cell>
          <cell r="D3157">
            <v>3.3844514060000002</v>
          </cell>
        </row>
        <row r="3158">
          <cell r="A3158">
            <v>48032</v>
          </cell>
          <cell r="B3158">
            <v>3.3849261406000002</v>
          </cell>
          <cell r="C3158">
            <v>3.3840929685000001</v>
          </cell>
          <cell r="D3158">
            <v>3.3857595179</v>
          </cell>
        </row>
        <row r="3159">
          <cell r="A3159">
            <v>48033</v>
          </cell>
          <cell r="B3159">
            <v>3.3862344359000001</v>
          </cell>
          <cell r="C3159">
            <v>3.3854009416999999</v>
          </cell>
          <cell r="D3159">
            <v>3.3870681352999998</v>
          </cell>
        </row>
        <row r="3160">
          <cell r="A3160">
            <v>48036</v>
          </cell>
          <cell r="B3160">
            <v>3.3875432368</v>
          </cell>
          <cell r="C3160">
            <v>3.3867094205999999</v>
          </cell>
          <cell r="D3160">
            <v>3.3883772584999998</v>
          </cell>
        </row>
        <row r="3161">
          <cell r="A3161">
            <v>48037</v>
          </cell>
          <cell r="B3161">
            <v>3.3888525437000001</v>
          </cell>
          <cell r="C3161">
            <v>3.3880184051</v>
          </cell>
          <cell r="D3161">
            <v>3.3896868876999999</v>
          </cell>
        </row>
        <row r="3162">
          <cell r="A3162">
            <v>48038</v>
          </cell>
          <cell r="B3162">
            <v>3.3901623565999999</v>
          </cell>
          <cell r="C3162">
            <v>3.3893278957000001</v>
          </cell>
          <cell r="D3162">
            <v>3.3909970231000002</v>
          </cell>
        </row>
        <row r="3163">
          <cell r="A3163">
            <v>48039</v>
          </cell>
          <cell r="B3163">
            <v>3.3914726757999998</v>
          </cell>
          <cell r="C3163">
            <v>3.3906378923</v>
          </cell>
          <cell r="D3163">
            <v>3.3923076649000001</v>
          </cell>
        </row>
        <row r="3164">
          <cell r="A3164">
            <v>48040</v>
          </cell>
          <cell r="B3164">
            <v>3.3927835013999998</v>
          </cell>
          <cell r="C3164">
            <v>3.3919483952</v>
          </cell>
          <cell r="D3164">
            <v>3.3936188131999998</v>
          </cell>
        </row>
        <row r="3165">
          <cell r="A3165">
            <v>48043</v>
          </cell>
          <cell r="B3165">
            <v>3.3940948336000001</v>
          </cell>
          <cell r="C3165">
            <v>3.3932594047000002</v>
          </cell>
          <cell r="D3165">
            <v>3.3949304683000001</v>
          </cell>
        </row>
        <row r="3166">
          <cell r="A3166">
            <v>48044</v>
          </cell>
          <cell r="B3166">
            <v>3.3954066727000001</v>
          </cell>
          <cell r="C3166">
            <v>3.3945709209000001</v>
          </cell>
          <cell r="D3166">
            <v>3.3962426304000002</v>
          </cell>
        </row>
        <row r="3167">
          <cell r="A3167">
            <v>48045</v>
          </cell>
          <cell r="B3167">
            <v>3.3967190187999998</v>
          </cell>
          <cell r="C3167">
            <v>3.3958829439999998</v>
          </cell>
          <cell r="D3167">
            <v>3.3975552996</v>
          </cell>
        </row>
        <row r="3168">
          <cell r="A3168">
            <v>48046</v>
          </cell>
          <cell r="B3168">
            <v>3.3980318721999998</v>
          </cell>
          <cell r="C3168">
            <v>3.3971954742000001</v>
          </cell>
          <cell r="D3168">
            <v>3.3988684762000001</v>
          </cell>
        </row>
        <row r="3169">
          <cell r="A3169">
            <v>48047</v>
          </cell>
          <cell r="B3169">
            <v>3.399345233</v>
          </cell>
          <cell r="C3169">
            <v>3.3985085116999998</v>
          </cell>
          <cell r="D3169">
            <v>3.4001821603</v>
          </cell>
        </row>
        <row r="3170">
          <cell r="A3170">
            <v>48050</v>
          </cell>
          <cell r="B3170">
            <v>3.4006591014000001</v>
          </cell>
          <cell r="C3170">
            <v>3.3998220567000002</v>
          </cell>
          <cell r="D3170">
            <v>3.4014963522000001</v>
          </cell>
        </row>
        <row r="3171">
          <cell r="A3171">
            <v>48051</v>
          </cell>
          <cell r="B3171">
            <v>3.4019734775999999</v>
          </cell>
          <cell r="C3171">
            <v>3.4011361093999999</v>
          </cell>
          <cell r="D3171">
            <v>3.4028110520000001</v>
          </cell>
        </row>
        <row r="3172">
          <cell r="A3172">
            <v>48052</v>
          </cell>
          <cell r="B3172">
            <v>3.4032883618000001</v>
          </cell>
          <cell r="C3172">
            <v>3.4024506699999999</v>
          </cell>
          <cell r="D3172">
            <v>3.40412626</v>
          </cell>
        </row>
        <row r="3173">
          <cell r="A3173">
            <v>48053</v>
          </cell>
          <cell r="B3173">
            <v>3.4046037543000001</v>
          </cell>
          <cell r="C3173">
            <v>3.4037657387000002</v>
          </cell>
          <cell r="D3173">
            <v>3.4054419763000001</v>
          </cell>
        </row>
        <row r="3174">
          <cell r="A3174">
            <v>48054</v>
          </cell>
          <cell r="B3174">
            <v>3.4059196550999999</v>
          </cell>
          <cell r="C3174">
            <v>3.4050813155999999</v>
          </cell>
          <cell r="D3174">
            <v>3.4067582011000002</v>
          </cell>
        </row>
        <row r="3175">
          <cell r="A3175">
            <v>48057</v>
          </cell>
          <cell r="B3175">
            <v>3.4072360646000002</v>
          </cell>
          <cell r="C3175">
            <v>3.4063974011</v>
          </cell>
          <cell r="D3175">
            <v>3.4080749347000001</v>
          </cell>
        </row>
        <row r="3176">
          <cell r="A3176">
            <v>48058</v>
          </cell>
          <cell r="B3176">
            <v>3.4085529827999999</v>
          </cell>
          <cell r="C3176">
            <v>3.4077139950999999</v>
          </cell>
          <cell r="D3176">
            <v>3.4093921771</v>
          </cell>
        </row>
        <row r="3177">
          <cell r="A3177">
            <v>48059</v>
          </cell>
          <cell r="B3177">
            <v>3.4098704100999999</v>
          </cell>
          <cell r="C3177">
            <v>3.4090310981999998</v>
          </cell>
          <cell r="D3177">
            <v>3.4107099287999998</v>
          </cell>
        </row>
        <row r="3178">
          <cell r="A3178">
            <v>48060</v>
          </cell>
          <cell r="B3178">
            <v>3.4111883465999999</v>
          </cell>
          <cell r="C3178">
            <v>3.4103487102000001</v>
          </cell>
          <cell r="D3178">
            <v>3.4120281897</v>
          </cell>
        </row>
        <row r="3179">
          <cell r="A3179">
            <v>48061</v>
          </cell>
          <cell r="B3179">
            <v>3.4125067922999999</v>
          </cell>
          <cell r="C3179">
            <v>3.4116668314999998</v>
          </cell>
          <cell r="D3179">
            <v>3.4133469601000002</v>
          </cell>
        </row>
        <row r="3180">
          <cell r="A3180">
            <v>48064</v>
          </cell>
          <cell r="B3180">
            <v>3.4138257477999998</v>
          </cell>
          <cell r="C3180">
            <v>3.4129854623</v>
          </cell>
          <cell r="D3180">
            <v>3.4146662402999999</v>
          </cell>
        </row>
        <row r="3181">
          <cell r="A3181">
            <v>48065</v>
          </cell>
          <cell r="B3181">
            <v>3.4151452130000002</v>
          </cell>
          <cell r="C3181">
            <v>3.4143046027000001</v>
          </cell>
          <cell r="D3181">
            <v>3.4159860303</v>
          </cell>
        </row>
        <row r="3182">
          <cell r="A3182">
            <v>48066</v>
          </cell>
          <cell r="B3182">
            <v>3.4164651882000001</v>
          </cell>
          <cell r="C3182">
            <v>3.4156242529999998</v>
          </cell>
          <cell r="D3182">
            <v>3.4173063305000002</v>
          </cell>
        </row>
        <row r="3183">
          <cell r="A3183">
            <v>48067</v>
          </cell>
          <cell r="B3183">
            <v>3.4177856736000001</v>
          </cell>
          <cell r="C3183">
            <v>3.4169444134</v>
          </cell>
          <cell r="D3183">
            <v>3.418627141</v>
          </cell>
        </row>
        <row r="3184">
          <cell r="A3184">
            <v>48068</v>
          </cell>
          <cell r="B3184">
            <v>3.4191066693000001</v>
          </cell>
          <cell r="C3184">
            <v>3.4182650840000002</v>
          </cell>
          <cell r="D3184">
            <v>3.4199484619999998</v>
          </cell>
        </row>
        <row r="3185">
          <cell r="A3185">
            <v>48071</v>
          </cell>
          <cell r="B3185">
            <v>3.4204281757000001</v>
          </cell>
          <cell r="C3185">
            <v>3.419586265</v>
          </cell>
          <cell r="D3185">
            <v>3.4212702937000001</v>
          </cell>
        </row>
        <row r="3186">
          <cell r="A3186">
            <v>48072</v>
          </cell>
          <cell r="B3186">
            <v>3.4217501926999998</v>
          </cell>
          <cell r="C3186">
            <v>3.4209079566999998</v>
          </cell>
          <cell r="D3186">
            <v>3.4225926362000001</v>
          </cell>
        </row>
        <row r="3187">
          <cell r="A3187">
            <v>48073</v>
          </cell>
          <cell r="B3187">
            <v>3.4230727208</v>
          </cell>
          <cell r="C3187">
            <v>3.4222301592000002</v>
          </cell>
          <cell r="D3187">
            <v>3.4239154899000002</v>
          </cell>
        </row>
        <row r="3188">
          <cell r="A3188">
            <v>48074</v>
          </cell>
          <cell r="B3188">
            <v>3.4243957600999999</v>
          </cell>
          <cell r="C3188">
            <v>3.4235528728000002</v>
          </cell>
          <cell r="D3188">
            <v>3.4252388548999999</v>
          </cell>
        </row>
        <row r="3189">
          <cell r="A3189">
            <v>48075</v>
          </cell>
          <cell r="B3189">
            <v>3.4257193105999999</v>
          </cell>
          <cell r="C3189">
            <v>3.4248760975999999</v>
          </cell>
          <cell r="D3189">
            <v>3.4265627313000002</v>
          </cell>
        </row>
        <row r="3190">
          <cell r="A3190">
            <v>48078</v>
          </cell>
          <cell r="B3190">
            <v>3.4270433727</v>
          </cell>
          <cell r="C3190">
            <v>3.4261998338000001</v>
          </cell>
          <cell r="D3190">
            <v>3.4278871193999998</v>
          </cell>
        </row>
        <row r="3191">
          <cell r="A3191">
            <v>48079</v>
          </cell>
          <cell r="B3191">
            <v>3.4283679466999999</v>
          </cell>
          <cell r="C3191">
            <v>3.4275240817000001</v>
          </cell>
          <cell r="D3191">
            <v>3.4292120195</v>
          </cell>
        </row>
        <row r="3192">
          <cell r="A3192">
            <v>48080</v>
          </cell>
          <cell r="B3192">
            <v>3.4296930325999999</v>
          </cell>
          <cell r="C3192">
            <v>3.4288488413999998</v>
          </cell>
          <cell r="D3192">
            <v>3.4305374315999999</v>
          </cell>
        </row>
        <row r="3193">
          <cell r="A3193">
            <v>48081</v>
          </cell>
          <cell r="B3193">
            <v>3.4310186305000001</v>
          </cell>
          <cell r="C3193">
            <v>3.4301741131000001</v>
          </cell>
          <cell r="D3193">
            <v>3.4318633559</v>
          </cell>
        </row>
        <row r="3194">
          <cell r="A3194">
            <v>48082</v>
          </cell>
          <cell r="B3194">
            <v>3.4323447409000001</v>
          </cell>
          <cell r="C3194">
            <v>3.4314998971000001</v>
          </cell>
          <cell r="D3194">
            <v>3.4331897927999999</v>
          </cell>
        </row>
        <row r="3195">
          <cell r="A3195">
            <v>48085</v>
          </cell>
          <cell r="B3195">
            <v>3.4336713637999998</v>
          </cell>
          <cell r="C3195">
            <v>3.4328261933999999</v>
          </cell>
          <cell r="D3195">
            <v>3.4345167423</v>
          </cell>
        </row>
        <row r="3196">
          <cell r="A3196">
            <v>48086</v>
          </cell>
          <cell r="B3196">
            <v>3.4349984994999998</v>
          </cell>
          <cell r="C3196">
            <v>3.4341530025</v>
          </cell>
          <cell r="D3196">
            <v>3.4358442048</v>
          </cell>
        </row>
        <row r="3197">
          <cell r="A3197">
            <v>48087</v>
          </cell>
          <cell r="B3197">
            <v>3.4363261481</v>
          </cell>
          <cell r="C3197">
            <v>3.4354803242999998</v>
          </cell>
          <cell r="D3197">
            <v>3.4371721802000001</v>
          </cell>
        </row>
        <row r="3198">
          <cell r="A3198">
            <v>48088</v>
          </cell>
          <cell r="B3198">
            <v>3.4376543099000001</v>
          </cell>
          <cell r="C3198">
            <v>3.4368081591999999</v>
          </cell>
          <cell r="D3198">
            <v>3.4385006690000002</v>
          </cell>
        </row>
        <row r="3199">
          <cell r="A3199">
            <v>48089</v>
          </cell>
          <cell r="B3199">
            <v>3.4389829849</v>
          </cell>
          <cell r="C3199">
            <v>3.4381365071999999</v>
          </cell>
          <cell r="D3199">
            <v>3.4398296712</v>
          </cell>
        </row>
        <row r="3200">
          <cell r="A3200">
            <v>48092</v>
          </cell>
          <cell r="B3200">
            <v>3.4403121736000002</v>
          </cell>
          <cell r="C3200">
            <v>3.4394653687000001</v>
          </cell>
          <cell r="D3200">
            <v>3.4411591870999998</v>
          </cell>
        </row>
        <row r="3201">
          <cell r="A3201">
            <v>48093</v>
          </cell>
          <cell r="B3201">
            <v>3.4416418759999998</v>
          </cell>
          <cell r="C3201">
            <v>3.4407947438000002</v>
          </cell>
          <cell r="D3201">
            <v>3.4424892168999999</v>
          </cell>
        </row>
        <row r="3202">
          <cell r="A3202">
            <v>48094</v>
          </cell>
          <cell r="B3202">
            <v>3.4429720922999998</v>
          </cell>
          <cell r="C3202">
            <v>3.4421246327000001</v>
          </cell>
          <cell r="D3202">
            <v>3.4438197606999998</v>
          </cell>
        </row>
        <row r="3203">
          <cell r="A3203">
            <v>48095</v>
          </cell>
          <cell r="B3203">
            <v>3.4443028228000001</v>
          </cell>
          <cell r="C3203">
            <v>3.4434550356</v>
          </cell>
          <cell r="D3203">
            <v>3.4451508188000002</v>
          </cell>
        </row>
        <row r="3204">
          <cell r="A3204">
            <v>48096</v>
          </cell>
          <cell r="B3204">
            <v>3.4456340674999999</v>
          </cell>
          <cell r="C3204">
            <v>3.4447859527000002</v>
          </cell>
          <cell r="D3204">
            <v>3.4464823913</v>
          </cell>
        </row>
        <row r="3205">
          <cell r="A3205">
            <v>48099</v>
          </cell>
          <cell r="B3205">
            <v>3.4469658268000001</v>
          </cell>
          <cell r="C3205">
            <v>3.4461173841999999</v>
          </cell>
          <cell r="D3205">
            <v>3.4478144784999998</v>
          </cell>
        </row>
        <row r="3206">
          <cell r="A3206">
            <v>48100</v>
          </cell>
          <cell r="B3206">
            <v>3.4482981009000002</v>
          </cell>
          <cell r="C3206">
            <v>3.4474493303</v>
          </cell>
          <cell r="D3206">
            <v>3.4491470806</v>
          </cell>
        </row>
        <row r="3207">
          <cell r="A3207">
            <v>48101</v>
          </cell>
          <cell r="B3207">
            <v>3.4496308898999999</v>
          </cell>
          <cell r="C3207">
            <v>3.4487817913000001</v>
          </cell>
          <cell r="D3207">
            <v>3.4504801977000001</v>
          </cell>
        </row>
        <row r="3208">
          <cell r="A3208">
            <v>48102</v>
          </cell>
          <cell r="B3208">
            <v>3.450964194</v>
          </cell>
          <cell r="C3208">
            <v>3.4501147672000001</v>
          </cell>
          <cell r="D3208">
            <v>3.4518138300999999</v>
          </cell>
        </row>
        <row r="3209">
          <cell r="A3209">
            <v>48103</v>
          </cell>
          <cell r="B3209">
            <v>3.4522980135000001</v>
          </cell>
          <cell r="C3209">
            <v>3.4514482584000001</v>
          </cell>
          <cell r="D3209">
            <v>3.4531479780000001</v>
          </cell>
        </row>
        <row r="3210">
          <cell r="A3210">
            <v>48106</v>
          </cell>
          <cell r="B3210">
            <v>3.4536323484999998</v>
          </cell>
          <cell r="C3210">
            <v>3.4527822650000002</v>
          </cell>
          <cell r="D3210">
            <v>3.4544826414999998</v>
          </cell>
        </row>
        <row r="3211">
          <cell r="A3211">
            <v>48107</v>
          </cell>
          <cell r="B3211">
            <v>3.4549671991999999</v>
          </cell>
          <cell r="C3211">
            <v>3.4541167870999998</v>
          </cell>
          <cell r="D3211">
            <v>3.4558178208000001</v>
          </cell>
        </row>
        <row r="3212">
          <cell r="A3212">
            <v>48108</v>
          </cell>
          <cell r="B3212">
            <v>3.4563025658000002</v>
          </cell>
          <cell r="C3212">
            <v>3.4554518249999999</v>
          </cell>
          <cell r="D3212">
            <v>3.4571535162</v>
          </cell>
        </row>
        <row r="3213">
          <cell r="A3213">
            <v>48109</v>
          </cell>
          <cell r="B3213">
            <v>3.4576384486</v>
          </cell>
          <cell r="C3213">
            <v>3.4567873790000001</v>
          </cell>
          <cell r="D3213">
            <v>3.4584897279</v>
          </cell>
        </row>
        <row r="3214">
          <cell r="A3214">
            <v>48110</v>
          </cell>
          <cell r="B3214">
            <v>3.4589748477</v>
          </cell>
          <cell r="C3214">
            <v>3.4581234490999999</v>
          </cell>
          <cell r="D3214">
            <v>3.4598264560000001</v>
          </cell>
        </row>
        <row r="3215">
          <cell r="A3215">
            <v>48113</v>
          </cell>
          <cell r="B3215">
            <v>3.4603117633</v>
          </cell>
          <cell r="C3215">
            <v>3.4594600356999998</v>
          </cell>
          <cell r="D3215">
            <v>3.4611637007999998</v>
          </cell>
        </row>
        <row r="3216">
          <cell r="A3216">
            <v>48114</v>
          </cell>
          <cell r="B3216">
            <v>3.4616491957000002</v>
          </cell>
          <cell r="C3216">
            <v>3.4607971387999998</v>
          </cell>
          <cell r="D3216">
            <v>3.4625014624000001</v>
          </cell>
        </row>
        <row r="3217">
          <cell r="A3217">
            <v>48115</v>
          </cell>
          <cell r="B3217">
            <v>3.462987145</v>
          </cell>
          <cell r="C3217">
            <v>3.4621347588</v>
          </cell>
          <cell r="D3217">
            <v>3.4638397411000001</v>
          </cell>
        </row>
        <row r="3218">
          <cell r="A3218">
            <v>48116</v>
          </cell>
          <cell r="B3218">
            <v>3.4643256113000001</v>
          </cell>
          <cell r="C3218">
            <v>3.4634728956999998</v>
          </cell>
          <cell r="D3218">
            <v>3.4651785369999999</v>
          </cell>
        </row>
        <row r="3219">
          <cell r="A3219">
            <v>48117</v>
          </cell>
          <cell r="B3219">
            <v>3.4656645950999998</v>
          </cell>
          <cell r="C3219">
            <v>3.4648115498999998</v>
          </cell>
          <cell r="D3219">
            <v>3.4665178503999998</v>
          </cell>
        </row>
        <row r="3220">
          <cell r="A3220">
            <v>48120</v>
          </cell>
          <cell r="B3220">
            <v>3.4670040964000002</v>
          </cell>
          <cell r="C3220">
            <v>3.4661507215</v>
          </cell>
          <cell r="D3220">
            <v>3.4678576815</v>
          </cell>
        </row>
        <row r="3221">
          <cell r="A3221">
            <v>48121</v>
          </cell>
          <cell r="B3221">
            <v>3.4683441153999999</v>
          </cell>
          <cell r="C3221">
            <v>3.4674904106</v>
          </cell>
          <cell r="D3221">
            <v>3.4691980303999999</v>
          </cell>
        </row>
        <row r="3222">
          <cell r="A3222">
            <v>48122</v>
          </cell>
          <cell r="B3222">
            <v>3.4696846522000002</v>
          </cell>
          <cell r="C3222">
            <v>3.4688306175000001</v>
          </cell>
          <cell r="D3222">
            <v>3.4705388973</v>
          </cell>
        </row>
        <row r="3223">
          <cell r="A3223">
            <v>48123</v>
          </cell>
          <cell r="B3223">
            <v>3.4710257071999999</v>
          </cell>
          <cell r="C3223">
            <v>3.4701713424</v>
          </cell>
          <cell r="D3223">
            <v>3.4718802824999999</v>
          </cell>
        </row>
        <row r="3224">
          <cell r="A3224">
            <v>48124</v>
          </cell>
          <cell r="B3224">
            <v>3.4723672805999999</v>
          </cell>
          <cell r="C3224">
            <v>3.4715125856000002</v>
          </cell>
          <cell r="D3224">
            <v>3.4732221862000001</v>
          </cell>
        </row>
        <row r="3225">
          <cell r="A3225">
            <v>48127</v>
          </cell>
          <cell r="B3225">
            <v>3.4737093725000001</v>
          </cell>
          <cell r="C3225">
            <v>3.4728543472000002</v>
          </cell>
          <cell r="D3225">
            <v>3.4745646085000002</v>
          </cell>
        </row>
        <row r="3226">
          <cell r="A3226">
            <v>48128</v>
          </cell>
          <cell r="B3226">
            <v>3.4750519831000002</v>
          </cell>
          <cell r="C3226">
            <v>3.4741966272</v>
          </cell>
          <cell r="D3226">
            <v>3.4759075496</v>
          </cell>
        </row>
        <row r="3227">
          <cell r="A3227">
            <v>48129</v>
          </cell>
          <cell r="B3227">
            <v>3.4763951127000001</v>
          </cell>
          <cell r="C3227">
            <v>3.4755394262000001</v>
          </cell>
          <cell r="D3227">
            <v>3.4772510098999998</v>
          </cell>
        </row>
        <row r="3228">
          <cell r="A3228">
            <v>48130</v>
          </cell>
          <cell r="B3228">
            <v>3.4777387612999999</v>
          </cell>
          <cell r="C3228">
            <v>3.4768827441000001</v>
          </cell>
          <cell r="D3228">
            <v>3.4785949892999999</v>
          </cell>
        </row>
        <row r="3229">
          <cell r="A3229">
            <v>48131</v>
          </cell>
          <cell r="B3229">
            <v>3.4790829293000001</v>
          </cell>
          <cell r="C3229">
            <v>3.4782265813</v>
          </cell>
          <cell r="D3229">
            <v>3.4799394882999999</v>
          </cell>
        </row>
        <row r="3230">
          <cell r="A3230">
            <v>48134</v>
          </cell>
          <cell r="B3230">
            <v>3.4804276168000001</v>
          </cell>
          <cell r="C3230">
            <v>3.4795709378000002</v>
          </cell>
          <cell r="D3230">
            <v>3.4812845067999998</v>
          </cell>
        </row>
        <row r="3231">
          <cell r="A3231">
            <v>48135</v>
          </cell>
          <cell r="B3231">
            <v>3.4817728241000001</v>
          </cell>
          <cell r="C3231">
            <v>3.4809158139999998</v>
          </cell>
          <cell r="D3231">
            <v>3.4826300453000001</v>
          </cell>
        </row>
        <row r="3232">
          <cell r="A3232">
            <v>48136</v>
          </cell>
          <cell r="B3232">
            <v>3.4831185513</v>
          </cell>
          <cell r="C3232">
            <v>3.4822612098999999</v>
          </cell>
          <cell r="D3232">
            <v>3.4839761037999999</v>
          </cell>
        </row>
        <row r="3233">
          <cell r="A3233">
            <v>48137</v>
          </cell>
          <cell r="B3233">
            <v>3.4844647985999999</v>
          </cell>
          <cell r="C3233">
            <v>3.4836071258999999</v>
          </cell>
          <cell r="D3233">
            <v>3.4853226826000001</v>
          </cell>
        </row>
        <row r="3234">
          <cell r="A3234">
            <v>48138</v>
          </cell>
          <cell r="B3234">
            <v>3.4858115662000002</v>
          </cell>
          <cell r="C3234">
            <v>3.4849535619999998</v>
          </cell>
          <cell r="D3234">
            <v>3.4866697817999999</v>
          </cell>
        </row>
        <row r="3235">
          <cell r="A3235">
            <v>48141</v>
          </cell>
          <cell r="B3235">
            <v>3.4871588544000001</v>
          </cell>
          <cell r="C3235">
            <v>3.4863005185999998</v>
          </cell>
          <cell r="D3235">
            <v>3.4880174017000001</v>
          </cell>
        </row>
        <row r="3236">
          <cell r="A3236">
            <v>48142</v>
          </cell>
          <cell r="B3236">
            <v>3.4885066632999999</v>
          </cell>
          <cell r="C3236">
            <v>3.4876479957000002</v>
          </cell>
          <cell r="D3236">
            <v>3.4893655423999999</v>
          </cell>
        </row>
        <row r="3237">
          <cell r="A3237">
            <v>48143</v>
          </cell>
          <cell r="B3237">
            <v>3.4898549931999998</v>
          </cell>
          <cell r="C3237">
            <v>3.4889959937000001</v>
          </cell>
          <cell r="D3237">
            <v>3.4907142043000001</v>
          </cell>
        </row>
        <row r="3238">
          <cell r="A3238">
            <v>48144</v>
          </cell>
          <cell r="B3238">
            <v>3.4912038441000002</v>
          </cell>
          <cell r="C3238">
            <v>3.4903445126000001</v>
          </cell>
          <cell r="D3238">
            <v>3.4920633873</v>
          </cell>
        </row>
        <row r="3239">
          <cell r="A3239">
            <v>48145</v>
          </cell>
          <cell r="B3239">
            <v>3.4925532165000002</v>
          </cell>
          <cell r="C3239">
            <v>3.4916935529000002</v>
          </cell>
          <cell r="D3239">
            <v>3.4934130918999999</v>
          </cell>
        </row>
        <row r="3240">
          <cell r="A3240">
            <v>48148</v>
          </cell>
          <cell r="B3240">
            <v>3.4939031103999998</v>
          </cell>
          <cell r="C3240">
            <v>3.4930431144999998</v>
          </cell>
          <cell r="D3240">
            <v>3.4947633181</v>
          </cell>
        </row>
        <row r="3241">
          <cell r="A3241">
            <v>48149</v>
          </cell>
          <cell r="B3241">
            <v>3.4952535259999999</v>
          </cell>
          <cell r="C3241">
            <v>3.4943931977</v>
          </cell>
          <cell r="D3241">
            <v>3.4961140662000001</v>
          </cell>
        </row>
        <row r="3242">
          <cell r="A3242">
            <v>48150</v>
          </cell>
          <cell r="B3242">
            <v>3.4966044636000002</v>
          </cell>
          <cell r="C3242">
            <v>3.4957438027999999</v>
          </cell>
          <cell r="D3242">
            <v>3.4974653363999999</v>
          </cell>
        </row>
        <row r="3243">
          <cell r="A3243">
            <v>48151</v>
          </cell>
          <cell r="B3243">
            <v>3.4979559233000002</v>
          </cell>
          <cell r="C3243">
            <v>3.4970949297999998</v>
          </cell>
          <cell r="D3243">
            <v>3.4988171287999998</v>
          </cell>
        </row>
        <row r="3244">
          <cell r="A3244">
            <v>48152</v>
          </cell>
          <cell r="B3244">
            <v>3.4993079052999998</v>
          </cell>
          <cell r="C3244">
            <v>3.4984465790999999</v>
          </cell>
          <cell r="D3244">
            <v>3.5001694436999999</v>
          </cell>
        </row>
        <row r="3245">
          <cell r="A3245">
            <v>48155</v>
          </cell>
          <cell r="B3245">
            <v>3.5006604099</v>
          </cell>
          <cell r="C3245">
            <v>3.4997987508000001</v>
          </cell>
          <cell r="D3245">
            <v>3.5015222813000002</v>
          </cell>
        </row>
        <row r="3246">
          <cell r="A3246">
            <v>48156</v>
          </cell>
          <cell r="B3246">
            <v>3.5020134373</v>
          </cell>
          <cell r="C3246">
            <v>3.5011514451000001</v>
          </cell>
          <cell r="D3246">
            <v>3.5028756418000002</v>
          </cell>
        </row>
        <row r="3247">
          <cell r="A3247">
            <v>48157</v>
          </cell>
          <cell r="B3247">
            <v>3.5033669876000002</v>
          </cell>
          <cell r="C3247">
            <v>3.5025046622999998</v>
          </cell>
          <cell r="D3247">
            <v>3.5042295254</v>
          </cell>
        </row>
        <row r="3248">
          <cell r="A3248">
            <v>48158</v>
          </cell>
          <cell r="B3248">
            <v>3.5047210611000001</v>
          </cell>
          <cell r="C3248">
            <v>3.5038584024000001</v>
          </cell>
          <cell r="D3248">
            <v>3.5055839322</v>
          </cell>
        </row>
        <row r="3249">
          <cell r="A3249">
            <v>48159</v>
          </cell>
          <cell r="B3249">
            <v>3.5060756578999999</v>
          </cell>
          <cell r="C3249">
            <v>3.5052126657999998</v>
          </cell>
          <cell r="D3249">
            <v>3.5069388625000002</v>
          </cell>
        </row>
        <row r="3250">
          <cell r="A3250">
            <v>48162</v>
          </cell>
          <cell r="B3250">
            <v>3.5074307781999998</v>
          </cell>
          <cell r="C3250">
            <v>3.5065674526000001</v>
          </cell>
          <cell r="D3250">
            <v>3.5082943164999998</v>
          </cell>
        </row>
        <row r="3251">
          <cell r="A3251">
            <v>48163</v>
          </cell>
          <cell r="B3251">
            <v>3.5087864225000001</v>
          </cell>
          <cell r="C3251">
            <v>3.5079227631999998</v>
          </cell>
          <cell r="D3251">
            <v>3.5096502945000001</v>
          </cell>
        </row>
        <row r="3252">
          <cell r="A3252">
            <v>48164</v>
          </cell>
          <cell r="B3252">
            <v>3.5101425906000001</v>
          </cell>
          <cell r="C3252">
            <v>3.5092785974999998</v>
          </cell>
          <cell r="D3252">
            <v>3.5110067964999998</v>
          </cell>
        </row>
        <row r="3253">
          <cell r="A3253">
            <v>48165</v>
          </cell>
          <cell r="B3253">
            <v>3.5114992828</v>
          </cell>
          <cell r="C3253">
            <v>3.5106349558000001</v>
          </cell>
          <cell r="D3253">
            <v>3.5123638227999998</v>
          </cell>
        </row>
        <row r="3254">
          <cell r="A3254">
            <v>48166</v>
          </cell>
          <cell r="B3254">
            <v>3.5128564994999998</v>
          </cell>
          <cell r="C3254">
            <v>3.5119918384000002</v>
          </cell>
          <cell r="D3254">
            <v>3.5137213736000001</v>
          </cell>
        </row>
        <row r="3255">
          <cell r="A3255">
            <v>48169</v>
          </cell>
          <cell r="B3255">
            <v>3.5142142406999999</v>
          </cell>
          <cell r="C3255">
            <v>3.5133492454000002</v>
          </cell>
          <cell r="D3255">
            <v>3.5150794490999999</v>
          </cell>
        </row>
        <row r="3256">
          <cell r="A3256">
            <v>48170</v>
          </cell>
          <cell r="B3256">
            <v>3.5155725066999999</v>
          </cell>
          <cell r="C3256">
            <v>3.5147071771</v>
          </cell>
          <cell r="D3256">
            <v>3.5164380495000001</v>
          </cell>
        </row>
        <row r="3257">
          <cell r="A3257">
            <v>48171</v>
          </cell>
          <cell r="B3257">
            <v>3.5169312976999998</v>
          </cell>
          <cell r="C3257">
            <v>3.5160656335999998</v>
          </cell>
          <cell r="D3257">
            <v>3.5177971750000001</v>
          </cell>
        </row>
        <row r="3258">
          <cell r="A3258">
            <v>48172</v>
          </cell>
          <cell r="B3258">
            <v>3.5182906138000001</v>
          </cell>
          <cell r="C3258">
            <v>3.5174246150999999</v>
          </cell>
          <cell r="D3258">
            <v>3.5191568258000001</v>
          </cell>
        </row>
        <row r="3259">
          <cell r="A3259">
            <v>48173</v>
          </cell>
          <cell r="B3259">
            <v>3.5196504552999999</v>
          </cell>
          <cell r="C3259">
            <v>3.5187841219</v>
          </cell>
          <cell r="D3259">
            <v>3.5205170021000001</v>
          </cell>
        </row>
        <row r="3260">
          <cell r="A3260">
            <v>48176</v>
          </cell>
          <cell r="B3260">
            <v>3.5210108225000001</v>
          </cell>
          <cell r="C3260">
            <v>3.5201441542</v>
          </cell>
          <cell r="D3260">
            <v>3.5218777042</v>
          </cell>
        </row>
        <row r="3261">
          <cell r="A3261">
            <v>48177</v>
          </cell>
          <cell r="B3261">
            <v>3.5223717153999998</v>
          </cell>
          <cell r="C3261">
            <v>3.5215047122000001</v>
          </cell>
          <cell r="D3261">
            <v>3.5232389322</v>
          </cell>
        </row>
        <row r="3262">
          <cell r="A3262">
            <v>48178</v>
          </cell>
          <cell r="B3262">
            <v>3.5237331343</v>
          </cell>
          <cell r="C3262">
            <v>3.522865796</v>
          </cell>
          <cell r="D3262">
            <v>3.5246006862999999</v>
          </cell>
        </row>
        <row r="3263">
          <cell r="A3263">
            <v>48179</v>
          </cell>
          <cell r="B3263">
            <v>3.5250950794000002</v>
          </cell>
          <cell r="C3263">
            <v>3.5242274059000001</v>
          </cell>
          <cell r="D3263">
            <v>3.5259629666999999</v>
          </cell>
        </row>
        <row r="3264">
          <cell r="A3264">
            <v>48180</v>
          </cell>
          <cell r="B3264">
            <v>3.5264575509</v>
          </cell>
          <cell r="C3264">
            <v>3.5255895420000001</v>
          </cell>
          <cell r="D3264">
            <v>3.5273257735999999</v>
          </cell>
        </row>
        <row r="3265">
          <cell r="A3265">
            <v>48183</v>
          </cell>
          <cell r="B3265">
            <v>3.5278205489999999</v>
          </cell>
          <cell r="C3265">
            <v>3.5269522046000001</v>
          </cell>
          <cell r="D3265">
            <v>3.5286891073</v>
          </cell>
        </row>
        <row r="3266">
          <cell r="A3266">
            <v>48184</v>
          </cell>
          <cell r="B3266">
            <v>3.5291840739000002</v>
          </cell>
          <cell r="C3266">
            <v>3.5283153938999998</v>
          </cell>
          <cell r="D3266">
            <v>3.5300529679000001</v>
          </cell>
        </row>
        <row r="3267">
          <cell r="A3267">
            <v>48185</v>
          </cell>
          <cell r="B3267">
            <v>3.5305481258999998</v>
          </cell>
          <cell r="C3267">
            <v>3.5296791101</v>
          </cell>
          <cell r="D3267">
            <v>3.5314173556999999</v>
          </cell>
        </row>
        <row r="3268">
          <cell r="A3268">
            <v>48186</v>
          </cell>
          <cell r="B3268">
            <v>3.5319127049999999</v>
          </cell>
          <cell r="C3268">
            <v>3.5310433533999999</v>
          </cell>
          <cell r="D3268">
            <v>3.5327822707999998</v>
          </cell>
        </row>
        <row r="3269">
          <cell r="A3269">
            <v>48187</v>
          </cell>
          <cell r="B3269">
            <v>3.5332778116000001</v>
          </cell>
          <cell r="C3269">
            <v>3.5324081239999998</v>
          </cell>
          <cell r="D3269">
            <v>3.5341477134999999</v>
          </cell>
        </row>
        <row r="3270">
          <cell r="A3270">
            <v>48190</v>
          </cell>
          <cell r="B3270">
            <v>3.5346434458</v>
          </cell>
          <cell r="C3270">
            <v>3.5337734219999999</v>
          </cell>
          <cell r="D3270">
            <v>3.5355136839000001</v>
          </cell>
        </row>
        <row r="3271">
          <cell r="A3271">
            <v>48191</v>
          </cell>
          <cell r="B3271">
            <v>3.5360096078000001</v>
          </cell>
          <cell r="C3271">
            <v>3.5351392478000001</v>
          </cell>
          <cell r="D3271">
            <v>3.5368801823</v>
          </cell>
        </row>
        <row r="3272">
          <cell r="A3272">
            <v>48192</v>
          </cell>
          <cell r="B3272">
            <v>3.5373762978999999</v>
          </cell>
          <cell r="C3272">
            <v>3.5365056014</v>
          </cell>
          <cell r="D3272">
            <v>3.5382472088000001</v>
          </cell>
        </row>
        <row r="3273">
          <cell r="A3273">
            <v>48193</v>
          </cell>
          <cell r="B3273">
            <v>3.5387435160999998</v>
          </cell>
          <cell r="C3273">
            <v>3.5378724832000001</v>
          </cell>
          <cell r="D3273">
            <v>3.5396147636999999</v>
          </cell>
        </row>
        <row r="3274">
          <cell r="A3274">
            <v>48194</v>
          </cell>
          <cell r="B3274">
            <v>3.5401112628</v>
          </cell>
          <cell r="C3274">
            <v>3.5392398932</v>
          </cell>
          <cell r="D3274">
            <v>3.5409828471</v>
          </cell>
        </row>
        <row r="3275">
          <cell r="A3275">
            <v>48197</v>
          </cell>
          <cell r="B3275">
            <v>3.5414795381999999</v>
          </cell>
          <cell r="C3275">
            <v>3.5406078318</v>
          </cell>
          <cell r="D3275">
            <v>3.5423514593999998</v>
          </cell>
        </row>
        <row r="3276">
          <cell r="A3276">
            <v>48198</v>
          </cell>
          <cell r="B3276">
            <v>3.5428483424000001</v>
          </cell>
          <cell r="C3276">
            <v>3.5419762990999999</v>
          </cell>
          <cell r="D3276">
            <v>3.5437206005999999</v>
          </cell>
        </row>
        <row r="3277">
          <cell r="A3277">
            <v>48199</v>
          </cell>
          <cell r="B3277">
            <v>3.5442176757000001</v>
          </cell>
          <cell r="C3277">
            <v>3.5433452953</v>
          </cell>
          <cell r="D3277">
            <v>3.5450902709999998</v>
          </cell>
        </row>
        <row r="3278">
          <cell r="A3278">
            <v>48200</v>
          </cell>
          <cell r="B3278">
            <v>3.5455875380999999</v>
          </cell>
          <cell r="C3278">
            <v>3.5447148204999999</v>
          </cell>
          <cell r="D3278">
            <v>3.5464604707</v>
          </cell>
        </row>
        <row r="3279">
          <cell r="A3279">
            <v>48201</v>
          </cell>
          <cell r="B3279">
            <v>3.5469579301</v>
          </cell>
          <cell r="C3279">
            <v>3.5460848752</v>
          </cell>
          <cell r="D3279">
            <v>3.5478312001000001</v>
          </cell>
        </row>
        <row r="3280">
          <cell r="A3280">
            <v>48204</v>
          </cell>
          <cell r="B3280">
            <v>3.5483288518</v>
          </cell>
          <cell r="C3280">
            <v>3.5474554595000001</v>
          </cell>
          <cell r="D3280">
            <v>3.5492024593</v>
          </cell>
        </row>
        <row r="3281">
          <cell r="A3281">
            <v>48205</v>
          </cell>
          <cell r="B3281">
            <v>3.5497003032999999</v>
          </cell>
          <cell r="C3281">
            <v>3.5488265733</v>
          </cell>
          <cell r="D3281">
            <v>3.5505742483999998</v>
          </cell>
        </row>
        <row r="3282">
          <cell r="A3282">
            <v>48206</v>
          </cell>
          <cell r="B3282">
            <v>3.5510722849</v>
          </cell>
          <cell r="C3282">
            <v>3.5501982173000002</v>
          </cell>
          <cell r="D3282">
            <v>3.5519465678</v>
          </cell>
        </row>
        <row r="3283">
          <cell r="A3283">
            <v>48208</v>
          </cell>
          <cell r="B3283">
            <v>3.5524447968000001</v>
          </cell>
          <cell r="C3283">
            <v>3.5515703912999999</v>
          </cell>
          <cell r="D3283">
            <v>3.5533194176</v>
          </cell>
        </row>
        <row r="3284">
          <cell r="A3284">
            <v>48211</v>
          </cell>
          <cell r="B3284">
            <v>3.5538178391000002</v>
          </cell>
          <cell r="C3284">
            <v>3.5529430956999999</v>
          </cell>
          <cell r="D3284">
            <v>3.554692798</v>
          </cell>
        </row>
        <row r="3285">
          <cell r="A3285">
            <v>48212</v>
          </cell>
          <cell r="B3285">
            <v>3.5551914121000001</v>
          </cell>
          <cell r="C3285">
            <v>3.5543163305999999</v>
          </cell>
          <cell r="D3285">
            <v>3.5560667092</v>
          </cell>
        </row>
        <row r="3286">
          <cell r="A3286">
            <v>48213</v>
          </cell>
          <cell r="B3286">
            <v>3.556565516</v>
          </cell>
          <cell r="C3286">
            <v>3.5556900963000002</v>
          </cell>
          <cell r="D3286">
            <v>3.5574411513999999</v>
          </cell>
        </row>
        <row r="3287">
          <cell r="A3287">
            <v>48215</v>
          </cell>
          <cell r="B3287">
            <v>3.5579401510999999</v>
          </cell>
          <cell r="C3287">
            <v>3.5570643930000001</v>
          </cell>
          <cell r="D3287">
            <v>3.5588161248999999</v>
          </cell>
        </row>
        <row r="3288">
          <cell r="A3288">
            <v>48218</v>
          </cell>
          <cell r="B3288">
            <v>3.5593153173999998</v>
          </cell>
          <cell r="C3288">
            <v>3.5584392208</v>
          </cell>
          <cell r="D3288">
            <v>3.5601916297999998</v>
          </cell>
        </row>
        <row r="3289">
          <cell r="A3289">
            <v>48219</v>
          </cell>
          <cell r="B3289">
            <v>3.5606910153000002</v>
          </cell>
          <cell r="C3289">
            <v>3.5598145800999998</v>
          </cell>
          <cell r="D3289">
            <v>3.5615676664000002</v>
          </cell>
        </row>
        <row r="3290">
          <cell r="A3290">
            <v>48220</v>
          </cell>
          <cell r="B3290">
            <v>3.5620672449000002</v>
          </cell>
          <cell r="C3290">
            <v>3.5611904709000002</v>
          </cell>
          <cell r="D3290">
            <v>3.5629442348000002</v>
          </cell>
        </row>
        <row r="3291">
          <cell r="A3291">
            <v>48221</v>
          </cell>
          <cell r="B3291">
            <v>3.5634440063000001</v>
          </cell>
          <cell r="C3291">
            <v>3.5625668935000001</v>
          </cell>
          <cell r="D3291">
            <v>3.5643213351999998</v>
          </cell>
        </row>
        <row r="3292">
          <cell r="A3292">
            <v>48222</v>
          </cell>
          <cell r="B3292">
            <v>3.5648212999000002</v>
          </cell>
          <cell r="C3292">
            <v>3.5639438481000001</v>
          </cell>
          <cell r="D3292">
            <v>3.5656989679</v>
          </cell>
        </row>
        <row r="3293">
          <cell r="A3293">
            <v>48225</v>
          </cell>
          <cell r="B3293">
            <v>3.5661991258999999</v>
          </cell>
          <cell r="C3293">
            <v>3.5653213349000001</v>
          </cell>
          <cell r="D3293">
            <v>3.5670771331000002</v>
          </cell>
        </row>
        <row r="3294">
          <cell r="A3294">
            <v>48226</v>
          </cell>
          <cell r="B3294">
            <v>3.5675774844000001</v>
          </cell>
          <cell r="C3294">
            <v>3.5666993540999998</v>
          </cell>
          <cell r="D3294">
            <v>3.5684558309000001</v>
          </cell>
        </row>
        <row r="3295">
          <cell r="A3295">
            <v>48227</v>
          </cell>
          <cell r="B3295">
            <v>3.5689563756</v>
          </cell>
          <cell r="C3295">
            <v>3.5680779059000001</v>
          </cell>
          <cell r="D3295">
            <v>3.5698350616000001</v>
          </cell>
        </row>
        <row r="3296">
          <cell r="A3296">
            <v>48228</v>
          </cell>
          <cell r="B3296">
            <v>3.5703357998</v>
          </cell>
          <cell r="C3296">
            <v>3.5694569906</v>
          </cell>
          <cell r="D3296">
            <v>3.5712148253999998</v>
          </cell>
        </row>
        <row r="3297">
          <cell r="A3297">
            <v>48229</v>
          </cell>
          <cell r="B3297">
            <v>3.5717157571000002</v>
          </cell>
          <cell r="C3297">
            <v>3.5708366083</v>
          </cell>
          <cell r="D3297">
            <v>3.5725951225000001</v>
          </cell>
        </row>
        <row r="3298">
          <cell r="A3298">
            <v>48232</v>
          </cell>
          <cell r="B3298">
            <v>3.5730962478000001</v>
          </cell>
          <cell r="C3298">
            <v>3.5722167591999998</v>
          </cell>
          <cell r="D3298">
            <v>3.5739759531000002</v>
          </cell>
        </row>
        <row r="3299">
          <cell r="A3299">
            <v>48233</v>
          </cell>
          <cell r="B3299">
            <v>3.5744772721000002</v>
          </cell>
          <cell r="C3299">
            <v>3.5735974435000002</v>
          </cell>
          <cell r="D3299">
            <v>3.5753573174</v>
          </cell>
        </row>
        <row r="3300">
          <cell r="A3300">
            <v>48234</v>
          </cell>
          <cell r="B3300">
            <v>3.5758588302000001</v>
          </cell>
          <cell r="C3300">
            <v>3.5749786614999999</v>
          </cell>
          <cell r="D3300">
            <v>3.5767392156</v>
          </cell>
        </row>
        <row r="3301">
          <cell r="A3301">
            <v>48235</v>
          </cell>
          <cell r="B3301">
            <v>3.5772409222000001</v>
          </cell>
          <cell r="C3301">
            <v>3.5763604134000002</v>
          </cell>
          <cell r="D3301">
            <v>3.5781216479000002</v>
          </cell>
        </row>
        <row r="3302">
          <cell r="A3302">
            <v>48236</v>
          </cell>
          <cell r="B3302">
            <v>3.5786235484</v>
          </cell>
          <cell r="C3302">
            <v>3.5777426991999999</v>
          </cell>
          <cell r="D3302">
            <v>3.5795046144999998</v>
          </cell>
        </row>
        <row r="3303">
          <cell r="A3303">
            <v>48239</v>
          </cell>
          <cell r="B3303">
            <v>3.5800067089000001</v>
          </cell>
          <cell r="C3303">
            <v>3.5791255193999998</v>
          </cell>
          <cell r="D3303">
            <v>3.5808881156000001</v>
          </cell>
        </row>
        <row r="3304">
          <cell r="A3304">
            <v>48240</v>
          </cell>
          <cell r="B3304">
            <v>3.5813904042</v>
          </cell>
          <cell r="C3304">
            <v>3.580508874</v>
          </cell>
          <cell r="D3304">
            <v>3.5822721514999998</v>
          </cell>
        </row>
        <row r="3305">
          <cell r="A3305">
            <v>48241</v>
          </cell>
          <cell r="B3305">
            <v>3.5827746342000002</v>
          </cell>
          <cell r="C3305">
            <v>3.5818927632999999</v>
          </cell>
          <cell r="D3305">
            <v>3.5836567223000002</v>
          </cell>
        </row>
        <row r="3306">
          <cell r="A3306">
            <v>48242</v>
          </cell>
          <cell r="B3306">
            <v>3.5841593990999998</v>
          </cell>
          <cell r="C3306">
            <v>3.5832771873999998</v>
          </cell>
          <cell r="D3306">
            <v>3.5850418282000001</v>
          </cell>
        </row>
        <row r="3307">
          <cell r="A3307">
            <v>48243</v>
          </cell>
          <cell r="B3307">
            <v>3.5855446994000002</v>
          </cell>
          <cell r="C3307">
            <v>3.5846621466999999</v>
          </cell>
          <cell r="D3307">
            <v>3.5864274694999998</v>
          </cell>
        </row>
        <row r="3308">
          <cell r="A3308">
            <v>48246</v>
          </cell>
          <cell r="B3308">
            <v>3.5869305351</v>
          </cell>
          <cell r="C3308">
            <v>3.5860476412</v>
          </cell>
          <cell r="D3308">
            <v>3.5878136463999999</v>
          </cell>
        </row>
        <row r="3309">
          <cell r="A3309">
            <v>48247</v>
          </cell>
          <cell r="B3309">
            <v>3.5883169063999998</v>
          </cell>
          <cell r="C3309">
            <v>3.5874336712999999</v>
          </cell>
          <cell r="D3309">
            <v>3.5892003589999999</v>
          </cell>
        </row>
        <row r="3310">
          <cell r="A3310">
            <v>48248</v>
          </cell>
          <cell r="B3310">
            <v>3.5897038135999999</v>
          </cell>
          <cell r="C3310">
            <v>3.5888202371000002</v>
          </cell>
          <cell r="D3310">
            <v>3.5905876076999999</v>
          </cell>
        </row>
        <row r="3311">
          <cell r="A3311">
            <v>48249</v>
          </cell>
          <cell r="B3311">
            <v>3.5910912567</v>
          </cell>
          <cell r="C3311">
            <v>3.5902073387</v>
          </cell>
          <cell r="D3311">
            <v>3.5919753924000002</v>
          </cell>
        </row>
        <row r="3312">
          <cell r="A3312">
            <v>48250</v>
          </cell>
          <cell r="B3312">
            <v>3.5924792362</v>
          </cell>
          <cell r="C3312">
            <v>3.5915949766000002</v>
          </cell>
          <cell r="D3312">
            <v>3.5933637136000001</v>
          </cell>
        </row>
        <row r="3313">
          <cell r="A3313">
            <v>48255</v>
          </cell>
          <cell r="B3313">
            <v>3.5938677521</v>
          </cell>
          <cell r="C3313">
            <v>3.5929831506999999</v>
          </cell>
          <cell r="D3313">
            <v>3.5947525713999999</v>
          </cell>
        </row>
        <row r="3314">
          <cell r="A3314">
            <v>48256</v>
          </cell>
          <cell r="B3314">
            <v>3.5952568046</v>
          </cell>
          <cell r="C3314">
            <v>3.5943718614</v>
          </cell>
          <cell r="D3314">
            <v>3.5961419658999998</v>
          </cell>
        </row>
        <row r="3315">
          <cell r="A3315">
            <v>48257</v>
          </cell>
          <cell r="B3315">
            <v>3.5966463941</v>
          </cell>
          <cell r="C3315">
            <v>3.5957611088000001</v>
          </cell>
          <cell r="D3315">
            <v>3.5975318975000001</v>
          </cell>
        </row>
        <row r="3316">
          <cell r="A3316">
            <v>48260</v>
          </cell>
          <cell r="B3316">
            <v>3.5980365207</v>
          </cell>
          <cell r="C3316">
            <v>3.5971508931999998</v>
          </cell>
          <cell r="D3316">
            <v>3.5989223663000001</v>
          </cell>
        </row>
        <row r="3317">
          <cell r="A3317">
            <v>48261</v>
          </cell>
          <cell r="B3317">
            <v>3.5994271845000001</v>
          </cell>
          <cell r="C3317">
            <v>3.5985412147</v>
          </cell>
          <cell r="D3317">
            <v>3.6003133725000001</v>
          </cell>
        </row>
        <row r="3318">
          <cell r="A3318">
            <v>48262</v>
          </cell>
          <cell r="B3318">
            <v>3.6008183858999998</v>
          </cell>
          <cell r="C3318">
            <v>3.5999320735999998</v>
          </cell>
          <cell r="D3318">
            <v>3.6017049164000001</v>
          </cell>
        </row>
        <row r="3319">
          <cell r="A3319">
            <v>48263</v>
          </cell>
          <cell r="B3319">
            <v>3.6022101249</v>
          </cell>
          <cell r="C3319">
            <v>3.6013234701000001</v>
          </cell>
          <cell r="D3319">
            <v>3.6030969980999998</v>
          </cell>
        </row>
        <row r="3320">
          <cell r="A3320">
            <v>48264</v>
          </cell>
          <cell r="B3320">
            <v>3.6036024017999999</v>
          </cell>
          <cell r="C3320">
            <v>3.6027154043</v>
          </cell>
          <cell r="D3320">
            <v>3.6044896178000001</v>
          </cell>
        </row>
        <row r="3321">
          <cell r="A3321">
            <v>48267</v>
          </cell>
          <cell r="B3321">
            <v>3.6049952168999999</v>
          </cell>
          <cell r="C3321">
            <v>3.6041078766000001</v>
          </cell>
          <cell r="D3321">
            <v>3.6058827758000001</v>
          </cell>
        </row>
        <row r="3322">
          <cell r="A3322">
            <v>48268</v>
          </cell>
          <cell r="B3322">
            <v>3.6063885704</v>
          </cell>
          <cell r="C3322">
            <v>3.6055008870999998</v>
          </cell>
          <cell r="D3322">
            <v>3.6072764723000001</v>
          </cell>
        </row>
        <row r="3323">
          <cell r="A3323">
            <v>48269</v>
          </cell>
          <cell r="B3323">
            <v>3.6077824622999999</v>
          </cell>
          <cell r="C3323">
            <v>3.6068944359000001</v>
          </cell>
          <cell r="D3323">
            <v>3.6086707074</v>
          </cell>
        </row>
        <row r="3324">
          <cell r="A3324">
            <v>48270</v>
          </cell>
          <cell r="B3324">
            <v>3.6091768930999999</v>
          </cell>
          <cell r="C3324">
            <v>3.6082885235000002</v>
          </cell>
          <cell r="D3324">
            <v>3.6100654815</v>
          </cell>
        </row>
        <row r="3325">
          <cell r="A3325">
            <v>48271</v>
          </cell>
          <cell r="B3325">
            <v>3.6105718627000001</v>
          </cell>
          <cell r="C3325">
            <v>3.6096831497999999</v>
          </cell>
          <cell r="D3325">
            <v>3.6114607946000001</v>
          </cell>
        </row>
        <row r="3326">
          <cell r="A3326">
            <v>48274</v>
          </cell>
          <cell r="B3326">
            <v>3.6119673716</v>
          </cell>
          <cell r="C3326">
            <v>3.6110783150999999</v>
          </cell>
          <cell r="D3326">
            <v>3.6128566470000001</v>
          </cell>
        </row>
        <row r="3327">
          <cell r="A3327">
            <v>48275</v>
          </cell>
          <cell r="B3327">
            <v>3.6133634197000002</v>
          </cell>
          <cell r="C3327">
            <v>3.6124740197</v>
          </cell>
          <cell r="D3327">
            <v>3.6142530388999998</v>
          </cell>
        </row>
        <row r="3328">
          <cell r="A3328">
            <v>48276</v>
          </cell>
          <cell r="B3328">
            <v>3.6147600075000001</v>
          </cell>
          <cell r="C3328">
            <v>3.6138702637</v>
          </cell>
          <cell r="D3328">
            <v>3.6156499704999998</v>
          </cell>
        </row>
        <row r="3329">
          <cell r="A3329">
            <v>48277</v>
          </cell>
          <cell r="B3329">
            <v>3.6161571350999999</v>
          </cell>
          <cell r="C3329">
            <v>3.6152670474000002</v>
          </cell>
          <cell r="D3329">
            <v>3.6170474421000001</v>
          </cell>
        </row>
        <row r="3330">
          <cell r="A3330">
            <v>48278</v>
          </cell>
          <cell r="B3330">
            <v>3.6175548026</v>
          </cell>
          <cell r="C3330">
            <v>3.6166643709000001</v>
          </cell>
          <cell r="D3330">
            <v>3.6184454537000001</v>
          </cell>
        </row>
        <row r="3331">
          <cell r="A3331">
            <v>48281</v>
          </cell>
          <cell r="B3331">
            <v>3.6189530104999998</v>
          </cell>
          <cell r="C3331">
            <v>3.6180622346</v>
          </cell>
          <cell r="D3331">
            <v>3.6198440058000001</v>
          </cell>
        </row>
        <row r="3332">
          <cell r="A3332">
            <v>48282</v>
          </cell>
          <cell r="B3332">
            <v>3.6203517586</v>
          </cell>
          <cell r="C3332">
            <v>3.6194606384000001</v>
          </cell>
          <cell r="D3332">
            <v>3.6212430982999999</v>
          </cell>
        </row>
        <row r="3333">
          <cell r="A3333">
            <v>48283</v>
          </cell>
          <cell r="B3333">
            <v>3.6217510475000001</v>
          </cell>
          <cell r="C3333">
            <v>3.6208595829000001</v>
          </cell>
          <cell r="D3333">
            <v>3.6226427317000001</v>
          </cell>
        </row>
        <row r="3334">
          <cell r="A3334">
            <v>48284</v>
          </cell>
          <cell r="B3334">
            <v>3.623150877</v>
          </cell>
          <cell r="C3334">
            <v>3.6222590679</v>
          </cell>
          <cell r="D3334">
            <v>3.6240429059000001</v>
          </cell>
        </row>
        <row r="3335">
          <cell r="A3335">
            <v>48285</v>
          </cell>
          <cell r="B3335">
            <v>3.6245512477999999</v>
          </cell>
          <cell r="C3335">
            <v>3.6236590939000002</v>
          </cell>
          <cell r="D3335">
            <v>3.6254436214000001</v>
          </cell>
        </row>
        <row r="3336">
          <cell r="A3336">
            <v>48288</v>
          </cell>
          <cell r="B3336">
            <v>3.6259521598000002</v>
          </cell>
          <cell r="C3336">
            <v>3.6250596610999999</v>
          </cell>
          <cell r="D3336">
            <v>3.6268448783</v>
          </cell>
        </row>
        <row r="3337">
          <cell r="A3337">
            <v>48289</v>
          </cell>
          <cell r="B3337">
            <v>3.6273536130999999</v>
          </cell>
          <cell r="C3337">
            <v>3.6264607695</v>
          </cell>
          <cell r="D3337">
            <v>3.6282466766999999</v>
          </cell>
        </row>
        <row r="3338">
          <cell r="A3338">
            <v>48290</v>
          </cell>
          <cell r="B3338">
            <v>3.6287556082000001</v>
          </cell>
          <cell r="C3338">
            <v>3.6278624195</v>
          </cell>
          <cell r="D3338">
            <v>3.6296490170000002</v>
          </cell>
        </row>
        <row r="3339">
          <cell r="A3339">
            <v>48291</v>
          </cell>
          <cell r="B3339">
            <v>3.6301581450999998</v>
          </cell>
          <cell r="C3339">
            <v>3.6292646112</v>
          </cell>
          <cell r="D3339">
            <v>3.6310518992</v>
          </cell>
        </row>
        <row r="3340">
          <cell r="A3340">
            <v>48292</v>
          </cell>
          <cell r="B3340">
            <v>3.6315612241999999</v>
          </cell>
          <cell r="C3340">
            <v>3.6306673449</v>
          </cell>
          <cell r="D3340">
            <v>3.6324553236999999</v>
          </cell>
        </row>
        <row r="3341">
          <cell r="A3341">
            <v>48295</v>
          </cell>
          <cell r="B3341">
            <v>3.6329648456000001</v>
          </cell>
          <cell r="C3341">
            <v>3.6320706208</v>
          </cell>
          <cell r="D3341">
            <v>3.6338592906999998</v>
          </cell>
        </row>
        <row r="3342">
          <cell r="A3342">
            <v>48296</v>
          </cell>
          <cell r="B3342">
            <v>3.6343690093999999</v>
          </cell>
          <cell r="C3342">
            <v>3.633474439</v>
          </cell>
          <cell r="D3342">
            <v>3.6352638002000002</v>
          </cell>
        </row>
        <row r="3343">
          <cell r="A3343">
            <v>48297</v>
          </cell>
          <cell r="B3343">
            <v>3.6357737160000001</v>
          </cell>
          <cell r="C3343">
            <v>3.6348787998000001</v>
          </cell>
          <cell r="D3343">
            <v>3.6366688526000002</v>
          </cell>
        </row>
        <row r="3344">
          <cell r="A3344">
            <v>48298</v>
          </cell>
          <cell r="B3344">
            <v>3.6371789655</v>
          </cell>
          <cell r="C3344">
            <v>3.6362837034000002</v>
          </cell>
          <cell r="D3344">
            <v>3.6380744480999998</v>
          </cell>
        </row>
        <row r="3345">
          <cell r="A3345">
            <v>48302</v>
          </cell>
          <cell r="B3345">
            <v>3.6385847581999999</v>
          </cell>
          <cell r="C3345">
            <v>3.6376891500999999</v>
          </cell>
          <cell r="D3345">
            <v>3.6394805869</v>
          </cell>
        </row>
        <row r="3346">
          <cell r="A3346">
            <v>48303</v>
          </cell>
          <cell r="B3346">
            <v>3.6399910941</v>
          </cell>
          <cell r="C3346">
            <v>3.6390951399000002</v>
          </cell>
          <cell r="D3346">
            <v>3.6408872690999998</v>
          </cell>
        </row>
        <row r="3347">
          <cell r="A3347">
            <v>48304</v>
          </cell>
          <cell r="B3347">
            <v>3.6413979737000002</v>
          </cell>
          <cell r="C3347">
            <v>3.6405016731000002</v>
          </cell>
          <cell r="D3347">
            <v>3.6422944949999998</v>
          </cell>
        </row>
        <row r="3348">
          <cell r="A3348">
            <v>48305</v>
          </cell>
          <cell r="B3348">
            <v>3.6428053970000001</v>
          </cell>
          <cell r="C3348">
            <v>3.6419087499999998</v>
          </cell>
          <cell r="D3348">
            <v>3.6437022647999999</v>
          </cell>
        </row>
        <row r="3349">
          <cell r="A3349">
            <v>48306</v>
          </cell>
          <cell r="B3349">
            <v>3.6442133643000001</v>
          </cell>
          <cell r="C3349">
            <v>3.6433163708</v>
          </cell>
          <cell r="D3349">
            <v>3.6451105787999998</v>
          </cell>
        </row>
        <row r="3350">
          <cell r="A3350">
            <v>48309</v>
          </cell>
          <cell r="B3350">
            <v>3.6456218756999998</v>
          </cell>
          <cell r="C3350">
            <v>3.6447245355</v>
          </cell>
          <cell r="D3350">
            <v>3.6465194369999998</v>
          </cell>
        </row>
        <row r="3351">
          <cell r="A3351">
            <v>48310</v>
          </cell>
          <cell r="B3351">
            <v>3.6470309315999998</v>
          </cell>
          <cell r="C3351">
            <v>3.6461332446000001</v>
          </cell>
          <cell r="D3351">
            <v>3.6479288398</v>
          </cell>
        </row>
        <row r="3352">
          <cell r="A3352">
            <v>48311</v>
          </cell>
          <cell r="B3352">
            <v>3.6484405322</v>
          </cell>
          <cell r="C3352">
            <v>3.6475424981</v>
          </cell>
          <cell r="D3352">
            <v>3.6493387874000001</v>
          </cell>
        </row>
        <row r="3353">
          <cell r="A3353">
            <v>48312</v>
          </cell>
          <cell r="B3353">
            <v>3.6498506773999999</v>
          </cell>
          <cell r="C3353">
            <v>3.6489522963000001</v>
          </cell>
          <cell r="D3353">
            <v>3.6507492797999999</v>
          </cell>
        </row>
        <row r="3354">
          <cell r="A3354">
            <v>48313</v>
          </cell>
          <cell r="B3354">
            <v>3.6512613678000001</v>
          </cell>
          <cell r="C3354">
            <v>3.6503626393999999</v>
          </cell>
          <cell r="D3354">
            <v>3.6521603174999999</v>
          </cell>
        </row>
        <row r="3355">
          <cell r="A3355">
            <v>48316</v>
          </cell>
          <cell r="B3355">
            <v>3.6526726033000001</v>
          </cell>
          <cell r="C3355">
            <v>3.6517735276000001</v>
          </cell>
          <cell r="D3355">
            <v>3.6535719004999998</v>
          </cell>
        </row>
        <row r="3356">
          <cell r="A3356">
            <v>48317</v>
          </cell>
          <cell r="B3356">
            <v>3.6540843842999999</v>
          </cell>
          <cell r="C3356">
            <v>3.6531849611</v>
          </cell>
          <cell r="D3356">
            <v>3.6549840291</v>
          </cell>
        </row>
        <row r="3357">
          <cell r="A3357">
            <v>48318</v>
          </cell>
          <cell r="B3357">
            <v>3.6554967110000001</v>
          </cell>
          <cell r="C3357">
            <v>3.6545969401999998</v>
          </cell>
          <cell r="D3357">
            <v>3.6563967035</v>
          </cell>
        </row>
        <row r="3358">
          <cell r="A3358">
            <v>48319</v>
          </cell>
          <cell r="B3358">
            <v>3.6569095837000001</v>
          </cell>
          <cell r="C3358">
            <v>3.6560094650999999</v>
          </cell>
          <cell r="D3358">
            <v>3.6578099239999999</v>
          </cell>
        </row>
        <row r="3359">
          <cell r="A3359">
            <v>48320</v>
          </cell>
          <cell r="B3359">
            <v>3.6583230023</v>
          </cell>
          <cell r="C3359">
            <v>3.6574225357999999</v>
          </cell>
          <cell r="D3359">
            <v>3.6592236906000002</v>
          </cell>
        </row>
        <row r="3360">
          <cell r="A3360">
            <v>48323</v>
          </cell>
          <cell r="B3360">
            <v>3.6597369673000002</v>
          </cell>
          <cell r="C3360">
            <v>3.6588361527000002</v>
          </cell>
          <cell r="D3360">
            <v>3.6606380036999999</v>
          </cell>
        </row>
        <row r="3361">
          <cell r="A3361">
            <v>48324</v>
          </cell>
          <cell r="B3361">
            <v>3.6611514786999999</v>
          </cell>
          <cell r="C3361">
            <v>3.6602503159999999</v>
          </cell>
          <cell r="D3361">
            <v>3.6620528634</v>
          </cell>
        </row>
        <row r="3362">
          <cell r="A3362">
            <v>48326</v>
          </cell>
          <cell r="B3362">
            <v>3.6625665368</v>
          </cell>
          <cell r="C3362">
            <v>3.6616650258000001</v>
          </cell>
          <cell r="D3362">
            <v>3.6634682699000001</v>
          </cell>
        </row>
        <row r="3363">
          <cell r="A3363">
            <v>48327</v>
          </cell>
          <cell r="B3363">
            <v>3.6639821420000001</v>
          </cell>
          <cell r="C3363">
            <v>3.6630802825000002</v>
          </cell>
          <cell r="D3363">
            <v>3.6648842236000001</v>
          </cell>
        </row>
        <row r="3364">
          <cell r="A3364">
            <v>48330</v>
          </cell>
          <cell r="B3364">
            <v>3.6653982941000001</v>
          </cell>
          <cell r="C3364">
            <v>3.6644960861000002</v>
          </cell>
          <cell r="D3364">
            <v>3.6663007244000001</v>
          </cell>
        </row>
        <row r="3365">
          <cell r="A3365">
            <v>48331</v>
          </cell>
          <cell r="B3365">
            <v>3.6668149937000001</v>
          </cell>
          <cell r="C3365">
            <v>3.6659124369999998</v>
          </cell>
          <cell r="D3365">
            <v>3.6677177728000001</v>
          </cell>
        </row>
        <row r="3366">
          <cell r="A3366">
            <v>48332</v>
          </cell>
          <cell r="B3366">
            <v>3.6682322409000001</v>
          </cell>
          <cell r="C3366">
            <v>3.6673293352999998</v>
          </cell>
          <cell r="D3366">
            <v>3.6691353689000001</v>
          </cell>
        </row>
        <row r="3367">
          <cell r="A3367">
            <v>48333</v>
          </cell>
          <cell r="B3367">
            <v>3.6696500358000002</v>
          </cell>
          <cell r="C3367">
            <v>3.6687467812999999</v>
          </cell>
          <cell r="D3367">
            <v>3.6705535129000002</v>
          </cell>
        </row>
        <row r="3368">
          <cell r="A3368">
            <v>48334</v>
          </cell>
          <cell r="B3368">
            <v>3.6710683786999998</v>
          </cell>
          <cell r="C3368">
            <v>3.6701647750999999</v>
          </cell>
          <cell r="D3368">
            <v>3.6719722049999999</v>
          </cell>
        </row>
        <row r="3369">
          <cell r="A3369">
            <v>48337</v>
          </cell>
          <cell r="B3369">
            <v>3.6724872699</v>
          </cell>
          <cell r="C3369">
            <v>3.6715833170000001</v>
          </cell>
          <cell r="D3369">
            <v>3.6733914455000001</v>
          </cell>
        </row>
        <row r="3370">
          <cell r="A3370">
            <v>48338</v>
          </cell>
          <cell r="B3370">
            <v>3.6739067094000002</v>
          </cell>
          <cell r="C3370">
            <v>3.6730024070999998</v>
          </cell>
          <cell r="D3370">
            <v>3.6748112344999999</v>
          </cell>
        </row>
        <row r="3371">
          <cell r="A3371">
            <v>48339</v>
          </cell>
          <cell r="B3371">
            <v>3.6753266975000001</v>
          </cell>
          <cell r="C3371">
            <v>3.6744220457000001</v>
          </cell>
          <cell r="D3371">
            <v>3.6762315721999999</v>
          </cell>
        </row>
        <row r="3372">
          <cell r="A3372">
            <v>48340</v>
          </cell>
          <cell r="B3372">
            <v>3.6767472345000001</v>
          </cell>
          <cell r="C3372">
            <v>3.675842233</v>
          </cell>
          <cell r="D3372">
            <v>3.6776524588999999</v>
          </cell>
        </row>
        <row r="3373">
          <cell r="A3373">
            <v>48341</v>
          </cell>
          <cell r="B3373">
            <v>3.6781683205000002</v>
          </cell>
          <cell r="C3373">
            <v>3.6772629692000001</v>
          </cell>
          <cell r="D3373">
            <v>3.6790738948000001</v>
          </cell>
        </row>
        <row r="3374">
          <cell r="A3374">
            <v>48344</v>
          </cell>
          <cell r="B3374">
            <v>3.6795899558</v>
          </cell>
          <cell r="C3374">
            <v>3.6786842545999998</v>
          </cell>
          <cell r="D3374">
            <v>3.6804958801000001</v>
          </cell>
        </row>
        <row r="3375">
          <cell r="A3375">
            <v>48345</v>
          </cell>
          <cell r="B3375">
            <v>3.6810121406</v>
          </cell>
          <cell r="C3375">
            <v>3.6801060893000002</v>
          </cell>
          <cell r="D3375">
            <v>3.6819184150000002</v>
          </cell>
        </row>
        <row r="3376">
          <cell r="A3376">
            <v>48346</v>
          </cell>
          <cell r="B3376">
            <v>3.6824348750000002</v>
          </cell>
          <cell r="C3376">
            <v>3.6815284734999998</v>
          </cell>
          <cell r="D3376">
            <v>3.6833414997</v>
          </cell>
        </row>
        <row r="3377">
          <cell r="A3377">
            <v>48347</v>
          </cell>
          <cell r="B3377">
            <v>3.6838581594000002</v>
          </cell>
          <cell r="C3377">
            <v>3.6829514076000001</v>
          </cell>
          <cell r="D3377">
            <v>3.6847651345000001</v>
          </cell>
        </row>
        <row r="3378">
          <cell r="A3378">
            <v>48348</v>
          </cell>
          <cell r="B3378">
            <v>3.6852819937999999</v>
          </cell>
          <cell r="C3378">
            <v>3.6843748916000001</v>
          </cell>
          <cell r="D3378">
            <v>3.6861893195</v>
          </cell>
        </row>
        <row r="3379">
          <cell r="A3379">
            <v>48351</v>
          </cell>
          <cell r="B3379">
            <v>3.6867063784999998</v>
          </cell>
          <cell r="C3379">
            <v>3.6857989256999999</v>
          </cell>
          <cell r="D3379">
            <v>3.6876140549</v>
          </cell>
        </row>
        <row r="3380">
          <cell r="A3380">
            <v>48352</v>
          </cell>
          <cell r="B3380">
            <v>3.6881313139</v>
          </cell>
          <cell r="C3380">
            <v>3.6872235103</v>
          </cell>
          <cell r="D3380">
            <v>3.6890393411</v>
          </cell>
        </row>
        <row r="3381">
          <cell r="A3381">
            <v>48353</v>
          </cell>
          <cell r="B3381">
            <v>3.6895567999000001</v>
          </cell>
          <cell r="C3381">
            <v>3.6886486454999998</v>
          </cell>
          <cell r="D3381">
            <v>3.6904651781000002</v>
          </cell>
        </row>
        <row r="3382">
          <cell r="A3382">
            <v>48354</v>
          </cell>
          <cell r="B3382">
            <v>3.6909828369</v>
          </cell>
          <cell r="C3382">
            <v>3.6900743315</v>
          </cell>
          <cell r="D3382">
            <v>3.6918915661999998</v>
          </cell>
        </row>
        <row r="3383">
          <cell r="A3383">
            <v>48355</v>
          </cell>
          <cell r="B3383">
            <v>3.6924094251000001</v>
          </cell>
          <cell r="C3383">
            <v>3.6915005685</v>
          </cell>
          <cell r="D3383">
            <v>3.6933185056000002</v>
          </cell>
        </row>
        <row r="3384">
          <cell r="A3384">
            <v>48358</v>
          </cell>
          <cell r="B3384">
            <v>3.6938365647000002</v>
          </cell>
          <cell r="C3384">
            <v>3.6929273567999998</v>
          </cell>
          <cell r="D3384">
            <v>3.6947459965</v>
          </cell>
        </row>
        <row r="3385">
          <cell r="A3385">
            <v>48359</v>
          </cell>
          <cell r="B3385">
            <v>3.6952642558000002</v>
          </cell>
          <cell r="C3385">
            <v>3.6943546964</v>
          </cell>
          <cell r="D3385">
            <v>3.6961740391000002</v>
          </cell>
        </row>
        <row r="3386">
          <cell r="A3386">
            <v>48360</v>
          </cell>
          <cell r="B3386">
            <v>3.6966924988000001</v>
          </cell>
          <cell r="C3386">
            <v>3.6957825880000001</v>
          </cell>
          <cell r="D3386">
            <v>3.6976026337999999</v>
          </cell>
        </row>
        <row r="3387">
          <cell r="A3387">
            <v>48362</v>
          </cell>
          <cell r="B3387">
            <v>3.6981212936999999</v>
          </cell>
          <cell r="C3387">
            <v>3.6972110312000002</v>
          </cell>
          <cell r="D3387">
            <v>3.6990317804999999</v>
          </cell>
        </row>
        <row r="3388">
          <cell r="A3388">
            <v>48365</v>
          </cell>
          <cell r="B3388">
            <v>3.6995506410000001</v>
          </cell>
          <cell r="C3388">
            <v>3.6986400267000001</v>
          </cell>
          <cell r="D3388">
            <v>3.7004614796999999</v>
          </cell>
        </row>
        <row r="3389">
          <cell r="A3389">
            <v>48366</v>
          </cell>
          <cell r="B3389">
            <v>3.7009805406999998</v>
          </cell>
          <cell r="C3389">
            <v>3.7000695744000001</v>
          </cell>
          <cell r="D3389">
            <v>3.7018917313999999</v>
          </cell>
        </row>
        <row r="3390">
          <cell r="A3390">
            <v>48367</v>
          </cell>
          <cell r="B3390">
            <v>3.702410993</v>
          </cell>
          <cell r="C3390">
            <v>3.7014996746</v>
          </cell>
          <cell r="D3390">
            <v>3.7033225358999999</v>
          </cell>
        </row>
        <row r="3391">
          <cell r="A3391">
            <v>48368</v>
          </cell>
          <cell r="B3391">
            <v>3.7038419983000002</v>
          </cell>
          <cell r="C3391">
            <v>3.7029303275999998</v>
          </cell>
          <cell r="D3391">
            <v>3.7047538935</v>
          </cell>
        </row>
        <row r="3392">
          <cell r="A3392">
            <v>48369</v>
          </cell>
          <cell r="B3392">
            <v>3.7052735565999999</v>
          </cell>
          <cell r="C3392">
            <v>3.7043615336000002</v>
          </cell>
          <cell r="D3392">
            <v>3.7061858043</v>
          </cell>
        </row>
        <row r="3393">
          <cell r="A3393">
            <v>48372</v>
          </cell>
          <cell r="B3393">
            <v>3.7067056682000001</v>
          </cell>
          <cell r="C3393">
            <v>3.7057932927000001</v>
          </cell>
          <cell r="D3393">
            <v>3.7076182685000001</v>
          </cell>
        </row>
        <row r="3394">
          <cell r="A3394">
            <v>48373</v>
          </cell>
          <cell r="B3394">
            <v>3.7081383334</v>
          </cell>
          <cell r="C3394">
            <v>3.7072256053000001</v>
          </cell>
          <cell r="D3394">
            <v>3.7090512863999998</v>
          </cell>
        </row>
        <row r="3395">
          <cell r="A3395">
            <v>48374</v>
          </cell>
          <cell r="B3395">
            <v>3.7095715522999999</v>
          </cell>
          <cell r="C3395">
            <v>3.7086584713000001</v>
          </cell>
          <cell r="D3395">
            <v>3.7104848581000001</v>
          </cell>
        </row>
        <row r="3396">
          <cell r="A3396">
            <v>48375</v>
          </cell>
          <cell r="B3396">
            <v>3.7110053250999999</v>
          </cell>
          <cell r="C3396">
            <v>3.7100918911999998</v>
          </cell>
          <cell r="D3396">
            <v>3.7119189839</v>
          </cell>
        </row>
        <row r="3397">
          <cell r="A3397">
            <v>48376</v>
          </cell>
          <cell r="B3397">
            <v>3.7124396521</v>
          </cell>
          <cell r="C3397">
            <v>3.7115258652000001</v>
          </cell>
          <cell r="D3397">
            <v>3.7133536641</v>
          </cell>
        </row>
        <row r="3398">
          <cell r="A3398">
            <v>48379</v>
          </cell>
          <cell r="B3398">
            <v>3.7138745334999999</v>
          </cell>
          <cell r="C3398">
            <v>3.7129603933999999</v>
          </cell>
          <cell r="D3398">
            <v>3.7147888987000002</v>
          </cell>
        </row>
        <row r="3399">
          <cell r="A3399">
            <v>48380</v>
          </cell>
          <cell r="B3399">
            <v>3.7153099693999998</v>
          </cell>
          <cell r="C3399">
            <v>3.7143954761</v>
          </cell>
          <cell r="D3399">
            <v>3.7162246881000001</v>
          </cell>
        </row>
        <row r="3400">
          <cell r="A3400">
            <v>48381</v>
          </cell>
          <cell r="B3400">
            <v>3.7167459601999999</v>
          </cell>
          <cell r="C3400">
            <v>3.7158311134000002</v>
          </cell>
          <cell r="D3400">
            <v>3.7176610324000001</v>
          </cell>
        </row>
        <row r="3401">
          <cell r="A3401">
            <v>48382</v>
          </cell>
          <cell r="B3401">
            <v>3.7181825059000002</v>
          </cell>
          <cell r="C3401">
            <v>3.7172673055000001</v>
          </cell>
          <cell r="D3401">
            <v>3.7190979317999999</v>
          </cell>
        </row>
        <row r="3402">
          <cell r="A3402">
            <v>48383</v>
          </cell>
          <cell r="B3402">
            <v>3.7196196069999998</v>
          </cell>
          <cell r="C3402">
            <v>3.7187040528000002</v>
          </cell>
          <cell r="D3402">
            <v>3.7205353866999999</v>
          </cell>
        </row>
        <row r="3403">
          <cell r="A3403">
            <v>48386</v>
          </cell>
          <cell r="B3403">
            <v>3.7210572634000001</v>
          </cell>
          <cell r="C3403">
            <v>3.7201413554</v>
          </cell>
          <cell r="D3403">
            <v>3.7219733971000002</v>
          </cell>
        </row>
        <row r="3404">
          <cell r="A3404">
            <v>48387</v>
          </cell>
          <cell r="B3404">
            <v>3.7224954756000002</v>
          </cell>
          <cell r="C3404">
            <v>3.7215792135000001</v>
          </cell>
          <cell r="D3404">
            <v>3.7234119632999998</v>
          </cell>
        </row>
        <row r="3405">
          <cell r="A3405">
            <v>48388</v>
          </cell>
          <cell r="B3405">
            <v>3.7239342436</v>
          </cell>
          <cell r="C3405">
            <v>3.7230176274</v>
          </cell>
          <cell r="D3405">
            <v>3.7248510856000001</v>
          </cell>
        </row>
        <row r="3406">
          <cell r="A3406">
            <v>48389</v>
          </cell>
          <cell r="B3406">
            <v>3.7253735677000002</v>
          </cell>
          <cell r="C3406">
            <v>3.7244565972000001</v>
          </cell>
          <cell r="D3406">
            <v>3.7262907639999998</v>
          </cell>
        </row>
        <row r="3407">
          <cell r="A3407">
            <v>48390</v>
          </cell>
          <cell r="B3407">
            <v>3.7268134481000001</v>
          </cell>
          <cell r="C3407">
            <v>3.7258961232000001</v>
          </cell>
          <cell r="D3407">
            <v>3.7277309988999998</v>
          </cell>
        </row>
        <row r="3408">
          <cell r="A3408">
            <v>48393</v>
          </cell>
          <cell r="B3408">
            <v>3.728253885</v>
          </cell>
          <cell r="C3408">
            <v>3.7273362055999999</v>
          </cell>
          <cell r="D3408">
            <v>3.7291717905000001</v>
          </cell>
        </row>
        <row r="3409">
          <cell r="A3409">
            <v>48394</v>
          </cell>
          <cell r="B3409">
            <v>3.7296948787000002</v>
          </cell>
          <cell r="C3409">
            <v>3.7287768446</v>
          </cell>
          <cell r="D3409">
            <v>3.7306131389999999</v>
          </cell>
        </row>
        <row r="3410">
          <cell r="A3410">
            <v>48395</v>
          </cell>
          <cell r="B3410">
            <v>3.7311364292999998</v>
          </cell>
          <cell r="C3410">
            <v>3.7302180404</v>
          </cell>
          <cell r="D3410">
            <v>3.7320550445</v>
          </cell>
        </row>
        <row r="3411">
          <cell r="A3411">
            <v>48396</v>
          </cell>
          <cell r="B3411">
            <v>3.7325785371000002</v>
          </cell>
          <cell r="C3411">
            <v>3.7316597932</v>
          </cell>
          <cell r="D3411">
            <v>3.7334975073000001</v>
          </cell>
        </row>
        <row r="3412">
          <cell r="A3412">
            <v>48397</v>
          </cell>
          <cell r="B3412">
            <v>3.7340212023000001</v>
          </cell>
          <cell r="C3412">
            <v>3.7331021032999998</v>
          </cell>
          <cell r="D3412">
            <v>3.7349405277000001</v>
          </cell>
        </row>
        <row r="3413">
          <cell r="A3413">
            <v>48400</v>
          </cell>
          <cell r="B3413">
            <v>3.7354644251</v>
          </cell>
          <cell r="C3413">
            <v>3.7345449708</v>
          </cell>
          <cell r="D3413">
            <v>3.7363841058</v>
          </cell>
        </row>
        <row r="3414">
          <cell r="A3414">
            <v>48401</v>
          </cell>
          <cell r="B3414">
            <v>3.7369082056999998</v>
          </cell>
          <cell r="C3414">
            <v>3.7359883961000002</v>
          </cell>
          <cell r="D3414">
            <v>3.7378282419</v>
          </cell>
        </row>
        <row r="3415">
          <cell r="A3415">
            <v>48402</v>
          </cell>
          <cell r="B3415">
            <v>3.7383525443000001</v>
          </cell>
          <cell r="C3415">
            <v>3.7374323791999999</v>
          </cell>
          <cell r="D3415">
            <v>3.7392729360999999</v>
          </cell>
        </row>
        <row r="3416">
          <cell r="A3416">
            <v>48403</v>
          </cell>
          <cell r="B3416">
            <v>3.7397974411999999</v>
          </cell>
          <cell r="C3416">
            <v>3.7388769204000001</v>
          </cell>
          <cell r="D3416">
            <v>3.7407181886999998</v>
          </cell>
        </row>
        <row r="3417">
          <cell r="A3417">
            <v>48404</v>
          </cell>
          <cell r="B3417">
            <v>3.7412428965000002</v>
          </cell>
          <cell r="C3417">
            <v>3.7403220198999998</v>
          </cell>
          <cell r="D3417">
            <v>3.7421639998999998</v>
          </cell>
        </row>
        <row r="3418">
          <cell r="A3418">
            <v>48407</v>
          </cell>
          <cell r="B3418">
            <v>3.7426889105000001</v>
          </cell>
          <cell r="C3418">
            <v>3.741767678</v>
          </cell>
          <cell r="D3418">
            <v>3.7436103698999998</v>
          </cell>
        </row>
        <row r="3419">
          <cell r="A3419">
            <v>48408</v>
          </cell>
          <cell r="B3419">
            <v>3.7441354834</v>
          </cell>
          <cell r="C3419">
            <v>3.7432138948999998</v>
          </cell>
          <cell r="D3419">
            <v>3.745057299</v>
          </cell>
        </row>
        <row r="3420">
          <cell r="A3420">
            <v>48409</v>
          </cell>
          <cell r="B3420">
            <v>3.7455826154</v>
          </cell>
          <cell r="C3420">
            <v>3.7446606707000001</v>
          </cell>
          <cell r="D3420">
            <v>3.7465047873000001</v>
          </cell>
        </row>
        <row r="3421">
          <cell r="A3421">
            <v>48410</v>
          </cell>
          <cell r="B3421">
            <v>3.7470303067000001</v>
          </cell>
          <cell r="C3421">
            <v>3.7461080056</v>
          </cell>
          <cell r="D3421">
            <v>3.747952835</v>
          </cell>
        </row>
        <row r="3422">
          <cell r="A3422">
            <v>48411</v>
          </cell>
          <cell r="B3422">
            <v>3.7484785576999999</v>
          </cell>
          <cell r="C3422">
            <v>3.7475559001000001</v>
          </cell>
          <cell r="D3422">
            <v>3.7494014425</v>
          </cell>
        </row>
        <row r="3423">
          <cell r="A3423">
            <v>48414</v>
          </cell>
          <cell r="B3423">
            <v>3.7499273682999998</v>
          </cell>
          <cell r="C3423">
            <v>3.7490043541000002</v>
          </cell>
          <cell r="D3423">
            <v>3.7508506098000001</v>
          </cell>
        </row>
        <row r="3424">
          <cell r="A3424">
            <v>48415</v>
          </cell>
          <cell r="B3424">
            <v>3.7513767387999999</v>
          </cell>
          <cell r="C3424">
            <v>3.7504533679000001</v>
          </cell>
          <cell r="D3424">
            <v>3.7523003371999999</v>
          </cell>
        </row>
        <row r="3425">
          <cell r="A3425">
            <v>48416</v>
          </cell>
          <cell r="B3425">
            <v>3.7528266696000001</v>
          </cell>
          <cell r="C3425">
            <v>3.7519029418000001</v>
          </cell>
          <cell r="D3425">
            <v>3.7537506249999999</v>
          </cell>
        </row>
        <row r="3426">
          <cell r="A3426">
            <v>48417</v>
          </cell>
          <cell r="B3426">
            <v>3.7542771608000001</v>
          </cell>
          <cell r="C3426">
            <v>3.7533530759999998</v>
          </cell>
          <cell r="D3426">
            <v>3.7552014733000001</v>
          </cell>
        </row>
        <row r="3427">
          <cell r="A3427">
            <v>48418</v>
          </cell>
          <cell r="B3427">
            <v>3.7557282126999998</v>
          </cell>
          <cell r="C3427">
            <v>3.7548037707000002</v>
          </cell>
          <cell r="D3427">
            <v>3.7566528824000001</v>
          </cell>
        </row>
        <row r="3428">
          <cell r="A3428">
            <v>48421</v>
          </cell>
          <cell r="B3428">
            <v>3.7571798254000002</v>
          </cell>
          <cell r="C3428">
            <v>3.7562550260999998</v>
          </cell>
          <cell r="D3428">
            <v>3.7581048524999998</v>
          </cell>
        </row>
        <row r="3429">
          <cell r="A3429">
            <v>48422</v>
          </cell>
          <cell r="B3429">
            <v>3.7586319991999999</v>
          </cell>
          <cell r="C3429">
            <v>3.7577068424000002</v>
          </cell>
          <cell r="D3429">
            <v>3.7595573837999998</v>
          </cell>
        </row>
        <row r="3430">
          <cell r="A3430">
            <v>48423</v>
          </cell>
          <cell r="B3430">
            <v>3.7600847340999999</v>
          </cell>
          <cell r="C3430">
            <v>3.7591592196999999</v>
          </cell>
          <cell r="D3430">
            <v>3.7610104764000001</v>
          </cell>
        </row>
        <row r="3431">
          <cell r="A3431">
            <v>48424</v>
          </cell>
          <cell r="B3431">
            <v>3.7615380306000001</v>
          </cell>
          <cell r="C3431">
            <v>3.7606121584999999</v>
          </cell>
          <cell r="D3431">
            <v>3.7624641307000002</v>
          </cell>
        </row>
        <row r="3432">
          <cell r="A3432">
            <v>48425</v>
          </cell>
          <cell r="B3432">
            <v>3.7629918887999998</v>
          </cell>
          <cell r="C3432">
            <v>3.7620656589000001</v>
          </cell>
          <cell r="D3432">
            <v>3.7639183469000002</v>
          </cell>
        </row>
        <row r="3433">
          <cell r="A3433">
            <v>48428</v>
          </cell>
          <cell r="B3433">
            <v>3.7644463090000002</v>
          </cell>
          <cell r="C3433">
            <v>3.7635197211000002</v>
          </cell>
          <cell r="D3433">
            <v>3.7653731251</v>
          </cell>
        </row>
        <row r="3434">
          <cell r="A3434">
            <v>48429</v>
          </cell>
          <cell r="B3434">
            <v>3.7659012912000001</v>
          </cell>
          <cell r="C3434">
            <v>3.7649743452000002</v>
          </cell>
          <cell r="D3434">
            <v>3.7668284656000002</v>
          </cell>
        </row>
        <row r="3435">
          <cell r="A3435">
            <v>48430</v>
          </cell>
          <cell r="B3435">
            <v>3.7673568358999998</v>
          </cell>
          <cell r="C3435">
            <v>3.7664295316</v>
          </cell>
          <cell r="D3435">
            <v>3.7682843685999998</v>
          </cell>
        </row>
        <row r="3436">
          <cell r="A3436">
            <v>48431</v>
          </cell>
          <cell r="B3436">
            <v>3.7688129430999999</v>
          </cell>
          <cell r="C3436">
            <v>3.7678852803999998</v>
          </cell>
          <cell r="D3436">
            <v>3.7697408342999998</v>
          </cell>
        </row>
        <row r="3437">
          <cell r="A3437">
            <v>48432</v>
          </cell>
          <cell r="B3437">
            <v>3.770269613</v>
          </cell>
          <cell r="C3437">
            <v>3.7693415917999999</v>
          </cell>
          <cell r="D3437">
            <v>3.7711978628999998</v>
          </cell>
        </row>
        <row r="3438">
          <cell r="A3438">
            <v>48435</v>
          </cell>
          <cell r="B3438">
            <v>3.7717268461</v>
          </cell>
          <cell r="C3438">
            <v>3.7707984661</v>
          </cell>
          <cell r="D3438">
            <v>3.7726554547000002</v>
          </cell>
        </row>
        <row r="3439">
          <cell r="A3439">
            <v>48436</v>
          </cell>
          <cell r="B3439">
            <v>3.7731846424</v>
          </cell>
          <cell r="C3439">
            <v>3.7722559036000001</v>
          </cell>
          <cell r="D3439">
            <v>3.7741136099000001</v>
          </cell>
        </row>
        <row r="3440">
          <cell r="A3440">
            <v>48437</v>
          </cell>
          <cell r="B3440">
            <v>3.7746430019999999</v>
          </cell>
          <cell r="C3440">
            <v>3.7737139043000001</v>
          </cell>
          <cell r="D3440">
            <v>3.7755723286</v>
          </cell>
        </row>
        <row r="3441">
          <cell r="A3441">
            <v>48438</v>
          </cell>
          <cell r="B3441">
            <v>3.7761019253999999</v>
          </cell>
          <cell r="C3441">
            <v>3.7751724686000001</v>
          </cell>
          <cell r="D3441">
            <v>3.7770316112</v>
          </cell>
        </row>
        <row r="3442">
          <cell r="A3442">
            <v>48439</v>
          </cell>
          <cell r="B3442">
            <v>3.7775614125999999</v>
          </cell>
          <cell r="C3442">
            <v>3.7766315965000001</v>
          </cell>
          <cell r="D3442">
            <v>3.7784914576999999</v>
          </cell>
        </row>
        <row r="3443">
          <cell r="A3443">
            <v>48442</v>
          </cell>
          <cell r="B3443">
            <v>3.7790214638999999</v>
          </cell>
          <cell r="C3443">
            <v>3.7780912885000002</v>
          </cell>
          <cell r="D3443">
            <v>3.7799518685</v>
          </cell>
        </row>
        <row r="3444">
          <cell r="A3444">
            <v>48443</v>
          </cell>
          <cell r="B3444">
            <v>3.7804820796</v>
          </cell>
          <cell r="C3444">
            <v>3.7795515445999999</v>
          </cell>
          <cell r="D3444">
            <v>3.7814128438000001</v>
          </cell>
        </row>
        <row r="3445">
          <cell r="A3445">
            <v>48444</v>
          </cell>
          <cell r="B3445">
            <v>3.7819432597999998</v>
          </cell>
          <cell r="C3445">
            <v>3.7810123651</v>
          </cell>
          <cell r="D3445">
            <v>3.7828743836999998</v>
          </cell>
        </row>
        <row r="3446">
          <cell r="A3446">
            <v>48445</v>
          </cell>
          <cell r="B3446">
            <v>3.7834050048000001</v>
          </cell>
          <cell r="C3446">
            <v>3.7824737502999999</v>
          </cell>
          <cell r="D3446">
            <v>3.7843364886000002</v>
          </cell>
        </row>
        <row r="3447">
          <cell r="A3447">
            <v>48446</v>
          </cell>
          <cell r="B3447">
            <v>3.7848673147</v>
          </cell>
          <cell r="C3447">
            <v>3.7839357002999998</v>
          </cell>
          <cell r="D3447">
            <v>3.7857991585000001</v>
          </cell>
        </row>
        <row r="3448">
          <cell r="A3448">
            <v>48449</v>
          </cell>
          <cell r="B3448">
            <v>3.7863301898000001</v>
          </cell>
          <cell r="C3448">
            <v>3.7853982152999999</v>
          </cell>
          <cell r="D3448">
            <v>3.7872623937999998</v>
          </cell>
        </row>
        <row r="3449">
          <cell r="A3449">
            <v>48450</v>
          </cell>
          <cell r="B3449">
            <v>3.7877936303999999</v>
          </cell>
          <cell r="C3449">
            <v>3.7868612957000001</v>
          </cell>
          <cell r="D3449">
            <v>3.7887261947000002</v>
          </cell>
        </row>
        <row r="3450">
          <cell r="A3450">
            <v>48451</v>
          </cell>
          <cell r="B3450">
            <v>3.7892576364999999</v>
          </cell>
          <cell r="C3450">
            <v>3.7883249415</v>
          </cell>
          <cell r="D3450">
            <v>3.7901905613000002</v>
          </cell>
        </row>
        <row r="3451">
          <cell r="A3451">
            <v>48452</v>
          </cell>
          <cell r="B3451">
            <v>3.7907222085000001</v>
          </cell>
          <cell r="C3451">
            <v>3.7897891530000001</v>
          </cell>
          <cell r="D3451">
            <v>3.7916554938</v>
          </cell>
        </row>
        <row r="3452">
          <cell r="A3452">
            <v>48453</v>
          </cell>
          <cell r="B3452">
            <v>3.7921873465</v>
          </cell>
          <cell r="C3452">
            <v>3.7912539303999999</v>
          </cell>
          <cell r="D3452">
            <v>3.7931209926</v>
          </cell>
        </row>
        <row r="3453">
          <cell r="A3453">
            <v>48456</v>
          </cell>
          <cell r="B3453">
            <v>3.7936530510000002</v>
          </cell>
          <cell r="C3453">
            <v>3.7927192741</v>
          </cell>
          <cell r="D3453">
            <v>3.7945870578999998</v>
          </cell>
        </row>
        <row r="3454">
          <cell r="A3454">
            <v>48457</v>
          </cell>
          <cell r="B3454">
            <v>3.7951193218000001</v>
          </cell>
          <cell r="C3454">
            <v>3.7941851839999998</v>
          </cell>
          <cell r="D3454">
            <v>3.7960536896999999</v>
          </cell>
        </row>
        <row r="3455">
          <cell r="A3455">
            <v>48458</v>
          </cell>
          <cell r="B3455">
            <v>3.7965861592999999</v>
          </cell>
          <cell r="C3455">
            <v>3.7956516604999999</v>
          </cell>
          <cell r="D3455">
            <v>3.7975208883999998</v>
          </cell>
        </row>
        <row r="3456">
          <cell r="A3456">
            <v>48459</v>
          </cell>
          <cell r="B3456">
            <v>3.7980535638999999</v>
          </cell>
          <cell r="C3456">
            <v>3.7971187037999998</v>
          </cell>
          <cell r="D3456">
            <v>3.7989886542</v>
          </cell>
        </row>
        <row r="3457">
          <cell r="A3457">
            <v>48460</v>
          </cell>
          <cell r="B3457">
            <v>3.7995215354999998</v>
          </cell>
          <cell r="C3457">
            <v>3.7985863142</v>
          </cell>
          <cell r="D3457">
            <v>3.8004569873</v>
          </cell>
        </row>
        <row r="3458">
          <cell r="A3458">
            <v>48463</v>
          </cell>
          <cell r="B3458">
            <v>3.8009900747000001</v>
          </cell>
          <cell r="C3458">
            <v>3.8000544918000001</v>
          </cell>
          <cell r="D3458">
            <v>3.801925888</v>
          </cell>
        </row>
        <row r="3459">
          <cell r="A3459">
            <v>48465</v>
          </cell>
          <cell r="B3459">
            <v>3.8024591813000002</v>
          </cell>
          <cell r="C3459">
            <v>3.8015232368</v>
          </cell>
          <cell r="D3459">
            <v>3.8033953562999998</v>
          </cell>
        </row>
        <row r="3460">
          <cell r="A3460">
            <v>48466</v>
          </cell>
          <cell r="B3460">
            <v>3.8039288559000002</v>
          </cell>
          <cell r="C3460">
            <v>3.8029925495999999</v>
          </cell>
          <cell r="D3460">
            <v>3.8048653927</v>
          </cell>
        </row>
        <row r="3461">
          <cell r="A3461">
            <v>48467</v>
          </cell>
          <cell r="B3461">
            <v>3.8053990984000001</v>
          </cell>
          <cell r="C3461">
            <v>3.8044624303000001</v>
          </cell>
          <cell r="D3461">
            <v>3.8063359972000002</v>
          </cell>
        </row>
        <row r="3462">
          <cell r="A3462">
            <v>48470</v>
          </cell>
          <cell r="B3462">
            <v>3.8068699092</v>
          </cell>
          <cell r="C3462">
            <v>3.8059328790000002</v>
          </cell>
          <cell r="D3462">
            <v>3.8078071700999998</v>
          </cell>
        </row>
        <row r="3463">
          <cell r="A3463">
            <v>48471</v>
          </cell>
          <cell r="B3463">
            <v>3.8083412883999999</v>
          </cell>
          <cell r="C3463">
            <v>3.8074038960999999</v>
          </cell>
          <cell r="D3463">
            <v>3.8092789115999999</v>
          </cell>
        </row>
        <row r="3464">
          <cell r="A3464">
            <v>48472</v>
          </cell>
          <cell r="B3464">
            <v>3.8098132363000001</v>
          </cell>
          <cell r="C3464">
            <v>3.8088754816999999</v>
          </cell>
          <cell r="D3464">
            <v>3.8107512218999999</v>
          </cell>
        </row>
        <row r="3465">
          <cell r="A3465">
            <v>48473</v>
          </cell>
          <cell r="B3465">
            <v>3.8112857533</v>
          </cell>
          <cell r="C3465">
            <v>3.8103476361999999</v>
          </cell>
          <cell r="D3465">
            <v>3.8122241014</v>
          </cell>
        </row>
        <row r="3466">
          <cell r="A3466">
            <v>48474</v>
          </cell>
          <cell r="B3466">
            <v>3.8127588391999998</v>
          </cell>
          <cell r="C3466">
            <v>3.8118203595</v>
          </cell>
          <cell r="D3466">
            <v>3.8136975500000001</v>
          </cell>
        </row>
        <row r="3467">
          <cell r="A3467">
            <v>48477</v>
          </cell>
          <cell r="B3467">
            <v>3.8142324946000001</v>
          </cell>
          <cell r="C3467">
            <v>3.8132936522000001</v>
          </cell>
          <cell r="D3467">
            <v>3.8151715681999998</v>
          </cell>
        </row>
        <row r="3468">
          <cell r="A3468">
            <v>48478</v>
          </cell>
          <cell r="B3468">
            <v>3.8157067195000001</v>
          </cell>
          <cell r="C3468">
            <v>3.8147675143000002</v>
          </cell>
          <cell r="D3468">
            <v>3.8166461561</v>
          </cell>
        </row>
        <row r="3469">
          <cell r="A3469">
            <v>48479</v>
          </cell>
          <cell r="B3469">
            <v>3.8171815143000001</v>
          </cell>
          <cell r="C3469">
            <v>3.8162419460999999</v>
          </cell>
          <cell r="D3469">
            <v>3.8181213139999999</v>
          </cell>
        </row>
        <row r="3470">
          <cell r="A3470">
            <v>48480</v>
          </cell>
          <cell r="B3470">
            <v>3.8186568791000002</v>
          </cell>
          <cell r="C3470">
            <v>3.8177169477000001</v>
          </cell>
          <cell r="D3470">
            <v>3.8195970419999998</v>
          </cell>
        </row>
        <row r="3471">
          <cell r="A3471">
            <v>48481</v>
          </cell>
          <cell r="B3471">
            <v>3.8201328140999999</v>
          </cell>
          <cell r="C3471">
            <v>3.8191925194</v>
          </cell>
          <cell r="D3471">
            <v>3.8210733403999999</v>
          </cell>
        </row>
        <row r="3472">
          <cell r="A3472">
            <v>48484</v>
          </cell>
          <cell r="B3472">
            <v>3.8216093194999998</v>
          </cell>
          <cell r="C3472">
            <v>3.8206686614000001</v>
          </cell>
          <cell r="D3472">
            <v>3.8225502093000001</v>
          </cell>
        </row>
        <row r="3473">
          <cell r="A3473">
            <v>48485</v>
          </cell>
          <cell r="B3473">
            <v>3.8230863955999999</v>
          </cell>
          <cell r="C3473">
            <v>3.8221453739000002</v>
          </cell>
          <cell r="D3473">
            <v>3.8240276491</v>
          </cell>
        </row>
        <row r="3474">
          <cell r="A3474">
            <v>48486</v>
          </cell>
          <cell r="B3474">
            <v>3.8245640427000001</v>
          </cell>
          <cell r="C3474">
            <v>3.8236226573000001</v>
          </cell>
          <cell r="D3474">
            <v>3.8255056600000001</v>
          </cell>
        </row>
        <row r="3475">
          <cell r="A3475">
            <v>48487</v>
          </cell>
          <cell r="B3475">
            <v>3.8260422609</v>
          </cell>
          <cell r="C3475">
            <v>3.8251005116000001</v>
          </cell>
          <cell r="D3475">
            <v>3.8269842421</v>
          </cell>
        </row>
        <row r="3476">
          <cell r="A3476">
            <v>48488</v>
          </cell>
          <cell r="B3476">
            <v>3.8275210503000001</v>
          </cell>
          <cell r="C3476">
            <v>3.8265789370999999</v>
          </cell>
          <cell r="D3476">
            <v>3.8284633956</v>
          </cell>
        </row>
        <row r="3477">
          <cell r="A3477">
            <v>48491</v>
          </cell>
          <cell r="B3477">
            <v>3.8290004114</v>
          </cell>
          <cell r="C3477">
            <v>3.8280579339999998</v>
          </cell>
          <cell r="D3477">
            <v>3.8299431208999999</v>
          </cell>
        </row>
        <row r="3478">
          <cell r="A3478">
            <v>48492</v>
          </cell>
          <cell r="B3478">
            <v>3.8304803442000002</v>
          </cell>
          <cell r="C3478">
            <v>3.8295375026</v>
          </cell>
          <cell r="D3478">
            <v>3.8314234181</v>
          </cell>
        </row>
        <row r="3479">
          <cell r="A3479">
            <v>48493</v>
          </cell>
          <cell r="B3479">
            <v>3.8319608491000001</v>
          </cell>
          <cell r="C3479">
            <v>3.831017643</v>
          </cell>
          <cell r="D3479">
            <v>3.8329042874999999</v>
          </cell>
        </row>
        <row r="3480">
          <cell r="A3480">
            <v>48494</v>
          </cell>
          <cell r="B3480">
            <v>3.8334419261999999</v>
          </cell>
          <cell r="C3480">
            <v>3.8324983554999998</v>
          </cell>
          <cell r="D3480">
            <v>3.8343857292000001</v>
          </cell>
        </row>
        <row r="3481">
          <cell r="A3481">
            <v>48495</v>
          </cell>
          <cell r="B3481">
            <v>3.8349235757</v>
          </cell>
          <cell r="C3481">
            <v>3.8339796403999999</v>
          </cell>
          <cell r="D3481">
            <v>3.8358677435000001</v>
          </cell>
        </row>
        <row r="3482">
          <cell r="A3482">
            <v>48498</v>
          </cell>
          <cell r="B3482">
            <v>3.8364057978999999</v>
          </cell>
          <cell r="C3482">
            <v>3.8354614976999999</v>
          </cell>
          <cell r="D3482">
            <v>3.8373503306000001</v>
          </cell>
        </row>
        <row r="3483">
          <cell r="A3483">
            <v>48500</v>
          </cell>
          <cell r="B3483">
            <v>3.8378885929000002</v>
          </cell>
          <cell r="C3483">
            <v>3.8369439278000002</v>
          </cell>
          <cell r="D3483">
            <v>3.8388334906999999</v>
          </cell>
        </row>
        <row r="3484">
          <cell r="A3484">
            <v>48501</v>
          </cell>
          <cell r="B3484">
            <v>3.8393719610999999</v>
          </cell>
          <cell r="C3484">
            <v>3.8384269307999999</v>
          </cell>
          <cell r="D3484">
            <v>3.8403172241000001</v>
          </cell>
        </row>
        <row r="3485">
          <cell r="A3485">
            <v>48502</v>
          </cell>
          <cell r="B3485">
            <v>3.8408559026</v>
          </cell>
          <cell r="C3485">
            <v>3.8399105070999999</v>
          </cell>
          <cell r="D3485">
            <v>3.8418015310000002</v>
          </cell>
        </row>
        <row r="3486">
          <cell r="A3486">
            <v>48505</v>
          </cell>
          <cell r="B3486">
            <v>3.8423404176</v>
          </cell>
          <cell r="C3486">
            <v>3.8413946566999999</v>
          </cell>
          <cell r="D3486">
            <v>3.8432864114999998</v>
          </cell>
        </row>
        <row r="3487">
          <cell r="A3487">
            <v>48506</v>
          </cell>
          <cell r="B3487">
            <v>3.8438255065</v>
          </cell>
          <cell r="C3487">
            <v>3.8428793800999999</v>
          </cell>
          <cell r="D3487">
            <v>3.8447718659999999</v>
          </cell>
        </row>
        <row r="3488">
          <cell r="A3488">
            <v>48507</v>
          </cell>
          <cell r="B3488">
            <v>3.8453111692999999</v>
          </cell>
          <cell r="C3488">
            <v>3.8443646772000002</v>
          </cell>
          <cell r="D3488">
            <v>3.8462578945999999</v>
          </cell>
        </row>
        <row r="3489">
          <cell r="A3489">
            <v>48508</v>
          </cell>
          <cell r="B3489">
            <v>3.8467974063999999</v>
          </cell>
          <cell r="C3489">
            <v>3.8458505485000001</v>
          </cell>
          <cell r="D3489">
            <v>3.8477444975999999</v>
          </cell>
        </row>
        <row r="3490">
          <cell r="A3490">
            <v>48509</v>
          </cell>
          <cell r="B3490">
            <v>3.8482842178999999</v>
          </cell>
          <cell r="C3490">
            <v>3.8473369938999999</v>
          </cell>
          <cell r="D3490">
            <v>3.8492316751</v>
          </cell>
        </row>
        <row r="3491">
          <cell r="A3491">
            <v>48512</v>
          </cell>
          <cell r="B3491">
            <v>3.8497716040999999</v>
          </cell>
          <cell r="C3491">
            <v>3.8488240139999998</v>
          </cell>
          <cell r="D3491">
            <v>3.8507194275000001</v>
          </cell>
        </row>
        <row r="3492">
          <cell r="A3492">
            <v>48513</v>
          </cell>
          <cell r="B3492">
            <v>3.8512595649999999</v>
          </cell>
          <cell r="C3492">
            <v>3.8503116087000002</v>
          </cell>
          <cell r="D3492">
            <v>3.8522077548000002</v>
          </cell>
        </row>
        <row r="3493">
          <cell r="A3493">
            <v>48514</v>
          </cell>
          <cell r="B3493">
            <v>3.8527481012</v>
          </cell>
          <cell r="C3493">
            <v>3.8517997785999998</v>
          </cell>
          <cell r="D3493">
            <v>3.8536966575</v>
          </cell>
        </row>
        <row r="3494">
          <cell r="A3494">
            <v>48515</v>
          </cell>
          <cell r="B3494">
            <v>3.8542372127000002</v>
          </cell>
          <cell r="C3494">
            <v>3.8532885234999998</v>
          </cell>
          <cell r="D3494">
            <v>3.8551861355999999</v>
          </cell>
        </row>
        <row r="3495">
          <cell r="A3495">
            <v>48516</v>
          </cell>
          <cell r="B3495">
            <v>3.8557268997</v>
          </cell>
          <cell r="C3495">
            <v>3.8547778439</v>
          </cell>
          <cell r="D3495">
            <v>3.8566761893999999</v>
          </cell>
        </row>
        <row r="3496">
          <cell r="A3496">
            <v>48519</v>
          </cell>
          <cell r="B3496">
            <v>3.8572171625</v>
          </cell>
          <cell r="C3496">
            <v>3.8562677397999998</v>
          </cell>
          <cell r="D3496">
            <v>3.8581668191</v>
          </cell>
        </row>
        <row r="3497">
          <cell r="A3497">
            <v>48521</v>
          </cell>
          <cell r="B3497">
            <v>3.8587080013000001</v>
          </cell>
          <cell r="C3497">
            <v>3.8577582116000002</v>
          </cell>
          <cell r="D3497">
            <v>3.8596580248999999</v>
          </cell>
        </row>
        <row r="3498">
          <cell r="A3498">
            <v>48522</v>
          </cell>
          <cell r="B3498">
            <v>3.8601994163</v>
          </cell>
          <cell r="C3498">
            <v>3.8592492594999999</v>
          </cell>
          <cell r="D3498">
            <v>3.8611498070999999</v>
          </cell>
        </row>
        <row r="3499">
          <cell r="A3499">
            <v>48523</v>
          </cell>
          <cell r="B3499">
            <v>3.8616914078</v>
          </cell>
          <cell r="C3499">
            <v>3.8607408838000001</v>
          </cell>
          <cell r="D3499">
            <v>3.8626421659000001</v>
          </cell>
        </row>
        <row r="3500">
          <cell r="A3500">
            <v>48526</v>
          </cell>
          <cell r="B3500">
            <v>3.8631839759000002</v>
          </cell>
          <cell r="C3500">
            <v>3.8622330845000001</v>
          </cell>
          <cell r="D3500">
            <v>3.8641351015000001</v>
          </cell>
        </row>
        <row r="3501">
          <cell r="A3501">
            <v>48527</v>
          </cell>
          <cell r="B3501">
            <v>3.8646771209000002</v>
          </cell>
          <cell r="C3501">
            <v>3.8637258619999999</v>
          </cell>
          <cell r="D3501">
            <v>3.8656286140999998</v>
          </cell>
        </row>
        <row r="3502">
          <cell r="A3502">
            <v>48528</v>
          </cell>
          <cell r="B3502">
            <v>3.8661708429999999</v>
          </cell>
          <cell r="C3502">
            <v>3.8652192163999999</v>
          </cell>
          <cell r="D3502">
            <v>3.8671227039999998</v>
          </cell>
        </row>
        <row r="3503">
          <cell r="A3503">
            <v>48529</v>
          </cell>
          <cell r="B3503">
            <v>3.8676651423999999</v>
          </cell>
          <cell r="C3503">
            <v>3.8667131480000001</v>
          </cell>
          <cell r="D3503">
            <v>3.8686173713000001</v>
          </cell>
        </row>
        <row r="3504">
          <cell r="A3504">
            <v>48530</v>
          </cell>
          <cell r="B3504">
            <v>3.8691600195000002</v>
          </cell>
          <cell r="C3504">
            <v>3.8682076571000001</v>
          </cell>
          <cell r="D3504">
            <v>3.8701126164000001</v>
          </cell>
        </row>
        <row r="3505">
          <cell r="A3505">
            <v>48534</v>
          </cell>
          <cell r="B3505">
            <v>3.8706554741999999</v>
          </cell>
          <cell r="C3505">
            <v>3.8697027438</v>
          </cell>
          <cell r="D3505">
            <v>3.8716084393000001</v>
          </cell>
        </row>
        <row r="3506">
          <cell r="A3506">
            <v>48535</v>
          </cell>
          <cell r="B3506">
            <v>3.8721515069999999</v>
          </cell>
          <cell r="C3506">
            <v>3.8711984083000002</v>
          </cell>
          <cell r="D3506">
            <v>3.8731048403999999</v>
          </cell>
        </row>
        <row r="3507">
          <cell r="A3507">
            <v>48536</v>
          </cell>
          <cell r="B3507">
            <v>3.8736481180000002</v>
          </cell>
          <cell r="C3507">
            <v>3.8726946510000002</v>
          </cell>
          <cell r="D3507">
            <v>3.8746018199000001</v>
          </cell>
        </row>
        <row r="3508">
          <cell r="A3508">
            <v>48537</v>
          </cell>
          <cell r="B3508">
            <v>3.8751453075</v>
          </cell>
          <cell r="C3508">
            <v>3.8741914719000001</v>
          </cell>
          <cell r="D3508">
            <v>3.8760993780000002</v>
          </cell>
        </row>
        <row r="3509">
          <cell r="A3509">
            <v>48540</v>
          </cell>
          <cell r="B3509">
            <v>3.8766430756000001</v>
          </cell>
          <cell r="C3509">
            <v>3.8756888714</v>
          </cell>
          <cell r="D3509">
            <v>3.8775975149000002</v>
          </cell>
        </row>
        <row r="3510">
          <cell r="A3510">
            <v>48541</v>
          </cell>
          <cell r="B3510">
            <v>3.8781414226000002</v>
          </cell>
          <cell r="C3510">
            <v>3.8771868496000002</v>
          </cell>
          <cell r="D3510">
            <v>3.8790962308000001</v>
          </cell>
        </row>
        <row r="3511">
          <cell r="A3511">
            <v>48542</v>
          </cell>
          <cell r="B3511">
            <v>3.8796403488000002</v>
          </cell>
          <cell r="C3511">
            <v>3.8786854067999998</v>
          </cell>
          <cell r="D3511">
            <v>3.880595526</v>
          </cell>
        </row>
        <row r="3512">
          <cell r="A3512">
            <v>48543</v>
          </cell>
          <cell r="B3512">
            <v>3.8811398543000002</v>
          </cell>
          <cell r="C3512">
            <v>3.8801845431999999</v>
          </cell>
          <cell r="D3512">
            <v>3.8820954006999999</v>
          </cell>
        </row>
        <row r="3513">
          <cell r="A3513">
            <v>48544</v>
          </cell>
          <cell r="B3513">
            <v>3.8826399394000002</v>
          </cell>
          <cell r="C3513">
            <v>3.8816842591</v>
          </cell>
          <cell r="D3513">
            <v>3.8835958550999998</v>
          </cell>
        </row>
        <row r="3514">
          <cell r="A3514">
            <v>48547</v>
          </cell>
          <cell r="B3514">
            <v>3.8841406042000002</v>
          </cell>
          <cell r="C3514">
            <v>3.8831845545000001</v>
          </cell>
          <cell r="D3514">
            <v>3.8850968894000002</v>
          </cell>
        </row>
        <row r="3515">
          <cell r="A3515">
            <v>48548</v>
          </cell>
          <cell r="B3515">
            <v>3.8856418491000002</v>
          </cell>
          <cell r="C3515">
            <v>3.8846854299000002</v>
          </cell>
          <cell r="D3515">
            <v>3.8865985039000002</v>
          </cell>
        </row>
        <row r="3516">
          <cell r="A3516">
            <v>48549</v>
          </cell>
          <cell r="B3516">
            <v>3.8871436741999998</v>
          </cell>
          <cell r="C3516">
            <v>3.8861868852999999</v>
          </cell>
          <cell r="D3516">
            <v>3.8881006987000002</v>
          </cell>
        </row>
        <row r="3517">
          <cell r="A3517">
            <v>48550</v>
          </cell>
          <cell r="B3517">
            <v>3.8886460798</v>
          </cell>
          <cell r="C3517">
            <v>3.8876889211000001</v>
          </cell>
          <cell r="D3517">
            <v>3.8896034741999999</v>
          </cell>
        </row>
        <row r="3518">
          <cell r="A3518">
            <v>48551</v>
          </cell>
          <cell r="B3518">
            <v>3.8901490660000002</v>
          </cell>
          <cell r="C3518">
            <v>3.8891915373999999</v>
          </cell>
          <cell r="D3518">
            <v>3.8911068305000001</v>
          </cell>
        </row>
        <row r="3519">
          <cell r="A3519">
            <v>48554</v>
          </cell>
          <cell r="B3519">
            <v>3.8916526332000001</v>
          </cell>
          <cell r="C3519">
            <v>3.8906947344999998</v>
          </cell>
          <cell r="D3519">
            <v>3.8926107678999999</v>
          </cell>
        </row>
        <row r="3520">
          <cell r="A3520">
            <v>48555</v>
          </cell>
          <cell r="B3520">
            <v>3.8931567815000001</v>
          </cell>
          <cell r="C3520">
            <v>3.8921985125999998</v>
          </cell>
          <cell r="D3520">
            <v>3.8941152864999999</v>
          </cell>
        </row>
        <row r="3521">
          <cell r="A3521">
            <v>48556</v>
          </cell>
          <cell r="B3521">
            <v>3.8946615111999998</v>
          </cell>
          <cell r="C3521">
            <v>3.8937028719</v>
          </cell>
          <cell r="D3521">
            <v>3.8956203867000001</v>
          </cell>
        </row>
        <row r="3522">
          <cell r="A3522">
            <v>48557</v>
          </cell>
          <cell r="B3522">
            <v>3.8961668225000001</v>
          </cell>
          <cell r="C3522">
            <v>3.8952078126999998</v>
          </cell>
          <cell r="D3522">
            <v>3.8971260686</v>
          </cell>
        </row>
        <row r="3523">
          <cell r="A3523">
            <v>48558</v>
          </cell>
          <cell r="B3523">
            <v>3.8976727156000002</v>
          </cell>
          <cell r="C3523">
            <v>3.8967133350999998</v>
          </cell>
          <cell r="D3523">
            <v>3.8986323324000001</v>
          </cell>
        </row>
        <row r="3524">
          <cell r="A3524">
            <v>48561</v>
          </cell>
          <cell r="B3524">
            <v>3.8991791907</v>
          </cell>
          <cell r="C3524">
            <v>3.8982194394</v>
          </cell>
          <cell r="D3524">
            <v>3.9001391783999999</v>
          </cell>
        </row>
        <row r="3525">
          <cell r="A3525">
            <v>48562</v>
          </cell>
          <cell r="B3525">
            <v>3.900686248</v>
          </cell>
          <cell r="C3525">
            <v>3.8997261258</v>
          </cell>
          <cell r="D3525">
            <v>3.9016466068</v>
          </cell>
        </row>
        <row r="3526">
          <cell r="A3526">
            <v>48563</v>
          </cell>
          <cell r="B3526">
            <v>3.9021938880000002</v>
          </cell>
          <cell r="C3526">
            <v>3.9012333946000002</v>
          </cell>
          <cell r="D3526">
            <v>3.9031546178999998</v>
          </cell>
        </row>
        <row r="3527">
          <cell r="A3527">
            <v>48564</v>
          </cell>
          <cell r="B3527">
            <v>3.9037021104999998</v>
          </cell>
          <cell r="C3527">
            <v>3.9027412459000002</v>
          </cell>
          <cell r="D3527">
            <v>3.9046632118</v>
          </cell>
        </row>
        <row r="3528">
          <cell r="A3528">
            <v>48565</v>
          </cell>
          <cell r="B3528">
            <v>3.9052109161000002</v>
          </cell>
          <cell r="C3528">
            <v>3.9042496801</v>
          </cell>
          <cell r="D3528">
            <v>3.9061723888</v>
          </cell>
        </row>
        <row r="3529">
          <cell r="A3529">
            <v>48568</v>
          </cell>
          <cell r="B3529">
            <v>3.9067203046999999</v>
          </cell>
          <cell r="C3529">
            <v>3.9057586972</v>
          </cell>
          <cell r="D3529">
            <v>3.9076821490999998</v>
          </cell>
        </row>
        <row r="3530">
          <cell r="A3530">
            <v>48569</v>
          </cell>
          <cell r="B3530">
            <v>3.9082302767999999</v>
          </cell>
          <cell r="C3530">
            <v>3.9072682975999999</v>
          </cell>
          <cell r="D3530">
            <v>3.9091924928999999</v>
          </cell>
        </row>
        <row r="3531">
          <cell r="A3531">
            <v>48570</v>
          </cell>
          <cell r="B3531">
            <v>3.9097408324999998</v>
          </cell>
          <cell r="C3531">
            <v>3.9087784815000002</v>
          </cell>
          <cell r="D3531">
            <v>3.9107034205</v>
          </cell>
        </row>
        <row r="3532">
          <cell r="A3532">
            <v>48571</v>
          </cell>
          <cell r="B3532">
            <v>3.9112519720000001</v>
          </cell>
          <cell r="C3532">
            <v>3.9102892490999999</v>
          </cell>
          <cell r="D3532">
            <v>3.9122149320999999</v>
          </cell>
        </row>
        <row r="3533">
          <cell r="A3533">
            <v>48572</v>
          </cell>
          <cell r="B3533">
            <v>3.9127636954999998</v>
          </cell>
          <cell r="C3533">
            <v>3.9118006004999999</v>
          </cell>
          <cell r="D3533">
            <v>3.9137270277999998</v>
          </cell>
        </row>
        <row r="3534">
          <cell r="A3534">
            <v>48575</v>
          </cell>
          <cell r="B3534">
            <v>3.9142760034999999</v>
          </cell>
          <cell r="C3534">
            <v>3.9133125361999999</v>
          </cell>
          <cell r="D3534">
            <v>3.9152397081000001</v>
          </cell>
        </row>
        <row r="3535">
          <cell r="A3535">
            <v>48576</v>
          </cell>
          <cell r="B3535">
            <v>3.9157888958</v>
          </cell>
          <cell r="C3535">
            <v>3.9148250562000002</v>
          </cell>
          <cell r="D3535">
            <v>3.9167529728999999</v>
          </cell>
        </row>
        <row r="3536">
          <cell r="A3536">
            <v>48577</v>
          </cell>
          <cell r="B3536">
            <v>3.9173023730000001</v>
          </cell>
          <cell r="C3536">
            <v>3.9163381608000001</v>
          </cell>
          <cell r="D3536">
            <v>3.9182668227000002</v>
          </cell>
        </row>
        <row r="3537">
          <cell r="A3537">
            <v>48578</v>
          </cell>
          <cell r="B3537">
            <v>3.9188164351000001</v>
          </cell>
          <cell r="C3537">
            <v>3.9178518502999999</v>
          </cell>
          <cell r="D3537">
            <v>3.9197812576</v>
          </cell>
        </row>
        <row r="3538">
          <cell r="A3538">
            <v>48579</v>
          </cell>
          <cell r="B3538">
            <v>3.9203310824000002</v>
          </cell>
          <cell r="C3538">
            <v>3.9193661247999998</v>
          </cell>
          <cell r="D3538">
            <v>3.9212962777999998</v>
          </cell>
        </row>
        <row r="3539">
          <cell r="A3539">
            <v>48582</v>
          </cell>
          <cell r="B3539">
            <v>3.9218463150999998</v>
          </cell>
          <cell r="C3539">
            <v>3.9208809844000001</v>
          </cell>
          <cell r="D3539">
            <v>3.9228118835000001</v>
          </cell>
        </row>
        <row r="3540">
          <cell r="A3540">
            <v>48583</v>
          </cell>
          <cell r="B3540">
            <v>3.9233621335</v>
          </cell>
          <cell r="C3540">
            <v>3.9223964297</v>
          </cell>
          <cell r="D3540">
            <v>3.9243280751</v>
          </cell>
        </row>
        <row r="3541">
          <cell r="A3541">
            <v>48584</v>
          </cell>
          <cell r="B3541">
            <v>3.9248785377000002</v>
          </cell>
          <cell r="C3541">
            <v>3.9239124607</v>
          </cell>
          <cell r="D3541">
            <v>3.9258448527000001</v>
          </cell>
        </row>
        <row r="3542">
          <cell r="A3542">
            <v>48585</v>
          </cell>
          <cell r="B3542">
            <v>3.9263955281</v>
          </cell>
          <cell r="C3542">
            <v>3.9254290777</v>
          </cell>
          <cell r="D3542">
            <v>3.9273622165000002</v>
          </cell>
        </row>
        <row r="3543">
          <cell r="A3543">
            <v>48586</v>
          </cell>
          <cell r="B3543">
            <v>3.9279131047</v>
          </cell>
          <cell r="C3543">
            <v>3.9269462808000002</v>
          </cell>
          <cell r="D3543">
            <v>3.9288801668</v>
          </cell>
        </row>
        <row r="3544">
          <cell r="A3544">
            <v>48589</v>
          </cell>
          <cell r="B3544">
            <v>3.9294312679000001</v>
          </cell>
          <cell r="C3544">
            <v>3.9284640703</v>
          </cell>
          <cell r="D3544">
            <v>3.9303987037999999</v>
          </cell>
        </row>
        <row r="3545">
          <cell r="A3545">
            <v>48590</v>
          </cell>
          <cell r="B3545">
            <v>3.9309500178999999</v>
          </cell>
          <cell r="C3545">
            <v>3.9299824464999999</v>
          </cell>
          <cell r="D3545">
            <v>3.9319178277</v>
          </cell>
        </row>
        <row r="3546">
          <cell r="A3546">
            <v>48591</v>
          </cell>
          <cell r="B3546">
            <v>3.9324693549999998</v>
          </cell>
          <cell r="C3546">
            <v>3.9315014095</v>
          </cell>
          <cell r="D3546">
            <v>3.9334375387999998</v>
          </cell>
        </row>
        <row r="3547">
          <cell r="A3547">
            <v>48592</v>
          </cell>
          <cell r="B3547">
            <v>3.9339892793</v>
          </cell>
          <cell r="C3547">
            <v>3.9330209596999999</v>
          </cell>
          <cell r="D3547">
            <v>3.9349578372999998</v>
          </cell>
        </row>
        <row r="3548">
          <cell r="A3548">
            <v>48593</v>
          </cell>
          <cell r="B3548">
            <v>3.9355097908999999</v>
          </cell>
          <cell r="C3548">
            <v>3.9345410970999999</v>
          </cell>
          <cell r="D3548">
            <v>3.9364787233</v>
          </cell>
        </row>
        <row r="3549">
          <cell r="A3549">
            <v>48596</v>
          </cell>
          <cell r="B3549">
            <v>3.9370308903</v>
          </cell>
          <cell r="C3549">
            <v>3.9360618221000001</v>
          </cell>
          <cell r="D3549">
            <v>3.9380001972000001</v>
          </cell>
        </row>
        <row r="3550">
          <cell r="A3550">
            <v>48597</v>
          </cell>
          <cell r="B3550">
            <v>3.9385525775999999</v>
          </cell>
          <cell r="C3550">
            <v>3.9375831348000001</v>
          </cell>
          <cell r="D3550">
            <v>3.9395222590999999</v>
          </cell>
        </row>
        <row r="3551">
          <cell r="A3551">
            <v>48598</v>
          </cell>
          <cell r="B3551">
            <v>3.9400748531000001</v>
          </cell>
          <cell r="C3551">
            <v>3.9391050355999999</v>
          </cell>
          <cell r="D3551">
            <v>3.9410449094</v>
          </cell>
        </row>
        <row r="3552">
          <cell r="A3552">
            <v>48599</v>
          </cell>
          <cell r="B3552">
            <v>3.9415977168</v>
          </cell>
          <cell r="C3552">
            <v>3.9406275246</v>
          </cell>
          <cell r="D3552">
            <v>3.9425681480999999</v>
          </cell>
        </row>
        <row r="3553">
          <cell r="A3553">
            <v>48600</v>
          </cell>
          <cell r="B3553">
            <v>3.9431211692999999</v>
          </cell>
          <cell r="C3553">
            <v>3.9421506019999999</v>
          </cell>
          <cell r="D3553">
            <v>3.9440919756000001</v>
          </cell>
        </row>
        <row r="3554">
          <cell r="A3554">
            <v>48603</v>
          </cell>
          <cell r="B3554">
            <v>3.9446452105000001</v>
          </cell>
          <cell r="C3554">
            <v>3.9436742681000001</v>
          </cell>
          <cell r="D3554">
            <v>3.9456163920999998</v>
          </cell>
        </row>
        <row r="3555">
          <cell r="A3555">
            <v>48604</v>
          </cell>
          <cell r="B3555">
            <v>3.9461698408000001</v>
          </cell>
          <cell r="C3555">
            <v>3.9451985231000002</v>
          </cell>
          <cell r="D3555">
            <v>3.9471413976999998</v>
          </cell>
        </row>
        <row r="3556">
          <cell r="A3556">
            <v>48605</v>
          </cell>
          <cell r="B3556">
            <v>3.9476950604000001</v>
          </cell>
          <cell r="C3556">
            <v>3.9467233673000002</v>
          </cell>
          <cell r="D3556">
            <v>3.9486669928000002</v>
          </cell>
        </row>
        <row r="3557">
          <cell r="A3557">
            <v>48606</v>
          </cell>
          <cell r="B3557">
            <v>3.9492208693999999</v>
          </cell>
          <cell r="C3557">
            <v>3.9482488007000001</v>
          </cell>
          <cell r="D3557">
            <v>3.9501931775000001</v>
          </cell>
        </row>
        <row r="3558">
          <cell r="A3558">
            <v>48607</v>
          </cell>
          <cell r="B3558">
            <v>3.9507472682000002</v>
          </cell>
          <cell r="C3558">
            <v>3.9497748237999999</v>
          </cell>
          <cell r="D3558">
            <v>3.9517199520999999</v>
          </cell>
        </row>
        <row r="3559">
          <cell r="A3559">
            <v>48610</v>
          </cell>
          <cell r="B3559">
            <v>3.952274257</v>
          </cell>
          <cell r="C3559">
            <v>3.9513014368000001</v>
          </cell>
          <cell r="D3559">
            <v>3.9532473169000002</v>
          </cell>
        </row>
        <row r="3560">
          <cell r="A3560">
            <v>48611</v>
          </cell>
          <cell r="B3560">
            <v>3.9538018359999998</v>
          </cell>
          <cell r="C3560">
            <v>3.9528286396999999</v>
          </cell>
          <cell r="D3560">
            <v>3.9547752719</v>
          </cell>
        </row>
        <row r="3561">
          <cell r="A3561">
            <v>48612</v>
          </cell>
          <cell r="B3561">
            <v>3.9553300053</v>
          </cell>
          <cell r="C3561">
            <v>3.9543564329000001</v>
          </cell>
          <cell r="D3561">
            <v>3.9563038174999998</v>
          </cell>
        </row>
        <row r="3562">
          <cell r="A3562">
            <v>48613</v>
          </cell>
          <cell r="B3562">
            <v>3.9568587652999998</v>
          </cell>
          <cell r="C3562">
            <v>3.9558848166999998</v>
          </cell>
          <cell r="D3562">
            <v>3.9578329539000001</v>
          </cell>
        </row>
        <row r="3563">
          <cell r="A3563">
            <v>48614</v>
          </cell>
          <cell r="B3563">
            <v>3.9583881163000001</v>
          </cell>
          <cell r="C3563">
            <v>3.9574137912</v>
          </cell>
          <cell r="D3563">
            <v>3.9593626814</v>
          </cell>
        </row>
        <row r="3564">
          <cell r="A3564">
            <v>48617</v>
          </cell>
          <cell r="B3564">
            <v>3.9599180583</v>
          </cell>
          <cell r="C3564">
            <v>3.9589433565999999</v>
          </cell>
          <cell r="D3564">
            <v>3.9608930001</v>
          </cell>
        </row>
        <row r="3565">
          <cell r="A3565">
            <v>48618</v>
          </cell>
          <cell r="B3565">
            <v>3.9614485916</v>
          </cell>
          <cell r="C3565">
            <v>3.9604735132000002</v>
          </cell>
          <cell r="D3565">
            <v>3.9624239102000001</v>
          </cell>
        </row>
        <row r="3566">
          <cell r="A3566">
            <v>48619</v>
          </cell>
          <cell r="B3566">
            <v>3.9629797165</v>
          </cell>
          <cell r="C3566">
            <v>3.9620042612000002</v>
          </cell>
          <cell r="D3566">
            <v>3.9639554120999998</v>
          </cell>
        </row>
        <row r="3567">
          <cell r="A3567">
            <v>48620</v>
          </cell>
          <cell r="B3567">
            <v>3.9645114332000002</v>
          </cell>
          <cell r="C3567">
            <v>3.9635356008999998</v>
          </cell>
          <cell r="D3567">
            <v>3.9654875059000001</v>
          </cell>
        </row>
        <row r="3568">
          <cell r="A3568">
            <v>48621</v>
          </cell>
          <cell r="B3568">
            <v>3.9660437419000001</v>
          </cell>
          <cell r="C3568">
            <v>3.9650675324</v>
          </cell>
          <cell r="D3568">
            <v>3.9670201918000001</v>
          </cell>
        </row>
        <row r="3569">
          <cell r="A3569">
            <v>48624</v>
          </cell>
          <cell r="B3569">
            <v>3.9675766429000001</v>
          </cell>
          <cell r="C3569">
            <v>3.9666000560999999</v>
          </cell>
          <cell r="D3569">
            <v>3.9685534701999998</v>
          </cell>
        </row>
        <row r="3570">
          <cell r="A3570">
            <v>48625</v>
          </cell>
          <cell r="B3570">
            <v>3.9691101362999999</v>
          </cell>
          <cell r="C3570">
            <v>3.9681331720999999</v>
          </cell>
          <cell r="D3570">
            <v>3.9700873412000002</v>
          </cell>
        </row>
        <row r="3571">
          <cell r="A3571">
            <v>48626</v>
          </cell>
          <cell r="B3571">
            <v>3.9706442223999998</v>
          </cell>
          <cell r="C3571">
            <v>3.9696668806000002</v>
          </cell>
          <cell r="D3571">
            <v>3.9716218049999998</v>
          </cell>
        </row>
        <row r="3572">
          <cell r="A3572">
            <v>48627</v>
          </cell>
          <cell r="B3572">
            <v>3.9721789015</v>
          </cell>
          <cell r="C3572">
            <v>3.9712011819000002</v>
          </cell>
          <cell r="D3572">
            <v>3.9731568619000002</v>
          </cell>
        </row>
        <row r="3573">
          <cell r="A3573">
            <v>48628</v>
          </cell>
          <cell r="B3573">
            <v>3.9737141736999999</v>
          </cell>
          <cell r="C3573">
            <v>3.9727360761999999</v>
          </cell>
          <cell r="D3573">
            <v>3.9746925120999999</v>
          </cell>
        </row>
        <row r="3574">
          <cell r="A3574">
            <v>48631</v>
          </cell>
          <cell r="B3574">
            <v>3.9752500394000001</v>
          </cell>
          <cell r="C3574">
            <v>3.9742715637999999</v>
          </cell>
          <cell r="D3574">
            <v>3.9762287558999998</v>
          </cell>
        </row>
        <row r="3575">
          <cell r="A3575">
            <v>48632</v>
          </cell>
          <cell r="B3575">
            <v>3.9767864986000001</v>
          </cell>
          <cell r="C3575">
            <v>3.9758076449000002</v>
          </cell>
          <cell r="D3575">
            <v>3.9777655934</v>
          </cell>
        </row>
        <row r="3576">
          <cell r="A3576">
            <v>48633</v>
          </cell>
          <cell r="B3576">
            <v>3.9783235516</v>
          </cell>
          <cell r="C3576">
            <v>3.9773443195999998</v>
          </cell>
          <cell r="D3576">
            <v>3.9793030249000001</v>
          </cell>
        </row>
        <row r="3577">
          <cell r="A3577">
            <v>48634</v>
          </cell>
          <cell r="B3577">
            <v>3.9798611989000001</v>
          </cell>
          <cell r="C3577">
            <v>3.9788815883000002</v>
          </cell>
          <cell r="D3577">
            <v>3.9808410507</v>
          </cell>
        </row>
        <row r="3578">
          <cell r="A3578">
            <v>48635</v>
          </cell>
          <cell r="B3578">
            <v>3.9813994404000002</v>
          </cell>
          <cell r="C3578">
            <v>3.9804194512</v>
          </cell>
          <cell r="D3578">
            <v>3.9823796708999999</v>
          </cell>
        </row>
        <row r="3579">
          <cell r="A3579">
            <v>48640</v>
          </cell>
          <cell r="B3579">
            <v>3.9829382764000001</v>
          </cell>
          <cell r="C3579">
            <v>3.9819579085000001</v>
          </cell>
          <cell r="D3579">
            <v>3.9839188858000001</v>
          </cell>
        </row>
        <row r="3580">
          <cell r="A3580">
            <v>48641</v>
          </cell>
          <cell r="B3580">
            <v>3.9844777071999999</v>
          </cell>
          <cell r="C3580">
            <v>3.9834969603000001</v>
          </cell>
          <cell r="D3580">
            <v>3.9854586956000002</v>
          </cell>
        </row>
        <row r="3581">
          <cell r="A3581">
            <v>48642</v>
          </cell>
          <cell r="B3581">
            <v>3.9860177329000002</v>
          </cell>
          <cell r="C3581">
            <v>3.9850366070000001</v>
          </cell>
          <cell r="D3581">
            <v>3.9869991004999998</v>
          </cell>
        </row>
        <row r="3582">
          <cell r="A3582">
            <v>48645</v>
          </cell>
          <cell r="B3582">
            <v>3.9875583539999999</v>
          </cell>
          <cell r="C3582">
            <v>3.9865768489</v>
          </cell>
          <cell r="D3582">
            <v>3.9885401008999999</v>
          </cell>
        </row>
        <row r="3583">
          <cell r="A3583">
            <v>48646</v>
          </cell>
          <cell r="B3583">
            <v>3.9890995705000001</v>
          </cell>
          <cell r="C3583">
            <v>3.9881176859999998</v>
          </cell>
          <cell r="D3583">
            <v>3.9900816967999999</v>
          </cell>
        </row>
        <row r="3584">
          <cell r="A3584">
            <v>48647</v>
          </cell>
          <cell r="B3584">
            <v>3.9906413826999998</v>
          </cell>
          <cell r="C3584">
            <v>3.9896591187000001</v>
          </cell>
          <cell r="D3584">
            <v>3.9916238885999999</v>
          </cell>
        </row>
        <row r="3585">
          <cell r="A3585">
            <v>48648</v>
          </cell>
          <cell r="B3585">
            <v>3.9921837907</v>
          </cell>
          <cell r="C3585">
            <v>3.9912011471</v>
          </cell>
          <cell r="D3585">
            <v>3.9931666764</v>
          </cell>
        </row>
        <row r="3586">
          <cell r="A3586">
            <v>48649</v>
          </cell>
          <cell r="B3586">
            <v>3.9937267950000002</v>
          </cell>
          <cell r="C3586">
            <v>3.9927437715999998</v>
          </cell>
          <cell r="D3586">
            <v>3.9947100606000001</v>
          </cell>
        </row>
        <row r="3587">
          <cell r="A3587">
            <v>48652</v>
          </cell>
          <cell r="B3587">
            <v>3.9952703956</v>
          </cell>
          <cell r="C3587">
            <v>3.9942869922000002</v>
          </cell>
          <cell r="D3587">
            <v>3.9962540411999998</v>
          </cell>
        </row>
        <row r="3588">
          <cell r="A3588">
            <v>48653</v>
          </cell>
          <cell r="B3588">
            <v>3.9968145928999999</v>
          </cell>
          <cell r="C3588">
            <v>3.9958308094000001</v>
          </cell>
          <cell r="D3588">
            <v>3.9977986187000001</v>
          </cell>
        </row>
        <row r="3589">
          <cell r="A3589">
            <v>48654</v>
          </cell>
          <cell r="B3589">
            <v>3.9983593869999998</v>
          </cell>
          <cell r="C3589">
            <v>3.9973752233000002</v>
          </cell>
          <cell r="D3589">
            <v>3.9993437931</v>
          </cell>
        </row>
        <row r="3590">
          <cell r="A3590">
            <v>48655</v>
          </cell>
          <cell r="B3590">
            <v>3.9999047780999999</v>
          </cell>
          <cell r="C3590">
            <v>3.9989202339999999</v>
          </cell>
          <cell r="D3590">
            <v>4.0008895646999996</v>
          </cell>
        </row>
        <row r="3591">
          <cell r="A3591">
            <v>48656</v>
          </cell>
          <cell r="B3591">
            <v>4.0014507665999997</v>
          </cell>
          <cell r="C3591">
            <v>4.0004658418999997</v>
          </cell>
          <cell r="D3591">
            <v>4.0024359338000002</v>
          </cell>
        </row>
        <row r="3592">
          <cell r="A3592">
            <v>48659</v>
          </cell>
          <cell r="B3592">
            <v>4.0029973525999996</v>
          </cell>
          <cell r="C3592">
            <v>4.0020120473</v>
          </cell>
          <cell r="D3592">
            <v>4.0039829005999996</v>
          </cell>
        </row>
        <row r="3593">
          <cell r="A3593">
            <v>48660</v>
          </cell>
          <cell r="B3593">
            <v>4.0045445363000001</v>
          </cell>
          <cell r="C3593">
            <v>4.0035588501000001</v>
          </cell>
          <cell r="D3593">
            <v>4.0055304651999997</v>
          </cell>
        </row>
        <row r="3594">
          <cell r="A3594">
            <v>48661</v>
          </cell>
          <cell r="B3594">
            <v>4.0060923181000003</v>
          </cell>
          <cell r="C3594">
            <v>4.005106251</v>
          </cell>
          <cell r="D3594">
            <v>4.0070786281000004</v>
          </cell>
        </row>
        <row r="3595">
          <cell r="A3595">
            <v>48662</v>
          </cell>
          <cell r="B3595">
            <v>4.0076406980000003</v>
          </cell>
          <cell r="C3595">
            <v>4.0066542498000004</v>
          </cell>
          <cell r="D3595">
            <v>4.0086273891999999</v>
          </cell>
        </row>
        <row r="3596">
          <cell r="A3596">
            <v>48663</v>
          </cell>
          <cell r="B3596">
            <v>4.0091896764000001</v>
          </cell>
          <cell r="C3596">
            <v>4.0082028468999997</v>
          </cell>
          <cell r="D3596">
            <v>4.0101767490000002</v>
          </cell>
        </row>
        <row r="3597">
          <cell r="A3597">
            <v>48666</v>
          </cell>
          <cell r="B3597">
            <v>4.0107392535999997</v>
          </cell>
          <cell r="C3597">
            <v>4.0097520426999997</v>
          </cell>
          <cell r="D3597">
            <v>4.0117267077000003</v>
          </cell>
        </row>
        <row r="3598">
          <cell r="A3598">
            <v>48667</v>
          </cell>
          <cell r="B3598">
            <v>4.0122894297</v>
          </cell>
          <cell r="C3598">
            <v>4.0113018372000004</v>
          </cell>
          <cell r="D3598">
            <v>4.0132772654000002</v>
          </cell>
        </row>
        <row r="3599">
          <cell r="A3599">
            <v>48668</v>
          </cell>
          <cell r="B3599">
            <v>4.0138402049000002</v>
          </cell>
          <cell r="C3599">
            <v>4.0128522307000001</v>
          </cell>
          <cell r="D3599">
            <v>4.0148284223999999</v>
          </cell>
        </row>
        <row r="3600">
          <cell r="A3600">
            <v>48669</v>
          </cell>
          <cell r="B3600">
            <v>4.0153915794000001</v>
          </cell>
          <cell r="C3600">
            <v>4.0144032234000004</v>
          </cell>
          <cell r="D3600">
            <v>4.0163801789000004</v>
          </cell>
        </row>
        <row r="3601">
          <cell r="A3601">
            <v>48670</v>
          </cell>
          <cell r="B3601">
            <v>4.0169435536</v>
          </cell>
          <cell r="C3601">
            <v>4.0159548155999998</v>
          </cell>
          <cell r="D3601">
            <v>4.0179325351999999</v>
          </cell>
        </row>
        <row r="3602">
          <cell r="A3602">
            <v>48673</v>
          </cell>
          <cell r="B3602">
            <v>4.0184961276999998</v>
          </cell>
          <cell r="C3602">
            <v>4.0175070074999999</v>
          </cell>
          <cell r="D3602">
            <v>4.0194854915000002</v>
          </cell>
        </row>
        <row r="3603">
          <cell r="A3603">
            <v>48674</v>
          </cell>
          <cell r="B3603">
            <v>4.0200493019000003</v>
          </cell>
          <cell r="C3603">
            <v>4.0190597993999999</v>
          </cell>
          <cell r="D3603">
            <v>4.0210390480999996</v>
          </cell>
        </row>
        <row r="3604">
          <cell r="A3604">
            <v>48675</v>
          </cell>
          <cell r="B3604">
            <v>4.0216030762999999</v>
          </cell>
          <cell r="C3604">
            <v>4.0206131913999998</v>
          </cell>
          <cell r="D3604">
            <v>4.0225932050999997</v>
          </cell>
        </row>
        <row r="3605">
          <cell r="A3605">
            <v>48676</v>
          </cell>
          <cell r="B3605">
            <v>4.0231574512000003</v>
          </cell>
          <cell r="C3605">
            <v>4.0221671836999997</v>
          </cell>
          <cell r="D3605">
            <v>4.0241479626999999</v>
          </cell>
        </row>
        <row r="3606">
          <cell r="A3606">
            <v>48677</v>
          </cell>
          <cell r="B3606">
            <v>4.0247124269999999</v>
          </cell>
          <cell r="C3606">
            <v>4.0237217767000004</v>
          </cell>
          <cell r="D3606">
            <v>4.0257033213</v>
          </cell>
        </row>
        <row r="3607">
          <cell r="A3607">
            <v>48680</v>
          </cell>
          <cell r="B3607">
            <v>4.0262680038000003</v>
          </cell>
          <cell r="C3607">
            <v>4.0252769706000002</v>
          </cell>
          <cell r="D3607">
            <v>4.0272592811000001</v>
          </cell>
        </row>
        <row r="3608">
          <cell r="A3608">
            <v>48681</v>
          </cell>
          <cell r="B3608">
            <v>4.0278241817999998</v>
          </cell>
          <cell r="C3608">
            <v>4.0268327655</v>
          </cell>
          <cell r="D3608">
            <v>4.0288158422000002</v>
          </cell>
        </row>
        <row r="3609">
          <cell r="A3609">
            <v>48682</v>
          </cell>
          <cell r="B3609">
            <v>4.0293809613000002</v>
          </cell>
          <cell r="C3609">
            <v>4.0283891618999998</v>
          </cell>
          <cell r="D3609">
            <v>4.0303730050000004</v>
          </cell>
        </row>
        <row r="3610">
          <cell r="A3610">
            <v>48683</v>
          </cell>
          <cell r="B3610">
            <v>4.0309383424999998</v>
          </cell>
          <cell r="C3610">
            <v>4.0299461596999997</v>
          </cell>
          <cell r="D3610">
            <v>4.0319307695999997</v>
          </cell>
        </row>
        <row r="3611">
          <cell r="A3611">
            <v>48687</v>
          </cell>
          <cell r="B3611">
            <v>4.0324963256000004</v>
          </cell>
          <cell r="C3611">
            <v>4.0315037592999996</v>
          </cell>
          <cell r="D3611">
            <v>4.0334891363000001</v>
          </cell>
        </row>
        <row r="3612">
          <cell r="A3612">
            <v>48688</v>
          </cell>
          <cell r="B3612">
            <v>4.0340549109000001</v>
          </cell>
          <cell r="C3612">
            <v>4.0330619610999996</v>
          </cell>
          <cell r="D3612">
            <v>4.0350481053999996</v>
          </cell>
        </row>
        <row r="3613">
          <cell r="A3613">
            <v>48689</v>
          </cell>
          <cell r="B3613">
            <v>4.0356140986</v>
          </cell>
          <cell r="C3613">
            <v>4.0346207648999997</v>
          </cell>
          <cell r="D3613">
            <v>4.0366076769000001</v>
          </cell>
        </row>
        <row r="3614">
          <cell r="A3614">
            <v>48691</v>
          </cell>
          <cell r="B3614">
            <v>4.0371738889</v>
          </cell>
          <cell r="C3614">
            <v>4.0361801713999998</v>
          </cell>
          <cell r="D3614">
            <v>4.0381678512999999</v>
          </cell>
        </row>
        <row r="3615">
          <cell r="A3615">
            <v>48694</v>
          </cell>
          <cell r="B3615">
            <v>4.0387342822000001</v>
          </cell>
          <cell r="C3615">
            <v>4.0377401805000002</v>
          </cell>
          <cell r="D3615">
            <v>4.0397286286999998</v>
          </cell>
        </row>
        <row r="3616">
          <cell r="A3616">
            <v>48695</v>
          </cell>
          <cell r="B3616">
            <v>4.0402952785000004</v>
          </cell>
          <cell r="C3616">
            <v>4.0393007925999997</v>
          </cell>
          <cell r="D3616">
            <v>4.0412900092999999</v>
          </cell>
        </row>
        <row r="3617">
          <cell r="A3617">
            <v>48696</v>
          </cell>
          <cell r="B3617">
            <v>4.0418568780999999</v>
          </cell>
          <cell r="C3617">
            <v>4.0408620078000004</v>
          </cell>
          <cell r="D3617">
            <v>4.0428519934000002</v>
          </cell>
        </row>
        <row r="3618">
          <cell r="A3618">
            <v>48697</v>
          </cell>
          <cell r="B3618">
            <v>4.0434190812999997</v>
          </cell>
          <cell r="C3618">
            <v>4.0424238265000003</v>
          </cell>
          <cell r="D3618">
            <v>4.0444145811999999</v>
          </cell>
        </row>
        <row r="3619">
          <cell r="A3619">
            <v>48698</v>
          </cell>
          <cell r="B3619">
            <v>4.0449818882999997</v>
          </cell>
          <cell r="C3619">
            <v>4.0439862487999996</v>
          </cell>
          <cell r="D3619">
            <v>4.0459777729999997</v>
          </cell>
        </row>
        <row r="3620">
          <cell r="A3620">
            <v>48701</v>
          </cell>
          <cell r="B3620">
            <v>4.0465452994</v>
          </cell>
          <cell r="C3620">
            <v>4.0455492751</v>
          </cell>
          <cell r="D3620">
            <v>4.0475415689999998</v>
          </cell>
        </row>
        <row r="3621">
          <cell r="A3621">
            <v>48702</v>
          </cell>
          <cell r="B3621">
            <v>4.0481093145999996</v>
          </cell>
          <cell r="C3621">
            <v>4.0471129053999997</v>
          </cell>
          <cell r="D3621">
            <v>4.0491059693000002</v>
          </cell>
        </row>
        <row r="3622">
          <cell r="A3622">
            <v>48703</v>
          </cell>
          <cell r="B3622">
            <v>4.0496739345000003</v>
          </cell>
          <cell r="C3622">
            <v>4.0486771400999997</v>
          </cell>
          <cell r="D3622">
            <v>4.0506709744</v>
          </cell>
        </row>
        <row r="3623">
          <cell r="A3623">
            <v>48704</v>
          </cell>
          <cell r="B3623">
            <v>4.0512391589999996</v>
          </cell>
          <cell r="C3623">
            <v>4.0502419794</v>
          </cell>
          <cell r="D3623">
            <v>4.0522365843000001</v>
          </cell>
        </row>
        <row r="3624">
          <cell r="A3624">
            <v>48705</v>
          </cell>
          <cell r="B3624">
            <v>4.0528049885000001</v>
          </cell>
          <cell r="C3624">
            <v>4.0518074234999997</v>
          </cell>
          <cell r="D3624">
            <v>4.0538027992999996</v>
          </cell>
        </row>
        <row r="3625">
          <cell r="A3625">
            <v>48708</v>
          </cell>
          <cell r="B3625">
            <v>4.0543714233000001</v>
          </cell>
          <cell r="C3625">
            <v>4.0533734726999997</v>
          </cell>
          <cell r="D3625">
            <v>4.0553696197000004</v>
          </cell>
        </row>
        <row r="3626">
          <cell r="A3626">
            <v>48709</v>
          </cell>
          <cell r="B3626">
            <v>4.0559384635000004</v>
          </cell>
          <cell r="C3626">
            <v>4.0549401271000001</v>
          </cell>
          <cell r="D3626">
            <v>4.0569370456999998</v>
          </cell>
        </row>
        <row r="3627">
          <cell r="A3627">
            <v>48710</v>
          </cell>
          <cell r="B3627">
            <v>4.0575061093000002</v>
          </cell>
          <cell r="C3627">
            <v>4.0565073870999999</v>
          </cell>
          <cell r="D3627">
            <v>4.0585050774999996</v>
          </cell>
        </row>
        <row r="3628">
          <cell r="A3628">
            <v>48711</v>
          </cell>
          <cell r="B3628">
            <v>4.0590743610000004</v>
          </cell>
          <cell r="C3628">
            <v>4.0580752528000001</v>
          </cell>
          <cell r="D3628">
            <v>4.0600737152999997</v>
          </cell>
        </row>
        <row r="3629">
          <cell r="A3629">
            <v>48712</v>
          </cell>
          <cell r="B3629">
            <v>4.0606432188000001</v>
          </cell>
          <cell r="C3629">
            <v>4.0596437244999999</v>
          </cell>
          <cell r="D3629">
            <v>4.0616429594000003</v>
          </cell>
        </row>
        <row r="3630">
          <cell r="A3630">
            <v>48715</v>
          </cell>
          <cell r="B3630">
            <v>4.0622126831000003</v>
          </cell>
          <cell r="C3630">
            <v>4.0612128025000001</v>
          </cell>
          <cell r="D3630">
            <v>4.0632128100999996</v>
          </cell>
        </row>
        <row r="3631">
          <cell r="A3631">
            <v>48716</v>
          </cell>
          <cell r="B3631">
            <v>4.063782754</v>
          </cell>
          <cell r="C3631">
            <v>4.0627824867999998</v>
          </cell>
          <cell r="D3631">
            <v>4.0647832675000002</v>
          </cell>
        </row>
        <row r="3632">
          <cell r="A3632">
            <v>48717</v>
          </cell>
          <cell r="B3632">
            <v>4.0653534317000002</v>
          </cell>
          <cell r="C3632">
            <v>4.0643527778999999</v>
          </cell>
          <cell r="D3632">
            <v>4.0663543319000004</v>
          </cell>
        </row>
        <row r="3633">
          <cell r="A3633">
            <v>48718</v>
          </cell>
          <cell r="B3633">
            <v>4.0669247164</v>
          </cell>
          <cell r="C3633">
            <v>4.0659236758999997</v>
          </cell>
          <cell r="D3633">
            <v>4.0679260035000002</v>
          </cell>
        </row>
        <row r="3634">
          <cell r="A3634">
            <v>48719</v>
          </cell>
          <cell r="B3634">
            <v>4.0684966085000003</v>
          </cell>
          <cell r="C3634">
            <v>4.0674951811</v>
          </cell>
          <cell r="D3634">
            <v>4.0694982825999997</v>
          </cell>
        </row>
        <row r="3635">
          <cell r="A3635">
            <v>48722</v>
          </cell>
          <cell r="B3635">
            <v>4.0700691082000002</v>
          </cell>
          <cell r="C3635">
            <v>4.0690672936999999</v>
          </cell>
          <cell r="D3635">
            <v>4.0710711693999997</v>
          </cell>
        </row>
        <row r="3636">
          <cell r="A3636">
            <v>48723</v>
          </cell>
          <cell r="B3636">
            <v>4.0716422155999998</v>
          </cell>
          <cell r="C3636">
            <v>4.0706400139000003</v>
          </cell>
          <cell r="D3636">
            <v>4.0726446641000003</v>
          </cell>
        </row>
        <row r="3637">
          <cell r="A3637">
            <v>48724</v>
          </cell>
          <cell r="B3637">
            <v>4.073215931</v>
          </cell>
          <cell r="C3637">
            <v>4.0722133420000004</v>
          </cell>
          <cell r="D3637">
            <v>4.0742187669999996</v>
          </cell>
        </row>
        <row r="3638">
          <cell r="A3638">
            <v>48725</v>
          </cell>
          <cell r="B3638">
            <v>4.0747902546999999</v>
          </cell>
          <cell r="C3638">
            <v>4.0737872782000002</v>
          </cell>
          <cell r="D3638">
            <v>4.0757934782999996</v>
          </cell>
        </row>
        <row r="3639">
          <cell r="A3639">
            <v>48726</v>
          </cell>
          <cell r="B3639">
            <v>4.0763651869000004</v>
          </cell>
          <cell r="C3639">
            <v>4.0753618225999997</v>
          </cell>
          <cell r="D3639">
            <v>4.0773687982000002</v>
          </cell>
        </row>
        <row r="3640">
          <cell r="A3640">
            <v>48729</v>
          </cell>
          <cell r="B3640">
            <v>4.0779407276999997</v>
          </cell>
          <cell r="C3640">
            <v>4.0769369756999998</v>
          </cell>
          <cell r="D3640">
            <v>4.0789447269999997</v>
          </cell>
        </row>
        <row r="3641">
          <cell r="A3641">
            <v>48730</v>
          </cell>
          <cell r="B3641">
            <v>4.0795168775999997</v>
          </cell>
          <cell r="C3641">
            <v>4.0785127375999997</v>
          </cell>
          <cell r="D3641">
            <v>4.0805212648999998</v>
          </cell>
        </row>
        <row r="3642">
          <cell r="A3642">
            <v>48731</v>
          </cell>
          <cell r="B3642">
            <v>4.0810936366000004</v>
          </cell>
          <cell r="C3642">
            <v>4.0800891085000002</v>
          </cell>
          <cell r="D3642">
            <v>4.0820984120999997</v>
          </cell>
        </row>
        <row r="3643">
          <cell r="A3643">
            <v>48732</v>
          </cell>
          <cell r="B3643">
            <v>4.0826710049999999</v>
          </cell>
          <cell r="C3643">
            <v>4.0816660886999996</v>
          </cell>
          <cell r="D3643">
            <v>4.0836761689000003</v>
          </cell>
        </row>
        <row r="3644">
          <cell r="A3644">
            <v>48733</v>
          </cell>
          <cell r="B3644">
            <v>4.0842489832000002</v>
          </cell>
          <cell r="C3644">
            <v>4.0832436784999997</v>
          </cell>
          <cell r="D3644">
            <v>4.0852545355999998</v>
          </cell>
        </row>
        <row r="3645">
          <cell r="A3645">
            <v>48736</v>
          </cell>
          <cell r="B3645">
            <v>4.0858275712000003</v>
          </cell>
          <cell r="C3645">
            <v>4.0848218778999996</v>
          </cell>
          <cell r="D3645">
            <v>4.0868335122000001</v>
          </cell>
        </row>
        <row r="3646">
          <cell r="A3646">
            <v>48737</v>
          </cell>
          <cell r="B3646">
            <v>4.0874067694000003</v>
          </cell>
          <cell r="C3646">
            <v>4.0864006874000003</v>
          </cell>
          <cell r="D3646">
            <v>4.0884130992000003</v>
          </cell>
        </row>
        <row r="3647">
          <cell r="A3647">
            <v>48738</v>
          </cell>
          <cell r="B3647">
            <v>4.0889865779000001</v>
          </cell>
          <cell r="C3647">
            <v>4.0879801070999999</v>
          </cell>
          <cell r="D3647">
            <v>4.0899932967000003</v>
          </cell>
        </row>
        <row r="3648">
          <cell r="A3648">
            <v>48739</v>
          </cell>
          <cell r="B3648">
            <v>4.0905669969999998</v>
          </cell>
          <cell r="C3648">
            <v>4.0895601372000003</v>
          </cell>
          <cell r="D3648">
            <v>4.0915741049000003</v>
          </cell>
        </row>
        <row r="3649">
          <cell r="A3649">
            <v>48740</v>
          </cell>
          <cell r="B3649">
            <v>4.0921480271000004</v>
          </cell>
          <cell r="C3649">
            <v>4.0911407780999998</v>
          </cell>
          <cell r="D3649">
            <v>4.0931555242000002</v>
          </cell>
        </row>
        <row r="3650">
          <cell r="A3650">
            <v>48743</v>
          </cell>
          <cell r="B3650">
            <v>4.0937296680999999</v>
          </cell>
          <cell r="C3650">
            <v>4.0927220297</v>
          </cell>
          <cell r="D3650">
            <v>4.0947375546</v>
          </cell>
        </row>
        <row r="3651">
          <cell r="A3651">
            <v>48744</v>
          </cell>
          <cell r="B3651">
            <v>4.0953119204000004</v>
          </cell>
          <cell r="C3651">
            <v>4.0943038926000002</v>
          </cell>
          <cell r="D3651">
            <v>4.0963201964999998</v>
          </cell>
        </row>
        <row r="3652">
          <cell r="A3652">
            <v>48745</v>
          </cell>
          <cell r="B3652">
            <v>4.0968947843999999</v>
          </cell>
          <cell r="C3652">
            <v>4.0958863670000003</v>
          </cell>
          <cell r="D3652">
            <v>4.0979034501999996</v>
          </cell>
        </row>
        <row r="3653">
          <cell r="A3653">
            <v>48747</v>
          </cell>
          <cell r="B3653">
            <v>4.0984782601000003</v>
          </cell>
          <cell r="C3653">
            <v>4.0974694529000004</v>
          </cell>
          <cell r="D3653">
            <v>4.0994873157000002</v>
          </cell>
        </row>
        <row r="3654">
          <cell r="A3654">
            <v>48750</v>
          </cell>
          <cell r="B3654">
            <v>4.1000623477999998</v>
          </cell>
          <cell r="C3654">
            <v>4.0990531507999997</v>
          </cell>
          <cell r="D3654">
            <v>4.1010717935000001</v>
          </cell>
        </row>
        <row r="3655">
          <cell r="A3655">
            <v>48751</v>
          </cell>
          <cell r="B3655">
            <v>4.1016470478000002</v>
          </cell>
          <cell r="C3655">
            <v>4.1006374606999998</v>
          </cell>
          <cell r="D3655">
            <v>4.1026568835999999</v>
          </cell>
        </row>
        <row r="3656">
          <cell r="A3656">
            <v>48752</v>
          </cell>
          <cell r="B3656">
            <v>4.1032323602999998</v>
          </cell>
          <cell r="C3656">
            <v>4.1022223829</v>
          </cell>
          <cell r="D3656">
            <v>4.1042425863999998</v>
          </cell>
        </row>
        <row r="3657">
          <cell r="A3657">
            <v>48753</v>
          </cell>
          <cell r="B3657">
            <v>4.1048182855000004</v>
          </cell>
          <cell r="C3657">
            <v>4.1038079178000002</v>
          </cell>
          <cell r="D3657">
            <v>4.1058289020999998</v>
          </cell>
        </row>
        <row r="3658">
          <cell r="A3658">
            <v>48754</v>
          </cell>
          <cell r="B3658">
            <v>4.1064048237000002</v>
          </cell>
          <cell r="C3658">
            <v>4.1053940654999996</v>
          </cell>
          <cell r="D3658">
            <v>4.1074158309</v>
          </cell>
        </row>
        <row r="3659">
          <cell r="A3659">
            <v>48757</v>
          </cell>
          <cell r="B3659">
            <v>4.1079919751</v>
          </cell>
          <cell r="C3659">
            <v>4.1069808262</v>
          </cell>
          <cell r="D3659">
            <v>4.1090033730000002</v>
          </cell>
        </row>
        <row r="3660">
          <cell r="A3660">
            <v>48758</v>
          </cell>
          <cell r="B3660">
            <v>4.1095797399</v>
          </cell>
          <cell r="C3660">
            <v>4.1085682001999997</v>
          </cell>
          <cell r="D3660">
            <v>4.1105915287999997</v>
          </cell>
        </row>
        <row r="3661">
          <cell r="A3661">
            <v>48759</v>
          </cell>
          <cell r="B3661">
            <v>4.1111681185000002</v>
          </cell>
          <cell r="C3661">
            <v>4.1101561878000004</v>
          </cell>
          <cell r="D3661">
            <v>4.1121802984000002</v>
          </cell>
        </row>
        <row r="3662">
          <cell r="A3662">
            <v>48760</v>
          </cell>
          <cell r="B3662">
            <v>4.1127571108999996</v>
          </cell>
          <cell r="C3662">
            <v>4.1117447891000003</v>
          </cell>
          <cell r="D3662">
            <v>4.113769682</v>
          </cell>
        </row>
        <row r="3663">
          <cell r="A3663">
            <v>48761</v>
          </cell>
          <cell r="B3663">
            <v>4.1143467175000001</v>
          </cell>
          <cell r="C3663">
            <v>4.1133340045000004</v>
          </cell>
          <cell r="D3663">
            <v>4.1153596800000001</v>
          </cell>
        </row>
        <row r="3664">
          <cell r="A3664">
            <v>48764</v>
          </cell>
          <cell r="B3664">
            <v>4.1159369385</v>
          </cell>
          <cell r="C3664">
            <v>4.1149238339999998</v>
          </cell>
          <cell r="D3664">
            <v>4.1169502925000003</v>
          </cell>
        </row>
        <row r="3665">
          <cell r="A3665">
            <v>48765</v>
          </cell>
          <cell r="B3665">
            <v>4.1175277741</v>
          </cell>
          <cell r="C3665">
            <v>4.1165142781000004</v>
          </cell>
          <cell r="D3665">
            <v>4.1185415197999999</v>
          </cell>
        </row>
        <row r="3666">
          <cell r="A3666">
            <v>48766</v>
          </cell>
          <cell r="B3666">
            <v>4.1191192246000004</v>
          </cell>
          <cell r="C3666">
            <v>4.1181053368000002</v>
          </cell>
          <cell r="D3666">
            <v>4.1201333620999998</v>
          </cell>
        </row>
        <row r="3667">
          <cell r="A3667">
            <v>48767</v>
          </cell>
          <cell r="B3667">
            <v>4.1207112902</v>
          </cell>
          <cell r="C3667">
            <v>4.1196970106000004</v>
          </cell>
          <cell r="D3667">
            <v>4.1217258197</v>
          </cell>
        </row>
        <row r="3668">
          <cell r="A3668">
            <v>48768</v>
          </cell>
          <cell r="B3668">
            <v>4.1223039711</v>
          </cell>
          <cell r="C3668">
            <v>4.1212892993999999</v>
          </cell>
          <cell r="D3668">
            <v>4.1233188927000004</v>
          </cell>
        </row>
        <row r="3669">
          <cell r="A3669">
            <v>48771</v>
          </cell>
          <cell r="B3669">
            <v>4.1238972676000003</v>
          </cell>
          <cell r="C3669">
            <v>4.1228822037999997</v>
          </cell>
          <cell r="D3669">
            <v>4.1249125815000003</v>
          </cell>
        </row>
        <row r="3670">
          <cell r="A3670">
            <v>48772</v>
          </cell>
          <cell r="B3670">
            <v>4.12549118</v>
          </cell>
          <cell r="C3670">
            <v>4.1244757237999998</v>
          </cell>
          <cell r="D3670">
            <v>4.1265068862999996</v>
          </cell>
        </row>
        <row r="3671">
          <cell r="A3671">
            <v>48773</v>
          </cell>
          <cell r="B3671">
            <v>4.1270857084000001</v>
          </cell>
          <cell r="C3671">
            <v>4.1260698598000003</v>
          </cell>
          <cell r="D3671">
            <v>4.1281018073000002</v>
          </cell>
        </row>
        <row r="3672">
          <cell r="A3672">
            <v>48774</v>
          </cell>
          <cell r="B3672">
            <v>4.1286808530999997</v>
          </cell>
          <cell r="C3672">
            <v>4.1276646118000002</v>
          </cell>
          <cell r="D3672">
            <v>4.1296973447000003</v>
          </cell>
        </row>
        <row r="3673">
          <cell r="A3673">
            <v>48775</v>
          </cell>
          <cell r="B3673">
            <v>4.1302766142999996</v>
          </cell>
          <cell r="C3673">
            <v>4.1292599802999996</v>
          </cell>
          <cell r="D3673">
            <v>4.1312934987999999</v>
          </cell>
        </row>
        <row r="3674">
          <cell r="A3674">
            <v>48778</v>
          </cell>
          <cell r="B3674">
            <v>4.1318729922999999</v>
          </cell>
          <cell r="C3674">
            <v>4.1308559653000003</v>
          </cell>
          <cell r="D3674">
            <v>4.1328902697999998</v>
          </cell>
        </row>
        <row r="3675">
          <cell r="A3675">
            <v>48779</v>
          </cell>
          <cell r="B3675">
            <v>4.1334699872999998</v>
          </cell>
          <cell r="C3675">
            <v>4.1324525671999996</v>
          </cell>
          <cell r="D3675">
            <v>4.1344876580000003</v>
          </cell>
        </row>
        <row r="3676">
          <cell r="A3676">
            <v>48780</v>
          </cell>
          <cell r="B3676">
            <v>4.1350675996000001</v>
          </cell>
          <cell r="C3676">
            <v>4.1340497862000003</v>
          </cell>
          <cell r="D3676">
            <v>4.1360856636000003</v>
          </cell>
        </row>
        <row r="3677">
          <cell r="A3677">
            <v>48781</v>
          </cell>
          <cell r="B3677">
            <v>4.1366658293</v>
          </cell>
          <cell r="C3677">
            <v>4.1356476225999996</v>
          </cell>
          <cell r="D3677">
            <v>4.1376842867999999</v>
          </cell>
        </row>
        <row r="3678">
          <cell r="A3678">
            <v>48782</v>
          </cell>
          <cell r="B3678">
            <v>4.1382646767000004</v>
          </cell>
          <cell r="C3678">
            <v>4.1372460765000003</v>
          </cell>
          <cell r="D3678">
            <v>4.1392835279</v>
          </cell>
        </row>
        <row r="3679">
          <cell r="A3679">
            <v>48785</v>
          </cell>
          <cell r="B3679">
            <v>4.1398641421000004</v>
          </cell>
          <cell r="C3679">
            <v>4.1388451481999997</v>
          </cell>
          <cell r="D3679">
            <v>4.1408833870999997</v>
          </cell>
        </row>
        <row r="3680">
          <cell r="A3680">
            <v>48786</v>
          </cell>
          <cell r="B3680">
            <v>4.1414642258000001</v>
          </cell>
          <cell r="C3680">
            <v>4.1404448379999996</v>
          </cell>
          <cell r="D3680">
            <v>4.1424838647</v>
          </cell>
        </row>
        <row r="3681">
          <cell r="A3681">
            <v>48787</v>
          </cell>
          <cell r="B3681">
            <v>4.1430649279000002</v>
          </cell>
          <cell r="C3681">
            <v>4.1420451461000001</v>
          </cell>
          <cell r="D3681">
            <v>4.1440849608999999</v>
          </cell>
        </row>
        <row r="3682">
          <cell r="A3682">
            <v>48788</v>
          </cell>
          <cell r="B3682">
            <v>4.1446662487000001</v>
          </cell>
          <cell r="C3682">
            <v>4.1436460727000002</v>
          </cell>
          <cell r="D3682">
            <v>4.1456866759000004</v>
          </cell>
        </row>
        <row r="3683">
          <cell r="A3683">
            <v>48789</v>
          </cell>
          <cell r="B3683">
            <v>4.1462681883999997</v>
          </cell>
          <cell r="C3683">
            <v>4.1452476181</v>
          </cell>
          <cell r="D3683">
            <v>4.1472890099999997</v>
          </cell>
        </row>
        <row r="3684">
          <cell r="A3684">
            <v>48792</v>
          </cell>
          <cell r="B3684">
            <v>4.1478707471999998</v>
          </cell>
          <cell r="C3684">
            <v>4.1468497825000004</v>
          </cell>
          <cell r="D3684">
            <v>4.1488919633999997</v>
          </cell>
        </row>
        <row r="3685">
          <cell r="A3685">
            <v>48793</v>
          </cell>
          <cell r="B3685">
            <v>4.1494739253999997</v>
          </cell>
          <cell r="C3685">
            <v>4.1484525660999996</v>
          </cell>
          <cell r="D3685">
            <v>4.1504955363000002</v>
          </cell>
        </row>
        <row r="3686">
          <cell r="A3686">
            <v>48794</v>
          </cell>
          <cell r="B3686">
            <v>4.1510777233000002</v>
          </cell>
          <cell r="C3686">
            <v>4.1500559692000003</v>
          </cell>
          <cell r="D3686">
            <v>4.1520997290999997</v>
          </cell>
        </row>
        <row r="3687">
          <cell r="A3687">
            <v>48795</v>
          </cell>
          <cell r="B3687">
            <v>4.1526821409999997</v>
          </cell>
          <cell r="C3687">
            <v>4.1516599919999999</v>
          </cell>
          <cell r="D3687">
            <v>4.1537045417999998</v>
          </cell>
        </row>
        <row r="3688">
          <cell r="A3688">
            <v>48796</v>
          </cell>
          <cell r="B3688">
            <v>4.1542871789999998</v>
          </cell>
          <cell r="C3688">
            <v>4.1532646349000002</v>
          </cell>
          <cell r="D3688">
            <v>4.1553099748999998</v>
          </cell>
        </row>
        <row r="3689">
          <cell r="A3689">
            <v>48799</v>
          </cell>
          <cell r="B3689">
            <v>4.1558928370999997</v>
          </cell>
          <cell r="C3689">
            <v>4.1548698979000003</v>
          </cell>
          <cell r="D3689">
            <v>4.1569160284000004</v>
          </cell>
        </row>
        <row r="3690">
          <cell r="A3690">
            <v>48800</v>
          </cell>
          <cell r="B3690">
            <v>4.1574991160000003</v>
          </cell>
          <cell r="C3690">
            <v>4.1564757813000002</v>
          </cell>
          <cell r="D3690">
            <v>4.1585227027</v>
          </cell>
        </row>
        <row r="3691">
          <cell r="A3691">
            <v>48801</v>
          </cell>
          <cell r="B3691">
            <v>4.1591060156999999</v>
          </cell>
          <cell r="C3691">
            <v>4.1580822854999999</v>
          </cell>
          <cell r="D3691">
            <v>4.1601299980000004</v>
          </cell>
        </row>
        <row r="3692">
          <cell r="A3692">
            <v>48802</v>
          </cell>
          <cell r="B3692">
            <v>4.1607135364000003</v>
          </cell>
          <cell r="C3692">
            <v>4.1596894105000004</v>
          </cell>
          <cell r="D3692">
            <v>4.1617379144999997</v>
          </cell>
        </row>
        <row r="3693">
          <cell r="A3693">
            <v>48803</v>
          </cell>
          <cell r="B3693">
            <v>4.1623216783999997</v>
          </cell>
          <cell r="C3693">
            <v>4.1612971566999999</v>
          </cell>
          <cell r="D3693">
            <v>4.1633464524999999</v>
          </cell>
        </row>
        <row r="3694">
          <cell r="A3694">
            <v>48806</v>
          </cell>
          <cell r="B3694">
            <v>4.1639304420999999</v>
          </cell>
          <cell r="C3694">
            <v>4.1629055244000002</v>
          </cell>
          <cell r="D3694">
            <v>4.1649556122</v>
          </cell>
        </row>
        <row r="3695">
          <cell r="A3695">
            <v>48807</v>
          </cell>
          <cell r="B3695">
            <v>4.1655398274</v>
          </cell>
          <cell r="C3695">
            <v>4.1645145136000004</v>
          </cell>
          <cell r="D3695">
            <v>4.1665653938</v>
          </cell>
        </row>
        <row r="3696">
          <cell r="A3696">
            <v>48808</v>
          </cell>
          <cell r="B3696">
            <v>4.1671498349</v>
          </cell>
          <cell r="C3696">
            <v>4.1661241247999996</v>
          </cell>
          <cell r="D3696">
            <v>4.1681757977</v>
          </cell>
        </row>
        <row r="3697">
          <cell r="A3697">
            <v>48809</v>
          </cell>
          <cell r="B3697">
            <v>4.1687604646</v>
          </cell>
          <cell r="C3697">
            <v>4.1677343579999997</v>
          </cell>
          <cell r="D3697">
            <v>4.1697868239</v>
          </cell>
        </row>
        <row r="3698">
          <cell r="A3698">
            <v>48810</v>
          </cell>
          <cell r="B3698">
            <v>4.1703717169000001</v>
          </cell>
          <cell r="C3698">
            <v>4.1693452137999998</v>
          </cell>
          <cell r="D3698">
            <v>4.1713984729</v>
          </cell>
        </row>
        <row r="3699">
          <cell r="A3699">
            <v>48813</v>
          </cell>
          <cell r="B3699">
            <v>4.1719835919000001</v>
          </cell>
          <cell r="C3699">
            <v>4.1709566919999999</v>
          </cell>
          <cell r="D3699">
            <v>4.1730107447</v>
          </cell>
        </row>
        <row r="3700">
          <cell r="A3700">
            <v>48814</v>
          </cell>
          <cell r="B3700">
            <v>4.1735960899000002</v>
          </cell>
          <cell r="C3700">
            <v>4.1725687931</v>
          </cell>
          <cell r="D3700">
            <v>4.1746236397000001</v>
          </cell>
        </row>
        <row r="3701">
          <cell r="A3701">
            <v>48815</v>
          </cell>
          <cell r="B3701">
            <v>4.1752092111000003</v>
          </cell>
          <cell r="C3701">
            <v>4.1741815172000001</v>
          </cell>
          <cell r="D3701">
            <v>4.1762371581000002</v>
          </cell>
        </row>
        <row r="3702">
          <cell r="A3702">
            <v>48816</v>
          </cell>
          <cell r="B3702">
            <v>4.1768229558999996</v>
          </cell>
          <cell r="C3702">
            <v>4.1757948648000003</v>
          </cell>
          <cell r="D3702">
            <v>4.1778513002000004</v>
          </cell>
        </row>
        <row r="3703">
          <cell r="A3703">
            <v>48817</v>
          </cell>
          <cell r="B3703">
            <v>4.1784373242999999</v>
          </cell>
          <cell r="C3703">
            <v>4.1774088358999997</v>
          </cell>
          <cell r="D3703">
            <v>4.1794660660999998</v>
          </cell>
        </row>
        <row r="3704">
          <cell r="A3704">
            <v>48820</v>
          </cell>
          <cell r="B3704">
            <v>4.1800523167000003</v>
          </cell>
          <cell r="C3704">
            <v>4.1790234308</v>
          </cell>
          <cell r="D3704">
            <v>4.1810814561000003</v>
          </cell>
        </row>
        <row r="3705">
          <cell r="A3705">
            <v>48821</v>
          </cell>
          <cell r="B3705">
            <v>4.1816679334</v>
          </cell>
          <cell r="C3705">
            <v>4.1806386496999997</v>
          </cell>
          <cell r="D3705">
            <v>4.1826974705</v>
          </cell>
        </row>
        <row r="3706">
          <cell r="A3706">
            <v>48822</v>
          </cell>
          <cell r="B3706">
            <v>4.1832841743999998</v>
          </cell>
          <cell r="C3706">
            <v>4.1822544930000003</v>
          </cell>
          <cell r="D3706">
            <v>4.1843141094999998</v>
          </cell>
        </row>
        <row r="3707">
          <cell r="A3707">
            <v>48823</v>
          </cell>
          <cell r="B3707">
            <v>4.1849010401999998</v>
          </cell>
          <cell r="C3707">
            <v>4.1838709607000002</v>
          </cell>
          <cell r="D3707">
            <v>4.1859313732999999</v>
          </cell>
        </row>
        <row r="3708">
          <cell r="A3708">
            <v>48824</v>
          </cell>
          <cell r="B3708">
            <v>4.1865185307999999</v>
          </cell>
          <cell r="C3708">
            <v>4.1854880533000003</v>
          </cell>
          <cell r="D3708">
            <v>4.1875492622000001</v>
          </cell>
        </row>
        <row r="3709">
          <cell r="A3709">
            <v>48827</v>
          </cell>
          <cell r="B3709">
            <v>4.1881366467000003</v>
          </cell>
          <cell r="C3709">
            <v>4.1871057708999997</v>
          </cell>
          <cell r="D3709">
            <v>4.1891677764999997</v>
          </cell>
        </row>
        <row r="3710">
          <cell r="A3710">
            <v>48828</v>
          </cell>
          <cell r="B3710">
            <v>4.189755388</v>
          </cell>
          <cell r="C3710">
            <v>4.1887241137000002</v>
          </cell>
          <cell r="D3710">
            <v>4.1907869163000004</v>
          </cell>
        </row>
        <row r="3711">
          <cell r="A3711">
            <v>48830</v>
          </cell>
          <cell r="B3711">
            <v>4.1913747549</v>
          </cell>
          <cell r="C3711">
            <v>4.1903430820000001</v>
          </cell>
          <cell r="D3711">
            <v>4.1924066818999997</v>
          </cell>
        </row>
        <row r="3712">
          <cell r="A3712">
            <v>48831</v>
          </cell>
          <cell r="B3712">
            <v>4.1929947477000002</v>
          </cell>
          <cell r="C3712">
            <v>4.1919626760000002</v>
          </cell>
          <cell r="D3712">
            <v>4.1940270735</v>
          </cell>
        </row>
        <row r="3713">
          <cell r="A3713">
            <v>48834</v>
          </cell>
          <cell r="B3713">
            <v>4.1946153666999999</v>
          </cell>
          <cell r="C3713">
            <v>4.1935828960999997</v>
          </cell>
          <cell r="D3713">
            <v>4.1956480914999998</v>
          </cell>
        </row>
        <row r="3714">
          <cell r="A3714">
            <v>48835</v>
          </cell>
          <cell r="B3714">
            <v>4.1962366119999999</v>
          </cell>
          <cell r="C3714">
            <v>4.1952037424000004</v>
          </cell>
          <cell r="D3714">
            <v>4.197269736</v>
          </cell>
        </row>
        <row r="3715">
          <cell r="A3715">
            <v>48836</v>
          </cell>
          <cell r="B3715">
            <v>4.1978584839000002</v>
          </cell>
          <cell r="C3715">
            <v>4.1968252150999996</v>
          </cell>
          <cell r="D3715">
            <v>4.1988920072000004</v>
          </cell>
        </row>
        <row r="3716">
          <cell r="A3716">
            <v>48837</v>
          </cell>
          <cell r="B3716">
            <v>4.1994809826999999</v>
          </cell>
          <cell r="C3716">
            <v>4.1984473146000001</v>
          </cell>
          <cell r="D3716">
            <v>4.2005149055000004</v>
          </cell>
        </row>
        <row r="3717">
          <cell r="A3717">
            <v>48838</v>
          </cell>
          <cell r="B3717">
            <v>4.2011041086000001</v>
          </cell>
          <cell r="C3717">
            <v>4.2000700409</v>
          </cell>
          <cell r="D3717">
            <v>4.2021384309999998</v>
          </cell>
        </row>
        <row r="3718">
          <cell r="A3718">
            <v>48841</v>
          </cell>
          <cell r="B3718">
            <v>4.2027278618999997</v>
          </cell>
          <cell r="C3718">
            <v>4.2016933946000004</v>
          </cell>
          <cell r="D3718">
            <v>4.2037625840999997</v>
          </cell>
        </row>
        <row r="3719">
          <cell r="A3719">
            <v>48842</v>
          </cell>
          <cell r="B3719">
            <v>4.2043522427999998</v>
          </cell>
          <cell r="C3719">
            <v>4.2033173756000002</v>
          </cell>
          <cell r="D3719">
            <v>4.2053873649</v>
          </cell>
        </row>
        <row r="3720">
          <cell r="A3720">
            <v>48843</v>
          </cell>
          <cell r="B3720">
            <v>4.2059772515000002</v>
          </cell>
          <cell r="C3720">
            <v>4.2049419844000004</v>
          </cell>
          <cell r="D3720">
            <v>4.2070127736999998</v>
          </cell>
        </row>
        <row r="3721">
          <cell r="A3721">
            <v>48844</v>
          </cell>
          <cell r="B3721">
            <v>4.2076028883000003</v>
          </cell>
          <cell r="C3721">
            <v>4.2065672210000002</v>
          </cell>
          <cell r="D3721">
            <v>4.2086388107000001</v>
          </cell>
        </row>
        <row r="3722">
          <cell r="A3722">
            <v>48845</v>
          </cell>
          <cell r="B3722">
            <v>4.2092291532999999</v>
          </cell>
          <cell r="C3722">
            <v>4.2081930856999996</v>
          </cell>
          <cell r="D3722">
            <v>4.2102654761</v>
          </cell>
        </row>
        <row r="3723">
          <cell r="A3723">
            <v>48848</v>
          </cell>
          <cell r="B3723">
            <v>4.210856047</v>
          </cell>
          <cell r="C3723">
            <v>4.2098195789000004</v>
          </cell>
          <cell r="D3723">
            <v>4.2118927703000004</v>
          </cell>
        </row>
        <row r="3724">
          <cell r="A3724">
            <v>48849</v>
          </cell>
          <cell r="B3724">
            <v>4.2124835694999998</v>
          </cell>
          <cell r="C3724">
            <v>4.2114467007999998</v>
          </cell>
          <cell r="D3724">
            <v>4.2135206934999996</v>
          </cell>
        </row>
        <row r="3725">
          <cell r="A3725">
            <v>48850</v>
          </cell>
          <cell r="B3725">
            <v>4.2141117209000001</v>
          </cell>
          <cell r="C3725">
            <v>4.2130744514999998</v>
          </cell>
          <cell r="D3725">
            <v>4.2151492458000002</v>
          </cell>
        </row>
        <row r="3726">
          <cell r="A3726">
            <v>48851</v>
          </cell>
          <cell r="B3726">
            <v>4.2157405017</v>
          </cell>
          <cell r="C3726">
            <v>4.2147028314000003</v>
          </cell>
          <cell r="D3726">
            <v>4.2167784276000004</v>
          </cell>
        </row>
        <row r="3727">
          <cell r="A3727">
            <v>48852</v>
          </cell>
          <cell r="B3727">
            <v>4.2173699119999997</v>
          </cell>
          <cell r="C3727">
            <v>4.2163318406999997</v>
          </cell>
          <cell r="D3727">
            <v>4.2184082391000004</v>
          </cell>
        </row>
        <row r="3728">
          <cell r="A3728">
            <v>48855</v>
          </cell>
          <cell r="B3728">
            <v>4.2189999521999999</v>
          </cell>
          <cell r="C3728">
            <v>4.2179614795999996</v>
          </cell>
          <cell r="D3728">
            <v>4.2200386806000001</v>
          </cell>
        </row>
        <row r="3729">
          <cell r="A3729">
            <v>48856</v>
          </cell>
          <cell r="B3729">
            <v>4.2206306222999999</v>
          </cell>
          <cell r="C3729">
            <v>4.2195917484000001</v>
          </cell>
          <cell r="D3729">
            <v>4.2216697522000004</v>
          </cell>
        </row>
        <row r="3730">
          <cell r="A3730">
            <v>48857</v>
          </cell>
          <cell r="B3730">
            <v>4.2222619226999996</v>
          </cell>
          <cell r="C3730">
            <v>4.2212226472000003</v>
          </cell>
          <cell r="D3730">
            <v>4.2233014541999996</v>
          </cell>
        </row>
        <row r="3731">
          <cell r="A3731">
            <v>48858</v>
          </cell>
          <cell r="B3731">
            <v>4.2238938535999999</v>
          </cell>
          <cell r="C3731">
            <v>4.2228541764000003</v>
          </cell>
          <cell r="D3731">
            <v>4.2249337869000003</v>
          </cell>
        </row>
        <row r="3732">
          <cell r="A3732">
            <v>48859</v>
          </cell>
          <cell r="B3732">
            <v>4.2255264153000001</v>
          </cell>
          <cell r="C3732">
            <v>4.2244863363</v>
          </cell>
          <cell r="D3732">
            <v>4.2265667505</v>
          </cell>
        </row>
        <row r="3733">
          <cell r="A3733">
            <v>48862</v>
          </cell>
          <cell r="B3733">
            <v>4.2271596079</v>
          </cell>
          <cell r="C3733">
            <v>4.2261191268999996</v>
          </cell>
          <cell r="D3733">
            <v>4.2282003452000003</v>
          </cell>
        </row>
        <row r="3734">
          <cell r="A3734">
            <v>48863</v>
          </cell>
          <cell r="B3734">
            <v>4.2287934316999998</v>
          </cell>
          <cell r="C3734">
            <v>4.2277525485999998</v>
          </cell>
          <cell r="D3734">
            <v>4.2298345712999996</v>
          </cell>
        </row>
        <row r="3735">
          <cell r="A3735">
            <v>48865</v>
          </cell>
          <cell r="B3735">
            <v>4.2304278871000003</v>
          </cell>
          <cell r="C3735">
            <v>4.2293866015999999</v>
          </cell>
          <cell r="D3735">
            <v>4.2314694290999997</v>
          </cell>
        </row>
        <row r="3736">
          <cell r="A3736">
            <v>48866</v>
          </cell>
          <cell r="B3736">
            <v>4.2320629742999998</v>
          </cell>
          <cell r="C3736">
            <v>4.2310212862999999</v>
          </cell>
          <cell r="D3736">
            <v>4.2331049187999996</v>
          </cell>
        </row>
        <row r="3737">
          <cell r="A3737">
            <v>48869</v>
          </cell>
          <cell r="B3737">
            <v>4.2336986932</v>
          </cell>
          <cell r="C3737">
            <v>4.2326566026999997</v>
          </cell>
          <cell r="D3737">
            <v>4.2347410405000003</v>
          </cell>
        </row>
        <row r="3738">
          <cell r="A3738">
            <v>48870</v>
          </cell>
          <cell r="B3738">
            <v>4.2353350446000002</v>
          </cell>
          <cell r="C3738">
            <v>4.2342925512000003</v>
          </cell>
          <cell r="D3738">
            <v>4.2363777947000001</v>
          </cell>
        </row>
        <row r="3739">
          <cell r="A3739">
            <v>48871</v>
          </cell>
          <cell r="B3739">
            <v>4.2369720283000003</v>
          </cell>
          <cell r="C3739">
            <v>4.2359291320999999</v>
          </cell>
          <cell r="D3739">
            <v>4.2380151814999998</v>
          </cell>
        </row>
        <row r="3740">
          <cell r="A3740">
            <v>48872</v>
          </cell>
          <cell r="B3740">
            <v>4.2386096448000004</v>
          </cell>
          <cell r="C3740">
            <v>4.2375663454000003</v>
          </cell>
          <cell r="D3740">
            <v>4.2396532011000003</v>
          </cell>
        </row>
        <row r="3741">
          <cell r="A3741">
            <v>48873</v>
          </cell>
          <cell r="B3741">
            <v>4.2402478941000004</v>
          </cell>
          <cell r="C3741">
            <v>4.2392041914999998</v>
          </cell>
          <cell r="D3741">
            <v>4.2412918538</v>
          </cell>
        </row>
        <row r="3742">
          <cell r="A3742">
            <v>48876</v>
          </cell>
          <cell r="B3742">
            <v>4.2418867767000004</v>
          </cell>
          <cell r="C3742">
            <v>4.2408426707000002</v>
          </cell>
          <cell r="D3742">
            <v>4.2429311398999996</v>
          </cell>
        </row>
        <row r="3743">
          <cell r="A3743">
            <v>48877</v>
          </cell>
          <cell r="B3743">
            <v>4.2435262928000004</v>
          </cell>
          <cell r="C3743">
            <v>4.2424817831999997</v>
          </cell>
          <cell r="D3743">
            <v>4.2445710596000001</v>
          </cell>
        </row>
        <row r="3744">
          <cell r="A3744">
            <v>48878</v>
          </cell>
          <cell r="B3744">
            <v>4.2451664425000004</v>
          </cell>
          <cell r="C3744">
            <v>4.2441215292000001</v>
          </cell>
          <cell r="D3744">
            <v>4.2462116130999998</v>
          </cell>
        </row>
        <row r="3745">
          <cell r="A3745">
            <v>48879</v>
          </cell>
          <cell r="B3745">
            <v>4.2468072260999996</v>
          </cell>
          <cell r="C3745">
            <v>4.2457619089999996</v>
          </cell>
          <cell r="D3745">
            <v>4.2478528006999996</v>
          </cell>
        </row>
        <row r="3746">
          <cell r="A3746">
            <v>48880</v>
          </cell>
          <cell r="B3746">
            <v>4.2484486439999998</v>
          </cell>
          <cell r="C3746">
            <v>4.2474029228000001</v>
          </cell>
          <cell r="D3746">
            <v>4.2494946227000003</v>
          </cell>
        </row>
        <row r="3747">
          <cell r="A3747">
            <v>48883</v>
          </cell>
          <cell r="B3747">
            <v>4.2500906962</v>
          </cell>
          <cell r="C3747">
            <v>4.2490445708999998</v>
          </cell>
          <cell r="D3747">
            <v>4.2511370792000003</v>
          </cell>
        </row>
        <row r="3748">
          <cell r="A3748">
            <v>48884</v>
          </cell>
          <cell r="B3748">
            <v>4.2517333831000004</v>
          </cell>
          <cell r="C3748">
            <v>4.2506868534000004</v>
          </cell>
          <cell r="D3748">
            <v>4.2527801705000003</v>
          </cell>
        </row>
        <row r="3749">
          <cell r="A3749">
            <v>48886</v>
          </cell>
          <cell r="B3749">
            <v>4.2533767049</v>
          </cell>
          <cell r="C3749">
            <v>4.2523297707000003</v>
          </cell>
          <cell r="D3749">
            <v>4.2544238968999997</v>
          </cell>
        </row>
        <row r="3750">
          <cell r="A3750">
            <v>48887</v>
          </cell>
          <cell r="B3750">
            <v>4.2550206617999997</v>
          </cell>
          <cell r="C3750">
            <v>4.2539733230000003</v>
          </cell>
          <cell r="D3750">
            <v>4.2560682586</v>
          </cell>
        </row>
        <row r="3751">
          <cell r="A3751">
            <v>48890</v>
          </cell>
          <cell r="B3751">
            <v>4.2566652541999996</v>
          </cell>
          <cell r="C3751">
            <v>4.2556175105999996</v>
          </cell>
          <cell r="D3751">
            <v>4.2577132558999997</v>
          </cell>
        </row>
        <row r="3752">
          <cell r="A3752">
            <v>48891</v>
          </cell>
          <cell r="B3752">
            <v>4.2583104821999997</v>
          </cell>
          <cell r="C3752">
            <v>4.2572623335999999</v>
          </cell>
          <cell r="D3752">
            <v>4.2593588888999996</v>
          </cell>
        </row>
        <row r="3753">
          <cell r="A3753">
            <v>48892</v>
          </cell>
          <cell r="B3753">
            <v>4.2599563460000001</v>
          </cell>
          <cell r="C3753">
            <v>4.2589077923999996</v>
          </cell>
          <cell r="D3753">
            <v>4.2610051579999997</v>
          </cell>
        </row>
        <row r="3754">
          <cell r="A3754">
            <v>48893</v>
          </cell>
          <cell r="B3754">
            <v>4.2616028460999997</v>
          </cell>
          <cell r="C3754">
            <v>4.2605538871000004</v>
          </cell>
          <cell r="D3754">
            <v>4.2626520634</v>
          </cell>
        </row>
        <row r="3755">
          <cell r="A3755">
            <v>48894</v>
          </cell>
          <cell r="B3755">
            <v>4.2632499824999996</v>
          </cell>
          <cell r="C3755">
            <v>4.2622006181999996</v>
          </cell>
          <cell r="D3755">
            <v>4.2642996053999997</v>
          </cell>
        </row>
        <row r="3756">
          <cell r="A3756">
            <v>48897</v>
          </cell>
          <cell r="B3756">
            <v>4.2648977555999998</v>
          </cell>
          <cell r="C3756">
            <v>4.2638479856</v>
          </cell>
          <cell r="D3756">
            <v>4.2659477840999998</v>
          </cell>
        </row>
        <row r="3757">
          <cell r="A3757">
            <v>48899</v>
          </cell>
          <cell r="B3757">
            <v>4.2665461655000003</v>
          </cell>
          <cell r="C3757">
            <v>4.2654959897999998</v>
          </cell>
          <cell r="D3757">
            <v>4.2675965999000001</v>
          </cell>
        </row>
        <row r="3758">
          <cell r="A3758">
            <v>48900</v>
          </cell>
          <cell r="B3758">
            <v>4.2681952125000002</v>
          </cell>
          <cell r="C3758">
            <v>4.2671446308999998</v>
          </cell>
          <cell r="D3758">
            <v>4.2692460528999998</v>
          </cell>
        </row>
        <row r="3759">
          <cell r="A3759">
            <v>48901</v>
          </cell>
          <cell r="B3759">
            <v>4.2698448969999996</v>
          </cell>
          <cell r="C3759">
            <v>4.2687939093000002</v>
          </cell>
          <cell r="D3759">
            <v>4.2708961434999999</v>
          </cell>
        </row>
        <row r="3760">
          <cell r="A3760">
            <v>48904</v>
          </cell>
          <cell r="B3760">
            <v>4.2714952189000002</v>
          </cell>
          <cell r="C3760">
            <v>4.2704438251000001</v>
          </cell>
          <cell r="D3760">
            <v>4.2725468718000004</v>
          </cell>
        </row>
        <row r="3761">
          <cell r="A3761">
            <v>48905</v>
          </cell>
          <cell r="B3761">
            <v>4.2731461788000002</v>
          </cell>
          <cell r="C3761">
            <v>4.2720943785000003</v>
          </cell>
          <cell r="D3761">
            <v>4.2741982381000003</v>
          </cell>
        </row>
        <row r="3762">
          <cell r="A3762">
            <v>48906</v>
          </cell>
          <cell r="B3762">
            <v>4.2747977768999998</v>
          </cell>
          <cell r="C3762">
            <v>4.2737455701</v>
          </cell>
          <cell r="D3762">
            <v>4.2758502427999998</v>
          </cell>
        </row>
        <row r="3763">
          <cell r="A3763">
            <v>48907</v>
          </cell>
          <cell r="B3763">
            <v>4.2764500131999998</v>
          </cell>
          <cell r="C3763">
            <v>4.2753973997000001</v>
          </cell>
          <cell r="D3763">
            <v>4.2775028858999997</v>
          </cell>
        </row>
        <row r="3764">
          <cell r="A3764">
            <v>48908</v>
          </cell>
          <cell r="B3764">
            <v>4.2781028881000003</v>
          </cell>
          <cell r="C3764">
            <v>4.2770498677999997</v>
          </cell>
          <cell r="D3764">
            <v>4.2791561678000001</v>
          </cell>
        </row>
        <row r="3765">
          <cell r="A3765">
            <v>48911</v>
          </cell>
          <cell r="B3765">
            <v>4.2797564018000003</v>
          </cell>
          <cell r="C3765">
            <v>4.2787029744999998</v>
          </cell>
          <cell r="D3765">
            <v>4.2808100886</v>
          </cell>
        </row>
        <row r="3766">
          <cell r="A3766">
            <v>48912</v>
          </cell>
          <cell r="B3766">
            <v>4.2814105547999999</v>
          </cell>
          <cell r="C3766">
            <v>4.2803567203000004</v>
          </cell>
          <cell r="D3766">
            <v>4.2824646488000004</v>
          </cell>
        </row>
        <row r="3767">
          <cell r="A3767">
            <v>48913</v>
          </cell>
          <cell r="B3767">
            <v>4.283065347</v>
          </cell>
          <cell r="C3767">
            <v>4.2820111051999996</v>
          </cell>
          <cell r="D3767">
            <v>4.2841198483999996</v>
          </cell>
        </row>
        <row r="3768">
          <cell r="A3768">
            <v>48914</v>
          </cell>
          <cell r="B3768">
            <v>4.2847207787999997</v>
          </cell>
          <cell r="C3768">
            <v>4.2836661295000003</v>
          </cell>
          <cell r="D3768">
            <v>4.2857756878000002</v>
          </cell>
        </row>
        <row r="3769">
          <cell r="A3769">
            <v>48915</v>
          </cell>
          <cell r="B3769">
            <v>4.2863768503999999</v>
          </cell>
          <cell r="C3769">
            <v>4.2853217934999996</v>
          </cell>
          <cell r="D3769">
            <v>4.2874321671000004</v>
          </cell>
        </row>
        <row r="3770">
          <cell r="A3770">
            <v>48918</v>
          </cell>
          <cell r="B3770">
            <v>4.2880335621999999</v>
          </cell>
          <cell r="C3770">
            <v>4.2869780974999996</v>
          </cell>
          <cell r="D3770">
            <v>4.2890892868000003</v>
          </cell>
        </row>
        <row r="3771">
          <cell r="A3771">
            <v>48919</v>
          </cell>
          <cell r="B3771">
            <v>4.2896909142000004</v>
          </cell>
          <cell r="C3771">
            <v>4.2886350416000001</v>
          </cell>
          <cell r="D3771">
            <v>4.2907470469</v>
          </cell>
        </row>
        <row r="3772">
          <cell r="A3772">
            <v>48920</v>
          </cell>
          <cell r="B3772">
            <v>4.2913489067999997</v>
          </cell>
          <cell r="C3772">
            <v>4.2902926261000003</v>
          </cell>
          <cell r="D3772">
            <v>4.2924054477000002</v>
          </cell>
        </row>
        <row r="3773">
          <cell r="A3773">
            <v>48921</v>
          </cell>
          <cell r="B3773">
            <v>4.2930075402999996</v>
          </cell>
          <cell r="C3773">
            <v>4.2919508513000002</v>
          </cell>
          <cell r="D3773">
            <v>4.2940644895000002</v>
          </cell>
        </row>
        <row r="3774">
          <cell r="A3774">
            <v>48922</v>
          </cell>
          <cell r="B3774">
            <v>4.2946668147000002</v>
          </cell>
          <cell r="C3774">
            <v>4.2936097173999999</v>
          </cell>
          <cell r="D3774">
            <v>4.2957241724999999</v>
          </cell>
        </row>
        <row r="3775">
          <cell r="A3775">
            <v>48925</v>
          </cell>
          <cell r="B3775">
            <v>4.2963267306999997</v>
          </cell>
          <cell r="C3775">
            <v>4.2952692247000002</v>
          </cell>
          <cell r="D3775">
            <v>4.2973844971000004</v>
          </cell>
        </row>
        <row r="3776">
          <cell r="A3776">
            <v>48926</v>
          </cell>
          <cell r="B3776">
            <v>4.2979872879999999</v>
          </cell>
          <cell r="C3776">
            <v>4.2969293733000002</v>
          </cell>
          <cell r="D3776">
            <v>4.2990454632999997</v>
          </cell>
        </row>
        <row r="3777">
          <cell r="A3777">
            <v>48927</v>
          </cell>
          <cell r="B3777">
            <v>4.2996484871999998</v>
          </cell>
          <cell r="C3777">
            <v>4.2985901637000001</v>
          </cell>
          <cell r="D3777">
            <v>4.3007070714999998</v>
          </cell>
        </row>
        <row r="3778">
          <cell r="A3778">
            <v>48928</v>
          </cell>
          <cell r="B3778">
            <v>4.3013103285999996</v>
          </cell>
          <cell r="C3778">
            <v>4.3002515959999998</v>
          </cell>
          <cell r="D3778">
            <v>4.3023693219999997</v>
          </cell>
        </row>
        <row r="3779">
          <cell r="A3779">
            <v>48929</v>
          </cell>
          <cell r="B3779">
            <v>4.3029728122000002</v>
          </cell>
          <cell r="C3779">
            <v>4.3019136704000003</v>
          </cell>
          <cell r="D3779">
            <v>4.3040322149000003</v>
          </cell>
        </row>
        <row r="3780">
          <cell r="A3780">
            <v>48932</v>
          </cell>
          <cell r="B3780">
            <v>4.3046359382999997</v>
          </cell>
          <cell r="C3780">
            <v>4.3035763870999997</v>
          </cell>
          <cell r="D3780">
            <v>4.3056957505</v>
          </cell>
        </row>
        <row r="3781">
          <cell r="A3781">
            <v>48933</v>
          </cell>
          <cell r="B3781">
            <v>4.3062997073</v>
          </cell>
          <cell r="C3781">
            <v>4.3052397465999999</v>
          </cell>
          <cell r="D3781">
            <v>4.3073599291000004</v>
          </cell>
        </row>
        <row r="3782">
          <cell r="A3782">
            <v>48934</v>
          </cell>
          <cell r="B3782">
            <v>4.3079641193000002</v>
          </cell>
          <cell r="C3782">
            <v>4.3069037488999999</v>
          </cell>
          <cell r="D3782">
            <v>4.3090247508999999</v>
          </cell>
        </row>
        <row r="3783">
          <cell r="A3783">
            <v>48935</v>
          </cell>
          <cell r="B3783">
            <v>4.3096291747000004</v>
          </cell>
          <cell r="C3783">
            <v>4.3085683943999999</v>
          </cell>
          <cell r="D3783">
            <v>4.3106902162000003</v>
          </cell>
        </row>
        <row r="3784">
          <cell r="A3784">
            <v>48936</v>
          </cell>
          <cell r="B3784">
            <v>4.3112948735999996</v>
          </cell>
          <cell r="C3784">
            <v>4.3102336832999999</v>
          </cell>
          <cell r="D3784">
            <v>4.3123563251999997</v>
          </cell>
        </row>
        <row r="3785">
          <cell r="A3785">
            <v>48939</v>
          </cell>
          <cell r="B3785">
            <v>4.3129612162999997</v>
          </cell>
          <cell r="C3785">
            <v>4.3118996158999998</v>
          </cell>
          <cell r="D3785">
            <v>4.3140230782</v>
          </cell>
        </row>
        <row r="3786">
          <cell r="A3786">
            <v>48940</v>
          </cell>
          <cell r="B3786">
            <v>4.3146282029999998</v>
          </cell>
          <cell r="C3786">
            <v>4.3135661922999997</v>
          </cell>
          <cell r="D3786">
            <v>4.3156904753000003</v>
          </cell>
        </row>
        <row r="3787">
          <cell r="A3787">
            <v>48941</v>
          </cell>
          <cell r="B3787">
            <v>4.3162958339999999</v>
          </cell>
          <cell r="C3787">
            <v>4.3152334127999996</v>
          </cell>
          <cell r="D3787">
            <v>4.3173585168999997</v>
          </cell>
        </row>
        <row r="3788">
          <cell r="A3788">
            <v>48942</v>
          </cell>
          <cell r="B3788">
            <v>4.3179641097000001</v>
          </cell>
          <cell r="C3788">
            <v>4.3169012778999996</v>
          </cell>
          <cell r="D3788">
            <v>4.3190272033000001</v>
          </cell>
        </row>
        <row r="3789">
          <cell r="A3789">
            <v>48943</v>
          </cell>
          <cell r="B3789">
            <v>4.3196330301000003</v>
          </cell>
          <cell r="C3789">
            <v>4.3185697875000004</v>
          </cell>
          <cell r="D3789">
            <v>4.3206965345999997</v>
          </cell>
        </row>
        <row r="3790">
          <cell r="A3790">
            <v>48946</v>
          </cell>
          <cell r="B3790">
            <v>4.3213025954999997</v>
          </cell>
          <cell r="C3790">
            <v>4.3202389419999996</v>
          </cell>
          <cell r="D3790">
            <v>4.3223665111000003</v>
          </cell>
        </row>
        <row r="3791">
          <cell r="A3791">
            <v>48947</v>
          </cell>
          <cell r="B3791">
            <v>4.3229728062000001</v>
          </cell>
          <cell r="C3791">
            <v>4.3219087415999997</v>
          </cell>
          <cell r="D3791">
            <v>4.324037133</v>
          </cell>
        </row>
        <row r="3792">
          <cell r="A3792">
            <v>48948</v>
          </cell>
          <cell r="B3792">
            <v>4.3246436625999998</v>
          </cell>
          <cell r="C3792">
            <v>4.3235791866</v>
          </cell>
          <cell r="D3792">
            <v>4.3257084007</v>
          </cell>
        </row>
        <row r="3793">
          <cell r="A3793">
            <v>48949</v>
          </cell>
          <cell r="B3793">
            <v>4.3263151646000004</v>
          </cell>
          <cell r="C3793">
            <v>4.3252502773000003</v>
          </cell>
          <cell r="D3793">
            <v>4.3273803143</v>
          </cell>
        </row>
        <row r="3794">
          <cell r="A3794">
            <v>48950</v>
          </cell>
          <cell r="B3794">
            <v>4.3279873128000004</v>
          </cell>
          <cell r="C3794">
            <v>4.3269220138</v>
          </cell>
          <cell r="D3794">
            <v>4.3290528741000003</v>
          </cell>
        </row>
        <row r="3795">
          <cell r="A3795">
            <v>48953</v>
          </cell>
          <cell r="B3795">
            <v>4.3296601071999996</v>
          </cell>
          <cell r="C3795">
            <v>4.3285943964999998</v>
          </cell>
          <cell r="D3795">
            <v>4.3307260803999998</v>
          </cell>
        </row>
        <row r="3796">
          <cell r="A3796">
            <v>48954</v>
          </cell>
          <cell r="B3796">
            <v>4.3313335481999999</v>
          </cell>
          <cell r="C3796">
            <v>4.3302674255999998</v>
          </cell>
          <cell r="D3796">
            <v>4.3323999333999996</v>
          </cell>
        </row>
        <row r="3797">
          <cell r="A3797">
            <v>48955</v>
          </cell>
          <cell r="B3797">
            <v>4.3330076358999996</v>
          </cell>
          <cell r="C3797">
            <v>4.3319411013</v>
          </cell>
          <cell r="D3797">
            <v>4.3340744332999996</v>
          </cell>
        </row>
        <row r="3798">
          <cell r="A3798">
            <v>48956</v>
          </cell>
          <cell r="B3798">
            <v>4.3346823707000004</v>
          </cell>
          <cell r="C3798">
            <v>4.3336154238000004</v>
          </cell>
          <cell r="D3798">
            <v>4.3357495803999999</v>
          </cell>
        </row>
        <row r="3799">
          <cell r="A3799">
            <v>48957</v>
          </cell>
          <cell r="B3799">
            <v>4.3363577527999997</v>
          </cell>
          <cell r="C3799">
            <v>4.3352903936000002</v>
          </cell>
          <cell r="D3799">
            <v>4.3374253749999996</v>
          </cell>
        </row>
        <row r="3800">
          <cell r="A3800">
            <v>48960</v>
          </cell>
          <cell r="B3800">
            <v>4.3380337825000002</v>
          </cell>
          <cell r="C3800">
            <v>4.3369660107000003</v>
          </cell>
          <cell r="D3800">
            <v>4.3391018173000004</v>
          </cell>
        </row>
        <row r="3801">
          <cell r="A3801">
            <v>48961</v>
          </cell>
          <cell r="B3801">
            <v>4.33971046</v>
          </cell>
          <cell r="C3801">
            <v>4.3386422754999998</v>
          </cell>
          <cell r="D3801">
            <v>4.3407789075999998</v>
          </cell>
        </row>
        <row r="3802">
          <cell r="A3802">
            <v>48962</v>
          </cell>
          <cell r="B3802">
            <v>4.3413877854000003</v>
          </cell>
          <cell r="C3802">
            <v>4.3403191880999996</v>
          </cell>
          <cell r="D3802">
            <v>4.3424566459999996</v>
          </cell>
        </row>
        <row r="3803">
          <cell r="A3803">
            <v>48963</v>
          </cell>
          <cell r="B3803">
            <v>4.3430657592999999</v>
          </cell>
          <cell r="C3803">
            <v>4.3419967488999998</v>
          </cell>
          <cell r="D3803">
            <v>4.3441350329999997</v>
          </cell>
        </row>
        <row r="3804">
          <cell r="A3804">
            <v>48964</v>
          </cell>
          <cell r="B3804">
            <v>4.3447443816</v>
          </cell>
          <cell r="C3804">
            <v>4.3436749581000003</v>
          </cell>
          <cell r="D3804">
            <v>4.3458140686000002</v>
          </cell>
        </row>
        <row r="3805">
          <cell r="A3805">
            <v>48967</v>
          </cell>
          <cell r="B3805">
            <v>4.3464236528000004</v>
          </cell>
          <cell r="C3805">
            <v>4.3453538159000002</v>
          </cell>
          <cell r="D3805">
            <v>4.3474937532000002</v>
          </cell>
        </row>
        <row r="3806">
          <cell r="A3806">
            <v>48968</v>
          </cell>
          <cell r="B3806">
            <v>4.3481035730000004</v>
          </cell>
          <cell r="C3806">
            <v>4.3470333225999997</v>
          </cell>
          <cell r="D3806">
            <v>4.3491740869999997</v>
          </cell>
        </row>
        <row r="3807">
          <cell r="A3807">
            <v>48969</v>
          </cell>
          <cell r="B3807">
            <v>4.3497841423999999</v>
          </cell>
          <cell r="C3807">
            <v>4.3487134783999997</v>
          </cell>
          <cell r="D3807">
            <v>4.3508550701999997</v>
          </cell>
        </row>
        <row r="3808">
          <cell r="A3808">
            <v>48970</v>
          </cell>
          <cell r="B3808">
            <v>4.3514653614999999</v>
          </cell>
          <cell r="C3808">
            <v>4.3503942836</v>
          </cell>
          <cell r="D3808">
            <v>4.3525367032000002</v>
          </cell>
        </row>
        <row r="3809">
          <cell r="A3809">
            <v>48971</v>
          </cell>
          <cell r="B3809">
            <v>4.3531472303000003</v>
          </cell>
          <cell r="C3809">
            <v>4.3520757385</v>
          </cell>
          <cell r="D3809">
            <v>4.3542189861000002</v>
          </cell>
        </row>
        <row r="3810">
          <cell r="A3810">
            <v>48974</v>
          </cell>
          <cell r="B3810">
            <v>4.3548297492000003</v>
          </cell>
          <cell r="C3810">
            <v>4.3537578432000004</v>
          </cell>
          <cell r="D3810">
            <v>4.3559019191999999</v>
          </cell>
        </row>
        <row r="3811">
          <cell r="A3811">
            <v>48975</v>
          </cell>
          <cell r="B3811">
            <v>4.3565129184</v>
          </cell>
          <cell r="C3811">
            <v>4.3554405981000004</v>
          </cell>
          <cell r="D3811">
            <v>4.3575855028000001</v>
          </cell>
        </row>
        <row r="3812">
          <cell r="A3812">
            <v>48976</v>
          </cell>
          <cell r="B3812">
            <v>4.3581967381000002</v>
          </cell>
          <cell r="C3812">
            <v>4.3571240034000001</v>
          </cell>
          <cell r="D3812">
            <v>4.3592697371</v>
          </cell>
        </row>
        <row r="3813">
          <cell r="A3813">
            <v>48977</v>
          </cell>
          <cell r="B3813">
            <v>4.3598812087000001</v>
          </cell>
          <cell r="C3813">
            <v>4.3588080593000003</v>
          </cell>
          <cell r="D3813">
            <v>4.3609546224000004</v>
          </cell>
        </row>
        <row r="3814">
          <cell r="A3814">
            <v>48978</v>
          </cell>
          <cell r="B3814">
            <v>4.3615663302999996</v>
          </cell>
          <cell r="C3814">
            <v>4.3604927662000001</v>
          </cell>
          <cell r="D3814">
            <v>4.3626401588999997</v>
          </cell>
        </row>
        <row r="3815">
          <cell r="A3815">
            <v>48981</v>
          </cell>
          <cell r="B3815">
            <v>4.3632521032999998</v>
          </cell>
          <cell r="C3815">
            <v>4.3621781241999997</v>
          </cell>
          <cell r="D3815">
            <v>4.3643263469000004</v>
          </cell>
        </row>
        <row r="3816">
          <cell r="A3816">
            <v>48982</v>
          </cell>
          <cell r="B3816">
            <v>4.3649385277999997</v>
          </cell>
          <cell r="C3816">
            <v>4.3638641335999999</v>
          </cell>
          <cell r="D3816">
            <v>4.3660131866</v>
          </cell>
        </row>
        <row r="3817">
          <cell r="A3817">
            <v>48983</v>
          </cell>
          <cell r="B3817">
            <v>4.3666256041000002</v>
          </cell>
          <cell r="C3817">
            <v>4.3655507946999998</v>
          </cell>
          <cell r="D3817">
            <v>4.3677006783000003</v>
          </cell>
        </row>
        <row r="3818">
          <cell r="A3818">
            <v>48984</v>
          </cell>
          <cell r="B3818">
            <v>4.3683133324999996</v>
          </cell>
          <cell r="C3818">
            <v>4.3672381076000004</v>
          </cell>
          <cell r="D3818">
            <v>4.3693888222000004</v>
          </cell>
        </row>
        <row r="3819">
          <cell r="A3819">
            <v>48985</v>
          </cell>
          <cell r="B3819">
            <v>4.3700017130999997</v>
          </cell>
          <cell r="C3819">
            <v>4.3689260726999999</v>
          </cell>
          <cell r="D3819">
            <v>4.3710776185000002</v>
          </cell>
        </row>
        <row r="3820">
          <cell r="A3820">
            <v>48988</v>
          </cell>
          <cell r="B3820">
            <v>4.3716907463999997</v>
          </cell>
          <cell r="C3820">
            <v>4.3706146902</v>
          </cell>
          <cell r="D3820">
            <v>4.3727670675999999</v>
          </cell>
        </row>
        <row r="3821">
          <cell r="A3821">
            <v>48989</v>
          </cell>
          <cell r="B3821">
            <v>4.3733804325000003</v>
          </cell>
          <cell r="C3821">
            <v>4.3723039604</v>
          </cell>
          <cell r="D3821">
            <v>4.3744571697000003</v>
          </cell>
        </row>
        <row r="3822">
          <cell r="A3822">
            <v>48990</v>
          </cell>
          <cell r="B3822">
            <v>4.3750707715999999</v>
          </cell>
          <cell r="C3822">
            <v>4.3739938833999998</v>
          </cell>
          <cell r="D3822">
            <v>4.3761479249999997</v>
          </cell>
        </row>
        <row r="3823">
          <cell r="A3823">
            <v>48991</v>
          </cell>
          <cell r="B3823">
            <v>4.3767617642000003</v>
          </cell>
          <cell r="C3823">
            <v>4.3756844598000004</v>
          </cell>
          <cell r="D3823">
            <v>4.3778393338999999</v>
          </cell>
        </row>
        <row r="3824">
          <cell r="A3824">
            <v>48992</v>
          </cell>
          <cell r="B3824">
            <v>4.3784534101999997</v>
          </cell>
          <cell r="C3824">
            <v>4.3773756894</v>
          </cell>
          <cell r="D3824">
            <v>4.3795313964</v>
          </cell>
        </row>
        <row r="3825">
          <cell r="A3825">
            <v>48997</v>
          </cell>
          <cell r="B3825">
            <v>4.3801457099999999</v>
          </cell>
          <cell r="C3825">
            <v>4.3790675727000004</v>
          </cell>
          <cell r="D3825">
            <v>4.3812241129</v>
          </cell>
        </row>
        <row r="3826">
          <cell r="A3826">
            <v>48998</v>
          </cell>
          <cell r="B3826">
            <v>4.381838664</v>
          </cell>
          <cell r="C3826">
            <v>4.3807601099999998</v>
          </cell>
          <cell r="D3826">
            <v>4.3829174837</v>
          </cell>
        </row>
        <row r="3827">
          <cell r="A3827">
            <v>48999</v>
          </cell>
          <cell r="B3827">
            <v>4.3835322723000001</v>
          </cell>
          <cell r="C3827">
            <v>4.3824533015</v>
          </cell>
          <cell r="D3827">
            <v>4.384611509</v>
          </cell>
        </row>
        <row r="3828">
          <cell r="A3828">
            <v>49002</v>
          </cell>
          <cell r="B3828">
            <v>4.3852265353000002</v>
          </cell>
          <cell r="C3828">
            <v>4.3841471474000002</v>
          </cell>
          <cell r="D3828">
            <v>4.3863061890999999</v>
          </cell>
        </row>
        <row r="3829">
          <cell r="A3829">
            <v>49003</v>
          </cell>
          <cell r="B3829">
            <v>4.3869214530000002</v>
          </cell>
          <cell r="C3829">
            <v>4.3858416479000004</v>
          </cell>
          <cell r="D3829">
            <v>4.3880015240999999</v>
          </cell>
        </row>
        <row r="3830">
          <cell r="A3830">
            <v>49004</v>
          </cell>
          <cell r="B3830">
            <v>4.3886170259000004</v>
          </cell>
          <cell r="C3830">
            <v>4.3875368033999997</v>
          </cell>
          <cell r="D3830">
            <v>4.3896975143999999</v>
          </cell>
        </row>
        <row r="3831">
          <cell r="A3831">
            <v>49005</v>
          </cell>
          <cell r="B3831">
            <v>4.3903132540999996</v>
          </cell>
          <cell r="C3831">
            <v>4.3892326141</v>
          </cell>
          <cell r="D3831">
            <v>4.3913941602</v>
          </cell>
        </row>
        <row r="3832">
          <cell r="A3832">
            <v>49006</v>
          </cell>
          <cell r="B3832">
            <v>4.3920101378999998</v>
          </cell>
          <cell r="C3832">
            <v>4.3909290802000003</v>
          </cell>
          <cell r="D3832">
            <v>4.3930914618000001</v>
          </cell>
        </row>
        <row r="3833">
          <cell r="A3833">
            <v>49009</v>
          </cell>
          <cell r="B3833">
            <v>4.3937076775000001</v>
          </cell>
          <cell r="C3833">
            <v>4.3926262020999998</v>
          </cell>
          <cell r="D3833">
            <v>4.3947894194000003</v>
          </cell>
        </row>
        <row r="3834">
          <cell r="A3834">
            <v>49010</v>
          </cell>
          <cell r="B3834">
            <v>4.3954058732999997</v>
          </cell>
          <cell r="C3834">
            <v>4.3943239799000002</v>
          </cell>
          <cell r="D3834">
            <v>4.3964880332999998</v>
          </cell>
        </row>
        <row r="3835">
          <cell r="A3835">
            <v>49011</v>
          </cell>
          <cell r="B3835">
            <v>4.3971047254000002</v>
          </cell>
          <cell r="C3835">
            <v>4.3960224136999999</v>
          </cell>
          <cell r="D3835">
            <v>4.3981873036000003</v>
          </cell>
        </row>
        <row r="3836">
          <cell r="A3836">
            <v>49012</v>
          </cell>
          <cell r="B3836">
            <v>4.3988042342</v>
          </cell>
          <cell r="C3836">
            <v>4.3977215041999997</v>
          </cell>
          <cell r="D3836">
            <v>4.3998872308000001</v>
          </cell>
        </row>
        <row r="3837">
          <cell r="A3837">
            <v>49013</v>
          </cell>
          <cell r="B3837">
            <v>4.4005043998</v>
          </cell>
          <cell r="C3837">
            <v>4.3994212512999997</v>
          </cell>
          <cell r="D3837">
            <v>4.4015878150000001</v>
          </cell>
        </row>
        <row r="3838">
          <cell r="A3838">
            <v>49016</v>
          </cell>
          <cell r="B3838">
            <v>4.4022052225000001</v>
          </cell>
          <cell r="C3838">
            <v>4.4011216553999999</v>
          </cell>
          <cell r="D3838">
            <v>4.4032890565000002</v>
          </cell>
        </row>
        <row r="3839">
          <cell r="A3839">
            <v>49017</v>
          </cell>
          <cell r="B3839">
            <v>4.4039067025999996</v>
          </cell>
          <cell r="C3839">
            <v>4.4028227167000002</v>
          </cell>
          <cell r="D3839">
            <v>4.4049909554999997</v>
          </cell>
        </row>
        <row r="3840">
          <cell r="A3840">
            <v>49018</v>
          </cell>
          <cell r="B3840">
            <v>4.4056088403000002</v>
          </cell>
          <cell r="C3840">
            <v>4.4045244354999999</v>
          </cell>
          <cell r="D3840">
            <v>4.4066935123000004</v>
          </cell>
        </row>
        <row r="3841">
          <cell r="A3841">
            <v>49019</v>
          </cell>
          <cell r="B3841">
            <v>4.4073116360000002</v>
          </cell>
          <cell r="C3841">
            <v>4.4062268119999999</v>
          </cell>
          <cell r="D3841">
            <v>4.4083967272000004</v>
          </cell>
        </row>
        <row r="3842">
          <cell r="A3842">
            <v>49020</v>
          </cell>
          <cell r="B3842">
            <v>4.4090150897999996</v>
          </cell>
          <cell r="C3842">
            <v>4.4079298465000001</v>
          </cell>
          <cell r="D3842">
            <v>4.4101006003999998</v>
          </cell>
        </row>
        <row r="3843">
          <cell r="A3843">
            <v>49023</v>
          </cell>
          <cell r="B3843">
            <v>4.4107192020000001</v>
          </cell>
          <cell r="C3843">
            <v>4.4096335391999997</v>
          </cell>
          <cell r="D3843">
            <v>4.4118051320999996</v>
          </cell>
        </row>
        <row r="3844">
          <cell r="A3844">
            <v>49024</v>
          </cell>
          <cell r="B3844">
            <v>4.4124239728000001</v>
          </cell>
          <cell r="C3844">
            <v>4.4113378904999996</v>
          </cell>
          <cell r="D3844">
            <v>4.4135103226999997</v>
          </cell>
        </row>
        <row r="3845">
          <cell r="A3845">
            <v>49025</v>
          </cell>
          <cell r="B3845">
            <v>4.4141294026000004</v>
          </cell>
          <cell r="C3845">
            <v>4.4130429003999998</v>
          </cell>
          <cell r="D3845">
            <v>4.4152161723000001</v>
          </cell>
        </row>
        <row r="3846">
          <cell r="A3846">
            <v>49026</v>
          </cell>
          <cell r="B3846">
            <v>4.4158354914000002</v>
          </cell>
          <cell r="C3846">
            <v>4.4147485693000004</v>
          </cell>
          <cell r="D3846">
            <v>4.4169226812</v>
          </cell>
        </row>
        <row r="3847">
          <cell r="A3847">
            <v>49027</v>
          </cell>
          <cell r="B3847">
            <v>4.4175422397000004</v>
          </cell>
          <cell r="C3847">
            <v>4.4164548975000004</v>
          </cell>
          <cell r="D3847">
            <v>4.4186298497000003</v>
          </cell>
        </row>
        <row r="3848">
          <cell r="A3848">
            <v>49030</v>
          </cell>
          <cell r="B3848">
            <v>4.4192496477000001</v>
          </cell>
          <cell r="C3848">
            <v>4.4181618853</v>
          </cell>
          <cell r="D3848">
            <v>4.4203376781000001</v>
          </cell>
        </row>
        <row r="3849">
          <cell r="A3849">
            <v>49031</v>
          </cell>
          <cell r="B3849">
            <v>4.4209577156000002</v>
          </cell>
          <cell r="C3849">
            <v>4.4198695326999999</v>
          </cell>
          <cell r="D3849">
            <v>4.4220461665000004</v>
          </cell>
        </row>
        <row r="3850">
          <cell r="A3850">
            <v>49032</v>
          </cell>
          <cell r="B3850">
            <v>4.4226664436999998</v>
          </cell>
          <cell r="C3850">
            <v>4.4215778403000003</v>
          </cell>
          <cell r="D3850">
            <v>4.4237553153000002</v>
          </cell>
        </row>
        <row r="3851">
          <cell r="A3851">
            <v>49033</v>
          </cell>
          <cell r="B3851">
            <v>4.4243758322</v>
          </cell>
          <cell r="C3851">
            <v>4.4232868080000003</v>
          </cell>
          <cell r="D3851">
            <v>4.4254651245999996</v>
          </cell>
        </row>
        <row r="3852">
          <cell r="A3852">
            <v>49034</v>
          </cell>
          <cell r="B3852">
            <v>4.4260858813999997</v>
          </cell>
          <cell r="C3852">
            <v>4.4249964362999998</v>
          </cell>
          <cell r="D3852">
            <v>4.4271755948999996</v>
          </cell>
        </row>
        <row r="3853">
          <cell r="A3853">
            <v>49037</v>
          </cell>
          <cell r="B3853">
            <v>4.4277965915999999</v>
          </cell>
          <cell r="C3853">
            <v>4.4267067253999999</v>
          </cell>
          <cell r="D3853">
            <v>4.4288867262</v>
          </cell>
        </row>
        <row r="3854">
          <cell r="A3854">
            <v>49038</v>
          </cell>
          <cell r="B3854">
            <v>4.4295079628999998</v>
          </cell>
          <cell r="C3854">
            <v>4.4284176755000004</v>
          </cell>
          <cell r="D3854">
            <v>4.4305985189000001</v>
          </cell>
        </row>
        <row r="3855">
          <cell r="A3855">
            <v>49039</v>
          </cell>
          <cell r="B3855">
            <v>4.4312199957000002</v>
          </cell>
          <cell r="C3855">
            <v>4.4301292868999997</v>
          </cell>
          <cell r="D3855">
            <v>4.4323109731999999</v>
          </cell>
        </row>
        <row r="3856">
          <cell r="A3856">
            <v>49040</v>
          </cell>
          <cell r="B3856">
            <v>4.4329326902000004</v>
          </cell>
          <cell r="C3856">
            <v>4.4318415597999996</v>
          </cell>
          <cell r="D3856">
            <v>4.4340240894000003</v>
          </cell>
        </row>
        <row r="3857">
          <cell r="A3857">
            <v>49044</v>
          </cell>
          <cell r="B3857">
            <v>4.4346460467000002</v>
          </cell>
          <cell r="C3857">
            <v>4.4335544946000001</v>
          </cell>
          <cell r="D3857">
            <v>4.4357378677000003</v>
          </cell>
        </row>
        <row r="3858">
          <cell r="A3858">
            <v>49045</v>
          </cell>
          <cell r="B3858">
            <v>4.4363600653999997</v>
          </cell>
          <cell r="C3858">
            <v>4.4352680914000002</v>
          </cell>
          <cell r="D3858">
            <v>4.4374523084000002</v>
          </cell>
        </row>
        <row r="3859">
          <cell r="A3859">
            <v>49046</v>
          </cell>
          <cell r="B3859">
            <v>4.4380747465999999</v>
          </cell>
          <cell r="C3859">
            <v>4.4369823505000001</v>
          </cell>
          <cell r="D3859">
            <v>4.4391674116999997</v>
          </cell>
        </row>
        <row r="3860">
          <cell r="A3860">
            <v>49047</v>
          </cell>
          <cell r="B3860">
            <v>4.4397900903999998</v>
          </cell>
          <cell r="C3860">
            <v>4.4386972720999998</v>
          </cell>
          <cell r="D3860">
            <v>4.4408831779</v>
          </cell>
        </row>
        <row r="3861">
          <cell r="A3861">
            <v>49048</v>
          </cell>
          <cell r="B3861">
            <v>4.4415060972999996</v>
          </cell>
          <cell r="C3861">
            <v>4.4404128567000001</v>
          </cell>
          <cell r="D3861">
            <v>4.4425996073</v>
          </cell>
        </row>
        <row r="3862">
          <cell r="A3862">
            <v>49051</v>
          </cell>
          <cell r="B3862">
            <v>4.4432227675</v>
          </cell>
          <cell r="C3862">
            <v>4.4421291043000002</v>
          </cell>
          <cell r="D3862">
            <v>4.4443167000999999</v>
          </cell>
        </row>
        <row r="3863">
          <cell r="A3863">
            <v>49052</v>
          </cell>
          <cell r="B3863">
            <v>4.4449401012000003</v>
          </cell>
          <cell r="C3863">
            <v>4.4438460153000001</v>
          </cell>
          <cell r="D3863">
            <v>4.4460344565999996</v>
          </cell>
        </row>
        <row r="3864">
          <cell r="A3864">
            <v>49053</v>
          </cell>
          <cell r="B3864">
            <v>4.4466580986000004</v>
          </cell>
          <cell r="C3864">
            <v>4.4455635897999999</v>
          </cell>
          <cell r="D3864">
            <v>4.4477528770000001</v>
          </cell>
        </row>
        <row r="3865">
          <cell r="A3865">
            <v>49054</v>
          </cell>
          <cell r="B3865">
            <v>4.4483767601000004</v>
          </cell>
          <cell r="C3865">
            <v>4.4472818282000004</v>
          </cell>
          <cell r="D3865">
            <v>4.4494719615999996</v>
          </cell>
        </row>
        <row r="3866">
          <cell r="A3866">
            <v>49058</v>
          </cell>
          <cell r="B3866">
            <v>4.4500960858000003</v>
          </cell>
          <cell r="C3866">
            <v>4.4490007306999999</v>
          </cell>
          <cell r="D3866">
            <v>4.4511917105999999</v>
          </cell>
        </row>
        <row r="3867">
          <cell r="A3867">
            <v>49059</v>
          </cell>
          <cell r="B3867">
            <v>4.4518160760000001</v>
          </cell>
          <cell r="C3867">
            <v>4.4507202976000002</v>
          </cell>
          <cell r="D3867">
            <v>4.4529121243000001</v>
          </cell>
        </row>
        <row r="3868">
          <cell r="A3868">
            <v>49060</v>
          </cell>
          <cell r="B3868">
            <v>4.4535367310999998</v>
          </cell>
          <cell r="C3868">
            <v>4.4524405292000004</v>
          </cell>
          <cell r="D3868">
            <v>4.4546332030000002</v>
          </cell>
        </row>
        <row r="3869">
          <cell r="A3869">
            <v>49061</v>
          </cell>
          <cell r="B3869">
            <v>4.4552580511000004</v>
          </cell>
          <cell r="C3869">
            <v>4.4541614254999997</v>
          </cell>
          <cell r="D3869">
            <v>4.4563549468000003</v>
          </cell>
        </row>
        <row r="3870">
          <cell r="A3870">
            <v>49062</v>
          </cell>
          <cell r="B3870">
            <v>4.4569800365000001</v>
          </cell>
          <cell r="C3870">
            <v>4.4558829870999999</v>
          </cell>
          <cell r="D3870">
            <v>4.4580773561999996</v>
          </cell>
        </row>
        <row r="3871">
          <cell r="A3871">
            <v>49066</v>
          </cell>
          <cell r="B3871">
            <v>4.4587026873999998</v>
          </cell>
          <cell r="C3871">
            <v>4.4576052139</v>
          </cell>
          <cell r="D3871">
            <v>4.4598004311999997</v>
          </cell>
        </row>
        <row r="3872">
          <cell r="A3872">
            <v>49067</v>
          </cell>
          <cell r="B3872">
            <v>4.4604260041000003</v>
          </cell>
          <cell r="C3872">
            <v>4.4593281065000001</v>
          </cell>
          <cell r="D3872">
            <v>4.4615241721999999</v>
          </cell>
        </row>
        <row r="3873">
          <cell r="A3873">
            <v>49068</v>
          </cell>
          <cell r="B3873">
            <v>4.4621499870000001</v>
          </cell>
          <cell r="C3873">
            <v>4.4610516650000003</v>
          </cell>
          <cell r="D3873">
            <v>4.4632485795000001</v>
          </cell>
        </row>
        <row r="3874">
          <cell r="A3874">
            <v>49069</v>
          </cell>
          <cell r="B3874">
            <v>4.4638746361999999</v>
          </cell>
          <cell r="C3874">
            <v>4.4627758895999996</v>
          </cell>
          <cell r="D3874">
            <v>4.4649736533000004</v>
          </cell>
        </row>
        <row r="3875">
          <cell r="A3875">
            <v>49072</v>
          </cell>
          <cell r="B3875">
            <v>4.4655999518999998</v>
          </cell>
          <cell r="C3875">
            <v>4.4645007806999999</v>
          </cell>
          <cell r="D3875">
            <v>4.4666993937999999</v>
          </cell>
        </row>
        <row r="3876">
          <cell r="A3876">
            <v>49073</v>
          </cell>
          <cell r="B3876">
            <v>4.4673259343999998</v>
          </cell>
          <cell r="C3876">
            <v>4.4662263384000003</v>
          </cell>
          <cell r="D3876">
            <v>4.4684258013000004</v>
          </cell>
        </row>
        <row r="3877">
          <cell r="A3877">
            <v>49074</v>
          </cell>
          <cell r="B3877">
            <v>4.4690525840999999</v>
          </cell>
          <cell r="C3877">
            <v>4.4679525630999999</v>
          </cell>
          <cell r="D3877">
            <v>4.4701528761000002</v>
          </cell>
        </row>
        <row r="3878">
          <cell r="A3878">
            <v>49075</v>
          </cell>
          <cell r="B3878">
            <v>4.4707799012000002</v>
          </cell>
          <cell r="C3878">
            <v>4.4696794549999996</v>
          </cell>
          <cell r="D3878">
            <v>4.4718806184000002</v>
          </cell>
        </row>
        <row r="3879">
          <cell r="A3879">
            <v>49076</v>
          </cell>
          <cell r="B3879">
            <v>4.4725078857999998</v>
          </cell>
          <cell r="C3879">
            <v>4.4714070143000004</v>
          </cell>
          <cell r="D3879">
            <v>4.4736090285000003</v>
          </cell>
        </row>
        <row r="3880">
          <cell r="A3880">
            <v>49079</v>
          </cell>
          <cell r="B3880">
            <v>4.4742365383999996</v>
          </cell>
          <cell r="C3880">
            <v>4.4731352413999996</v>
          </cell>
          <cell r="D3880">
            <v>4.4753381066999998</v>
          </cell>
        </row>
        <row r="3881">
          <cell r="A3881">
            <v>49080</v>
          </cell>
          <cell r="B3881">
            <v>4.4759658591000004</v>
          </cell>
          <cell r="C3881">
            <v>4.4748641363999999</v>
          </cell>
          <cell r="D3881">
            <v>4.4770678531000003</v>
          </cell>
        </row>
        <row r="3882">
          <cell r="A3882">
            <v>49081</v>
          </cell>
          <cell r="B3882">
            <v>4.4776958480999998</v>
          </cell>
          <cell r="C3882">
            <v>4.4765936996000004</v>
          </cell>
          <cell r="D3882">
            <v>4.4787982681000003</v>
          </cell>
        </row>
        <row r="3883">
          <cell r="A3883">
            <v>49082</v>
          </cell>
          <cell r="B3883">
            <v>4.4794265058000002</v>
          </cell>
          <cell r="C3883">
            <v>4.4783239314000003</v>
          </cell>
          <cell r="D3883">
            <v>4.4805293518999996</v>
          </cell>
        </row>
        <row r="3884">
          <cell r="A3884">
            <v>49083</v>
          </cell>
          <cell r="B3884">
            <v>4.4811578325000001</v>
          </cell>
          <cell r="C3884">
            <v>4.4800548319000004</v>
          </cell>
          <cell r="D3884">
            <v>4.4822611048000001</v>
          </cell>
        </row>
        <row r="3885">
          <cell r="A3885">
            <v>49086</v>
          </cell>
          <cell r="B3885">
            <v>4.4828898283000003</v>
          </cell>
          <cell r="C3885">
            <v>4.4817864012999999</v>
          </cell>
          <cell r="D3885">
            <v>4.483993527</v>
          </cell>
        </row>
        <row r="3886">
          <cell r="A3886">
            <v>49087</v>
          </cell>
          <cell r="B3886">
            <v>4.4846224934999999</v>
          </cell>
          <cell r="C3886">
            <v>4.4835186400999998</v>
          </cell>
          <cell r="D3886">
            <v>4.4857266188000002</v>
          </cell>
        </row>
        <row r="3887">
          <cell r="A3887">
            <v>49088</v>
          </cell>
          <cell r="B3887">
            <v>4.4863558283999998</v>
          </cell>
          <cell r="C3887">
            <v>4.4852515484</v>
          </cell>
          <cell r="D3887">
            <v>4.4874603805</v>
          </cell>
        </row>
        <row r="3888">
          <cell r="A3888">
            <v>49089</v>
          </cell>
          <cell r="B3888">
            <v>4.4880898333000001</v>
          </cell>
          <cell r="C3888">
            <v>4.4869851263999996</v>
          </cell>
          <cell r="D3888">
            <v>4.4891948123000001</v>
          </cell>
        </row>
        <row r="3889">
          <cell r="A3889">
            <v>49090</v>
          </cell>
          <cell r="B3889">
            <v>4.4898245082999999</v>
          </cell>
          <cell r="C3889">
            <v>4.4887193744999996</v>
          </cell>
          <cell r="D3889">
            <v>4.4909299143999997</v>
          </cell>
        </row>
        <row r="3890">
          <cell r="A3890">
            <v>49093</v>
          </cell>
          <cell r="B3890">
            <v>4.4915598539000001</v>
          </cell>
          <cell r="C3890">
            <v>4.4904542929</v>
          </cell>
          <cell r="D3890">
            <v>4.4926656871999997</v>
          </cell>
        </row>
        <row r="3891">
          <cell r="A3891">
            <v>49094</v>
          </cell>
          <cell r="B3891">
            <v>4.4932958701999999</v>
          </cell>
          <cell r="C3891">
            <v>4.4921898818999999</v>
          </cell>
          <cell r="D3891">
            <v>4.4944021309000002</v>
          </cell>
        </row>
        <row r="3892">
          <cell r="A3892">
            <v>49095</v>
          </cell>
          <cell r="B3892">
            <v>4.4950325574000001</v>
          </cell>
          <cell r="C3892">
            <v>4.4939261416000003</v>
          </cell>
          <cell r="D3892">
            <v>4.4961392457000002</v>
          </cell>
        </row>
        <row r="3893">
          <cell r="A3893">
            <v>49096</v>
          </cell>
          <cell r="B3893">
            <v>4.4967699158999999</v>
          </cell>
          <cell r="C3893">
            <v>4.4956630724000002</v>
          </cell>
          <cell r="D3893">
            <v>4.4978770318999999</v>
          </cell>
        </row>
        <row r="3894">
          <cell r="A3894">
            <v>49097</v>
          </cell>
          <cell r="B3894">
            <v>4.4985079458000001</v>
          </cell>
          <cell r="C3894">
            <v>4.4974006745999997</v>
          </cell>
          <cell r="D3894">
            <v>4.4996154898</v>
          </cell>
        </row>
        <row r="3895">
          <cell r="A3895">
            <v>49100</v>
          </cell>
          <cell r="B3895">
            <v>4.5002466476</v>
          </cell>
          <cell r="C3895">
            <v>4.4991389483999997</v>
          </cell>
          <cell r="D3895">
            <v>4.5013546195999998</v>
          </cell>
        </row>
        <row r="3896">
          <cell r="A3896">
            <v>49101</v>
          </cell>
          <cell r="B3896">
            <v>4.5019860212999996</v>
          </cell>
          <cell r="C3896">
            <v>4.5008778940000003</v>
          </cell>
          <cell r="D3896">
            <v>4.5030944216000002</v>
          </cell>
        </row>
        <row r="3897">
          <cell r="A3897">
            <v>49102</v>
          </cell>
          <cell r="B3897">
            <v>4.5037260672999997</v>
          </cell>
          <cell r="C3897">
            <v>4.5026175116999996</v>
          </cell>
          <cell r="D3897">
            <v>4.5048348960000002</v>
          </cell>
        </row>
        <row r="3898">
          <cell r="A3898">
            <v>49104</v>
          </cell>
          <cell r="B3898">
            <v>4.5054667859000004</v>
          </cell>
          <cell r="C3898">
            <v>4.5043578018000003</v>
          </cell>
          <cell r="D3898">
            <v>4.5065760430999999</v>
          </cell>
        </row>
        <row r="3899">
          <cell r="A3899">
            <v>49107</v>
          </cell>
          <cell r="B3899">
            <v>4.5072081771999999</v>
          </cell>
          <cell r="C3899">
            <v>4.5060987644999999</v>
          </cell>
          <cell r="D3899">
            <v>4.5083178632000003</v>
          </cell>
        </row>
        <row r="3900">
          <cell r="A3900">
            <v>49108</v>
          </cell>
          <cell r="B3900">
            <v>4.5089502416</v>
          </cell>
          <cell r="C3900">
            <v>4.5078404001000001</v>
          </cell>
          <cell r="D3900">
            <v>4.5100603565000004</v>
          </cell>
        </row>
        <row r="3901">
          <cell r="A3901">
            <v>49109</v>
          </cell>
          <cell r="B3901">
            <v>4.5106929794999999</v>
          </cell>
          <cell r="C3901">
            <v>4.509582709</v>
          </cell>
          <cell r="D3901">
            <v>4.5118035234000002</v>
          </cell>
        </row>
        <row r="3902">
          <cell r="A3902">
            <v>49110</v>
          </cell>
          <cell r="B3902">
            <v>4.5124363906999996</v>
          </cell>
          <cell r="C3902">
            <v>4.5113256910999997</v>
          </cell>
          <cell r="D3902">
            <v>4.5135473638999999</v>
          </cell>
        </row>
        <row r="3903">
          <cell r="A3903">
            <v>49111</v>
          </cell>
          <cell r="B3903">
            <v>4.5141804758999999</v>
          </cell>
          <cell r="C3903">
            <v>4.5130693470000001</v>
          </cell>
          <cell r="D3903">
            <v>4.5152918785000002</v>
          </cell>
        </row>
        <row r="3904">
          <cell r="A3904">
            <v>49114</v>
          </cell>
          <cell r="B3904">
            <v>4.5159252352000001</v>
          </cell>
          <cell r="C3904">
            <v>4.5148136768000002</v>
          </cell>
          <cell r="D3904">
            <v>4.5170370673000004</v>
          </cell>
        </row>
        <row r="3905">
          <cell r="A3905">
            <v>49115</v>
          </cell>
          <cell r="B3905">
            <v>4.5176706688000001</v>
          </cell>
          <cell r="C3905">
            <v>4.5165586809000002</v>
          </cell>
          <cell r="D3905">
            <v>4.5187829306999996</v>
          </cell>
        </row>
        <row r="3906">
          <cell r="A3906">
            <v>49116</v>
          </cell>
          <cell r="B3906">
            <v>4.519416777</v>
          </cell>
          <cell r="C3906">
            <v>4.5183043593000001</v>
          </cell>
          <cell r="D3906">
            <v>4.5205294688000004</v>
          </cell>
        </row>
        <row r="3907">
          <cell r="A3907">
            <v>49117</v>
          </cell>
          <cell r="B3907">
            <v>4.5211635601999998</v>
          </cell>
          <cell r="C3907">
            <v>4.5200507124999998</v>
          </cell>
          <cell r="D3907">
            <v>4.5222766820000002</v>
          </cell>
        </row>
        <row r="3908">
          <cell r="A3908">
            <v>49118</v>
          </cell>
          <cell r="B3908">
            <v>4.5229110184000003</v>
          </cell>
          <cell r="C3908">
            <v>4.5217977406000003</v>
          </cell>
          <cell r="D3908">
            <v>4.5240245705</v>
          </cell>
        </row>
        <row r="3909">
          <cell r="A3909">
            <v>49121</v>
          </cell>
          <cell r="B3909">
            <v>4.5246591520999999</v>
          </cell>
          <cell r="C3909">
            <v>4.5235454438999998</v>
          </cell>
          <cell r="D3909">
            <v>4.5257731344999996</v>
          </cell>
        </row>
        <row r="3910">
          <cell r="A3910">
            <v>49122</v>
          </cell>
          <cell r="B3910">
            <v>4.5264079614000003</v>
          </cell>
          <cell r="C3910">
            <v>4.5252938228000001</v>
          </cell>
          <cell r="D3910">
            <v>4.5275223744000002</v>
          </cell>
        </row>
        <row r="3911">
          <cell r="A3911">
            <v>49123</v>
          </cell>
          <cell r="B3911">
            <v>4.5281574466999999</v>
          </cell>
          <cell r="C3911">
            <v>4.5270428774999996</v>
          </cell>
          <cell r="D3911">
            <v>4.5292722903999998</v>
          </cell>
        </row>
        <row r="3912">
          <cell r="A3912">
            <v>49124</v>
          </cell>
          <cell r="B3912">
            <v>4.5299076082000003</v>
          </cell>
          <cell r="C3912">
            <v>4.5287926081999998</v>
          </cell>
          <cell r="D3912">
            <v>4.5310228828000003</v>
          </cell>
        </row>
        <row r="3913">
          <cell r="A3913">
            <v>49125</v>
          </cell>
          <cell r="B3913">
            <v>4.5316584459999998</v>
          </cell>
          <cell r="C3913">
            <v>4.5305430151000001</v>
          </cell>
          <cell r="D3913">
            <v>4.5327741517</v>
          </cell>
        </row>
        <row r="3914">
          <cell r="A3914">
            <v>49128</v>
          </cell>
          <cell r="B3914">
            <v>4.5334099607000002</v>
          </cell>
          <cell r="C3914">
            <v>4.5322940986000004</v>
          </cell>
          <cell r="D3914">
            <v>4.5345260975999997</v>
          </cell>
        </row>
        <row r="3915">
          <cell r="A3915">
            <v>49129</v>
          </cell>
          <cell r="B3915">
            <v>4.5351621521999999</v>
          </cell>
          <cell r="C3915">
            <v>4.5340458587999999</v>
          </cell>
          <cell r="D3915">
            <v>4.5362787205000004</v>
          </cell>
        </row>
        <row r="3916">
          <cell r="A3916">
            <v>49130</v>
          </cell>
          <cell r="B3916">
            <v>4.5369150210000004</v>
          </cell>
          <cell r="C3916">
            <v>4.5357982962000003</v>
          </cell>
          <cell r="D3916">
            <v>4.5380320209000002</v>
          </cell>
        </row>
        <row r="3917">
          <cell r="A3917">
            <v>49131</v>
          </cell>
          <cell r="B3917">
            <v>4.5386685674000002</v>
          </cell>
          <cell r="C3917">
            <v>4.5375514109999999</v>
          </cell>
          <cell r="D3917">
            <v>4.5397859990000002</v>
          </cell>
        </row>
        <row r="3918">
          <cell r="A3918">
            <v>49132</v>
          </cell>
          <cell r="B3918">
            <v>4.5404227914000002</v>
          </cell>
          <cell r="C3918">
            <v>4.5393052031999996</v>
          </cell>
          <cell r="D3918">
            <v>4.5415406549000004</v>
          </cell>
        </row>
        <row r="3919">
          <cell r="A3919">
            <v>49135</v>
          </cell>
          <cell r="B3919">
            <v>4.5421776935000002</v>
          </cell>
          <cell r="C3919">
            <v>4.5410596734000004</v>
          </cell>
          <cell r="D3919">
            <v>4.5432959890999998</v>
          </cell>
        </row>
        <row r="3920">
          <cell r="A3920">
            <v>49136</v>
          </cell>
          <cell r="B3920">
            <v>4.5439332737999996</v>
          </cell>
          <cell r="C3920">
            <v>4.5428148215000004</v>
          </cell>
          <cell r="D3920">
            <v>4.5450520016000002</v>
          </cell>
        </row>
        <row r="3921">
          <cell r="A3921">
            <v>49137</v>
          </cell>
          <cell r="B3921">
            <v>4.5456895327</v>
          </cell>
          <cell r="C3921">
            <v>4.5445706480999997</v>
          </cell>
          <cell r="D3921">
            <v>4.5468086929</v>
          </cell>
        </row>
        <row r="3922">
          <cell r="A3922">
            <v>49138</v>
          </cell>
          <cell r="B3922">
            <v>4.5474464704999997</v>
          </cell>
          <cell r="C3922">
            <v>4.5463271534</v>
          </cell>
          <cell r="D3922">
            <v>4.5485660632</v>
          </cell>
        </row>
        <row r="3923">
          <cell r="A3923">
            <v>49139</v>
          </cell>
          <cell r="B3923">
            <v>4.5492040871999997</v>
          </cell>
          <cell r="C3923">
            <v>4.5480843375999997</v>
          </cell>
          <cell r="D3923">
            <v>4.5503241127000003</v>
          </cell>
        </row>
        <row r="3924">
          <cell r="A3924">
            <v>49142</v>
          </cell>
          <cell r="B3924">
            <v>4.5509623832999999</v>
          </cell>
          <cell r="C3924">
            <v>4.5498422008999997</v>
          </cell>
          <cell r="D3924">
            <v>4.5520828416999999</v>
          </cell>
        </row>
        <row r="3925">
          <cell r="A3925">
            <v>49143</v>
          </cell>
          <cell r="B3925">
            <v>4.5527213591000004</v>
          </cell>
          <cell r="C3925">
            <v>4.5516007436999999</v>
          </cell>
          <cell r="D3925">
            <v>4.5538422504999998</v>
          </cell>
        </row>
        <row r="3926">
          <cell r="A3926">
            <v>49144</v>
          </cell>
          <cell r="B3926">
            <v>4.5544810146000003</v>
          </cell>
          <cell r="C3926">
            <v>4.5533599661000004</v>
          </cell>
          <cell r="D3926">
            <v>4.5556023393</v>
          </cell>
        </row>
        <row r="3927">
          <cell r="A3927">
            <v>49145</v>
          </cell>
          <cell r="B3927">
            <v>4.5562413502999997</v>
          </cell>
          <cell r="C3927">
            <v>4.5551198685000003</v>
          </cell>
          <cell r="D3927">
            <v>4.5573631083999997</v>
          </cell>
        </row>
        <row r="3928">
          <cell r="A3928">
            <v>49146</v>
          </cell>
          <cell r="B3928">
            <v>4.5580023664000002</v>
          </cell>
          <cell r="C3928">
            <v>4.5568804510999996</v>
          </cell>
          <cell r="D3928">
            <v>4.5591245579999997</v>
          </cell>
        </row>
        <row r="3929">
          <cell r="A3929">
            <v>49149</v>
          </cell>
          <cell r="B3929">
            <v>4.5597640630000003</v>
          </cell>
          <cell r="C3929">
            <v>4.5586417141000002</v>
          </cell>
          <cell r="D3929">
            <v>4.5608866884000001</v>
          </cell>
        </row>
        <row r="3930">
          <cell r="A3930">
            <v>49150</v>
          </cell>
          <cell r="B3930">
            <v>4.5615264405999998</v>
          </cell>
          <cell r="C3930">
            <v>4.5604036579000002</v>
          </cell>
          <cell r="D3930">
            <v>4.5626494999</v>
          </cell>
        </row>
        <row r="3931">
          <cell r="A3931">
            <v>49151</v>
          </cell>
          <cell r="B3931">
            <v>4.5632894994999997</v>
          </cell>
          <cell r="C3931">
            <v>4.5621662827999998</v>
          </cell>
          <cell r="D3931">
            <v>4.5644129928000003</v>
          </cell>
        </row>
        <row r="3932">
          <cell r="A3932">
            <v>49152</v>
          </cell>
          <cell r="B3932">
            <v>4.5650532396000001</v>
          </cell>
          <cell r="C3932">
            <v>4.5639295887999998</v>
          </cell>
          <cell r="D3932">
            <v>4.5661771672000002</v>
          </cell>
        </row>
        <row r="3933">
          <cell r="A3933">
            <v>49153</v>
          </cell>
          <cell r="B3933">
            <v>4.5668176615</v>
          </cell>
          <cell r="C3933">
            <v>4.5656935764000002</v>
          </cell>
          <cell r="D3933">
            <v>4.5679420234999997</v>
          </cell>
        </row>
        <row r="3934">
          <cell r="A3934">
            <v>49156</v>
          </cell>
          <cell r="B3934">
            <v>4.5685827655000004</v>
          </cell>
          <cell r="C3934">
            <v>4.5674582459000002</v>
          </cell>
          <cell r="D3934">
            <v>4.5697075619999996</v>
          </cell>
        </row>
        <row r="3935">
          <cell r="A3935">
            <v>49157</v>
          </cell>
          <cell r="B3935">
            <v>4.5703485515000004</v>
          </cell>
          <cell r="C3935">
            <v>4.5692235972999997</v>
          </cell>
          <cell r="D3935">
            <v>4.5714737828000001</v>
          </cell>
        </row>
        <row r="3936">
          <cell r="A3936">
            <v>49158</v>
          </cell>
          <cell r="B3936">
            <v>4.5721150201</v>
          </cell>
          <cell r="C3936">
            <v>4.5709896310999998</v>
          </cell>
          <cell r="D3936">
            <v>4.5732406863000001</v>
          </cell>
        </row>
        <row r="3937">
          <cell r="A3937">
            <v>49159</v>
          </cell>
          <cell r="B3937">
            <v>4.5738821714000002</v>
          </cell>
          <cell r="C3937">
            <v>4.5727563475000004</v>
          </cell>
          <cell r="D3937">
            <v>4.5750082726999999</v>
          </cell>
        </row>
        <row r="3938">
          <cell r="A3938">
            <v>49160</v>
          </cell>
          <cell r="B3938">
            <v>4.5756500058</v>
          </cell>
          <cell r="C3938">
            <v>4.5745237466999997</v>
          </cell>
          <cell r="D3938">
            <v>4.5767765423000002</v>
          </cell>
        </row>
        <row r="3939">
          <cell r="A3939">
            <v>49163</v>
          </cell>
          <cell r="B3939">
            <v>4.5774185234000004</v>
          </cell>
          <cell r="C3939">
            <v>4.5762918288999996</v>
          </cell>
          <cell r="D3939">
            <v>4.5785454953000002</v>
          </cell>
        </row>
        <row r="3940">
          <cell r="A3940">
            <v>49164</v>
          </cell>
          <cell r="B3940">
            <v>4.5791877245999997</v>
          </cell>
          <cell r="C3940">
            <v>4.5780605947000002</v>
          </cell>
          <cell r="D3940">
            <v>4.5803151321</v>
          </cell>
        </row>
        <row r="3941">
          <cell r="A3941">
            <v>49165</v>
          </cell>
          <cell r="B3941">
            <v>4.5809576095000004</v>
          </cell>
          <cell r="C3941">
            <v>4.5798300440000004</v>
          </cell>
          <cell r="D3941">
            <v>4.5820854528000003</v>
          </cell>
        </row>
        <row r="3942">
          <cell r="A3942">
            <v>49166</v>
          </cell>
          <cell r="B3942">
            <v>4.5827281786</v>
          </cell>
          <cell r="C3942">
            <v>4.5816001773000004</v>
          </cell>
          <cell r="D3942">
            <v>4.5838564577999996</v>
          </cell>
        </row>
        <row r="3943">
          <cell r="A3943">
            <v>49167</v>
          </cell>
          <cell r="B3943">
            <v>4.5844994319000003</v>
          </cell>
          <cell r="C3943">
            <v>4.5833709946000001</v>
          </cell>
          <cell r="D3943">
            <v>4.5856281471999996</v>
          </cell>
        </row>
        <row r="3944">
          <cell r="A3944">
            <v>49170</v>
          </cell>
          <cell r="B3944">
            <v>4.5862713700000004</v>
          </cell>
          <cell r="C3944">
            <v>4.5851424964999996</v>
          </cell>
          <cell r="D3944">
            <v>4.5874005215000002</v>
          </cell>
        </row>
        <row r="3945">
          <cell r="A3945">
            <v>49171</v>
          </cell>
          <cell r="B3945">
            <v>4.5880439927000003</v>
          </cell>
          <cell r="C3945">
            <v>4.5869146829999998</v>
          </cell>
          <cell r="D3945">
            <v>4.5891735806999998</v>
          </cell>
        </row>
        <row r="3946">
          <cell r="A3946">
            <v>49172</v>
          </cell>
          <cell r="B3946">
            <v>4.5898173008000001</v>
          </cell>
          <cell r="C3946">
            <v>4.5886875544999999</v>
          </cell>
          <cell r="D3946">
            <v>4.5909473253000002</v>
          </cell>
        </row>
        <row r="3947">
          <cell r="A3947">
            <v>49173</v>
          </cell>
          <cell r="B3947">
            <v>4.5915912940999997</v>
          </cell>
          <cell r="C3947">
            <v>4.5904611111999998</v>
          </cell>
          <cell r="D3947">
            <v>4.5927217554000004</v>
          </cell>
        </row>
        <row r="3948">
          <cell r="A3948">
            <v>49174</v>
          </cell>
          <cell r="B3948">
            <v>4.5933659732000001</v>
          </cell>
          <cell r="C3948">
            <v>4.5922353534000004</v>
          </cell>
          <cell r="D3948">
            <v>4.5944968713999996</v>
          </cell>
        </row>
        <row r="3949">
          <cell r="A3949">
            <v>49177</v>
          </cell>
          <cell r="B3949">
            <v>4.5951413382000004</v>
          </cell>
          <cell r="C3949">
            <v>4.5940102814000001</v>
          </cell>
          <cell r="D3949">
            <v>4.5962726734999997</v>
          </cell>
        </row>
        <row r="3950">
          <cell r="A3950">
            <v>49178</v>
          </cell>
          <cell r="B3950">
            <v>4.5969173892999997</v>
          </cell>
          <cell r="C3950">
            <v>4.5957858953999997</v>
          </cell>
          <cell r="D3950">
            <v>4.5980491618999997</v>
          </cell>
        </row>
        <row r="3951">
          <cell r="A3951">
            <v>49179</v>
          </cell>
          <cell r="B3951">
            <v>4.5986941268999999</v>
          </cell>
          <cell r="C3951">
            <v>4.5975621956000001</v>
          </cell>
          <cell r="D3951">
            <v>4.5998263368999996</v>
          </cell>
        </row>
        <row r="3952">
          <cell r="A3952">
            <v>49180</v>
          </cell>
          <cell r="B3952">
            <v>4.6004715512000001</v>
          </cell>
          <cell r="C3952">
            <v>4.5993391823999996</v>
          </cell>
          <cell r="D3952">
            <v>4.6016041987999996</v>
          </cell>
        </row>
        <row r="3953">
          <cell r="A3953">
            <v>49181</v>
          </cell>
          <cell r="B3953">
            <v>4.6022496625000002</v>
          </cell>
          <cell r="C3953">
            <v>4.6011168561</v>
          </cell>
          <cell r="D3953">
            <v>4.6033827478999996</v>
          </cell>
        </row>
        <row r="3954">
          <cell r="A3954">
            <v>49184</v>
          </cell>
          <cell r="B3954">
            <v>4.6040284610000004</v>
          </cell>
          <cell r="C3954">
            <v>4.6028952168000004</v>
          </cell>
          <cell r="D3954">
            <v>4.6051619843999996</v>
          </cell>
        </row>
        <row r="3955">
          <cell r="A3955">
            <v>49185</v>
          </cell>
          <cell r="B3955">
            <v>4.6058079470999997</v>
          </cell>
          <cell r="C3955">
            <v>4.6046742648999999</v>
          </cell>
          <cell r="D3955">
            <v>4.6069419085999996</v>
          </cell>
        </row>
        <row r="3956">
          <cell r="A3956">
            <v>49186</v>
          </cell>
          <cell r="B3956">
            <v>4.607588121</v>
          </cell>
          <cell r="C3956">
            <v>4.6064540006000003</v>
          </cell>
          <cell r="D3956">
            <v>4.6087225207999998</v>
          </cell>
        </row>
        <row r="3957">
          <cell r="A3957">
            <v>49187</v>
          </cell>
          <cell r="B3957">
            <v>4.6093689829000004</v>
          </cell>
          <cell r="C3957">
            <v>4.6082344240999999</v>
          </cell>
          <cell r="D3957">
            <v>4.6105038211</v>
          </cell>
        </row>
        <row r="3958">
          <cell r="A3958">
            <v>49188</v>
          </cell>
          <cell r="B3958">
            <v>4.6111505332</v>
          </cell>
          <cell r="C3958">
            <v>4.6100155358999997</v>
          </cell>
          <cell r="D3958">
            <v>4.6122858100000004</v>
          </cell>
        </row>
        <row r="3959">
          <cell r="A3959">
            <v>49191</v>
          </cell>
          <cell r="B3959">
            <v>4.6129327719999997</v>
          </cell>
          <cell r="C3959">
            <v>4.6117973360000004</v>
          </cell>
          <cell r="D3959">
            <v>4.6140684876</v>
          </cell>
        </row>
        <row r="3960">
          <cell r="A3960">
            <v>49192</v>
          </cell>
          <cell r="B3960">
            <v>4.6147156995999996</v>
          </cell>
          <cell r="C3960">
            <v>4.6135798248000004</v>
          </cell>
          <cell r="D3960">
            <v>4.6158518541999998</v>
          </cell>
        </row>
        <row r="3961">
          <cell r="A3961">
            <v>49193</v>
          </cell>
          <cell r="B3961">
            <v>4.6164993163999997</v>
          </cell>
          <cell r="C3961">
            <v>4.6153630024999996</v>
          </cell>
          <cell r="D3961">
            <v>4.6176359100999997</v>
          </cell>
        </row>
        <row r="3962">
          <cell r="A3962">
            <v>49195</v>
          </cell>
          <cell r="B3962">
            <v>4.6182836224999999</v>
          </cell>
          <cell r="C3962">
            <v>4.6171468694</v>
          </cell>
          <cell r="D3962">
            <v>4.6194206554999999</v>
          </cell>
        </row>
        <row r="3963">
          <cell r="A3963">
            <v>49198</v>
          </cell>
          <cell r="B3963">
            <v>4.6200686183000004</v>
          </cell>
          <cell r="C3963">
            <v>4.6189314258999996</v>
          </cell>
          <cell r="D3963">
            <v>4.6212060908000003</v>
          </cell>
        </row>
        <row r="3964">
          <cell r="A3964">
            <v>49199</v>
          </cell>
          <cell r="B3964">
            <v>4.6218543040000002</v>
          </cell>
          <cell r="C3964">
            <v>4.6207166720000004</v>
          </cell>
          <cell r="D3964">
            <v>4.6229922161000001</v>
          </cell>
        </row>
        <row r="3965">
          <cell r="A3965">
            <v>49200</v>
          </cell>
          <cell r="B3965">
            <v>4.6236406799000003</v>
          </cell>
          <cell r="C3965">
            <v>4.6225026081999996</v>
          </cell>
          <cell r="D3965">
            <v>4.6247790318000002</v>
          </cell>
        </row>
        <row r="3966">
          <cell r="A3966">
            <v>49201</v>
          </cell>
          <cell r="B3966">
            <v>4.6254277461999997</v>
          </cell>
          <cell r="C3966">
            <v>4.6242892347</v>
          </cell>
          <cell r="D3966">
            <v>4.6265665380999996</v>
          </cell>
        </row>
        <row r="3967">
          <cell r="A3967">
            <v>49202</v>
          </cell>
          <cell r="B3967">
            <v>4.6272155032000004</v>
          </cell>
          <cell r="C3967">
            <v>4.6260765516999998</v>
          </cell>
          <cell r="D3967">
            <v>4.6283547353000003</v>
          </cell>
        </row>
        <row r="3968">
          <cell r="A3968">
            <v>49205</v>
          </cell>
          <cell r="B3968">
            <v>4.6290039511999996</v>
          </cell>
          <cell r="C3968">
            <v>4.6278645594999999</v>
          </cell>
          <cell r="D3968">
            <v>4.6301436236000004</v>
          </cell>
        </row>
        <row r="3969">
          <cell r="A3969">
            <v>49206</v>
          </cell>
          <cell r="B3969">
            <v>4.6307930905000001</v>
          </cell>
          <cell r="C3969">
            <v>4.6296532584000003</v>
          </cell>
          <cell r="D3969">
            <v>4.6319332034</v>
          </cell>
        </row>
        <row r="3970">
          <cell r="A3970">
            <v>49207</v>
          </cell>
          <cell r="B3970">
            <v>4.6325829213</v>
          </cell>
          <cell r="C3970">
            <v>4.6314426486000002</v>
          </cell>
          <cell r="D3970">
            <v>4.6337234748</v>
          </cell>
        </row>
        <row r="3971">
          <cell r="A3971">
            <v>49208</v>
          </cell>
          <cell r="B3971">
            <v>4.6343734438000004</v>
          </cell>
          <cell r="C3971">
            <v>4.6332327303999996</v>
          </cell>
          <cell r="D3971">
            <v>4.6355144382000004</v>
          </cell>
        </row>
        <row r="3972">
          <cell r="A3972">
            <v>49209</v>
          </cell>
          <cell r="B3972">
            <v>4.6361646584000002</v>
          </cell>
          <cell r="C3972">
            <v>4.6350235041000003</v>
          </cell>
          <cell r="D3972">
            <v>4.6373060938000004</v>
          </cell>
        </row>
        <row r="3973">
          <cell r="A3973">
            <v>49212</v>
          </cell>
          <cell r="B3973">
            <v>4.6379565652999997</v>
          </cell>
          <cell r="C3973">
            <v>4.6368149699999996</v>
          </cell>
          <cell r="D3973">
            <v>4.6390984418999999</v>
          </cell>
        </row>
        <row r="3974">
          <cell r="A3974">
            <v>49213</v>
          </cell>
          <cell r="B3974">
            <v>4.6397491648000004</v>
          </cell>
          <cell r="C3974">
            <v>4.6386071282000003</v>
          </cell>
          <cell r="D3974">
            <v>4.6408914826999998</v>
          </cell>
        </row>
        <row r="3975">
          <cell r="A3975">
            <v>49214</v>
          </cell>
          <cell r="B3975">
            <v>4.6415424571999999</v>
          </cell>
          <cell r="C3975">
            <v>4.6403999791999997</v>
          </cell>
          <cell r="D3975">
            <v>4.6426852166000003</v>
          </cell>
        </row>
        <row r="3976">
          <cell r="A3976">
            <v>49215</v>
          </cell>
          <cell r="B3976">
            <v>4.6433364425999999</v>
          </cell>
          <cell r="C3976">
            <v>4.6421935230000004</v>
          </cell>
          <cell r="D3976">
            <v>4.6444796437000004</v>
          </cell>
        </row>
        <row r="3977">
          <cell r="A3977">
            <v>49216</v>
          </cell>
          <cell r="B3977">
            <v>4.6451311216000004</v>
          </cell>
          <cell r="C3977">
            <v>4.6439877601999999</v>
          </cell>
          <cell r="D3977">
            <v>4.6462747645000002</v>
          </cell>
        </row>
        <row r="3978">
          <cell r="A3978">
            <v>49219</v>
          </cell>
          <cell r="B3978">
            <v>4.6469264939999997</v>
          </cell>
          <cell r="C3978">
            <v>4.6457826907999999</v>
          </cell>
          <cell r="D3978">
            <v>4.6480705789999996</v>
          </cell>
        </row>
        <row r="3979">
          <cell r="A3979">
            <v>49220</v>
          </cell>
          <cell r="B3979">
            <v>4.6487225604000004</v>
          </cell>
          <cell r="C3979">
            <v>4.6475783150999996</v>
          </cell>
          <cell r="D3979">
            <v>4.6498670875999997</v>
          </cell>
        </row>
        <row r="3980">
          <cell r="A3980">
            <v>49221</v>
          </cell>
          <cell r="B3980">
            <v>4.6505193211</v>
          </cell>
          <cell r="C3980">
            <v>4.6493746334999999</v>
          </cell>
          <cell r="D3980">
            <v>4.6516642906000003</v>
          </cell>
        </row>
        <row r="3981">
          <cell r="A3981">
            <v>49222</v>
          </cell>
          <cell r="B3981">
            <v>4.6523167761000002</v>
          </cell>
          <cell r="C3981">
            <v>4.6511716460999999</v>
          </cell>
          <cell r="D3981">
            <v>4.6534621881999998</v>
          </cell>
        </row>
        <row r="3982">
          <cell r="A3982">
            <v>49223</v>
          </cell>
          <cell r="B3982">
            <v>4.6541149260000001</v>
          </cell>
          <cell r="C3982">
            <v>4.6529693533999996</v>
          </cell>
          <cell r="D3982">
            <v>4.6552607807999999</v>
          </cell>
        </row>
        <row r="3983">
          <cell r="A3983">
            <v>49226</v>
          </cell>
          <cell r="B3983">
            <v>4.6559137707999998</v>
          </cell>
          <cell r="C3983">
            <v>4.6547677555</v>
          </cell>
          <cell r="D3983">
            <v>4.6570600684999999</v>
          </cell>
        </row>
        <row r="3984">
          <cell r="A3984">
            <v>49227</v>
          </cell>
          <cell r="B3984">
            <v>4.6577133109000002</v>
          </cell>
          <cell r="C3984">
            <v>4.6565668526000001</v>
          </cell>
          <cell r="D3984">
            <v>4.6588600515999996</v>
          </cell>
        </row>
        <row r="3985">
          <cell r="A3985">
            <v>49228</v>
          </cell>
          <cell r="B3985">
            <v>4.6595135465000004</v>
          </cell>
          <cell r="C3985">
            <v>4.6583666450000001</v>
          </cell>
          <cell r="D3985">
            <v>4.6606607304000001</v>
          </cell>
        </row>
        <row r="3986">
          <cell r="A3986">
            <v>49230</v>
          </cell>
          <cell r="B3986">
            <v>4.6613144779000004</v>
          </cell>
          <cell r="C3986">
            <v>4.6601671330999999</v>
          </cell>
          <cell r="D3986">
            <v>4.6624621052000004</v>
          </cell>
        </row>
        <row r="3987">
          <cell r="A3987">
            <v>49233</v>
          </cell>
          <cell r="B3987">
            <v>4.6631161054000003</v>
          </cell>
          <cell r="C3987">
            <v>4.6619683172000004</v>
          </cell>
          <cell r="D3987">
            <v>4.6642641762999997</v>
          </cell>
        </row>
        <row r="3988">
          <cell r="A3988">
            <v>49234</v>
          </cell>
          <cell r="B3988">
            <v>4.6649184292000001</v>
          </cell>
          <cell r="C3988">
            <v>4.6637701973999999</v>
          </cell>
          <cell r="D3988">
            <v>4.6660669437999998</v>
          </cell>
        </row>
        <row r="3989">
          <cell r="A3989">
            <v>49235</v>
          </cell>
          <cell r="B3989">
            <v>4.6667214496999998</v>
          </cell>
          <cell r="C3989">
            <v>4.6655727741000002</v>
          </cell>
          <cell r="D3989">
            <v>4.6678704081999998</v>
          </cell>
        </row>
        <row r="3990">
          <cell r="A3990">
            <v>49236</v>
          </cell>
          <cell r="B3990">
            <v>4.6685251670000003</v>
          </cell>
          <cell r="C3990">
            <v>4.6673760474000003</v>
          </cell>
          <cell r="D3990">
            <v>4.6696745695999997</v>
          </cell>
        </row>
        <row r="3991">
          <cell r="A3991">
            <v>49237</v>
          </cell>
          <cell r="B3991">
            <v>4.6703295813999999</v>
          </cell>
          <cell r="C3991">
            <v>4.6691800176999996</v>
          </cell>
          <cell r="D3991">
            <v>4.6714794282999996</v>
          </cell>
        </row>
        <row r="3992">
          <cell r="A3992">
            <v>49240</v>
          </cell>
          <cell r="B3992">
            <v>4.6721346933000003</v>
          </cell>
          <cell r="C3992">
            <v>4.6709846852999997</v>
          </cell>
          <cell r="D3992">
            <v>4.6732849846000004</v>
          </cell>
        </row>
        <row r="3993">
          <cell r="A3993">
            <v>49241</v>
          </cell>
          <cell r="B3993">
            <v>4.6739405027999998</v>
          </cell>
          <cell r="C3993">
            <v>4.6727900502999997</v>
          </cell>
          <cell r="D3993">
            <v>4.6750912387000003</v>
          </cell>
        </row>
        <row r="3994">
          <cell r="A3994">
            <v>49242</v>
          </cell>
          <cell r="B3994">
            <v>4.6757470103000003</v>
          </cell>
          <cell r="C3994">
            <v>4.6745961131999998</v>
          </cell>
          <cell r="D3994">
            <v>4.6768981910000003</v>
          </cell>
        </row>
        <row r="3995">
          <cell r="A3995">
            <v>49243</v>
          </cell>
          <cell r="B3995">
            <v>4.6775542160999999</v>
          </cell>
          <cell r="C3995">
            <v>4.6764028740999999</v>
          </cell>
          <cell r="D3995">
            <v>4.6787058417000003</v>
          </cell>
        </row>
        <row r="3996">
          <cell r="A3996">
            <v>49244</v>
          </cell>
          <cell r="B3996">
            <v>4.6793621204000004</v>
          </cell>
          <cell r="C3996">
            <v>4.6782103334</v>
          </cell>
          <cell r="D3996">
            <v>4.6805141911000003</v>
          </cell>
        </row>
        <row r="3997">
          <cell r="A3997">
            <v>49247</v>
          </cell>
          <cell r="B3997">
            <v>4.6811707234000002</v>
          </cell>
          <cell r="C3997">
            <v>4.6800184912000002</v>
          </cell>
          <cell r="D3997">
            <v>4.6823232393999996</v>
          </cell>
        </row>
        <row r="3998">
          <cell r="A3998">
            <v>49248</v>
          </cell>
          <cell r="B3998">
            <v>4.6829800255</v>
          </cell>
          <cell r="C3998">
            <v>4.6818273478999997</v>
          </cell>
          <cell r="D3998">
            <v>4.6841329868999999</v>
          </cell>
        </row>
        <row r="3999">
          <cell r="A3999">
            <v>49249</v>
          </cell>
          <cell r="B3999">
            <v>4.6847900267</v>
          </cell>
          <cell r="C3999">
            <v>4.6836369037000001</v>
          </cell>
          <cell r="D3999">
            <v>4.6859434338000003</v>
          </cell>
        </row>
        <row r="4000">
          <cell r="A4000">
            <v>49251</v>
          </cell>
          <cell r="B4000">
            <v>4.6866007277000001</v>
          </cell>
          <cell r="C4000">
            <v>4.6854471589999998</v>
          </cell>
          <cell r="D4000">
            <v>4.6877545806000001</v>
          </cell>
        </row>
        <row r="4001">
          <cell r="A4001">
            <v>49254</v>
          </cell>
          <cell r="B4001">
            <v>4.6884121285000004</v>
          </cell>
          <cell r="C4001">
            <v>4.6872581138999996</v>
          </cell>
          <cell r="D4001">
            <v>4.6895664273</v>
          </cell>
        </row>
        <row r="4002">
          <cell r="A4002">
            <v>49255</v>
          </cell>
          <cell r="B4002">
            <v>4.6902242294000001</v>
          </cell>
          <cell r="C4002">
            <v>4.6890697687999996</v>
          </cell>
          <cell r="D4002">
            <v>4.6913789744000001</v>
          </cell>
        </row>
        <row r="4003">
          <cell r="A4003">
            <v>49256</v>
          </cell>
          <cell r="B4003">
            <v>4.6920370306999999</v>
          </cell>
          <cell r="C4003">
            <v>4.6908821238999998</v>
          </cell>
          <cell r="D4003">
            <v>4.6931922220000004</v>
          </cell>
        </row>
        <row r="4004">
          <cell r="A4004">
            <v>49257</v>
          </cell>
          <cell r="B4004">
            <v>4.6938505326</v>
          </cell>
          <cell r="C4004">
            <v>4.6926951794000002</v>
          </cell>
          <cell r="D4004">
            <v>4.6950061704000001</v>
          </cell>
        </row>
        <row r="4005">
          <cell r="A4005">
            <v>49258</v>
          </cell>
          <cell r="B4005">
            <v>4.6956647355000003</v>
          </cell>
          <cell r="C4005">
            <v>4.6945089357000001</v>
          </cell>
          <cell r="D4005">
            <v>4.6968208199000001</v>
          </cell>
        </row>
        <row r="4006">
          <cell r="A4006">
            <v>49261</v>
          </cell>
          <cell r="B4006">
            <v>4.6974796395</v>
          </cell>
          <cell r="C4006">
            <v>4.6963233930000001</v>
          </cell>
          <cell r="D4006">
            <v>4.6986361708000004</v>
          </cell>
        </row>
        <row r="4007">
          <cell r="A4007">
            <v>49262</v>
          </cell>
          <cell r="B4007">
            <v>4.6992952451000001</v>
          </cell>
          <cell r="C4007">
            <v>4.6981385516999996</v>
          </cell>
          <cell r="D4007">
            <v>4.7004522234000001</v>
          </cell>
        </row>
        <row r="4008">
          <cell r="A4008">
            <v>49264</v>
          </cell>
          <cell r="B4008">
            <v>4.7011115523999996</v>
          </cell>
          <cell r="C4008">
            <v>4.6999544120000003</v>
          </cell>
          <cell r="D4008">
            <v>4.7022689779000002</v>
          </cell>
        </row>
        <row r="4009">
          <cell r="A4009">
            <v>49265</v>
          </cell>
          <cell r="B4009">
            <v>4.7029285617000003</v>
          </cell>
          <cell r="C4009">
            <v>4.7017709740000004</v>
          </cell>
          <cell r="D4009">
            <v>4.7040864344999997</v>
          </cell>
        </row>
        <row r="4010">
          <cell r="A4010">
            <v>49268</v>
          </cell>
          <cell r="B4010">
            <v>4.7047462732999996</v>
          </cell>
          <cell r="C4010">
            <v>4.7035882381</v>
          </cell>
          <cell r="D4010">
            <v>4.7059045935999997</v>
          </cell>
        </row>
        <row r="4011">
          <cell r="A4011">
            <v>49269</v>
          </cell>
          <cell r="B4011">
            <v>4.7065646875000002</v>
          </cell>
          <cell r="C4011">
            <v>4.7054062048</v>
          </cell>
          <cell r="D4011">
            <v>4.7077234555</v>
          </cell>
        </row>
        <row r="4012">
          <cell r="A4012">
            <v>49270</v>
          </cell>
          <cell r="B4012">
            <v>4.7083838044000004</v>
          </cell>
          <cell r="C4012">
            <v>4.7072248739000004</v>
          </cell>
          <cell r="D4012">
            <v>4.7095430202999999</v>
          </cell>
        </row>
        <row r="4013">
          <cell r="A4013">
            <v>49271</v>
          </cell>
          <cell r="B4013">
            <v>4.7102036244000001</v>
          </cell>
          <cell r="C4013">
            <v>4.7090442460000004</v>
          </cell>
          <cell r="D4013">
            <v>4.7113632884000003</v>
          </cell>
        </row>
        <row r="4014">
          <cell r="A4014">
            <v>49272</v>
          </cell>
          <cell r="B4014">
            <v>4.7120241479000002</v>
          </cell>
          <cell r="C4014">
            <v>4.7108643213999999</v>
          </cell>
          <cell r="D4014">
            <v>4.7131842601000002</v>
          </cell>
        </row>
        <row r="4015">
          <cell r="A4015">
            <v>49275</v>
          </cell>
          <cell r="B4015">
            <v>4.713845375</v>
          </cell>
          <cell r="C4015">
            <v>4.7126851002999999</v>
          </cell>
          <cell r="D4015">
            <v>4.7150059355999998</v>
          </cell>
        </row>
        <row r="4016">
          <cell r="A4016">
            <v>49276</v>
          </cell>
          <cell r="B4016">
            <v>4.7156673061000003</v>
          </cell>
          <cell r="C4016">
            <v>4.7145065828000003</v>
          </cell>
          <cell r="D4016">
            <v>4.7168283151999999</v>
          </cell>
        </row>
        <row r="4017">
          <cell r="A4017">
            <v>49277</v>
          </cell>
          <cell r="B4017">
            <v>4.7174899412000002</v>
          </cell>
          <cell r="C4017">
            <v>4.7163287693999996</v>
          </cell>
          <cell r="D4017">
            <v>4.7186513990999996</v>
          </cell>
        </row>
        <row r="4018">
          <cell r="A4018">
            <v>49278</v>
          </cell>
          <cell r="B4018">
            <v>4.7193132807999998</v>
          </cell>
          <cell r="C4018">
            <v>4.7181516602000002</v>
          </cell>
          <cell r="D4018">
            <v>4.7204751876</v>
          </cell>
        </row>
        <row r="4019">
          <cell r="A4019">
            <v>49279</v>
          </cell>
          <cell r="B4019">
            <v>4.7211373252</v>
          </cell>
          <cell r="C4019">
            <v>4.7199752555999996</v>
          </cell>
          <cell r="D4019">
            <v>4.7222996811</v>
          </cell>
        </row>
        <row r="4020">
          <cell r="A4020">
            <v>49282</v>
          </cell>
          <cell r="B4020">
            <v>4.7229620746999998</v>
          </cell>
          <cell r="C4020">
            <v>4.7217995558999997</v>
          </cell>
          <cell r="D4020">
            <v>4.7241248797999997</v>
          </cell>
        </row>
        <row r="4021">
          <cell r="A4021">
            <v>49283</v>
          </cell>
          <cell r="B4021">
            <v>4.7247875293000003</v>
          </cell>
          <cell r="C4021">
            <v>4.7236245612000003</v>
          </cell>
          <cell r="D4021">
            <v>4.7259507839000001</v>
          </cell>
        </row>
        <row r="4022">
          <cell r="A4022">
            <v>49284</v>
          </cell>
          <cell r="B4022">
            <v>4.7266136894999997</v>
          </cell>
          <cell r="C4022">
            <v>4.7254502718999998</v>
          </cell>
          <cell r="D4022">
            <v>4.7277773937000003</v>
          </cell>
        </row>
        <row r="4023">
          <cell r="A4023">
            <v>49285</v>
          </cell>
          <cell r="B4023">
            <v>4.7284405555999998</v>
          </cell>
          <cell r="C4023">
            <v>4.7272766882999999</v>
          </cell>
          <cell r="D4023">
            <v>4.7296047095000002</v>
          </cell>
        </row>
        <row r="4024">
          <cell r="A4024">
            <v>49286</v>
          </cell>
          <cell r="B4024">
            <v>4.7302681276999996</v>
          </cell>
          <cell r="C4024">
            <v>4.7291038105999998</v>
          </cell>
          <cell r="D4024">
            <v>4.7314327316</v>
          </cell>
        </row>
        <row r="4025">
          <cell r="A4025">
            <v>49289</v>
          </cell>
          <cell r="B4025">
            <v>4.7320964062000002</v>
          </cell>
          <cell r="C4025">
            <v>4.7309316390999996</v>
          </cell>
          <cell r="D4025">
            <v>4.7332614601999996</v>
          </cell>
        </row>
        <row r="4026">
          <cell r="A4026">
            <v>49290</v>
          </cell>
          <cell r="B4026">
            <v>4.7339253913999997</v>
          </cell>
          <cell r="C4026">
            <v>4.7327601741000001</v>
          </cell>
          <cell r="D4026">
            <v>4.7350908957</v>
          </cell>
        </row>
        <row r="4027">
          <cell r="A4027">
            <v>49291</v>
          </cell>
          <cell r="B4027">
            <v>4.7357550834</v>
          </cell>
          <cell r="C4027">
            <v>4.7345894157000004</v>
          </cell>
          <cell r="D4027">
            <v>4.7369210382000002</v>
          </cell>
        </row>
        <row r="4028">
          <cell r="A4028">
            <v>49292</v>
          </cell>
          <cell r="B4028">
            <v>4.7375854827000001</v>
          </cell>
          <cell r="C4028">
            <v>4.7364193643999997</v>
          </cell>
          <cell r="D4028">
            <v>4.7387518881000004</v>
          </cell>
        </row>
        <row r="4029">
          <cell r="A4029">
            <v>49293</v>
          </cell>
          <cell r="B4029">
            <v>4.7394165893000002</v>
          </cell>
          <cell r="C4029">
            <v>4.7382500203999998</v>
          </cell>
          <cell r="D4029">
            <v>4.7405834455999996</v>
          </cell>
        </row>
        <row r="4030">
          <cell r="A4030">
            <v>49296</v>
          </cell>
          <cell r="B4030">
            <v>4.7412484038000002</v>
          </cell>
          <cell r="C4030">
            <v>4.7400813839999998</v>
          </cell>
          <cell r="D4030">
            <v>4.7424157110999996</v>
          </cell>
        </row>
        <row r="4031">
          <cell r="A4031">
            <v>49297</v>
          </cell>
          <cell r="B4031">
            <v>4.7430809263000002</v>
          </cell>
          <cell r="C4031">
            <v>4.7419134553999998</v>
          </cell>
          <cell r="D4031">
            <v>4.7442486846999996</v>
          </cell>
        </row>
        <row r="4032">
          <cell r="A4032">
            <v>49298</v>
          </cell>
          <cell r="B4032">
            <v>4.7449141570000002</v>
          </cell>
          <cell r="C4032">
            <v>4.7437462348999997</v>
          </cell>
          <cell r="D4032">
            <v>4.7460823667999996</v>
          </cell>
        </row>
        <row r="4033">
          <cell r="A4033">
            <v>49299</v>
          </cell>
          <cell r="B4033">
            <v>4.7467480963000002</v>
          </cell>
          <cell r="C4033">
            <v>4.7455797227999996</v>
          </cell>
          <cell r="D4033">
            <v>4.7479167575999996</v>
          </cell>
        </row>
        <row r="4034">
          <cell r="A4034">
            <v>49300</v>
          </cell>
          <cell r="B4034">
            <v>4.7485827444000002</v>
          </cell>
          <cell r="C4034">
            <v>4.7474139192999996</v>
          </cell>
          <cell r="D4034">
            <v>4.7497518573999997</v>
          </cell>
        </row>
        <row r="4035">
          <cell r="A4035">
            <v>49304</v>
          </cell>
          <cell r="B4035">
            <v>4.7504181016000002</v>
          </cell>
          <cell r="C4035">
            <v>4.7492488248000004</v>
          </cell>
          <cell r="D4035">
            <v>4.7515876664999999</v>
          </cell>
        </row>
        <row r="4036">
          <cell r="A4036">
            <v>49305</v>
          </cell>
          <cell r="B4036">
            <v>4.7522541682000004</v>
          </cell>
          <cell r="C4036">
            <v>4.7510844393999996</v>
          </cell>
          <cell r="D4036">
            <v>4.7534241851000001</v>
          </cell>
        </row>
        <row r="4037">
          <cell r="A4037">
            <v>49306</v>
          </cell>
          <cell r="B4037">
            <v>4.7540909444999997</v>
          </cell>
          <cell r="C4037">
            <v>4.7529207635999997</v>
          </cell>
          <cell r="D4037">
            <v>4.7552614136000004</v>
          </cell>
        </row>
        <row r="4038">
          <cell r="A4038">
            <v>49307</v>
          </cell>
          <cell r="B4038">
            <v>4.7559284307</v>
          </cell>
          <cell r="C4038">
            <v>4.7547577974999999</v>
          </cell>
          <cell r="D4038">
            <v>4.7570993522</v>
          </cell>
        </row>
        <row r="4039">
          <cell r="A4039">
            <v>49311</v>
          </cell>
          <cell r="B4039">
            <v>4.7577666269999996</v>
          </cell>
          <cell r="C4039">
            <v>4.7565955414000003</v>
          </cell>
          <cell r="D4039">
            <v>4.7589380010999998</v>
          </cell>
        </row>
        <row r="4040">
          <cell r="A4040">
            <v>49312</v>
          </cell>
          <cell r="B4040">
            <v>4.7596055339000003</v>
          </cell>
          <cell r="C4040">
            <v>4.7584339955999999</v>
          </cell>
          <cell r="D4040">
            <v>4.7607773606999997</v>
          </cell>
        </row>
        <row r="4041">
          <cell r="A4041">
            <v>49313</v>
          </cell>
          <cell r="B4041">
            <v>4.7614451515000003</v>
          </cell>
          <cell r="C4041">
            <v>4.7602731603999997</v>
          </cell>
          <cell r="D4041">
            <v>4.7626174311999998</v>
          </cell>
        </row>
        <row r="4042">
          <cell r="A4042">
            <v>49314</v>
          </cell>
          <cell r="B4042">
            <v>4.7632854801000004</v>
          </cell>
          <cell r="C4042">
            <v>4.7621130359999997</v>
          </cell>
          <cell r="D4042">
            <v>4.7644582129000002</v>
          </cell>
        </row>
        <row r="4043">
          <cell r="A4043">
            <v>49317</v>
          </cell>
          <cell r="B4043">
            <v>4.7651265199999999</v>
          </cell>
          <cell r="C4043">
            <v>4.7639536227999999</v>
          </cell>
          <cell r="D4043">
            <v>4.7662997060999999</v>
          </cell>
        </row>
        <row r="4044">
          <cell r="A4044">
            <v>49318</v>
          </cell>
          <cell r="B4044">
            <v>4.7669682713999997</v>
          </cell>
          <cell r="C4044">
            <v>4.7657949209000003</v>
          </cell>
          <cell r="D4044">
            <v>4.7681419109999998</v>
          </cell>
        </row>
        <row r="4045">
          <cell r="A4045">
            <v>49319</v>
          </cell>
          <cell r="B4045">
            <v>4.7688107347999997</v>
          </cell>
          <cell r="C4045">
            <v>4.7676369308000002</v>
          </cell>
          <cell r="D4045">
            <v>4.7699848280000001</v>
          </cell>
        </row>
        <row r="4046">
          <cell r="A4046">
            <v>49320</v>
          </cell>
          <cell r="B4046">
            <v>4.7706539103000001</v>
          </cell>
          <cell r="C4046">
            <v>4.7694796526000003</v>
          </cell>
          <cell r="D4046">
            <v>4.7718284572999998</v>
          </cell>
        </row>
        <row r="4047">
          <cell r="A4047">
            <v>49321</v>
          </cell>
          <cell r="B4047">
            <v>4.7724977981999999</v>
          </cell>
          <cell r="C4047">
            <v>4.7713230865999998</v>
          </cell>
          <cell r="D4047">
            <v>4.7736727990999999</v>
          </cell>
        </row>
        <row r="4048">
          <cell r="A4048">
            <v>49324</v>
          </cell>
          <cell r="B4048">
            <v>4.7743423987</v>
          </cell>
          <cell r="C4048">
            <v>4.7731672330999997</v>
          </cell>
          <cell r="D4048">
            <v>4.7755178538000003</v>
          </cell>
        </row>
        <row r="4049">
          <cell r="A4049">
            <v>49325</v>
          </cell>
          <cell r="B4049">
            <v>4.7761877121999996</v>
          </cell>
          <cell r="C4049">
            <v>4.7750120923999999</v>
          </cell>
          <cell r="D4049">
            <v>4.7773636216000002</v>
          </cell>
        </row>
        <row r="4050">
          <cell r="A4050">
            <v>49326</v>
          </cell>
          <cell r="B4050">
            <v>4.7780337388999996</v>
          </cell>
          <cell r="C4050">
            <v>4.7768576646999996</v>
          </cell>
          <cell r="D4050">
            <v>4.7792101027999996</v>
          </cell>
        </row>
        <row r="4051">
          <cell r="A4051">
            <v>49327</v>
          </cell>
          <cell r="B4051">
            <v>4.7798804791</v>
          </cell>
          <cell r="C4051">
            <v>4.7787039502999997</v>
          </cell>
          <cell r="D4051">
            <v>4.7810572977000003</v>
          </cell>
        </row>
        <row r="4052">
          <cell r="A4052">
            <v>49328</v>
          </cell>
          <cell r="B4052">
            <v>4.7817279331</v>
          </cell>
          <cell r="C4052">
            <v>4.7805509496000003</v>
          </cell>
          <cell r="D4052">
            <v>4.7829052064999997</v>
          </cell>
        </row>
        <row r="4053">
          <cell r="A4053">
            <v>49331</v>
          </cell>
          <cell r="B4053">
            <v>4.7835761012000004</v>
          </cell>
          <cell r="C4053">
            <v>4.7823986627000004</v>
          </cell>
          <cell r="D4053">
            <v>4.7847538295999996</v>
          </cell>
        </row>
        <row r="4054">
          <cell r="A4054">
            <v>49332</v>
          </cell>
          <cell r="B4054">
            <v>4.7854249835999996</v>
          </cell>
          <cell r="C4054">
            <v>4.78424709</v>
          </cell>
          <cell r="D4054">
            <v>4.7866031672</v>
          </cell>
        </row>
        <row r="4055">
          <cell r="A4055">
            <v>49333</v>
          </cell>
          <cell r="B4055">
            <v>4.7872745805000001</v>
          </cell>
          <cell r="C4055">
            <v>4.7860962317000002</v>
          </cell>
          <cell r="D4055">
            <v>4.7884532195</v>
          </cell>
        </row>
        <row r="4056">
          <cell r="A4056">
            <v>49334</v>
          </cell>
          <cell r="B4056">
            <v>4.7891248923000003</v>
          </cell>
          <cell r="C4056">
            <v>4.7879460881</v>
          </cell>
          <cell r="D4056">
            <v>4.7903039868999997</v>
          </cell>
        </row>
        <row r="4057">
          <cell r="A4057">
            <v>49335</v>
          </cell>
          <cell r="B4057">
            <v>4.7909759194000001</v>
          </cell>
          <cell r="C4057">
            <v>4.7897966596000003</v>
          </cell>
          <cell r="D4057">
            <v>4.7921554696999999</v>
          </cell>
        </row>
        <row r="4058">
          <cell r="A4058">
            <v>49338</v>
          </cell>
          <cell r="B4058">
            <v>4.7928276617999996</v>
          </cell>
          <cell r="C4058">
            <v>4.7916479462000003</v>
          </cell>
          <cell r="D4058">
            <v>4.7940076679999999</v>
          </cell>
        </row>
        <row r="4059">
          <cell r="A4059">
            <v>49339</v>
          </cell>
          <cell r="B4059">
            <v>4.7946801199999998</v>
          </cell>
          <cell r="C4059">
            <v>4.7934999484</v>
          </cell>
          <cell r="D4059">
            <v>4.7958605822999996</v>
          </cell>
        </row>
        <row r="4060">
          <cell r="A4060">
            <v>49340</v>
          </cell>
          <cell r="B4060">
            <v>4.7965332941999996</v>
          </cell>
          <cell r="C4060">
            <v>4.7953526664000004</v>
          </cell>
          <cell r="D4060">
            <v>4.7977142126999999</v>
          </cell>
        </row>
        <row r="4061">
          <cell r="A4061">
            <v>49341</v>
          </cell>
          <cell r="B4061">
            <v>4.7983871845000001</v>
          </cell>
          <cell r="C4061">
            <v>4.7972061005000004</v>
          </cell>
          <cell r="D4061">
            <v>4.7995685594999999</v>
          </cell>
        </row>
        <row r="4062">
          <cell r="A4062">
            <v>49342</v>
          </cell>
          <cell r="B4062">
            <v>4.8002417915000004</v>
          </cell>
          <cell r="C4062">
            <v>4.7990602510000002</v>
          </cell>
          <cell r="D4062">
            <v>4.8014236230999998</v>
          </cell>
        </row>
        <row r="4063">
          <cell r="A4063">
            <v>49347</v>
          </cell>
          <cell r="B4063">
            <v>4.8020971151999996</v>
          </cell>
          <cell r="C4063">
            <v>4.8009151179999998</v>
          </cell>
          <cell r="D4063">
            <v>4.8032794036000004</v>
          </cell>
        </row>
        <row r="4064">
          <cell r="A4064">
            <v>49348</v>
          </cell>
          <cell r="B4064">
            <v>4.8039531561000004</v>
          </cell>
          <cell r="C4064">
            <v>4.8027707020000001</v>
          </cell>
          <cell r="D4064">
            <v>4.8051359013999999</v>
          </cell>
        </row>
        <row r="4065">
          <cell r="A4065">
            <v>49349</v>
          </cell>
          <cell r="B4065">
            <v>4.8058099143000002</v>
          </cell>
          <cell r="C4065">
            <v>4.8046270032000002</v>
          </cell>
          <cell r="D4065">
            <v>4.8069931168000002</v>
          </cell>
        </row>
        <row r="4066">
          <cell r="A4066">
            <v>49352</v>
          </cell>
          <cell r="B4066">
            <v>4.8076673901999998</v>
          </cell>
          <cell r="C4066">
            <v>4.8064840219000002</v>
          </cell>
          <cell r="D4066">
            <v>4.8088510500000003</v>
          </cell>
        </row>
        <row r="4067">
          <cell r="A4067">
            <v>49353</v>
          </cell>
          <cell r="B4067">
            <v>4.8095255840000002</v>
          </cell>
          <cell r="C4067">
            <v>4.8083417583000001</v>
          </cell>
          <cell r="D4067">
            <v>4.8107097013000004</v>
          </cell>
        </row>
        <row r="4068">
          <cell r="A4068">
            <v>49354</v>
          </cell>
          <cell r="B4068">
            <v>4.8113844960999996</v>
          </cell>
          <cell r="C4068">
            <v>4.8102002127999999</v>
          </cell>
          <cell r="D4068">
            <v>4.8125690710000004</v>
          </cell>
        </row>
        <row r="4069">
          <cell r="A4069">
            <v>49355</v>
          </cell>
          <cell r="B4069">
            <v>4.8132441264999999</v>
          </cell>
          <cell r="C4069">
            <v>4.8120593854999996</v>
          </cell>
          <cell r="D4069">
            <v>4.8144291593000004</v>
          </cell>
        </row>
        <row r="4070">
          <cell r="A4070">
            <v>49356</v>
          </cell>
          <cell r="B4070">
            <v>4.8151044758000001</v>
          </cell>
          <cell r="C4070">
            <v>4.8139192769000001</v>
          </cell>
          <cell r="D4070">
            <v>4.8162899666000003</v>
          </cell>
        </row>
        <row r="4071">
          <cell r="A4071">
            <v>49359</v>
          </cell>
          <cell r="B4071">
            <v>4.8169655441000003</v>
          </cell>
          <cell r="C4071">
            <v>4.8157798870999997</v>
          </cell>
          <cell r="D4071">
            <v>4.8181514931000002</v>
          </cell>
        </row>
        <row r="4072">
          <cell r="A4072">
            <v>49360</v>
          </cell>
          <cell r="B4072">
            <v>4.8188273316999997</v>
          </cell>
          <cell r="C4072">
            <v>4.8176412165000002</v>
          </cell>
          <cell r="D4072">
            <v>4.8200137391000002</v>
          </cell>
        </row>
        <row r="4073">
          <cell r="A4073">
            <v>49361</v>
          </cell>
          <cell r="B4073">
            <v>4.8206898388999999</v>
          </cell>
          <cell r="C4073">
            <v>4.8195032651999998</v>
          </cell>
          <cell r="D4073">
            <v>4.8218767048000002</v>
          </cell>
        </row>
        <row r="4074">
          <cell r="A4074">
            <v>49362</v>
          </cell>
          <cell r="B4074">
            <v>4.8225530659000002</v>
          </cell>
          <cell r="C4074">
            <v>4.8213660336000004</v>
          </cell>
          <cell r="D4074">
            <v>4.8237403906000003</v>
          </cell>
        </row>
        <row r="4075">
          <cell r="A4075">
            <v>49363</v>
          </cell>
          <cell r="B4075">
            <v>4.8244170130999997</v>
          </cell>
          <cell r="C4075">
            <v>4.8232295220000001</v>
          </cell>
          <cell r="D4075">
            <v>4.8256047967000004</v>
          </cell>
        </row>
        <row r="4076">
          <cell r="A4076">
            <v>49366</v>
          </cell>
          <cell r="B4076">
            <v>4.8262816808000002</v>
          </cell>
          <cell r="C4076">
            <v>4.8250937307999999</v>
          </cell>
          <cell r="D4076">
            <v>4.8274699234999998</v>
          </cell>
        </row>
        <row r="4077">
          <cell r="A4077">
            <v>49367</v>
          </cell>
          <cell r="B4077">
            <v>4.8281470691999999</v>
          </cell>
          <cell r="C4077">
            <v>4.8269586599999998</v>
          </cell>
          <cell r="D4077">
            <v>4.8293357711000002</v>
          </cell>
        </row>
        <row r="4078">
          <cell r="A4078">
            <v>49368</v>
          </cell>
          <cell r="B4078">
            <v>4.8300131784999998</v>
          </cell>
          <cell r="C4078">
            <v>4.8288243099999999</v>
          </cell>
          <cell r="D4078">
            <v>4.8312023398999999</v>
          </cell>
        </row>
        <row r="4079">
          <cell r="A4079">
            <v>49369</v>
          </cell>
          <cell r="B4079">
            <v>4.8318800090999998</v>
          </cell>
          <cell r="C4079">
            <v>4.8306906811000001</v>
          </cell>
          <cell r="D4079">
            <v>4.8330696300999998</v>
          </cell>
        </row>
        <row r="4080">
          <cell r="A4080">
            <v>49370</v>
          </cell>
          <cell r="B4080">
            <v>4.8337475612</v>
          </cell>
          <cell r="C4080">
            <v>4.8325577734999996</v>
          </cell>
          <cell r="D4080">
            <v>4.8349376419999999</v>
          </cell>
        </row>
        <row r="4081">
          <cell r="A4081">
            <v>49373</v>
          </cell>
          <cell r="B4081">
            <v>4.8356158350999996</v>
          </cell>
          <cell r="C4081">
            <v>4.8344255876000002</v>
          </cell>
          <cell r="D4081">
            <v>4.8368063759000002</v>
          </cell>
        </row>
        <row r="4082">
          <cell r="A4082">
            <v>49374</v>
          </cell>
          <cell r="B4082">
            <v>4.8374848312000003</v>
          </cell>
          <cell r="C4082">
            <v>4.8362941236000001</v>
          </cell>
          <cell r="D4082">
            <v>4.8386758320999999</v>
          </cell>
        </row>
        <row r="4083">
          <cell r="A4083">
            <v>49375</v>
          </cell>
          <cell r="B4083">
            <v>4.8393545497000003</v>
          </cell>
          <cell r="C4083">
            <v>4.8381633818000003</v>
          </cell>
          <cell r="D4083">
            <v>4.8405460108999998</v>
          </cell>
        </row>
        <row r="4084">
          <cell r="A4084">
            <v>49376</v>
          </cell>
          <cell r="B4084">
            <v>4.8412249907999998</v>
          </cell>
          <cell r="C4084">
            <v>4.8400333624999998</v>
          </cell>
          <cell r="D4084">
            <v>4.8424169125000001</v>
          </cell>
        </row>
        <row r="4085">
          <cell r="A4085">
            <v>49377</v>
          </cell>
          <cell r="B4085">
            <v>4.8430961548000004</v>
          </cell>
          <cell r="C4085">
            <v>4.8419040659999997</v>
          </cell>
          <cell r="D4085">
            <v>4.8442885371999997</v>
          </cell>
        </row>
        <row r="4086">
          <cell r="A4086">
            <v>49380</v>
          </cell>
          <cell r="B4086">
            <v>4.8449680419999996</v>
          </cell>
          <cell r="C4086">
            <v>4.8437754923999998</v>
          </cell>
          <cell r="D4086">
            <v>4.8461608852999998</v>
          </cell>
        </row>
        <row r="4087">
          <cell r="A4087">
            <v>49381</v>
          </cell>
          <cell r="B4087">
            <v>4.8468406528000001</v>
          </cell>
          <cell r="C4087">
            <v>4.8456476423000003</v>
          </cell>
          <cell r="D4087">
            <v>4.8480339571000002</v>
          </cell>
        </row>
        <row r="4088">
          <cell r="A4088">
            <v>49382</v>
          </cell>
          <cell r="B4088">
            <v>4.8487139873</v>
          </cell>
          <cell r="C4088">
            <v>4.8475205158000003</v>
          </cell>
          <cell r="D4088">
            <v>4.8499077529000001</v>
          </cell>
        </row>
        <row r="4089">
          <cell r="A4089">
            <v>49383</v>
          </cell>
          <cell r="B4089">
            <v>4.8505880458000004</v>
          </cell>
          <cell r="C4089">
            <v>4.8493941129999998</v>
          </cell>
          <cell r="D4089">
            <v>4.8517822728000004</v>
          </cell>
        </row>
        <row r="4090">
          <cell r="A4090">
            <v>49384</v>
          </cell>
          <cell r="B4090">
            <v>4.8524628288000002</v>
          </cell>
          <cell r="C4090">
            <v>4.8512684343999997</v>
          </cell>
          <cell r="D4090">
            <v>4.8536575173000003</v>
          </cell>
        </row>
        <row r="4091">
          <cell r="A4091">
            <v>49387</v>
          </cell>
          <cell r="B4091">
            <v>4.8543383362999997</v>
          </cell>
          <cell r="C4091">
            <v>4.8531434803</v>
          </cell>
          <cell r="D4091">
            <v>4.8555334865999997</v>
          </cell>
        </row>
        <row r="4092">
          <cell r="A4092">
            <v>49388</v>
          </cell>
          <cell r="B4092">
            <v>4.8562145687999996</v>
          </cell>
          <cell r="C4092">
            <v>4.8550192509999999</v>
          </cell>
          <cell r="D4092">
            <v>4.8574101809999997</v>
          </cell>
        </row>
        <row r="4093">
          <cell r="A4093">
            <v>49389</v>
          </cell>
          <cell r="B4093">
            <v>4.8580915264</v>
          </cell>
          <cell r="C4093">
            <v>4.8568957466000002</v>
          </cell>
          <cell r="D4093">
            <v>4.8592876007000001</v>
          </cell>
        </row>
        <row r="4094">
          <cell r="A4094">
            <v>49390</v>
          </cell>
          <cell r="B4094">
            <v>4.8599692094</v>
          </cell>
          <cell r="C4094">
            <v>4.8587729674000002</v>
          </cell>
          <cell r="D4094">
            <v>4.8611657460000002</v>
          </cell>
        </row>
        <row r="4095">
          <cell r="A4095">
            <v>49394</v>
          </cell>
          <cell r="B4095">
            <v>4.8618476181999997</v>
          </cell>
          <cell r="C4095">
            <v>4.8606509138999998</v>
          </cell>
          <cell r="D4095">
            <v>4.8630446172999999</v>
          </cell>
        </row>
        <row r="4096">
          <cell r="A4096">
            <v>49395</v>
          </cell>
          <cell r="B4096">
            <v>4.8637267529999999</v>
          </cell>
          <cell r="C4096">
            <v>4.8625295861</v>
          </cell>
          <cell r="D4096">
            <v>4.8649242147000002</v>
          </cell>
        </row>
        <row r="4097">
          <cell r="A4097">
            <v>49396</v>
          </cell>
          <cell r="B4097">
            <v>4.8656066140999998</v>
          </cell>
          <cell r="C4097">
            <v>4.8644089845999998</v>
          </cell>
          <cell r="D4097">
            <v>4.8668045387000003</v>
          </cell>
        </row>
        <row r="4098">
          <cell r="A4098">
            <v>49397</v>
          </cell>
          <cell r="B4098">
            <v>4.8674872018000004</v>
          </cell>
          <cell r="C4098">
            <v>4.8662891094000003</v>
          </cell>
          <cell r="D4098">
            <v>4.8686855894000001</v>
          </cell>
        </row>
        <row r="4099">
          <cell r="A4099">
            <v>49398</v>
          </cell>
          <cell r="B4099">
            <v>4.8693685162999998</v>
          </cell>
          <cell r="C4099">
            <v>4.8681699608000004</v>
          </cell>
          <cell r="D4099">
            <v>4.8705673670999996</v>
          </cell>
        </row>
        <row r="4100">
          <cell r="A4100">
            <v>49401</v>
          </cell>
          <cell r="B4100">
            <v>4.8712505579999998</v>
          </cell>
          <cell r="C4100">
            <v>4.8700515392000003</v>
          </cell>
          <cell r="D4100">
            <v>4.8724498720999998</v>
          </cell>
        </row>
        <row r="4101">
          <cell r="A4101">
            <v>49402</v>
          </cell>
          <cell r="B4101">
            <v>4.8731333270999997</v>
          </cell>
          <cell r="C4101">
            <v>4.8719338449</v>
          </cell>
          <cell r="D4101">
            <v>4.8743331047999998</v>
          </cell>
        </row>
        <row r="4102">
          <cell r="A4102">
            <v>49403</v>
          </cell>
          <cell r="B4102">
            <v>4.8750168239000002</v>
          </cell>
          <cell r="C4102">
            <v>4.8738168781000004</v>
          </cell>
          <cell r="D4102">
            <v>4.8762170652999997</v>
          </cell>
        </row>
        <row r="4103">
          <cell r="A4103">
            <v>49404</v>
          </cell>
          <cell r="B4103">
            <v>4.8769010486999997</v>
          </cell>
          <cell r="C4103">
            <v>4.8757006390999997</v>
          </cell>
          <cell r="D4103">
            <v>4.8781017540000002</v>
          </cell>
        </row>
        <row r="4104">
          <cell r="A4104">
            <v>49405</v>
          </cell>
          <cell r="B4104">
            <v>4.8787860017</v>
          </cell>
          <cell r="C4104">
            <v>4.8775851281999998</v>
          </cell>
          <cell r="D4104">
            <v>4.8799871710999998</v>
          </cell>
        </row>
        <row r="4105">
          <cell r="A4105">
            <v>49408</v>
          </cell>
          <cell r="B4105">
            <v>4.8806716834000001</v>
          </cell>
          <cell r="C4105">
            <v>4.8794703456999997</v>
          </cell>
          <cell r="D4105">
            <v>4.8818733170000002</v>
          </cell>
        </row>
        <row r="4106">
          <cell r="A4106">
            <v>49409</v>
          </cell>
          <cell r="B4106">
            <v>4.8825580938000002</v>
          </cell>
          <cell r="C4106">
            <v>4.8813562918000004</v>
          </cell>
          <cell r="D4106">
            <v>4.8837601919000004</v>
          </cell>
        </row>
        <row r="4107">
          <cell r="A4107">
            <v>49410</v>
          </cell>
          <cell r="B4107">
            <v>4.8844452333000001</v>
          </cell>
          <cell r="C4107">
            <v>4.8832429668000001</v>
          </cell>
          <cell r="D4107">
            <v>4.8856477959999998</v>
          </cell>
        </row>
        <row r="4108">
          <cell r="A4108">
            <v>49411</v>
          </cell>
          <cell r="B4108">
            <v>4.8863331023000001</v>
          </cell>
          <cell r="C4108">
            <v>4.8851303710999998</v>
          </cell>
          <cell r="D4108">
            <v>4.8875361298</v>
          </cell>
        </row>
        <row r="4109">
          <cell r="A4109">
            <v>49412</v>
          </cell>
          <cell r="B4109">
            <v>4.8882217008</v>
          </cell>
          <cell r="C4109">
            <v>4.8870185047000003</v>
          </cell>
          <cell r="D4109">
            <v>4.8894251933000001</v>
          </cell>
        </row>
        <row r="4110">
          <cell r="A4110">
            <v>49415</v>
          </cell>
          <cell r="B4110">
            <v>4.8901110293999999</v>
          </cell>
          <cell r="C4110">
            <v>4.8889073681999999</v>
          </cell>
          <cell r="D4110">
            <v>4.8913149870000003</v>
          </cell>
        </row>
        <row r="4111">
          <cell r="A4111">
            <v>49416</v>
          </cell>
          <cell r="B4111">
            <v>4.8920010882999998</v>
          </cell>
          <cell r="C4111">
            <v>4.8907969618999996</v>
          </cell>
          <cell r="D4111">
            <v>4.8932055111999997</v>
          </cell>
        </row>
        <row r="4112">
          <cell r="A4112">
            <v>49417</v>
          </cell>
          <cell r="B4112">
            <v>4.8938918774999998</v>
          </cell>
          <cell r="C4112">
            <v>4.8926872858000001</v>
          </cell>
          <cell r="D4112">
            <v>4.895096766</v>
          </cell>
        </row>
        <row r="4113">
          <cell r="A4113">
            <v>49418</v>
          </cell>
          <cell r="B4113">
            <v>4.8957833975999998</v>
          </cell>
          <cell r="C4113">
            <v>4.8945783402999998</v>
          </cell>
          <cell r="D4113">
            <v>4.8969887518000004</v>
          </cell>
        </row>
        <row r="4114">
          <cell r="A4114">
            <v>49419</v>
          </cell>
          <cell r="B4114">
            <v>4.8976756489</v>
          </cell>
          <cell r="C4114">
            <v>4.8964701257999996</v>
          </cell>
          <cell r="D4114">
            <v>4.8988814689</v>
          </cell>
        </row>
        <row r="4115">
          <cell r="A4115">
            <v>49422</v>
          </cell>
          <cell r="B4115">
            <v>4.8995686314000002</v>
          </cell>
          <cell r="C4115">
            <v>4.8983626424000004</v>
          </cell>
          <cell r="D4115">
            <v>4.9007749174999997</v>
          </cell>
        </row>
        <row r="4116">
          <cell r="A4116">
            <v>49423</v>
          </cell>
          <cell r="B4116">
            <v>4.9014623456999997</v>
          </cell>
          <cell r="C4116">
            <v>4.9002558905000004</v>
          </cell>
          <cell r="D4116">
            <v>4.9026690979999996</v>
          </cell>
        </row>
        <row r="4117">
          <cell r="A4117">
            <v>49424</v>
          </cell>
          <cell r="B4117">
            <v>4.9033567918000003</v>
          </cell>
          <cell r="C4117">
            <v>4.9021498703999997</v>
          </cell>
          <cell r="D4117">
            <v>4.9045640105999997</v>
          </cell>
        </row>
        <row r="4118">
          <cell r="A4118">
            <v>49425</v>
          </cell>
          <cell r="B4118">
            <v>4.9052519702000001</v>
          </cell>
          <cell r="C4118">
            <v>4.9040445822000001</v>
          </cell>
          <cell r="D4118">
            <v>4.9064596555</v>
          </cell>
        </row>
        <row r="4119">
          <cell r="A4119">
            <v>49426</v>
          </cell>
          <cell r="B4119">
            <v>4.9071478811000002</v>
          </cell>
          <cell r="C4119">
            <v>4.9059400264999997</v>
          </cell>
          <cell r="D4119">
            <v>4.9083560331999996</v>
          </cell>
        </row>
        <row r="4120">
          <cell r="A4120">
            <v>49429</v>
          </cell>
          <cell r="B4120">
            <v>4.9090445246999996</v>
          </cell>
          <cell r="C4120">
            <v>4.9078362031999996</v>
          </cell>
          <cell r="D4120">
            <v>4.9102531438000003</v>
          </cell>
        </row>
        <row r="4121">
          <cell r="A4121">
            <v>49431</v>
          </cell>
          <cell r="B4121">
            <v>4.9109419014000002</v>
          </cell>
          <cell r="C4121">
            <v>4.9097331128999997</v>
          </cell>
          <cell r="D4121">
            <v>4.9121509875999996</v>
          </cell>
        </row>
        <row r="4122">
          <cell r="A4122">
            <v>49432</v>
          </cell>
          <cell r="B4122">
            <v>4.9128400115000002</v>
          </cell>
          <cell r="C4122">
            <v>4.9116307558000001</v>
          </cell>
          <cell r="D4122">
            <v>4.914049565</v>
          </cell>
        </row>
        <row r="4123">
          <cell r="A4123">
            <v>49433</v>
          </cell>
          <cell r="B4123">
            <v>4.9147388552000004</v>
          </cell>
          <cell r="C4123">
            <v>4.9135291320999999</v>
          </cell>
          <cell r="D4123">
            <v>4.9159488761999999</v>
          </cell>
        </row>
        <row r="4124">
          <cell r="A4124">
            <v>49436</v>
          </cell>
          <cell r="B4124">
            <v>4.9166384328000001</v>
          </cell>
          <cell r="C4124">
            <v>4.9154282421</v>
          </cell>
          <cell r="D4124">
            <v>4.9178489215000001</v>
          </cell>
        </row>
        <row r="4125">
          <cell r="A4125">
            <v>49437</v>
          </cell>
          <cell r="B4125">
            <v>4.9185387445000002</v>
          </cell>
          <cell r="C4125">
            <v>4.9173280861000004</v>
          </cell>
          <cell r="D4125">
            <v>4.9197497010999998</v>
          </cell>
        </row>
        <row r="4126">
          <cell r="A4126">
            <v>49438</v>
          </cell>
          <cell r="B4126">
            <v>4.9204397908999997</v>
          </cell>
          <cell r="C4126">
            <v>4.9192286646000003</v>
          </cell>
          <cell r="D4126">
            <v>4.9216512154999998</v>
          </cell>
        </row>
        <row r="4127">
          <cell r="A4127">
            <v>49439</v>
          </cell>
          <cell r="B4127">
            <v>4.9223415717999996</v>
          </cell>
          <cell r="C4127">
            <v>4.9211299773999997</v>
          </cell>
          <cell r="D4127">
            <v>4.9235534647000003</v>
          </cell>
        </row>
        <row r="4128">
          <cell r="A4128">
            <v>49440</v>
          </cell>
          <cell r="B4128">
            <v>4.9242440879</v>
          </cell>
          <cell r="C4128">
            <v>4.9230320252000004</v>
          </cell>
          <cell r="D4128">
            <v>4.9254564492000004</v>
          </cell>
        </row>
        <row r="4129">
          <cell r="A4129">
            <v>49443</v>
          </cell>
          <cell r="B4129">
            <v>4.9261473394999999</v>
          </cell>
          <cell r="C4129">
            <v>4.9249348082999997</v>
          </cell>
          <cell r="D4129">
            <v>4.9273601693</v>
          </cell>
        </row>
        <row r="4130">
          <cell r="A4130">
            <v>49444</v>
          </cell>
          <cell r="B4130">
            <v>4.9280513265000003</v>
          </cell>
          <cell r="C4130">
            <v>4.9268383267000004</v>
          </cell>
          <cell r="D4130">
            <v>4.9292646251000001</v>
          </cell>
        </row>
        <row r="4131">
          <cell r="A4131">
            <v>49445</v>
          </cell>
          <cell r="B4131">
            <v>4.9299560494000003</v>
          </cell>
          <cell r="C4131">
            <v>4.9287425807999998</v>
          </cell>
          <cell r="D4131">
            <v>4.9311698169999998</v>
          </cell>
        </row>
        <row r="4132">
          <cell r="A4132">
            <v>49446</v>
          </cell>
          <cell r="B4132">
            <v>4.9318615085999999</v>
          </cell>
          <cell r="C4132">
            <v>4.9306475708999997</v>
          </cell>
          <cell r="D4132">
            <v>4.9330757453</v>
          </cell>
        </row>
        <row r="4133">
          <cell r="A4133">
            <v>49447</v>
          </cell>
          <cell r="B4133">
            <v>4.9337677042000001</v>
          </cell>
          <cell r="C4133">
            <v>4.9325532973000001</v>
          </cell>
          <cell r="D4133">
            <v>4.9349824101999999</v>
          </cell>
        </row>
        <row r="4134">
          <cell r="A4134">
            <v>49450</v>
          </cell>
          <cell r="B4134">
            <v>4.9356746365999999</v>
          </cell>
          <cell r="C4134">
            <v>4.9344597604000002</v>
          </cell>
          <cell r="D4134">
            <v>4.9368898121000004</v>
          </cell>
        </row>
        <row r="4135">
          <cell r="A4135">
            <v>49451</v>
          </cell>
          <cell r="B4135">
            <v>4.9375823060000004</v>
          </cell>
          <cell r="C4135">
            <v>4.9363669602</v>
          </cell>
          <cell r="D4135">
            <v>4.9387979511999998</v>
          </cell>
        </row>
        <row r="4136">
          <cell r="A4136">
            <v>49452</v>
          </cell>
          <cell r="B4136">
            <v>4.9394907127999996</v>
          </cell>
          <cell r="C4136">
            <v>4.9382748972000003</v>
          </cell>
          <cell r="D4136">
            <v>4.9407068277999997</v>
          </cell>
        </row>
        <row r="4137">
          <cell r="A4137">
            <v>49454</v>
          </cell>
          <cell r="B4137">
            <v>4.9413998571000004</v>
          </cell>
          <cell r="C4137">
            <v>4.9401835716000004</v>
          </cell>
          <cell r="D4137">
            <v>4.9426164421000003</v>
          </cell>
        </row>
        <row r="4138">
          <cell r="A4138">
            <v>49457</v>
          </cell>
          <cell r="B4138">
            <v>4.9433097393000001</v>
          </cell>
          <cell r="C4138">
            <v>4.9420929838000003</v>
          </cell>
          <cell r="D4138">
            <v>4.9445267945999998</v>
          </cell>
        </row>
        <row r="4139">
          <cell r="A4139">
            <v>49458</v>
          </cell>
          <cell r="B4139">
            <v>4.9452203597000004</v>
          </cell>
          <cell r="C4139">
            <v>4.9440031338999999</v>
          </cell>
          <cell r="D4139">
            <v>4.9464378854</v>
          </cell>
        </row>
        <row r="4140">
          <cell r="A4140">
            <v>49459</v>
          </cell>
          <cell r="B4140">
            <v>4.9471317186999997</v>
          </cell>
          <cell r="C4140">
            <v>4.9459140223000002</v>
          </cell>
          <cell r="D4140">
            <v>4.9483497149</v>
          </cell>
        </row>
        <row r="4141">
          <cell r="A4141">
            <v>49460</v>
          </cell>
          <cell r="B4141">
            <v>4.9490438162999997</v>
          </cell>
          <cell r="C4141">
            <v>4.9478256493000004</v>
          </cell>
          <cell r="D4141">
            <v>4.9502622832999998</v>
          </cell>
        </row>
        <row r="4142">
          <cell r="A4142">
            <v>49461</v>
          </cell>
          <cell r="B4142">
            <v>4.9509566530000004</v>
          </cell>
          <cell r="C4142">
            <v>4.9497380152000003</v>
          </cell>
          <cell r="D4142">
            <v>4.9521755909999996</v>
          </cell>
        </row>
        <row r="4143">
          <cell r="A4143">
            <v>49464</v>
          </cell>
          <cell r="B4143">
            <v>4.9528702290000002</v>
          </cell>
          <cell r="C4143">
            <v>4.9516511202000002</v>
          </cell>
          <cell r="D4143">
            <v>4.9540896381000001</v>
          </cell>
        </row>
        <row r="4144">
          <cell r="A4144">
            <v>49465</v>
          </cell>
          <cell r="B4144">
            <v>4.9547845445999998</v>
          </cell>
          <cell r="C4144">
            <v>4.9535649646</v>
          </cell>
          <cell r="D4144">
            <v>4.9560044249999997</v>
          </cell>
        </row>
        <row r="4145">
          <cell r="A4145">
            <v>49466</v>
          </cell>
          <cell r="B4145">
            <v>4.9566996002000003</v>
          </cell>
          <cell r="C4145">
            <v>4.9554795487999996</v>
          </cell>
          <cell r="D4145">
            <v>4.9579199521000001</v>
          </cell>
        </row>
        <row r="4146">
          <cell r="A4146">
            <v>49467</v>
          </cell>
          <cell r="B4146">
            <v>4.9586153957999999</v>
          </cell>
          <cell r="C4146">
            <v>4.9573948729000001</v>
          </cell>
          <cell r="D4146">
            <v>4.9598362193999996</v>
          </cell>
        </row>
        <row r="4147">
          <cell r="A4147">
            <v>49468</v>
          </cell>
          <cell r="B4147">
            <v>4.9605319320000003</v>
          </cell>
          <cell r="C4147">
            <v>4.9593109372999997</v>
          </cell>
          <cell r="D4147">
            <v>4.9617532274</v>
          </cell>
        </row>
        <row r="4148">
          <cell r="A4148">
            <v>49471</v>
          </cell>
          <cell r="B4148">
            <v>4.9624492088999999</v>
          </cell>
          <cell r="C4148">
            <v>4.9612277424000002</v>
          </cell>
          <cell r="D4148">
            <v>4.9636709764000004</v>
          </cell>
        </row>
        <row r="4149">
          <cell r="A4149">
            <v>49472</v>
          </cell>
          <cell r="B4149">
            <v>4.9643672269000003</v>
          </cell>
          <cell r="C4149">
            <v>4.9631452881999998</v>
          </cell>
          <cell r="D4149">
            <v>4.9655894666</v>
          </cell>
        </row>
        <row r="4150">
          <cell r="A4150">
            <v>49473</v>
          </cell>
          <cell r="B4150">
            <v>4.9662859861999999</v>
          </cell>
          <cell r="C4150">
            <v>4.9650635752000003</v>
          </cell>
          <cell r="D4150">
            <v>4.9675086982999996</v>
          </cell>
        </row>
        <row r="4151">
          <cell r="A4151">
            <v>49474</v>
          </cell>
          <cell r="B4151">
            <v>4.9682054870999997</v>
          </cell>
          <cell r="C4151">
            <v>4.9669826037</v>
          </cell>
          <cell r="D4151">
            <v>4.9694286718000003</v>
          </cell>
        </row>
        <row r="4152">
          <cell r="A4152">
            <v>49475</v>
          </cell>
          <cell r="B4152">
            <v>4.9701257299000003</v>
          </cell>
          <cell r="C4152">
            <v>4.9689023737999998</v>
          </cell>
          <cell r="D4152">
            <v>4.9713493873000001</v>
          </cell>
        </row>
        <row r="4153">
          <cell r="A4153">
            <v>49478</v>
          </cell>
          <cell r="B4153">
            <v>4.9720467149000003</v>
          </cell>
          <cell r="C4153">
            <v>4.9708228859999997</v>
          </cell>
          <cell r="D4153">
            <v>4.9732708453000001</v>
          </cell>
        </row>
        <row r="4154">
          <cell r="A4154">
            <v>49479</v>
          </cell>
          <cell r="B4154">
            <v>4.9739684423000003</v>
          </cell>
          <cell r="C4154">
            <v>4.9727441402999997</v>
          </cell>
          <cell r="D4154">
            <v>4.9751930458000002</v>
          </cell>
        </row>
        <row r="4155">
          <cell r="A4155">
            <v>49480</v>
          </cell>
          <cell r="B4155">
            <v>4.9758909125999997</v>
          </cell>
          <cell r="C4155">
            <v>4.9746661373999999</v>
          </cell>
          <cell r="D4155">
            <v>4.9771159893999997</v>
          </cell>
        </row>
        <row r="4156">
          <cell r="A4156">
            <v>49481</v>
          </cell>
          <cell r="B4156">
            <v>4.9778141258000002</v>
          </cell>
          <cell r="C4156">
            <v>4.9765888772000002</v>
          </cell>
          <cell r="D4156">
            <v>4.9790396761000002</v>
          </cell>
        </row>
        <row r="4157">
          <cell r="A4157">
            <v>49482</v>
          </cell>
          <cell r="B4157">
            <v>4.9797380823999999</v>
          </cell>
          <cell r="C4157">
            <v>4.9785123602999999</v>
          </cell>
          <cell r="D4157">
            <v>4.9809641064000001</v>
          </cell>
        </row>
        <row r="4158">
          <cell r="A4158">
            <v>49485</v>
          </cell>
          <cell r="B4158">
            <v>4.9816627826</v>
          </cell>
          <cell r="C4158">
            <v>4.9804365867999998</v>
          </cell>
          <cell r="D4158">
            <v>4.9828892805000002</v>
          </cell>
        </row>
        <row r="4159">
          <cell r="A4159">
            <v>49486</v>
          </cell>
          <cell r="B4159">
            <v>4.9835882268000002</v>
          </cell>
          <cell r="C4159">
            <v>4.9823615569999999</v>
          </cell>
          <cell r="D4159">
            <v>4.9848151986999998</v>
          </cell>
        </row>
        <row r="4160">
          <cell r="A4160">
            <v>49487</v>
          </cell>
          <cell r="B4160">
            <v>4.9855144149999999</v>
          </cell>
          <cell r="C4160">
            <v>4.9842872711000004</v>
          </cell>
          <cell r="D4160">
            <v>4.9867418611999996</v>
          </cell>
        </row>
        <row r="4161">
          <cell r="A4161">
            <v>49488</v>
          </cell>
          <cell r="B4161">
            <v>4.9874413477999999</v>
          </cell>
          <cell r="C4161">
            <v>4.9862137296000002</v>
          </cell>
          <cell r="D4161">
            <v>4.9886692683999998</v>
          </cell>
        </row>
        <row r="4162">
          <cell r="A4162">
            <v>49489</v>
          </cell>
          <cell r="B4162">
            <v>4.9893690254000003</v>
          </cell>
          <cell r="C4162">
            <v>4.9881409327000004</v>
          </cell>
          <cell r="D4162">
            <v>4.9905974206000003</v>
          </cell>
        </row>
        <row r="4163">
          <cell r="A4163">
            <v>49492</v>
          </cell>
          <cell r="B4163">
            <v>4.9912974480000001</v>
          </cell>
          <cell r="C4163">
            <v>4.9900688807</v>
          </cell>
          <cell r="D4163">
            <v>4.9925263180000004</v>
          </cell>
        </row>
        <row r="4164">
          <cell r="A4164">
            <v>49493</v>
          </cell>
          <cell r="B4164">
            <v>4.9932266161000003</v>
          </cell>
          <cell r="C4164">
            <v>4.9919975739</v>
          </cell>
          <cell r="D4164">
            <v>4.9944559609999999</v>
          </cell>
        </row>
        <row r="4165">
          <cell r="A4165">
            <v>49494</v>
          </cell>
          <cell r="B4165">
            <v>4.9951565297</v>
          </cell>
          <cell r="C4165">
            <v>4.9939270125000004</v>
          </cell>
          <cell r="D4165">
            <v>4.9963863497999998</v>
          </cell>
        </row>
        <row r="4166">
          <cell r="A4166">
            <v>49495</v>
          </cell>
          <cell r="B4166">
            <v>4.9970871892000002</v>
          </cell>
          <cell r="C4166">
            <v>4.9958571967000003</v>
          </cell>
          <cell r="D4166">
            <v>4.9983174846000002</v>
          </cell>
        </row>
        <row r="4167">
          <cell r="A4167">
            <v>49496</v>
          </cell>
          <cell r="B4167">
            <v>4.9990185949999999</v>
          </cell>
          <cell r="C4167">
            <v>4.9977881270999998</v>
          </cell>
          <cell r="D4167">
            <v>5.0002493659000002</v>
          </cell>
        </row>
        <row r="4168">
          <cell r="A4168">
            <v>49499</v>
          </cell>
          <cell r="B4168">
            <v>5.0009507473000001</v>
          </cell>
          <cell r="C4168">
            <v>4.9997198037999997</v>
          </cell>
          <cell r="D4168">
            <v>5.0021819938999998</v>
          </cell>
        </row>
        <row r="4169">
          <cell r="A4169">
            <v>49500</v>
          </cell>
          <cell r="B4169">
            <v>5.0028836462999999</v>
          </cell>
          <cell r="C4169">
            <v>5.0016522271000001</v>
          </cell>
          <cell r="D4169">
            <v>5.0041153688</v>
          </cell>
        </row>
        <row r="4170">
          <cell r="A4170">
            <v>49501</v>
          </cell>
          <cell r="B4170">
            <v>5.0048172924000003</v>
          </cell>
          <cell r="C4170">
            <v>5.0035853973000002</v>
          </cell>
          <cell r="D4170">
            <v>5.0060494909999997</v>
          </cell>
        </row>
        <row r="4171">
          <cell r="A4171">
            <v>49502</v>
          </cell>
          <cell r="B4171">
            <v>5.0067516859000003</v>
          </cell>
          <cell r="C4171">
            <v>5.0055193145999999</v>
          </cell>
          <cell r="D4171">
            <v>5.0079843607000001</v>
          </cell>
        </row>
        <row r="4172">
          <cell r="A4172">
            <v>49503</v>
          </cell>
          <cell r="B4172">
            <v>5.008686827</v>
          </cell>
          <cell r="C4172">
            <v>5.0074539794000001</v>
          </cell>
          <cell r="D4172">
            <v>5.0099199783000001</v>
          </cell>
        </row>
        <row r="4173">
          <cell r="A4173">
            <v>49506</v>
          </cell>
          <cell r="B4173">
            <v>5.0106227161000003</v>
          </cell>
          <cell r="C4173">
            <v>5.0093893920000001</v>
          </cell>
          <cell r="D4173">
            <v>5.0118563439999999</v>
          </cell>
        </row>
        <row r="4174">
          <cell r="A4174">
            <v>49507</v>
          </cell>
          <cell r="B4174">
            <v>5.0125593535000004</v>
          </cell>
          <cell r="C4174">
            <v>5.0113255526999998</v>
          </cell>
          <cell r="D4174">
            <v>5.0137934582000003</v>
          </cell>
        </row>
        <row r="4175">
          <cell r="A4175">
            <v>49508</v>
          </cell>
          <cell r="B4175">
            <v>5.0144967393000002</v>
          </cell>
          <cell r="C4175">
            <v>5.0132624616000001</v>
          </cell>
          <cell r="D4175">
            <v>5.0157313209999996</v>
          </cell>
        </row>
        <row r="4176">
          <cell r="A4176">
            <v>49509</v>
          </cell>
          <cell r="B4176">
            <v>5.0164348738999998</v>
          </cell>
          <cell r="C4176">
            <v>5.0152001192000002</v>
          </cell>
          <cell r="D4176">
            <v>5.0176699327999996</v>
          </cell>
        </row>
        <row r="4177">
          <cell r="A4177">
            <v>49510</v>
          </cell>
          <cell r="B4177">
            <v>5.0183737577</v>
          </cell>
          <cell r="C4177">
            <v>5.0171385257000001</v>
          </cell>
          <cell r="D4177">
            <v>5.0196092939000003</v>
          </cell>
        </row>
        <row r="4178">
          <cell r="A4178">
            <v>49513</v>
          </cell>
          <cell r="B4178">
            <v>5.0203133908000002</v>
          </cell>
          <cell r="C4178">
            <v>5.0190776813999998</v>
          </cell>
          <cell r="D4178">
            <v>5.0215494046</v>
          </cell>
        </row>
        <row r="4179">
          <cell r="A4179">
            <v>49514</v>
          </cell>
          <cell r="B4179">
            <v>5.0222537737000001</v>
          </cell>
          <cell r="C4179">
            <v>5.0210175867000002</v>
          </cell>
          <cell r="D4179">
            <v>5.0234902652000004</v>
          </cell>
        </row>
        <row r="4180">
          <cell r="A4180">
            <v>49515</v>
          </cell>
          <cell r="B4180">
            <v>5.0241949065</v>
          </cell>
          <cell r="C4180">
            <v>5.0229582416999996</v>
          </cell>
          <cell r="D4180">
            <v>5.0254318758999998</v>
          </cell>
        </row>
        <row r="4181">
          <cell r="A4181">
            <v>49516</v>
          </cell>
          <cell r="B4181">
            <v>5.0261367895999998</v>
          </cell>
          <cell r="C4181">
            <v>5.0248996467999998</v>
          </cell>
          <cell r="D4181">
            <v>5.0273742371000001</v>
          </cell>
        </row>
        <row r="4182">
          <cell r="A4182">
            <v>49517</v>
          </cell>
          <cell r="B4182">
            <v>5.0280794232000003</v>
          </cell>
          <cell r="C4182">
            <v>5.0268418022999999</v>
          </cell>
          <cell r="D4182">
            <v>5.0293173490000003</v>
          </cell>
        </row>
        <row r="4183">
          <cell r="A4183">
            <v>49520</v>
          </cell>
          <cell r="B4183">
            <v>5.0300228077</v>
          </cell>
          <cell r="C4183">
            <v>5.0287847083999999</v>
          </cell>
          <cell r="D4183">
            <v>5.0312612119000004</v>
          </cell>
        </row>
        <row r="4184">
          <cell r="A4184">
            <v>49521</v>
          </cell>
          <cell r="B4184">
            <v>5.0319669431999996</v>
          </cell>
          <cell r="C4184">
            <v>5.0307283653999999</v>
          </cell>
          <cell r="D4184">
            <v>5.0332058260999997</v>
          </cell>
        </row>
        <row r="4185">
          <cell r="A4185">
            <v>49522</v>
          </cell>
          <cell r="B4185">
            <v>5.0339118302000001</v>
          </cell>
          <cell r="C4185">
            <v>5.0326727735999999</v>
          </cell>
          <cell r="D4185">
            <v>5.0351511918999998</v>
          </cell>
        </row>
        <row r="4186">
          <cell r="A4186">
            <v>49523</v>
          </cell>
          <cell r="B4186">
            <v>5.0358574689999998</v>
          </cell>
          <cell r="C4186">
            <v>5.0346179334999999</v>
          </cell>
          <cell r="D4186">
            <v>5.0370973097</v>
          </cell>
        </row>
        <row r="4187">
          <cell r="A4187">
            <v>49524</v>
          </cell>
          <cell r="B4187">
            <v>5.0378038596000003</v>
          </cell>
          <cell r="C4187">
            <v>5.0365638450999999</v>
          </cell>
          <cell r="D4187">
            <v>5.0390441796000003</v>
          </cell>
        </row>
        <row r="4188">
          <cell r="A4188">
            <v>49527</v>
          </cell>
          <cell r="B4188">
            <v>5.0397510027000001</v>
          </cell>
          <cell r="C4188">
            <v>5.0385105088</v>
          </cell>
          <cell r="D4188">
            <v>5.0409918019999997</v>
          </cell>
        </row>
        <row r="4189">
          <cell r="A4189">
            <v>49528</v>
          </cell>
          <cell r="B4189">
            <v>5.0416988983</v>
          </cell>
          <cell r="C4189">
            <v>5.0404579250000001</v>
          </cell>
          <cell r="D4189">
            <v>5.0429401772000002</v>
          </cell>
        </row>
        <row r="4190">
          <cell r="A4190">
            <v>49529</v>
          </cell>
          <cell r="B4190">
            <v>5.0436475466999999</v>
          </cell>
          <cell r="C4190">
            <v>5.0424060938000004</v>
          </cell>
          <cell r="D4190">
            <v>5.0448893053999999</v>
          </cell>
        </row>
        <row r="4191">
          <cell r="A4191">
            <v>49530</v>
          </cell>
          <cell r="B4191">
            <v>5.0455969484000001</v>
          </cell>
          <cell r="C4191">
            <v>5.0443550155999999</v>
          </cell>
          <cell r="D4191">
            <v>5.0468391869999998</v>
          </cell>
        </row>
        <row r="4192">
          <cell r="A4192">
            <v>49531</v>
          </cell>
          <cell r="B4192">
            <v>5.0475471034000003</v>
          </cell>
          <cell r="C4192">
            <v>5.0463046907000004</v>
          </cell>
          <cell r="D4192">
            <v>5.0487898221999998</v>
          </cell>
        </row>
        <row r="4193">
          <cell r="A4193">
            <v>49534</v>
          </cell>
          <cell r="B4193">
            <v>5.0494980121999999</v>
          </cell>
          <cell r="C4193">
            <v>5.0482551193000003</v>
          </cell>
          <cell r="D4193">
            <v>5.0507412113000001</v>
          </cell>
        </row>
        <row r="4194">
          <cell r="A4194">
            <v>49535</v>
          </cell>
          <cell r="B4194">
            <v>5.0514496750999998</v>
          </cell>
          <cell r="C4194">
            <v>5.0502063018000003</v>
          </cell>
          <cell r="D4194">
            <v>5.0526933546999997</v>
          </cell>
        </row>
        <row r="4195">
          <cell r="A4195">
            <v>49536</v>
          </cell>
          <cell r="B4195">
            <v>5.0534020922999998</v>
          </cell>
          <cell r="C4195">
            <v>5.0521582383999997</v>
          </cell>
          <cell r="D4195">
            <v>5.0546462525999996</v>
          </cell>
        </row>
        <row r="4196">
          <cell r="A4196">
            <v>49537</v>
          </cell>
          <cell r="B4196">
            <v>5.0553552641000001</v>
          </cell>
          <cell r="C4196">
            <v>5.0541109295000002</v>
          </cell>
          <cell r="D4196">
            <v>5.0565999052999997</v>
          </cell>
        </row>
        <row r="4197">
          <cell r="A4197">
            <v>49538</v>
          </cell>
          <cell r="B4197">
            <v>5.0573091908999999</v>
          </cell>
          <cell r="C4197">
            <v>5.0560643753000001</v>
          </cell>
          <cell r="D4197">
            <v>5.0585543131000001</v>
          </cell>
        </row>
        <row r="4198">
          <cell r="A4198">
            <v>49541</v>
          </cell>
          <cell r="B4198">
            <v>5.0592638727999999</v>
          </cell>
          <cell r="C4198">
            <v>5.0580185761000003</v>
          </cell>
          <cell r="D4198">
            <v>5.0605094763</v>
          </cell>
        </row>
        <row r="4199">
          <cell r="A4199">
            <v>49542</v>
          </cell>
          <cell r="B4199">
            <v>5.0612193102000003</v>
          </cell>
          <cell r="C4199">
            <v>5.0599735320999999</v>
          </cell>
          <cell r="D4199">
            <v>5.0624653951000003</v>
          </cell>
        </row>
        <row r="4200">
          <cell r="A4200">
            <v>49543</v>
          </cell>
          <cell r="B4200">
            <v>5.0631755035000001</v>
          </cell>
          <cell r="C4200">
            <v>5.0619292438999999</v>
          </cell>
          <cell r="D4200">
            <v>5.06442207</v>
          </cell>
        </row>
        <row r="4201">
          <cell r="A4201">
            <v>49544</v>
          </cell>
          <cell r="B4201">
            <v>5.0651324528000004</v>
          </cell>
          <cell r="C4201">
            <v>5.0638857115000002</v>
          </cell>
          <cell r="D4201">
            <v>5.0663795011000001</v>
          </cell>
        </row>
        <row r="4202">
          <cell r="A4202">
            <v>49545</v>
          </cell>
          <cell r="B4202">
            <v>5.0670901585000001</v>
          </cell>
          <cell r="C4202">
            <v>5.0658429354000001</v>
          </cell>
          <cell r="D4202">
            <v>5.0683376887999998</v>
          </cell>
        </row>
        <row r="4203">
          <cell r="A4203">
            <v>49548</v>
          </cell>
          <cell r="B4203">
            <v>5.0690486208000003</v>
          </cell>
          <cell r="C4203">
            <v>5.0678009156000003</v>
          </cell>
          <cell r="D4203">
            <v>5.0702966332999999</v>
          </cell>
        </row>
        <row r="4204">
          <cell r="A4204">
            <v>49549</v>
          </cell>
          <cell r="B4204">
            <v>5.0710078401000001</v>
          </cell>
          <cell r="C4204">
            <v>5.0697596527000002</v>
          </cell>
          <cell r="D4204">
            <v>5.0722563349999996</v>
          </cell>
        </row>
        <row r="4205">
          <cell r="A4205">
            <v>49550</v>
          </cell>
          <cell r="B4205">
            <v>5.0729678167000003</v>
          </cell>
          <cell r="C4205">
            <v>5.0717191467999996</v>
          </cell>
          <cell r="D4205">
            <v>5.0742167940999998</v>
          </cell>
        </row>
        <row r="4206">
          <cell r="A4206">
            <v>49551</v>
          </cell>
          <cell r="B4206">
            <v>5.0749285508000002</v>
          </cell>
          <cell r="C4206">
            <v>5.0736793983000004</v>
          </cell>
          <cell r="D4206">
            <v>5.0761780108999996</v>
          </cell>
        </row>
        <row r="4207">
          <cell r="A4207">
            <v>49552</v>
          </cell>
          <cell r="B4207">
            <v>5.0768900426999997</v>
          </cell>
          <cell r="C4207">
            <v>5.0756404074999999</v>
          </cell>
          <cell r="D4207">
            <v>5.0781399858</v>
          </cell>
        </row>
        <row r="4208">
          <cell r="A4208">
            <v>49555</v>
          </cell>
          <cell r="B4208">
            <v>5.0788522926999997</v>
          </cell>
          <cell r="C4208">
            <v>5.0776021743999999</v>
          </cell>
          <cell r="D4208">
            <v>5.0801027189000001</v>
          </cell>
        </row>
        <row r="4209">
          <cell r="A4209">
            <v>49556</v>
          </cell>
          <cell r="B4209">
            <v>5.0808153012000004</v>
          </cell>
          <cell r="C4209">
            <v>5.0795646997999997</v>
          </cell>
          <cell r="D4209">
            <v>5.0820662106999999</v>
          </cell>
        </row>
        <row r="4210">
          <cell r="A4210">
            <v>49557</v>
          </cell>
          <cell r="B4210">
            <v>5.0827790683999998</v>
          </cell>
          <cell r="C4210">
            <v>5.0815279836</v>
          </cell>
          <cell r="D4210">
            <v>5.0840304614000003</v>
          </cell>
        </row>
        <row r="4211">
          <cell r="A4211">
            <v>49558</v>
          </cell>
          <cell r="B4211">
            <v>5.0847435946999999</v>
          </cell>
          <cell r="C4211">
            <v>5.0834920263000001</v>
          </cell>
          <cell r="D4211">
            <v>5.0859954713000004</v>
          </cell>
        </row>
        <row r="4212">
          <cell r="A4212">
            <v>49562</v>
          </cell>
          <cell r="B4212">
            <v>5.0867088801999998</v>
          </cell>
          <cell r="C4212">
            <v>5.0854568280999999</v>
          </cell>
          <cell r="D4212">
            <v>5.0879612407000003</v>
          </cell>
        </row>
        <row r="4213">
          <cell r="A4213">
            <v>49563</v>
          </cell>
          <cell r="B4213">
            <v>5.0886749253000003</v>
          </cell>
          <cell r="C4213">
            <v>5.0874223892000003</v>
          </cell>
          <cell r="D4213">
            <v>5.0899277698000001</v>
          </cell>
        </row>
        <row r="4214">
          <cell r="A4214">
            <v>49564</v>
          </cell>
          <cell r="B4214">
            <v>5.0906417301999998</v>
          </cell>
          <cell r="C4214">
            <v>5.0893887100999997</v>
          </cell>
          <cell r="D4214">
            <v>5.0918950589999996</v>
          </cell>
        </row>
        <row r="4215">
          <cell r="A4215">
            <v>49565</v>
          </cell>
          <cell r="B4215">
            <v>5.0926092954</v>
          </cell>
          <cell r="C4215">
            <v>5.0913557909999998</v>
          </cell>
          <cell r="D4215">
            <v>5.0938631085999999</v>
          </cell>
        </row>
        <row r="4216">
          <cell r="A4216">
            <v>49566</v>
          </cell>
          <cell r="B4216">
            <v>5.0945776211</v>
          </cell>
          <cell r="C4216">
            <v>5.0933236321999997</v>
          </cell>
          <cell r="D4216">
            <v>5.0958319189000001</v>
          </cell>
        </row>
        <row r="4217">
          <cell r="A4217">
            <v>49569</v>
          </cell>
          <cell r="B4217">
            <v>5.0965467074999999</v>
          </cell>
          <cell r="C4217">
            <v>5.0952922339000004</v>
          </cell>
          <cell r="D4217">
            <v>5.0978014901000002</v>
          </cell>
        </row>
        <row r="4218">
          <cell r="A4218">
            <v>49570</v>
          </cell>
          <cell r="B4218">
            <v>5.0985165549999998</v>
          </cell>
          <cell r="C4218">
            <v>5.0972615966000001</v>
          </cell>
          <cell r="D4218">
            <v>5.0997718226000002</v>
          </cell>
        </row>
        <row r="4219">
          <cell r="A4219">
            <v>49571</v>
          </cell>
          <cell r="B4219">
            <v>5.1004871638999996</v>
          </cell>
          <cell r="C4219">
            <v>5.0992317202999997</v>
          </cell>
          <cell r="D4219">
            <v>5.1017429166000001</v>
          </cell>
        </row>
        <row r="4220">
          <cell r="A4220">
            <v>49572</v>
          </cell>
          <cell r="B4220">
            <v>5.1024585344000002</v>
          </cell>
          <cell r="C4220">
            <v>5.1012026056000002</v>
          </cell>
          <cell r="D4220">
            <v>5.1037147725000001</v>
          </cell>
        </row>
        <row r="4221">
          <cell r="A4221">
            <v>49573</v>
          </cell>
          <cell r="B4221">
            <v>5.1044306667999999</v>
          </cell>
          <cell r="C4221">
            <v>5.1031742525999997</v>
          </cell>
          <cell r="D4221">
            <v>5.1056873904</v>
          </cell>
        </row>
        <row r="4222">
          <cell r="A4222">
            <v>49576</v>
          </cell>
          <cell r="B4222">
            <v>5.1064035614999996</v>
          </cell>
          <cell r="C4222">
            <v>5.1051466617000001</v>
          </cell>
          <cell r="D4222">
            <v>5.1076607708999999</v>
          </cell>
        </row>
        <row r="4223">
          <cell r="A4223">
            <v>49577</v>
          </cell>
          <cell r="B4223">
            <v>5.1083772187000003</v>
          </cell>
          <cell r="C4223">
            <v>5.1071198330999996</v>
          </cell>
          <cell r="D4223">
            <v>5.1096349139999999</v>
          </cell>
        </row>
        <row r="4224">
          <cell r="A4224">
            <v>49578</v>
          </cell>
          <cell r="B4224">
            <v>5.1103516388000001</v>
          </cell>
          <cell r="C4224">
            <v>5.1090937672000001</v>
          </cell>
          <cell r="D4224">
            <v>5.1116098202</v>
          </cell>
        </row>
        <row r="4225">
          <cell r="A4225">
            <v>49579</v>
          </cell>
          <cell r="B4225">
            <v>5.112326822</v>
          </cell>
          <cell r="C4225">
            <v>5.1110684642999997</v>
          </cell>
          <cell r="D4225">
            <v>5.1135854897000002</v>
          </cell>
        </row>
        <row r="4226">
          <cell r="A4226">
            <v>49580</v>
          </cell>
          <cell r="B4226">
            <v>5.1143027685</v>
          </cell>
          <cell r="C4226">
            <v>5.1130439244000003</v>
          </cell>
          <cell r="D4226">
            <v>5.1155619227000004</v>
          </cell>
        </row>
        <row r="4227">
          <cell r="A4227">
            <v>49583</v>
          </cell>
          <cell r="B4227">
            <v>5.1162794789000001</v>
          </cell>
          <cell r="C4227">
            <v>5.1150201482000002</v>
          </cell>
          <cell r="D4227">
            <v>5.1175391197</v>
          </cell>
        </row>
        <row r="4228">
          <cell r="A4228">
            <v>49584</v>
          </cell>
          <cell r="B4228">
            <v>5.1182569532000004</v>
          </cell>
          <cell r="C4228">
            <v>5.1169971358000002</v>
          </cell>
          <cell r="D4228">
            <v>5.1195170808999997</v>
          </cell>
        </row>
        <row r="4229">
          <cell r="A4229">
            <v>49585</v>
          </cell>
          <cell r="B4229">
            <v>5.1202351918</v>
          </cell>
          <cell r="C4229">
            <v>5.1189748875000003</v>
          </cell>
          <cell r="D4229">
            <v>5.1214958065999996</v>
          </cell>
        </row>
        <row r="4230">
          <cell r="A4230">
            <v>49586</v>
          </cell>
          <cell r="B4230">
            <v>5.1222141950999998</v>
          </cell>
          <cell r="C4230">
            <v>5.1209534036999997</v>
          </cell>
          <cell r="D4230">
            <v>5.1234752970999997</v>
          </cell>
        </row>
        <row r="4231">
          <cell r="A4231">
            <v>49587</v>
          </cell>
          <cell r="B4231">
            <v>5.1241939631999998</v>
          </cell>
          <cell r="C4231">
            <v>5.1229326844000003</v>
          </cell>
          <cell r="D4231">
            <v>5.1254555526000001</v>
          </cell>
        </row>
        <row r="4232">
          <cell r="A4232">
            <v>49590</v>
          </cell>
          <cell r="B4232">
            <v>5.1261744966</v>
          </cell>
          <cell r="C4232">
            <v>5.1249127303000002</v>
          </cell>
          <cell r="D4232">
            <v>5.1274365735999998</v>
          </cell>
        </row>
        <row r="4233">
          <cell r="A4233">
            <v>49591</v>
          </cell>
          <cell r="B4233">
            <v>5.1281557953999997</v>
          </cell>
          <cell r="C4233">
            <v>5.1268935414000003</v>
          </cell>
          <cell r="D4233">
            <v>5.1294183601999999</v>
          </cell>
        </row>
        <row r="4234">
          <cell r="A4234">
            <v>49592</v>
          </cell>
          <cell r="B4234">
            <v>5.1301378599999996</v>
          </cell>
          <cell r="C4234">
            <v>5.1288751181999999</v>
          </cell>
          <cell r="D4234">
            <v>5.1314009128000002</v>
          </cell>
        </row>
        <row r="4235">
          <cell r="A4235">
            <v>49593</v>
          </cell>
          <cell r="B4235">
            <v>5.1321206905999999</v>
          </cell>
          <cell r="C4235">
            <v>5.1308574607999997</v>
          </cell>
          <cell r="D4235">
            <v>5.1333842316</v>
          </cell>
        </row>
        <row r="4236">
          <cell r="A4236">
            <v>49597</v>
          </cell>
          <cell r="B4236">
            <v>5.1341042876999996</v>
          </cell>
          <cell r="C4236">
            <v>5.1328405695999999</v>
          </cell>
          <cell r="D4236">
            <v>5.1353683171000002</v>
          </cell>
        </row>
        <row r="4237">
          <cell r="A4237">
            <v>49598</v>
          </cell>
          <cell r="B4237">
            <v>5.1360886513999997</v>
          </cell>
          <cell r="C4237">
            <v>5.1348244448000004</v>
          </cell>
          <cell r="D4237">
            <v>5.1373531692999999</v>
          </cell>
        </row>
        <row r="4238">
          <cell r="A4238">
            <v>49599</v>
          </cell>
          <cell r="B4238">
            <v>5.1380737821000002</v>
          </cell>
          <cell r="C4238">
            <v>5.1368090869999996</v>
          </cell>
          <cell r="D4238">
            <v>5.1393387887999999</v>
          </cell>
        </row>
        <row r="4239">
          <cell r="A4239">
            <v>49600</v>
          </cell>
          <cell r="B4239">
            <v>5.1400596801000003</v>
          </cell>
          <cell r="C4239">
            <v>5.1387944961000001</v>
          </cell>
          <cell r="D4239">
            <v>5.1413251756999996</v>
          </cell>
        </row>
        <row r="4240">
          <cell r="A4240">
            <v>49601</v>
          </cell>
          <cell r="B4240">
            <v>5.1420463455999998</v>
          </cell>
          <cell r="C4240">
            <v>5.1407806726</v>
          </cell>
          <cell r="D4240">
            <v>5.1433123302999997</v>
          </cell>
        </row>
        <row r="4241">
          <cell r="A4241">
            <v>49604</v>
          </cell>
          <cell r="B4241">
            <v>5.1440337789999999</v>
          </cell>
          <cell r="C4241">
            <v>5.1427676167999996</v>
          </cell>
          <cell r="D4241">
            <v>5.1453002530000003</v>
          </cell>
        </row>
        <row r="4242">
          <cell r="A4242">
            <v>49605</v>
          </cell>
          <cell r="B4242">
            <v>5.1460219805999996</v>
          </cell>
          <cell r="C4242">
            <v>5.1447553289999997</v>
          </cell>
          <cell r="D4242">
            <v>5.1472889440999996</v>
          </cell>
        </row>
        <row r="4243">
          <cell r="A4243">
            <v>49606</v>
          </cell>
          <cell r="B4243">
            <v>5.1480109505999998</v>
          </cell>
          <cell r="C4243">
            <v>5.1467438095000002</v>
          </cell>
          <cell r="D4243">
            <v>5.1492784038000003</v>
          </cell>
        </row>
        <row r="4244">
          <cell r="A4244">
            <v>49607</v>
          </cell>
          <cell r="B4244">
            <v>5.1500006892999997</v>
          </cell>
          <cell r="C4244">
            <v>5.1487330584000004</v>
          </cell>
          <cell r="D4244">
            <v>5.1512686323999999</v>
          </cell>
        </row>
        <row r="4245">
          <cell r="A4245">
            <v>49608</v>
          </cell>
          <cell r="B4245">
            <v>5.1519911970000001</v>
          </cell>
          <cell r="C4245">
            <v>5.1507230762000002</v>
          </cell>
          <cell r="D4245">
            <v>5.1532596302</v>
          </cell>
        </row>
        <row r="4246">
          <cell r="A4246">
            <v>49611</v>
          </cell>
          <cell r="B4246">
            <v>5.1539824742000002</v>
          </cell>
          <cell r="C4246">
            <v>5.1527138631999998</v>
          </cell>
          <cell r="D4246">
            <v>5.1552513975999998</v>
          </cell>
        </row>
        <row r="4247">
          <cell r="A4247">
            <v>49612</v>
          </cell>
          <cell r="B4247">
            <v>5.1559745209000001</v>
          </cell>
          <cell r="C4247">
            <v>5.1547054197</v>
          </cell>
          <cell r="D4247">
            <v>5.1572439348000003</v>
          </cell>
        </row>
        <row r="4248">
          <cell r="A4248">
            <v>49613</v>
          </cell>
          <cell r="B4248">
            <v>5.1579673376999997</v>
          </cell>
          <cell r="C4248">
            <v>5.1566977458999999</v>
          </cell>
          <cell r="D4248">
            <v>5.1592372421999997</v>
          </cell>
        </row>
        <row r="4249">
          <cell r="A4249">
            <v>49614</v>
          </cell>
          <cell r="B4249">
            <v>5.1599609247</v>
          </cell>
          <cell r="C4249">
            <v>5.1586908422000004</v>
          </cell>
          <cell r="D4249">
            <v>5.1612313199999997</v>
          </cell>
        </row>
        <row r="4250">
          <cell r="A4250">
            <v>49618</v>
          </cell>
          <cell r="B4250">
            <v>5.1619552822000001</v>
          </cell>
          <cell r="C4250">
            <v>5.1606847087999999</v>
          </cell>
          <cell r="D4250">
            <v>5.1632261684999996</v>
          </cell>
        </row>
        <row r="4251">
          <cell r="A4251">
            <v>49619</v>
          </cell>
          <cell r="B4251">
            <v>5.1639504104</v>
          </cell>
          <cell r="C4251">
            <v>5.162679346</v>
          </cell>
          <cell r="D4251">
            <v>5.1652217880000002</v>
          </cell>
        </row>
        <row r="4252">
          <cell r="A4252">
            <v>49620</v>
          </cell>
          <cell r="B4252">
            <v>5.1659463098999998</v>
          </cell>
          <cell r="C4252">
            <v>5.1646747541</v>
          </cell>
          <cell r="D4252">
            <v>5.1672181787999998</v>
          </cell>
        </row>
        <row r="4253">
          <cell r="A4253">
            <v>49621</v>
          </cell>
          <cell r="B4253">
            <v>5.1679429808000004</v>
          </cell>
          <cell r="C4253">
            <v>5.1666709334999998</v>
          </cell>
          <cell r="D4253">
            <v>5.1692153413000002</v>
          </cell>
        </row>
        <row r="4254">
          <cell r="A4254">
            <v>49622</v>
          </cell>
          <cell r="B4254">
            <v>5.1699404233999999</v>
          </cell>
          <cell r="C4254">
            <v>5.1686678844999996</v>
          </cell>
          <cell r="D4254">
            <v>5.1712132756999996</v>
          </cell>
        </row>
        <row r="4255">
          <cell r="A4255">
            <v>49625</v>
          </cell>
          <cell r="B4255">
            <v>5.1719386380000003</v>
          </cell>
          <cell r="C4255">
            <v>5.1706656073000001</v>
          </cell>
          <cell r="D4255">
            <v>5.1732119822999998</v>
          </cell>
        </row>
        <row r="4256">
          <cell r="A4256">
            <v>49626</v>
          </cell>
          <cell r="B4256">
            <v>5.1739376249999998</v>
          </cell>
          <cell r="C4256">
            <v>5.1726641021999997</v>
          </cell>
          <cell r="D4256">
            <v>5.1752114614</v>
          </cell>
        </row>
        <row r="4257">
          <cell r="A4257">
            <v>49627</v>
          </cell>
          <cell r="B4257">
            <v>5.1759373845000001</v>
          </cell>
          <cell r="C4257">
            <v>5.1746633695000002</v>
          </cell>
          <cell r="D4257">
            <v>5.1772117133000002</v>
          </cell>
        </row>
        <row r="4258">
          <cell r="A4258">
            <v>49629</v>
          </cell>
          <cell r="B4258">
            <v>5.1779379170000004</v>
          </cell>
          <cell r="C4258">
            <v>5.1766634095999997</v>
          </cell>
          <cell r="D4258">
            <v>5.1792127383000004</v>
          </cell>
        </row>
        <row r="4259">
          <cell r="A4259">
            <v>49632</v>
          </cell>
          <cell r="B4259">
            <v>5.1799392226999998</v>
          </cell>
          <cell r="C4259">
            <v>5.1786642227000002</v>
          </cell>
          <cell r="D4259">
            <v>5.1812145366999998</v>
          </cell>
        </row>
        <row r="4260">
          <cell r="A4260">
            <v>49633</v>
          </cell>
          <cell r="B4260">
            <v>5.1819413019000002</v>
          </cell>
          <cell r="C4260">
            <v>5.1806658091999997</v>
          </cell>
          <cell r="D4260">
            <v>5.1832171089000001</v>
          </cell>
        </row>
        <row r="4261">
          <cell r="A4261">
            <v>49634</v>
          </cell>
          <cell r="B4261">
            <v>5.1839441548999998</v>
          </cell>
          <cell r="C4261">
            <v>5.1826681692000003</v>
          </cell>
          <cell r="D4261">
            <v>5.1852204549999996</v>
          </cell>
        </row>
        <row r="4262">
          <cell r="A4262">
            <v>49635</v>
          </cell>
          <cell r="B4262">
            <v>5.1859477821000004</v>
          </cell>
          <cell r="C4262">
            <v>5.1846713032</v>
          </cell>
          <cell r="D4262">
            <v>5.1872245755000002</v>
          </cell>
        </row>
        <row r="4263">
          <cell r="A4263">
            <v>49636</v>
          </cell>
          <cell r="B4263">
            <v>5.1879521837000002</v>
          </cell>
          <cell r="C4263">
            <v>5.1866752112999999</v>
          </cell>
          <cell r="D4263">
            <v>5.1892294704999999</v>
          </cell>
        </row>
        <row r="4264">
          <cell r="A4264">
            <v>49639</v>
          </cell>
          <cell r="B4264">
            <v>5.1899573600000002</v>
          </cell>
          <cell r="C4264">
            <v>5.1886798940999999</v>
          </cell>
          <cell r="D4264">
            <v>5.1912351404999999</v>
          </cell>
        </row>
        <row r="4265">
          <cell r="A4265">
            <v>49640</v>
          </cell>
          <cell r="B4265">
            <v>5.1919633112000003</v>
          </cell>
          <cell r="C4265">
            <v>5.1906853516</v>
          </cell>
          <cell r="D4265">
            <v>5.1932415856</v>
          </cell>
        </row>
        <row r="4266">
          <cell r="A4266">
            <v>49641</v>
          </cell>
          <cell r="B4266">
            <v>5.1939700377999998</v>
          </cell>
          <cell r="C4266">
            <v>5.1926915843000003</v>
          </cell>
          <cell r="D4266">
            <v>5.1952488063000004</v>
          </cell>
        </row>
        <row r="4267">
          <cell r="A4267">
            <v>49642</v>
          </cell>
          <cell r="B4267">
            <v>5.1959775401000003</v>
          </cell>
          <cell r="C4267">
            <v>5.1946985924</v>
          </cell>
          <cell r="D4267">
            <v>5.1972568028000001</v>
          </cell>
        </row>
        <row r="4268">
          <cell r="A4268">
            <v>49643</v>
          </cell>
          <cell r="B4268">
            <v>5.1979858182000003</v>
          </cell>
          <cell r="C4268">
            <v>5.1967063761999999</v>
          </cell>
          <cell r="D4268">
            <v>5.1992655754000001</v>
          </cell>
        </row>
        <row r="4269">
          <cell r="A4269">
            <v>49646</v>
          </cell>
          <cell r="B4269">
            <v>5.1999948724999996</v>
          </cell>
          <cell r="C4269">
            <v>5.198714936</v>
          </cell>
          <cell r="D4269">
            <v>5.2012751243000004</v>
          </cell>
        </row>
        <row r="4270">
          <cell r="A4270">
            <v>49647</v>
          </cell>
          <cell r="B4270">
            <v>5.2020047034000001</v>
          </cell>
          <cell r="C4270">
            <v>5.2007242722000004</v>
          </cell>
          <cell r="D4270">
            <v>5.2032854500000001</v>
          </cell>
        </row>
        <row r="4271">
          <cell r="A4271">
            <v>49648</v>
          </cell>
          <cell r="B4271">
            <v>5.2040153111</v>
          </cell>
          <cell r="C4271">
            <v>5.2027343849000003</v>
          </cell>
          <cell r="D4271">
            <v>5.2052965527000001</v>
          </cell>
        </row>
        <row r="4272">
          <cell r="A4272">
            <v>49649</v>
          </cell>
          <cell r="B4272">
            <v>5.2060266959000003</v>
          </cell>
          <cell r="C4272">
            <v>5.2047452745999996</v>
          </cell>
          <cell r="D4272">
            <v>5.2073084326999997</v>
          </cell>
        </row>
        <row r="4273">
          <cell r="A4273">
            <v>49650</v>
          </cell>
          <cell r="B4273">
            <v>5.2080388581000001</v>
          </cell>
          <cell r="C4273">
            <v>5.2067569416000001</v>
          </cell>
          <cell r="D4273">
            <v>5.2093210902999996</v>
          </cell>
        </row>
        <row r="4274">
          <cell r="A4274">
            <v>49653</v>
          </cell>
          <cell r="B4274">
            <v>5.2100517980000003</v>
          </cell>
          <cell r="C4274">
            <v>5.2087693860000002</v>
          </cell>
          <cell r="D4274">
            <v>5.2113345257999999</v>
          </cell>
        </row>
        <row r="4275">
          <cell r="A4275">
            <v>49654</v>
          </cell>
          <cell r="B4275">
            <v>5.2120655159</v>
          </cell>
          <cell r="C4275">
            <v>5.2107826082999997</v>
          </cell>
          <cell r="D4275">
            <v>5.2133487394999998</v>
          </cell>
        </row>
        <row r="4276">
          <cell r="A4276">
            <v>49655</v>
          </cell>
          <cell r="B4276">
            <v>5.2140800121000002</v>
          </cell>
          <cell r="C4276">
            <v>5.2127966085999997</v>
          </cell>
          <cell r="D4276">
            <v>5.2153637317000001</v>
          </cell>
        </row>
        <row r="4277">
          <cell r="A4277">
            <v>49656</v>
          </cell>
          <cell r="B4277">
            <v>5.2160952869999999</v>
          </cell>
          <cell r="C4277">
            <v>5.2148113874000002</v>
          </cell>
          <cell r="D4277">
            <v>5.2173795027000001</v>
          </cell>
        </row>
        <row r="4278">
          <cell r="A4278">
            <v>49657</v>
          </cell>
          <cell r="B4278">
            <v>5.2181113408000002</v>
          </cell>
          <cell r="C4278">
            <v>5.2168269450000002</v>
          </cell>
          <cell r="D4278">
            <v>5.2193960528999996</v>
          </cell>
        </row>
        <row r="4279">
          <cell r="A4279">
            <v>49660</v>
          </cell>
          <cell r="B4279">
            <v>5.2201281737</v>
          </cell>
          <cell r="C4279">
            <v>5.2188432815999999</v>
          </cell>
          <cell r="D4279">
            <v>5.2214133823999997</v>
          </cell>
        </row>
        <row r="4280">
          <cell r="A4280">
            <v>49661</v>
          </cell>
          <cell r="B4280">
            <v>5.2221457861999996</v>
          </cell>
          <cell r="C4280">
            <v>5.2208603974000001</v>
          </cell>
          <cell r="D4280">
            <v>5.2234314916000004</v>
          </cell>
        </row>
        <row r="4281">
          <cell r="A4281">
            <v>49662</v>
          </cell>
          <cell r="B4281">
            <v>5.2241641785999997</v>
          </cell>
          <cell r="C4281">
            <v>5.2228782929999999</v>
          </cell>
          <cell r="D4281">
            <v>5.2254503808999999</v>
          </cell>
        </row>
        <row r="4282">
          <cell r="A4282">
            <v>49663</v>
          </cell>
          <cell r="B4282">
            <v>5.2261833510000004</v>
          </cell>
          <cell r="C4282">
            <v>5.2248969684000004</v>
          </cell>
          <cell r="D4282">
            <v>5.2274700505</v>
          </cell>
        </row>
        <row r="4283">
          <cell r="A4283">
            <v>49664</v>
          </cell>
          <cell r="B4283">
            <v>5.2282033039</v>
          </cell>
          <cell r="C4283">
            <v>5.2269164240999997</v>
          </cell>
          <cell r="D4283">
            <v>5.2294905006999999</v>
          </cell>
        </row>
        <row r="4284">
          <cell r="A4284">
            <v>49667</v>
          </cell>
          <cell r="B4284">
            <v>5.2302240375000002</v>
          </cell>
          <cell r="C4284">
            <v>5.2289366602999996</v>
          </cell>
          <cell r="D4284">
            <v>5.2315117318000004</v>
          </cell>
        </row>
        <row r="4285">
          <cell r="A4285">
            <v>49669</v>
          </cell>
          <cell r="B4285">
            <v>5.2322455521000002</v>
          </cell>
          <cell r="C4285">
            <v>5.2309576773000002</v>
          </cell>
          <cell r="D4285">
            <v>5.2335337440999998</v>
          </cell>
        </row>
        <row r="4286">
          <cell r="A4286">
            <v>49670</v>
          </cell>
          <cell r="B4286">
            <v>5.234267848</v>
          </cell>
          <cell r="C4286">
            <v>5.2329794754999996</v>
          </cell>
          <cell r="D4286">
            <v>5.2355565379</v>
          </cell>
        </row>
        <row r="4287">
          <cell r="A4287">
            <v>49671</v>
          </cell>
          <cell r="B4287">
            <v>5.2362909255999996</v>
          </cell>
          <cell r="C4287">
            <v>5.2350020550999998</v>
          </cell>
          <cell r="D4287">
            <v>5.2375801136</v>
          </cell>
        </row>
        <row r="4288">
          <cell r="A4288">
            <v>49674</v>
          </cell>
          <cell r="B4288">
            <v>5.2383147852</v>
          </cell>
          <cell r="C4288">
            <v>5.2370254164999999</v>
          </cell>
          <cell r="D4288">
            <v>5.2396044713999999</v>
          </cell>
        </row>
        <row r="4289">
          <cell r="A4289">
            <v>49676</v>
          </cell>
          <cell r="B4289">
            <v>5.2403394269000003</v>
          </cell>
          <cell r="C4289">
            <v>5.2390495598999998</v>
          </cell>
          <cell r="D4289">
            <v>5.2416296115999996</v>
          </cell>
        </row>
        <row r="4290">
          <cell r="A4290">
            <v>49677</v>
          </cell>
          <cell r="B4290">
            <v>5.2423648510999996</v>
          </cell>
          <cell r="C4290">
            <v>5.2410744856000004</v>
          </cell>
          <cell r="D4290">
            <v>5.2436555345000002</v>
          </cell>
        </row>
        <row r="4291">
          <cell r="A4291">
            <v>49678</v>
          </cell>
          <cell r="B4291">
            <v>5.2443910582999997</v>
          </cell>
          <cell r="C4291">
            <v>5.2431001940000002</v>
          </cell>
          <cell r="D4291">
            <v>5.2456822404999999</v>
          </cell>
        </row>
        <row r="4292">
          <cell r="A4292">
            <v>49681</v>
          </cell>
          <cell r="B4292">
            <v>5.2464180484999998</v>
          </cell>
          <cell r="C4292">
            <v>5.2451266852999998</v>
          </cell>
          <cell r="D4292">
            <v>5.2477097298000004</v>
          </cell>
        </row>
        <row r="4293">
          <cell r="A4293">
            <v>49682</v>
          </cell>
          <cell r="B4293">
            <v>5.2484458222999999</v>
          </cell>
          <cell r="C4293">
            <v>5.2471539599000003</v>
          </cell>
          <cell r="D4293">
            <v>5.2497380028</v>
          </cell>
        </row>
        <row r="4294">
          <cell r="A4294">
            <v>49683</v>
          </cell>
          <cell r="B4294">
            <v>5.2504743797</v>
          </cell>
          <cell r="C4294">
            <v>5.2491820181</v>
          </cell>
          <cell r="D4294">
            <v>5.2517670596999997</v>
          </cell>
        </row>
        <row r="4295">
          <cell r="A4295">
            <v>49684</v>
          </cell>
          <cell r="B4295">
            <v>5.2525037212000001</v>
          </cell>
          <cell r="C4295">
            <v>5.2512108599999996</v>
          </cell>
          <cell r="D4295">
            <v>5.2537969008000003</v>
          </cell>
        </row>
        <row r="4296">
          <cell r="A4296">
            <v>49685</v>
          </cell>
          <cell r="B4296">
            <v>5.2545338471000003</v>
          </cell>
          <cell r="C4296">
            <v>5.2532404862000002</v>
          </cell>
          <cell r="D4296">
            <v>5.2558275265000001</v>
          </cell>
        </row>
        <row r="4297">
          <cell r="A4297">
            <v>49688</v>
          </cell>
          <cell r="B4297">
            <v>5.2565647575999996</v>
          </cell>
          <cell r="C4297">
            <v>5.2552708967999999</v>
          </cell>
          <cell r="D4297">
            <v>5.257858937</v>
          </cell>
        </row>
        <row r="4298">
          <cell r="A4298">
            <v>49689</v>
          </cell>
          <cell r="B4298">
            <v>5.2585964531</v>
          </cell>
          <cell r="C4298">
            <v>5.2573020921999998</v>
          </cell>
          <cell r="D4298">
            <v>5.2598911327</v>
          </cell>
        </row>
        <row r="4299">
          <cell r="A4299">
            <v>49690</v>
          </cell>
          <cell r="B4299">
            <v>5.2606289338999996</v>
          </cell>
          <cell r="C4299">
            <v>5.2593340726999998</v>
          </cell>
          <cell r="D4299">
            <v>5.2619241139000001</v>
          </cell>
        </row>
        <row r="4300">
          <cell r="A4300">
            <v>49691</v>
          </cell>
          <cell r="B4300">
            <v>5.2626622002000003</v>
          </cell>
          <cell r="C4300">
            <v>5.2613668385999999</v>
          </cell>
          <cell r="D4300">
            <v>5.2639578807999996</v>
          </cell>
        </row>
        <row r="4301">
          <cell r="A4301">
            <v>49692</v>
          </cell>
          <cell r="B4301">
            <v>5.2646962523000003</v>
          </cell>
          <cell r="C4301">
            <v>5.2634003900000002</v>
          </cell>
          <cell r="D4301">
            <v>5.2659924337000001</v>
          </cell>
        </row>
        <row r="4302">
          <cell r="A4302">
            <v>49695</v>
          </cell>
          <cell r="B4302">
            <v>5.2667310906000004</v>
          </cell>
          <cell r="C4302">
            <v>5.2654347274999997</v>
          </cell>
          <cell r="D4302">
            <v>5.268027773</v>
          </cell>
        </row>
        <row r="4303">
          <cell r="A4303">
            <v>49696</v>
          </cell>
          <cell r="B4303">
            <v>5.2687667155</v>
          </cell>
          <cell r="C4303">
            <v>5.2674698512999996</v>
          </cell>
          <cell r="D4303">
            <v>5.2700638991000002</v>
          </cell>
        </row>
        <row r="4304">
          <cell r="A4304">
            <v>49697</v>
          </cell>
          <cell r="B4304">
            <v>5.2708031269999998</v>
          </cell>
          <cell r="C4304">
            <v>5.2695057615999996</v>
          </cell>
          <cell r="D4304">
            <v>5.2721008119999997</v>
          </cell>
        </row>
        <row r="4305">
          <cell r="A4305">
            <v>49698</v>
          </cell>
          <cell r="B4305">
            <v>5.2728403257999998</v>
          </cell>
          <cell r="C4305">
            <v>5.2715424589</v>
          </cell>
          <cell r="D4305">
            <v>5.2741385123000004</v>
          </cell>
        </row>
        <row r="4306">
          <cell r="A4306">
            <v>49699</v>
          </cell>
          <cell r="B4306">
            <v>5.2748783118000002</v>
          </cell>
          <cell r="C4306">
            <v>5.2735799432999997</v>
          </cell>
          <cell r="D4306">
            <v>5.2761770000999997</v>
          </cell>
        </row>
        <row r="4307">
          <cell r="A4307">
            <v>49702</v>
          </cell>
          <cell r="B4307">
            <v>5.2769170857000001</v>
          </cell>
          <cell r="C4307">
            <v>5.2756182153999998</v>
          </cell>
          <cell r="D4307">
            <v>5.2782162759000002</v>
          </cell>
        </row>
        <row r="4308">
          <cell r="A4308">
            <v>49703</v>
          </cell>
          <cell r="B4308">
            <v>5.2789566474000003</v>
          </cell>
          <cell r="C4308">
            <v>5.2776572751000002</v>
          </cell>
          <cell r="D4308">
            <v>5.2802563398000002</v>
          </cell>
        </row>
        <row r="4309">
          <cell r="A4309">
            <v>49704</v>
          </cell>
          <cell r="B4309">
            <v>5.2809969975</v>
          </cell>
          <cell r="C4309">
            <v>5.2796971229</v>
          </cell>
          <cell r="D4309">
            <v>5.2822971921999997</v>
          </cell>
        </row>
        <row r="4310">
          <cell r="A4310">
            <v>49705</v>
          </cell>
          <cell r="B4310">
            <v>5.2830381362000001</v>
          </cell>
          <cell r="C4310">
            <v>5.2817377592000003</v>
          </cell>
          <cell r="D4310">
            <v>5.2843388333999997</v>
          </cell>
        </row>
        <row r="4311">
          <cell r="A4311">
            <v>49706</v>
          </cell>
          <cell r="B4311">
            <v>5.2850800637999997</v>
          </cell>
          <cell r="C4311">
            <v>5.2837791843000002</v>
          </cell>
          <cell r="D4311">
            <v>5.2863812638000001</v>
          </cell>
        </row>
        <row r="4312">
          <cell r="A4312">
            <v>49709</v>
          </cell>
          <cell r="B4312">
            <v>5.2871227805999998</v>
          </cell>
          <cell r="C4312">
            <v>5.2858213982000004</v>
          </cell>
          <cell r="D4312">
            <v>5.2884244835000001</v>
          </cell>
        </row>
        <row r="4313">
          <cell r="A4313">
            <v>49710</v>
          </cell>
          <cell r="B4313">
            <v>5.2891662869999996</v>
          </cell>
          <cell r="C4313">
            <v>5.2878644016000003</v>
          </cell>
          <cell r="D4313">
            <v>5.2904684929999997</v>
          </cell>
        </row>
        <row r="4314">
          <cell r="A4314">
            <v>49711</v>
          </cell>
          <cell r="B4314">
            <v>5.2912105830999998</v>
          </cell>
          <cell r="C4314">
            <v>5.2899081944999997</v>
          </cell>
          <cell r="D4314">
            <v>5.2925132923999998</v>
          </cell>
        </row>
        <row r="4315">
          <cell r="A4315">
            <v>49712</v>
          </cell>
          <cell r="B4315">
            <v>5.2932556694999997</v>
          </cell>
          <cell r="C4315">
            <v>5.2919527775999997</v>
          </cell>
          <cell r="D4315">
            <v>5.2945588822999996</v>
          </cell>
        </row>
        <row r="4316">
          <cell r="A4316">
            <v>49713</v>
          </cell>
          <cell r="B4316">
            <v>5.2953015462000002</v>
          </cell>
          <cell r="C4316">
            <v>5.2939981507000002</v>
          </cell>
          <cell r="D4316">
            <v>5.2966052627</v>
          </cell>
        </row>
        <row r="4317">
          <cell r="A4317">
            <v>49716</v>
          </cell>
          <cell r="B4317">
            <v>5.2973482137000003</v>
          </cell>
          <cell r="C4317">
            <v>5.2960443143999996</v>
          </cell>
          <cell r="D4317">
            <v>5.2986524341000001</v>
          </cell>
        </row>
        <row r="4318">
          <cell r="A4318">
            <v>49717</v>
          </cell>
          <cell r="B4318">
            <v>5.2993956722000002</v>
          </cell>
          <cell r="C4318">
            <v>5.2980912690000004</v>
          </cell>
          <cell r="D4318">
            <v>5.3007003966999999</v>
          </cell>
        </row>
        <row r="4319">
          <cell r="A4319">
            <v>49718</v>
          </cell>
          <cell r="B4319">
            <v>5.3014439220999998</v>
          </cell>
          <cell r="C4319">
            <v>5.3001390147</v>
          </cell>
          <cell r="D4319">
            <v>5.3027491509000004</v>
          </cell>
        </row>
        <row r="4320">
          <cell r="A4320">
            <v>49719</v>
          </cell>
          <cell r="B4320">
            <v>5.3034929636000001</v>
          </cell>
          <cell r="C4320">
            <v>5.3021875519000004</v>
          </cell>
          <cell r="D4320">
            <v>5.3047986968999998</v>
          </cell>
        </row>
        <row r="4321">
          <cell r="A4321">
            <v>49720</v>
          </cell>
          <cell r="B4321">
            <v>5.3055427971000002</v>
          </cell>
          <cell r="C4321">
            <v>5.3042368808999996</v>
          </cell>
          <cell r="D4321">
            <v>5.3068490350999999</v>
          </cell>
        </row>
        <row r="4322">
          <cell r="A4322">
            <v>49723</v>
          </cell>
          <cell r="B4322">
            <v>5.3075934230000001</v>
          </cell>
          <cell r="C4322">
            <v>5.3062870019000004</v>
          </cell>
          <cell r="D4322">
            <v>5.3089001657999999</v>
          </cell>
        </row>
        <row r="4323">
          <cell r="A4323">
            <v>49724</v>
          </cell>
          <cell r="B4323">
            <v>5.3096448412999999</v>
          </cell>
          <cell r="C4323">
            <v>5.3083379153000001</v>
          </cell>
          <cell r="D4323">
            <v>5.3109520891999997</v>
          </cell>
        </row>
        <row r="4324">
          <cell r="A4324">
            <v>49725</v>
          </cell>
          <cell r="B4324">
            <v>5.3116970526999996</v>
          </cell>
          <cell r="C4324">
            <v>5.3103896214999997</v>
          </cell>
          <cell r="D4324">
            <v>5.3130048058000003</v>
          </cell>
        </row>
        <row r="4325">
          <cell r="A4325">
            <v>49726</v>
          </cell>
          <cell r="B4325">
            <v>5.3137500571</v>
          </cell>
          <cell r="C4325">
            <v>5.3124421207000001</v>
          </cell>
          <cell r="D4325">
            <v>5.3150583157</v>
          </cell>
        </row>
        <row r="4326">
          <cell r="A4326">
            <v>49727</v>
          </cell>
          <cell r="B4326">
            <v>5.3158038551000004</v>
          </cell>
          <cell r="C4326">
            <v>5.3144954131000004</v>
          </cell>
          <cell r="D4326">
            <v>5.3171126192999996</v>
          </cell>
        </row>
        <row r="4327">
          <cell r="A4327">
            <v>49732</v>
          </cell>
          <cell r="B4327">
            <v>5.3178584467999999</v>
          </cell>
          <cell r="C4327">
            <v>5.3165494990999997</v>
          </cell>
          <cell r="D4327">
            <v>5.3191677169</v>
          </cell>
        </row>
        <row r="4328">
          <cell r="A4328">
            <v>49733</v>
          </cell>
          <cell r="B4328">
            <v>5.3199138327000002</v>
          </cell>
          <cell r="C4328">
            <v>5.3186043790999999</v>
          </cell>
          <cell r="D4328">
            <v>5.3212236087999996</v>
          </cell>
        </row>
        <row r="4329">
          <cell r="A4329">
            <v>49734</v>
          </cell>
          <cell r="B4329">
            <v>5.3219700128999996</v>
          </cell>
          <cell r="C4329">
            <v>5.3206600532000001</v>
          </cell>
          <cell r="D4329">
            <v>5.3232802953</v>
          </cell>
        </row>
        <row r="4330">
          <cell r="A4330">
            <v>49737</v>
          </cell>
          <cell r="B4330">
            <v>5.324026988</v>
          </cell>
          <cell r="C4330">
            <v>5.3227165220000003</v>
          </cell>
          <cell r="D4330">
            <v>5.3253377767999996</v>
          </cell>
        </row>
        <row r="4331">
          <cell r="A4331">
            <v>49738</v>
          </cell>
          <cell r="B4331">
            <v>5.3260847581000004</v>
          </cell>
          <cell r="C4331">
            <v>5.3247737854999997</v>
          </cell>
          <cell r="D4331">
            <v>5.3273960535000002</v>
          </cell>
        </row>
        <row r="4332">
          <cell r="A4332">
            <v>49739</v>
          </cell>
          <cell r="B4332">
            <v>5.3281433234</v>
          </cell>
          <cell r="C4332">
            <v>5.3268318442</v>
          </cell>
          <cell r="D4332">
            <v>5.3294551257</v>
          </cell>
        </row>
        <row r="4333">
          <cell r="A4333">
            <v>49740</v>
          </cell>
          <cell r="B4333">
            <v>5.3302026843999997</v>
          </cell>
          <cell r="C4333">
            <v>5.3288906983000004</v>
          </cell>
          <cell r="D4333">
            <v>5.3315149936999999</v>
          </cell>
        </row>
        <row r="4334">
          <cell r="A4334">
            <v>49741</v>
          </cell>
          <cell r="B4334">
            <v>5.3322628415000004</v>
          </cell>
          <cell r="C4334">
            <v>5.3309503483</v>
          </cell>
          <cell r="D4334">
            <v>5.333575658</v>
          </cell>
        </row>
        <row r="4335">
          <cell r="A4335">
            <v>49744</v>
          </cell>
          <cell r="B4335">
            <v>5.3343237947000004</v>
          </cell>
          <cell r="C4335">
            <v>5.3330107941999998</v>
          </cell>
          <cell r="D4335">
            <v>5.3356371186000002</v>
          </cell>
        </row>
        <row r="4336">
          <cell r="A4336">
            <v>49745</v>
          </cell>
          <cell r="B4336">
            <v>5.3363855445999997</v>
          </cell>
          <cell r="C4336">
            <v>5.3350720365999997</v>
          </cell>
          <cell r="D4336">
            <v>5.3376993760999998</v>
          </cell>
        </row>
        <row r="4337">
          <cell r="A4337">
            <v>49746</v>
          </cell>
          <cell r="B4337">
            <v>5.3384480913000001</v>
          </cell>
          <cell r="C4337">
            <v>5.3371340755999999</v>
          </cell>
          <cell r="D4337">
            <v>5.3397624306000004</v>
          </cell>
        </row>
        <row r="4338">
          <cell r="A4338">
            <v>49747</v>
          </cell>
          <cell r="B4338">
            <v>5.3405114351999998</v>
          </cell>
          <cell r="C4338">
            <v>5.3391969116000002</v>
          </cell>
          <cell r="D4338">
            <v>5.3418262824999996</v>
          </cell>
        </row>
        <row r="4339">
          <cell r="A4339">
            <v>49748</v>
          </cell>
          <cell r="B4339">
            <v>5.3425755765999998</v>
          </cell>
          <cell r="C4339">
            <v>5.3412605449999999</v>
          </cell>
          <cell r="D4339">
            <v>5.3438909320999999</v>
          </cell>
        </row>
        <row r="4340">
          <cell r="A4340">
            <v>49751</v>
          </cell>
          <cell r="B4340">
            <v>5.3446405158000001</v>
          </cell>
          <cell r="C4340">
            <v>5.3433249758999999</v>
          </cell>
          <cell r="D4340">
            <v>5.3459563796999996</v>
          </cell>
        </row>
        <row r="4341">
          <cell r="A4341">
            <v>49752</v>
          </cell>
          <cell r="B4341">
            <v>5.3467062530999998</v>
          </cell>
          <cell r="C4341">
            <v>5.3453902048000002</v>
          </cell>
          <cell r="D4341">
            <v>5.3480226255999996</v>
          </cell>
        </row>
        <row r="4342">
          <cell r="A4342">
            <v>49753</v>
          </cell>
          <cell r="B4342">
            <v>5.3487727887999998</v>
          </cell>
          <cell r="C4342">
            <v>5.3474562317999998</v>
          </cell>
          <cell r="D4342">
            <v>5.3500896701</v>
          </cell>
        </row>
        <row r="4343">
          <cell r="A4343">
            <v>49754</v>
          </cell>
          <cell r="B4343">
            <v>5.3508401232000002</v>
          </cell>
          <cell r="C4343">
            <v>5.3495230573999999</v>
          </cell>
          <cell r="D4343">
            <v>5.3521575134999999</v>
          </cell>
        </row>
        <row r="4344">
          <cell r="A4344">
            <v>49755</v>
          </cell>
          <cell r="B4344">
            <v>5.3529082568000002</v>
          </cell>
          <cell r="C4344">
            <v>5.3515906818000003</v>
          </cell>
          <cell r="D4344">
            <v>5.3542261562000002</v>
          </cell>
        </row>
        <row r="4345">
          <cell r="A4345">
            <v>49758</v>
          </cell>
          <cell r="B4345">
            <v>5.3549771895999996</v>
          </cell>
          <cell r="C4345">
            <v>5.3536591054000002</v>
          </cell>
          <cell r="D4345">
            <v>5.3562955984</v>
          </cell>
        </row>
        <row r="4346">
          <cell r="A4346">
            <v>49759</v>
          </cell>
          <cell r="B4346">
            <v>5.3570469221000003</v>
          </cell>
          <cell r="C4346">
            <v>5.3557283284999997</v>
          </cell>
          <cell r="D4346">
            <v>5.3583658405000003</v>
          </cell>
        </row>
        <row r="4347">
          <cell r="A4347">
            <v>49760</v>
          </cell>
          <cell r="B4347">
            <v>5.3591174545999998</v>
          </cell>
          <cell r="C4347">
            <v>5.3577983513999996</v>
          </cell>
          <cell r="D4347">
            <v>5.3604368828000002</v>
          </cell>
        </row>
        <row r="4348">
          <cell r="A4348">
            <v>49761</v>
          </cell>
          <cell r="B4348">
            <v>5.3611887873999997</v>
          </cell>
          <cell r="C4348">
            <v>5.3598691743</v>
          </cell>
          <cell r="D4348">
            <v>5.3625087254999997</v>
          </cell>
        </row>
        <row r="4349">
          <cell r="A4349">
            <v>49762</v>
          </cell>
          <cell r="B4349">
            <v>5.3632609206000001</v>
          </cell>
          <cell r="C4349">
            <v>5.3619407975</v>
          </cell>
          <cell r="D4349">
            <v>5.3645813688999997</v>
          </cell>
        </row>
        <row r="4350">
          <cell r="A4350">
            <v>49765</v>
          </cell>
          <cell r="B4350">
            <v>5.3653338548000002</v>
          </cell>
          <cell r="C4350">
            <v>5.3640132214999996</v>
          </cell>
          <cell r="D4350">
            <v>5.3666548135000003</v>
          </cell>
        </row>
        <row r="4351">
          <cell r="A4351">
            <v>49766</v>
          </cell>
          <cell r="B4351">
            <v>5.3674075903</v>
          </cell>
          <cell r="C4351">
            <v>5.3660864464999998</v>
          </cell>
          <cell r="D4351">
            <v>5.3687290594999997</v>
          </cell>
        </row>
        <row r="4352">
          <cell r="A4352">
            <v>49767</v>
          </cell>
          <cell r="B4352">
            <v>5.3694821272000004</v>
          </cell>
          <cell r="C4352">
            <v>5.3681604727999996</v>
          </cell>
          <cell r="D4352">
            <v>5.3708041071999997</v>
          </cell>
        </row>
        <row r="4353">
          <cell r="A4353">
            <v>49768</v>
          </cell>
          <cell r="B4353">
            <v>5.3715574659999996</v>
          </cell>
          <cell r="C4353">
            <v>5.3702353007000001</v>
          </cell>
          <cell r="D4353">
            <v>5.3728799569000003</v>
          </cell>
        </row>
        <row r="4354">
          <cell r="A4354">
            <v>49769</v>
          </cell>
          <cell r="B4354">
            <v>5.3736336068000004</v>
          </cell>
          <cell r="C4354">
            <v>5.3723109305000003</v>
          </cell>
          <cell r="D4354">
            <v>5.3749566088999998</v>
          </cell>
        </row>
        <row r="4355">
          <cell r="A4355">
            <v>49772</v>
          </cell>
          <cell r="B4355">
            <v>5.3757105502</v>
          </cell>
          <cell r="C4355">
            <v>5.3743873627000003</v>
          </cell>
          <cell r="D4355">
            <v>5.3770340636</v>
          </cell>
        </row>
        <row r="4356">
          <cell r="A4356">
            <v>49773</v>
          </cell>
          <cell r="B4356">
            <v>5.3777882962000003</v>
          </cell>
          <cell r="C4356">
            <v>5.3764645973</v>
          </cell>
          <cell r="D4356">
            <v>5.3791123212</v>
          </cell>
        </row>
        <row r="4357">
          <cell r="A4357">
            <v>49774</v>
          </cell>
          <cell r="B4357">
            <v>5.3798668453999996</v>
          </cell>
          <cell r="C4357">
            <v>5.3785426347999996</v>
          </cell>
          <cell r="D4357">
            <v>5.3811913820999999</v>
          </cell>
        </row>
        <row r="4358">
          <cell r="A4358">
            <v>49775</v>
          </cell>
          <cell r="B4358">
            <v>5.3819461978999996</v>
          </cell>
          <cell r="C4358">
            <v>5.3806214755999999</v>
          </cell>
          <cell r="D4358">
            <v>5.3832712465999997</v>
          </cell>
        </row>
        <row r="4359">
          <cell r="A4359">
            <v>49779</v>
          </cell>
          <cell r="B4359">
            <v>5.3840263541000004</v>
          </cell>
          <cell r="C4359">
            <v>5.3827011197000001</v>
          </cell>
          <cell r="D4359">
            <v>5.3853519149000002</v>
          </cell>
        </row>
        <row r="4360">
          <cell r="A4360">
            <v>49780</v>
          </cell>
          <cell r="B4360">
            <v>5.3861073143000002</v>
          </cell>
          <cell r="C4360">
            <v>5.3847815677000002</v>
          </cell>
          <cell r="D4360">
            <v>5.3874333873999998</v>
          </cell>
        </row>
        <row r="4361">
          <cell r="A4361">
            <v>49781</v>
          </cell>
          <cell r="B4361">
            <v>5.3881890787</v>
          </cell>
          <cell r="C4361">
            <v>5.3868628197000001</v>
          </cell>
          <cell r="D4361">
            <v>5.3895156644000002</v>
          </cell>
        </row>
        <row r="4362">
          <cell r="A4362">
            <v>49782</v>
          </cell>
          <cell r="B4362">
            <v>5.3902716478999997</v>
          </cell>
          <cell r="C4362">
            <v>5.3889448763000001</v>
          </cell>
          <cell r="D4362">
            <v>5.3915987462999997</v>
          </cell>
        </row>
        <row r="4363">
          <cell r="A4363">
            <v>49783</v>
          </cell>
          <cell r="B4363">
            <v>5.3923550219000003</v>
          </cell>
          <cell r="C4363">
            <v>5.3910277374</v>
          </cell>
          <cell r="D4363">
            <v>5.3936826332000001</v>
          </cell>
        </row>
        <row r="4364">
          <cell r="A4364">
            <v>49787</v>
          </cell>
          <cell r="B4364">
            <v>5.3944392011</v>
          </cell>
          <cell r="C4364">
            <v>5.3931114036999999</v>
          </cell>
          <cell r="D4364">
            <v>5.3957673255999996</v>
          </cell>
        </row>
        <row r="4365">
          <cell r="A4365">
            <v>49788</v>
          </cell>
          <cell r="B4365">
            <v>5.3965241859999997</v>
          </cell>
          <cell r="C4365">
            <v>5.3951958753999998</v>
          </cell>
          <cell r="D4365">
            <v>5.3978528238000001</v>
          </cell>
        </row>
        <row r="4366">
          <cell r="A4366">
            <v>49789</v>
          </cell>
          <cell r="B4366">
            <v>5.3986099767000004</v>
          </cell>
          <cell r="C4366">
            <v>5.3972811525999997</v>
          </cell>
          <cell r="D4366">
            <v>5.3999391279999998</v>
          </cell>
        </row>
        <row r="4367">
          <cell r="A4367">
            <v>49790</v>
          </cell>
          <cell r="B4367">
            <v>5.4006965736000003</v>
          </cell>
          <cell r="C4367">
            <v>5.3993672358999998</v>
          </cell>
          <cell r="D4367">
            <v>5.4020262386000004</v>
          </cell>
        </row>
        <row r="4368">
          <cell r="A4368">
            <v>49793</v>
          </cell>
          <cell r="B4368">
            <v>5.4027839768000003</v>
          </cell>
          <cell r="C4368">
            <v>5.4014541253999999</v>
          </cell>
          <cell r="D4368">
            <v>5.4041141558000003</v>
          </cell>
        </row>
        <row r="4369">
          <cell r="A4369">
            <v>49794</v>
          </cell>
          <cell r="B4369">
            <v>5.4048721869999996</v>
          </cell>
          <cell r="C4369">
            <v>5.4035418216000002</v>
          </cell>
          <cell r="D4369">
            <v>5.4062028801000004</v>
          </cell>
        </row>
        <row r="4370">
          <cell r="A4370">
            <v>49795</v>
          </cell>
          <cell r="B4370">
            <v>5.4069612041999999</v>
          </cell>
          <cell r="C4370">
            <v>5.4056303245999997</v>
          </cell>
          <cell r="D4370">
            <v>5.4082924115999997</v>
          </cell>
        </row>
        <row r="4371">
          <cell r="A4371">
            <v>49797</v>
          </cell>
          <cell r="B4371">
            <v>5.4090510288999996</v>
          </cell>
          <cell r="C4371">
            <v>5.4077196349000003</v>
          </cell>
          <cell r="D4371">
            <v>5.4103827508000002</v>
          </cell>
        </row>
        <row r="4372">
          <cell r="A4372">
            <v>49800</v>
          </cell>
          <cell r="B4372">
            <v>5.4111416612000003</v>
          </cell>
          <cell r="C4372">
            <v>5.4098097526000002</v>
          </cell>
          <cell r="D4372">
            <v>5.4124738979</v>
          </cell>
        </row>
        <row r="4373">
          <cell r="A4373">
            <v>49801</v>
          </cell>
          <cell r="B4373">
            <v>5.4132331017000004</v>
          </cell>
          <cell r="C4373">
            <v>5.4119006783000003</v>
          </cell>
          <cell r="D4373">
            <v>5.4145658533000001</v>
          </cell>
        </row>
        <row r="4374">
          <cell r="A4374">
            <v>49802</v>
          </cell>
          <cell r="B4374">
            <v>5.4153253503999998</v>
          </cell>
          <cell r="C4374">
            <v>5.4139924119999998</v>
          </cell>
          <cell r="D4374">
            <v>5.4166586171000004</v>
          </cell>
        </row>
        <row r="4375">
          <cell r="A4375">
            <v>49803</v>
          </cell>
          <cell r="B4375">
            <v>5.4174184078999996</v>
          </cell>
          <cell r="C4375">
            <v>5.4160849542999996</v>
          </cell>
          <cell r="D4375">
            <v>5.4187521899000002</v>
          </cell>
        </row>
        <row r="4376">
          <cell r="A4376">
            <v>49804</v>
          </cell>
          <cell r="B4376">
            <v>5.4195122743999997</v>
          </cell>
          <cell r="C4376">
            <v>5.4181783053999997</v>
          </cell>
          <cell r="D4376">
            <v>5.4208465719000003</v>
          </cell>
        </row>
        <row r="4377">
          <cell r="A4377">
            <v>49807</v>
          </cell>
          <cell r="B4377">
            <v>5.4216069501000002</v>
          </cell>
          <cell r="C4377">
            <v>5.4202724655000001</v>
          </cell>
          <cell r="D4377">
            <v>5.4229417632999999</v>
          </cell>
        </row>
        <row r="4378">
          <cell r="A4378">
            <v>49808</v>
          </cell>
          <cell r="B4378">
            <v>5.4237024354000001</v>
          </cell>
          <cell r="C4378">
            <v>5.422367435</v>
          </cell>
          <cell r="D4378">
            <v>5.4250377644999999</v>
          </cell>
        </row>
        <row r="4379">
          <cell r="A4379">
            <v>49809</v>
          </cell>
          <cell r="B4379">
            <v>5.4257987306000004</v>
          </cell>
          <cell r="C4379">
            <v>5.4244632143000002</v>
          </cell>
          <cell r="D4379">
            <v>5.4271345759000003</v>
          </cell>
        </row>
        <row r="4380">
          <cell r="A4380">
            <v>49810</v>
          </cell>
          <cell r="B4380">
            <v>5.4278958361000003</v>
          </cell>
          <cell r="C4380">
            <v>5.4265598036</v>
          </cell>
          <cell r="D4380">
            <v>5.4292321977000002</v>
          </cell>
        </row>
        <row r="4381">
          <cell r="A4381">
            <v>49811</v>
          </cell>
          <cell r="B4381">
            <v>5.4299937520999997</v>
          </cell>
          <cell r="C4381">
            <v>5.4286572032000002</v>
          </cell>
          <cell r="D4381">
            <v>5.4313306301999997</v>
          </cell>
        </row>
        <row r="4382">
          <cell r="A4382">
            <v>49814</v>
          </cell>
          <cell r="B4382">
            <v>5.4320924789999996</v>
          </cell>
          <cell r="C4382">
            <v>5.4307554135</v>
          </cell>
          <cell r="D4382">
            <v>5.4334298737999998</v>
          </cell>
        </row>
        <row r="4383">
          <cell r="A4383">
            <v>49815</v>
          </cell>
          <cell r="B4383">
            <v>5.434192017</v>
          </cell>
          <cell r="C4383">
            <v>5.4328544347000003</v>
          </cell>
          <cell r="D4383">
            <v>5.4355299287000003</v>
          </cell>
        </row>
        <row r="4384">
          <cell r="A4384">
            <v>49816</v>
          </cell>
          <cell r="B4384">
            <v>5.4362923666</v>
          </cell>
          <cell r="C4384">
            <v>5.4349542673000002</v>
          </cell>
          <cell r="D4384">
            <v>5.4376307953999996</v>
          </cell>
        </row>
        <row r="4385">
          <cell r="A4385">
            <v>49817</v>
          </cell>
          <cell r="B4385">
            <v>5.4383935278999997</v>
          </cell>
          <cell r="C4385">
            <v>5.4370549113999997</v>
          </cell>
          <cell r="D4385">
            <v>5.4397324740000004</v>
          </cell>
        </row>
        <row r="4386">
          <cell r="A4386">
            <v>49818</v>
          </cell>
          <cell r="B4386">
            <v>5.4404955014</v>
          </cell>
          <cell r="C4386">
            <v>5.4391563674999999</v>
          </cell>
          <cell r="D4386">
            <v>5.441834965</v>
          </cell>
        </row>
        <row r="4387">
          <cell r="A4387">
            <v>49821</v>
          </cell>
          <cell r="B4387">
            <v>5.4425982872000001</v>
          </cell>
          <cell r="C4387">
            <v>5.4412586358999997</v>
          </cell>
          <cell r="D4387">
            <v>5.4439382686000002</v>
          </cell>
        </row>
        <row r="4388">
          <cell r="A4388">
            <v>49822</v>
          </cell>
          <cell r="B4388">
            <v>5.4447018857999998</v>
          </cell>
          <cell r="C4388">
            <v>5.4433617167000001</v>
          </cell>
          <cell r="D4388">
            <v>5.4460423851000002</v>
          </cell>
        </row>
        <row r="4389">
          <cell r="A4389">
            <v>49823</v>
          </cell>
          <cell r="B4389">
            <v>5.4468062975000002</v>
          </cell>
          <cell r="C4389">
            <v>5.4454656104000003</v>
          </cell>
          <cell r="D4389">
            <v>5.4481473148999999</v>
          </cell>
        </row>
        <row r="4390">
          <cell r="A4390">
            <v>49824</v>
          </cell>
          <cell r="B4390">
            <v>5.4489115225000004</v>
          </cell>
          <cell r="C4390">
            <v>5.4475703172000003</v>
          </cell>
          <cell r="D4390">
            <v>5.4502530582000004</v>
          </cell>
        </row>
        <row r="4391">
          <cell r="A4391">
            <v>49825</v>
          </cell>
          <cell r="B4391">
            <v>5.4510175611999996</v>
          </cell>
          <cell r="C4391">
            <v>5.4496758375000001</v>
          </cell>
          <cell r="D4391">
            <v>5.4523596153999998</v>
          </cell>
        </row>
        <row r="4392">
          <cell r="A4392">
            <v>49828</v>
          </cell>
          <cell r="B4392">
            <v>5.4531244140000004</v>
          </cell>
          <cell r="C4392">
            <v>5.4517821716999997</v>
          </cell>
          <cell r="D4392">
            <v>5.4544669869</v>
          </cell>
        </row>
        <row r="4393">
          <cell r="A4393">
            <v>49829</v>
          </cell>
          <cell r="B4393">
            <v>5.4552320810000001</v>
          </cell>
          <cell r="C4393">
            <v>5.4538893199</v>
          </cell>
          <cell r="D4393">
            <v>5.4565751728</v>
          </cell>
        </row>
        <row r="4394">
          <cell r="A4394">
            <v>49830</v>
          </cell>
          <cell r="B4394">
            <v>5.4573405626999998</v>
          </cell>
          <cell r="C4394">
            <v>5.4559972826000003</v>
          </cell>
          <cell r="D4394">
            <v>5.4586841736</v>
          </cell>
        </row>
        <row r="4395">
          <cell r="A4395">
            <v>49831</v>
          </cell>
          <cell r="B4395">
            <v>5.4594498592000003</v>
          </cell>
          <cell r="C4395">
            <v>5.4581060600000004</v>
          </cell>
          <cell r="D4395">
            <v>5.4607939894999999</v>
          </cell>
        </row>
        <row r="4396">
          <cell r="A4396">
            <v>49832</v>
          </cell>
          <cell r="B4396">
            <v>5.4615599709999998</v>
          </cell>
          <cell r="C4396">
            <v>5.4602156523999996</v>
          </cell>
          <cell r="D4396">
            <v>5.4629046207999998</v>
          </cell>
        </row>
        <row r="4397">
          <cell r="A4397">
            <v>49835</v>
          </cell>
          <cell r="B4397">
            <v>5.4636708985000002</v>
          </cell>
          <cell r="C4397">
            <v>5.4623260602999997</v>
          </cell>
          <cell r="D4397">
            <v>5.4650160679999997</v>
          </cell>
        </row>
        <row r="4398">
          <cell r="A4398">
            <v>49836</v>
          </cell>
          <cell r="B4398">
            <v>5.4657826417999997</v>
          </cell>
          <cell r="C4398">
            <v>5.4644372837999997</v>
          </cell>
          <cell r="D4398">
            <v>5.4671283311999996</v>
          </cell>
        </row>
        <row r="4399">
          <cell r="A4399">
            <v>49837</v>
          </cell>
          <cell r="B4399">
            <v>5.4678952013000002</v>
          </cell>
          <cell r="C4399">
            <v>5.4665493232999998</v>
          </cell>
          <cell r="D4399">
            <v>5.4692414107999996</v>
          </cell>
        </row>
        <row r="4400">
          <cell r="A4400">
            <v>49839</v>
          </cell>
          <cell r="B4400">
            <v>5.4700085773999998</v>
          </cell>
          <cell r="C4400">
            <v>5.4686621790999999</v>
          </cell>
          <cell r="D4400">
            <v>5.4713553071999996</v>
          </cell>
        </row>
        <row r="4401">
          <cell r="A4401">
            <v>49842</v>
          </cell>
          <cell r="B4401">
            <v>5.4721227701000004</v>
          </cell>
          <cell r="C4401">
            <v>5.4707758515</v>
          </cell>
          <cell r="D4401">
            <v>5.4734700204999998</v>
          </cell>
        </row>
        <row r="4402">
          <cell r="A4402">
            <v>49843</v>
          </cell>
          <cell r="B4402">
            <v>5.4742377802000002</v>
          </cell>
          <cell r="C4402">
            <v>5.4728903410000003</v>
          </cell>
          <cell r="D4402">
            <v>5.4755855513</v>
          </cell>
        </row>
        <row r="4403">
          <cell r="A4403">
            <v>49844</v>
          </cell>
          <cell r="B4403">
            <v>5.4763536077000001</v>
          </cell>
          <cell r="C4403">
            <v>5.4750056476999998</v>
          </cell>
          <cell r="D4403">
            <v>5.4777018997000004</v>
          </cell>
        </row>
        <row r="4404">
          <cell r="A4404">
            <v>49845</v>
          </cell>
          <cell r="B4404">
            <v>5.4784702529000002</v>
          </cell>
          <cell r="C4404">
            <v>5.4771217719000003</v>
          </cell>
          <cell r="D4404">
            <v>5.4798190660000001</v>
          </cell>
        </row>
        <row r="4405">
          <cell r="A4405">
            <v>49846</v>
          </cell>
          <cell r="B4405">
            <v>5.4805877162999996</v>
          </cell>
          <cell r="C4405">
            <v>5.4792387141000001</v>
          </cell>
          <cell r="D4405">
            <v>5.4819370507</v>
          </cell>
        </row>
        <row r="4406">
          <cell r="A4406">
            <v>49849</v>
          </cell>
          <cell r="B4406">
            <v>5.4827059980000001</v>
          </cell>
          <cell r="C4406">
            <v>5.4813564744000001</v>
          </cell>
          <cell r="D4406">
            <v>5.4840558540000002</v>
          </cell>
        </row>
        <row r="4407">
          <cell r="A4407">
            <v>49850</v>
          </cell>
          <cell r="B4407">
            <v>5.4848250985</v>
          </cell>
          <cell r="C4407">
            <v>5.4834750533000003</v>
          </cell>
          <cell r="D4407">
            <v>5.4861754761999997</v>
          </cell>
        </row>
        <row r="4408">
          <cell r="A4408">
            <v>49851</v>
          </cell>
          <cell r="B4408">
            <v>5.4869450181000001</v>
          </cell>
          <cell r="C4408">
            <v>5.4855944510999999</v>
          </cell>
          <cell r="D4408">
            <v>5.4882959177000004</v>
          </cell>
        </row>
        <row r="4409">
          <cell r="A4409">
            <v>49852</v>
          </cell>
          <cell r="B4409">
            <v>5.4890657568999996</v>
          </cell>
          <cell r="C4409">
            <v>5.4877146679999997</v>
          </cell>
          <cell r="D4409">
            <v>5.4904171786999996</v>
          </cell>
        </row>
        <row r="4410">
          <cell r="A4410">
            <v>49853</v>
          </cell>
          <cell r="B4410">
            <v>5.4911873155000004</v>
          </cell>
          <cell r="C4410">
            <v>5.4898357042999999</v>
          </cell>
          <cell r="D4410">
            <v>5.4925392596</v>
          </cell>
        </row>
        <row r="4411">
          <cell r="A4411">
            <v>49856</v>
          </cell>
          <cell r="B4411">
            <v>5.4933096940999997</v>
          </cell>
          <cell r="C4411">
            <v>5.4919575605000004</v>
          </cell>
          <cell r="D4411">
            <v>5.4946621606999999</v>
          </cell>
        </row>
        <row r="4412">
          <cell r="A4412">
            <v>49857</v>
          </cell>
          <cell r="B4412">
            <v>5.4954328930000003</v>
          </cell>
          <cell r="C4412">
            <v>5.4940802368000003</v>
          </cell>
          <cell r="D4412">
            <v>5.4967858824000002</v>
          </cell>
        </row>
        <row r="4413">
          <cell r="A4413">
            <v>49858</v>
          </cell>
          <cell r="B4413">
            <v>5.4975569125000003</v>
          </cell>
          <cell r="C4413">
            <v>5.4962037334999998</v>
          </cell>
          <cell r="D4413">
            <v>5.4989104248</v>
          </cell>
        </row>
        <row r="4414">
          <cell r="A4414">
            <v>49859</v>
          </cell>
          <cell r="B4414">
            <v>5.499681753</v>
          </cell>
          <cell r="C4414">
            <v>5.4983280508999997</v>
          </cell>
          <cell r="D4414">
            <v>5.5010357884000003</v>
          </cell>
        </row>
        <row r="4415">
          <cell r="A4415">
            <v>49860</v>
          </cell>
          <cell r="B4415">
            <v>5.5018074147</v>
          </cell>
          <cell r="C4415">
            <v>5.5004531895</v>
          </cell>
          <cell r="D4415">
            <v>5.5031619735000001</v>
          </cell>
        </row>
        <row r="4416">
          <cell r="A4416">
            <v>49863</v>
          </cell>
          <cell r="B4416">
            <v>5.5039338980999997</v>
          </cell>
          <cell r="C4416">
            <v>5.5025791493999998</v>
          </cell>
          <cell r="D4416">
            <v>5.5052889803999996</v>
          </cell>
        </row>
        <row r="4417">
          <cell r="A4417">
            <v>49864</v>
          </cell>
          <cell r="B4417">
            <v>5.5060612031999998</v>
          </cell>
          <cell r="C4417">
            <v>5.5047059309000002</v>
          </cell>
          <cell r="D4417">
            <v>5.5074168093000004</v>
          </cell>
        </row>
        <row r="4418">
          <cell r="A4418">
            <v>49865</v>
          </cell>
          <cell r="B4418">
            <v>5.5081893306999996</v>
          </cell>
          <cell r="C4418">
            <v>5.5068335346000001</v>
          </cell>
          <cell r="D4418">
            <v>5.5095454607000001</v>
          </cell>
        </row>
        <row r="4419">
          <cell r="A4419">
            <v>49866</v>
          </cell>
          <cell r="B4419">
            <v>5.5103182806</v>
          </cell>
          <cell r="C4419">
            <v>5.5089619604999998</v>
          </cell>
          <cell r="D4419">
            <v>5.5116749348000003</v>
          </cell>
        </row>
        <row r="4420">
          <cell r="A4420">
            <v>49867</v>
          </cell>
          <cell r="B4420">
            <v>5.5124480535</v>
          </cell>
          <cell r="C4420">
            <v>5.5110912090999999</v>
          </cell>
          <cell r="D4420">
            <v>5.5138052320000002</v>
          </cell>
        </row>
        <row r="4421">
          <cell r="A4421">
            <v>49870</v>
          </cell>
          <cell r="B4421">
            <v>5.5145786493999998</v>
          </cell>
          <cell r="C4421">
            <v>5.5132212805999998</v>
          </cell>
          <cell r="D4421">
            <v>5.5159363524999998</v>
          </cell>
        </row>
        <row r="4422">
          <cell r="A4422">
            <v>49871</v>
          </cell>
          <cell r="B4422">
            <v>5.5167100689000002</v>
          </cell>
          <cell r="C4422">
            <v>5.5153521755000003</v>
          </cell>
          <cell r="D4422">
            <v>5.5180682968000001</v>
          </cell>
        </row>
        <row r="4423">
          <cell r="A4423">
            <v>49872</v>
          </cell>
          <cell r="B4423">
            <v>5.5188423122000003</v>
          </cell>
          <cell r="C4423">
            <v>5.5174838938999997</v>
          </cell>
          <cell r="D4423">
            <v>5.5202010650000002</v>
          </cell>
        </row>
        <row r="4424">
          <cell r="A4424">
            <v>49873</v>
          </cell>
          <cell r="B4424">
            <v>5.5209753796000003</v>
          </cell>
          <cell r="C4424">
            <v>5.5196164362999998</v>
          </cell>
          <cell r="D4424">
            <v>5.5223346576000001</v>
          </cell>
        </row>
        <row r="4425">
          <cell r="A4425">
            <v>49874</v>
          </cell>
          <cell r="B4425">
            <v>5.5231092714000001</v>
          </cell>
          <cell r="C4425">
            <v>5.5217498028999996</v>
          </cell>
          <cell r="D4425">
            <v>5.5244690747999998</v>
          </cell>
        </row>
        <row r="4426">
          <cell r="A4426">
            <v>49877</v>
          </cell>
          <cell r="B4426">
            <v>5.5252439880999997</v>
          </cell>
          <cell r="C4426">
            <v>5.5238839941000002</v>
          </cell>
          <cell r="D4426">
            <v>5.5266043170000003</v>
          </cell>
        </row>
        <row r="4427">
          <cell r="A4427">
            <v>49878</v>
          </cell>
          <cell r="B4427">
            <v>5.5273795298000001</v>
          </cell>
          <cell r="C4427">
            <v>5.5260190101999997</v>
          </cell>
          <cell r="D4427">
            <v>5.5287403844999998</v>
          </cell>
        </row>
        <row r="4428">
          <cell r="A4428">
            <v>49879</v>
          </cell>
          <cell r="B4428">
            <v>5.5295158968000004</v>
          </cell>
          <cell r="C4428">
            <v>5.5281548514000001</v>
          </cell>
          <cell r="D4428">
            <v>5.5308772775000001</v>
          </cell>
        </row>
        <row r="4429">
          <cell r="A4429">
            <v>49880</v>
          </cell>
          <cell r="B4429">
            <v>5.5316530895999998</v>
          </cell>
          <cell r="C4429">
            <v>5.5302915181000003</v>
          </cell>
          <cell r="D4429">
            <v>5.5330149965000004</v>
          </cell>
        </row>
        <row r="4430">
          <cell r="A4430">
            <v>49881</v>
          </cell>
          <cell r="B4430">
            <v>5.5337911085</v>
          </cell>
          <cell r="C4430">
            <v>5.5324290107999996</v>
          </cell>
          <cell r="D4430">
            <v>5.5351535417999997</v>
          </cell>
        </row>
        <row r="4431">
          <cell r="A4431">
            <v>49884</v>
          </cell>
          <cell r="B4431">
            <v>5.5359299538000002</v>
          </cell>
          <cell r="C4431">
            <v>5.5345673294999997</v>
          </cell>
          <cell r="D4431">
            <v>5.5372929136</v>
          </cell>
        </row>
        <row r="4432">
          <cell r="A4432">
            <v>49885</v>
          </cell>
          <cell r="B4432">
            <v>5.5380696256000004</v>
          </cell>
          <cell r="C4432">
            <v>5.5367064746999999</v>
          </cell>
          <cell r="D4432">
            <v>5.5394331122000002</v>
          </cell>
        </row>
        <row r="4433">
          <cell r="A4433">
            <v>49886</v>
          </cell>
          <cell r="B4433">
            <v>5.5402101244999997</v>
          </cell>
          <cell r="C4433">
            <v>5.5388464467</v>
          </cell>
          <cell r="D4433">
            <v>5.5415741380999997</v>
          </cell>
        </row>
        <row r="4434">
          <cell r="A4434">
            <v>49887</v>
          </cell>
          <cell r="B4434">
            <v>5.5423514507</v>
          </cell>
          <cell r="C4434">
            <v>5.5409872458000002</v>
          </cell>
          <cell r="D4434">
            <v>5.5437159915000001</v>
          </cell>
        </row>
        <row r="4435">
          <cell r="A4435">
            <v>49888</v>
          </cell>
          <cell r="B4435">
            <v>5.5444936046000004</v>
          </cell>
          <cell r="C4435">
            <v>5.5431288724999996</v>
          </cell>
          <cell r="D4435">
            <v>5.5458586727999997</v>
          </cell>
        </row>
        <row r="4436">
          <cell r="A4436">
            <v>49891</v>
          </cell>
          <cell r="B4436">
            <v>5.5466365864</v>
          </cell>
          <cell r="C4436">
            <v>5.5452713268</v>
          </cell>
          <cell r="D4436">
            <v>5.5480021822000003</v>
          </cell>
        </row>
        <row r="4437">
          <cell r="A4437">
            <v>49892</v>
          </cell>
          <cell r="B4437">
            <v>5.5487803962999998</v>
          </cell>
          <cell r="C4437">
            <v>5.5474146090999996</v>
          </cell>
          <cell r="D4437">
            <v>5.5501465200000002</v>
          </cell>
        </row>
        <row r="4438">
          <cell r="A4438">
            <v>49893</v>
          </cell>
          <cell r="B4438">
            <v>5.5509250349999997</v>
          </cell>
          <cell r="C4438">
            <v>5.5495587199000003</v>
          </cell>
          <cell r="D4438">
            <v>5.5522916867000003</v>
          </cell>
        </row>
        <row r="4439">
          <cell r="A4439">
            <v>49894</v>
          </cell>
          <cell r="B4439">
            <v>5.5530705025999998</v>
          </cell>
          <cell r="C4439">
            <v>5.5517036594000002</v>
          </cell>
          <cell r="D4439">
            <v>5.5544376824999997</v>
          </cell>
        </row>
        <row r="4440">
          <cell r="A4440">
            <v>49895</v>
          </cell>
          <cell r="B4440">
            <v>5.5552167995000001</v>
          </cell>
          <cell r="C4440">
            <v>5.5538494280000004</v>
          </cell>
          <cell r="D4440">
            <v>5.5565845078000002</v>
          </cell>
        </row>
        <row r="4441">
          <cell r="A4441">
            <v>49898</v>
          </cell>
          <cell r="B4441">
            <v>5.5573639258999998</v>
          </cell>
          <cell r="C4441">
            <v>5.5559960257999998</v>
          </cell>
          <cell r="D4441">
            <v>5.5587321628000002</v>
          </cell>
        </row>
        <row r="4442">
          <cell r="A4442">
            <v>49899</v>
          </cell>
          <cell r="B4442">
            <v>5.5595118820999998</v>
          </cell>
          <cell r="C4442">
            <v>5.5581434533999996</v>
          </cell>
          <cell r="D4442">
            <v>5.5608806479000004</v>
          </cell>
        </row>
        <row r="4443">
          <cell r="A4443">
            <v>49900</v>
          </cell>
          <cell r="B4443">
            <v>5.5616606685000001</v>
          </cell>
          <cell r="C4443">
            <v>5.5602917108999996</v>
          </cell>
          <cell r="D4443">
            <v>5.5630299633</v>
          </cell>
        </row>
        <row r="4444">
          <cell r="A4444">
            <v>49901</v>
          </cell>
          <cell r="B4444">
            <v>5.5638102854999998</v>
          </cell>
          <cell r="C4444">
            <v>5.5624407988</v>
          </cell>
          <cell r="D4444">
            <v>5.5651801096</v>
          </cell>
        </row>
        <row r="4445">
          <cell r="A4445">
            <v>49902</v>
          </cell>
          <cell r="B4445">
            <v>5.5659607332999999</v>
          </cell>
          <cell r="C4445">
            <v>5.5645907171999998</v>
          </cell>
          <cell r="D4445">
            <v>5.5673310868000003</v>
          </cell>
        </row>
        <row r="4446">
          <cell r="A4446">
            <v>49905</v>
          </cell>
          <cell r="B4446">
            <v>5.5681120123000003</v>
          </cell>
          <cell r="C4446">
            <v>5.5667414666999999</v>
          </cell>
          <cell r="D4446">
            <v>5.5694828954000002</v>
          </cell>
        </row>
        <row r="4447">
          <cell r="A4447">
            <v>49906</v>
          </cell>
          <cell r="B4447">
            <v>5.5702641228000003</v>
          </cell>
          <cell r="C4447">
            <v>5.5688930474999996</v>
          </cell>
          <cell r="D4447">
            <v>5.5716355357999996</v>
          </cell>
        </row>
        <row r="4448">
          <cell r="A4448">
            <v>49907</v>
          </cell>
          <cell r="B4448">
            <v>5.5724170649999998</v>
          </cell>
          <cell r="C4448">
            <v>5.5710454597999997</v>
          </cell>
          <cell r="D4448">
            <v>5.5737890081000003</v>
          </cell>
        </row>
        <row r="4449">
          <cell r="A4449">
            <v>49908</v>
          </cell>
          <cell r="B4449">
            <v>5.5745708393999998</v>
          </cell>
          <cell r="C4449">
            <v>5.5731987040000002</v>
          </cell>
          <cell r="D4449">
            <v>5.5759433126999998</v>
          </cell>
        </row>
        <row r="4450">
          <cell r="A4450">
            <v>49909</v>
          </cell>
          <cell r="B4450">
            <v>5.5767254462000002</v>
          </cell>
          <cell r="C4450">
            <v>5.5753527805000003</v>
          </cell>
          <cell r="D4450">
            <v>5.5780984499999997</v>
          </cell>
        </row>
        <row r="4451">
          <cell r="A4451">
            <v>49912</v>
          </cell>
          <cell r="B4451">
            <v>5.5788808858000003</v>
          </cell>
          <cell r="C4451">
            <v>5.5775076896</v>
          </cell>
          <cell r="D4451">
            <v>5.5802544203000002</v>
          </cell>
        </row>
        <row r="4452">
          <cell r="A4452">
            <v>49913</v>
          </cell>
          <cell r="B4452">
            <v>5.5810371585</v>
          </cell>
          <cell r="C4452">
            <v>5.5796634316000002</v>
          </cell>
          <cell r="D4452">
            <v>5.5824112239000003</v>
          </cell>
        </row>
        <row r="4453">
          <cell r="A4453">
            <v>49914</v>
          </cell>
          <cell r="B4453">
            <v>5.5831942647000004</v>
          </cell>
          <cell r="C4453">
            <v>5.5818200067000001</v>
          </cell>
          <cell r="D4453">
            <v>5.5845688611000002</v>
          </cell>
        </row>
        <row r="4454">
          <cell r="A4454">
            <v>49915</v>
          </cell>
          <cell r="B4454">
            <v>5.5853522045000004</v>
          </cell>
          <cell r="C4454">
            <v>5.5839774153999997</v>
          </cell>
          <cell r="D4454">
            <v>5.5867273321999997</v>
          </cell>
        </row>
        <row r="4455">
          <cell r="A4455">
            <v>49916</v>
          </cell>
          <cell r="B4455">
            <v>5.5875109784000001</v>
          </cell>
          <cell r="C4455">
            <v>5.5861356578999999</v>
          </cell>
          <cell r="D4455">
            <v>5.5888866375999999</v>
          </cell>
        </row>
        <row r="4456">
          <cell r="A4456">
            <v>49919</v>
          </cell>
          <cell r="B4456">
            <v>5.5896705866999996</v>
          </cell>
          <cell r="C4456">
            <v>5.5882947345999998</v>
          </cell>
          <cell r="D4456">
            <v>5.5910467775999999</v>
          </cell>
        </row>
        <row r="4457">
          <cell r="A4457">
            <v>49920</v>
          </cell>
          <cell r="B4457">
            <v>5.5918310296999998</v>
          </cell>
          <cell r="C4457">
            <v>5.5904546458000004</v>
          </cell>
          <cell r="D4457">
            <v>5.5932077524999997</v>
          </cell>
        </row>
        <row r="4458">
          <cell r="A4458">
            <v>49921</v>
          </cell>
          <cell r="B4458">
            <v>5.5939923076999998</v>
          </cell>
          <cell r="C4458">
            <v>5.5926153918999999</v>
          </cell>
          <cell r="D4458">
            <v>5.5953695626000002</v>
          </cell>
        </row>
        <row r="4459">
          <cell r="A4459">
            <v>49922</v>
          </cell>
          <cell r="B4459">
            <v>5.5961544209999996</v>
          </cell>
          <cell r="C4459">
            <v>5.5947769731000001</v>
          </cell>
          <cell r="D4459">
            <v>5.5975322082999996</v>
          </cell>
        </row>
        <row r="4460">
          <cell r="A4460">
            <v>49923</v>
          </cell>
          <cell r="B4460">
            <v>5.5983173700000002</v>
          </cell>
          <cell r="C4460">
            <v>5.5969393896000001</v>
          </cell>
          <cell r="D4460">
            <v>5.5996956897999999</v>
          </cell>
        </row>
        <row r="4461">
          <cell r="A4461">
            <v>49926</v>
          </cell>
          <cell r="B4461">
            <v>5.6004811550999998</v>
          </cell>
          <cell r="C4461">
            <v>5.5991026421000001</v>
          </cell>
          <cell r="D4461">
            <v>5.6018600076</v>
          </cell>
        </row>
        <row r="4462">
          <cell r="A4462">
            <v>49927</v>
          </cell>
          <cell r="B4462">
            <v>5.6026457764000002</v>
          </cell>
          <cell r="C4462">
            <v>5.6012667305999999</v>
          </cell>
          <cell r="D4462">
            <v>5.6040251618000001</v>
          </cell>
        </row>
        <row r="4463">
          <cell r="A4463">
            <v>49928</v>
          </cell>
          <cell r="B4463">
            <v>5.6048112342999996</v>
          </cell>
          <cell r="C4463">
            <v>5.6034316554999997</v>
          </cell>
          <cell r="D4463">
            <v>5.6061911529000001</v>
          </cell>
        </row>
        <row r="4464">
          <cell r="A4464">
            <v>49929</v>
          </cell>
          <cell r="B4464">
            <v>5.6069775292999999</v>
          </cell>
          <cell r="C4464">
            <v>5.6055974173000003</v>
          </cell>
          <cell r="D4464">
            <v>5.6083579812000002</v>
          </cell>
        </row>
        <row r="4465">
          <cell r="A4465">
            <v>49930</v>
          </cell>
          <cell r="B4465">
            <v>5.6091446615000002</v>
          </cell>
          <cell r="C4465">
            <v>5.6077640161</v>
          </cell>
          <cell r="D4465">
            <v>5.6105256470000002</v>
          </cell>
        </row>
        <row r="4466">
          <cell r="A4466">
            <v>49933</v>
          </cell>
          <cell r="B4466">
            <v>5.6113126313999997</v>
          </cell>
          <cell r="C4466">
            <v>5.6099314522999997</v>
          </cell>
          <cell r="D4466">
            <v>5.6126941506000003</v>
          </cell>
        </row>
        <row r="4467">
          <cell r="A4467">
            <v>49934</v>
          </cell>
          <cell r="B4467">
            <v>5.6134814391000001</v>
          </cell>
          <cell r="C4467">
            <v>5.6120997262000003</v>
          </cell>
          <cell r="D4467">
            <v>5.6148634922999996</v>
          </cell>
        </row>
        <row r="4468">
          <cell r="A4468">
            <v>49935</v>
          </cell>
          <cell r="B4468">
            <v>5.6156510850999997</v>
          </cell>
          <cell r="C4468">
            <v>5.6142688382000001</v>
          </cell>
          <cell r="D4468">
            <v>5.6170336724999999</v>
          </cell>
        </row>
        <row r="4469">
          <cell r="A4469">
            <v>49936</v>
          </cell>
          <cell r="B4469">
            <v>5.6178215697000002</v>
          </cell>
          <cell r="C4469">
            <v>5.6164387886</v>
          </cell>
          <cell r="D4469">
            <v>5.6192046915000002</v>
          </cell>
        </row>
        <row r="4470">
          <cell r="A4470">
            <v>49937</v>
          </cell>
          <cell r="B4470">
            <v>5.6199928932000001</v>
          </cell>
          <cell r="C4470">
            <v>5.6186095776</v>
          </cell>
          <cell r="D4470">
            <v>5.6213765495999999</v>
          </cell>
        </row>
        <row r="4471">
          <cell r="A4471">
            <v>49940</v>
          </cell>
          <cell r="B4471">
            <v>5.6221650561000001</v>
          </cell>
          <cell r="C4471">
            <v>5.6207812058000002</v>
          </cell>
          <cell r="D4471">
            <v>5.6235492471999997</v>
          </cell>
        </row>
        <row r="4472">
          <cell r="A4472">
            <v>49941</v>
          </cell>
          <cell r="B4472">
            <v>5.6243380584000002</v>
          </cell>
          <cell r="C4472">
            <v>5.6229536731999996</v>
          </cell>
          <cell r="D4472">
            <v>5.6257227844999997</v>
          </cell>
        </row>
        <row r="4473">
          <cell r="A4473">
            <v>49942</v>
          </cell>
          <cell r="B4473">
            <v>5.6265119004999997</v>
          </cell>
          <cell r="C4473">
            <v>5.6251269802000001</v>
          </cell>
          <cell r="D4473">
            <v>5.6278971618</v>
          </cell>
        </row>
        <row r="4474">
          <cell r="A4474">
            <v>49943</v>
          </cell>
          <cell r="B4474">
            <v>5.6286865828000003</v>
          </cell>
          <cell r="C4474">
            <v>5.6273011273</v>
          </cell>
          <cell r="D4474">
            <v>5.6300723795999996</v>
          </cell>
        </row>
        <row r="4475">
          <cell r="A4475">
            <v>49944</v>
          </cell>
          <cell r="B4475">
            <v>5.6308621058000004</v>
          </cell>
          <cell r="C4475">
            <v>5.6294761148000001</v>
          </cell>
          <cell r="D4475">
            <v>5.6322484382000004</v>
          </cell>
        </row>
        <row r="4476">
          <cell r="A4476">
            <v>49947</v>
          </cell>
          <cell r="B4476">
            <v>5.6330384695999998</v>
          </cell>
          <cell r="C4476">
            <v>5.6316519428999996</v>
          </cell>
          <cell r="D4476">
            <v>5.6344253377999998</v>
          </cell>
        </row>
        <row r="4477">
          <cell r="A4477">
            <v>49948</v>
          </cell>
          <cell r="B4477">
            <v>5.6352156745000004</v>
          </cell>
          <cell r="C4477">
            <v>5.6338286119000003</v>
          </cell>
          <cell r="D4477">
            <v>5.6366030787000003</v>
          </cell>
        </row>
        <row r="4478">
          <cell r="A4478">
            <v>49949</v>
          </cell>
          <cell r="B4478">
            <v>5.6373937208999996</v>
          </cell>
          <cell r="C4478">
            <v>5.6360061222000004</v>
          </cell>
          <cell r="D4478">
            <v>5.6387816614000004</v>
          </cell>
        </row>
        <row r="4479">
          <cell r="A4479">
            <v>49950</v>
          </cell>
          <cell r="B4479">
            <v>5.6395726092</v>
          </cell>
          <cell r="C4479">
            <v>5.6381844742</v>
          </cell>
          <cell r="D4479">
            <v>5.6409610860999999</v>
          </cell>
        </row>
        <row r="4480">
          <cell r="A4480">
            <v>49951</v>
          </cell>
          <cell r="B4480">
            <v>5.6417523396</v>
          </cell>
          <cell r="C4480">
            <v>5.6403636681</v>
          </cell>
          <cell r="D4480">
            <v>5.6431413531999999</v>
          </cell>
        </row>
        <row r="4481">
          <cell r="A4481">
            <v>49954</v>
          </cell>
          <cell r="B4481">
            <v>5.6439329126000004</v>
          </cell>
          <cell r="C4481">
            <v>5.6425437043000004</v>
          </cell>
          <cell r="D4481">
            <v>5.6453224630000003</v>
          </cell>
        </row>
        <row r="4482">
          <cell r="A4482">
            <v>49955</v>
          </cell>
          <cell r="B4482">
            <v>5.6461143283000004</v>
          </cell>
          <cell r="C4482">
            <v>5.6447245831000004</v>
          </cell>
          <cell r="D4482">
            <v>5.6475044158000003</v>
          </cell>
        </row>
        <row r="4483">
          <cell r="A4483">
            <v>49956</v>
          </cell>
          <cell r="B4483">
            <v>5.6482965870999999</v>
          </cell>
          <cell r="C4483">
            <v>5.6469063046999999</v>
          </cell>
          <cell r="D4483">
            <v>5.6496872118999999</v>
          </cell>
        </row>
        <row r="4484">
          <cell r="A4484">
            <v>49957</v>
          </cell>
          <cell r="B4484">
            <v>5.6504796894</v>
          </cell>
          <cell r="C4484">
            <v>5.6490888696999999</v>
          </cell>
          <cell r="D4484">
            <v>5.6518708517</v>
          </cell>
        </row>
        <row r="4485">
          <cell r="A4485">
            <v>49958</v>
          </cell>
          <cell r="B4485">
            <v>5.6526636354999997</v>
          </cell>
          <cell r="C4485">
            <v>5.6512722782999996</v>
          </cell>
          <cell r="D4485">
            <v>5.6540553354999998</v>
          </cell>
        </row>
        <row r="4486">
          <cell r="A4486">
            <v>49961</v>
          </cell>
          <cell r="B4486">
            <v>5.6548484257</v>
          </cell>
          <cell r="C4486">
            <v>5.6534565306999998</v>
          </cell>
          <cell r="D4486">
            <v>5.6562406636000002</v>
          </cell>
        </row>
        <row r="4487">
          <cell r="A4487">
            <v>49962</v>
          </cell>
          <cell r="B4487">
            <v>5.6570340603</v>
          </cell>
          <cell r="C4487">
            <v>5.6556416272999996</v>
          </cell>
          <cell r="D4487">
            <v>5.6584268363000003</v>
          </cell>
        </row>
        <row r="4488">
          <cell r="A4488">
            <v>49963</v>
          </cell>
          <cell r="B4488">
            <v>5.6592205396999997</v>
          </cell>
          <cell r="C4488">
            <v>5.6578275685000001</v>
          </cell>
          <cell r="D4488">
            <v>5.6606138540000002</v>
          </cell>
        </row>
        <row r="4489">
          <cell r="A4489">
            <v>49964</v>
          </cell>
          <cell r="B4489">
            <v>5.6614078642000001</v>
          </cell>
          <cell r="C4489">
            <v>5.6600143546000004</v>
          </cell>
          <cell r="D4489">
            <v>5.6628017169999998</v>
          </cell>
        </row>
        <row r="4490">
          <cell r="A4490">
            <v>49965</v>
          </cell>
          <cell r="B4490">
            <v>5.6635960340000002</v>
          </cell>
          <cell r="C4490">
            <v>5.6622019859000003</v>
          </cell>
          <cell r="D4490">
            <v>5.6649904256000001</v>
          </cell>
        </row>
        <row r="4491">
          <cell r="A4491">
            <v>49968</v>
          </cell>
          <cell r="B4491">
            <v>5.6657850497000002</v>
          </cell>
          <cell r="C4491">
            <v>5.6643904627000001</v>
          </cell>
          <cell r="D4491">
            <v>5.6671799802000002</v>
          </cell>
        </row>
        <row r="4492">
          <cell r="A4492">
            <v>49969</v>
          </cell>
          <cell r="B4492">
            <v>5.6679749115</v>
          </cell>
          <cell r="C4492">
            <v>5.6665797853999997</v>
          </cell>
          <cell r="D4492">
            <v>5.6693703811000002</v>
          </cell>
        </row>
        <row r="4493">
          <cell r="A4493">
            <v>49970</v>
          </cell>
          <cell r="B4493">
            <v>5.6701656194999996</v>
          </cell>
          <cell r="C4493">
            <v>5.6687699543000001</v>
          </cell>
          <cell r="D4493">
            <v>5.6715616285000001</v>
          </cell>
        </row>
        <row r="4494">
          <cell r="A4494">
            <v>49971</v>
          </cell>
          <cell r="B4494">
            <v>5.6723571743000001</v>
          </cell>
          <cell r="C4494">
            <v>5.6709609697000003</v>
          </cell>
          <cell r="D4494">
            <v>5.6737537228999999</v>
          </cell>
        </row>
        <row r="4495">
          <cell r="A4495">
            <v>49972</v>
          </cell>
          <cell r="B4495">
            <v>5.6745495761999996</v>
          </cell>
          <cell r="C4495">
            <v>5.6731528318000004</v>
          </cell>
          <cell r="D4495">
            <v>5.6759466644999996</v>
          </cell>
        </row>
        <row r="4496">
          <cell r="A4496">
            <v>49975</v>
          </cell>
          <cell r="B4496">
            <v>5.6767428254999999</v>
          </cell>
          <cell r="C4496">
            <v>5.6753455412999996</v>
          </cell>
          <cell r="D4496">
            <v>5.6781404538000002</v>
          </cell>
        </row>
        <row r="4497">
          <cell r="A4497">
            <v>49976</v>
          </cell>
          <cell r="B4497">
            <v>5.6789369224000001</v>
          </cell>
          <cell r="C4497">
            <v>5.6775390981999996</v>
          </cell>
          <cell r="D4497">
            <v>5.6803350908999999</v>
          </cell>
        </row>
        <row r="4498">
          <cell r="A4498">
            <v>49977</v>
          </cell>
          <cell r="B4498">
            <v>5.6811318674000004</v>
          </cell>
          <cell r="C4498">
            <v>5.6797335028999996</v>
          </cell>
          <cell r="D4498">
            <v>5.6825305762999996</v>
          </cell>
        </row>
        <row r="4499">
          <cell r="A4499">
            <v>49978</v>
          </cell>
          <cell r="B4499">
            <v>5.6833276607999998</v>
          </cell>
          <cell r="C4499">
            <v>5.6819287557999996</v>
          </cell>
          <cell r="D4499">
            <v>5.6847269103000002</v>
          </cell>
        </row>
        <row r="4500">
          <cell r="A4500">
            <v>49979</v>
          </cell>
          <cell r="B4500">
            <v>5.6855243028000002</v>
          </cell>
          <cell r="C4500">
            <v>5.6841248570999996</v>
          </cell>
          <cell r="D4500">
            <v>5.6869240931</v>
          </cell>
        </row>
        <row r="4501">
          <cell r="A4501">
            <v>49982</v>
          </cell>
          <cell r="B4501">
            <v>5.6877217937999998</v>
          </cell>
          <cell r="C4501">
            <v>5.6863218072999997</v>
          </cell>
          <cell r="D4501">
            <v>5.6891221251999999</v>
          </cell>
        </row>
        <row r="4502">
          <cell r="A4502">
            <v>49983</v>
          </cell>
          <cell r="B4502">
            <v>5.6899201342000003</v>
          </cell>
          <cell r="C4502">
            <v>5.6885196064999999</v>
          </cell>
          <cell r="D4502">
            <v>5.6913210068</v>
          </cell>
        </row>
        <row r="4503">
          <cell r="A4503">
            <v>49984</v>
          </cell>
          <cell r="B4503">
            <v>5.6921193242000001</v>
          </cell>
          <cell r="C4503">
            <v>5.6907182553000002</v>
          </cell>
          <cell r="D4503">
            <v>5.6935207383000002</v>
          </cell>
        </row>
        <row r="4504">
          <cell r="A4504">
            <v>49985</v>
          </cell>
          <cell r="B4504">
            <v>5.6943193643000001</v>
          </cell>
          <cell r="C4504">
            <v>5.6929177537999998</v>
          </cell>
          <cell r="D4504">
            <v>5.6957213199999996</v>
          </cell>
        </row>
        <row r="4505">
          <cell r="A4505">
            <v>49986</v>
          </cell>
          <cell r="B4505">
            <v>5.6965202547000002</v>
          </cell>
          <cell r="C4505">
            <v>5.6951181025000004</v>
          </cell>
          <cell r="D4505">
            <v>5.6979227523000002</v>
          </cell>
        </row>
        <row r="4506">
          <cell r="A4506">
            <v>49989</v>
          </cell>
          <cell r="B4506">
            <v>5.6987219956999997</v>
          </cell>
          <cell r="C4506">
            <v>5.6973193016000003</v>
          </cell>
          <cell r="D4506">
            <v>5.7001250354000002</v>
          </cell>
        </row>
        <row r="4507">
          <cell r="A4507">
            <v>49990</v>
          </cell>
          <cell r="B4507">
            <v>5.7009245879000003</v>
          </cell>
          <cell r="C4507">
            <v>5.6995213514999996</v>
          </cell>
          <cell r="D4507">
            <v>5.7023281698000003</v>
          </cell>
        </row>
        <row r="4508">
          <cell r="A4508">
            <v>49991</v>
          </cell>
          <cell r="B4508">
            <v>5.7031280312000003</v>
          </cell>
          <cell r="C4508">
            <v>5.7017242525</v>
          </cell>
          <cell r="D4508">
            <v>5.7045321555999999</v>
          </cell>
        </row>
        <row r="4509">
          <cell r="A4509">
            <v>49992</v>
          </cell>
          <cell r="B4509">
            <v>5.7053323261999997</v>
          </cell>
          <cell r="C4509">
            <v>5.7039280048999998</v>
          </cell>
          <cell r="D4509">
            <v>5.7067369932999998</v>
          </cell>
        </row>
        <row r="4510">
          <cell r="A4510">
            <v>49993</v>
          </cell>
          <cell r="B4510">
            <v>5.7075374732000004</v>
          </cell>
          <cell r="C4510">
            <v>5.7061326091</v>
          </cell>
          <cell r="D4510">
            <v>5.7089426832000001</v>
          </cell>
        </row>
        <row r="4511">
          <cell r="A4511">
            <v>49996</v>
          </cell>
          <cell r="B4511">
            <v>5.7097434723999996</v>
          </cell>
          <cell r="C4511">
            <v>5.7083380654000004</v>
          </cell>
          <cell r="D4511">
            <v>5.7111492255999998</v>
          </cell>
        </row>
        <row r="4512">
          <cell r="A4512">
            <v>49997</v>
          </cell>
          <cell r="B4512">
            <v>5.7119503243</v>
          </cell>
          <cell r="C4512">
            <v>5.7105443741000004</v>
          </cell>
          <cell r="D4512">
            <v>5.7133566208</v>
          </cell>
        </row>
        <row r="4513">
          <cell r="A4513">
            <v>49998</v>
          </cell>
          <cell r="B4513">
            <v>5.7141580293000001</v>
          </cell>
          <cell r="C4513">
            <v>5.7127515355999998</v>
          </cell>
          <cell r="D4513">
            <v>5.7155648692999996</v>
          </cell>
        </row>
        <row r="4514">
          <cell r="A4514">
            <v>49999</v>
          </cell>
          <cell r="B4514">
            <v>5.7163665873999996</v>
          </cell>
          <cell r="C4514">
            <v>5.7149595501999997</v>
          </cell>
          <cell r="D4514">
            <v>5.7177739711999997</v>
          </cell>
        </row>
        <row r="4515">
          <cell r="A4515">
            <v>50000</v>
          </cell>
          <cell r="B4515">
            <v>5.7185759990999996</v>
          </cell>
          <cell r="C4515">
            <v>5.7171684181</v>
          </cell>
          <cell r="D4515">
            <v>5.7199839269000003</v>
          </cell>
        </row>
        <row r="4516">
          <cell r="A4516">
            <v>50003</v>
          </cell>
          <cell r="B4516">
            <v>5.7207862649000001</v>
          </cell>
          <cell r="C4516">
            <v>5.7193781397999999</v>
          </cell>
          <cell r="D4516">
            <v>5.7221947367999997</v>
          </cell>
        </row>
        <row r="4517">
          <cell r="A4517">
            <v>50004</v>
          </cell>
          <cell r="B4517">
            <v>5.7229973849000002</v>
          </cell>
          <cell r="C4517">
            <v>5.7215887155000003</v>
          </cell>
          <cell r="D4517">
            <v>5.7244064012000004</v>
          </cell>
        </row>
        <row r="4518">
          <cell r="A4518">
            <v>50005</v>
          </cell>
          <cell r="B4518">
            <v>5.7252093596</v>
          </cell>
          <cell r="C4518">
            <v>5.7238001458000003</v>
          </cell>
          <cell r="D4518">
            <v>5.7266189205</v>
          </cell>
        </row>
        <row r="4519">
          <cell r="A4519">
            <v>50006</v>
          </cell>
          <cell r="B4519">
            <v>5.7274221891000003</v>
          </cell>
          <cell r="C4519">
            <v>5.7260124306</v>
          </cell>
          <cell r="D4519">
            <v>5.7288322948000001</v>
          </cell>
        </row>
        <row r="4520">
          <cell r="A4520">
            <v>50007</v>
          </cell>
          <cell r="B4520">
            <v>5.7296358740000004</v>
          </cell>
          <cell r="C4520">
            <v>5.7282255706000003</v>
          </cell>
          <cell r="D4520">
            <v>5.7310465247</v>
          </cell>
        </row>
        <row r="4521">
          <cell r="A4521">
            <v>50010</v>
          </cell>
          <cell r="B4521">
            <v>5.7318504144000002</v>
          </cell>
          <cell r="C4521">
            <v>5.7304395660000003</v>
          </cell>
          <cell r="D4521">
            <v>5.7332616103999996</v>
          </cell>
        </row>
        <row r="4522">
          <cell r="A4522">
            <v>50011</v>
          </cell>
          <cell r="B4522">
            <v>5.7340658107999998</v>
          </cell>
          <cell r="C4522">
            <v>5.7326544171</v>
          </cell>
          <cell r="D4522">
            <v>5.7354775521999999</v>
          </cell>
        </row>
        <row r="4523">
          <cell r="A4523">
            <v>50012</v>
          </cell>
          <cell r="B4523">
            <v>5.7362820635</v>
          </cell>
          <cell r="C4523">
            <v>5.7348701242000004</v>
          </cell>
          <cell r="D4523">
            <v>5.7376943505</v>
          </cell>
        </row>
        <row r="4524">
          <cell r="A4524">
            <v>50013</v>
          </cell>
          <cell r="B4524">
            <v>5.7384991727000001</v>
          </cell>
          <cell r="C4524">
            <v>5.7370866876999997</v>
          </cell>
          <cell r="D4524">
            <v>5.7399120055999999</v>
          </cell>
        </row>
        <row r="4525">
          <cell r="A4525">
            <v>50014</v>
          </cell>
          <cell r="B4525">
            <v>5.7407171388</v>
          </cell>
          <cell r="C4525">
            <v>5.7393041078999998</v>
          </cell>
          <cell r="D4525">
            <v>5.7421305177999997</v>
          </cell>
        </row>
        <row r="4526">
          <cell r="A4526">
            <v>50017</v>
          </cell>
          <cell r="B4526">
            <v>5.7429359622999998</v>
          </cell>
          <cell r="C4526">
            <v>5.7415223851999997</v>
          </cell>
          <cell r="D4526">
            <v>5.7443498875000003</v>
          </cell>
        </row>
        <row r="4527">
          <cell r="A4527">
            <v>50018</v>
          </cell>
          <cell r="B4527">
            <v>5.7451556433000004</v>
          </cell>
          <cell r="C4527">
            <v>5.7437415198000004</v>
          </cell>
          <cell r="D4527">
            <v>5.7465701149999999</v>
          </cell>
        </row>
        <row r="4528">
          <cell r="A4528">
            <v>50019</v>
          </cell>
          <cell r="B4528">
            <v>5.7473761823</v>
          </cell>
          <cell r="C4528">
            <v>5.7459615123000001</v>
          </cell>
          <cell r="D4528">
            <v>5.7487912007000004</v>
          </cell>
        </row>
        <row r="4529">
          <cell r="A4529">
            <v>50020</v>
          </cell>
          <cell r="B4529">
            <v>5.7495975794999996</v>
          </cell>
          <cell r="C4529">
            <v>5.7481823626999997</v>
          </cell>
          <cell r="D4529">
            <v>5.7510131447999999</v>
          </cell>
        </row>
        <row r="4530">
          <cell r="A4530">
            <v>50021</v>
          </cell>
          <cell r="B4530">
            <v>5.7518198352000001</v>
          </cell>
          <cell r="C4530">
            <v>5.7504040715000002</v>
          </cell>
          <cell r="D4530">
            <v>5.7532359477000004</v>
          </cell>
        </row>
        <row r="4531">
          <cell r="A4531">
            <v>50024</v>
          </cell>
          <cell r="B4531">
            <v>5.7540429498999996</v>
          </cell>
          <cell r="C4531">
            <v>5.7526266388999998</v>
          </cell>
          <cell r="D4531">
            <v>5.7554596096999999</v>
          </cell>
        </row>
        <row r="4532">
          <cell r="A4532">
            <v>50025</v>
          </cell>
          <cell r="B4532">
            <v>5.7562669238000002</v>
          </cell>
          <cell r="C4532">
            <v>5.7548500655000003</v>
          </cell>
          <cell r="D4532">
            <v>5.7576841312000004</v>
          </cell>
        </row>
        <row r="4533">
          <cell r="A4533">
            <v>50026</v>
          </cell>
          <cell r="B4533">
            <v>5.7584917573999999</v>
          </cell>
          <cell r="C4533">
            <v>5.7570743514</v>
          </cell>
          <cell r="D4533">
            <v>5.7599095125000002</v>
          </cell>
        </row>
        <row r="4534">
          <cell r="A4534">
            <v>50027</v>
          </cell>
          <cell r="B4534">
            <v>5.7607174507999996</v>
          </cell>
          <cell r="C4534">
            <v>5.7592994969999998</v>
          </cell>
          <cell r="D4534">
            <v>5.7621357539</v>
          </cell>
        </row>
        <row r="4535">
          <cell r="A4535">
            <v>50028</v>
          </cell>
          <cell r="B4535">
            <v>5.7629440044000004</v>
          </cell>
          <cell r="C4535">
            <v>5.7615255024999996</v>
          </cell>
          <cell r="D4535">
            <v>5.7643628557</v>
          </cell>
        </row>
        <row r="4536">
          <cell r="A4536">
            <v>50031</v>
          </cell>
          <cell r="B4536">
            <v>5.7651714186999996</v>
          </cell>
          <cell r="C4536">
            <v>5.7637523685999996</v>
          </cell>
          <cell r="D4536">
            <v>5.7665908184000001</v>
          </cell>
        </row>
        <row r="4537">
          <cell r="A4537">
            <v>50032</v>
          </cell>
          <cell r="B4537">
            <v>5.7673996938999998</v>
          </cell>
          <cell r="C4537">
            <v>5.7659800952999998</v>
          </cell>
          <cell r="D4537">
            <v>5.7688196422000004</v>
          </cell>
        </row>
        <row r="4538">
          <cell r="A4538">
            <v>50033</v>
          </cell>
          <cell r="B4538">
            <v>5.7696288303000003</v>
          </cell>
          <cell r="C4538">
            <v>5.7682086830000001</v>
          </cell>
          <cell r="D4538">
            <v>5.7710493274000001</v>
          </cell>
        </row>
        <row r="4539">
          <cell r="A4539">
            <v>50035</v>
          </cell>
          <cell r="B4539">
            <v>5.7718588283000001</v>
          </cell>
          <cell r="C4539">
            <v>5.7704381320999998</v>
          </cell>
          <cell r="D4539">
            <v>5.7732798744</v>
          </cell>
        </row>
        <row r="4540">
          <cell r="A4540">
            <v>50038</v>
          </cell>
          <cell r="B4540">
            <v>5.7740896881000001</v>
          </cell>
          <cell r="C4540">
            <v>5.7726684427999997</v>
          </cell>
          <cell r="D4540">
            <v>5.7755112835000002</v>
          </cell>
        </row>
        <row r="4541">
          <cell r="A4541">
            <v>50039</v>
          </cell>
          <cell r="B4541">
            <v>5.7763214102999996</v>
          </cell>
          <cell r="C4541">
            <v>5.7748996155999999</v>
          </cell>
          <cell r="D4541">
            <v>5.7777435550999998</v>
          </cell>
        </row>
        <row r="4542">
          <cell r="A4542">
            <v>50040</v>
          </cell>
          <cell r="B4542">
            <v>5.7785539950000002</v>
          </cell>
          <cell r="C4542">
            <v>5.7771316508000004</v>
          </cell>
          <cell r="D4542">
            <v>5.7799766894999998</v>
          </cell>
        </row>
        <row r="4543">
          <cell r="A4543">
            <v>50042</v>
          </cell>
          <cell r="B4543">
            <v>5.7807874426000003</v>
          </cell>
          <cell r="C4543">
            <v>5.7793645487000003</v>
          </cell>
          <cell r="D4543">
            <v>5.7822106870000001</v>
          </cell>
        </row>
        <row r="4544">
          <cell r="A4544">
            <v>50045</v>
          </cell>
          <cell r="B4544">
            <v>5.7830217533999999</v>
          </cell>
          <cell r="C4544">
            <v>5.7815983095999997</v>
          </cell>
          <cell r="D4544">
            <v>5.7844455478999999</v>
          </cell>
        </row>
        <row r="4545">
          <cell r="A4545">
            <v>50046</v>
          </cell>
          <cell r="B4545">
            <v>5.7852569278999999</v>
          </cell>
          <cell r="C4545">
            <v>5.7838329339000003</v>
          </cell>
          <cell r="D4545">
            <v>5.7866812727000001</v>
          </cell>
        </row>
        <row r="4546">
          <cell r="A4546">
            <v>50047</v>
          </cell>
          <cell r="B4546">
            <v>5.7874929662000003</v>
          </cell>
          <cell r="C4546">
            <v>5.7860684217999996</v>
          </cell>
          <cell r="D4546">
            <v>5.7889178614999999</v>
          </cell>
        </row>
        <row r="4547">
          <cell r="A4547">
            <v>50048</v>
          </cell>
          <cell r="B4547">
            <v>5.7897298688000003</v>
          </cell>
          <cell r="C4547">
            <v>5.7883047738000002</v>
          </cell>
          <cell r="D4547">
            <v>5.7911553148000001</v>
          </cell>
        </row>
        <row r="4548">
          <cell r="A4548">
            <v>50049</v>
          </cell>
          <cell r="B4548">
            <v>5.7919676358999999</v>
          </cell>
          <cell r="C4548">
            <v>5.7905419901000004</v>
          </cell>
          <cell r="D4548">
            <v>5.7933936329</v>
          </cell>
        </row>
        <row r="4549">
          <cell r="A4549">
            <v>50052</v>
          </cell>
          <cell r="B4549">
            <v>5.7942062679999999</v>
          </cell>
          <cell r="C4549">
            <v>5.7927800711000001</v>
          </cell>
          <cell r="D4549">
            <v>5.7956328161000004</v>
          </cell>
        </row>
        <row r="4550">
          <cell r="A4550">
            <v>50053</v>
          </cell>
          <cell r="B4550">
            <v>5.7964457652999997</v>
          </cell>
          <cell r="C4550">
            <v>5.7950190171999996</v>
          </cell>
          <cell r="D4550">
            <v>5.7978728648000004</v>
          </cell>
        </row>
        <row r="4551">
          <cell r="A4551">
            <v>50054</v>
          </cell>
          <cell r="B4551">
            <v>5.7986861282</v>
          </cell>
          <cell r="C4551">
            <v>5.7972588287000004</v>
          </cell>
          <cell r="D4551">
            <v>5.8001137793000002</v>
          </cell>
        </row>
        <row r="4552">
          <cell r="A4552">
            <v>50055</v>
          </cell>
          <cell r="B4552">
            <v>5.800927357</v>
          </cell>
          <cell r="C4552">
            <v>5.7994995058000001</v>
          </cell>
          <cell r="D4552">
            <v>5.8023555598999996</v>
          </cell>
        </row>
        <row r="4553">
          <cell r="A4553">
            <v>50056</v>
          </cell>
          <cell r="B4553">
            <v>5.8031694520999997</v>
          </cell>
          <cell r="C4553">
            <v>5.8017410491000003</v>
          </cell>
          <cell r="D4553">
            <v>5.8045982069999997</v>
          </cell>
        </row>
        <row r="4554">
          <cell r="A4554">
            <v>50059</v>
          </cell>
          <cell r="B4554">
            <v>5.8054124137000001</v>
          </cell>
          <cell r="C4554">
            <v>5.8039834586000003</v>
          </cell>
          <cell r="D4554">
            <v>5.8068417207999996</v>
          </cell>
        </row>
        <row r="4555">
          <cell r="A4555">
            <v>50060</v>
          </cell>
          <cell r="B4555">
            <v>5.8076562423000002</v>
          </cell>
          <cell r="C4555">
            <v>5.8062267348000001</v>
          </cell>
          <cell r="D4555">
            <v>5.8090861018000002</v>
          </cell>
        </row>
        <row r="4556">
          <cell r="A4556">
            <v>50061</v>
          </cell>
          <cell r="B4556">
            <v>5.8099009381000002</v>
          </cell>
          <cell r="C4556">
            <v>5.8084708781999996</v>
          </cell>
          <cell r="D4556">
            <v>5.8113313502999997</v>
          </cell>
        </row>
        <row r="4557">
          <cell r="A4557">
            <v>50062</v>
          </cell>
          <cell r="B4557">
            <v>5.8121465016</v>
          </cell>
          <cell r="C4557">
            <v>5.8107158888999999</v>
          </cell>
          <cell r="D4557">
            <v>5.8135774666</v>
          </cell>
        </row>
        <row r="4558">
          <cell r="A4558">
            <v>50063</v>
          </cell>
          <cell r="B4558">
            <v>5.8143929328999997</v>
          </cell>
          <cell r="C4558">
            <v>5.8129617672</v>
          </cell>
          <cell r="D4558">
            <v>5.8158244510000001</v>
          </cell>
        </row>
        <row r="4559">
          <cell r="A4559">
            <v>50066</v>
          </cell>
          <cell r="B4559">
            <v>5.8166402325000002</v>
          </cell>
          <cell r="C4559">
            <v>5.8152085137</v>
          </cell>
          <cell r="D4559">
            <v>5.8180723039000002</v>
          </cell>
        </row>
        <row r="4560">
          <cell r="A4560">
            <v>50067</v>
          </cell>
          <cell r="B4560">
            <v>5.8188884005999997</v>
          </cell>
          <cell r="C4560">
            <v>5.8174561283999999</v>
          </cell>
          <cell r="D4560">
            <v>5.8203210255000002</v>
          </cell>
        </row>
        <row r="4561">
          <cell r="A4561">
            <v>50068</v>
          </cell>
          <cell r="B4561">
            <v>5.8211374378</v>
          </cell>
          <cell r="C4561">
            <v>5.8197046119999998</v>
          </cell>
          <cell r="D4561">
            <v>5.8225706164000002</v>
          </cell>
        </row>
        <row r="4562">
          <cell r="A4562">
            <v>50069</v>
          </cell>
          <cell r="B4562">
            <v>5.8233873441000004</v>
          </cell>
          <cell r="C4562">
            <v>5.8219539645999996</v>
          </cell>
          <cell r="D4562">
            <v>5.8248210767000002</v>
          </cell>
        </row>
        <row r="4563">
          <cell r="A4563">
            <v>50070</v>
          </cell>
          <cell r="B4563">
            <v>5.8256381200999998</v>
          </cell>
          <cell r="C4563">
            <v>5.8242041865000003</v>
          </cell>
          <cell r="D4563">
            <v>5.8270724068000002</v>
          </cell>
        </row>
        <row r="4564">
          <cell r="A4564">
            <v>50073</v>
          </cell>
          <cell r="B4564">
            <v>5.8278897660000002</v>
          </cell>
          <cell r="C4564">
            <v>5.8264552783000001</v>
          </cell>
          <cell r="D4564">
            <v>5.8293246071000002</v>
          </cell>
        </row>
        <row r="4565">
          <cell r="A4565">
            <v>50074</v>
          </cell>
          <cell r="B4565">
            <v>5.8301422821999997</v>
          </cell>
          <cell r="C4565">
            <v>5.82870724</v>
          </cell>
          <cell r="D4565">
            <v>5.8315776779000004</v>
          </cell>
        </row>
        <row r="4566">
          <cell r="A4566">
            <v>50075</v>
          </cell>
          <cell r="B4566">
            <v>5.8323956691000003</v>
          </cell>
          <cell r="C4566">
            <v>5.8309600721999999</v>
          </cell>
          <cell r="D4566">
            <v>5.8338316194999997</v>
          </cell>
        </row>
        <row r="4567">
          <cell r="A4567">
            <v>50076</v>
          </cell>
          <cell r="B4567">
            <v>5.8346499268000001</v>
          </cell>
          <cell r="C4567">
            <v>5.8332137749999999</v>
          </cell>
          <cell r="D4567">
            <v>5.8360864322000001</v>
          </cell>
        </row>
        <row r="4568">
          <cell r="A4568">
            <v>50077</v>
          </cell>
          <cell r="B4568">
            <v>5.8369050558</v>
          </cell>
          <cell r="C4568">
            <v>5.8354683490000001</v>
          </cell>
          <cell r="D4568">
            <v>5.8383421164999998</v>
          </cell>
        </row>
        <row r="4569">
          <cell r="A4569">
            <v>50080</v>
          </cell>
          <cell r="B4569">
            <v>5.8391610565000001</v>
          </cell>
          <cell r="C4569">
            <v>5.8377237944000004</v>
          </cell>
          <cell r="D4569">
            <v>5.8405986725999997</v>
          </cell>
        </row>
        <row r="4570">
          <cell r="A4570">
            <v>50081</v>
          </cell>
          <cell r="B4570">
            <v>5.8414179292000004</v>
          </cell>
          <cell r="C4570">
            <v>5.8399801115000001</v>
          </cell>
          <cell r="D4570">
            <v>5.8428561008999997</v>
          </cell>
        </row>
        <row r="4571">
          <cell r="A4571">
            <v>50082</v>
          </cell>
          <cell r="B4571">
            <v>5.8436756741</v>
          </cell>
          <cell r="C4571">
            <v>5.8422373007999999</v>
          </cell>
          <cell r="D4571">
            <v>5.8451144017000001</v>
          </cell>
        </row>
        <row r="4572">
          <cell r="A4572">
            <v>50083</v>
          </cell>
          <cell r="B4572">
            <v>5.8459342915999999</v>
          </cell>
          <cell r="C4572">
            <v>5.8444953623</v>
          </cell>
          <cell r="D4572">
            <v>5.8473735752999998</v>
          </cell>
        </row>
        <row r="4573">
          <cell r="A4573">
            <v>50084</v>
          </cell>
          <cell r="B4573">
            <v>5.8481937821000001</v>
          </cell>
          <cell r="C4573">
            <v>5.8467542967000004</v>
          </cell>
          <cell r="D4573">
            <v>5.8496336220999998</v>
          </cell>
        </row>
        <row r="4574">
          <cell r="A4574">
            <v>50089</v>
          </cell>
          <cell r="B4574">
            <v>5.8504541458999997</v>
          </cell>
          <cell r="C4574">
            <v>5.8490141041000001</v>
          </cell>
          <cell r="D4574">
            <v>5.8518945424000002</v>
          </cell>
        </row>
        <row r="4575">
          <cell r="A4575">
            <v>50090</v>
          </cell>
          <cell r="B4575">
            <v>5.8527153833999996</v>
          </cell>
          <cell r="C4575">
            <v>5.8512747850000002</v>
          </cell>
          <cell r="D4575">
            <v>5.8541563366</v>
          </cell>
        </row>
        <row r="4576">
          <cell r="A4576">
            <v>50091</v>
          </cell>
          <cell r="B4576">
            <v>5.8549774949</v>
          </cell>
          <cell r="C4576">
            <v>5.8535363396999998</v>
          </cell>
          <cell r="D4576">
            <v>5.8564190050000002</v>
          </cell>
        </row>
        <row r="4577">
          <cell r="A4577">
            <v>50094</v>
          </cell>
          <cell r="B4577">
            <v>5.8572404806999998</v>
          </cell>
          <cell r="C4577">
            <v>5.8557987684999997</v>
          </cell>
          <cell r="D4577">
            <v>5.858682548</v>
          </cell>
        </row>
        <row r="4578">
          <cell r="A4578">
            <v>50095</v>
          </cell>
          <cell r="B4578">
            <v>5.8595043411000001</v>
          </cell>
          <cell r="C4578">
            <v>5.8580620717</v>
          </cell>
          <cell r="D4578">
            <v>5.8609469658000002</v>
          </cell>
        </row>
        <row r="4579">
          <cell r="A4579">
            <v>50096</v>
          </cell>
          <cell r="B4579">
            <v>5.8617690764999999</v>
          </cell>
          <cell r="C4579">
            <v>5.8603262496999999</v>
          </cell>
          <cell r="D4579">
            <v>5.8632122588</v>
          </cell>
        </row>
        <row r="4580">
          <cell r="A4580">
            <v>50097</v>
          </cell>
          <cell r="B4580">
            <v>5.8640346872000002</v>
          </cell>
          <cell r="C4580">
            <v>5.8625913027000003</v>
          </cell>
          <cell r="D4580">
            <v>5.8654784273000002</v>
          </cell>
        </row>
        <row r="4581">
          <cell r="A4581">
            <v>50098</v>
          </cell>
          <cell r="B4581">
            <v>5.8663011737000001</v>
          </cell>
          <cell r="C4581">
            <v>5.8648572313000003</v>
          </cell>
          <cell r="D4581">
            <v>5.8677454718000002</v>
          </cell>
        </row>
        <row r="4582">
          <cell r="A4582">
            <v>50101</v>
          </cell>
          <cell r="B4582">
            <v>5.8685685361999997</v>
          </cell>
          <cell r="C4582">
            <v>5.8671240356999999</v>
          </cell>
          <cell r="D4582">
            <v>5.8700133924999998</v>
          </cell>
        </row>
        <row r="4583">
          <cell r="A4583">
            <v>50102</v>
          </cell>
          <cell r="B4583">
            <v>5.8708367749999999</v>
          </cell>
          <cell r="C4583">
            <v>5.8693917161</v>
          </cell>
          <cell r="D4583">
            <v>5.8722821896999999</v>
          </cell>
        </row>
        <row r="4584">
          <cell r="A4584">
            <v>50103</v>
          </cell>
          <cell r="B4584">
            <v>5.8731058904999998</v>
          </cell>
          <cell r="C4584">
            <v>5.8716602731999998</v>
          </cell>
          <cell r="D4584">
            <v>5.8745518638999998</v>
          </cell>
        </row>
        <row r="4585">
          <cell r="A4585">
            <v>50104</v>
          </cell>
          <cell r="B4585">
            <v>5.8753758830000002</v>
          </cell>
          <cell r="C4585">
            <v>5.8739297069000003</v>
          </cell>
          <cell r="D4585">
            <v>5.8768224153000004</v>
          </cell>
        </row>
        <row r="4586">
          <cell r="A4586">
            <v>50105</v>
          </cell>
          <cell r="B4586">
            <v>5.8776467527999996</v>
          </cell>
          <cell r="C4586">
            <v>5.8762000177999996</v>
          </cell>
          <cell r="D4586">
            <v>5.8790938441999998</v>
          </cell>
        </row>
        <row r="4587">
          <cell r="A4587">
            <v>50108</v>
          </cell>
          <cell r="B4587">
            <v>5.8799185003999996</v>
          </cell>
          <cell r="C4587">
            <v>5.8784712062000004</v>
          </cell>
          <cell r="D4587">
            <v>5.8813661510999999</v>
          </cell>
        </row>
        <row r="4588">
          <cell r="A4588">
            <v>50109</v>
          </cell>
          <cell r="B4588">
            <v>5.8821911261000004</v>
          </cell>
          <cell r="C4588">
            <v>5.8807432725000002</v>
          </cell>
          <cell r="D4588">
            <v>5.8836393362999999</v>
          </cell>
        </row>
        <row r="4589">
          <cell r="A4589">
            <v>50110</v>
          </cell>
          <cell r="B4589">
            <v>5.8844646301000001</v>
          </cell>
          <cell r="C4589">
            <v>5.8830162168999998</v>
          </cell>
          <cell r="D4589">
            <v>5.8859134000999997</v>
          </cell>
        </row>
        <row r="4590">
          <cell r="A4590">
            <v>50111</v>
          </cell>
          <cell r="B4590">
            <v>5.8867390128999997</v>
          </cell>
          <cell r="C4590">
            <v>5.8852900399000001</v>
          </cell>
          <cell r="D4590">
            <v>5.8881883428000004</v>
          </cell>
        </row>
        <row r="4591">
          <cell r="A4591">
            <v>50112</v>
          </cell>
          <cell r="B4591">
            <v>5.8890142746</v>
          </cell>
          <cell r="C4591">
            <v>5.8875647415000003</v>
          </cell>
          <cell r="D4591">
            <v>5.8904641647</v>
          </cell>
        </row>
        <row r="4592">
          <cell r="A4592">
            <v>50115</v>
          </cell>
          <cell r="B4592">
            <v>5.8912904158000003</v>
          </cell>
          <cell r="C4592">
            <v>5.8898403224999996</v>
          </cell>
          <cell r="D4592">
            <v>5.8927408662999996</v>
          </cell>
        </row>
        <row r="4593">
          <cell r="A4593">
            <v>50116</v>
          </cell>
          <cell r="B4593">
            <v>5.8935674367999997</v>
          </cell>
          <cell r="C4593">
            <v>5.8921167829999996</v>
          </cell>
          <cell r="D4593">
            <v>5.8950184479000001</v>
          </cell>
        </row>
        <row r="4594">
          <cell r="A4594">
            <v>50117</v>
          </cell>
          <cell r="B4594">
            <v>5.8958453379</v>
          </cell>
          <cell r="C4594">
            <v>5.8943941233999997</v>
          </cell>
          <cell r="D4594">
            <v>5.8972969097999997</v>
          </cell>
        </row>
        <row r="4595">
          <cell r="A4595">
            <v>50118</v>
          </cell>
          <cell r="B4595">
            <v>5.8981241193000002</v>
          </cell>
          <cell r="C4595">
            <v>5.8966723439999997</v>
          </cell>
          <cell r="D4595">
            <v>5.8995762523000002</v>
          </cell>
        </row>
        <row r="4596">
          <cell r="A4596">
            <v>50119</v>
          </cell>
          <cell r="B4596">
            <v>5.9004037814999997</v>
          </cell>
          <cell r="C4596">
            <v>5.8989514449999998</v>
          </cell>
          <cell r="D4596">
            <v>5.9018564756999998</v>
          </cell>
        </row>
        <row r="4597">
          <cell r="A4597">
            <v>50122</v>
          </cell>
          <cell r="B4597">
            <v>5.9026843248</v>
          </cell>
          <cell r="C4597">
            <v>5.9012314269999999</v>
          </cell>
          <cell r="D4597">
            <v>5.9041375804999996</v>
          </cell>
        </row>
        <row r="4598">
          <cell r="A4598">
            <v>50123</v>
          </cell>
          <cell r="B4598">
            <v>5.9049657495999996</v>
          </cell>
          <cell r="C4598">
            <v>5.9035122902000001</v>
          </cell>
          <cell r="D4598">
            <v>5.9064195670000004</v>
          </cell>
        </row>
        <row r="4599">
          <cell r="A4599">
            <v>50124</v>
          </cell>
          <cell r="B4599">
            <v>5.9072480562000003</v>
          </cell>
          <cell r="C4599">
            <v>5.9057940350000004</v>
          </cell>
          <cell r="D4599">
            <v>5.9087024355000004</v>
          </cell>
        </row>
        <row r="4600">
          <cell r="A4600">
            <v>50125</v>
          </cell>
          <cell r="B4600">
            <v>5.9095312449000001</v>
          </cell>
          <cell r="C4600">
            <v>5.9080766617</v>
          </cell>
          <cell r="D4600">
            <v>5.9109861862999997</v>
          </cell>
        </row>
        <row r="4601">
          <cell r="A4601">
            <v>50126</v>
          </cell>
          <cell r="B4601">
            <v>5.9118153160000002</v>
          </cell>
          <cell r="C4601">
            <v>5.9103601706999997</v>
          </cell>
          <cell r="D4601">
            <v>5.9132708198000001</v>
          </cell>
        </row>
        <row r="4602">
          <cell r="A4602">
            <v>50129</v>
          </cell>
          <cell r="B4602">
            <v>5.9141002699999996</v>
          </cell>
          <cell r="C4602">
            <v>5.9126445621999997</v>
          </cell>
          <cell r="D4602">
            <v>5.9155563362999999</v>
          </cell>
        </row>
        <row r="4603">
          <cell r="A4603">
            <v>50130</v>
          </cell>
          <cell r="B4603">
            <v>5.9163861071000001</v>
          </cell>
          <cell r="C4603">
            <v>5.9149298366999998</v>
          </cell>
          <cell r="D4603">
            <v>5.9178427361999999</v>
          </cell>
        </row>
        <row r="4604">
          <cell r="A4604">
            <v>50131</v>
          </cell>
          <cell r="B4604">
            <v>5.9186728276</v>
          </cell>
          <cell r="C4604">
            <v>5.9172159943000002</v>
          </cell>
          <cell r="D4604">
            <v>5.9201300197000002</v>
          </cell>
        </row>
        <row r="4605">
          <cell r="A4605">
            <v>50132</v>
          </cell>
          <cell r="B4605">
            <v>5.9209604321000002</v>
          </cell>
          <cell r="C4605">
            <v>5.9195030357</v>
          </cell>
          <cell r="D4605">
            <v>5.9224181873999999</v>
          </cell>
        </row>
        <row r="4606">
          <cell r="A4606">
            <v>50136</v>
          </cell>
          <cell r="B4606">
            <v>5.9232489206999999</v>
          </cell>
          <cell r="C4606">
            <v>5.9217909610000001</v>
          </cell>
          <cell r="D4606">
            <v>5.9247072394</v>
          </cell>
        </row>
        <row r="4607">
          <cell r="A4607">
            <v>50137</v>
          </cell>
          <cell r="B4607">
            <v>5.9255382937999999</v>
          </cell>
          <cell r="C4607">
            <v>5.9240797706999997</v>
          </cell>
          <cell r="D4607">
            <v>5.9269971762000004</v>
          </cell>
        </row>
        <row r="4608">
          <cell r="A4608">
            <v>50138</v>
          </cell>
          <cell r="B4608">
            <v>5.9278285517000002</v>
          </cell>
          <cell r="C4608">
            <v>5.9263694648999996</v>
          </cell>
          <cell r="D4608">
            <v>5.9292879980000004</v>
          </cell>
        </row>
        <row r="4609">
          <cell r="A4609">
            <v>50139</v>
          </cell>
          <cell r="B4609">
            <v>5.9301196950000001</v>
          </cell>
          <cell r="C4609">
            <v>5.9286600440999999</v>
          </cell>
          <cell r="D4609">
            <v>5.9315797052999999</v>
          </cell>
        </row>
        <row r="4610">
          <cell r="A4610">
            <v>50140</v>
          </cell>
          <cell r="B4610">
            <v>5.9324117236999996</v>
          </cell>
          <cell r="C4610">
            <v>5.9309515086999998</v>
          </cell>
          <cell r="D4610">
            <v>5.9338722982999998</v>
          </cell>
        </row>
        <row r="4611">
          <cell r="A4611">
            <v>50143</v>
          </cell>
          <cell r="B4611">
            <v>5.9347046382000004</v>
          </cell>
          <cell r="C4611">
            <v>5.9332438589000001</v>
          </cell>
          <cell r="D4611">
            <v>5.9361657774000003</v>
          </cell>
        </row>
        <row r="4612">
          <cell r="A4612">
            <v>50144</v>
          </cell>
          <cell r="B4612">
            <v>5.9369984390999999</v>
          </cell>
          <cell r="C4612">
            <v>5.9355370950999999</v>
          </cell>
          <cell r="D4612">
            <v>5.9384601430000004</v>
          </cell>
        </row>
        <row r="4613">
          <cell r="A4613">
            <v>50145</v>
          </cell>
          <cell r="B4613">
            <v>5.9392931264</v>
          </cell>
          <cell r="C4613">
            <v>5.9378312176000003</v>
          </cell>
          <cell r="D4613">
            <v>5.9407553953000001</v>
          </cell>
        </row>
        <row r="4614">
          <cell r="A4614">
            <v>50146</v>
          </cell>
          <cell r="B4614">
            <v>5.9415887007999997</v>
          </cell>
          <cell r="C4614">
            <v>5.9401262269000004</v>
          </cell>
          <cell r="D4614">
            <v>5.9430515348000004</v>
          </cell>
        </row>
        <row r="4615">
          <cell r="A4615">
            <v>50147</v>
          </cell>
          <cell r="B4615">
            <v>5.9438851623</v>
          </cell>
          <cell r="C4615">
            <v>5.9424221232000001</v>
          </cell>
          <cell r="D4615">
            <v>5.9453485617000004</v>
          </cell>
        </row>
        <row r="4616">
          <cell r="A4616">
            <v>50150</v>
          </cell>
          <cell r="B4616">
            <v>5.9461825115</v>
          </cell>
          <cell r="C4616">
            <v>5.9447189069000004</v>
          </cell>
          <cell r="D4616">
            <v>5.9476464765000001</v>
          </cell>
        </row>
        <row r="4617">
          <cell r="A4617">
            <v>50152</v>
          </cell>
          <cell r="B4617">
            <v>5.9484807484999997</v>
          </cell>
          <cell r="C4617">
            <v>5.9470165783000004</v>
          </cell>
          <cell r="D4617">
            <v>5.9499452793999996</v>
          </cell>
        </row>
        <row r="4618">
          <cell r="A4618">
            <v>50153</v>
          </cell>
          <cell r="B4618">
            <v>5.9507798740000002</v>
          </cell>
          <cell r="C4618">
            <v>5.9493151378000002</v>
          </cell>
          <cell r="D4618">
            <v>5.9522449708999998</v>
          </cell>
        </row>
        <row r="4619">
          <cell r="A4619">
            <v>50154</v>
          </cell>
          <cell r="B4619">
            <v>5.9530798879000004</v>
          </cell>
          <cell r="C4619">
            <v>5.9516145855999998</v>
          </cell>
          <cell r="D4619">
            <v>5.9545455510999998</v>
          </cell>
        </row>
        <row r="4620">
          <cell r="A4620">
            <v>50157</v>
          </cell>
          <cell r="B4620">
            <v>5.9553807908999996</v>
          </cell>
          <cell r="C4620">
            <v>5.9539149223000001</v>
          </cell>
          <cell r="D4620">
            <v>5.9568470205999997</v>
          </cell>
        </row>
        <row r="4621">
          <cell r="A4621">
            <v>50158</v>
          </cell>
          <cell r="B4621">
            <v>5.9576825832000004</v>
          </cell>
          <cell r="C4621">
            <v>5.9562161480000002</v>
          </cell>
          <cell r="D4621">
            <v>5.9591493796000004</v>
          </cell>
        </row>
        <row r="4622">
          <cell r="A4622">
            <v>50159</v>
          </cell>
          <cell r="B4622">
            <v>5.9599852652000003</v>
          </cell>
          <cell r="C4622">
            <v>5.9585182632000002</v>
          </cell>
          <cell r="D4622">
            <v>5.9614526285</v>
          </cell>
        </row>
        <row r="4623">
          <cell r="A4623">
            <v>50160</v>
          </cell>
          <cell r="B4623">
            <v>5.962288837</v>
          </cell>
          <cell r="C4623">
            <v>5.9608212680000001</v>
          </cell>
          <cell r="D4623">
            <v>5.9637567674999996</v>
          </cell>
        </row>
        <row r="4624">
          <cell r="A4624">
            <v>50164</v>
          </cell>
          <cell r="B4624">
            <v>5.9645932993999997</v>
          </cell>
          <cell r="C4624">
            <v>5.9631251631</v>
          </cell>
          <cell r="D4624">
            <v>5.9660617972000001</v>
          </cell>
        </row>
        <row r="4625">
          <cell r="A4625">
            <v>50165</v>
          </cell>
          <cell r="B4625">
            <v>5.9668986524000003</v>
          </cell>
          <cell r="C4625">
            <v>5.9654299486999998</v>
          </cell>
          <cell r="D4625">
            <v>5.9683677177999996</v>
          </cell>
        </row>
        <row r="4626">
          <cell r="A4626">
            <v>50166</v>
          </cell>
          <cell r="B4626">
            <v>5.9692048964</v>
          </cell>
          <cell r="C4626">
            <v>5.9677356250000004</v>
          </cell>
          <cell r="D4626">
            <v>5.9706745296000001</v>
          </cell>
        </row>
        <row r="4627">
          <cell r="A4627">
            <v>50167</v>
          </cell>
          <cell r="B4627">
            <v>5.9715120317999997</v>
          </cell>
          <cell r="C4627">
            <v>5.9700421925000002</v>
          </cell>
          <cell r="D4627">
            <v>5.9729822329999998</v>
          </cell>
        </row>
        <row r="4628">
          <cell r="A4628">
            <v>50168</v>
          </cell>
          <cell r="B4628">
            <v>5.9738200588000003</v>
          </cell>
          <cell r="C4628">
            <v>5.9723496515000001</v>
          </cell>
          <cell r="D4628">
            <v>5.9752908283000004</v>
          </cell>
        </row>
        <row r="4629">
          <cell r="A4629">
            <v>50171</v>
          </cell>
          <cell r="B4629">
            <v>5.9761289781000002</v>
          </cell>
          <cell r="C4629">
            <v>5.9746580024</v>
          </cell>
          <cell r="D4629">
            <v>5.9776003160000002</v>
          </cell>
        </row>
        <row r="4630">
          <cell r="A4630">
            <v>50172</v>
          </cell>
          <cell r="B4630">
            <v>5.9784387896000002</v>
          </cell>
          <cell r="C4630">
            <v>5.9769672454</v>
          </cell>
          <cell r="D4630">
            <v>5.9799106962000002</v>
          </cell>
        </row>
        <row r="4631">
          <cell r="A4631">
            <v>50173</v>
          </cell>
          <cell r="B4631">
            <v>5.9807494940000003</v>
          </cell>
          <cell r="C4631">
            <v>5.9792773810000002</v>
          </cell>
          <cell r="D4631">
            <v>5.9822219695000003</v>
          </cell>
        </row>
        <row r="4632">
          <cell r="A4632">
            <v>50174</v>
          </cell>
          <cell r="B4632">
            <v>5.9830610914999998</v>
          </cell>
          <cell r="C4632">
            <v>5.9815884094999996</v>
          </cell>
          <cell r="D4632">
            <v>5.9845341360999997</v>
          </cell>
        </row>
        <row r="4633">
          <cell r="A4633">
            <v>50175</v>
          </cell>
          <cell r="B4633">
            <v>5.9853735823000003</v>
          </cell>
          <cell r="C4633">
            <v>5.9839003312000001</v>
          </cell>
          <cell r="D4633">
            <v>5.9868471963000003</v>
          </cell>
        </row>
        <row r="4634">
          <cell r="A4634">
            <v>50178</v>
          </cell>
          <cell r="B4634">
            <v>5.9876869670000001</v>
          </cell>
          <cell r="C4634">
            <v>5.9862131464999999</v>
          </cell>
          <cell r="D4634">
            <v>5.9891611506000002</v>
          </cell>
        </row>
        <row r="4635">
          <cell r="A4635">
            <v>50179</v>
          </cell>
          <cell r="B4635">
            <v>5.9900012459000003</v>
          </cell>
          <cell r="C4635">
            <v>5.9885268557</v>
          </cell>
          <cell r="D4635">
            <v>5.9914759992000004</v>
          </cell>
        </row>
        <row r="4636">
          <cell r="A4636">
            <v>50180</v>
          </cell>
          <cell r="B4636">
            <v>5.9923164191999998</v>
          </cell>
          <cell r="C4636">
            <v>5.9908414591000003</v>
          </cell>
          <cell r="D4636">
            <v>5.9937917425</v>
          </cell>
        </row>
        <row r="4637">
          <cell r="A4637">
            <v>50181</v>
          </cell>
          <cell r="B4637">
            <v>5.9946324871999996</v>
          </cell>
          <cell r="C4637">
            <v>5.9931569571000001</v>
          </cell>
          <cell r="D4637">
            <v>5.9961083808</v>
          </cell>
        </row>
        <row r="4638">
          <cell r="A4638">
            <v>50182</v>
          </cell>
          <cell r="B4638">
            <v>5.9969494505999998</v>
          </cell>
          <cell r="C4638">
            <v>5.9954733502000002</v>
          </cell>
          <cell r="D4638">
            <v>5.9984259146000003</v>
          </cell>
        </row>
        <row r="4639">
          <cell r="A4639">
            <v>50185</v>
          </cell>
          <cell r="B4639">
            <v>5.9992673094000004</v>
          </cell>
          <cell r="C4639">
            <v>5.9977906384999997</v>
          </cell>
          <cell r="D4639">
            <v>6.0007443441000001</v>
          </cell>
        </row>
        <row r="4640">
          <cell r="A4640">
            <v>50186</v>
          </cell>
          <cell r="B4640">
            <v>6.0015860641999996</v>
          </cell>
          <cell r="C4640">
            <v>6.0001088224999997</v>
          </cell>
          <cell r="D4640">
            <v>6.0030636697000004</v>
          </cell>
        </row>
        <row r="4641">
          <cell r="A4641">
            <v>50187</v>
          </cell>
          <cell r="B4641">
            <v>6.0039057151000002</v>
          </cell>
          <cell r="C4641">
            <v>6.0024279024</v>
          </cell>
          <cell r="D4641">
            <v>6.0053838917000002</v>
          </cell>
        </row>
        <row r="4642">
          <cell r="A4642">
            <v>50188</v>
          </cell>
          <cell r="B4642">
            <v>6.0062262625000002</v>
          </cell>
          <cell r="C4642">
            <v>6.0047478786999999</v>
          </cell>
          <cell r="D4642">
            <v>6.0077050104999996</v>
          </cell>
        </row>
        <row r="4643">
          <cell r="A4643">
            <v>50189</v>
          </cell>
          <cell r="B4643">
            <v>6.0085477069</v>
          </cell>
          <cell r="C4643">
            <v>6.0070687516000003</v>
          </cell>
          <cell r="D4643">
            <v>6.0100270264000004</v>
          </cell>
        </row>
        <row r="4644">
          <cell r="A4644">
            <v>50192</v>
          </cell>
          <cell r="B4644">
            <v>6.0108700485000002</v>
          </cell>
          <cell r="C4644">
            <v>6.0093905216000003</v>
          </cell>
          <cell r="D4644">
            <v>6.0123499398</v>
          </cell>
        </row>
        <row r="4645">
          <cell r="A4645">
            <v>50193</v>
          </cell>
          <cell r="B4645">
            <v>6.0131932877000001</v>
          </cell>
          <cell r="C4645">
            <v>6.011713189</v>
          </cell>
          <cell r="D4645">
            <v>6.0146737510000001</v>
          </cell>
        </row>
        <row r="4646">
          <cell r="A4646">
            <v>50194</v>
          </cell>
          <cell r="B4646">
            <v>6.0155174248999996</v>
          </cell>
          <cell r="C4646">
            <v>6.0140367541000002</v>
          </cell>
          <cell r="D4646">
            <v>6.0169984604</v>
          </cell>
        </row>
        <row r="4647">
          <cell r="A4647">
            <v>50196</v>
          </cell>
          <cell r="B4647">
            <v>6.0178424603999998</v>
          </cell>
          <cell r="C4647">
            <v>6.0163612173000001</v>
          </cell>
          <cell r="D4647">
            <v>6.0193240683000004</v>
          </cell>
        </row>
        <row r="4648">
          <cell r="A4648">
            <v>50199</v>
          </cell>
          <cell r="B4648">
            <v>6.0201683944999997</v>
          </cell>
          <cell r="C4648">
            <v>6.0186865789999997</v>
          </cell>
          <cell r="D4648">
            <v>6.0216505750999998</v>
          </cell>
        </row>
        <row r="4649">
          <cell r="A4649">
            <v>50200</v>
          </cell>
          <cell r="B4649">
            <v>6.0224952277000003</v>
          </cell>
          <cell r="C4649">
            <v>6.0210128393</v>
          </cell>
          <cell r="D4649">
            <v>6.0239779810999998</v>
          </cell>
        </row>
        <row r="4650">
          <cell r="A4650">
            <v>50201</v>
          </cell>
          <cell r="B4650">
            <v>6.0248229600999998</v>
          </cell>
          <cell r="C4650">
            <v>6.0233399988</v>
          </cell>
          <cell r="D4650">
            <v>6.0263062865999997</v>
          </cell>
        </row>
        <row r="4651">
          <cell r="A4651">
            <v>50202</v>
          </cell>
          <cell r="B4651">
            <v>6.0271515922000001</v>
          </cell>
          <cell r="C4651">
            <v>6.0256680576999999</v>
          </cell>
          <cell r="D4651">
            <v>6.0286354920000003</v>
          </cell>
        </row>
        <row r="4652">
          <cell r="A4652">
            <v>50203</v>
          </cell>
          <cell r="B4652">
            <v>6.0294811243000002</v>
          </cell>
          <cell r="C4652">
            <v>6.0279970164999996</v>
          </cell>
          <cell r="D4652">
            <v>6.0309655976999998</v>
          </cell>
        </row>
        <row r="4653">
          <cell r="A4653">
            <v>50206</v>
          </cell>
          <cell r="B4653">
            <v>6.0318115569000001</v>
          </cell>
          <cell r="C4653">
            <v>6.0303268754000001</v>
          </cell>
          <cell r="D4653">
            <v>6.0332966040000002</v>
          </cell>
        </row>
        <row r="4654">
          <cell r="A4654">
            <v>50207</v>
          </cell>
          <cell r="B4654">
            <v>6.0341428902000001</v>
          </cell>
          <cell r="C4654">
            <v>6.0326576348999996</v>
          </cell>
          <cell r="D4654">
            <v>6.0356285112999997</v>
          </cell>
        </row>
        <row r="4655">
          <cell r="A4655">
            <v>50208</v>
          </cell>
          <cell r="B4655">
            <v>6.0364751244999999</v>
          </cell>
          <cell r="C4655">
            <v>6.0349892950999999</v>
          </cell>
          <cell r="D4655">
            <v>6.0379613197999999</v>
          </cell>
        </row>
        <row r="4656">
          <cell r="A4656">
            <v>50209</v>
          </cell>
          <cell r="B4656">
            <v>6.0388082602999997</v>
          </cell>
          <cell r="C4656">
            <v>6.0373218566000002</v>
          </cell>
          <cell r="D4656">
            <v>6.0402950300000002</v>
          </cell>
        </row>
        <row r="4657">
          <cell r="A4657">
            <v>50210</v>
          </cell>
          <cell r="B4657">
            <v>6.0411422977999996</v>
          </cell>
          <cell r="C4657">
            <v>6.0396553196999996</v>
          </cell>
          <cell r="D4657">
            <v>6.0426296421999997</v>
          </cell>
        </row>
        <row r="4658">
          <cell r="A4658">
            <v>50213</v>
          </cell>
          <cell r="B4658">
            <v>6.0434772374000003</v>
          </cell>
          <cell r="C4658">
            <v>6.0419896845999999</v>
          </cell>
          <cell r="D4658">
            <v>6.0449651567</v>
          </cell>
        </row>
        <row r="4659">
          <cell r="A4659">
            <v>50214</v>
          </cell>
          <cell r="B4659">
            <v>6.0458130796000003</v>
          </cell>
          <cell r="C4659">
            <v>6.0443249517000002</v>
          </cell>
          <cell r="D4659">
            <v>6.0473015738999996</v>
          </cell>
        </row>
        <row r="4660">
          <cell r="A4660">
            <v>50215</v>
          </cell>
          <cell r="B4660">
            <v>6.0481498244000003</v>
          </cell>
          <cell r="C4660">
            <v>6.0466611214999997</v>
          </cell>
          <cell r="D4660">
            <v>6.0496388941000001</v>
          </cell>
        </row>
        <row r="4661">
          <cell r="A4661">
            <v>50216</v>
          </cell>
          <cell r="B4661">
            <v>6.0504874726000004</v>
          </cell>
          <cell r="C4661">
            <v>6.0489981942000002</v>
          </cell>
          <cell r="D4661">
            <v>6.0519771177999999</v>
          </cell>
        </row>
        <row r="4662">
          <cell r="A4662">
            <v>50217</v>
          </cell>
          <cell r="B4662">
            <v>6.0528260241999998</v>
          </cell>
          <cell r="C4662">
            <v>6.0513361701999999</v>
          </cell>
          <cell r="D4662">
            <v>6.0543162450999999</v>
          </cell>
        </row>
        <row r="4663">
          <cell r="A4663">
            <v>50220</v>
          </cell>
          <cell r="B4663">
            <v>6.0551654797000003</v>
          </cell>
          <cell r="C4663">
            <v>6.0536750497999998</v>
          </cell>
          <cell r="D4663">
            <v>6.0566562766000001</v>
          </cell>
        </row>
        <row r="4664">
          <cell r="A4664">
            <v>50221</v>
          </cell>
          <cell r="B4664">
            <v>6.0575058394000001</v>
          </cell>
          <cell r="C4664">
            <v>6.0560148334999999</v>
          </cell>
          <cell r="D4664">
            <v>6.0589972124999996</v>
          </cell>
        </row>
        <row r="4665">
          <cell r="A4665">
            <v>50222</v>
          </cell>
          <cell r="B4665">
            <v>6.0598471036000001</v>
          </cell>
          <cell r="C4665">
            <v>6.0583555215000002</v>
          </cell>
          <cell r="D4665">
            <v>6.0613390532000002</v>
          </cell>
        </row>
        <row r="4666">
          <cell r="A4666">
            <v>50223</v>
          </cell>
          <cell r="B4666">
            <v>6.0621892728000004</v>
          </cell>
          <cell r="C4666">
            <v>6.0606971140999999</v>
          </cell>
          <cell r="D4666">
            <v>6.0636817990000003</v>
          </cell>
        </row>
        <row r="4667">
          <cell r="A4667">
            <v>50224</v>
          </cell>
          <cell r="B4667">
            <v>6.0645323472000001</v>
          </cell>
          <cell r="C4667">
            <v>6.0630396117999998</v>
          </cell>
          <cell r="D4667">
            <v>6.0660254502999997</v>
          </cell>
        </row>
        <row r="4668">
          <cell r="A4668">
            <v>50227</v>
          </cell>
          <cell r="B4668">
            <v>6.0668763273000001</v>
          </cell>
          <cell r="C4668">
            <v>6.0653830150000001</v>
          </cell>
          <cell r="D4668">
            <v>6.0683700075000004</v>
          </cell>
        </row>
        <row r="4669">
          <cell r="A4669">
            <v>50228</v>
          </cell>
          <cell r="B4669">
            <v>6.0692212132999996</v>
          </cell>
          <cell r="C4669">
            <v>6.0677273237999998</v>
          </cell>
          <cell r="D4669">
            <v>6.0707154707999997</v>
          </cell>
        </row>
        <row r="4670">
          <cell r="A4670">
            <v>50229</v>
          </cell>
          <cell r="B4670">
            <v>6.0715670057000004</v>
          </cell>
          <cell r="C4670">
            <v>6.0700725386999999</v>
          </cell>
          <cell r="D4670">
            <v>6.0730618407000003</v>
          </cell>
        </row>
        <row r="4671">
          <cell r="A4671">
            <v>50230</v>
          </cell>
          <cell r="B4671">
            <v>6.0739137045999998</v>
          </cell>
          <cell r="C4671">
            <v>6.0724186601000003</v>
          </cell>
          <cell r="D4671">
            <v>6.0754091173999996</v>
          </cell>
        </row>
        <row r="4672">
          <cell r="A4672">
            <v>50231</v>
          </cell>
          <cell r="B4672">
            <v>6.0762613105999996</v>
          </cell>
          <cell r="C4672">
            <v>6.0747656882000003</v>
          </cell>
          <cell r="D4672">
            <v>6.0777573014000001</v>
          </cell>
        </row>
        <row r="4673">
          <cell r="A4673">
            <v>50234</v>
          </cell>
          <cell r="B4673">
            <v>6.0786098239999999</v>
          </cell>
          <cell r="C4673">
            <v>6.0771136234999998</v>
          </cell>
          <cell r="D4673">
            <v>6.0801063930000003</v>
          </cell>
        </row>
        <row r="4674">
          <cell r="A4674">
            <v>50235</v>
          </cell>
          <cell r="B4674">
            <v>6.0809592450999999</v>
          </cell>
          <cell r="C4674">
            <v>6.0794624662999999</v>
          </cell>
          <cell r="D4674">
            <v>6.0824563925000001</v>
          </cell>
        </row>
        <row r="4675">
          <cell r="A4675">
            <v>50236</v>
          </cell>
          <cell r="B4675">
            <v>6.0833095742000003</v>
          </cell>
          <cell r="C4675">
            <v>6.0818122169000004</v>
          </cell>
          <cell r="D4675">
            <v>6.0848073002999996</v>
          </cell>
        </row>
        <row r="4676">
          <cell r="A4676">
            <v>50237</v>
          </cell>
          <cell r="B4676">
            <v>6.0856608118000004</v>
          </cell>
          <cell r="C4676">
            <v>6.0841628757999997</v>
          </cell>
          <cell r="D4676">
            <v>6.0871591167999997</v>
          </cell>
        </row>
        <row r="4677">
          <cell r="A4677">
            <v>50238</v>
          </cell>
          <cell r="B4677">
            <v>6.0880129581000002</v>
          </cell>
          <cell r="C4677">
            <v>6.0865144431999996</v>
          </cell>
          <cell r="D4677">
            <v>6.0895118422000003</v>
          </cell>
        </row>
        <row r="4678">
          <cell r="A4678">
            <v>50241</v>
          </cell>
          <cell r="B4678">
            <v>6.0903660135999997</v>
          </cell>
          <cell r="C4678">
            <v>6.0888669194</v>
          </cell>
          <cell r="D4678">
            <v>6.0918654769999998</v>
          </cell>
        </row>
        <row r="4679">
          <cell r="A4679">
            <v>50242</v>
          </cell>
          <cell r="B4679">
            <v>6.0927199785999999</v>
          </cell>
          <cell r="C4679">
            <v>6.0912203050000002</v>
          </cell>
          <cell r="D4679">
            <v>6.0942200215</v>
          </cell>
        </row>
        <row r="4680">
          <cell r="A4680">
            <v>50243</v>
          </cell>
          <cell r="B4680">
            <v>6.0950748532999999</v>
          </cell>
          <cell r="C4680">
            <v>6.0935746001000002</v>
          </cell>
          <cell r="D4680">
            <v>6.0965754759999999</v>
          </cell>
        </row>
        <row r="4681">
          <cell r="A4681">
            <v>50244</v>
          </cell>
          <cell r="B4681">
            <v>6.0974306381999996</v>
          </cell>
          <cell r="C4681">
            <v>6.0959298050999999</v>
          </cell>
          <cell r="D4681">
            <v>6.0989318408999997</v>
          </cell>
        </row>
        <row r="4682">
          <cell r="A4682">
            <v>50245</v>
          </cell>
          <cell r="B4682">
            <v>6.0997873337000001</v>
          </cell>
          <cell r="C4682">
            <v>6.0982859205000004</v>
          </cell>
          <cell r="D4682">
            <v>6.1012891166000003</v>
          </cell>
        </row>
        <row r="4683">
          <cell r="A4683">
            <v>50248</v>
          </cell>
          <cell r="B4683">
            <v>6.1021449399999996</v>
          </cell>
          <cell r="C4683">
            <v>6.1006429465999998</v>
          </cell>
          <cell r="D4683">
            <v>6.1036473033999998</v>
          </cell>
        </row>
        <row r="4684">
          <cell r="A4684">
            <v>50249</v>
          </cell>
          <cell r="B4684">
            <v>6.1045034574999999</v>
          </cell>
          <cell r="C4684">
            <v>6.1030008836</v>
          </cell>
          <cell r="D4684">
            <v>6.1060064016000002</v>
          </cell>
        </row>
        <row r="4685">
          <cell r="A4685">
            <v>50250</v>
          </cell>
          <cell r="B4685">
            <v>6.1068628866000001</v>
          </cell>
          <cell r="C4685">
            <v>6.1053597319000001</v>
          </cell>
          <cell r="D4685">
            <v>6.1083664115999996</v>
          </cell>
        </row>
        <row r="4686">
          <cell r="A4686">
            <v>50251</v>
          </cell>
          <cell r="B4686">
            <v>6.1092232277000003</v>
          </cell>
          <cell r="C4686">
            <v>6.1077194920000002</v>
          </cell>
          <cell r="D4686">
            <v>6.1107273337999999</v>
          </cell>
        </row>
        <row r="4687">
          <cell r="A4687">
            <v>50252</v>
          </cell>
          <cell r="B4687">
            <v>6.1115844811000004</v>
          </cell>
          <cell r="C4687">
            <v>6.1100801642000002</v>
          </cell>
          <cell r="D4687">
            <v>6.1130891685000002</v>
          </cell>
        </row>
        <row r="4688">
          <cell r="A4688">
            <v>50255</v>
          </cell>
          <cell r="B4688">
            <v>6.1139466470999997</v>
          </cell>
          <cell r="C4688">
            <v>6.1124417488000002</v>
          </cell>
          <cell r="D4688">
            <v>6.1154519160999996</v>
          </cell>
        </row>
        <row r="4689">
          <cell r="A4689">
            <v>50256</v>
          </cell>
          <cell r="B4689">
            <v>6.1163097260999999</v>
          </cell>
          <cell r="C4689">
            <v>6.1148042461000003</v>
          </cell>
          <cell r="D4689">
            <v>6.1178155769</v>
          </cell>
        </row>
        <row r="4690">
          <cell r="A4690">
            <v>50257</v>
          </cell>
          <cell r="B4690">
            <v>6.1186737184000002</v>
          </cell>
          <cell r="C4690">
            <v>6.1171676565000004</v>
          </cell>
          <cell r="D4690">
            <v>6.1201801511999996</v>
          </cell>
        </row>
        <row r="4691">
          <cell r="A4691">
            <v>50258</v>
          </cell>
          <cell r="B4691">
            <v>6.1210386243999997</v>
          </cell>
          <cell r="C4691">
            <v>6.1195319804999997</v>
          </cell>
          <cell r="D4691">
            <v>6.1225456395000002</v>
          </cell>
        </row>
        <row r="4692">
          <cell r="A4692">
            <v>50259</v>
          </cell>
          <cell r="B4692">
            <v>6.1234044446000002</v>
          </cell>
          <cell r="C4692">
            <v>6.1218972183</v>
          </cell>
          <cell r="D4692">
            <v>6.1249120421000001</v>
          </cell>
        </row>
        <row r="4693">
          <cell r="A4693">
            <v>50262</v>
          </cell>
          <cell r="B4693">
            <v>6.1257711791</v>
          </cell>
          <cell r="C4693">
            <v>6.1242633701999996</v>
          </cell>
          <cell r="D4693">
            <v>6.1272793593000001</v>
          </cell>
        </row>
        <row r="4694">
          <cell r="A4694">
            <v>50263</v>
          </cell>
          <cell r="B4694">
            <v>6.1281388283</v>
          </cell>
          <cell r="C4694">
            <v>6.1266304366000002</v>
          </cell>
          <cell r="D4694">
            <v>6.1296475914000004</v>
          </cell>
        </row>
        <row r="4695">
          <cell r="A4695">
            <v>50264</v>
          </cell>
          <cell r="B4695">
            <v>6.1305073926000002</v>
          </cell>
          <cell r="C4695">
            <v>6.1289984180000001</v>
          </cell>
          <cell r="D4695">
            <v>6.1320167389</v>
          </cell>
        </row>
        <row r="4696">
          <cell r="A4696">
            <v>50265</v>
          </cell>
          <cell r="B4696">
            <v>6.1328768723999998</v>
          </cell>
          <cell r="C4696">
            <v>6.1313673146000003</v>
          </cell>
          <cell r="D4696">
            <v>6.1343868020999999</v>
          </cell>
        </row>
        <row r="4697">
          <cell r="A4697">
            <v>50266</v>
          </cell>
          <cell r="B4697">
            <v>6.1352472680999997</v>
          </cell>
          <cell r="C4697">
            <v>6.1337371267999998</v>
          </cell>
          <cell r="D4697">
            <v>6.1367577814000001</v>
          </cell>
        </row>
        <row r="4698">
          <cell r="A4698">
            <v>50269</v>
          </cell>
          <cell r="B4698">
            <v>6.1376185798999998</v>
          </cell>
          <cell r="C4698">
            <v>6.1361078548999997</v>
          </cell>
          <cell r="D4698">
            <v>6.1391296769999997</v>
          </cell>
        </row>
        <row r="4699">
          <cell r="A4699">
            <v>50270</v>
          </cell>
          <cell r="B4699">
            <v>6.1399908083000003</v>
          </cell>
          <cell r="C4699">
            <v>6.1384794993999998</v>
          </cell>
          <cell r="D4699">
            <v>6.1415024893999997</v>
          </cell>
        </row>
        <row r="4700">
          <cell r="A4700">
            <v>50271</v>
          </cell>
          <cell r="B4700">
            <v>6.1423639535000003</v>
          </cell>
          <cell r="C4700">
            <v>6.1408520605000003</v>
          </cell>
          <cell r="D4700">
            <v>6.1438762189</v>
          </cell>
        </row>
        <row r="4701">
          <cell r="A4701">
            <v>50272</v>
          </cell>
          <cell r="B4701">
            <v>6.1447380158999998</v>
          </cell>
          <cell r="C4701">
            <v>6.1432255385000003</v>
          </cell>
          <cell r="D4701">
            <v>6.1462508657999999</v>
          </cell>
        </row>
        <row r="4702">
          <cell r="A4702">
            <v>50273</v>
          </cell>
          <cell r="B4702">
            <v>6.1471129959999997</v>
          </cell>
          <cell r="C4702">
            <v>6.1455999339999998</v>
          </cell>
          <cell r="D4702">
            <v>6.1486264306000002</v>
          </cell>
        </row>
        <row r="4703">
          <cell r="A4703">
            <v>50276</v>
          </cell>
          <cell r="B4703">
            <v>6.1494888940000001</v>
          </cell>
          <cell r="C4703">
            <v>6.1479752471999998</v>
          </cell>
          <cell r="D4703">
            <v>6.1510029136000002</v>
          </cell>
        </row>
        <row r="4704">
          <cell r="A4704">
            <v>50277</v>
          </cell>
          <cell r="B4704">
            <v>6.1518657102000001</v>
          </cell>
          <cell r="C4704">
            <v>6.1503514784000002</v>
          </cell>
          <cell r="D4704">
            <v>6.1533803149999997</v>
          </cell>
        </row>
        <row r="4705">
          <cell r="A4705">
            <v>50278</v>
          </cell>
          <cell r="B4705">
            <v>6.1542434451999997</v>
          </cell>
          <cell r="C4705">
            <v>6.1527286282000002</v>
          </cell>
          <cell r="D4705">
            <v>6.1557586353999998</v>
          </cell>
        </row>
        <row r="4706">
          <cell r="A4706">
            <v>50279</v>
          </cell>
          <cell r="B4706">
            <v>6.1566220991999998</v>
          </cell>
          <cell r="C4706">
            <v>6.1551066965999999</v>
          </cell>
          <cell r="D4706">
            <v>6.1581378750000004</v>
          </cell>
        </row>
        <row r="4707">
          <cell r="A4707">
            <v>50280</v>
          </cell>
          <cell r="B4707">
            <v>6.1590016724999996</v>
          </cell>
          <cell r="C4707">
            <v>6.1574856843000001</v>
          </cell>
          <cell r="D4707">
            <v>6.1605180341999999</v>
          </cell>
        </row>
        <row r="4708">
          <cell r="A4708">
            <v>50283</v>
          </cell>
          <cell r="B4708">
            <v>6.1613821656000001</v>
          </cell>
          <cell r="C4708">
            <v>6.1598655913</v>
          </cell>
          <cell r="D4708">
            <v>6.1628991133</v>
          </cell>
        </row>
        <row r="4709">
          <cell r="A4709">
            <v>50284</v>
          </cell>
          <cell r="B4709">
            <v>6.1637635786000002</v>
          </cell>
          <cell r="C4709">
            <v>6.1622464182999996</v>
          </cell>
          <cell r="D4709">
            <v>6.1652811126999998</v>
          </cell>
        </row>
        <row r="4710">
          <cell r="A4710">
            <v>50285</v>
          </cell>
          <cell r="B4710">
            <v>6.1661459122000002</v>
          </cell>
          <cell r="C4710">
            <v>6.1646281653999999</v>
          </cell>
          <cell r="D4710">
            <v>6.1676640328000003</v>
          </cell>
        </row>
        <row r="4711">
          <cell r="A4711">
            <v>50286</v>
          </cell>
          <cell r="B4711">
            <v>6.1685291664999999</v>
          </cell>
          <cell r="C4711">
            <v>6.1670108332</v>
          </cell>
          <cell r="D4711">
            <v>6.1700478738999998</v>
          </cell>
        </row>
        <row r="4712">
          <cell r="A4712">
            <v>50287</v>
          </cell>
          <cell r="B4712">
            <v>6.1709133421000004</v>
          </cell>
          <cell r="C4712">
            <v>6.1693944217999999</v>
          </cell>
          <cell r="D4712">
            <v>6.1724326364</v>
          </cell>
        </row>
        <row r="4713">
          <cell r="A4713">
            <v>50291</v>
          </cell>
          <cell r="B4713">
            <v>6.1732984389999999</v>
          </cell>
          <cell r="C4713">
            <v>6.1717789316999996</v>
          </cell>
          <cell r="D4713">
            <v>6.1748183206</v>
          </cell>
        </row>
        <row r="4714">
          <cell r="A4714">
            <v>50292</v>
          </cell>
          <cell r="B4714">
            <v>6.1756844578000001</v>
          </cell>
          <cell r="C4714">
            <v>6.1741643632000001</v>
          </cell>
          <cell r="D4714">
            <v>6.1772049268</v>
          </cell>
        </row>
        <row r="4715">
          <cell r="A4715">
            <v>50293</v>
          </cell>
          <cell r="B4715">
            <v>6.1780713988000002</v>
          </cell>
          <cell r="C4715">
            <v>6.1765507167000004</v>
          </cell>
          <cell r="D4715">
            <v>6.1795924554999999</v>
          </cell>
        </row>
        <row r="4716">
          <cell r="A4716">
            <v>50294</v>
          </cell>
          <cell r="B4716">
            <v>6.1804592625000003</v>
          </cell>
          <cell r="C4716">
            <v>6.1789379925999999</v>
          </cell>
          <cell r="D4716">
            <v>6.1819809070999998</v>
          </cell>
        </row>
        <row r="4717">
          <cell r="A4717">
            <v>50297</v>
          </cell>
          <cell r="B4717">
            <v>6.1828480490000004</v>
          </cell>
          <cell r="C4717">
            <v>6.1813261911000001</v>
          </cell>
          <cell r="D4717">
            <v>6.1843702816999997</v>
          </cell>
        </row>
        <row r="4718">
          <cell r="A4718">
            <v>50298</v>
          </cell>
          <cell r="B4718">
            <v>6.1852377588999996</v>
          </cell>
          <cell r="C4718">
            <v>6.1837153128000004</v>
          </cell>
          <cell r="D4718">
            <v>6.1867605798999996</v>
          </cell>
        </row>
        <row r="4719">
          <cell r="A4719">
            <v>50299</v>
          </cell>
          <cell r="B4719">
            <v>6.1876283922999997</v>
          </cell>
          <cell r="C4719">
            <v>6.1861053577999998</v>
          </cell>
          <cell r="D4719">
            <v>6.1891518018999996</v>
          </cell>
        </row>
        <row r="4720">
          <cell r="A4720">
            <v>50300</v>
          </cell>
          <cell r="B4720">
            <v>6.1900199497999999</v>
          </cell>
          <cell r="C4720">
            <v>6.1884963266000002</v>
          </cell>
          <cell r="D4720">
            <v>6.1915439481999996</v>
          </cell>
        </row>
        <row r="4721">
          <cell r="A4721">
            <v>50301</v>
          </cell>
          <cell r="B4721">
            <v>6.1924124315000002</v>
          </cell>
          <cell r="C4721">
            <v>6.1908882194999997</v>
          </cell>
          <cell r="D4721">
            <v>6.1939370189999998</v>
          </cell>
        </row>
        <row r="4722">
          <cell r="A4722">
            <v>50304</v>
          </cell>
          <cell r="B4722">
            <v>6.1948058380999997</v>
          </cell>
          <cell r="C4722">
            <v>6.1932810369000002</v>
          </cell>
          <cell r="D4722">
            <v>6.1963310148000001</v>
          </cell>
        </row>
        <row r="4723">
          <cell r="A4723">
            <v>50305</v>
          </cell>
          <cell r="B4723">
            <v>6.1972001697000003</v>
          </cell>
          <cell r="C4723">
            <v>6.1956747792</v>
          </cell>
          <cell r="D4723">
            <v>6.1987259358999998</v>
          </cell>
        </row>
        <row r="4724">
          <cell r="A4724">
            <v>50306</v>
          </cell>
          <cell r="B4724">
            <v>6.1995954267000002</v>
          </cell>
          <cell r="C4724">
            <v>6.1980694465999999</v>
          </cell>
          <cell r="D4724">
            <v>6.2011217825999996</v>
          </cell>
        </row>
        <row r="4725">
          <cell r="A4725">
            <v>50307</v>
          </cell>
          <cell r="B4725">
            <v>6.2019916094000003</v>
          </cell>
          <cell r="C4725">
            <v>6.2004650395000001</v>
          </cell>
          <cell r="D4725">
            <v>6.2035185552999996</v>
          </cell>
        </row>
        <row r="4726">
          <cell r="A4726">
            <v>50308</v>
          </cell>
          <cell r="B4726">
            <v>6.2043887182999997</v>
          </cell>
          <cell r="C4726">
            <v>6.2028615584000004</v>
          </cell>
          <cell r="D4726">
            <v>6.2059162543999999</v>
          </cell>
        </row>
        <row r="4727">
          <cell r="A4727">
            <v>50311</v>
          </cell>
          <cell r="B4727">
            <v>6.2067867537000003</v>
          </cell>
          <cell r="C4727">
            <v>6.2052590036000002</v>
          </cell>
          <cell r="D4727">
            <v>6.2083148801999997</v>
          </cell>
        </row>
        <row r="4728">
          <cell r="A4728">
            <v>50312</v>
          </cell>
          <cell r="B4728">
            <v>6.2091857160000004</v>
          </cell>
          <cell r="C4728">
            <v>6.2076573753000002</v>
          </cell>
          <cell r="D4728">
            <v>6.2107144330999997</v>
          </cell>
        </row>
        <row r="4729">
          <cell r="A4729">
            <v>50313</v>
          </cell>
          <cell r="B4729">
            <v>6.2115856054999998</v>
          </cell>
          <cell r="C4729">
            <v>6.2100566741999996</v>
          </cell>
          <cell r="D4729">
            <v>6.2131149135000001</v>
          </cell>
        </row>
        <row r="4730">
          <cell r="A4730">
            <v>50314</v>
          </cell>
          <cell r="B4730">
            <v>6.2139864225999997</v>
          </cell>
          <cell r="C4730">
            <v>6.2124569002000003</v>
          </cell>
          <cell r="D4730">
            <v>6.2155163216</v>
          </cell>
        </row>
        <row r="4731">
          <cell r="A4731">
            <v>50315</v>
          </cell>
          <cell r="B4731">
            <v>6.2163881675999999</v>
          </cell>
          <cell r="C4731">
            <v>6.2148580540999996</v>
          </cell>
          <cell r="D4731">
            <v>6.2179186580000003</v>
          </cell>
        </row>
        <row r="4732">
          <cell r="A4732">
            <v>50318</v>
          </cell>
          <cell r="B4732">
            <v>6.2187908408999997</v>
          </cell>
          <cell r="C4732">
            <v>6.2172601360000002</v>
          </cell>
          <cell r="D4732">
            <v>6.2203219228000002</v>
          </cell>
        </row>
        <row r="4733">
          <cell r="A4733">
            <v>50319</v>
          </cell>
          <cell r="B4733">
            <v>6.2211944427999999</v>
          </cell>
          <cell r="C4733">
            <v>6.2196631463000003</v>
          </cell>
          <cell r="D4733">
            <v>6.2227261164999996</v>
          </cell>
        </row>
        <row r="4734">
          <cell r="A4734">
            <v>50320</v>
          </cell>
          <cell r="B4734">
            <v>6.2235989736999997</v>
          </cell>
          <cell r="C4734">
            <v>6.2220670853</v>
          </cell>
          <cell r="D4734">
            <v>6.2251312393999996</v>
          </cell>
        </row>
        <row r="4735">
          <cell r="A4735">
            <v>50321</v>
          </cell>
          <cell r="B4735">
            <v>6.2260044341</v>
          </cell>
          <cell r="C4735">
            <v>6.2244719536000002</v>
          </cell>
          <cell r="D4735">
            <v>6.2275372920000001</v>
          </cell>
        </row>
        <row r="4736">
          <cell r="A4736">
            <v>50322</v>
          </cell>
          <cell r="B4736">
            <v>6.2284108241</v>
          </cell>
          <cell r="C4736">
            <v>6.2268777514</v>
          </cell>
          <cell r="D4736">
            <v>6.2299442745000002</v>
          </cell>
        </row>
        <row r="4737">
          <cell r="A4737">
            <v>50326</v>
          </cell>
          <cell r="B4737">
            <v>6.2308181441999997</v>
          </cell>
          <cell r="C4737">
            <v>6.2292844789000004</v>
          </cell>
          <cell r="D4737">
            <v>6.2323521873000001</v>
          </cell>
        </row>
        <row r="4738">
          <cell r="A4738">
            <v>50327</v>
          </cell>
          <cell r="B4738">
            <v>6.2332263947</v>
          </cell>
          <cell r="C4738">
            <v>6.2316921366000004</v>
          </cell>
          <cell r="D4738">
            <v>6.2347610306999997</v>
          </cell>
        </row>
        <row r="4739">
          <cell r="A4739">
            <v>50328</v>
          </cell>
          <cell r="B4739">
            <v>6.2356355762</v>
          </cell>
          <cell r="C4739">
            <v>6.2341007251000002</v>
          </cell>
          <cell r="D4739">
            <v>6.2371708052999999</v>
          </cell>
        </row>
        <row r="4740">
          <cell r="A4740">
            <v>50329</v>
          </cell>
          <cell r="B4740">
            <v>6.2380456886999998</v>
          </cell>
          <cell r="C4740">
            <v>6.2365102443999998</v>
          </cell>
          <cell r="D4740">
            <v>6.2395815111999999</v>
          </cell>
        </row>
        <row r="4741">
          <cell r="A4741">
            <v>50332</v>
          </cell>
          <cell r="B4741">
            <v>6.2404567327000002</v>
          </cell>
          <cell r="C4741">
            <v>6.2389206949</v>
          </cell>
          <cell r="D4741">
            <v>6.2419931487999998</v>
          </cell>
        </row>
        <row r="4742">
          <cell r="A4742">
            <v>50333</v>
          </cell>
          <cell r="B4742">
            <v>6.2428687086999997</v>
          </cell>
          <cell r="C4742">
            <v>6.2413320772000001</v>
          </cell>
          <cell r="D4742">
            <v>6.2444057186000004</v>
          </cell>
        </row>
        <row r="4743">
          <cell r="A4743">
            <v>50334</v>
          </cell>
          <cell r="B4743">
            <v>6.2452816167999998</v>
          </cell>
          <cell r="C4743">
            <v>6.2437443913999999</v>
          </cell>
          <cell r="D4743">
            <v>6.2468192208</v>
          </cell>
        </row>
        <row r="4744">
          <cell r="A4744">
            <v>50335</v>
          </cell>
          <cell r="B4744">
            <v>6.2476954575999999</v>
          </cell>
          <cell r="C4744">
            <v>6.2461576380999997</v>
          </cell>
          <cell r="D4744">
            <v>6.2492336559000004</v>
          </cell>
        </row>
        <row r="4745">
          <cell r="A4745">
            <v>50336</v>
          </cell>
          <cell r="B4745">
            <v>6.2501102313999999</v>
          </cell>
          <cell r="C4745">
            <v>6.2485718175000002</v>
          </cell>
          <cell r="D4745">
            <v>6.2516490241999998</v>
          </cell>
        </row>
        <row r="4746">
          <cell r="A4746">
            <v>50339</v>
          </cell>
          <cell r="B4746">
            <v>6.2525259383999998</v>
          </cell>
          <cell r="C4746">
            <v>6.2509869298999998</v>
          </cell>
          <cell r="D4746">
            <v>6.2540653260000001</v>
          </cell>
        </row>
        <row r="4747">
          <cell r="A4747">
            <v>50340</v>
          </cell>
          <cell r="B4747">
            <v>6.2549425791999997</v>
          </cell>
          <cell r="C4747">
            <v>6.2534029759000003</v>
          </cell>
          <cell r="D4747">
            <v>6.2564825618000004</v>
          </cell>
        </row>
        <row r="4748">
          <cell r="A4748">
            <v>50341</v>
          </cell>
          <cell r="B4748">
            <v>6.2573601539999997</v>
          </cell>
          <cell r="C4748">
            <v>6.2558199555999998</v>
          </cell>
          <cell r="D4748">
            <v>6.2589007317999998</v>
          </cell>
        </row>
        <row r="4749">
          <cell r="A4749">
            <v>50342</v>
          </cell>
          <cell r="B4749">
            <v>6.2597786631999996</v>
          </cell>
          <cell r="C4749">
            <v>6.2582378695000003</v>
          </cell>
          <cell r="D4749">
            <v>6.2613198364000002</v>
          </cell>
        </row>
        <row r="4750">
          <cell r="A4750">
            <v>50343</v>
          </cell>
          <cell r="B4750">
            <v>6.2621981071999997</v>
          </cell>
          <cell r="C4750">
            <v>6.2606567179999999</v>
          </cell>
          <cell r="D4750">
            <v>6.2637398760999998</v>
          </cell>
        </row>
        <row r="4751">
          <cell r="A4751">
            <v>50347</v>
          </cell>
          <cell r="B4751">
            <v>6.2646184862999998</v>
          </cell>
          <cell r="C4751">
            <v>6.2630765012999996</v>
          </cell>
          <cell r="D4751">
            <v>6.2661608511000004</v>
          </cell>
        </row>
        <row r="4752">
          <cell r="A4752">
            <v>50348</v>
          </cell>
          <cell r="B4752">
            <v>6.2670398010000001</v>
          </cell>
          <cell r="C4752">
            <v>6.2654972200000003</v>
          </cell>
          <cell r="D4752">
            <v>6.2685827619000003</v>
          </cell>
        </row>
        <row r="4753">
          <cell r="A4753">
            <v>50349</v>
          </cell>
          <cell r="B4753">
            <v>6.2694620513999997</v>
          </cell>
          <cell r="C4753">
            <v>6.2679188742000003</v>
          </cell>
          <cell r="D4753">
            <v>6.2710056087000003</v>
          </cell>
        </row>
        <row r="4754">
          <cell r="A4754">
            <v>50350</v>
          </cell>
          <cell r="B4754">
            <v>6.2718852381000003</v>
          </cell>
          <cell r="C4754">
            <v>6.2703414645000004</v>
          </cell>
          <cell r="D4754">
            <v>6.2734293919999997</v>
          </cell>
        </row>
        <row r="4755">
          <cell r="A4755">
            <v>50353</v>
          </cell>
          <cell r="B4755">
            <v>6.2743093613000003</v>
          </cell>
          <cell r="C4755">
            <v>6.2727649909999998</v>
          </cell>
          <cell r="D4755">
            <v>6.2758541120000002</v>
          </cell>
        </row>
        <row r="4756">
          <cell r="A4756">
            <v>50354</v>
          </cell>
          <cell r="B4756">
            <v>6.2767344214999996</v>
          </cell>
          <cell r="C4756">
            <v>6.2751894543000004</v>
          </cell>
          <cell r="D4756">
            <v>6.2782797693000001</v>
          </cell>
        </row>
        <row r="4757">
          <cell r="A4757">
            <v>50355</v>
          </cell>
          <cell r="B4757">
            <v>6.2791604191000001</v>
          </cell>
          <cell r="C4757">
            <v>6.2776148547000004</v>
          </cell>
          <cell r="D4757">
            <v>6.2807063641000003</v>
          </cell>
        </row>
        <row r="4758">
          <cell r="A4758">
            <v>50356</v>
          </cell>
          <cell r="B4758">
            <v>6.2815873541</v>
          </cell>
          <cell r="C4758">
            <v>6.2800411923999997</v>
          </cell>
          <cell r="D4758">
            <v>6.2831338966999999</v>
          </cell>
        </row>
        <row r="4759">
          <cell r="A4759">
            <v>50357</v>
          </cell>
          <cell r="B4759">
            <v>6.2840152274000003</v>
          </cell>
          <cell r="C4759">
            <v>6.2824684680000003</v>
          </cell>
          <cell r="D4759">
            <v>6.2855623676999999</v>
          </cell>
        </row>
        <row r="4760">
          <cell r="A4760">
            <v>50360</v>
          </cell>
          <cell r="B4760">
            <v>6.2864440389</v>
          </cell>
          <cell r="C4760">
            <v>6.2848966817000003</v>
          </cell>
          <cell r="D4760">
            <v>6.2879917772000002</v>
          </cell>
        </row>
        <row r="4761">
          <cell r="A4761">
            <v>50361</v>
          </cell>
          <cell r="B4761">
            <v>6.2888737892000002</v>
          </cell>
          <cell r="C4761">
            <v>6.2873258339999998</v>
          </cell>
          <cell r="D4761">
            <v>6.2904221257000001</v>
          </cell>
        </row>
        <row r="4762">
          <cell r="A4762">
            <v>50362</v>
          </cell>
          <cell r="B4762">
            <v>6.2913044786999999</v>
          </cell>
          <cell r="C4762">
            <v>6.2897559250999997</v>
          </cell>
          <cell r="D4762">
            <v>6.2928534135999996</v>
          </cell>
        </row>
        <row r="4763">
          <cell r="A4763">
            <v>50363</v>
          </cell>
          <cell r="B4763">
            <v>6.2937361076</v>
          </cell>
          <cell r="C4763">
            <v>6.2921869555000001</v>
          </cell>
          <cell r="D4763">
            <v>6.2952856411999996</v>
          </cell>
        </row>
        <row r="4764">
          <cell r="A4764">
            <v>50364</v>
          </cell>
          <cell r="B4764">
            <v>6.2961686763999998</v>
          </cell>
          <cell r="C4764">
            <v>6.2946189256</v>
          </cell>
          <cell r="D4764">
            <v>6.2977188089</v>
          </cell>
        </row>
        <row r="4765">
          <cell r="A4765">
            <v>50367</v>
          </cell>
          <cell r="B4765">
            <v>6.2986021853</v>
          </cell>
          <cell r="C4765">
            <v>6.2970518354999996</v>
          </cell>
          <cell r="D4765">
            <v>6.3001529170000001</v>
          </cell>
        </row>
        <row r="4766">
          <cell r="A4766">
            <v>50368</v>
          </cell>
          <cell r="B4766">
            <v>6.3010366348</v>
          </cell>
          <cell r="C4766">
            <v>6.2994856857999997</v>
          </cell>
          <cell r="D4766">
            <v>6.3025879657999999</v>
          </cell>
        </row>
        <row r="4767">
          <cell r="A4767">
            <v>50369</v>
          </cell>
          <cell r="B4767">
            <v>6.3034720252999996</v>
          </cell>
          <cell r="C4767">
            <v>6.3019204768000003</v>
          </cell>
          <cell r="D4767">
            <v>6.3050239559000003</v>
          </cell>
        </row>
        <row r="4768">
          <cell r="A4768">
            <v>50370</v>
          </cell>
          <cell r="B4768">
            <v>6.3059083569999999</v>
          </cell>
          <cell r="C4768">
            <v>6.3043562088999998</v>
          </cell>
          <cell r="D4768">
            <v>6.3074608874999996</v>
          </cell>
        </row>
        <row r="4769">
          <cell r="A4769">
            <v>50371</v>
          </cell>
          <cell r="B4769">
            <v>6.3083456303999998</v>
          </cell>
          <cell r="C4769">
            <v>6.3067928822999999</v>
          </cell>
          <cell r="D4769">
            <v>6.3098987609000003</v>
          </cell>
        </row>
        <row r="4770">
          <cell r="A4770">
            <v>50374</v>
          </cell>
          <cell r="B4770">
            <v>6.3107838458999996</v>
          </cell>
          <cell r="C4770">
            <v>6.3092304976999998</v>
          </cell>
          <cell r="D4770">
            <v>6.3123375767000001</v>
          </cell>
        </row>
        <row r="4771">
          <cell r="A4771">
            <v>50375</v>
          </cell>
          <cell r="B4771">
            <v>6.3132230037000001</v>
          </cell>
          <cell r="C4771">
            <v>6.3116690551000003</v>
          </cell>
          <cell r="D4771">
            <v>6.3147773349999996</v>
          </cell>
        </row>
        <row r="4772">
          <cell r="A4772">
            <v>50376</v>
          </cell>
          <cell r="B4772">
            <v>6.3156631042000004</v>
          </cell>
          <cell r="C4772">
            <v>6.3141085549999998</v>
          </cell>
          <cell r="D4772">
            <v>6.3172180362999999</v>
          </cell>
        </row>
        <row r="4773">
          <cell r="A4773">
            <v>50377</v>
          </cell>
          <cell r="B4773">
            <v>6.3181041478999997</v>
          </cell>
          <cell r="C4773">
            <v>6.3165489979</v>
          </cell>
          <cell r="D4773">
            <v>6.3196596810000001</v>
          </cell>
        </row>
        <row r="4774">
          <cell r="A4774">
            <v>50378</v>
          </cell>
          <cell r="B4774">
            <v>6.3205461350999999</v>
          </cell>
          <cell r="C4774">
            <v>6.3189903840000001</v>
          </cell>
          <cell r="D4774">
            <v>6.3221022694000002</v>
          </cell>
        </row>
        <row r="4775">
          <cell r="A4775">
            <v>50381</v>
          </cell>
          <cell r="B4775">
            <v>6.3229890659999999</v>
          </cell>
          <cell r="C4775">
            <v>6.3214327136000001</v>
          </cell>
          <cell r="D4775">
            <v>6.3245458018000003</v>
          </cell>
        </row>
        <row r="4776">
          <cell r="A4776">
            <v>50382</v>
          </cell>
          <cell r="B4776">
            <v>6.3254329411999999</v>
          </cell>
          <cell r="C4776">
            <v>6.3238759873000001</v>
          </cell>
          <cell r="D4776">
            <v>6.3269902787000003</v>
          </cell>
        </row>
        <row r="4777">
          <cell r="A4777">
            <v>50383</v>
          </cell>
          <cell r="B4777">
            <v>6.3278777609999999</v>
          </cell>
          <cell r="C4777">
            <v>6.3263202053000001</v>
          </cell>
          <cell r="D4777">
            <v>6.3294357004000004</v>
          </cell>
        </row>
        <row r="4778">
          <cell r="A4778">
            <v>50384</v>
          </cell>
          <cell r="B4778">
            <v>6.3303235257999999</v>
          </cell>
          <cell r="C4778">
            <v>6.328765368</v>
          </cell>
          <cell r="D4778">
            <v>6.3318820672999996</v>
          </cell>
        </row>
        <row r="4779">
          <cell r="A4779">
            <v>50385</v>
          </cell>
          <cell r="B4779">
            <v>6.3327702358</v>
          </cell>
          <cell r="C4779">
            <v>6.3312114758</v>
          </cell>
          <cell r="D4779">
            <v>6.3343293796999998</v>
          </cell>
        </row>
        <row r="4780">
          <cell r="A4780">
            <v>50388</v>
          </cell>
          <cell r="B4780">
            <v>6.3352178915000001</v>
          </cell>
          <cell r="C4780">
            <v>6.333658529</v>
          </cell>
          <cell r="D4780">
            <v>6.336777638</v>
          </cell>
        </row>
        <row r="4781">
          <cell r="A4781">
            <v>50389</v>
          </cell>
          <cell r="B4781">
            <v>6.3376664932000004</v>
          </cell>
          <cell r="C4781">
            <v>6.3361065280000002</v>
          </cell>
          <cell r="D4781">
            <v>6.3392268425999996</v>
          </cell>
        </row>
        <row r="4782">
          <cell r="A4782">
            <v>50390</v>
          </cell>
          <cell r="B4782">
            <v>6.3401160412999999</v>
          </cell>
          <cell r="C4782">
            <v>6.3385554731999996</v>
          </cell>
          <cell r="D4782">
            <v>6.3416769938000002</v>
          </cell>
        </row>
        <row r="4783">
          <cell r="A4783">
            <v>50391</v>
          </cell>
          <cell r="B4783">
            <v>6.3425665361999997</v>
          </cell>
          <cell r="C4783">
            <v>6.3410053649</v>
          </cell>
          <cell r="D4783">
            <v>6.3441280920000001</v>
          </cell>
        </row>
        <row r="4784">
          <cell r="A4784">
            <v>50392</v>
          </cell>
          <cell r="B4784">
            <v>6.3450179782999996</v>
          </cell>
          <cell r="C4784">
            <v>6.3434562035999997</v>
          </cell>
          <cell r="D4784">
            <v>6.3465801376000002</v>
          </cell>
        </row>
        <row r="4785">
          <cell r="A4785">
            <v>50395</v>
          </cell>
          <cell r="B4785">
            <v>6.3474703677999997</v>
          </cell>
          <cell r="C4785">
            <v>6.3459079894999997</v>
          </cell>
          <cell r="D4785">
            <v>6.3490331308999997</v>
          </cell>
        </row>
        <row r="4786">
          <cell r="A4786">
            <v>50396</v>
          </cell>
          <cell r="B4786">
            <v>6.3499237052000002</v>
          </cell>
          <cell r="C4786">
            <v>6.3483607229999999</v>
          </cell>
          <cell r="D4786">
            <v>6.3514870723000003</v>
          </cell>
        </row>
        <row r="4787">
          <cell r="A4787">
            <v>50397</v>
          </cell>
          <cell r="B4787">
            <v>6.3523779907</v>
          </cell>
          <cell r="C4787">
            <v>6.3508144044000003</v>
          </cell>
          <cell r="D4787">
            <v>6.3539419621000004</v>
          </cell>
        </row>
        <row r="4788">
          <cell r="A4788">
            <v>50398</v>
          </cell>
          <cell r="B4788">
            <v>6.3548332249000001</v>
          </cell>
          <cell r="C4788">
            <v>6.3532690343000002</v>
          </cell>
          <cell r="D4788">
            <v>6.3563978007999999</v>
          </cell>
        </row>
        <row r="4789">
          <cell r="A4789">
            <v>50402</v>
          </cell>
          <cell r="B4789">
            <v>6.3572894080999998</v>
          </cell>
          <cell r="C4789">
            <v>6.3557246128999996</v>
          </cell>
          <cell r="D4789">
            <v>6.3588545886999999</v>
          </cell>
        </row>
        <row r="4790">
          <cell r="A4790">
            <v>50403</v>
          </cell>
          <cell r="B4790">
            <v>6.3597465406999998</v>
          </cell>
          <cell r="C4790">
            <v>6.3581811407000002</v>
          </cell>
          <cell r="D4790">
            <v>6.3613123262000002</v>
          </cell>
        </row>
        <row r="4791">
          <cell r="A4791">
            <v>50404</v>
          </cell>
          <cell r="B4791">
            <v>6.3622046229000002</v>
          </cell>
          <cell r="C4791">
            <v>6.3606386178000003</v>
          </cell>
          <cell r="D4791">
            <v>6.3637710136000001</v>
          </cell>
        </row>
        <row r="4792">
          <cell r="A4792">
            <v>50405</v>
          </cell>
          <cell r="B4792">
            <v>6.3646636550000002</v>
          </cell>
          <cell r="C4792">
            <v>6.3630970446999999</v>
          </cell>
          <cell r="D4792">
            <v>6.3662306512000004</v>
          </cell>
        </row>
        <row r="4793">
          <cell r="A4793">
            <v>50409</v>
          </cell>
          <cell r="B4793">
            <v>6.3671236377999998</v>
          </cell>
          <cell r="C4793">
            <v>6.365556422</v>
          </cell>
          <cell r="D4793">
            <v>6.3686912396000004</v>
          </cell>
        </row>
        <row r="4794">
          <cell r="A4794">
            <v>50410</v>
          </cell>
          <cell r="B4794">
            <v>6.3695845712999999</v>
          </cell>
          <cell r="C4794">
            <v>6.3680167497999998</v>
          </cell>
          <cell r="D4794">
            <v>6.371152779</v>
          </cell>
        </row>
        <row r="4795">
          <cell r="A4795">
            <v>50411</v>
          </cell>
          <cell r="B4795">
            <v>6.3720464559999996</v>
          </cell>
          <cell r="C4795">
            <v>6.3704780285</v>
          </cell>
          <cell r="D4795">
            <v>6.3736152698000001</v>
          </cell>
        </row>
        <row r="4796">
          <cell r="A4796">
            <v>50412</v>
          </cell>
          <cell r="B4796">
            <v>6.3745092920999999</v>
          </cell>
          <cell r="C4796">
            <v>6.3729402583999999</v>
          </cell>
          <cell r="D4796">
            <v>6.3760787123</v>
          </cell>
        </row>
        <row r="4797">
          <cell r="A4797">
            <v>50413</v>
          </cell>
          <cell r="B4797">
            <v>6.3769730802</v>
          </cell>
          <cell r="C4797">
            <v>6.3754034401000004</v>
          </cell>
          <cell r="D4797">
            <v>6.3785431069999996</v>
          </cell>
        </row>
        <row r="4798">
          <cell r="A4798">
            <v>50416</v>
          </cell>
          <cell r="B4798">
            <v>6.3794378205999998</v>
          </cell>
          <cell r="C4798">
            <v>6.3778675737999997</v>
          </cell>
          <cell r="D4798">
            <v>6.3810084541999998</v>
          </cell>
        </row>
        <row r="4799">
          <cell r="A4799">
            <v>50417</v>
          </cell>
          <cell r="B4799">
            <v>6.3819035137000002</v>
          </cell>
          <cell r="C4799">
            <v>6.3803326598999996</v>
          </cell>
          <cell r="D4799">
            <v>6.3834747542999999</v>
          </cell>
        </row>
        <row r="4800">
          <cell r="A4800">
            <v>50418</v>
          </cell>
          <cell r="B4800">
            <v>6.3843701597000004</v>
          </cell>
          <cell r="C4800">
            <v>6.3827986988000003</v>
          </cell>
          <cell r="D4800">
            <v>6.3859420075999997</v>
          </cell>
        </row>
        <row r="4801">
          <cell r="A4801">
            <v>50419</v>
          </cell>
          <cell r="B4801">
            <v>6.3868377589999996</v>
          </cell>
          <cell r="C4801">
            <v>6.3852656907999998</v>
          </cell>
          <cell r="D4801">
            <v>6.3884102145000004</v>
          </cell>
        </row>
        <row r="4802">
          <cell r="A4802">
            <v>50420</v>
          </cell>
          <cell r="B4802">
            <v>6.3893063121999996</v>
          </cell>
          <cell r="C4802">
            <v>6.3877336363000001</v>
          </cell>
          <cell r="D4802">
            <v>6.3908793754</v>
          </cell>
        </row>
        <row r="4803">
          <cell r="A4803">
            <v>50423</v>
          </cell>
          <cell r="B4803">
            <v>6.3917758194000003</v>
          </cell>
          <cell r="C4803">
            <v>6.3902025356000003</v>
          </cell>
          <cell r="D4803">
            <v>6.3933494906000004</v>
          </cell>
        </row>
        <row r="4804">
          <cell r="A4804">
            <v>50424</v>
          </cell>
          <cell r="B4804">
            <v>6.3942462811</v>
          </cell>
          <cell r="C4804">
            <v>6.3926723893000004</v>
          </cell>
          <cell r="D4804">
            <v>6.3958205605999998</v>
          </cell>
        </row>
        <row r="4805">
          <cell r="A4805">
            <v>50425</v>
          </cell>
          <cell r="B4805">
            <v>6.3967176976999998</v>
          </cell>
          <cell r="C4805">
            <v>6.3951431975000004</v>
          </cell>
          <cell r="D4805">
            <v>6.3982925856000001</v>
          </cell>
        </row>
        <row r="4806">
          <cell r="A4806">
            <v>50426</v>
          </cell>
          <cell r="B4806">
            <v>6.3991900695000004</v>
          </cell>
          <cell r="C4806">
            <v>6.3976149608000004</v>
          </cell>
          <cell r="D4806">
            <v>6.4007655660999996</v>
          </cell>
        </row>
        <row r="4807">
          <cell r="A4807">
            <v>50427</v>
          </cell>
          <cell r="B4807">
            <v>6.4016633968000001</v>
          </cell>
          <cell r="C4807">
            <v>6.4000876793000003</v>
          </cell>
          <cell r="D4807">
            <v>6.4032395023999999</v>
          </cell>
        </row>
        <row r="4808">
          <cell r="A4808">
            <v>50430</v>
          </cell>
          <cell r="B4808">
            <v>6.4041376800999998</v>
          </cell>
          <cell r="C4808">
            <v>6.4025613536000003</v>
          </cell>
          <cell r="D4808">
            <v>6.4057143949000004</v>
          </cell>
        </row>
        <row r="4809">
          <cell r="A4809">
            <v>50431</v>
          </cell>
          <cell r="B4809">
            <v>6.4066129197999997</v>
          </cell>
          <cell r="C4809">
            <v>6.4050359841000004</v>
          </cell>
          <cell r="D4809">
            <v>6.408190244</v>
          </cell>
        </row>
        <row r="4810">
          <cell r="A4810">
            <v>50432</v>
          </cell>
          <cell r="B4810">
            <v>6.4090891161999997</v>
          </cell>
          <cell r="C4810">
            <v>6.4075115708999997</v>
          </cell>
          <cell r="D4810">
            <v>6.4106670499999998</v>
          </cell>
        </row>
        <row r="4811">
          <cell r="A4811">
            <v>50433</v>
          </cell>
          <cell r="B4811">
            <v>6.4115662695999998</v>
          </cell>
          <cell r="C4811">
            <v>6.4099881146</v>
          </cell>
          <cell r="D4811">
            <v>6.4131448132999997</v>
          </cell>
        </row>
        <row r="4812">
          <cell r="A4812">
            <v>50434</v>
          </cell>
          <cell r="B4812">
            <v>6.4140443804</v>
          </cell>
          <cell r="C4812">
            <v>6.4124656154000004</v>
          </cell>
          <cell r="D4812">
            <v>6.4156235341999999</v>
          </cell>
        </row>
        <row r="4813">
          <cell r="A4813">
            <v>50437</v>
          </cell>
          <cell r="B4813">
            <v>6.4165234490999996</v>
          </cell>
          <cell r="C4813">
            <v>6.4149440740000001</v>
          </cell>
          <cell r="D4813">
            <v>6.4181032133000002</v>
          </cell>
        </row>
        <row r="4814">
          <cell r="A4814">
            <v>50438</v>
          </cell>
          <cell r="B4814">
            <v>6.4190034759000003</v>
          </cell>
          <cell r="C4814">
            <v>6.4174234903</v>
          </cell>
          <cell r="D4814">
            <v>6.4205838506999999</v>
          </cell>
        </row>
        <row r="4815">
          <cell r="A4815">
            <v>50439</v>
          </cell>
          <cell r="B4815">
            <v>6.4214844613000004</v>
          </cell>
          <cell r="C4815">
            <v>6.4199038650000002</v>
          </cell>
          <cell r="D4815">
            <v>6.4230654468999999</v>
          </cell>
        </row>
        <row r="4816">
          <cell r="A4816">
            <v>50440</v>
          </cell>
          <cell r="B4816">
            <v>6.4239664055999999</v>
          </cell>
          <cell r="C4816">
            <v>6.4223851983999998</v>
          </cell>
          <cell r="D4816">
            <v>6.4255480022000002</v>
          </cell>
        </row>
        <row r="4817">
          <cell r="A4817">
            <v>50441</v>
          </cell>
          <cell r="B4817">
            <v>6.4264493091999997</v>
          </cell>
          <cell r="C4817">
            <v>6.4248674907999996</v>
          </cell>
          <cell r="D4817">
            <v>6.4280315171</v>
          </cell>
        </row>
        <row r="4818">
          <cell r="A4818">
            <v>50444</v>
          </cell>
          <cell r="B4818">
            <v>6.4289331723999998</v>
          </cell>
          <cell r="C4818">
            <v>6.4273507426999998</v>
          </cell>
          <cell r="D4818">
            <v>6.4305159919000001</v>
          </cell>
        </row>
        <row r="4819">
          <cell r="A4819">
            <v>50445</v>
          </cell>
          <cell r="B4819">
            <v>6.4314179957000004</v>
          </cell>
          <cell r="C4819">
            <v>6.4298349543000004</v>
          </cell>
          <cell r="D4819">
            <v>6.4330014268999998</v>
          </cell>
        </row>
        <row r="4820">
          <cell r="A4820">
            <v>50446</v>
          </cell>
          <cell r="B4820">
            <v>6.4339037793999996</v>
          </cell>
          <cell r="C4820">
            <v>6.4323201261999996</v>
          </cell>
          <cell r="D4820">
            <v>6.4354878225999999</v>
          </cell>
        </row>
        <row r="4821">
          <cell r="A4821">
            <v>50447</v>
          </cell>
          <cell r="B4821">
            <v>6.4363905238000001</v>
          </cell>
          <cell r="C4821">
            <v>6.4348062585000001</v>
          </cell>
          <cell r="D4821">
            <v>6.4379751793000004</v>
          </cell>
        </row>
        <row r="4822">
          <cell r="A4822">
            <v>50448</v>
          </cell>
          <cell r="B4822">
            <v>6.4388782294000002</v>
          </cell>
          <cell r="C4822">
            <v>6.4372933518000002</v>
          </cell>
          <cell r="D4822">
            <v>6.4404634973999997</v>
          </cell>
        </row>
        <row r="4823">
          <cell r="A4823">
            <v>50451</v>
          </cell>
          <cell r="B4823">
            <v>6.4413668964999999</v>
          </cell>
          <cell r="C4823">
            <v>6.4397814062999998</v>
          </cell>
          <cell r="D4823">
            <v>6.4429527772000004</v>
          </cell>
        </row>
        <row r="4824">
          <cell r="A4824">
            <v>50452</v>
          </cell>
          <cell r="B4824">
            <v>6.4438565255000002</v>
          </cell>
          <cell r="C4824">
            <v>6.4422704225</v>
          </cell>
          <cell r="D4824">
            <v>6.4454430190999998</v>
          </cell>
        </row>
        <row r="4825">
          <cell r="A4825">
            <v>50453</v>
          </cell>
          <cell r="B4825">
            <v>6.4463471168000002</v>
          </cell>
          <cell r="C4825">
            <v>6.4447604007999999</v>
          </cell>
          <cell r="D4825">
            <v>6.4479342235999999</v>
          </cell>
        </row>
        <row r="4826">
          <cell r="A4826">
            <v>50454</v>
          </cell>
          <cell r="B4826">
            <v>6.4488386704999998</v>
          </cell>
          <cell r="C4826">
            <v>6.4472513412000003</v>
          </cell>
          <cell r="D4826">
            <v>6.4504263907999997</v>
          </cell>
        </row>
        <row r="4827">
          <cell r="A4827">
            <v>50455</v>
          </cell>
          <cell r="B4827">
            <v>6.4513311875000001</v>
          </cell>
          <cell r="C4827">
            <v>6.4497432446999996</v>
          </cell>
          <cell r="D4827">
            <v>6.4529195214000001</v>
          </cell>
        </row>
        <row r="4828">
          <cell r="A4828">
            <v>50458</v>
          </cell>
          <cell r="B4828">
            <v>6.4538246677000002</v>
          </cell>
          <cell r="C4828">
            <v>6.4522361111000004</v>
          </cell>
          <cell r="D4828">
            <v>6.4554136155000004</v>
          </cell>
        </row>
        <row r="4829">
          <cell r="A4829">
            <v>50459</v>
          </cell>
          <cell r="B4829">
            <v>6.4563191117000001</v>
          </cell>
          <cell r="C4829">
            <v>6.4547299412000001</v>
          </cell>
          <cell r="D4829">
            <v>6.4579086737000004</v>
          </cell>
        </row>
        <row r="4830">
          <cell r="A4830">
            <v>50460</v>
          </cell>
          <cell r="B4830">
            <v>6.4588145197999998</v>
          </cell>
          <cell r="C4830">
            <v>6.4572247349999996</v>
          </cell>
          <cell r="D4830">
            <v>6.4604046961000003</v>
          </cell>
        </row>
        <row r="4831">
          <cell r="A4831">
            <v>50461</v>
          </cell>
          <cell r="B4831">
            <v>6.4613108925000002</v>
          </cell>
          <cell r="C4831">
            <v>6.4597204931999999</v>
          </cell>
          <cell r="D4831">
            <v>6.4629016834000002</v>
          </cell>
        </row>
        <row r="4832">
          <cell r="A4832">
            <v>50462</v>
          </cell>
          <cell r="B4832">
            <v>6.4638082298999997</v>
          </cell>
          <cell r="C4832">
            <v>6.462217216</v>
          </cell>
          <cell r="D4832">
            <v>6.4653996356999999</v>
          </cell>
        </row>
        <row r="4833">
          <cell r="A4833">
            <v>50465</v>
          </cell>
          <cell r="B4833">
            <v>6.4663065326</v>
          </cell>
          <cell r="C4833">
            <v>6.4647149037</v>
          </cell>
          <cell r="D4833">
            <v>6.4678985535000004</v>
          </cell>
        </row>
        <row r="4834">
          <cell r="A4834">
            <v>50466</v>
          </cell>
          <cell r="B4834">
            <v>6.4688058009000002</v>
          </cell>
          <cell r="C4834">
            <v>6.4672135568</v>
          </cell>
          <cell r="D4834">
            <v>6.4703984371000001</v>
          </cell>
        </row>
        <row r="4835">
          <cell r="A4835">
            <v>50467</v>
          </cell>
          <cell r="B4835">
            <v>6.4713060351999996</v>
          </cell>
          <cell r="C4835">
            <v>6.4697131757999999</v>
          </cell>
          <cell r="D4835">
            <v>6.4728992869999997</v>
          </cell>
        </row>
        <row r="4836">
          <cell r="A4836">
            <v>50468</v>
          </cell>
          <cell r="B4836">
            <v>6.4738072357999998</v>
          </cell>
          <cell r="C4836">
            <v>6.4722137606999999</v>
          </cell>
          <cell r="D4836">
            <v>6.4754011034000003</v>
          </cell>
        </row>
        <row r="4837">
          <cell r="A4837">
            <v>50469</v>
          </cell>
          <cell r="B4837">
            <v>6.4763094032000001</v>
          </cell>
          <cell r="C4837">
            <v>6.4747153121999999</v>
          </cell>
          <cell r="D4837">
            <v>6.4779038868000001</v>
          </cell>
        </row>
        <row r="4838">
          <cell r="A4838">
            <v>50474</v>
          </cell>
          <cell r="B4838">
            <v>6.4788125376999997</v>
          </cell>
          <cell r="C4838">
            <v>6.4772178305999999</v>
          </cell>
          <cell r="D4838">
            <v>6.4804076375999999</v>
          </cell>
        </row>
        <row r="4839">
          <cell r="A4839">
            <v>50475</v>
          </cell>
          <cell r="B4839">
            <v>6.4813166397000002</v>
          </cell>
          <cell r="C4839">
            <v>6.4797213162</v>
          </cell>
          <cell r="D4839">
            <v>6.4829123560999999</v>
          </cell>
        </row>
        <row r="4840">
          <cell r="A4840">
            <v>50476</v>
          </cell>
          <cell r="B4840">
            <v>6.4838217093999999</v>
          </cell>
          <cell r="C4840">
            <v>6.4822257693000003</v>
          </cell>
          <cell r="D4840">
            <v>6.4854180426000001</v>
          </cell>
        </row>
        <row r="4841">
          <cell r="A4841">
            <v>50479</v>
          </cell>
          <cell r="B4841">
            <v>6.4863277474999999</v>
          </cell>
          <cell r="C4841">
            <v>6.4847311905999998</v>
          </cell>
          <cell r="D4841">
            <v>6.4879246976999996</v>
          </cell>
        </row>
        <row r="4842">
          <cell r="A4842">
            <v>50480</v>
          </cell>
          <cell r="B4842">
            <v>6.4888347541</v>
          </cell>
          <cell r="C4842">
            <v>6.4872375801000004</v>
          </cell>
          <cell r="D4842">
            <v>6.4904323215000002</v>
          </cell>
        </row>
        <row r="4843">
          <cell r="A4843">
            <v>50481</v>
          </cell>
          <cell r="B4843">
            <v>6.4913427297000004</v>
          </cell>
          <cell r="C4843">
            <v>6.4897449384000003</v>
          </cell>
          <cell r="D4843">
            <v>6.4929409146000001</v>
          </cell>
        </row>
        <row r="4844">
          <cell r="A4844">
            <v>50482</v>
          </cell>
          <cell r="B4844">
            <v>6.4938516747000001</v>
          </cell>
          <cell r="C4844">
            <v>6.4922532658999996</v>
          </cell>
          <cell r="D4844">
            <v>6.4954504773000004</v>
          </cell>
        </row>
        <row r="4845">
          <cell r="A4845">
            <v>50483</v>
          </cell>
          <cell r="B4845">
            <v>6.4963615894000002</v>
          </cell>
          <cell r="C4845">
            <v>6.4947625627000001</v>
          </cell>
          <cell r="D4845">
            <v>6.4979610099</v>
          </cell>
        </row>
        <row r="4846">
          <cell r="A4846">
            <v>50486</v>
          </cell>
          <cell r="B4846">
            <v>6.4988724741999997</v>
          </cell>
          <cell r="C4846">
            <v>6.4972728295</v>
          </cell>
          <cell r="D4846">
            <v>6.5004725129000001</v>
          </cell>
        </row>
        <row r="4847">
          <cell r="A4847">
            <v>50487</v>
          </cell>
          <cell r="B4847">
            <v>6.5013843294999996</v>
          </cell>
          <cell r="C4847">
            <v>6.4997840665000002</v>
          </cell>
          <cell r="D4847">
            <v>6.5029849865999996</v>
          </cell>
        </row>
        <row r="4848">
          <cell r="A4848">
            <v>50488</v>
          </cell>
          <cell r="B4848">
            <v>6.5038971554999998</v>
          </cell>
          <cell r="C4848">
            <v>6.5022962739999999</v>
          </cell>
          <cell r="D4848">
            <v>6.5054984313000004</v>
          </cell>
        </row>
        <row r="4849">
          <cell r="A4849">
            <v>50489</v>
          </cell>
          <cell r="B4849">
            <v>6.5064109528999996</v>
          </cell>
          <cell r="C4849">
            <v>6.5048094527</v>
          </cell>
          <cell r="D4849">
            <v>6.5080128475999999</v>
          </cell>
        </row>
        <row r="4850">
          <cell r="A4850">
            <v>50490</v>
          </cell>
          <cell r="B4850">
            <v>6.5089257217999998</v>
          </cell>
          <cell r="C4850">
            <v>6.5073236024999996</v>
          </cell>
          <cell r="D4850">
            <v>6.5105282355999998</v>
          </cell>
        </row>
        <row r="4851">
          <cell r="A4851">
            <v>50493</v>
          </cell>
          <cell r="B4851">
            <v>6.5114414626999997</v>
          </cell>
          <cell r="C4851">
            <v>6.5098387241999998</v>
          </cell>
          <cell r="D4851">
            <v>6.5130445959000003</v>
          </cell>
        </row>
        <row r="4852">
          <cell r="A4852">
            <v>50494</v>
          </cell>
          <cell r="B4852">
            <v>6.513958176</v>
          </cell>
          <cell r="C4852">
            <v>6.5123548180000004</v>
          </cell>
          <cell r="D4852">
            <v>6.5155619288000004</v>
          </cell>
        </row>
        <row r="4853">
          <cell r="A4853">
            <v>50495</v>
          </cell>
          <cell r="B4853">
            <v>6.5164758619000001</v>
          </cell>
          <cell r="C4853">
            <v>6.5148718842999997</v>
          </cell>
          <cell r="D4853">
            <v>6.5180802346000002</v>
          </cell>
        </row>
        <row r="4854">
          <cell r="A4854">
            <v>50496</v>
          </cell>
          <cell r="B4854">
            <v>6.5189945209999998</v>
          </cell>
          <cell r="C4854">
            <v>6.5173899233999997</v>
          </cell>
          <cell r="D4854">
            <v>6.5205995137999997</v>
          </cell>
        </row>
        <row r="4855">
          <cell r="A4855">
            <v>50497</v>
          </cell>
          <cell r="B4855">
            <v>6.5215141536000001</v>
          </cell>
          <cell r="C4855">
            <v>6.5199089358000002</v>
          </cell>
          <cell r="D4855">
            <v>6.5231197666999998</v>
          </cell>
        </row>
        <row r="4856">
          <cell r="A4856">
            <v>50500</v>
          </cell>
          <cell r="B4856">
            <v>6.5240347599000001</v>
          </cell>
          <cell r="C4856">
            <v>6.5224289217000004</v>
          </cell>
          <cell r="D4856">
            <v>6.5256409935999997</v>
          </cell>
        </row>
        <row r="4857">
          <cell r="A4857">
            <v>50501</v>
          </cell>
          <cell r="B4857">
            <v>6.5265563406</v>
          </cell>
          <cell r="C4857">
            <v>6.5249498816999996</v>
          </cell>
          <cell r="D4857">
            <v>6.5281631951000003</v>
          </cell>
        </row>
        <row r="4858">
          <cell r="A4858">
            <v>50502</v>
          </cell>
          <cell r="B4858">
            <v>6.5290788957999997</v>
          </cell>
          <cell r="C4858">
            <v>6.5274718160000003</v>
          </cell>
          <cell r="D4858">
            <v>6.5306863713999999</v>
          </cell>
        </row>
        <row r="4859">
          <cell r="A4859">
            <v>50503</v>
          </cell>
          <cell r="B4859">
            <v>6.5316024260000001</v>
          </cell>
          <cell r="C4859">
            <v>6.5299947250999999</v>
          </cell>
          <cell r="D4859">
            <v>6.5332105229000002</v>
          </cell>
        </row>
        <row r="4860">
          <cell r="A4860">
            <v>50504</v>
          </cell>
          <cell r="B4860">
            <v>6.5341269317000004</v>
          </cell>
          <cell r="C4860">
            <v>6.5325186094000003</v>
          </cell>
          <cell r="D4860">
            <v>6.5357356501000003</v>
          </cell>
        </row>
        <row r="4861">
          <cell r="A4861">
            <v>50507</v>
          </cell>
          <cell r="B4861">
            <v>6.5366524129999997</v>
          </cell>
          <cell r="C4861">
            <v>6.5350434689999997</v>
          </cell>
          <cell r="D4861">
            <v>6.5382617531999996</v>
          </cell>
        </row>
        <row r="4862">
          <cell r="A4862">
            <v>50508</v>
          </cell>
          <cell r="B4862">
            <v>6.5391788703999998</v>
          </cell>
          <cell r="C4862">
            <v>6.5375693045999999</v>
          </cell>
          <cell r="D4862">
            <v>6.5407888325999997</v>
          </cell>
        </row>
        <row r="4863">
          <cell r="A4863">
            <v>50509</v>
          </cell>
          <cell r="B4863">
            <v>6.5417063042999999</v>
          </cell>
          <cell r="C4863">
            <v>6.5400961164</v>
          </cell>
          <cell r="D4863">
            <v>6.5433168887999997</v>
          </cell>
        </row>
        <row r="4864">
          <cell r="A4864">
            <v>50510</v>
          </cell>
          <cell r="B4864">
            <v>6.5442347151</v>
          </cell>
          <cell r="C4864">
            <v>6.5426239048000001</v>
          </cell>
          <cell r="D4864">
            <v>6.5458459220999998</v>
          </cell>
        </row>
        <row r="4865">
          <cell r="A4865">
            <v>50511</v>
          </cell>
          <cell r="B4865">
            <v>6.5467641032000001</v>
          </cell>
          <cell r="C4865">
            <v>6.5451526703000003</v>
          </cell>
          <cell r="D4865">
            <v>6.5483759329</v>
          </cell>
        </row>
        <row r="4866">
          <cell r="A4866">
            <v>50514</v>
          </cell>
          <cell r="B4866">
            <v>6.5492944688000003</v>
          </cell>
          <cell r="C4866">
            <v>6.5476824131000004</v>
          </cell>
          <cell r="D4866">
            <v>6.5509069215000002</v>
          </cell>
        </row>
        <row r="4867">
          <cell r="A4867">
            <v>50515</v>
          </cell>
          <cell r="B4867">
            <v>6.5518258124999997</v>
          </cell>
          <cell r="C4867">
            <v>6.5502131336999998</v>
          </cell>
          <cell r="D4867">
            <v>6.5534388883999997</v>
          </cell>
        </row>
        <row r="4868">
          <cell r="A4868">
            <v>50517</v>
          </cell>
          <cell r="B4868">
            <v>6.5543581346000002</v>
          </cell>
          <cell r="C4868">
            <v>6.5527448325000002</v>
          </cell>
          <cell r="D4868">
            <v>6.5559718340000002</v>
          </cell>
        </row>
        <row r="4869">
          <cell r="A4869">
            <v>50521</v>
          </cell>
          <cell r="B4869">
            <v>6.5568914353999999</v>
          </cell>
          <cell r="C4869">
            <v>6.5552775097999998</v>
          </cell>
          <cell r="D4869">
            <v>6.5585057584999999</v>
          </cell>
        </row>
        <row r="4870">
          <cell r="A4870">
            <v>50522</v>
          </cell>
          <cell r="B4870">
            <v>6.5594257152999997</v>
          </cell>
          <cell r="C4870">
            <v>6.5578111658999996</v>
          </cell>
          <cell r="D4870">
            <v>6.5610406623999999</v>
          </cell>
        </row>
        <row r="4871">
          <cell r="A4871">
            <v>50523</v>
          </cell>
          <cell r="B4871">
            <v>6.5619609747999998</v>
          </cell>
          <cell r="C4871">
            <v>6.5603458012999996</v>
          </cell>
          <cell r="D4871">
            <v>6.5635765460000002</v>
          </cell>
        </row>
        <row r="4872">
          <cell r="A4872">
            <v>50524</v>
          </cell>
          <cell r="B4872">
            <v>6.5644972141000002</v>
          </cell>
          <cell r="C4872">
            <v>6.5628814163999998</v>
          </cell>
          <cell r="D4872">
            <v>6.5661134097999998</v>
          </cell>
        </row>
        <row r="4873">
          <cell r="A4873">
            <v>50525</v>
          </cell>
          <cell r="B4873">
            <v>6.5670344338</v>
          </cell>
          <cell r="C4873">
            <v>6.5654180115000003</v>
          </cell>
          <cell r="D4873">
            <v>6.5686512540999997</v>
          </cell>
        </row>
        <row r="4874">
          <cell r="A4874">
            <v>50528</v>
          </cell>
          <cell r="B4874">
            <v>6.569572634</v>
          </cell>
          <cell r="C4874">
            <v>6.5679555871000002</v>
          </cell>
          <cell r="D4874">
            <v>6.5711900793</v>
          </cell>
        </row>
        <row r="4875">
          <cell r="A4875">
            <v>50529</v>
          </cell>
          <cell r="B4875">
            <v>6.5721118153999996</v>
          </cell>
          <cell r="C4875">
            <v>6.5704941434000004</v>
          </cell>
          <cell r="D4875">
            <v>6.5737298857999997</v>
          </cell>
        </row>
        <row r="4876">
          <cell r="A4876">
            <v>50530</v>
          </cell>
          <cell r="B4876">
            <v>6.5746519781000003</v>
          </cell>
          <cell r="C4876">
            <v>6.5730336809000001</v>
          </cell>
          <cell r="D4876">
            <v>6.5762706738999999</v>
          </cell>
        </row>
        <row r="4877">
          <cell r="A4877">
            <v>50531</v>
          </cell>
          <cell r="B4877">
            <v>6.5771931225999998</v>
          </cell>
          <cell r="C4877">
            <v>6.5755741999000001</v>
          </cell>
          <cell r="D4877">
            <v>6.5788124440000004</v>
          </cell>
        </row>
        <row r="4878">
          <cell r="A4878">
            <v>50532</v>
          </cell>
          <cell r="B4878">
            <v>6.5797352492999996</v>
          </cell>
          <cell r="C4878">
            <v>6.5781157008999998</v>
          </cell>
          <cell r="D4878">
            <v>6.5813551965999997</v>
          </cell>
        </row>
        <row r="4879">
          <cell r="A4879">
            <v>50535</v>
          </cell>
          <cell r="B4879">
            <v>6.5822783585</v>
          </cell>
          <cell r="C4879">
            <v>6.5806581840999998</v>
          </cell>
          <cell r="D4879">
            <v>6.5838989319000003</v>
          </cell>
        </row>
        <row r="4880">
          <cell r="A4880">
            <v>50536</v>
          </cell>
          <cell r="B4880">
            <v>6.5848224505999999</v>
          </cell>
          <cell r="C4880">
            <v>6.5832016500000003</v>
          </cell>
          <cell r="D4880">
            <v>6.5864436503999997</v>
          </cell>
        </row>
        <row r="4881">
          <cell r="A4881">
            <v>50537</v>
          </cell>
          <cell r="B4881">
            <v>6.5873675261000004</v>
          </cell>
          <cell r="C4881">
            <v>6.5857460989999996</v>
          </cell>
          <cell r="D4881">
            <v>6.5889893524999996</v>
          </cell>
        </row>
        <row r="4882">
          <cell r="A4882">
            <v>50538</v>
          </cell>
          <cell r="B4882">
            <v>6.5899135852999997</v>
          </cell>
          <cell r="C4882">
            <v>6.5882915315000004</v>
          </cell>
          <cell r="D4882">
            <v>6.5915360385000001</v>
          </cell>
        </row>
        <row r="4883">
          <cell r="A4883">
            <v>50539</v>
          </cell>
          <cell r="B4883">
            <v>6.5924606284999996</v>
          </cell>
          <cell r="C4883">
            <v>6.5908379477999999</v>
          </cell>
          <cell r="D4883">
            <v>6.5940837088000004</v>
          </cell>
        </row>
        <row r="4884">
          <cell r="A4884">
            <v>50542</v>
          </cell>
          <cell r="B4884">
            <v>6.5950086561000001</v>
          </cell>
          <cell r="C4884">
            <v>6.5933853483</v>
          </cell>
          <cell r="D4884">
            <v>6.5966323638000004</v>
          </cell>
        </row>
        <row r="4885">
          <cell r="A4885">
            <v>50543</v>
          </cell>
          <cell r="B4885">
            <v>6.5975576687000004</v>
          </cell>
          <cell r="C4885">
            <v>6.5959337333999999</v>
          </cell>
          <cell r="D4885">
            <v>6.5991820039000002</v>
          </cell>
        </row>
        <row r="4886">
          <cell r="A4886">
            <v>50544</v>
          </cell>
          <cell r="B4886">
            <v>6.6001076662999996</v>
          </cell>
          <cell r="C4886">
            <v>6.5984831034000004</v>
          </cell>
          <cell r="D4886">
            <v>6.6017326293999998</v>
          </cell>
        </row>
        <row r="4887">
          <cell r="A4887">
            <v>50545</v>
          </cell>
          <cell r="B4887">
            <v>6.6026586496000004</v>
          </cell>
          <cell r="C4887">
            <v>6.6010334586999999</v>
          </cell>
          <cell r="D4887">
            <v>6.6042842407000002</v>
          </cell>
        </row>
        <row r="4888">
          <cell r="A4888">
            <v>50546</v>
          </cell>
          <cell r="B4888">
            <v>6.6052106189000002</v>
          </cell>
          <cell r="C4888">
            <v>6.6035847999000001</v>
          </cell>
          <cell r="D4888">
            <v>6.6068368382999996</v>
          </cell>
        </row>
        <row r="4889">
          <cell r="A4889">
            <v>50549</v>
          </cell>
          <cell r="B4889">
            <v>6.6077635744999998</v>
          </cell>
          <cell r="C4889">
            <v>6.6061371272000002</v>
          </cell>
          <cell r="D4889">
            <v>6.6093904224999998</v>
          </cell>
        </row>
        <row r="4890">
          <cell r="A4890">
            <v>50550</v>
          </cell>
          <cell r="B4890">
            <v>6.6103175169000004</v>
          </cell>
          <cell r="C4890">
            <v>6.6086904408000002</v>
          </cell>
          <cell r="D4890">
            <v>6.6119449935999999</v>
          </cell>
        </row>
        <row r="4891">
          <cell r="A4891">
            <v>50551</v>
          </cell>
          <cell r="B4891">
            <v>6.6128724462999999</v>
          </cell>
          <cell r="C4891">
            <v>6.6112447414000002</v>
          </cell>
          <cell r="D4891">
            <v>6.6145005521</v>
          </cell>
        </row>
        <row r="4892">
          <cell r="A4892">
            <v>50552</v>
          </cell>
          <cell r="B4892">
            <v>6.6154283632000004</v>
          </cell>
          <cell r="C4892">
            <v>6.6138000293000001</v>
          </cell>
          <cell r="D4892">
            <v>6.6170570983000001</v>
          </cell>
        </row>
        <row r="4893">
          <cell r="A4893">
            <v>50553</v>
          </cell>
          <cell r="B4893">
            <v>6.6179852681</v>
          </cell>
          <cell r="C4893">
            <v>6.6163563048</v>
          </cell>
          <cell r="D4893">
            <v>6.6196146327000003</v>
          </cell>
        </row>
        <row r="4894">
          <cell r="A4894">
            <v>50556</v>
          </cell>
          <cell r="B4894">
            <v>6.6205431612999996</v>
          </cell>
          <cell r="C4894">
            <v>6.6189135683</v>
          </cell>
          <cell r="D4894">
            <v>6.6221731555999996</v>
          </cell>
        </row>
        <row r="4895">
          <cell r="A4895">
            <v>50557</v>
          </cell>
          <cell r="B4895">
            <v>6.6231020430000003</v>
          </cell>
          <cell r="C4895">
            <v>6.6214718202</v>
          </cell>
          <cell r="D4895">
            <v>6.6247326673</v>
          </cell>
        </row>
        <row r="4896">
          <cell r="A4896">
            <v>50558</v>
          </cell>
          <cell r="B4896">
            <v>6.6256619137000001</v>
          </cell>
          <cell r="C4896">
            <v>6.6240310608000001</v>
          </cell>
          <cell r="D4896">
            <v>6.6272931682999996</v>
          </cell>
        </row>
        <row r="4897">
          <cell r="A4897">
            <v>50559</v>
          </cell>
          <cell r="B4897">
            <v>6.6282227739000001</v>
          </cell>
          <cell r="C4897">
            <v>6.6265912907000004</v>
          </cell>
          <cell r="D4897">
            <v>6.6298546590000003</v>
          </cell>
        </row>
        <row r="4898">
          <cell r="A4898">
            <v>50560</v>
          </cell>
          <cell r="B4898">
            <v>6.6307846239000003</v>
          </cell>
          <cell r="C4898">
            <v>6.6291525101</v>
          </cell>
          <cell r="D4898">
            <v>6.6324171397000002</v>
          </cell>
        </row>
        <row r="4899">
          <cell r="A4899">
            <v>50563</v>
          </cell>
          <cell r="B4899">
            <v>6.6333474639999999</v>
          </cell>
          <cell r="C4899">
            <v>6.6317147193999997</v>
          </cell>
          <cell r="D4899">
            <v>6.6349806107999996</v>
          </cell>
        </row>
        <row r="4900">
          <cell r="A4900">
            <v>50564</v>
          </cell>
          <cell r="B4900">
            <v>6.6359112946999996</v>
          </cell>
          <cell r="C4900">
            <v>6.6342779189999996</v>
          </cell>
          <cell r="D4900">
            <v>6.6375450727</v>
          </cell>
        </row>
        <row r="4901">
          <cell r="A4901">
            <v>50565</v>
          </cell>
          <cell r="B4901">
            <v>6.6384761162999997</v>
          </cell>
          <cell r="C4901">
            <v>6.6368421092999998</v>
          </cell>
          <cell r="D4901">
            <v>6.6401105257999999</v>
          </cell>
        </row>
        <row r="4902">
          <cell r="A4902">
            <v>50566</v>
          </cell>
          <cell r="B4902">
            <v>6.6410419292</v>
          </cell>
          <cell r="C4902">
            <v>6.6394072907000004</v>
          </cell>
          <cell r="D4902">
            <v>6.6426769704000002</v>
          </cell>
        </row>
        <row r="4903">
          <cell r="A4903">
            <v>50567</v>
          </cell>
          <cell r="B4903">
            <v>6.6436087338999998</v>
          </cell>
          <cell r="C4903">
            <v>6.6419734635000003</v>
          </cell>
          <cell r="D4903">
            <v>6.6452444069999999</v>
          </cell>
        </row>
        <row r="4904">
          <cell r="A4904">
            <v>50570</v>
          </cell>
          <cell r="B4904">
            <v>6.6461765307</v>
          </cell>
          <cell r="C4904">
            <v>6.6445406282999997</v>
          </cell>
          <cell r="D4904">
            <v>6.6478128359999999</v>
          </cell>
        </row>
        <row r="4905">
          <cell r="A4905">
            <v>50571</v>
          </cell>
          <cell r="B4905">
            <v>6.6487453197999997</v>
          </cell>
          <cell r="C4905">
            <v>6.6471087851000004</v>
          </cell>
          <cell r="D4905">
            <v>6.6503822575999996</v>
          </cell>
        </row>
        <row r="4906">
          <cell r="A4906">
            <v>50572</v>
          </cell>
          <cell r="B4906">
            <v>6.6513151017999999</v>
          </cell>
          <cell r="C4906">
            <v>6.6496779345999997</v>
          </cell>
          <cell r="D4906">
            <v>6.6529526722999996</v>
          </cell>
        </row>
        <row r="4907">
          <cell r="A4907">
            <v>50573</v>
          </cell>
          <cell r="B4907">
            <v>6.6538858771999996</v>
          </cell>
          <cell r="C4907">
            <v>6.6522480772000003</v>
          </cell>
          <cell r="D4907">
            <v>6.6555240806000002</v>
          </cell>
        </row>
        <row r="4908">
          <cell r="A4908">
            <v>50574</v>
          </cell>
          <cell r="B4908">
            <v>6.6564576460999998</v>
          </cell>
          <cell r="C4908">
            <v>6.6548192130999997</v>
          </cell>
          <cell r="D4908">
            <v>6.6580964827000004</v>
          </cell>
        </row>
        <row r="4909">
          <cell r="A4909">
            <v>50577</v>
          </cell>
          <cell r="B4909">
            <v>6.6590304089999997</v>
          </cell>
          <cell r="C4909">
            <v>6.6573913427000004</v>
          </cell>
          <cell r="D4909">
            <v>6.6606698790000003</v>
          </cell>
        </row>
        <row r="4910">
          <cell r="A4910">
            <v>50578</v>
          </cell>
          <cell r="B4910">
            <v>6.6616041664000001</v>
          </cell>
          <cell r="C4910">
            <v>6.6599644666</v>
          </cell>
          <cell r="D4910">
            <v>6.6632442699999999</v>
          </cell>
        </row>
        <row r="4911">
          <cell r="A4911">
            <v>50579</v>
          </cell>
          <cell r="B4911">
            <v>6.6641789184000002</v>
          </cell>
          <cell r="C4911">
            <v>6.6625385849000001</v>
          </cell>
          <cell r="D4911">
            <v>6.665819656</v>
          </cell>
        </row>
        <row r="4912">
          <cell r="A4912">
            <v>50581</v>
          </cell>
          <cell r="B4912">
            <v>6.6667546657000001</v>
          </cell>
          <cell r="C4912">
            <v>6.6651136980999999</v>
          </cell>
          <cell r="D4912">
            <v>6.6683960374</v>
          </cell>
        </row>
        <row r="4913">
          <cell r="A4913">
            <v>50584</v>
          </cell>
          <cell r="B4913">
            <v>6.6693314083999997</v>
          </cell>
          <cell r="C4913">
            <v>6.6676898066000003</v>
          </cell>
          <cell r="D4913">
            <v>6.6709734144999997</v>
          </cell>
        </row>
        <row r="4914">
          <cell r="A4914">
            <v>50585</v>
          </cell>
          <cell r="B4914">
            <v>6.6719091471</v>
          </cell>
          <cell r="C4914">
            <v>6.6702669108999997</v>
          </cell>
          <cell r="D4914">
            <v>6.6735517879000001</v>
          </cell>
        </row>
        <row r="4915">
          <cell r="A4915">
            <v>50586</v>
          </cell>
          <cell r="B4915">
            <v>6.6744878821000002</v>
          </cell>
          <cell r="C4915">
            <v>6.6728450110999997</v>
          </cell>
          <cell r="D4915">
            <v>6.6761311578000004</v>
          </cell>
        </row>
        <row r="4916">
          <cell r="A4916">
            <v>50587</v>
          </cell>
          <cell r="B4916">
            <v>6.6770676139000003</v>
          </cell>
          <cell r="C4916">
            <v>6.6754241078999996</v>
          </cell>
          <cell r="D4916">
            <v>6.6787115246999997</v>
          </cell>
        </row>
        <row r="4917">
          <cell r="A4917">
            <v>50588</v>
          </cell>
          <cell r="B4917">
            <v>6.6796483426000002</v>
          </cell>
          <cell r="C4917">
            <v>6.6780042014000003</v>
          </cell>
          <cell r="D4917">
            <v>6.6812928887999998</v>
          </cell>
        </row>
        <row r="4918">
          <cell r="A4918">
            <v>50591</v>
          </cell>
          <cell r="B4918">
            <v>6.6822300689</v>
          </cell>
          <cell r="C4918">
            <v>6.6805852922</v>
          </cell>
          <cell r="D4918">
            <v>6.6838752506999999</v>
          </cell>
        </row>
        <row r="4919">
          <cell r="A4919">
            <v>50592</v>
          </cell>
          <cell r="B4919">
            <v>6.6848127929999999</v>
          </cell>
          <cell r="C4919">
            <v>6.6831673805999996</v>
          </cell>
          <cell r="D4919">
            <v>6.6864586106999999</v>
          </cell>
        </row>
        <row r="4920">
          <cell r="A4920">
            <v>50593</v>
          </cell>
          <cell r="B4920">
            <v>6.6873965153999997</v>
          </cell>
          <cell r="C4920">
            <v>6.6857504670000001</v>
          </cell>
          <cell r="D4920">
            <v>6.6890429692</v>
          </cell>
        </row>
        <row r="4921">
          <cell r="A4921">
            <v>50594</v>
          </cell>
          <cell r="B4921">
            <v>6.6899812364000004</v>
          </cell>
          <cell r="C4921">
            <v>6.6883345518999997</v>
          </cell>
          <cell r="D4921">
            <v>6.6916283266000001</v>
          </cell>
        </row>
        <row r="4922">
          <cell r="A4922">
            <v>50595</v>
          </cell>
          <cell r="B4922">
            <v>6.6925669564000003</v>
          </cell>
          <cell r="C4922">
            <v>6.6909196354000002</v>
          </cell>
          <cell r="D4922">
            <v>6.6942146832000002</v>
          </cell>
        </row>
        <row r="4923">
          <cell r="A4923">
            <v>50598</v>
          </cell>
          <cell r="B4923">
            <v>6.6951536758000003</v>
          </cell>
          <cell r="C4923">
            <v>6.6935057179999999</v>
          </cell>
          <cell r="D4923">
            <v>6.6968020393999996</v>
          </cell>
        </row>
        <row r="4924">
          <cell r="A4924">
            <v>50599</v>
          </cell>
          <cell r="B4924">
            <v>6.6977413950000004</v>
          </cell>
          <cell r="C4924">
            <v>6.6960928002999998</v>
          </cell>
          <cell r="D4924">
            <v>6.6993903957000001</v>
          </cell>
        </row>
        <row r="4925">
          <cell r="A4925">
            <v>50600</v>
          </cell>
          <cell r="B4925">
            <v>6.7003301142999998</v>
          </cell>
          <cell r="C4925">
            <v>6.6986808823999997</v>
          </cell>
          <cell r="D4925">
            <v>6.7019797523999998</v>
          </cell>
        </row>
        <row r="4926">
          <cell r="A4926">
            <v>50601</v>
          </cell>
          <cell r="B4926">
            <v>6.7029198342000003</v>
          </cell>
          <cell r="C4926">
            <v>6.7012699648999998</v>
          </cell>
          <cell r="D4926">
            <v>6.7045701098999997</v>
          </cell>
        </row>
        <row r="4927">
          <cell r="A4927">
            <v>50602</v>
          </cell>
          <cell r="B4927">
            <v>6.7055105551</v>
          </cell>
          <cell r="C4927">
            <v>6.7038600481000001</v>
          </cell>
          <cell r="D4927">
            <v>6.7071614685999998</v>
          </cell>
        </row>
        <row r="4928">
          <cell r="A4928">
            <v>50605</v>
          </cell>
          <cell r="B4928">
            <v>6.7081022772000001</v>
          </cell>
          <cell r="C4928">
            <v>6.7064511322999998</v>
          </cell>
          <cell r="D4928">
            <v>6.7097538288000003</v>
          </cell>
        </row>
        <row r="4929">
          <cell r="A4929">
            <v>50606</v>
          </cell>
          <cell r="B4929">
            <v>6.7106950012000004</v>
          </cell>
          <cell r="C4929">
            <v>6.7090432180999997</v>
          </cell>
          <cell r="D4929">
            <v>6.7123471911000001</v>
          </cell>
        </row>
        <row r="4930">
          <cell r="A4930">
            <v>50607</v>
          </cell>
          <cell r="B4930">
            <v>6.7132887271000001</v>
          </cell>
          <cell r="C4930">
            <v>6.7116363054999999</v>
          </cell>
          <cell r="D4930">
            <v>6.7149415556000003</v>
          </cell>
        </row>
        <row r="4931">
          <cell r="A4931">
            <v>50608</v>
          </cell>
          <cell r="B4931">
            <v>6.7158834557000002</v>
          </cell>
          <cell r="C4931">
            <v>6.7142303954000004</v>
          </cell>
          <cell r="D4931">
            <v>6.7175369229999999</v>
          </cell>
        </row>
        <row r="4932">
          <cell r="A4932">
            <v>50609</v>
          </cell>
          <cell r="B4932">
            <v>6.7184791869999998</v>
          </cell>
          <cell r="C4932">
            <v>6.7168254878999996</v>
          </cell>
          <cell r="D4932">
            <v>6.7201332934</v>
          </cell>
        </row>
        <row r="4933">
          <cell r="A4933">
            <v>50612</v>
          </cell>
          <cell r="B4933">
            <v>6.7210759216999998</v>
          </cell>
          <cell r="C4933">
            <v>6.7194215834</v>
          </cell>
          <cell r="D4933">
            <v>6.7227306673999996</v>
          </cell>
        </row>
        <row r="4934">
          <cell r="A4934">
            <v>50613</v>
          </cell>
          <cell r="B4934">
            <v>6.7236736599000002</v>
          </cell>
          <cell r="C4934">
            <v>6.7220186821999999</v>
          </cell>
          <cell r="D4934">
            <v>6.7253290451999996</v>
          </cell>
        </row>
        <row r="4935">
          <cell r="A4935">
            <v>50614</v>
          </cell>
          <cell r="B4935">
            <v>6.7262724023000002</v>
          </cell>
          <cell r="C4935">
            <v>6.7246167849000003</v>
          </cell>
          <cell r="D4935">
            <v>6.7279284274000002</v>
          </cell>
        </row>
        <row r="4936">
          <cell r="A4936">
            <v>50615</v>
          </cell>
          <cell r="B4936">
            <v>6.7288721489999999</v>
          </cell>
          <cell r="C4936">
            <v>6.7272158917000002</v>
          </cell>
          <cell r="D4936">
            <v>6.7305288142000004</v>
          </cell>
        </row>
        <row r="4937">
          <cell r="A4937">
            <v>50616</v>
          </cell>
          <cell r="B4937">
            <v>6.7314729006</v>
          </cell>
          <cell r="C4937">
            <v>6.7298160031999998</v>
          </cell>
          <cell r="D4937">
            <v>6.7331302061000002</v>
          </cell>
        </row>
        <row r="4938">
          <cell r="A4938">
            <v>50619</v>
          </cell>
          <cell r="B4938">
            <v>6.7340746572999999</v>
          </cell>
          <cell r="C4938">
            <v>6.7324171195</v>
          </cell>
          <cell r="D4938">
            <v>6.7357326033999998</v>
          </cell>
        </row>
        <row r="4939">
          <cell r="A4939">
            <v>50620</v>
          </cell>
          <cell r="B4939">
            <v>6.7366774197000003</v>
          </cell>
          <cell r="C4939">
            <v>6.7350192412999998</v>
          </cell>
          <cell r="D4939">
            <v>6.7383360066</v>
          </cell>
        </row>
        <row r="4940">
          <cell r="A4940">
            <v>50621</v>
          </cell>
          <cell r="B4940">
            <v>6.7392811880999997</v>
          </cell>
          <cell r="C4940">
            <v>6.7376223687000003</v>
          </cell>
          <cell r="D4940">
            <v>6.7409404159999999</v>
          </cell>
        </row>
        <row r="4941">
          <cell r="A4941">
            <v>50622</v>
          </cell>
          <cell r="B4941">
            <v>6.7418859628999996</v>
          </cell>
          <cell r="C4941">
            <v>6.7402265023999997</v>
          </cell>
          <cell r="D4941">
            <v>6.7435458320999997</v>
          </cell>
        </row>
        <row r="4942">
          <cell r="A4942">
            <v>50623</v>
          </cell>
          <cell r="B4942">
            <v>6.7444917443000003</v>
          </cell>
          <cell r="C4942">
            <v>6.7428316423999997</v>
          </cell>
          <cell r="D4942">
            <v>6.7461522551000002</v>
          </cell>
        </row>
        <row r="4943">
          <cell r="A4943">
            <v>50626</v>
          </cell>
          <cell r="B4943">
            <v>6.747098533</v>
          </cell>
          <cell r="C4943">
            <v>6.7454377895000004</v>
          </cell>
          <cell r="D4943">
            <v>6.7487596855999996</v>
          </cell>
        </row>
        <row r="4944">
          <cell r="A4944">
            <v>50627</v>
          </cell>
          <cell r="B4944">
            <v>6.7497063292000004</v>
          </cell>
          <cell r="C4944">
            <v>6.7480449437000001</v>
          </cell>
          <cell r="D4944">
            <v>6.7513681237999998</v>
          </cell>
        </row>
        <row r="4945">
          <cell r="A4945">
            <v>50628</v>
          </cell>
          <cell r="B4945">
            <v>6.7523151332999998</v>
          </cell>
          <cell r="C4945">
            <v>6.7506531056999997</v>
          </cell>
          <cell r="D4945">
            <v>6.7539775702</v>
          </cell>
        </row>
        <row r="4946">
          <cell r="A4946">
            <v>50629</v>
          </cell>
          <cell r="B4946">
            <v>6.7549249457</v>
          </cell>
          <cell r="C4946">
            <v>6.7532622758</v>
          </cell>
          <cell r="D4946">
            <v>6.7565880252000001</v>
          </cell>
        </row>
        <row r="4947">
          <cell r="A4947">
            <v>50630</v>
          </cell>
          <cell r="B4947">
            <v>6.7575357670000002</v>
          </cell>
          <cell r="C4947">
            <v>6.7558724544000004</v>
          </cell>
          <cell r="D4947">
            <v>6.7591994892000002</v>
          </cell>
        </row>
        <row r="4948">
          <cell r="A4948">
            <v>50633</v>
          </cell>
          <cell r="B4948">
            <v>6.7601475971999996</v>
          </cell>
          <cell r="C4948">
            <v>6.7584836416999998</v>
          </cell>
          <cell r="D4948">
            <v>6.7618119625000004</v>
          </cell>
        </row>
        <row r="4949">
          <cell r="A4949">
            <v>50634</v>
          </cell>
          <cell r="B4949">
            <v>6.7627604368999998</v>
          </cell>
          <cell r="C4949">
            <v>6.7610958383000002</v>
          </cell>
          <cell r="D4949">
            <v>6.7644254454999997</v>
          </cell>
        </row>
        <row r="4950">
          <cell r="A4950">
            <v>50635</v>
          </cell>
          <cell r="B4950">
            <v>6.7653742865000002</v>
          </cell>
          <cell r="C4950">
            <v>6.7637090444999997</v>
          </cell>
          <cell r="D4950">
            <v>6.7670399386</v>
          </cell>
        </row>
        <row r="4951">
          <cell r="A4951">
            <v>50636</v>
          </cell>
          <cell r="B4951">
            <v>6.7679891463999997</v>
          </cell>
          <cell r="C4951">
            <v>6.7663232608000001</v>
          </cell>
          <cell r="D4951">
            <v>6.7696554423000004</v>
          </cell>
        </row>
        <row r="4952">
          <cell r="A4952">
            <v>50637</v>
          </cell>
          <cell r="B4952">
            <v>6.7706050170000003</v>
          </cell>
          <cell r="C4952">
            <v>6.7689384874999998</v>
          </cell>
          <cell r="D4952">
            <v>6.7722719569000001</v>
          </cell>
        </row>
        <row r="4953">
          <cell r="A4953">
            <v>50640</v>
          </cell>
          <cell r="B4953">
            <v>6.7732218986000001</v>
          </cell>
          <cell r="C4953">
            <v>6.7715547249999997</v>
          </cell>
          <cell r="D4953">
            <v>6.7748894827999999</v>
          </cell>
        </row>
        <row r="4954">
          <cell r="A4954">
            <v>50641</v>
          </cell>
          <cell r="B4954">
            <v>6.7758397916000002</v>
          </cell>
          <cell r="C4954">
            <v>6.7741719735999997</v>
          </cell>
          <cell r="D4954">
            <v>6.7775080203</v>
          </cell>
        </row>
        <row r="4955">
          <cell r="A4955">
            <v>50642</v>
          </cell>
          <cell r="B4955">
            <v>6.7784586965000004</v>
          </cell>
          <cell r="C4955">
            <v>6.7767902338999999</v>
          </cell>
          <cell r="D4955">
            <v>6.7801275700000003</v>
          </cell>
        </row>
        <row r="4956">
          <cell r="A4956">
            <v>50643</v>
          </cell>
          <cell r="B4956">
            <v>6.7810786135000001</v>
          </cell>
          <cell r="C4956">
            <v>6.7794095061000004</v>
          </cell>
          <cell r="D4956">
            <v>6.7827481321</v>
          </cell>
        </row>
        <row r="4957">
          <cell r="A4957">
            <v>50644</v>
          </cell>
          <cell r="B4957">
            <v>6.7836995433</v>
          </cell>
          <cell r="C4957">
            <v>6.7820297907000002</v>
          </cell>
          <cell r="D4957">
            <v>6.7853697071000001</v>
          </cell>
        </row>
        <row r="4958">
          <cell r="A4958">
            <v>50647</v>
          </cell>
          <cell r="B4958">
            <v>6.7863214859000003</v>
          </cell>
          <cell r="C4958">
            <v>6.7846510880000004</v>
          </cell>
          <cell r="D4958">
            <v>6.7879922952999996</v>
          </cell>
        </row>
        <row r="4959">
          <cell r="A4959">
            <v>50648</v>
          </cell>
          <cell r="B4959">
            <v>6.7889444421</v>
          </cell>
          <cell r="C4959">
            <v>6.7872733985</v>
          </cell>
          <cell r="D4959">
            <v>6.7906158972000004</v>
          </cell>
        </row>
        <row r="4960">
          <cell r="A4960">
            <v>50649</v>
          </cell>
          <cell r="B4960">
            <v>6.7915684120000002</v>
          </cell>
          <cell r="C4960">
            <v>6.7898967226</v>
          </cell>
          <cell r="D4960">
            <v>6.7932405131999998</v>
          </cell>
        </row>
        <row r="4961">
          <cell r="A4961">
            <v>50650</v>
          </cell>
          <cell r="B4961">
            <v>6.7941933960999998</v>
          </cell>
          <cell r="C4961">
            <v>6.7925210605000004</v>
          </cell>
          <cell r="D4961">
            <v>6.7958661434999996</v>
          </cell>
        </row>
        <row r="4962">
          <cell r="A4962">
            <v>50651</v>
          </cell>
          <cell r="B4962">
            <v>6.7968193947</v>
          </cell>
          <cell r="C4962">
            <v>6.7951464128000003</v>
          </cell>
          <cell r="D4962">
            <v>6.7984927887</v>
          </cell>
        </row>
        <row r="4963">
          <cell r="A4963">
            <v>50654</v>
          </cell>
          <cell r="B4963">
            <v>6.7994464082999997</v>
          </cell>
          <cell r="C4963">
            <v>6.7977727797999998</v>
          </cell>
          <cell r="D4963">
            <v>6.8011204490999999</v>
          </cell>
        </row>
        <row r="4964">
          <cell r="A4964">
            <v>50656</v>
          </cell>
          <cell r="B4964">
            <v>6.8020744372999999</v>
          </cell>
          <cell r="C4964">
            <v>6.8004001618999999</v>
          </cell>
          <cell r="D4964">
            <v>6.8037491251000004</v>
          </cell>
        </row>
        <row r="4965">
          <cell r="A4965">
            <v>50657</v>
          </cell>
          <cell r="B4965">
            <v>6.8047034819999999</v>
          </cell>
          <cell r="C4965">
            <v>6.8030285595000004</v>
          </cell>
          <cell r="D4965">
            <v>6.8063788170999997</v>
          </cell>
        </row>
        <row r="4966">
          <cell r="A4966">
            <v>50658</v>
          </cell>
          <cell r="B4966">
            <v>6.8073335429000004</v>
          </cell>
          <cell r="C4966">
            <v>6.8056579729999997</v>
          </cell>
          <cell r="D4966">
            <v>6.8090095254999996</v>
          </cell>
        </row>
        <row r="4967">
          <cell r="A4967">
            <v>50661</v>
          </cell>
          <cell r="B4967">
            <v>6.8099646202999997</v>
          </cell>
          <cell r="C4967">
            <v>6.8082884027999997</v>
          </cell>
          <cell r="D4967">
            <v>6.8116412507000001</v>
          </cell>
        </row>
        <row r="4968">
          <cell r="A4968">
            <v>50662</v>
          </cell>
          <cell r="B4968">
            <v>6.8125967145999997</v>
          </cell>
          <cell r="C4968">
            <v>6.8109198492000003</v>
          </cell>
          <cell r="D4968">
            <v>6.8142739929999996</v>
          </cell>
        </row>
        <row r="4969">
          <cell r="A4969">
            <v>50663</v>
          </cell>
          <cell r="B4969">
            <v>6.8152298263000004</v>
          </cell>
          <cell r="C4969">
            <v>6.8135523127999997</v>
          </cell>
          <cell r="D4969">
            <v>6.8169077529999997</v>
          </cell>
        </row>
        <row r="4970">
          <cell r="A4970">
            <v>50664</v>
          </cell>
          <cell r="B4970">
            <v>6.8178639557</v>
          </cell>
          <cell r="C4970">
            <v>6.8161857937999999</v>
          </cell>
          <cell r="D4970">
            <v>6.8195425308999997</v>
          </cell>
        </row>
        <row r="4971">
          <cell r="A4971">
            <v>50665</v>
          </cell>
          <cell r="B4971">
            <v>6.8204991031000004</v>
          </cell>
          <cell r="C4971">
            <v>6.8188202925999999</v>
          </cell>
          <cell r="D4971">
            <v>6.8221783270999996</v>
          </cell>
        </row>
        <row r="4972">
          <cell r="A4972">
            <v>50668</v>
          </cell>
          <cell r="B4972">
            <v>6.8231352690999998</v>
          </cell>
          <cell r="C4972">
            <v>6.8214558096999998</v>
          </cell>
          <cell r="D4972">
            <v>6.8248151421000003</v>
          </cell>
        </row>
        <row r="4973">
          <cell r="A4973">
            <v>50669</v>
          </cell>
          <cell r="B4973">
            <v>6.825772454</v>
          </cell>
          <cell r="C4973">
            <v>6.8240923455000004</v>
          </cell>
          <cell r="D4973">
            <v>6.8274529763</v>
          </cell>
        </row>
        <row r="4974">
          <cell r="A4974">
            <v>50670</v>
          </cell>
          <cell r="B4974">
            <v>6.8284106582000001</v>
          </cell>
          <cell r="C4974">
            <v>6.8267299003000002</v>
          </cell>
          <cell r="D4974">
            <v>6.8300918299999998</v>
          </cell>
        </row>
        <row r="4975">
          <cell r="A4975">
            <v>50671</v>
          </cell>
          <cell r="B4975">
            <v>6.8310498820000003</v>
          </cell>
          <cell r="C4975">
            <v>6.8293684744999998</v>
          </cell>
          <cell r="D4975">
            <v>6.8327317036000004</v>
          </cell>
        </row>
        <row r="4976">
          <cell r="A4976">
            <v>50672</v>
          </cell>
          <cell r="B4976">
            <v>6.8336901259999996</v>
          </cell>
          <cell r="C4976">
            <v>6.8320080686000004</v>
          </cell>
          <cell r="D4976">
            <v>6.8353725976000002</v>
          </cell>
        </row>
        <row r="4977">
          <cell r="A4977">
            <v>50675</v>
          </cell>
          <cell r="B4977">
            <v>6.8363313902999998</v>
          </cell>
          <cell r="C4977">
            <v>6.8346486828000002</v>
          </cell>
          <cell r="D4977">
            <v>6.8380145122</v>
          </cell>
        </row>
        <row r="4978">
          <cell r="A4978">
            <v>50676</v>
          </cell>
          <cell r="B4978">
            <v>6.8389736755000001</v>
          </cell>
          <cell r="C4978">
            <v>6.8372903177</v>
          </cell>
          <cell r="D4978">
            <v>6.840657448</v>
          </cell>
        </row>
        <row r="4979">
          <cell r="A4979">
            <v>50677</v>
          </cell>
          <cell r="B4979">
            <v>6.8416169819999997</v>
          </cell>
          <cell r="C4979">
            <v>6.8399329735999999</v>
          </cell>
          <cell r="D4979">
            <v>6.8433014053000001</v>
          </cell>
        </row>
        <row r="4980">
          <cell r="A4980">
            <v>50678</v>
          </cell>
          <cell r="B4980">
            <v>6.8442613102000003</v>
          </cell>
          <cell r="C4980">
            <v>6.8425766507999999</v>
          </cell>
          <cell r="D4980">
            <v>6.8459463845000004</v>
          </cell>
        </row>
        <row r="4981">
          <cell r="A4981">
            <v>50679</v>
          </cell>
          <cell r="B4981">
            <v>6.8469066605000002</v>
          </cell>
          <cell r="C4981">
            <v>6.8452213500000001</v>
          </cell>
          <cell r="D4981">
            <v>6.8485923861</v>
          </cell>
        </row>
        <row r="4982">
          <cell r="A4982">
            <v>50682</v>
          </cell>
          <cell r="B4982">
            <v>6.8495530332000003</v>
          </cell>
          <cell r="C4982">
            <v>6.8478670712999996</v>
          </cell>
          <cell r="D4982">
            <v>6.8512394102999998</v>
          </cell>
        </row>
        <row r="4983">
          <cell r="A4983">
            <v>50683</v>
          </cell>
          <cell r="B4983">
            <v>6.8522004286999998</v>
          </cell>
          <cell r="C4983">
            <v>6.8505138152000002</v>
          </cell>
          <cell r="D4983">
            <v>6.8538874576</v>
          </cell>
        </row>
        <row r="4984">
          <cell r="A4984">
            <v>50684</v>
          </cell>
          <cell r="B4984">
            <v>6.8548488473999996</v>
          </cell>
          <cell r="C4984">
            <v>6.8531615820000003</v>
          </cell>
          <cell r="D4984">
            <v>6.8565365284000004</v>
          </cell>
        </row>
        <row r="4985">
          <cell r="A4985">
            <v>50685</v>
          </cell>
          <cell r="B4985">
            <v>6.8574982896999996</v>
          </cell>
          <cell r="C4985">
            <v>6.8558103721999997</v>
          </cell>
          <cell r="D4985">
            <v>6.8591866230000003</v>
          </cell>
        </row>
        <row r="4986">
          <cell r="A4986">
            <v>50686</v>
          </cell>
          <cell r="B4986">
            <v>6.8601487562000001</v>
          </cell>
          <cell r="C4986">
            <v>6.8584601862000003</v>
          </cell>
          <cell r="D4986">
            <v>6.8618377419999996</v>
          </cell>
        </row>
        <row r="4987">
          <cell r="A4987">
            <v>50689</v>
          </cell>
          <cell r="B4987">
            <v>6.862800247</v>
          </cell>
          <cell r="C4987">
            <v>6.8611110244000004</v>
          </cell>
          <cell r="D4987">
            <v>6.8644898856000003</v>
          </cell>
        </row>
        <row r="4988">
          <cell r="A4988">
            <v>50691</v>
          </cell>
          <cell r="B4988">
            <v>6.8654527626000004</v>
          </cell>
          <cell r="C4988">
            <v>6.8637628871</v>
          </cell>
          <cell r="D4988">
            <v>6.8671430542999996</v>
          </cell>
        </row>
        <row r="4989">
          <cell r="A4989">
            <v>50692</v>
          </cell>
          <cell r="B4989">
            <v>6.8681063034000003</v>
          </cell>
          <cell r="C4989">
            <v>6.8664157748000001</v>
          </cell>
          <cell r="D4989">
            <v>6.8697972484000003</v>
          </cell>
        </row>
        <row r="4990">
          <cell r="A4990">
            <v>50693</v>
          </cell>
          <cell r="B4990">
            <v>6.8707608698999998</v>
          </cell>
          <cell r="C4990">
            <v>6.8690696878999997</v>
          </cell>
          <cell r="D4990">
            <v>6.8724524684999997</v>
          </cell>
        </row>
        <row r="4991">
          <cell r="A4991">
            <v>50696</v>
          </cell>
          <cell r="B4991">
            <v>6.8734164622999998</v>
          </cell>
          <cell r="C4991">
            <v>6.8717246266999998</v>
          </cell>
          <cell r="D4991">
            <v>6.8751087146999996</v>
          </cell>
        </row>
        <row r="4992">
          <cell r="A4992">
            <v>50697</v>
          </cell>
          <cell r="B4992">
            <v>6.8760730813000004</v>
          </cell>
          <cell r="C4992">
            <v>6.8743805916999996</v>
          </cell>
          <cell r="D4992">
            <v>6.8777659877000001</v>
          </cell>
        </row>
        <row r="4993">
          <cell r="A4993">
            <v>50698</v>
          </cell>
          <cell r="B4993">
            <v>6.8787307268999998</v>
          </cell>
          <cell r="C4993">
            <v>6.8770375831999999</v>
          </cell>
          <cell r="D4993">
            <v>6.8804242877000004</v>
          </cell>
        </row>
        <row r="4994">
          <cell r="A4994">
            <v>50699</v>
          </cell>
          <cell r="B4994">
            <v>6.8813893997999998</v>
          </cell>
          <cell r="C4994">
            <v>6.8796956015999999</v>
          </cell>
          <cell r="D4994">
            <v>6.8830836151000003</v>
          </cell>
        </row>
        <row r="4995">
          <cell r="A4995">
            <v>50700</v>
          </cell>
          <cell r="B4995">
            <v>6.8840491003000004</v>
          </cell>
          <cell r="C4995">
            <v>6.8823546473999997</v>
          </cell>
          <cell r="D4995">
            <v>6.8857439704000001</v>
          </cell>
        </row>
        <row r="4996">
          <cell r="A4996">
            <v>50703</v>
          </cell>
          <cell r="B4996">
            <v>6.8867098286999999</v>
          </cell>
          <cell r="C4996">
            <v>6.8850147209000001</v>
          </cell>
          <cell r="D4996">
            <v>6.8884053538999996</v>
          </cell>
        </row>
        <row r="4997">
          <cell r="A4997">
            <v>50704</v>
          </cell>
          <cell r="B4997">
            <v>6.8893715855000002</v>
          </cell>
          <cell r="C4997">
            <v>6.8876758226000003</v>
          </cell>
          <cell r="D4997">
            <v>6.8910677660999999</v>
          </cell>
        </row>
        <row r="4998">
          <cell r="A4998">
            <v>50705</v>
          </cell>
          <cell r="B4998">
            <v>6.8920343712000003</v>
          </cell>
          <cell r="C4998">
            <v>6.8903379528000004</v>
          </cell>
          <cell r="D4998">
            <v>6.8937312073000001</v>
          </cell>
        </row>
        <row r="4999">
          <cell r="A4999">
            <v>50706</v>
          </cell>
          <cell r="B4999">
            <v>6.8946981859000003</v>
          </cell>
          <cell r="C4999">
            <v>6.8930011119000003</v>
          </cell>
          <cell r="D4999">
            <v>6.8963956779000002</v>
          </cell>
        </row>
        <row r="5000">
          <cell r="A5000">
            <v>50707</v>
          </cell>
          <cell r="B5000">
            <v>6.8973630303000002</v>
          </cell>
          <cell r="C5000">
            <v>6.8956653004000001</v>
          </cell>
          <cell r="D5000">
            <v>6.8990611784000002</v>
          </cell>
        </row>
        <row r="5001">
          <cell r="A5001">
            <v>50710</v>
          </cell>
          <cell r="B5001">
            <v>6.9000289047000001</v>
          </cell>
          <cell r="C5001">
            <v>6.8983305185999999</v>
          </cell>
          <cell r="D5001">
            <v>6.9017277091000002</v>
          </cell>
        </row>
        <row r="5002">
          <cell r="A5002">
            <v>50712</v>
          </cell>
          <cell r="B5002">
            <v>6.9026958094999999</v>
          </cell>
          <cell r="C5002">
            <v>6.9009967668999996</v>
          </cell>
          <cell r="D5002">
            <v>6.9043952705000002</v>
          </cell>
        </row>
        <row r="5003">
          <cell r="A5003">
            <v>50713</v>
          </cell>
          <cell r="B5003">
            <v>6.9053637449999998</v>
          </cell>
          <cell r="C5003">
            <v>6.9036640458000003</v>
          </cell>
          <cell r="D5003">
            <v>6.9070638629000003</v>
          </cell>
        </row>
        <row r="5004">
          <cell r="A5004">
            <v>50714</v>
          </cell>
          <cell r="B5004">
            <v>6.9080327116999998</v>
          </cell>
          <cell r="C5004">
            <v>6.9063323555</v>
          </cell>
          <cell r="D5004">
            <v>6.9097334867000004</v>
          </cell>
        </row>
        <row r="5005">
          <cell r="A5005">
            <v>50717</v>
          </cell>
          <cell r="B5005">
            <v>6.9107027099999998</v>
          </cell>
          <cell r="C5005">
            <v>6.9090016965999999</v>
          </cell>
          <cell r="D5005">
            <v>6.9124041422999998</v>
          </cell>
        </row>
        <row r="5006">
          <cell r="A5006">
            <v>50718</v>
          </cell>
          <cell r="B5006">
            <v>6.9133737402</v>
          </cell>
          <cell r="C5006">
            <v>6.9116720692999998</v>
          </cell>
          <cell r="D5006">
            <v>6.9150758301000002</v>
          </cell>
        </row>
        <row r="5007">
          <cell r="A5007">
            <v>50719</v>
          </cell>
          <cell r="B5007">
            <v>6.9160458028000003</v>
          </cell>
          <cell r="C5007">
            <v>6.9143434741999998</v>
          </cell>
          <cell r="D5007">
            <v>6.9177485505999998</v>
          </cell>
        </row>
        <row r="5008">
          <cell r="A5008">
            <v>50720</v>
          </cell>
          <cell r="B5008">
            <v>6.9187188981999999</v>
          </cell>
          <cell r="C5008">
            <v>6.9170159117000001</v>
          </cell>
          <cell r="D5008">
            <v>6.9204223040999997</v>
          </cell>
        </row>
        <row r="5009">
          <cell r="A5009">
            <v>50721</v>
          </cell>
          <cell r="B5009">
            <v>6.9213930267999997</v>
          </cell>
          <cell r="C5009">
            <v>6.9196893820999996</v>
          </cell>
          <cell r="D5009">
            <v>6.9230970910999998</v>
          </cell>
        </row>
        <row r="5010">
          <cell r="A5010">
            <v>50725</v>
          </cell>
          <cell r="B5010">
            <v>6.9240681888999998</v>
          </cell>
          <cell r="C5010">
            <v>6.9223638857000003</v>
          </cell>
          <cell r="D5010">
            <v>6.9257729118000002</v>
          </cell>
        </row>
        <row r="5011">
          <cell r="A5011">
            <v>50726</v>
          </cell>
          <cell r="B5011">
            <v>6.9267443850000001</v>
          </cell>
          <cell r="C5011">
            <v>6.9250394231000003</v>
          </cell>
          <cell r="D5011">
            <v>6.9284497668</v>
          </cell>
        </row>
        <row r="5012">
          <cell r="A5012">
            <v>50727</v>
          </cell>
          <cell r="B5012">
            <v>6.9294216153999999</v>
          </cell>
          <cell r="C5012">
            <v>6.9277159944999998</v>
          </cell>
          <cell r="D5012">
            <v>6.9311276564000002</v>
          </cell>
        </row>
        <row r="5013">
          <cell r="A5013">
            <v>50728</v>
          </cell>
          <cell r="B5013">
            <v>6.9320998806</v>
          </cell>
          <cell r="C5013">
            <v>6.9303936005000004</v>
          </cell>
          <cell r="D5013">
            <v>6.9338065809999998</v>
          </cell>
        </row>
        <row r="5014">
          <cell r="A5014">
            <v>50731</v>
          </cell>
          <cell r="B5014">
            <v>6.9347791809999997</v>
          </cell>
          <cell r="C5014">
            <v>6.9330722413999997</v>
          </cell>
          <cell r="D5014">
            <v>6.9364865409999998</v>
          </cell>
        </row>
        <row r="5015">
          <cell r="A5015">
            <v>50732</v>
          </cell>
          <cell r="B5015">
            <v>6.9374595169999997</v>
          </cell>
          <cell r="C5015">
            <v>6.9357519176000002</v>
          </cell>
          <cell r="D5015">
            <v>6.9391675369000003</v>
          </cell>
        </row>
        <row r="5016">
          <cell r="A5016">
            <v>50733</v>
          </cell>
          <cell r="B5016">
            <v>6.9401408888000002</v>
          </cell>
          <cell r="C5016">
            <v>6.9384326295000003</v>
          </cell>
          <cell r="D5016">
            <v>6.9418495689000004</v>
          </cell>
        </row>
        <row r="5017">
          <cell r="A5017">
            <v>50734</v>
          </cell>
          <cell r="B5017">
            <v>6.9428232971000003</v>
          </cell>
          <cell r="C5017">
            <v>6.9411143774999999</v>
          </cell>
          <cell r="D5017">
            <v>6.9445326376000001</v>
          </cell>
        </row>
        <row r="5018">
          <cell r="A5018">
            <v>50735</v>
          </cell>
          <cell r="B5018">
            <v>6.9455067422000001</v>
          </cell>
          <cell r="C5018">
            <v>6.9437971621000001</v>
          </cell>
          <cell r="D5018">
            <v>6.9472167434000003</v>
          </cell>
        </row>
        <row r="5019">
          <cell r="A5019">
            <v>50738</v>
          </cell>
          <cell r="B5019">
            <v>6.9481912244000004</v>
          </cell>
          <cell r="C5019">
            <v>6.9464809834999999</v>
          </cell>
          <cell r="D5019">
            <v>6.9499018865000002</v>
          </cell>
        </row>
        <row r="5020">
          <cell r="A5020">
            <v>50739</v>
          </cell>
          <cell r="B5020">
            <v>6.9508767442000003</v>
          </cell>
          <cell r="C5020">
            <v>6.9491658423000002</v>
          </cell>
          <cell r="D5020">
            <v>6.9525880674999998</v>
          </cell>
        </row>
        <row r="5021">
          <cell r="A5021">
            <v>50740</v>
          </cell>
          <cell r="B5021">
            <v>6.9535633020000001</v>
          </cell>
          <cell r="C5021">
            <v>6.9518517388000003</v>
          </cell>
          <cell r="D5021">
            <v>6.9552752867000001</v>
          </cell>
        </row>
        <row r="5022">
          <cell r="A5022">
            <v>50741</v>
          </cell>
          <cell r="B5022">
            <v>6.9562508981000004</v>
          </cell>
          <cell r="C5022">
            <v>6.9545386734000001</v>
          </cell>
          <cell r="D5022">
            <v>6.9579635445000001</v>
          </cell>
        </row>
        <row r="5023">
          <cell r="A5023">
            <v>50742</v>
          </cell>
          <cell r="B5023">
            <v>6.9589395328999997</v>
          </cell>
          <cell r="C5023">
            <v>6.9572266464999997</v>
          </cell>
          <cell r="D5023">
            <v>6.9606528412999999</v>
          </cell>
        </row>
        <row r="5024">
          <cell r="A5024">
            <v>50745</v>
          </cell>
          <cell r="B5024">
            <v>6.9616292069999997</v>
          </cell>
          <cell r="C5024">
            <v>6.9599156584999999</v>
          </cell>
          <cell r="D5024">
            <v>6.9633431775999997</v>
          </cell>
        </row>
        <row r="5025">
          <cell r="A5025">
            <v>50746</v>
          </cell>
          <cell r="B5025">
            <v>6.9643199207000004</v>
          </cell>
          <cell r="C5025">
            <v>6.9626057099000001</v>
          </cell>
          <cell r="D5025">
            <v>6.9660345537000001</v>
          </cell>
        </row>
        <row r="5026">
          <cell r="A5026">
            <v>50747</v>
          </cell>
          <cell r="B5026">
            <v>6.9670116744000001</v>
          </cell>
          <cell r="C5026">
            <v>6.965296801</v>
          </cell>
          <cell r="D5026">
            <v>6.9687269700999996</v>
          </cell>
        </row>
        <row r="5027">
          <cell r="A5027">
            <v>50748</v>
          </cell>
          <cell r="B5027">
            <v>6.9697044683999998</v>
          </cell>
          <cell r="C5027">
            <v>6.9679889321999999</v>
          </cell>
          <cell r="D5027">
            <v>6.9714204271</v>
          </cell>
        </row>
        <row r="5028">
          <cell r="A5028">
            <v>50749</v>
          </cell>
          <cell r="B5028">
            <v>6.9723983032000003</v>
          </cell>
          <cell r="C5028">
            <v>6.9706821038999998</v>
          </cell>
          <cell r="D5028">
            <v>6.9741149251000003</v>
          </cell>
        </row>
        <row r="5029">
          <cell r="A5029">
            <v>50752</v>
          </cell>
          <cell r="B5029">
            <v>6.9750931790999999</v>
          </cell>
          <cell r="C5029">
            <v>6.9733763164999996</v>
          </cell>
          <cell r="D5029">
            <v>6.9768104644999998</v>
          </cell>
        </row>
        <row r="5030">
          <cell r="A5030">
            <v>50753</v>
          </cell>
          <cell r="B5030">
            <v>6.9777890965999996</v>
          </cell>
          <cell r="C5030">
            <v>6.9760715705000003</v>
          </cell>
          <cell r="D5030">
            <v>6.9795070458000001</v>
          </cell>
        </row>
        <row r="5031">
          <cell r="A5031">
            <v>50754</v>
          </cell>
          <cell r="B5031">
            <v>6.9804860562000002</v>
          </cell>
          <cell r="C5031">
            <v>6.9787678662000001</v>
          </cell>
          <cell r="D5031">
            <v>6.9822046693999997</v>
          </cell>
        </row>
        <row r="5032">
          <cell r="A5032">
            <v>50755</v>
          </cell>
          <cell r="B5032">
            <v>6.9831840582</v>
          </cell>
          <cell r="C5032">
            <v>6.9814652041</v>
          </cell>
          <cell r="D5032">
            <v>6.9849033356000003</v>
          </cell>
        </row>
        <row r="5033">
          <cell r="A5033">
            <v>50756</v>
          </cell>
          <cell r="B5033">
            <v>6.9858831028999999</v>
          </cell>
          <cell r="C5033">
            <v>6.9841635844000001</v>
          </cell>
          <cell r="D5033">
            <v>6.9876030448000002</v>
          </cell>
        </row>
        <row r="5034">
          <cell r="A5034">
            <v>50759</v>
          </cell>
          <cell r="B5034">
            <v>6.9885831909</v>
          </cell>
          <cell r="C5034">
            <v>6.9868630079000003</v>
          </cell>
          <cell r="D5034">
            <v>6.9903037976000002</v>
          </cell>
        </row>
        <row r="5035">
          <cell r="A5035">
            <v>50760</v>
          </cell>
          <cell r="B5035">
            <v>6.9912843224000003</v>
          </cell>
          <cell r="C5035">
            <v>6.9895634744999997</v>
          </cell>
          <cell r="D5035">
            <v>6.9930055941000004</v>
          </cell>
        </row>
        <row r="5036">
          <cell r="A5036">
            <v>50761</v>
          </cell>
          <cell r="B5036">
            <v>6.9939864978999999</v>
          </cell>
          <cell r="C5036">
            <v>6.9922649849000003</v>
          </cell>
          <cell r="D5036">
            <v>6.9957084349000001</v>
          </cell>
        </row>
        <row r="5037">
          <cell r="A5037">
            <v>50762</v>
          </cell>
          <cell r="B5037">
            <v>6.9966897177999998</v>
          </cell>
          <cell r="C5037">
            <v>6.9949675395000002</v>
          </cell>
          <cell r="D5037">
            <v>6.9984123203999999</v>
          </cell>
        </row>
        <row r="5038">
          <cell r="A5038">
            <v>50763</v>
          </cell>
          <cell r="B5038">
            <v>6.9993939827</v>
          </cell>
          <cell r="C5038">
            <v>6.9976711386000003</v>
          </cell>
          <cell r="D5038">
            <v>7.0011172510000002</v>
          </cell>
        </row>
        <row r="5039">
          <cell r="A5039">
            <v>50766</v>
          </cell>
          <cell r="B5039">
            <v>7.0020992925999996</v>
          </cell>
          <cell r="C5039">
            <v>7.0003757826999999</v>
          </cell>
          <cell r="D5039">
            <v>7.0038232269999998</v>
          </cell>
        </row>
        <row r="5040">
          <cell r="A5040">
            <v>50767</v>
          </cell>
          <cell r="B5040">
            <v>7.0048056481999996</v>
          </cell>
          <cell r="C5040">
            <v>7.0030814720999999</v>
          </cell>
          <cell r="D5040">
            <v>7.0065302488999999</v>
          </cell>
        </row>
        <row r="5041">
          <cell r="A5041">
            <v>50768</v>
          </cell>
          <cell r="B5041">
            <v>7.0075130498</v>
          </cell>
          <cell r="C5041">
            <v>7.0057882074000002</v>
          </cell>
          <cell r="D5041">
            <v>7.0092383171000003</v>
          </cell>
        </row>
        <row r="5042">
          <cell r="A5042">
            <v>50769</v>
          </cell>
          <cell r="B5042">
            <v>7.0102214978999999</v>
          </cell>
          <cell r="C5042">
            <v>7.0084959888</v>
          </cell>
          <cell r="D5042">
            <v>7.0119474320000004</v>
          </cell>
        </row>
        <row r="5043">
          <cell r="A5043">
            <v>50770</v>
          </cell>
          <cell r="B5043">
            <v>7.0129309928000003</v>
          </cell>
          <cell r="C5043">
            <v>7.0112048168000003</v>
          </cell>
          <cell r="D5043">
            <v>7.014657594</v>
          </cell>
        </row>
        <row r="5044">
          <cell r="A5044">
            <v>50773</v>
          </cell>
          <cell r="B5044">
            <v>7.0156415349000003</v>
          </cell>
          <cell r="C5044">
            <v>7.0139146916000001</v>
          </cell>
          <cell r="D5044">
            <v>7.0173688034000001</v>
          </cell>
        </row>
        <row r="5045">
          <cell r="A5045">
            <v>50774</v>
          </cell>
          <cell r="B5045">
            <v>7.0183531246999999</v>
          </cell>
          <cell r="C5045">
            <v>7.0166256139999996</v>
          </cell>
          <cell r="D5045">
            <v>7.0200810607999999</v>
          </cell>
        </row>
        <row r="5046">
          <cell r="A5046">
            <v>50775</v>
          </cell>
          <cell r="B5046">
            <v>7.0210657624000001</v>
          </cell>
          <cell r="C5046">
            <v>7.0193375840999996</v>
          </cell>
          <cell r="D5046">
            <v>7.0227943664000003</v>
          </cell>
        </row>
        <row r="5047">
          <cell r="A5047">
            <v>50776</v>
          </cell>
          <cell r="B5047">
            <v>7.0237794487</v>
          </cell>
          <cell r="C5047">
            <v>7.0220506024000002</v>
          </cell>
          <cell r="D5047">
            <v>7.0255087208000004</v>
          </cell>
        </row>
        <row r="5048">
          <cell r="A5048">
            <v>50777</v>
          </cell>
          <cell r="B5048">
            <v>7.0264941837999997</v>
          </cell>
          <cell r="C5048">
            <v>7.0247646692999997</v>
          </cell>
          <cell r="D5048">
            <v>7.0282241243000003</v>
          </cell>
        </row>
        <row r="5049">
          <cell r="A5049">
            <v>50780</v>
          </cell>
          <cell r="B5049">
            <v>7.0292099682</v>
          </cell>
          <cell r="C5049">
            <v>7.0274797851999997</v>
          </cell>
          <cell r="D5049">
            <v>7.0309405773</v>
          </cell>
        </row>
        <row r="5050">
          <cell r="A5050">
            <v>50781</v>
          </cell>
          <cell r="B5050">
            <v>7.0319268022000001</v>
          </cell>
          <cell r="C5050">
            <v>7.0301959504999996</v>
          </cell>
          <cell r="D5050">
            <v>7.0336580802000004</v>
          </cell>
        </row>
        <row r="5051">
          <cell r="A5051">
            <v>50782</v>
          </cell>
          <cell r="B5051">
            <v>7.0346446863000001</v>
          </cell>
          <cell r="C5051">
            <v>7.0329131656000001</v>
          </cell>
          <cell r="D5051">
            <v>7.0363766334999998</v>
          </cell>
        </row>
        <row r="5052">
          <cell r="A5052">
            <v>50783</v>
          </cell>
          <cell r="B5052">
            <v>7.0373636208999999</v>
          </cell>
          <cell r="C5052">
            <v>7.0356314309999997</v>
          </cell>
          <cell r="D5052">
            <v>7.0390962374999999</v>
          </cell>
        </row>
        <row r="5053">
          <cell r="A5053">
            <v>50784</v>
          </cell>
          <cell r="B5053">
            <v>7.0400836064999996</v>
          </cell>
          <cell r="C5053">
            <v>7.038350747</v>
          </cell>
          <cell r="D5053">
            <v>7.0418168927</v>
          </cell>
        </row>
        <row r="5054">
          <cell r="A5054">
            <v>50787</v>
          </cell>
          <cell r="B5054">
            <v>7.0428046432000002</v>
          </cell>
          <cell r="C5054">
            <v>7.0410711140000002</v>
          </cell>
          <cell r="D5054">
            <v>7.0445385994</v>
          </cell>
        </row>
        <row r="5055">
          <cell r="A5055">
            <v>50788</v>
          </cell>
          <cell r="B5055">
            <v>7.0455267316999999</v>
          </cell>
          <cell r="C5055">
            <v>7.0437925324000004</v>
          </cell>
          <cell r="D5055">
            <v>7.0472613580000001</v>
          </cell>
        </row>
        <row r="5056">
          <cell r="A5056">
            <v>50789</v>
          </cell>
          <cell r="B5056">
            <v>7.0482498722000004</v>
          </cell>
          <cell r="C5056">
            <v>7.0465150026999996</v>
          </cell>
          <cell r="D5056">
            <v>7.0499851690000002</v>
          </cell>
        </row>
        <row r="5057">
          <cell r="A5057">
            <v>50790</v>
          </cell>
          <cell r="B5057">
            <v>7.0509740653000001</v>
          </cell>
          <cell r="C5057">
            <v>7.0492385252999998</v>
          </cell>
          <cell r="D5057">
            <v>7.0527100328000003</v>
          </cell>
        </row>
        <row r="5058">
          <cell r="A5058">
            <v>50791</v>
          </cell>
          <cell r="B5058">
            <v>7.0536993112999999</v>
          </cell>
          <cell r="C5058">
            <v>7.0519631005000001</v>
          </cell>
          <cell r="D5058">
            <v>7.0554359497999997</v>
          </cell>
        </row>
        <row r="5059">
          <cell r="A5059">
            <v>50794</v>
          </cell>
          <cell r="B5059">
            <v>7.0564256105999998</v>
          </cell>
          <cell r="C5059">
            <v>7.0546887287000004</v>
          </cell>
          <cell r="D5059">
            <v>7.0581629203</v>
          </cell>
        </row>
        <row r="5060">
          <cell r="A5060">
            <v>50795</v>
          </cell>
          <cell r="B5060">
            <v>7.0591529636999999</v>
          </cell>
          <cell r="C5060">
            <v>7.0574154105</v>
          </cell>
          <cell r="D5060">
            <v>7.0608909448999997</v>
          </cell>
        </row>
        <row r="5061">
          <cell r="A5061">
            <v>50796</v>
          </cell>
          <cell r="B5061">
            <v>7.0618813709000001</v>
          </cell>
          <cell r="C5061">
            <v>7.0601431460999997</v>
          </cell>
          <cell r="D5061">
            <v>7.0636200238000004</v>
          </cell>
        </row>
        <row r="5062">
          <cell r="A5062">
            <v>50797</v>
          </cell>
          <cell r="B5062">
            <v>7.0646108326999997</v>
          </cell>
          <cell r="C5062">
            <v>7.0628719360999996</v>
          </cell>
          <cell r="D5062">
            <v>7.0663501575999996</v>
          </cell>
        </row>
        <row r="5063">
          <cell r="A5063">
            <v>50798</v>
          </cell>
          <cell r="B5063">
            <v>7.0673413493000004</v>
          </cell>
          <cell r="C5063">
            <v>7.0656017805999998</v>
          </cell>
          <cell r="D5063">
            <v>7.0690813465</v>
          </cell>
        </row>
        <row r="5064">
          <cell r="A5064">
            <v>50801</v>
          </cell>
          <cell r="B5064">
            <v>7.0700729214000004</v>
          </cell>
          <cell r="C5064">
            <v>7.0683326804000002</v>
          </cell>
          <cell r="D5064">
            <v>7.0718135910999997</v>
          </cell>
        </row>
        <row r="5065">
          <cell r="A5065">
            <v>50802</v>
          </cell>
          <cell r="B5065">
            <v>7.0728055491999999</v>
          </cell>
          <cell r="C5065">
            <v>7.0710646356</v>
          </cell>
          <cell r="D5065">
            <v>7.0745468916999998</v>
          </cell>
        </row>
        <row r="5066">
          <cell r="A5066">
            <v>50803</v>
          </cell>
          <cell r="B5066">
            <v>7.0755392332999998</v>
          </cell>
          <cell r="C5066">
            <v>7.0737976467000001</v>
          </cell>
          <cell r="D5066">
            <v>7.0772812488000003</v>
          </cell>
        </row>
        <row r="5067">
          <cell r="A5067">
            <v>50804</v>
          </cell>
          <cell r="B5067">
            <v>7.0782739739</v>
          </cell>
          <cell r="C5067">
            <v>7.0765317141999997</v>
          </cell>
          <cell r="D5067">
            <v>7.0800166627000003</v>
          </cell>
        </row>
        <row r="5068">
          <cell r="A5068">
            <v>50805</v>
          </cell>
          <cell r="B5068">
            <v>7.0810097713999998</v>
          </cell>
          <cell r="C5068">
            <v>7.0792668383999997</v>
          </cell>
          <cell r="D5068">
            <v>7.0827531337999998</v>
          </cell>
        </row>
        <row r="5069">
          <cell r="A5069">
            <v>50808</v>
          </cell>
          <cell r="B5069">
            <v>7.0837466265</v>
          </cell>
          <cell r="C5069">
            <v>7.0820030198000001</v>
          </cell>
          <cell r="D5069">
            <v>7.0854906626999998</v>
          </cell>
        </row>
        <row r="5070">
          <cell r="A5070">
            <v>50809</v>
          </cell>
          <cell r="B5070">
            <v>7.0864845391999998</v>
          </cell>
          <cell r="C5070">
            <v>7.0847402586000001</v>
          </cell>
          <cell r="D5070">
            <v>7.0882292495000003</v>
          </cell>
        </row>
        <row r="5071">
          <cell r="A5071">
            <v>50810</v>
          </cell>
          <cell r="B5071">
            <v>7.0892235103000001</v>
          </cell>
          <cell r="C5071">
            <v>7.0874785554999997</v>
          </cell>
          <cell r="D5071">
            <v>7.0909688948999996</v>
          </cell>
        </row>
        <row r="5072">
          <cell r="A5072">
            <v>50811</v>
          </cell>
          <cell r="B5072">
            <v>7.0919635400000001</v>
          </cell>
          <cell r="C5072">
            <v>7.0902179106999998</v>
          </cell>
          <cell r="D5072">
            <v>7.0937095992000003</v>
          </cell>
        </row>
        <row r="5073">
          <cell r="A5073">
            <v>50812</v>
          </cell>
          <cell r="B5073">
            <v>7.0947046285999997</v>
          </cell>
          <cell r="C5073">
            <v>7.0929583246999997</v>
          </cell>
          <cell r="D5073">
            <v>7.0964513626999999</v>
          </cell>
        </row>
        <row r="5074">
          <cell r="A5074">
            <v>50815</v>
          </cell>
          <cell r="B5074">
            <v>7.0974467768</v>
          </cell>
          <cell r="C5074">
            <v>7.0956997979</v>
          </cell>
          <cell r="D5074">
            <v>7.0991941860000001</v>
          </cell>
        </row>
        <row r="5075">
          <cell r="A5075">
            <v>50816</v>
          </cell>
          <cell r="B5075">
            <v>7.1001899848000001</v>
          </cell>
          <cell r="C5075">
            <v>7.0984423307000002</v>
          </cell>
          <cell r="D5075">
            <v>7.1019380694000001</v>
          </cell>
        </row>
        <row r="5076">
          <cell r="A5076">
            <v>50817</v>
          </cell>
          <cell r="B5076">
            <v>7.1029342530999999</v>
          </cell>
          <cell r="C5076">
            <v>7.1011859235000001</v>
          </cell>
          <cell r="D5076">
            <v>7.1046830132999998</v>
          </cell>
        </row>
        <row r="5077">
          <cell r="A5077">
            <v>50818</v>
          </cell>
          <cell r="B5077">
            <v>7.1056795819999996</v>
          </cell>
          <cell r="C5077">
            <v>7.1039305765999998</v>
          </cell>
          <cell r="D5077">
            <v>7.1074290181000004</v>
          </cell>
        </row>
        <row r="5078">
          <cell r="A5078">
            <v>50819</v>
          </cell>
          <cell r="B5078">
            <v>7.108425972</v>
          </cell>
          <cell r="C5078">
            <v>7.1066762906000003</v>
          </cell>
          <cell r="D5078">
            <v>7.1101760842999999</v>
          </cell>
        </row>
        <row r="5079">
          <cell r="A5079">
            <v>50824</v>
          </cell>
          <cell r="B5079">
            <v>7.1111734236000004</v>
          </cell>
          <cell r="C5079">
            <v>7.1094230659999997</v>
          </cell>
          <cell r="D5079">
            <v>7.1129242123000003</v>
          </cell>
        </row>
        <row r="5080">
          <cell r="A5080">
            <v>50825</v>
          </cell>
          <cell r="B5080">
            <v>7.1139219369999998</v>
          </cell>
          <cell r="C5080">
            <v>7.1121709028</v>
          </cell>
          <cell r="D5080">
            <v>7.1156734023999997</v>
          </cell>
        </row>
        <row r="5081">
          <cell r="A5081">
            <v>50826</v>
          </cell>
          <cell r="B5081">
            <v>7.1166715127</v>
          </cell>
          <cell r="C5081">
            <v>7.1149198018000002</v>
          </cell>
          <cell r="D5081">
            <v>7.1184236551</v>
          </cell>
        </row>
        <row r="5082">
          <cell r="A5082">
            <v>50829</v>
          </cell>
          <cell r="B5082">
            <v>7.1194221512000002</v>
          </cell>
          <cell r="C5082">
            <v>7.1176697632000003</v>
          </cell>
          <cell r="D5082">
            <v>7.1211749708000003</v>
          </cell>
        </row>
        <row r="5083">
          <cell r="A5083">
            <v>50830</v>
          </cell>
          <cell r="B5083">
            <v>7.1221738527999996</v>
          </cell>
          <cell r="C5083">
            <v>7.1204207875999996</v>
          </cell>
          <cell r="D5083">
            <v>7.1239273498999998</v>
          </cell>
        </row>
        <row r="5084">
          <cell r="A5084">
            <v>50831</v>
          </cell>
          <cell r="B5084">
            <v>7.1249266179999999</v>
          </cell>
          <cell r="C5084">
            <v>7.1231728750999999</v>
          </cell>
          <cell r="D5084">
            <v>7.1266807928000002</v>
          </cell>
        </row>
        <row r="5085">
          <cell r="A5085">
            <v>50832</v>
          </cell>
          <cell r="B5085">
            <v>7.1276804472000004</v>
          </cell>
          <cell r="C5085">
            <v>7.1259260265000002</v>
          </cell>
          <cell r="D5085">
            <v>7.1294352999999999</v>
          </cell>
        </row>
        <row r="5086">
          <cell r="A5086">
            <v>50833</v>
          </cell>
          <cell r="B5086">
            <v>7.1304353406000001</v>
          </cell>
          <cell r="C5086">
            <v>7.1286802418999997</v>
          </cell>
          <cell r="D5086">
            <v>7.1321908716999998</v>
          </cell>
        </row>
        <row r="5087">
          <cell r="A5087">
            <v>50836</v>
          </cell>
          <cell r="B5087">
            <v>7.1331912989999999</v>
          </cell>
          <cell r="C5087">
            <v>7.1314355219000003</v>
          </cell>
          <cell r="D5087">
            <v>7.1349475085999998</v>
          </cell>
        </row>
        <row r="5088">
          <cell r="A5088">
            <v>50837</v>
          </cell>
          <cell r="B5088">
            <v>7.1359483224</v>
          </cell>
          <cell r="C5088">
            <v>7.1341918667000002</v>
          </cell>
          <cell r="D5088">
            <v>7.1377052108000001</v>
          </cell>
        </row>
        <row r="5089">
          <cell r="A5089">
            <v>50838</v>
          </cell>
          <cell r="B5089">
            <v>7.1387064116000003</v>
          </cell>
          <cell r="C5089">
            <v>7.1369492769000002</v>
          </cell>
          <cell r="D5089">
            <v>7.1404639789999997</v>
          </cell>
        </row>
        <row r="5090">
          <cell r="A5090">
            <v>50839</v>
          </cell>
          <cell r="B5090">
            <v>7.1414655667</v>
          </cell>
          <cell r="C5090">
            <v>7.1397077528999997</v>
          </cell>
          <cell r="D5090">
            <v>7.1432238133999997</v>
          </cell>
        </row>
        <row r="5091">
          <cell r="A5091">
            <v>50840</v>
          </cell>
          <cell r="B5091">
            <v>7.1442257882</v>
          </cell>
          <cell r="C5091">
            <v>7.1424672950000003</v>
          </cell>
          <cell r="D5091">
            <v>7.1459847144999999</v>
          </cell>
        </row>
        <row r="5092">
          <cell r="A5092">
            <v>50843</v>
          </cell>
          <cell r="B5092">
            <v>7.1469870766000003</v>
          </cell>
          <cell r="C5092">
            <v>7.1452279037000004</v>
          </cell>
          <cell r="D5092">
            <v>7.1487466826999997</v>
          </cell>
        </row>
        <row r="5093">
          <cell r="A5093">
            <v>50844</v>
          </cell>
          <cell r="B5093">
            <v>7.1497494323000002</v>
          </cell>
          <cell r="C5093">
            <v>7.1479895794999999</v>
          </cell>
          <cell r="D5093">
            <v>7.1515097184999998</v>
          </cell>
        </row>
        <row r="5094">
          <cell r="A5094">
            <v>50845</v>
          </cell>
          <cell r="B5094">
            <v>7.1525128555000004</v>
          </cell>
          <cell r="C5094">
            <v>7.1507523224999998</v>
          </cell>
          <cell r="D5094">
            <v>7.1542738221000004</v>
          </cell>
        </row>
        <row r="5095">
          <cell r="A5095">
            <v>50846</v>
          </cell>
          <cell r="B5095">
            <v>7.1552773470000002</v>
          </cell>
          <cell r="C5095">
            <v>7.1535161335000002</v>
          </cell>
          <cell r="D5095">
            <v>7.1570389941999997</v>
          </cell>
        </row>
        <row r="5096">
          <cell r="A5096">
            <v>50847</v>
          </cell>
          <cell r="B5096">
            <v>7.1580429068000004</v>
          </cell>
          <cell r="C5096">
            <v>7.1562810126</v>
          </cell>
          <cell r="D5096">
            <v>7.1598052349000003</v>
          </cell>
        </row>
        <row r="5097">
          <cell r="A5097">
            <v>50850</v>
          </cell>
          <cell r="B5097">
            <v>7.1608095356000003</v>
          </cell>
          <cell r="C5097">
            <v>7.1590469604999996</v>
          </cell>
          <cell r="D5097">
            <v>7.1625725448999997</v>
          </cell>
        </row>
        <row r="5098">
          <cell r="A5098">
            <v>50851</v>
          </cell>
          <cell r="B5098">
            <v>7.1635772336999999</v>
          </cell>
          <cell r="C5098">
            <v>7.1618139772999996</v>
          </cell>
          <cell r="D5098">
            <v>7.1653409243999997</v>
          </cell>
        </row>
        <row r="5099">
          <cell r="A5099">
            <v>50852</v>
          </cell>
          <cell r="B5099">
            <v>7.1663460015</v>
          </cell>
          <cell r="C5099">
            <v>7.1645820636000002</v>
          </cell>
          <cell r="D5099">
            <v>7.1681103739000003</v>
          </cell>
        </row>
        <row r="5100">
          <cell r="A5100">
            <v>50853</v>
          </cell>
          <cell r="B5100">
            <v>7.1691158394999999</v>
          </cell>
          <cell r="C5100">
            <v>7.1673512197999996</v>
          </cell>
          <cell r="D5100">
            <v>7.1708808937999997</v>
          </cell>
        </row>
        <row r="5101">
          <cell r="A5101">
            <v>50854</v>
          </cell>
          <cell r="B5101">
            <v>7.1718867481000004</v>
          </cell>
          <cell r="C5101">
            <v>7.1701214463999996</v>
          </cell>
          <cell r="D5101">
            <v>7.1736524845999998</v>
          </cell>
        </row>
        <row r="5102">
          <cell r="A5102">
            <v>50857</v>
          </cell>
          <cell r="B5102">
            <v>7.1746587275999998</v>
          </cell>
          <cell r="C5102">
            <v>7.1728927436000003</v>
          </cell>
          <cell r="D5102">
            <v>7.1764251465999997</v>
          </cell>
        </row>
        <row r="5103">
          <cell r="A5103">
            <v>50858</v>
          </cell>
          <cell r="B5103">
            <v>7.1774317784999999</v>
          </cell>
          <cell r="C5103">
            <v>7.1756651118999999</v>
          </cell>
          <cell r="D5103">
            <v>7.1791988802000004</v>
          </cell>
        </row>
        <row r="5104">
          <cell r="A5104">
            <v>50859</v>
          </cell>
          <cell r="B5104">
            <v>7.1802059011999999</v>
          </cell>
          <cell r="C5104">
            <v>7.1784385518000002</v>
          </cell>
          <cell r="D5104">
            <v>7.1819736859000001</v>
          </cell>
        </row>
        <row r="5105">
          <cell r="A5105">
            <v>50860</v>
          </cell>
          <cell r="B5105">
            <v>7.1829810960999998</v>
          </cell>
          <cell r="C5105">
            <v>7.1812130635999996</v>
          </cell>
          <cell r="D5105">
            <v>7.1847495640999997</v>
          </cell>
        </row>
        <row r="5106">
          <cell r="A5106">
            <v>50861</v>
          </cell>
          <cell r="B5106">
            <v>7.1857573636999996</v>
          </cell>
          <cell r="C5106">
            <v>7.1839886478999997</v>
          </cell>
          <cell r="D5106">
            <v>7.1875265152000001</v>
          </cell>
        </row>
        <row r="5107">
          <cell r="A5107">
            <v>50864</v>
          </cell>
          <cell r="B5107">
            <v>7.1885347043000003</v>
          </cell>
          <cell r="C5107">
            <v>7.1867653048999998</v>
          </cell>
          <cell r="D5107">
            <v>7.1903045395999996</v>
          </cell>
        </row>
        <row r="5108">
          <cell r="A5108">
            <v>50865</v>
          </cell>
          <cell r="B5108">
            <v>7.1913131184000001</v>
          </cell>
          <cell r="C5108">
            <v>7.1895430349999998</v>
          </cell>
          <cell r="D5108">
            <v>7.1930836377</v>
          </cell>
        </row>
        <row r="5109">
          <cell r="A5109">
            <v>50866</v>
          </cell>
          <cell r="B5109">
            <v>7.1940926062999999</v>
          </cell>
          <cell r="C5109">
            <v>7.1923218387999999</v>
          </cell>
          <cell r="D5109">
            <v>7.1958638098999996</v>
          </cell>
        </row>
        <row r="5110">
          <cell r="A5110">
            <v>50867</v>
          </cell>
          <cell r="B5110">
            <v>7.1968731684999998</v>
          </cell>
          <cell r="C5110">
            <v>7.1951017166</v>
          </cell>
          <cell r="D5110">
            <v>7.1986450567000002</v>
          </cell>
        </row>
        <row r="5111">
          <cell r="A5111">
            <v>50871</v>
          </cell>
          <cell r="B5111">
            <v>7.1996548053999998</v>
          </cell>
          <cell r="C5111">
            <v>7.1978826688000002</v>
          </cell>
          <cell r="D5111">
            <v>7.2014273785</v>
          </cell>
        </row>
        <row r="5112">
          <cell r="A5112">
            <v>50872</v>
          </cell>
          <cell r="B5112">
            <v>7.2024375174999999</v>
          </cell>
          <cell r="C5112">
            <v>7.2006646959999996</v>
          </cell>
          <cell r="D5112">
            <v>7.2042107757</v>
          </cell>
        </row>
        <row r="5113">
          <cell r="A5113">
            <v>50873</v>
          </cell>
          <cell r="B5113">
            <v>7.2052213051000003</v>
          </cell>
          <cell r="C5113">
            <v>7.2034477983</v>
          </cell>
          <cell r="D5113">
            <v>7.2069952486000002</v>
          </cell>
        </row>
        <row r="5114">
          <cell r="A5114">
            <v>50874</v>
          </cell>
          <cell r="B5114">
            <v>7.2080061685999999</v>
          </cell>
          <cell r="C5114">
            <v>7.2062319763999998</v>
          </cell>
          <cell r="D5114">
            <v>7.2097807977999997</v>
          </cell>
        </row>
        <row r="5115">
          <cell r="A5115">
            <v>50875</v>
          </cell>
          <cell r="B5115">
            <v>7.2107921084999997</v>
          </cell>
          <cell r="C5115">
            <v>7.2090172305999998</v>
          </cell>
          <cell r="D5115">
            <v>7.2125674236000004</v>
          </cell>
        </row>
        <row r="5116">
          <cell r="A5116">
            <v>50878</v>
          </cell>
          <cell r="B5116">
            <v>7.2135791251999999</v>
          </cell>
          <cell r="C5116">
            <v>7.2118035613</v>
          </cell>
          <cell r="D5116">
            <v>7.2153551265000004</v>
          </cell>
        </row>
        <row r="5117">
          <cell r="A5117">
            <v>50879</v>
          </cell>
          <cell r="B5117">
            <v>7.2163672191000003</v>
          </cell>
          <cell r="C5117">
            <v>7.2145909688999996</v>
          </cell>
          <cell r="D5117">
            <v>7.2181439068</v>
          </cell>
        </row>
        <row r="5118">
          <cell r="A5118">
            <v>50880</v>
          </cell>
          <cell r="B5118">
            <v>7.2191563906000003</v>
          </cell>
          <cell r="C5118">
            <v>7.2173794537999996</v>
          </cell>
          <cell r="D5118">
            <v>7.2209337649999998</v>
          </cell>
        </row>
        <row r="5119">
          <cell r="A5119">
            <v>50882</v>
          </cell>
          <cell r="B5119">
            <v>7.2219466400999996</v>
          </cell>
          <cell r="C5119">
            <v>7.2201690165999999</v>
          </cell>
          <cell r="D5119">
            <v>7.2237247015000001</v>
          </cell>
        </row>
        <row r="5120">
          <cell r="A5120">
            <v>50885</v>
          </cell>
          <cell r="B5120">
            <v>7.2247379681000004</v>
          </cell>
          <cell r="C5120">
            <v>7.2229596574999997</v>
          </cell>
          <cell r="D5120">
            <v>7.2265167167</v>
          </cell>
        </row>
        <row r="5121">
          <cell r="A5121">
            <v>50886</v>
          </cell>
          <cell r="B5121">
            <v>7.2275303749999997</v>
          </cell>
          <cell r="C5121">
            <v>7.2257513770999999</v>
          </cell>
          <cell r="D5121">
            <v>7.2293098111000003</v>
          </cell>
        </row>
        <row r="5122">
          <cell r="A5122">
            <v>50887</v>
          </cell>
          <cell r="B5122">
            <v>7.2303238610999996</v>
          </cell>
          <cell r="C5122">
            <v>7.2285441755999997</v>
          </cell>
          <cell r="D5122">
            <v>7.2321039850000002</v>
          </cell>
        </row>
        <row r="5123">
          <cell r="A5123">
            <v>50888</v>
          </cell>
          <cell r="B5123">
            <v>7.2331184269</v>
          </cell>
          <cell r="C5123">
            <v>7.2313380535</v>
          </cell>
          <cell r="D5123">
            <v>7.2348992387999997</v>
          </cell>
        </row>
        <row r="5124">
          <cell r="A5124">
            <v>50889</v>
          </cell>
          <cell r="B5124">
            <v>7.2359140729</v>
          </cell>
          <cell r="C5124">
            <v>7.2341330114</v>
          </cell>
          <cell r="D5124">
            <v>7.2376955730999999</v>
          </cell>
        </row>
        <row r="5125">
          <cell r="A5125">
            <v>50892</v>
          </cell>
          <cell r="B5125">
            <v>7.2387107993999997</v>
          </cell>
          <cell r="C5125">
            <v>7.2369290493999996</v>
          </cell>
          <cell r="D5125">
            <v>7.2404929880999997</v>
          </cell>
        </row>
        <row r="5126">
          <cell r="A5126">
            <v>50893</v>
          </cell>
          <cell r="B5126">
            <v>7.2415086068000001</v>
          </cell>
          <cell r="C5126">
            <v>7.2397261682999998</v>
          </cell>
          <cell r="D5126">
            <v>7.2432914844000003</v>
          </cell>
        </row>
        <row r="5127">
          <cell r="A5127">
            <v>50894</v>
          </cell>
          <cell r="B5127">
            <v>7.2443074956000002</v>
          </cell>
          <cell r="C5127">
            <v>7.2425243680999998</v>
          </cell>
          <cell r="D5127">
            <v>7.2460910622999997</v>
          </cell>
        </row>
        <row r="5128">
          <cell r="A5128">
            <v>50895</v>
          </cell>
          <cell r="B5128">
            <v>7.2471074662000001</v>
          </cell>
          <cell r="C5128">
            <v>7.2453236495000004</v>
          </cell>
          <cell r="D5128">
            <v>7.2488917221999998</v>
          </cell>
        </row>
        <row r="5129">
          <cell r="A5129">
            <v>50896</v>
          </cell>
          <cell r="B5129">
            <v>7.2499085189999999</v>
          </cell>
          <cell r="C5129">
            <v>7.2481240129</v>
          </cell>
          <cell r="D5129">
            <v>7.2516934646999998</v>
          </cell>
        </row>
        <row r="5130">
          <cell r="A5130">
            <v>50899</v>
          </cell>
          <cell r="B5130">
            <v>7.2527106545000004</v>
          </cell>
          <cell r="C5130">
            <v>7.2509254586000003</v>
          </cell>
          <cell r="D5130">
            <v>7.2544962899999996</v>
          </cell>
        </row>
        <row r="5131">
          <cell r="A5131">
            <v>50900</v>
          </cell>
          <cell r="B5131">
            <v>7.2555138728999999</v>
          </cell>
          <cell r="C5131">
            <v>7.2537279870000004</v>
          </cell>
          <cell r="D5131">
            <v>7.2573001986000003</v>
          </cell>
        </row>
        <row r="5132">
          <cell r="A5132">
            <v>50901</v>
          </cell>
          <cell r="B5132">
            <v>7.2583181749000003</v>
          </cell>
          <cell r="C5132">
            <v>7.2565315987999996</v>
          </cell>
          <cell r="D5132">
            <v>7.2601051910000001</v>
          </cell>
        </row>
        <row r="5133">
          <cell r="A5133">
            <v>50902</v>
          </cell>
          <cell r="B5133">
            <v>7.2611235606999998</v>
          </cell>
          <cell r="C5133">
            <v>7.2593362939999997</v>
          </cell>
          <cell r="D5133">
            <v>7.2629112674999998</v>
          </cell>
        </row>
        <row r="5134">
          <cell r="A5134">
            <v>50903</v>
          </cell>
          <cell r="B5134">
            <v>7.2639300308000001</v>
          </cell>
          <cell r="C5134">
            <v>7.2621420733999997</v>
          </cell>
          <cell r="D5134">
            <v>7.2657184285999996</v>
          </cell>
        </row>
        <row r="5135">
          <cell r="A5135">
            <v>50906</v>
          </cell>
          <cell r="B5135">
            <v>7.2667375855999996</v>
          </cell>
          <cell r="C5135">
            <v>7.2649489370999998</v>
          </cell>
          <cell r="D5135">
            <v>7.2685266746000003</v>
          </cell>
        </row>
        <row r="5136">
          <cell r="A5136">
            <v>50907</v>
          </cell>
          <cell r="B5136">
            <v>7.2695462256000001</v>
          </cell>
          <cell r="C5136">
            <v>7.2677568857999999</v>
          </cell>
          <cell r="D5136">
            <v>7.2713360061000003</v>
          </cell>
        </row>
        <row r="5137">
          <cell r="A5137">
            <v>50908</v>
          </cell>
          <cell r="B5137">
            <v>7.2723559510999998</v>
          </cell>
          <cell r="C5137">
            <v>7.2705659197000001</v>
          </cell>
          <cell r="D5137">
            <v>7.2741464234000004</v>
          </cell>
        </row>
        <row r="5138">
          <cell r="A5138">
            <v>50909</v>
          </cell>
          <cell r="B5138">
            <v>7.2751667625999996</v>
          </cell>
          <cell r="C5138">
            <v>7.2733760394000004</v>
          </cell>
          <cell r="D5138">
            <v>7.2769579268999998</v>
          </cell>
        </row>
        <row r="5139">
          <cell r="A5139">
            <v>50910</v>
          </cell>
          <cell r="B5139">
            <v>7.2779786604999996</v>
          </cell>
          <cell r="C5139">
            <v>7.2761872451</v>
          </cell>
          <cell r="D5139">
            <v>7.2797705171000002</v>
          </cell>
        </row>
        <row r="5140">
          <cell r="A5140">
            <v>50913</v>
          </cell>
          <cell r="B5140">
            <v>7.2807916451999999</v>
          </cell>
          <cell r="C5140">
            <v>7.2789995374999998</v>
          </cell>
          <cell r="D5140">
            <v>7.2825841944</v>
          </cell>
        </row>
        <row r="5141">
          <cell r="A5141">
            <v>50914</v>
          </cell>
          <cell r="B5141">
            <v>7.2836057172000004</v>
          </cell>
          <cell r="C5141">
            <v>7.2818129167999999</v>
          </cell>
          <cell r="D5141">
            <v>7.2853989592000001</v>
          </cell>
        </row>
        <row r="5142">
          <cell r="A5142">
            <v>50915</v>
          </cell>
          <cell r="B5142">
            <v>7.2864208768000003</v>
          </cell>
          <cell r="C5142">
            <v>7.2846273835000002</v>
          </cell>
          <cell r="D5142">
            <v>7.2882148118999996</v>
          </cell>
        </row>
        <row r="5143">
          <cell r="A5143">
            <v>50916</v>
          </cell>
          <cell r="B5143">
            <v>7.2892371243999996</v>
          </cell>
          <cell r="C5143">
            <v>7.2874429378999999</v>
          </cell>
          <cell r="D5143">
            <v>7.2910317529000004</v>
          </cell>
        </row>
        <row r="5144">
          <cell r="A5144">
            <v>50917</v>
          </cell>
          <cell r="B5144">
            <v>7.2920544606000002</v>
          </cell>
          <cell r="C5144">
            <v>7.2902595805999999</v>
          </cell>
          <cell r="D5144">
            <v>7.2938497826999997</v>
          </cell>
        </row>
        <row r="5145">
          <cell r="A5145">
            <v>50920</v>
          </cell>
          <cell r="B5145">
            <v>7.2948728857000003</v>
          </cell>
          <cell r="C5145">
            <v>7.2930773120000003</v>
          </cell>
          <cell r="D5145">
            <v>7.2966689017000004</v>
          </cell>
        </row>
        <row r="5146">
          <cell r="A5146">
            <v>50921</v>
          </cell>
          <cell r="B5146">
            <v>7.2976924000999999</v>
          </cell>
          <cell r="C5146">
            <v>7.2958961324000002</v>
          </cell>
          <cell r="D5146">
            <v>7.2994891102999997</v>
          </cell>
        </row>
        <row r="5147">
          <cell r="A5147">
            <v>50922</v>
          </cell>
          <cell r="B5147">
            <v>7.3005130044</v>
          </cell>
          <cell r="C5147">
            <v>7.2987160423999997</v>
          </cell>
          <cell r="D5147">
            <v>7.3023104090000004</v>
          </cell>
        </row>
        <row r="5148">
          <cell r="A5148">
            <v>50923</v>
          </cell>
          <cell r="B5148">
            <v>7.3033346987999996</v>
          </cell>
          <cell r="C5148">
            <v>7.3015370421999997</v>
          </cell>
          <cell r="D5148">
            <v>7.3051327980999998</v>
          </cell>
        </row>
        <row r="5149">
          <cell r="A5149">
            <v>50924</v>
          </cell>
          <cell r="B5149">
            <v>7.3061574836999998</v>
          </cell>
          <cell r="C5149">
            <v>7.3043591323000001</v>
          </cell>
          <cell r="D5149">
            <v>7.3079562779999998</v>
          </cell>
        </row>
        <row r="5150">
          <cell r="A5150">
            <v>50927</v>
          </cell>
          <cell r="B5150">
            <v>7.3089813597999997</v>
          </cell>
          <cell r="C5150">
            <v>7.3071823133000002</v>
          </cell>
          <cell r="D5150">
            <v>7.3107808493000004</v>
          </cell>
        </row>
        <row r="5151">
          <cell r="A5151">
            <v>50928</v>
          </cell>
          <cell r="B5151">
            <v>7.3118063273000002</v>
          </cell>
          <cell r="C5151">
            <v>7.3100065855</v>
          </cell>
          <cell r="D5151">
            <v>7.3136065122999998</v>
          </cell>
        </row>
        <row r="5152">
          <cell r="A5152">
            <v>50929</v>
          </cell>
          <cell r="B5152">
            <v>7.3146323865999996</v>
          </cell>
          <cell r="C5152">
            <v>7.3128319491999996</v>
          </cell>
          <cell r="D5152">
            <v>7.3164332673999999</v>
          </cell>
        </row>
        <row r="5153">
          <cell r="A5153">
            <v>50931</v>
          </cell>
          <cell r="B5153">
            <v>7.3174595380999996</v>
          </cell>
          <cell r="C5153">
            <v>7.3156584047999997</v>
          </cell>
          <cell r="D5153">
            <v>7.3192611149999998</v>
          </cell>
        </row>
        <row r="5154">
          <cell r="A5154">
            <v>50934</v>
          </cell>
          <cell r="B5154">
            <v>7.3202877825000003</v>
          </cell>
          <cell r="C5154">
            <v>7.3184859530999997</v>
          </cell>
          <cell r="D5154">
            <v>7.3220900557000004</v>
          </cell>
        </row>
        <row r="5155">
          <cell r="A5155">
            <v>50935</v>
          </cell>
          <cell r="B5155">
            <v>7.3231171199</v>
          </cell>
          <cell r="C5155">
            <v>7.3213145941000004</v>
          </cell>
          <cell r="D5155">
            <v>7.3249200897</v>
          </cell>
        </row>
        <row r="5156">
          <cell r="A5156">
            <v>50936</v>
          </cell>
          <cell r="B5156">
            <v>7.3259475508999996</v>
          </cell>
          <cell r="C5156">
            <v>7.3241443284000001</v>
          </cell>
          <cell r="D5156">
            <v>7.3277512176000004</v>
          </cell>
        </row>
        <row r="5157">
          <cell r="A5157">
            <v>50937</v>
          </cell>
          <cell r="B5157">
            <v>7.3287790759</v>
          </cell>
          <cell r="C5157">
            <v>7.3269751563999996</v>
          </cell>
          <cell r="D5157">
            <v>7.3305834396999998</v>
          </cell>
        </row>
        <row r="5158">
          <cell r="A5158">
            <v>50938</v>
          </cell>
          <cell r="B5158">
            <v>7.3316116953000003</v>
          </cell>
          <cell r="C5158">
            <v>7.3298070786</v>
          </cell>
          <cell r="D5158">
            <v>7.3334167565000001</v>
          </cell>
        </row>
        <row r="5159">
          <cell r="A5159">
            <v>50941</v>
          </cell>
          <cell r="B5159">
            <v>7.3344454095999998</v>
          </cell>
          <cell r="C5159">
            <v>7.3326400953000004</v>
          </cell>
          <cell r="D5159">
            <v>7.3362511683999996</v>
          </cell>
        </row>
        <row r="5160">
          <cell r="A5160">
            <v>50942</v>
          </cell>
          <cell r="B5160">
            <v>7.3372802190000002</v>
          </cell>
          <cell r="C5160">
            <v>7.3354742069999999</v>
          </cell>
          <cell r="D5160">
            <v>7.3390866758</v>
          </cell>
        </row>
        <row r="5161">
          <cell r="A5161">
            <v>50943</v>
          </cell>
          <cell r="B5161">
            <v>7.3401161240999997</v>
          </cell>
          <cell r="C5161">
            <v>7.3383094141000003</v>
          </cell>
          <cell r="D5161">
            <v>7.3419232791000004</v>
          </cell>
        </row>
        <row r="5162">
          <cell r="A5162">
            <v>50944</v>
          </cell>
          <cell r="B5162">
            <v>7.3429531254000002</v>
          </cell>
          <cell r="C5162">
            <v>7.3411457170999999</v>
          </cell>
          <cell r="D5162">
            <v>7.3447609789000001</v>
          </cell>
        </row>
        <row r="5163">
          <cell r="A5163">
            <v>50945</v>
          </cell>
          <cell r="B5163">
            <v>7.3457912232</v>
          </cell>
          <cell r="C5163">
            <v>7.3439831162999996</v>
          </cell>
          <cell r="D5163">
            <v>7.3475997754</v>
          </cell>
        </row>
        <row r="5164">
          <cell r="A5164">
            <v>50948</v>
          </cell>
          <cell r="B5164">
            <v>7.3486304178999999</v>
          </cell>
          <cell r="C5164">
            <v>7.3468216121000003</v>
          </cell>
          <cell r="D5164">
            <v>7.3504396691</v>
          </cell>
        </row>
        <row r="5165">
          <cell r="A5165">
            <v>50949</v>
          </cell>
          <cell r="B5165">
            <v>7.3514707099000001</v>
          </cell>
          <cell r="C5165">
            <v>7.3496612050000003</v>
          </cell>
          <cell r="D5165">
            <v>7.3532806604000003</v>
          </cell>
        </row>
        <row r="5166">
          <cell r="A5166">
            <v>50950</v>
          </cell>
          <cell r="B5166">
            <v>7.3543120997000004</v>
          </cell>
          <cell r="C5166">
            <v>7.3525018954999997</v>
          </cell>
          <cell r="D5166">
            <v>7.3561227497999999</v>
          </cell>
        </row>
        <row r="5167">
          <cell r="A5167">
            <v>50951</v>
          </cell>
          <cell r="B5167">
            <v>7.3571545878000002</v>
          </cell>
          <cell r="C5167">
            <v>7.3553436839000002</v>
          </cell>
          <cell r="D5167">
            <v>7.3589659376999998</v>
          </cell>
        </row>
        <row r="5168">
          <cell r="A5168">
            <v>50952</v>
          </cell>
          <cell r="B5168">
            <v>7.3599981745000003</v>
          </cell>
          <cell r="C5168">
            <v>7.3581865707</v>
          </cell>
          <cell r="D5168">
            <v>7.3618102245000001</v>
          </cell>
        </row>
        <row r="5169">
          <cell r="A5169">
            <v>50955</v>
          </cell>
          <cell r="B5169">
            <v>7.3628428602999998</v>
          </cell>
          <cell r="C5169">
            <v>7.3610305563000002</v>
          </cell>
          <cell r="D5169">
            <v>7.3646556106999999</v>
          </cell>
        </row>
        <row r="5170">
          <cell r="A5170">
            <v>50956</v>
          </cell>
          <cell r="B5170">
            <v>7.3656886455999997</v>
          </cell>
          <cell r="C5170">
            <v>7.3638756410999999</v>
          </cell>
          <cell r="D5170">
            <v>7.3675020966</v>
          </cell>
        </row>
        <row r="5171">
          <cell r="A5171">
            <v>50957</v>
          </cell>
          <cell r="B5171">
            <v>7.3685355308</v>
          </cell>
          <cell r="C5171">
            <v>7.3667218256</v>
          </cell>
          <cell r="D5171">
            <v>7.3703496826999997</v>
          </cell>
        </row>
        <row r="5172">
          <cell r="A5172">
            <v>50958</v>
          </cell>
          <cell r="B5172">
            <v>7.3713835162999999</v>
          </cell>
          <cell r="C5172">
            <v>7.3695691100999996</v>
          </cell>
          <cell r="D5172">
            <v>7.3731983693999998</v>
          </cell>
        </row>
        <row r="5173">
          <cell r="A5173">
            <v>50959</v>
          </cell>
          <cell r="B5173">
            <v>7.3742326025000002</v>
          </cell>
          <cell r="C5173">
            <v>7.3724174949999997</v>
          </cell>
          <cell r="D5173">
            <v>7.3760481570999996</v>
          </cell>
        </row>
        <row r="5174">
          <cell r="A5174">
            <v>50962</v>
          </cell>
          <cell r="B5174">
            <v>7.3770827900000002</v>
          </cell>
          <cell r="C5174">
            <v>7.3752669810000002</v>
          </cell>
          <cell r="D5174">
            <v>7.3788990462999999</v>
          </cell>
        </row>
        <row r="5175">
          <cell r="A5175">
            <v>50963</v>
          </cell>
          <cell r="B5175">
            <v>7.3799340790999999</v>
          </cell>
          <cell r="C5175">
            <v>7.3781175683000004</v>
          </cell>
          <cell r="D5175">
            <v>7.3817510373999999</v>
          </cell>
        </row>
        <row r="5176">
          <cell r="A5176">
            <v>50964</v>
          </cell>
          <cell r="B5176">
            <v>7.3827864703000001</v>
          </cell>
          <cell r="C5176">
            <v>7.3809692573000003</v>
          </cell>
          <cell r="D5176">
            <v>7.3846041307999997</v>
          </cell>
        </row>
        <row r="5177">
          <cell r="A5177">
            <v>50965</v>
          </cell>
          <cell r="B5177">
            <v>7.3856399638000001</v>
          </cell>
          <cell r="C5177">
            <v>7.3838220484999999</v>
          </cell>
          <cell r="D5177">
            <v>7.3874583269</v>
          </cell>
        </row>
        <row r="5178">
          <cell r="A5178">
            <v>50966</v>
          </cell>
          <cell r="B5178">
            <v>7.3884945602999998</v>
          </cell>
          <cell r="C5178">
            <v>7.3866759424000001</v>
          </cell>
          <cell r="D5178">
            <v>7.3903136262000002</v>
          </cell>
        </row>
        <row r="5179">
          <cell r="A5179">
            <v>50969</v>
          </cell>
          <cell r="B5179">
            <v>7.3913502601000003</v>
          </cell>
          <cell r="C5179">
            <v>7.3895309393000002</v>
          </cell>
          <cell r="D5179">
            <v>7.3931700291000002</v>
          </cell>
        </row>
        <row r="5180">
          <cell r="A5180">
            <v>50970</v>
          </cell>
          <cell r="B5180">
            <v>7.3942070636999997</v>
          </cell>
          <cell r="C5180">
            <v>7.3923870396</v>
          </cell>
          <cell r="D5180">
            <v>7.3960275360000001</v>
          </cell>
        </row>
        <row r="5181">
          <cell r="A5181">
            <v>50971</v>
          </cell>
          <cell r="B5181">
            <v>7.3970649714999999</v>
          </cell>
          <cell r="C5181">
            <v>7.3952442439999997</v>
          </cell>
          <cell r="D5181">
            <v>7.3988861473999998</v>
          </cell>
        </row>
        <row r="5182">
          <cell r="A5182">
            <v>50972</v>
          </cell>
          <cell r="B5182">
            <v>7.3999239837999999</v>
          </cell>
          <cell r="C5182">
            <v>7.3981025525000002</v>
          </cell>
          <cell r="D5182">
            <v>7.4017458636000004</v>
          </cell>
        </row>
        <row r="5183">
          <cell r="A5183">
            <v>50973</v>
          </cell>
          <cell r="B5183">
            <v>7.4027841011</v>
          </cell>
          <cell r="C5183">
            <v>7.4009619658999997</v>
          </cell>
          <cell r="D5183">
            <v>7.4046066851000001</v>
          </cell>
        </row>
        <row r="5184">
          <cell r="A5184">
            <v>50976</v>
          </cell>
          <cell r="B5184">
            <v>7.4056453239</v>
          </cell>
          <cell r="C5184">
            <v>7.4038224844</v>
          </cell>
          <cell r="D5184">
            <v>7.4074686122999998</v>
          </cell>
        </row>
        <row r="5185">
          <cell r="A5185">
            <v>50977</v>
          </cell>
          <cell r="B5185">
            <v>7.4085076525</v>
          </cell>
          <cell r="C5185">
            <v>7.4066841085000004</v>
          </cell>
          <cell r="D5185">
            <v>7.4103316457000004</v>
          </cell>
        </row>
        <row r="5186">
          <cell r="A5186">
            <v>50978</v>
          </cell>
          <cell r="B5186">
            <v>7.4113710876000001</v>
          </cell>
          <cell r="C5186">
            <v>7.4095468386999999</v>
          </cell>
          <cell r="D5186">
            <v>7.4131957857000002</v>
          </cell>
        </row>
        <row r="5187">
          <cell r="A5187">
            <v>50979</v>
          </cell>
          <cell r="B5187">
            <v>7.4142356293000002</v>
          </cell>
          <cell r="C5187">
            <v>7.4124106754000003</v>
          </cell>
          <cell r="D5187">
            <v>7.4160610327000001</v>
          </cell>
        </row>
        <row r="5188">
          <cell r="A5188">
            <v>50980</v>
          </cell>
          <cell r="B5188">
            <v>7.4171012781999996</v>
          </cell>
          <cell r="C5188">
            <v>7.4152756189</v>
          </cell>
          <cell r="D5188">
            <v>7.4189273871000001</v>
          </cell>
        </row>
        <row r="5189">
          <cell r="A5189">
            <v>50983</v>
          </cell>
          <cell r="B5189">
            <v>7.4199680347000001</v>
          </cell>
          <cell r="C5189">
            <v>7.4181416697999998</v>
          </cell>
          <cell r="D5189">
            <v>7.4217948494000003</v>
          </cell>
        </row>
        <row r="5190">
          <cell r="A5190">
            <v>50984</v>
          </cell>
          <cell r="B5190">
            <v>7.4228358991999999</v>
          </cell>
          <cell r="C5190">
            <v>7.4210088283999998</v>
          </cell>
          <cell r="D5190">
            <v>7.4246634199999999</v>
          </cell>
        </row>
        <row r="5191">
          <cell r="A5191">
            <v>50985</v>
          </cell>
          <cell r="B5191">
            <v>7.4257048720999999</v>
          </cell>
          <cell r="C5191">
            <v>7.4238770951999999</v>
          </cell>
          <cell r="D5191">
            <v>7.4275330992999997</v>
          </cell>
        </row>
        <row r="5192">
          <cell r="A5192">
            <v>50986</v>
          </cell>
          <cell r="B5192">
            <v>7.4285749539000001</v>
          </cell>
          <cell r="C5192">
            <v>7.4267464705000004</v>
          </cell>
          <cell r="D5192">
            <v>7.4304038876999998</v>
          </cell>
        </row>
        <row r="5193">
          <cell r="A5193">
            <v>50987</v>
          </cell>
          <cell r="B5193">
            <v>7.4314461450999998</v>
          </cell>
          <cell r="C5193">
            <v>7.4296169550000002</v>
          </cell>
          <cell r="D5193">
            <v>7.4332757858000003</v>
          </cell>
        </row>
        <row r="5194">
          <cell r="A5194">
            <v>50990</v>
          </cell>
          <cell r="B5194">
            <v>7.4343184459999998</v>
          </cell>
          <cell r="C5194">
            <v>7.4324885488000003</v>
          </cell>
          <cell r="D5194">
            <v>7.4361487938000002</v>
          </cell>
        </row>
        <row r="5195">
          <cell r="A5195">
            <v>50991</v>
          </cell>
          <cell r="B5195">
            <v>7.4371918570000002</v>
          </cell>
          <cell r="C5195">
            <v>7.4353612525999999</v>
          </cell>
          <cell r="D5195">
            <v>7.4390229122999996</v>
          </cell>
        </row>
        <row r="5196">
          <cell r="A5196">
            <v>50992</v>
          </cell>
          <cell r="B5196">
            <v>7.4400663786000001</v>
          </cell>
          <cell r="C5196">
            <v>7.4382350666999999</v>
          </cell>
          <cell r="D5196">
            <v>7.4418981416000003</v>
          </cell>
        </row>
        <row r="5197">
          <cell r="A5197">
            <v>50993</v>
          </cell>
          <cell r="B5197">
            <v>7.4429420112000004</v>
          </cell>
          <cell r="C5197">
            <v>7.4411099915000003</v>
          </cell>
          <cell r="D5197">
            <v>7.4447744821999997</v>
          </cell>
        </row>
        <row r="5198">
          <cell r="A5198">
            <v>50994</v>
          </cell>
          <cell r="B5198">
            <v>7.4458187554000004</v>
          </cell>
          <cell r="C5198">
            <v>7.4439860275000003</v>
          </cell>
          <cell r="D5198">
            <v>7.4476519345999996</v>
          </cell>
        </row>
        <row r="5199">
          <cell r="A5199">
            <v>50997</v>
          </cell>
          <cell r="B5199">
            <v>7.4486966112999999</v>
          </cell>
          <cell r="C5199">
            <v>7.4468631750999998</v>
          </cell>
          <cell r="D5199">
            <v>7.4505304991000001</v>
          </cell>
        </row>
        <row r="5200">
          <cell r="A5200">
            <v>50998</v>
          </cell>
          <cell r="B5200">
            <v>7.4515755796000001</v>
          </cell>
          <cell r="C5200">
            <v>7.4497414348</v>
          </cell>
          <cell r="D5200">
            <v>7.4534101762000002</v>
          </cell>
        </row>
        <row r="5201">
          <cell r="A5201">
            <v>50999</v>
          </cell>
          <cell r="B5201">
            <v>7.4544556605999999</v>
          </cell>
          <cell r="C5201">
            <v>7.4526208068999997</v>
          </cell>
          <cell r="D5201">
            <v>7.4562909663000001</v>
          </cell>
        </row>
        <row r="5202">
          <cell r="A5202">
            <v>51000</v>
          </cell>
          <cell r="B5202">
            <v>7.4573368548000003</v>
          </cell>
          <cell r="C5202">
            <v>7.4555012918000001</v>
          </cell>
          <cell r="D5202">
            <v>7.4591728697999997</v>
          </cell>
        </row>
        <row r="5203">
          <cell r="A5203">
            <v>51001</v>
          </cell>
          <cell r="B5203">
            <v>7.4602191625999996</v>
          </cell>
          <cell r="C5203">
            <v>7.4583828902000002</v>
          </cell>
          <cell r="D5203">
            <v>7.4620558873</v>
          </cell>
        </row>
        <row r="5204">
          <cell r="A5204">
            <v>51004</v>
          </cell>
          <cell r="B5204">
            <v>7.4631025843999996</v>
          </cell>
          <cell r="C5204">
            <v>7.4612656023000001</v>
          </cell>
          <cell r="D5204">
            <v>7.4649400190000001</v>
          </cell>
        </row>
        <row r="5205">
          <cell r="A5205">
            <v>51005</v>
          </cell>
          <cell r="B5205">
            <v>7.4659871207000004</v>
          </cell>
          <cell r="C5205">
            <v>7.4641494284999998</v>
          </cell>
          <cell r="D5205">
            <v>7.4678252654000001</v>
          </cell>
        </row>
        <row r="5206">
          <cell r="A5206">
            <v>51006</v>
          </cell>
          <cell r="B5206">
            <v>7.4688727719000001</v>
          </cell>
          <cell r="C5206">
            <v>7.4670343695000003</v>
          </cell>
          <cell r="D5206">
            <v>7.4707116271</v>
          </cell>
        </row>
        <row r="5207">
          <cell r="A5207">
            <v>51007</v>
          </cell>
          <cell r="B5207">
            <v>7.4717595383999997</v>
          </cell>
          <cell r="C5207">
            <v>7.4699204253999998</v>
          </cell>
          <cell r="D5207">
            <v>7.4735991042999999</v>
          </cell>
        </row>
        <row r="5208">
          <cell r="A5208">
            <v>51008</v>
          </cell>
          <cell r="B5208">
            <v>7.4746474206000002</v>
          </cell>
          <cell r="C5208">
            <v>7.4728075968000001</v>
          </cell>
          <cell r="D5208">
            <v>7.4764876974999996</v>
          </cell>
        </row>
        <row r="5209">
          <cell r="A5209">
            <v>51011</v>
          </cell>
          <cell r="B5209">
            <v>7.4775364190999998</v>
          </cell>
          <cell r="C5209">
            <v>7.4756958842000003</v>
          </cell>
          <cell r="D5209">
            <v>7.4793774073000003</v>
          </cell>
        </row>
        <row r="5210">
          <cell r="A5210">
            <v>51012</v>
          </cell>
          <cell r="B5210">
            <v>7.4804265341000002</v>
          </cell>
          <cell r="C5210">
            <v>7.4785852878999997</v>
          </cell>
          <cell r="D5210">
            <v>7.4822682339000002</v>
          </cell>
        </row>
        <row r="5211">
          <cell r="A5211">
            <v>51013</v>
          </cell>
          <cell r="B5211">
            <v>7.4833177661999999</v>
          </cell>
          <cell r="C5211">
            <v>7.4814758082999999</v>
          </cell>
          <cell r="D5211">
            <v>7.4851601778000001</v>
          </cell>
        </row>
        <row r="5212">
          <cell r="A5212">
            <v>51014</v>
          </cell>
          <cell r="B5212">
            <v>7.4862101157999996</v>
          </cell>
          <cell r="C5212">
            <v>7.4843674459000002</v>
          </cell>
          <cell r="D5212">
            <v>7.4880532395000001</v>
          </cell>
        </row>
        <row r="5213">
          <cell r="A5213">
            <v>51015</v>
          </cell>
          <cell r="B5213">
            <v>7.4891035832000004</v>
          </cell>
          <cell r="C5213">
            <v>7.4872602011999998</v>
          </cell>
          <cell r="D5213">
            <v>7.4909474193000003</v>
          </cell>
        </row>
        <row r="5214">
          <cell r="A5214">
            <v>51018</v>
          </cell>
          <cell r="B5214">
            <v>7.4919981691000004</v>
          </cell>
          <cell r="C5214">
            <v>7.4901540745000004</v>
          </cell>
          <cell r="D5214">
            <v>7.4938427177999998</v>
          </cell>
        </row>
        <row r="5215">
          <cell r="A5215">
            <v>51019</v>
          </cell>
          <cell r="B5215">
            <v>7.4948938735999997</v>
          </cell>
          <cell r="C5215">
            <v>7.4930490663000002</v>
          </cell>
          <cell r="D5215">
            <v>7.4967391353000004</v>
          </cell>
        </row>
        <row r="5216">
          <cell r="A5216">
            <v>51021</v>
          </cell>
          <cell r="B5216">
            <v>7.4977906975000002</v>
          </cell>
          <cell r="C5216">
            <v>7.4959451772000003</v>
          </cell>
          <cell r="D5216">
            <v>7.4996366724000003</v>
          </cell>
        </row>
        <row r="5217">
          <cell r="A5217">
            <v>51022</v>
          </cell>
          <cell r="B5217">
            <v>7.500688641</v>
          </cell>
          <cell r="C5217">
            <v>7.4988424072999997</v>
          </cell>
          <cell r="D5217">
            <v>7.5025353292999997</v>
          </cell>
        </row>
        <row r="5218">
          <cell r="A5218">
            <v>51025</v>
          </cell>
          <cell r="B5218">
            <v>7.5035877045000001</v>
          </cell>
          <cell r="C5218">
            <v>7.5017407573000003</v>
          </cell>
          <cell r="D5218">
            <v>7.5054351066000002</v>
          </cell>
        </row>
        <row r="5219">
          <cell r="A5219">
            <v>51026</v>
          </cell>
          <cell r="B5219">
            <v>7.5064878885999997</v>
          </cell>
          <cell r="C5219">
            <v>7.5046402275000004</v>
          </cell>
          <cell r="D5219">
            <v>7.5083360047000003</v>
          </cell>
        </row>
        <row r="5220">
          <cell r="A5220">
            <v>51027</v>
          </cell>
          <cell r="B5220">
            <v>7.5093891934999997</v>
          </cell>
          <cell r="C5220">
            <v>7.5075408182999999</v>
          </cell>
          <cell r="D5220">
            <v>7.5112380238999998</v>
          </cell>
        </row>
        <row r="5221">
          <cell r="A5221">
            <v>51028</v>
          </cell>
          <cell r="B5221">
            <v>7.5122916199000001</v>
          </cell>
          <cell r="C5221">
            <v>7.5104425302999998</v>
          </cell>
          <cell r="D5221">
            <v>7.5141411648999998</v>
          </cell>
        </row>
        <row r="5222">
          <cell r="A5222">
            <v>51029</v>
          </cell>
          <cell r="B5222">
            <v>7.515195168</v>
          </cell>
          <cell r="C5222">
            <v>7.5133453637000001</v>
          </cell>
          <cell r="D5222">
            <v>7.5170454279000003</v>
          </cell>
        </row>
        <row r="5223">
          <cell r="A5223">
            <v>51032</v>
          </cell>
          <cell r="B5223">
            <v>7.5180998384000004</v>
          </cell>
          <cell r="C5223">
            <v>7.5162493190999999</v>
          </cell>
          <cell r="D5223">
            <v>7.5199508134000004</v>
          </cell>
        </row>
        <row r="5224">
          <cell r="A5224">
            <v>51033</v>
          </cell>
          <cell r="B5224">
            <v>7.5210056314999996</v>
          </cell>
          <cell r="C5224">
            <v>7.5191543970000003</v>
          </cell>
          <cell r="D5224">
            <v>7.5228573219000001</v>
          </cell>
        </row>
        <row r="5225">
          <cell r="A5225">
            <v>51034</v>
          </cell>
          <cell r="B5225">
            <v>7.5239125477000002</v>
          </cell>
          <cell r="C5225">
            <v>7.5220605977000004</v>
          </cell>
          <cell r="D5225">
            <v>7.5257649538000004</v>
          </cell>
        </row>
        <row r="5226">
          <cell r="A5226">
            <v>51035</v>
          </cell>
          <cell r="B5226">
            <v>7.5268205872999996</v>
          </cell>
          <cell r="C5226">
            <v>7.5249679215</v>
          </cell>
          <cell r="D5226">
            <v>7.5286737093999996</v>
          </cell>
        </row>
        <row r="5227">
          <cell r="A5227">
            <v>51036</v>
          </cell>
          <cell r="B5227">
            <v>7.5297297510999996</v>
          </cell>
          <cell r="C5227">
            <v>7.5278763692000004</v>
          </cell>
          <cell r="D5227">
            <v>7.5315835894000003</v>
          </cell>
        </row>
        <row r="5228">
          <cell r="A5228">
            <v>51039</v>
          </cell>
          <cell r="B5228">
            <v>7.5326400391000004</v>
          </cell>
          <cell r="C5228">
            <v>7.5307859409000004</v>
          </cell>
          <cell r="D5228">
            <v>7.5344945939999999</v>
          </cell>
        </row>
        <row r="5229">
          <cell r="A5229">
            <v>51040</v>
          </cell>
          <cell r="B5229">
            <v>7.535551452</v>
          </cell>
          <cell r="C5229">
            <v>7.5336966372000003</v>
          </cell>
          <cell r="D5229">
            <v>7.5374067237000002</v>
          </cell>
        </row>
        <row r="5230">
          <cell r="A5230">
            <v>51041</v>
          </cell>
          <cell r="B5230">
            <v>7.5384639903000004</v>
          </cell>
          <cell r="C5230">
            <v>7.5366084584999999</v>
          </cell>
          <cell r="D5230">
            <v>7.5403199790000004</v>
          </cell>
        </row>
        <row r="5231">
          <cell r="A5231">
            <v>51042</v>
          </cell>
          <cell r="B5231">
            <v>7.5413776541999997</v>
          </cell>
          <cell r="C5231">
            <v>7.5395214053000004</v>
          </cell>
          <cell r="D5231">
            <v>7.5432343602999996</v>
          </cell>
        </row>
        <row r="5232">
          <cell r="A5232">
            <v>51043</v>
          </cell>
          <cell r="B5232">
            <v>7.5442924442999999</v>
          </cell>
          <cell r="C5232">
            <v>7.5424354778999998</v>
          </cell>
          <cell r="D5232">
            <v>7.5461498679999996</v>
          </cell>
        </row>
        <row r="5233">
          <cell r="A5233">
            <v>51046</v>
          </cell>
          <cell r="B5233">
            <v>7.547208361</v>
          </cell>
          <cell r="C5233">
            <v>7.5453506769000001</v>
          </cell>
          <cell r="D5233">
            <v>7.5490665025999997</v>
          </cell>
        </row>
        <row r="5234">
          <cell r="A5234">
            <v>51047</v>
          </cell>
          <cell r="B5234">
            <v>7.5501254047000002</v>
          </cell>
          <cell r="C5234">
            <v>7.5482670026000003</v>
          </cell>
          <cell r="D5234">
            <v>7.5519842644999997</v>
          </cell>
        </row>
        <row r="5235">
          <cell r="A5235">
            <v>51048</v>
          </cell>
          <cell r="B5235">
            <v>7.5530435758000003</v>
          </cell>
          <cell r="C5235">
            <v>7.5511844554999996</v>
          </cell>
          <cell r="D5235">
            <v>7.5549031540999998</v>
          </cell>
        </row>
        <row r="5236">
          <cell r="A5236">
            <v>51049</v>
          </cell>
          <cell r="B5236">
            <v>7.5559628748999996</v>
          </cell>
          <cell r="C5236">
            <v>7.5541030359999999</v>
          </cell>
          <cell r="D5236">
            <v>7.5578231719</v>
          </cell>
        </row>
        <row r="5237">
          <cell r="A5237">
            <v>51050</v>
          </cell>
          <cell r="B5237">
            <v>7.5588833022999999</v>
          </cell>
          <cell r="C5237">
            <v>7.5570227445000002</v>
          </cell>
          <cell r="D5237">
            <v>7.5607443183000003</v>
          </cell>
        </row>
        <row r="5238">
          <cell r="A5238">
            <v>51053</v>
          </cell>
          <cell r="B5238">
            <v>7.5618048584000004</v>
          </cell>
          <cell r="C5238">
            <v>7.5599435814999998</v>
          </cell>
          <cell r="D5238">
            <v>7.5636665936999998</v>
          </cell>
        </row>
        <row r="5239">
          <cell r="A5239">
            <v>51054</v>
          </cell>
          <cell r="B5239">
            <v>7.5647275437000001</v>
          </cell>
          <cell r="C5239">
            <v>7.5628655474000004</v>
          </cell>
          <cell r="D5239">
            <v>7.5665899985999996</v>
          </cell>
        </row>
        <row r="5240">
          <cell r="A5240">
            <v>51056</v>
          </cell>
          <cell r="B5240">
            <v>7.5676513587000001</v>
          </cell>
          <cell r="C5240">
            <v>7.5657886427000003</v>
          </cell>
          <cell r="D5240">
            <v>7.5695145333999996</v>
          </cell>
        </row>
        <row r="5241">
          <cell r="A5241">
            <v>51057</v>
          </cell>
          <cell r="B5241">
            <v>7.5705763037000002</v>
          </cell>
          <cell r="C5241">
            <v>7.5687128678000004</v>
          </cell>
          <cell r="D5241">
            <v>7.5724401985999998</v>
          </cell>
        </row>
        <row r="5242">
          <cell r="A5242">
            <v>51060</v>
          </cell>
          <cell r="B5242">
            <v>7.5735023792999998</v>
          </cell>
          <cell r="C5242">
            <v>7.5716382231999999</v>
          </cell>
          <cell r="D5242">
            <v>7.5753669946000004</v>
          </cell>
        </row>
        <row r="5243">
          <cell r="A5243">
            <v>51061</v>
          </cell>
          <cell r="B5243">
            <v>7.5764295856999997</v>
          </cell>
          <cell r="C5243">
            <v>7.5745647090999997</v>
          </cell>
          <cell r="D5243">
            <v>7.5782949217000004</v>
          </cell>
        </row>
        <row r="5244">
          <cell r="A5244">
            <v>51062</v>
          </cell>
          <cell r="B5244">
            <v>7.5793579236999999</v>
          </cell>
          <cell r="C5244">
            <v>7.5774923261999998</v>
          </cell>
          <cell r="D5244">
            <v>7.5812239805999999</v>
          </cell>
        </row>
        <row r="5245">
          <cell r="A5245">
            <v>51063</v>
          </cell>
          <cell r="B5245">
            <v>7.5822873932999997</v>
          </cell>
          <cell r="C5245">
            <v>7.5804210748000003</v>
          </cell>
          <cell r="D5245">
            <v>7.5841541714999998</v>
          </cell>
        </row>
        <row r="5246">
          <cell r="A5246">
            <v>51064</v>
          </cell>
          <cell r="B5246">
            <v>7.5852179952999998</v>
          </cell>
          <cell r="C5246">
            <v>7.5833509555000003</v>
          </cell>
          <cell r="D5246">
            <v>7.5870854950000002</v>
          </cell>
        </row>
        <row r="5247">
          <cell r="A5247">
            <v>51067</v>
          </cell>
          <cell r="B5247">
            <v>7.5881497299999996</v>
          </cell>
          <cell r="C5247">
            <v>7.5862819684999998</v>
          </cell>
          <cell r="D5247">
            <v>7.5900179515000001</v>
          </cell>
        </row>
        <row r="5248">
          <cell r="A5248">
            <v>51068</v>
          </cell>
          <cell r="B5248">
            <v>7.5910825976999998</v>
          </cell>
          <cell r="C5248">
            <v>7.5892141143999998</v>
          </cell>
          <cell r="D5248">
            <v>7.5929515412999997</v>
          </cell>
        </row>
        <row r="5249">
          <cell r="A5249">
            <v>51069</v>
          </cell>
          <cell r="B5249">
            <v>7.5940165991999997</v>
          </cell>
          <cell r="C5249">
            <v>7.5921473936000003</v>
          </cell>
          <cell r="D5249">
            <v>7.5958862650999999</v>
          </cell>
        </row>
        <row r="5250">
          <cell r="A5250">
            <v>51070</v>
          </cell>
          <cell r="B5250">
            <v>7.5969517345000002</v>
          </cell>
          <cell r="C5250">
            <v>7.5950818064999996</v>
          </cell>
          <cell r="D5250">
            <v>7.5988221230999997</v>
          </cell>
        </row>
        <row r="5251">
          <cell r="A5251">
            <v>51071</v>
          </cell>
          <cell r="B5251">
            <v>7.5998880043000003</v>
          </cell>
          <cell r="C5251">
            <v>7.5980173536000004</v>
          </cell>
          <cell r="D5251">
            <v>7.6017591158000002</v>
          </cell>
        </row>
        <row r="5252">
          <cell r="A5252">
            <v>51074</v>
          </cell>
          <cell r="B5252">
            <v>7.6028254090000003</v>
          </cell>
          <cell r="C5252">
            <v>7.6009540353</v>
          </cell>
          <cell r="D5252">
            <v>7.6046972437000004</v>
          </cell>
        </row>
        <row r="5253">
          <cell r="A5253">
            <v>51075</v>
          </cell>
          <cell r="B5253">
            <v>7.6057639491</v>
          </cell>
          <cell r="C5253">
            <v>7.6038918520000003</v>
          </cell>
          <cell r="D5253">
            <v>7.6076365071999996</v>
          </cell>
        </row>
        <row r="5254">
          <cell r="A5254">
            <v>51077</v>
          </cell>
          <cell r="B5254">
            <v>7.6087036249000004</v>
          </cell>
          <cell r="C5254">
            <v>7.6068308043000004</v>
          </cell>
          <cell r="D5254">
            <v>7.6105769068000004</v>
          </cell>
        </row>
        <row r="5255">
          <cell r="A5255">
            <v>51078</v>
          </cell>
          <cell r="B5255">
            <v>7.6116444368999998</v>
          </cell>
          <cell r="C5255">
            <v>7.6097708924000003</v>
          </cell>
          <cell r="D5255">
            <v>7.6135184428000002</v>
          </cell>
        </row>
        <row r="5256">
          <cell r="A5256">
            <v>51081</v>
          </cell>
          <cell r="B5256">
            <v>7.6145863855</v>
          </cell>
          <cell r="C5256">
            <v>7.6127121169</v>
          </cell>
          <cell r="D5256">
            <v>7.6164611158</v>
          </cell>
        </row>
        <row r="5257">
          <cell r="A5257">
            <v>51082</v>
          </cell>
          <cell r="B5257">
            <v>7.6175294713000001</v>
          </cell>
          <cell r="C5257">
            <v>7.6156544781999997</v>
          </cell>
          <cell r="D5257">
            <v>7.6194049260999996</v>
          </cell>
        </row>
        <row r="5258">
          <cell r="A5258">
            <v>51083</v>
          </cell>
          <cell r="B5258">
            <v>7.6204736945000002</v>
          </cell>
          <cell r="C5258">
            <v>7.6185979767000003</v>
          </cell>
          <cell r="D5258">
            <v>7.6223498742000002</v>
          </cell>
        </row>
        <row r="5259">
          <cell r="A5259">
            <v>51084</v>
          </cell>
          <cell r="B5259">
            <v>7.6234190557000003</v>
          </cell>
          <cell r="C5259">
            <v>7.6215426129999999</v>
          </cell>
          <cell r="D5259">
            <v>7.6252959605999999</v>
          </cell>
        </row>
        <row r="5260">
          <cell r="A5260">
            <v>51085</v>
          </cell>
          <cell r="B5260">
            <v>7.6263655552999996</v>
          </cell>
          <cell r="C5260">
            <v>7.6244883872999996</v>
          </cell>
          <cell r="D5260">
            <v>7.6282431855999997</v>
          </cell>
        </row>
        <row r="5261">
          <cell r="A5261">
            <v>51088</v>
          </cell>
          <cell r="B5261">
            <v>7.6293131937999998</v>
          </cell>
          <cell r="C5261">
            <v>7.6274353002000002</v>
          </cell>
          <cell r="D5261">
            <v>7.6311915497999996</v>
          </cell>
        </row>
        <row r="5262">
          <cell r="A5262">
            <v>51090</v>
          </cell>
          <cell r="B5262">
            <v>7.6322619715000002</v>
          </cell>
          <cell r="C5262">
            <v>7.6303833521</v>
          </cell>
          <cell r="D5262">
            <v>7.6341410534999996</v>
          </cell>
        </row>
        <row r="5263">
          <cell r="A5263">
            <v>51091</v>
          </cell>
          <cell r="B5263">
            <v>7.6352118889999998</v>
          </cell>
          <cell r="C5263">
            <v>7.6333325435999999</v>
          </cell>
          <cell r="D5263">
            <v>7.6370916972999998</v>
          </cell>
        </row>
        <row r="5264">
          <cell r="A5264">
            <v>51092</v>
          </cell>
          <cell r="B5264">
            <v>7.6381629464999996</v>
          </cell>
          <cell r="C5264">
            <v>7.6362828747</v>
          </cell>
          <cell r="D5264">
            <v>7.6400434814000002</v>
          </cell>
        </row>
        <row r="5265">
          <cell r="A5265">
            <v>51095</v>
          </cell>
          <cell r="B5265">
            <v>7.6411151447999996</v>
          </cell>
          <cell r="C5265">
            <v>7.6392343463000003</v>
          </cell>
          <cell r="D5265">
            <v>7.6429964065</v>
          </cell>
        </row>
        <row r="5266">
          <cell r="A5266">
            <v>51096</v>
          </cell>
          <cell r="B5266">
            <v>7.6440684840999999</v>
          </cell>
          <cell r="C5266">
            <v>7.6421869587</v>
          </cell>
          <cell r="D5266">
            <v>7.6459504729000001</v>
          </cell>
        </row>
        <row r="5267">
          <cell r="A5267">
            <v>51097</v>
          </cell>
          <cell r="B5267">
            <v>7.6470229647999997</v>
          </cell>
          <cell r="C5267">
            <v>7.6451407120999999</v>
          </cell>
          <cell r="D5267">
            <v>7.6489056809999996</v>
          </cell>
        </row>
        <row r="5268">
          <cell r="A5268">
            <v>51098</v>
          </cell>
          <cell r="B5268">
            <v>7.6499785873999997</v>
          </cell>
          <cell r="C5268">
            <v>7.6480956073000002</v>
          </cell>
          <cell r="D5268">
            <v>7.6518620313000003</v>
          </cell>
        </row>
        <row r="5269">
          <cell r="A5269">
            <v>51099</v>
          </cell>
          <cell r="B5269">
            <v>7.6529353524000001</v>
          </cell>
          <cell r="C5269">
            <v>7.6510516444999999</v>
          </cell>
          <cell r="D5269">
            <v>7.6548195242999997</v>
          </cell>
        </row>
        <row r="5270">
          <cell r="A5270">
            <v>51102</v>
          </cell>
          <cell r="B5270">
            <v>7.6558932603000001</v>
          </cell>
          <cell r="C5270">
            <v>7.6540088243</v>
          </cell>
          <cell r="D5270">
            <v>7.6577781604000004</v>
          </cell>
        </row>
        <row r="5271">
          <cell r="A5271">
            <v>51103</v>
          </cell>
          <cell r="B5271">
            <v>7.6588523114999996</v>
          </cell>
          <cell r="C5271">
            <v>7.6569671470999996</v>
          </cell>
          <cell r="D5271">
            <v>7.6607379400999998</v>
          </cell>
        </row>
        <row r="5272">
          <cell r="A5272">
            <v>51104</v>
          </cell>
          <cell r="B5272">
            <v>7.6618125062000004</v>
          </cell>
          <cell r="C5272">
            <v>7.6599266131999997</v>
          </cell>
          <cell r="D5272">
            <v>7.6636988635999996</v>
          </cell>
        </row>
        <row r="5273">
          <cell r="A5273">
            <v>51105</v>
          </cell>
          <cell r="B5273">
            <v>7.6647738452</v>
          </cell>
          <cell r="C5273">
            <v>7.6628872233000003</v>
          </cell>
          <cell r="D5273">
            <v>7.6666609317000001</v>
          </cell>
        </row>
        <row r="5274">
          <cell r="A5274">
            <v>51106</v>
          </cell>
          <cell r="B5274">
            <v>7.6677363286000002</v>
          </cell>
          <cell r="C5274">
            <v>7.6658489774999996</v>
          </cell>
          <cell r="D5274">
            <v>7.6696241445000002</v>
          </cell>
        </row>
        <row r="5275">
          <cell r="A5275">
            <v>51109</v>
          </cell>
          <cell r="B5275">
            <v>7.6706999571000001</v>
          </cell>
          <cell r="C5275">
            <v>7.6688118766000004</v>
          </cell>
          <cell r="D5275">
            <v>7.6725885027</v>
          </cell>
        </row>
        <row r="5276">
          <cell r="A5276">
            <v>51110</v>
          </cell>
          <cell r="B5276">
            <v>7.6736647310999997</v>
          </cell>
          <cell r="C5276">
            <v>7.6717759208</v>
          </cell>
          <cell r="D5276">
            <v>7.6755540065999996</v>
          </cell>
        </row>
        <row r="5277">
          <cell r="A5277">
            <v>51111</v>
          </cell>
          <cell r="B5277">
            <v>7.676630651</v>
          </cell>
          <cell r="C5277">
            <v>7.6747411107000003</v>
          </cell>
          <cell r="D5277">
            <v>7.6785206566999999</v>
          </cell>
        </row>
        <row r="5278">
          <cell r="A5278">
            <v>51112</v>
          </cell>
          <cell r="B5278">
            <v>7.6795977172000001</v>
          </cell>
          <cell r="C5278">
            <v>7.6777074465000004</v>
          </cell>
          <cell r="D5278">
            <v>7.6814884534000001</v>
          </cell>
        </row>
        <row r="5279">
          <cell r="A5279">
            <v>51113</v>
          </cell>
          <cell r="B5279">
            <v>7.6825659302</v>
          </cell>
          <cell r="C5279">
            <v>7.6806749290000003</v>
          </cell>
          <cell r="D5279">
            <v>7.6844573972000001</v>
          </cell>
        </row>
        <row r="5280">
          <cell r="A5280">
            <v>51116</v>
          </cell>
          <cell r="B5280">
            <v>7.6855352903999998</v>
          </cell>
          <cell r="C5280">
            <v>7.6836435583</v>
          </cell>
          <cell r="D5280">
            <v>7.6874274885</v>
          </cell>
        </row>
        <row r="5281">
          <cell r="A5281">
            <v>51117</v>
          </cell>
          <cell r="B5281">
            <v>7.6885057983999996</v>
          </cell>
          <cell r="C5281">
            <v>7.6866133350999997</v>
          </cell>
          <cell r="D5281">
            <v>7.6903987277999999</v>
          </cell>
        </row>
        <row r="5282">
          <cell r="A5282">
            <v>51118</v>
          </cell>
          <cell r="B5282">
            <v>7.6914774545000002</v>
          </cell>
          <cell r="C5282">
            <v>7.6895842597000001</v>
          </cell>
          <cell r="D5282">
            <v>7.6933711154999997</v>
          </cell>
        </row>
        <row r="5283">
          <cell r="A5283">
            <v>51119</v>
          </cell>
          <cell r="B5283">
            <v>7.6944502590999999</v>
          </cell>
          <cell r="C5283">
            <v>7.6925563325999997</v>
          </cell>
          <cell r="D5283">
            <v>7.6963446519999996</v>
          </cell>
        </row>
        <row r="5284">
          <cell r="A5284">
            <v>51120</v>
          </cell>
          <cell r="B5284">
            <v>7.6974242126999997</v>
          </cell>
          <cell r="C5284">
            <v>7.6955295542000002</v>
          </cell>
          <cell r="D5284">
            <v>7.6993193378000004</v>
          </cell>
        </row>
        <row r="5285">
          <cell r="A5285">
            <v>51123</v>
          </cell>
          <cell r="B5285">
            <v>7.7003993158000004</v>
          </cell>
          <cell r="C5285">
            <v>7.6985039249999998</v>
          </cell>
          <cell r="D5285">
            <v>7.7022951733999996</v>
          </cell>
        </row>
        <row r="5286">
          <cell r="A5286">
            <v>51124</v>
          </cell>
          <cell r="B5286">
            <v>7.7033755687000003</v>
          </cell>
          <cell r="C5286">
            <v>7.7014794454000004</v>
          </cell>
          <cell r="D5286">
            <v>7.7052721590999997</v>
          </cell>
        </row>
        <row r="5287">
          <cell r="A5287">
            <v>51125</v>
          </cell>
          <cell r="B5287">
            <v>7.7063529720000004</v>
          </cell>
          <cell r="C5287">
            <v>7.7044561157000002</v>
          </cell>
          <cell r="D5287">
            <v>7.7082502954000001</v>
          </cell>
        </row>
        <row r="5288">
          <cell r="A5288">
            <v>51126</v>
          </cell>
          <cell r="B5288">
            <v>7.7093315261999997</v>
          </cell>
          <cell r="C5288">
            <v>7.7074339368000002</v>
          </cell>
          <cell r="D5288">
            <v>7.7112295828999997</v>
          </cell>
        </row>
        <row r="5289">
          <cell r="A5289">
            <v>51127</v>
          </cell>
          <cell r="B5289">
            <v>7.7123112314000002</v>
          </cell>
          <cell r="C5289">
            <v>7.7104129086000004</v>
          </cell>
          <cell r="D5289">
            <v>7.7142100217999996</v>
          </cell>
        </row>
        <row r="5290">
          <cell r="A5290">
            <v>51130</v>
          </cell>
          <cell r="B5290">
            <v>7.7152920884</v>
          </cell>
          <cell r="C5290">
            <v>7.7133930318999999</v>
          </cell>
          <cell r="D5290">
            <v>7.7171916126999998</v>
          </cell>
        </row>
        <row r="5291">
          <cell r="A5291">
            <v>51131</v>
          </cell>
          <cell r="B5291">
            <v>7.7182740976000002</v>
          </cell>
          <cell r="C5291">
            <v>7.7163743069999997</v>
          </cell>
          <cell r="D5291">
            <v>7.7201743560000002</v>
          </cell>
        </row>
        <row r="5292">
          <cell r="A5292">
            <v>51132</v>
          </cell>
          <cell r="B5292">
            <v>7.7212572591999997</v>
          </cell>
          <cell r="C5292">
            <v>7.7193567343999998</v>
          </cell>
          <cell r="D5292">
            <v>7.7231582521000002</v>
          </cell>
        </row>
        <row r="5293">
          <cell r="A5293">
            <v>51133</v>
          </cell>
          <cell r="B5293">
            <v>7.7242415739999997</v>
          </cell>
          <cell r="C5293">
            <v>7.7223403146000003</v>
          </cell>
          <cell r="D5293">
            <v>7.7261433015999996</v>
          </cell>
        </row>
        <row r="5294">
          <cell r="A5294">
            <v>51134</v>
          </cell>
          <cell r="B5294">
            <v>7.727227042</v>
          </cell>
          <cell r="C5294">
            <v>7.7253250478000002</v>
          </cell>
          <cell r="D5294">
            <v>7.7291295047000004</v>
          </cell>
        </row>
        <row r="5295">
          <cell r="A5295">
            <v>51137</v>
          </cell>
          <cell r="B5295">
            <v>7.7302136640999999</v>
          </cell>
          <cell r="C5295">
            <v>7.7283109347999996</v>
          </cell>
          <cell r="D5295">
            <v>7.7321168620999998</v>
          </cell>
        </row>
        <row r="5296">
          <cell r="A5296">
            <v>51138</v>
          </cell>
          <cell r="B5296">
            <v>7.7332014405000002</v>
          </cell>
          <cell r="C5296">
            <v>7.7312979758000004</v>
          </cell>
          <cell r="D5296">
            <v>7.7351053740999998</v>
          </cell>
        </row>
        <row r="5297">
          <cell r="A5297">
            <v>51139</v>
          </cell>
          <cell r="B5297">
            <v>7.7361903717000002</v>
          </cell>
          <cell r="C5297">
            <v>7.7342861713</v>
          </cell>
          <cell r="D5297">
            <v>7.7380950412000002</v>
          </cell>
        </row>
        <row r="5298">
          <cell r="A5298">
            <v>51140</v>
          </cell>
          <cell r="B5298">
            <v>7.7391804581999999</v>
          </cell>
          <cell r="C5298">
            <v>7.7372755217</v>
          </cell>
          <cell r="D5298">
            <v>7.7410858638000004</v>
          </cell>
        </row>
        <row r="5299">
          <cell r="A5299">
            <v>51141</v>
          </cell>
          <cell r="B5299">
            <v>7.7421717002000001</v>
          </cell>
          <cell r="C5299">
            <v>7.7402660274999997</v>
          </cell>
          <cell r="D5299">
            <v>7.7440778423000003</v>
          </cell>
        </row>
        <row r="5300">
          <cell r="A5300">
            <v>51144</v>
          </cell>
          <cell r="B5300">
            <v>7.7451640985000001</v>
          </cell>
          <cell r="C5300">
            <v>7.7432576892</v>
          </cell>
          <cell r="D5300">
            <v>7.7470709772999999</v>
          </cell>
        </row>
        <row r="5301">
          <cell r="A5301">
            <v>51145</v>
          </cell>
          <cell r="B5301">
            <v>7.7481576533999998</v>
          </cell>
          <cell r="C5301">
            <v>7.7462505072000001</v>
          </cell>
          <cell r="D5301">
            <v>7.7500652692000003</v>
          </cell>
        </row>
        <row r="5302">
          <cell r="A5302">
            <v>51146</v>
          </cell>
          <cell r="B5302">
            <v>7.7511523653000003</v>
          </cell>
          <cell r="C5302">
            <v>7.7492444819999999</v>
          </cell>
          <cell r="D5302">
            <v>7.7530607184000004</v>
          </cell>
        </row>
        <row r="5303">
          <cell r="A5303">
            <v>51147</v>
          </cell>
          <cell r="B5303">
            <v>7.7541482345999997</v>
          </cell>
          <cell r="C5303">
            <v>7.7522396138999996</v>
          </cell>
          <cell r="D5303">
            <v>7.7560573252999996</v>
          </cell>
        </row>
        <row r="5304">
          <cell r="A5304">
            <v>51148</v>
          </cell>
          <cell r="B5304">
            <v>7.7571452617999999</v>
          </cell>
          <cell r="C5304">
            <v>7.7552359034</v>
          </cell>
          <cell r="D5304">
            <v>7.7590550904000004</v>
          </cell>
        </row>
        <row r="5305">
          <cell r="A5305">
            <v>51151</v>
          </cell>
          <cell r="B5305">
            <v>7.7601434473999999</v>
          </cell>
          <cell r="C5305">
            <v>7.7582333511000003</v>
          </cell>
          <cell r="D5305">
            <v>7.7620540142000003</v>
          </cell>
        </row>
        <row r="5306">
          <cell r="A5306">
            <v>51152</v>
          </cell>
          <cell r="B5306">
            <v>7.7631427919</v>
          </cell>
          <cell r="C5306">
            <v>7.7612319572999997</v>
          </cell>
          <cell r="D5306">
            <v>7.7650540971000002</v>
          </cell>
        </row>
        <row r="5307">
          <cell r="A5307">
            <v>51153</v>
          </cell>
          <cell r="B5307">
            <v>7.7661432957000001</v>
          </cell>
          <cell r="C5307">
            <v>7.7642317224999999</v>
          </cell>
          <cell r="D5307">
            <v>7.7680553396000001</v>
          </cell>
        </row>
        <row r="5308">
          <cell r="A5308">
            <v>51154</v>
          </cell>
          <cell r="B5308">
            <v>7.7691449590000001</v>
          </cell>
          <cell r="C5308">
            <v>7.7672326471000002</v>
          </cell>
          <cell r="D5308">
            <v>7.771057742</v>
          </cell>
        </row>
        <row r="5309">
          <cell r="A5309">
            <v>51155</v>
          </cell>
          <cell r="B5309">
            <v>7.7721477826000003</v>
          </cell>
          <cell r="C5309">
            <v>7.7702347315000004</v>
          </cell>
          <cell r="D5309">
            <v>7.7740613049</v>
          </cell>
        </row>
        <row r="5310">
          <cell r="A5310">
            <v>51158</v>
          </cell>
          <cell r="B5310">
            <v>7.7751517667999996</v>
          </cell>
          <cell r="C5310">
            <v>7.7732379762999999</v>
          </cell>
          <cell r="D5310">
            <v>7.7770660287000002</v>
          </cell>
        </row>
        <row r="5311">
          <cell r="A5311">
            <v>51159</v>
          </cell>
          <cell r="B5311">
            <v>7.7781569121</v>
          </cell>
          <cell r="C5311">
            <v>7.7762423819000004</v>
          </cell>
          <cell r="D5311">
            <v>7.7800719137999996</v>
          </cell>
        </row>
        <row r="5312">
          <cell r="A5312">
            <v>51160</v>
          </cell>
          <cell r="B5312">
            <v>7.7811632188999997</v>
          </cell>
          <cell r="C5312">
            <v>7.7792479487000001</v>
          </cell>
          <cell r="D5312">
            <v>7.7830789608000002</v>
          </cell>
        </row>
        <row r="5313">
          <cell r="A5313">
            <v>51161</v>
          </cell>
          <cell r="B5313">
            <v>7.7841706875999996</v>
          </cell>
          <cell r="C5313">
            <v>7.7822546771000001</v>
          </cell>
          <cell r="D5313">
            <v>7.7860871699</v>
          </cell>
        </row>
        <row r="5314">
          <cell r="A5314">
            <v>51162</v>
          </cell>
          <cell r="B5314">
            <v>7.7871793186999998</v>
          </cell>
          <cell r="C5314">
            <v>7.7852625677000002</v>
          </cell>
          <cell r="D5314">
            <v>7.7890965418000002</v>
          </cell>
        </row>
        <row r="5315">
          <cell r="A5315">
            <v>51165</v>
          </cell>
          <cell r="B5315">
            <v>7.7901891127000003</v>
          </cell>
          <cell r="C5315">
            <v>7.7882716208999998</v>
          </cell>
          <cell r="D5315">
            <v>7.7921070767999998</v>
          </cell>
        </row>
        <row r="5316">
          <cell r="A5316">
            <v>51166</v>
          </cell>
          <cell r="B5316">
            <v>7.7932000700000001</v>
          </cell>
          <cell r="C5316">
            <v>7.7912818370999997</v>
          </cell>
          <cell r="D5316">
            <v>7.7951187753999998</v>
          </cell>
        </row>
        <row r="5317">
          <cell r="A5317">
            <v>51167</v>
          </cell>
          <cell r="B5317">
            <v>7.7962121910000004</v>
          </cell>
          <cell r="C5317">
            <v>7.7942932166999999</v>
          </cell>
          <cell r="D5317">
            <v>7.7981316380000001</v>
          </cell>
        </row>
        <row r="5318">
          <cell r="A5318">
            <v>51168</v>
          </cell>
          <cell r="B5318">
            <v>7.7992254762000002</v>
          </cell>
          <cell r="C5318">
            <v>7.7973057602000004</v>
          </cell>
          <cell r="D5318">
            <v>7.8011456651</v>
          </cell>
        </row>
        <row r="5319">
          <cell r="A5319">
            <v>51169</v>
          </cell>
          <cell r="B5319">
            <v>7.8022399262000004</v>
          </cell>
          <cell r="C5319">
            <v>7.8003194680999997</v>
          </cell>
          <cell r="D5319">
            <v>7.8041608572000003</v>
          </cell>
        </row>
        <row r="5320">
          <cell r="A5320">
            <v>51172</v>
          </cell>
          <cell r="B5320">
            <v>7.8052555412000002</v>
          </cell>
          <cell r="C5320">
            <v>7.8033343409000002</v>
          </cell>
          <cell r="D5320">
            <v>7.8071772147000003</v>
          </cell>
        </row>
        <row r="5321">
          <cell r="A5321">
            <v>51173</v>
          </cell>
          <cell r="B5321">
            <v>7.8082723217999996</v>
          </cell>
          <cell r="C5321">
            <v>7.8063503789000004</v>
          </cell>
          <cell r="D5321">
            <v>7.8101947379999999</v>
          </cell>
        </row>
        <row r="5322">
          <cell r="A5322">
            <v>51174</v>
          </cell>
          <cell r="B5322">
            <v>7.8112902683999996</v>
          </cell>
          <cell r="C5322">
            <v>7.8093675827000002</v>
          </cell>
          <cell r="D5322">
            <v>7.8132134276</v>
          </cell>
        </row>
        <row r="5323">
          <cell r="A5323">
            <v>51175</v>
          </cell>
          <cell r="B5323">
            <v>7.8143093813000002</v>
          </cell>
          <cell r="C5323">
            <v>7.8123859524999997</v>
          </cell>
          <cell r="D5323">
            <v>7.8162332838999999</v>
          </cell>
        </row>
        <row r="5324">
          <cell r="A5324">
            <v>51176</v>
          </cell>
          <cell r="B5324">
            <v>7.8173296611999996</v>
          </cell>
          <cell r="C5324">
            <v>7.8154054889999998</v>
          </cell>
          <cell r="D5324">
            <v>7.8192543073999996</v>
          </cell>
        </row>
        <row r="5325">
          <cell r="A5325">
            <v>51181</v>
          </cell>
          <cell r="B5325">
            <v>7.8203511085999997</v>
          </cell>
          <cell r="C5325">
            <v>7.8184261925999996</v>
          </cell>
          <cell r="D5325">
            <v>7.8222764986</v>
          </cell>
        </row>
        <row r="5326">
          <cell r="A5326">
            <v>51182</v>
          </cell>
          <cell r="B5326">
            <v>7.8233737236999996</v>
          </cell>
          <cell r="C5326">
            <v>7.8214480637000001</v>
          </cell>
          <cell r="D5326">
            <v>7.8252998579000002</v>
          </cell>
        </row>
        <row r="5327">
          <cell r="A5327">
            <v>51183</v>
          </cell>
          <cell r="B5327">
            <v>7.8263975070000003</v>
          </cell>
          <cell r="C5327">
            <v>7.8244711027999996</v>
          </cell>
          <cell r="D5327">
            <v>7.8283243857000002</v>
          </cell>
        </row>
        <row r="5328">
          <cell r="A5328">
            <v>51186</v>
          </cell>
          <cell r="B5328">
            <v>7.8294224590999999</v>
          </cell>
          <cell r="C5328">
            <v>7.8274953102999998</v>
          </cell>
          <cell r="D5328">
            <v>7.8313500825000002</v>
          </cell>
        </row>
        <row r="5329">
          <cell r="A5329">
            <v>51187</v>
          </cell>
          <cell r="B5329">
            <v>7.8324485802000003</v>
          </cell>
          <cell r="C5329">
            <v>7.8305206865999999</v>
          </cell>
          <cell r="D5329">
            <v>7.8343769487000001</v>
          </cell>
        </row>
        <row r="5330">
          <cell r="A5330">
            <v>51188</v>
          </cell>
          <cell r="B5330">
            <v>7.8354758710999999</v>
          </cell>
          <cell r="C5330">
            <v>7.8335472322999999</v>
          </cell>
          <cell r="D5330">
            <v>7.8374049849</v>
          </cell>
        </row>
        <row r="5331">
          <cell r="A5331">
            <v>51189</v>
          </cell>
          <cell r="B5331">
            <v>7.8385043320000003</v>
          </cell>
          <cell r="C5331">
            <v>7.8365749478</v>
          </cell>
          <cell r="D5331">
            <v>7.8404341914</v>
          </cell>
        </row>
        <row r="5332">
          <cell r="A5332">
            <v>51190</v>
          </cell>
          <cell r="B5332">
            <v>7.8415339634999999</v>
          </cell>
          <cell r="C5332">
            <v>7.8396038335</v>
          </cell>
          <cell r="D5332">
            <v>7.8434645688</v>
          </cell>
        </row>
        <row r="5333">
          <cell r="A5333">
            <v>51193</v>
          </cell>
          <cell r="B5333">
            <v>7.8445647658000004</v>
          </cell>
          <cell r="C5333">
            <v>7.8426338898000001</v>
          </cell>
          <cell r="D5333">
            <v>7.8464961173000001</v>
          </cell>
        </row>
        <row r="5334">
          <cell r="A5334">
            <v>51194</v>
          </cell>
          <cell r="B5334">
            <v>7.8475967396000001</v>
          </cell>
          <cell r="C5334">
            <v>7.8456651174000003</v>
          </cell>
          <cell r="D5334">
            <v>7.8495288376000003</v>
          </cell>
        </row>
        <row r="5335">
          <cell r="A5335">
            <v>51195</v>
          </cell>
          <cell r="B5335">
            <v>7.8506298853000001</v>
          </cell>
          <cell r="C5335">
            <v>7.8486975164999997</v>
          </cell>
          <cell r="D5335">
            <v>7.8525627300999998</v>
          </cell>
        </row>
        <row r="5336">
          <cell r="A5336">
            <v>51196</v>
          </cell>
          <cell r="B5336">
            <v>7.8536642034000002</v>
          </cell>
          <cell r="C5336">
            <v>7.8517310877000002</v>
          </cell>
          <cell r="D5336">
            <v>7.8555977951999996</v>
          </cell>
        </row>
        <row r="5337">
          <cell r="A5337">
            <v>51197</v>
          </cell>
          <cell r="B5337">
            <v>7.8566996941999996</v>
          </cell>
          <cell r="C5337">
            <v>7.8547658314</v>
          </cell>
          <cell r="D5337">
            <v>7.8586340334000004</v>
          </cell>
        </row>
        <row r="5338">
          <cell r="A5338">
            <v>51200</v>
          </cell>
          <cell r="B5338">
            <v>7.8597363582000002</v>
          </cell>
          <cell r="C5338">
            <v>7.8578017479</v>
          </cell>
          <cell r="D5338">
            <v>7.8616714449999998</v>
          </cell>
        </row>
        <row r="5339">
          <cell r="A5339">
            <v>51201</v>
          </cell>
          <cell r="B5339">
            <v>7.8627741960000002</v>
          </cell>
          <cell r="C5339">
            <v>7.8608388379000003</v>
          </cell>
          <cell r="D5339">
            <v>7.8647100307000004</v>
          </cell>
        </row>
        <row r="5340">
          <cell r="A5340">
            <v>51202</v>
          </cell>
          <cell r="B5340">
            <v>7.8658132078999996</v>
          </cell>
          <cell r="C5340">
            <v>7.8638771018</v>
          </cell>
          <cell r="D5340">
            <v>7.8677497907999996</v>
          </cell>
        </row>
        <row r="5341">
          <cell r="A5341">
            <v>51203</v>
          </cell>
          <cell r="B5341">
            <v>7.8688533944000003</v>
          </cell>
          <cell r="C5341">
            <v>7.8669165400000001</v>
          </cell>
          <cell r="D5341">
            <v>7.8707907258000001</v>
          </cell>
        </row>
        <row r="5342">
          <cell r="A5342">
            <v>51204</v>
          </cell>
          <cell r="B5342">
            <v>7.8718947558999997</v>
          </cell>
          <cell r="C5342">
            <v>7.8699571528999996</v>
          </cell>
          <cell r="D5342">
            <v>7.8738328361000001</v>
          </cell>
        </row>
        <row r="5343">
          <cell r="A5343">
            <v>51207</v>
          </cell>
          <cell r="B5343">
            <v>7.8749372929000003</v>
          </cell>
          <cell r="C5343">
            <v>7.8729989409999996</v>
          </cell>
          <cell r="D5343">
            <v>7.8768761221999997</v>
          </cell>
        </row>
        <row r="5344">
          <cell r="A5344">
            <v>51208</v>
          </cell>
          <cell r="B5344">
            <v>7.8779810058999997</v>
          </cell>
          <cell r="C5344">
            <v>7.8760419048000001</v>
          </cell>
          <cell r="D5344">
            <v>7.8799205845999998</v>
          </cell>
        </row>
        <row r="5345">
          <cell r="A5345">
            <v>51209</v>
          </cell>
          <cell r="B5345">
            <v>7.8810258953999996</v>
          </cell>
          <cell r="C5345">
            <v>7.8790860448000002</v>
          </cell>
          <cell r="D5345">
            <v>7.8829662237000004</v>
          </cell>
        </row>
        <row r="5346">
          <cell r="A5346">
            <v>51210</v>
          </cell>
          <cell r="B5346">
            <v>7.8840719616000001</v>
          </cell>
          <cell r="C5346">
            <v>7.8821313612999999</v>
          </cell>
          <cell r="D5346">
            <v>7.8860130398999999</v>
          </cell>
        </row>
        <row r="5347">
          <cell r="A5347">
            <v>51211</v>
          </cell>
          <cell r="B5347">
            <v>7.8871192052000003</v>
          </cell>
          <cell r="C5347">
            <v>7.8851778548000002</v>
          </cell>
          <cell r="D5347">
            <v>7.8890610337</v>
          </cell>
        </row>
        <row r="5348">
          <cell r="A5348">
            <v>51214</v>
          </cell>
          <cell r="B5348">
            <v>7.8901676266000003</v>
          </cell>
          <cell r="C5348">
            <v>7.8882255258000002</v>
          </cell>
          <cell r="D5348">
            <v>7.8921102055999999</v>
          </cell>
        </row>
        <row r="5349">
          <cell r="A5349">
            <v>51215</v>
          </cell>
          <cell r="B5349">
            <v>7.8932172262</v>
          </cell>
          <cell r="C5349">
            <v>7.8912743749000001</v>
          </cell>
          <cell r="D5349">
            <v>7.8951605560999996</v>
          </cell>
        </row>
        <row r="5350">
          <cell r="A5350">
            <v>51216</v>
          </cell>
          <cell r="B5350">
            <v>7.8962680045000004</v>
          </cell>
          <cell r="C5350">
            <v>7.8943244021999996</v>
          </cell>
          <cell r="D5350">
            <v>7.8982120855</v>
          </cell>
        </row>
        <row r="5351">
          <cell r="A5351">
            <v>51217</v>
          </cell>
          <cell r="B5351">
            <v>7.8993199618999999</v>
          </cell>
          <cell r="C5351">
            <v>7.8973756084</v>
          </cell>
          <cell r="D5351">
            <v>7.9012647943000003</v>
          </cell>
        </row>
        <row r="5352">
          <cell r="A5352">
            <v>51218</v>
          </cell>
          <cell r="B5352">
            <v>7.9023730990000001</v>
          </cell>
          <cell r="C5352">
            <v>7.9004279940000002</v>
          </cell>
          <cell r="D5352">
            <v>7.9043186830999996</v>
          </cell>
        </row>
        <row r="5353">
          <cell r="A5353">
            <v>51221</v>
          </cell>
          <cell r="B5353">
            <v>7.9054274162000002</v>
          </cell>
          <cell r="C5353">
            <v>7.9034815594000003</v>
          </cell>
          <cell r="D5353">
            <v>7.9073737521999998</v>
          </cell>
        </row>
        <row r="5354">
          <cell r="A5354">
            <v>51222</v>
          </cell>
          <cell r="B5354">
            <v>7.9084829138000003</v>
          </cell>
          <cell r="C5354">
            <v>7.9065363049000004</v>
          </cell>
          <cell r="D5354">
            <v>7.9104300021</v>
          </cell>
        </row>
        <row r="5355">
          <cell r="A5355">
            <v>51223</v>
          </cell>
          <cell r="B5355">
            <v>7.9115395922999996</v>
          </cell>
          <cell r="C5355">
            <v>7.9095922311000004</v>
          </cell>
          <cell r="D5355">
            <v>7.9134874332000003</v>
          </cell>
        </row>
        <row r="5356">
          <cell r="A5356">
            <v>51224</v>
          </cell>
          <cell r="B5356">
            <v>7.9145974523999998</v>
          </cell>
          <cell r="C5356">
            <v>7.9126493383999996</v>
          </cell>
          <cell r="D5356">
            <v>7.9165460460999997</v>
          </cell>
        </row>
        <row r="5357">
          <cell r="A5357">
            <v>51228</v>
          </cell>
          <cell r="B5357">
            <v>7.9176564942000001</v>
          </cell>
          <cell r="C5357">
            <v>7.9157076272999998</v>
          </cell>
          <cell r="D5357">
            <v>7.9196058411000001</v>
          </cell>
        </row>
        <row r="5358">
          <cell r="A5358">
            <v>51229</v>
          </cell>
          <cell r="B5358">
            <v>7.9207167184999996</v>
          </cell>
          <cell r="C5358">
            <v>7.9187670984</v>
          </cell>
          <cell r="D5358">
            <v>7.9226668187999998</v>
          </cell>
        </row>
        <row r="5359">
          <cell r="A5359">
            <v>51230</v>
          </cell>
          <cell r="B5359">
            <v>7.9237781255000002</v>
          </cell>
          <cell r="C5359">
            <v>7.9218277518000004</v>
          </cell>
          <cell r="D5359">
            <v>7.9257289794999997</v>
          </cell>
        </row>
        <row r="5360">
          <cell r="A5360">
            <v>51231</v>
          </cell>
          <cell r="B5360">
            <v>7.9268407158</v>
          </cell>
          <cell r="C5360">
            <v>7.9248895883000001</v>
          </cell>
          <cell r="D5360">
            <v>7.9287923238999998</v>
          </cell>
        </row>
        <row r="5361">
          <cell r="A5361">
            <v>51232</v>
          </cell>
          <cell r="B5361">
            <v>7.9299044898000002</v>
          </cell>
          <cell r="C5361">
            <v>7.9279526082</v>
          </cell>
          <cell r="D5361">
            <v>7.9318568522000001</v>
          </cell>
        </row>
        <row r="5362">
          <cell r="A5362">
            <v>51235</v>
          </cell>
          <cell r="B5362">
            <v>7.9329694478999997</v>
          </cell>
          <cell r="C5362">
            <v>7.9310168119000002</v>
          </cell>
          <cell r="D5362">
            <v>7.9349225648999999</v>
          </cell>
        </row>
        <row r="5363">
          <cell r="A5363">
            <v>51236</v>
          </cell>
          <cell r="B5363">
            <v>7.9360355907000004</v>
          </cell>
          <cell r="C5363">
            <v>7.9340821999999998</v>
          </cell>
          <cell r="D5363">
            <v>7.9379894626</v>
          </cell>
        </row>
        <row r="5364">
          <cell r="A5364">
            <v>51237</v>
          </cell>
          <cell r="B5364">
            <v>7.9391029186999997</v>
          </cell>
          <cell r="C5364">
            <v>7.9371487728999996</v>
          </cell>
          <cell r="D5364">
            <v>7.9410575456999997</v>
          </cell>
        </row>
        <row r="5365">
          <cell r="A5365">
            <v>51238</v>
          </cell>
          <cell r="B5365">
            <v>7.9421714321000003</v>
          </cell>
          <cell r="C5365">
            <v>7.9402165310999999</v>
          </cell>
          <cell r="D5365">
            <v>7.9441268145999997</v>
          </cell>
        </row>
        <row r="5366">
          <cell r="A5366">
            <v>51239</v>
          </cell>
          <cell r="B5366">
            <v>7.9452411314000004</v>
          </cell>
          <cell r="C5366">
            <v>7.9432854747999997</v>
          </cell>
          <cell r="D5366">
            <v>7.9471972697000002</v>
          </cell>
        </row>
        <row r="5367">
          <cell r="A5367">
            <v>51242</v>
          </cell>
          <cell r="B5367">
            <v>7.9483120174000002</v>
          </cell>
          <cell r="C5367">
            <v>7.9463556048999999</v>
          </cell>
          <cell r="D5367">
            <v>7.9502689117000003</v>
          </cell>
        </row>
        <row r="5368">
          <cell r="A5368">
            <v>51243</v>
          </cell>
          <cell r="B5368">
            <v>7.9513840901000004</v>
          </cell>
          <cell r="C5368">
            <v>7.9494269214999997</v>
          </cell>
          <cell r="D5368">
            <v>7.9533417408</v>
          </cell>
        </row>
        <row r="5369">
          <cell r="A5369">
            <v>51244</v>
          </cell>
          <cell r="B5369">
            <v>7.9544573503000002</v>
          </cell>
          <cell r="C5369">
            <v>7.9524994251000001</v>
          </cell>
          <cell r="D5369">
            <v>7.9564157576000003</v>
          </cell>
        </row>
        <row r="5370">
          <cell r="A5370">
            <v>51245</v>
          </cell>
          <cell r="B5370">
            <v>7.9575317982999998</v>
          </cell>
          <cell r="C5370">
            <v>7.9555731165000001</v>
          </cell>
          <cell r="D5370">
            <v>7.9594909626000003</v>
          </cell>
        </row>
        <row r="5371">
          <cell r="A5371">
            <v>51246</v>
          </cell>
          <cell r="B5371">
            <v>7.9606074346</v>
          </cell>
          <cell r="C5371">
            <v>7.9586479956999998</v>
          </cell>
          <cell r="D5371">
            <v>7.9625673561000001</v>
          </cell>
        </row>
        <row r="5372">
          <cell r="A5372">
            <v>51249</v>
          </cell>
          <cell r="B5372">
            <v>7.9636842595999999</v>
          </cell>
          <cell r="C5372">
            <v>7.9617240633000002</v>
          </cell>
          <cell r="D5372">
            <v>7.9656449385999997</v>
          </cell>
        </row>
        <row r="5373">
          <cell r="A5373">
            <v>51250</v>
          </cell>
          <cell r="B5373">
            <v>7.9667622738999997</v>
          </cell>
          <cell r="C5373">
            <v>7.9648013200000003</v>
          </cell>
          <cell r="D5373">
            <v>7.9687237107</v>
          </cell>
        </row>
        <row r="5374">
          <cell r="A5374">
            <v>51251</v>
          </cell>
          <cell r="B5374">
            <v>7.9698414779000002</v>
          </cell>
          <cell r="C5374">
            <v>7.9678797661000003</v>
          </cell>
          <cell r="D5374">
            <v>7.9718036728000001</v>
          </cell>
        </row>
        <row r="5375">
          <cell r="A5375">
            <v>51252</v>
          </cell>
          <cell r="B5375">
            <v>7.9729218718999997</v>
          </cell>
          <cell r="C5375">
            <v>7.9709594018000001</v>
          </cell>
          <cell r="D5375">
            <v>7.9748848252000002</v>
          </cell>
        </row>
        <row r="5376">
          <cell r="A5376">
            <v>51253</v>
          </cell>
          <cell r="B5376">
            <v>7.9760034566</v>
          </cell>
          <cell r="C5376">
            <v>7.9740402279999998</v>
          </cell>
          <cell r="D5376">
            <v>7.9779671686000002</v>
          </cell>
        </row>
        <row r="5377">
          <cell r="A5377">
            <v>51256</v>
          </cell>
          <cell r="B5377">
            <v>7.9790862323000002</v>
          </cell>
          <cell r="C5377">
            <v>7.9771222450000003</v>
          </cell>
          <cell r="D5377">
            <v>7.9810507033000002</v>
          </cell>
        </row>
        <row r="5378">
          <cell r="A5378">
            <v>51258</v>
          </cell>
          <cell r="B5378">
            <v>7.9821701994999996</v>
          </cell>
          <cell r="C5378">
            <v>7.9802054531</v>
          </cell>
          <cell r="D5378">
            <v>7.9841354298000002</v>
          </cell>
        </row>
        <row r="5379">
          <cell r="A5379">
            <v>51259</v>
          </cell>
          <cell r="B5379">
            <v>7.9852553585999999</v>
          </cell>
          <cell r="C5379">
            <v>7.9832898527999996</v>
          </cell>
          <cell r="D5379">
            <v>7.9872213485000003</v>
          </cell>
        </row>
        <row r="5380">
          <cell r="A5380">
            <v>51260</v>
          </cell>
          <cell r="B5380">
            <v>7.9883417103000003</v>
          </cell>
          <cell r="C5380">
            <v>7.9863754448000002</v>
          </cell>
          <cell r="D5380">
            <v>7.9903084599999996</v>
          </cell>
        </row>
        <row r="5381">
          <cell r="A5381">
            <v>51263</v>
          </cell>
          <cell r="B5381">
            <v>7.9914292547999999</v>
          </cell>
          <cell r="C5381">
            <v>7.9894622292999999</v>
          </cell>
          <cell r="D5381">
            <v>7.9933967646999999</v>
          </cell>
        </row>
        <row r="5382">
          <cell r="A5382">
            <v>51264</v>
          </cell>
          <cell r="B5382">
            <v>7.9945179925999996</v>
          </cell>
          <cell r="C5382">
            <v>7.9925502068999998</v>
          </cell>
          <cell r="D5382">
            <v>7.9964862630000004</v>
          </cell>
        </row>
        <row r="5383">
          <cell r="A5383">
            <v>51265</v>
          </cell>
          <cell r="B5383">
            <v>7.9976079243999996</v>
          </cell>
          <cell r="C5383">
            <v>7.9956393780999999</v>
          </cell>
          <cell r="D5383">
            <v>7.9995769555000003</v>
          </cell>
        </row>
        <row r="5384">
          <cell r="A5384">
            <v>51266</v>
          </cell>
          <cell r="B5384">
            <v>8.0006990502999997</v>
          </cell>
          <cell r="C5384">
            <v>7.9987297432000002</v>
          </cell>
          <cell r="D5384">
            <v>8.0026688425000003</v>
          </cell>
        </row>
        <row r="5385">
          <cell r="A5385">
            <v>51267</v>
          </cell>
          <cell r="B5385">
            <v>8.0037913710000002</v>
          </cell>
          <cell r="C5385">
            <v>8.0018213026999998</v>
          </cell>
          <cell r="D5385">
            <v>8.0057619244999998</v>
          </cell>
        </row>
        <row r="5386">
          <cell r="A5386">
            <v>51270</v>
          </cell>
          <cell r="B5386">
            <v>8.006884887</v>
          </cell>
          <cell r="C5386">
            <v>8.0049140572000006</v>
          </cell>
          <cell r="D5386">
            <v>8.0088562021000005</v>
          </cell>
        </row>
        <row r="5387">
          <cell r="A5387">
            <v>51271</v>
          </cell>
          <cell r="B5387">
            <v>8.0099795984999993</v>
          </cell>
          <cell r="C5387">
            <v>8.0080080071000008</v>
          </cell>
          <cell r="D5387">
            <v>8.0119516756000007</v>
          </cell>
        </row>
        <row r="5388">
          <cell r="A5388">
            <v>51272</v>
          </cell>
          <cell r="B5388">
            <v>8.0130755061999999</v>
          </cell>
          <cell r="C5388">
            <v>8.0111031527000005</v>
          </cell>
          <cell r="D5388">
            <v>8.0150483455000003</v>
          </cell>
        </row>
        <row r="5389">
          <cell r="A5389">
            <v>51273</v>
          </cell>
          <cell r="B5389">
            <v>8.0161726105</v>
          </cell>
          <cell r="C5389">
            <v>8.0141994946999997</v>
          </cell>
          <cell r="D5389">
            <v>8.0181462122999996</v>
          </cell>
        </row>
        <row r="5390">
          <cell r="A5390">
            <v>51274</v>
          </cell>
          <cell r="B5390">
            <v>8.0192709117999996</v>
          </cell>
          <cell r="C5390">
            <v>8.0172970334000002</v>
          </cell>
          <cell r="D5390">
            <v>8.0212452764000002</v>
          </cell>
        </row>
        <row r="5391">
          <cell r="A5391">
            <v>51277</v>
          </cell>
          <cell r="B5391">
            <v>8.0223704107000007</v>
          </cell>
          <cell r="C5391">
            <v>8.0203957693000003</v>
          </cell>
          <cell r="D5391">
            <v>8.0243455384000004</v>
          </cell>
        </row>
        <row r="5392">
          <cell r="A5392">
            <v>51278</v>
          </cell>
          <cell r="B5392">
            <v>8.0254711074999996</v>
          </cell>
          <cell r="C5392">
            <v>8.0234957029</v>
          </cell>
          <cell r="D5392">
            <v>8.0274469986000003</v>
          </cell>
        </row>
        <row r="5393">
          <cell r="A5393">
            <v>51279</v>
          </cell>
          <cell r="B5393">
            <v>8.0285730028</v>
          </cell>
          <cell r="C5393">
            <v>8.0265968346999994</v>
          </cell>
          <cell r="D5393">
            <v>8.0305496575999999</v>
          </cell>
        </row>
        <row r="5394">
          <cell r="A5394">
            <v>51280</v>
          </cell>
          <cell r="B5394">
            <v>8.0316760969000001</v>
          </cell>
          <cell r="C5394">
            <v>8.0296991650000002</v>
          </cell>
          <cell r="D5394">
            <v>8.0336535156999993</v>
          </cell>
        </row>
        <row r="5395">
          <cell r="A5395">
            <v>51281</v>
          </cell>
          <cell r="B5395">
            <v>8.0347803904999999</v>
          </cell>
          <cell r="C5395">
            <v>8.0328026946000008</v>
          </cell>
          <cell r="D5395">
            <v>8.0367585736000002</v>
          </cell>
        </row>
        <row r="5396">
          <cell r="A5396">
            <v>51284</v>
          </cell>
          <cell r="B5396">
            <v>8.0378858838999996</v>
          </cell>
          <cell r="C5396">
            <v>8.0359074234999994</v>
          </cell>
          <cell r="D5396">
            <v>8.0398648314999992</v>
          </cell>
        </row>
        <row r="5397">
          <cell r="A5397">
            <v>51285</v>
          </cell>
          <cell r="B5397">
            <v>8.0409925775000008</v>
          </cell>
          <cell r="C5397">
            <v>8.0390133523999996</v>
          </cell>
          <cell r="D5397">
            <v>8.0429722899999998</v>
          </cell>
        </row>
        <row r="5398">
          <cell r="A5398">
            <v>51286</v>
          </cell>
          <cell r="B5398">
            <v>8.0441004719000002</v>
          </cell>
          <cell r="C5398">
            <v>8.0421204818999996</v>
          </cell>
          <cell r="D5398">
            <v>8.0460809496000003</v>
          </cell>
        </row>
        <row r="5399">
          <cell r="A5399">
            <v>51288</v>
          </cell>
          <cell r="B5399">
            <v>8.0472095674999995</v>
          </cell>
          <cell r="C5399">
            <v>8.0452288121999995</v>
          </cell>
          <cell r="D5399">
            <v>8.0491908107000008</v>
          </cell>
        </row>
        <row r="5400">
          <cell r="A5400">
            <v>51291</v>
          </cell>
          <cell r="B5400">
            <v>8.0503198649000005</v>
          </cell>
          <cell r="C5400">
            <v>8.0483383439999994</v>
          </cell>
          <cell r="D5400">
            <v>8.0523018737999994</v>
          </cell>
        </row>
        <row r="5401">
          <cell r="A5401">
            <v>51292</v>
          </cell>
          <cell r="B5401">
            <v>8.0534313642999997</v>
          </cell>
          <cell r="C5401">
            <v>8.0514490774999992</v>
          </cell>
          <cell r="D5401">
            <v>8.0554141392999998</v>
          </cell>
        </row>
        <row r="5402">
          <cell r="A5402">
            <v>51293</v>
          </cell>
          <cell r="B5402">
            <v>8.0565440665000008</v>
          </cell>
          <cell r="C5402">
            <v>8.0545610135000008</v>
          </cell>
          <cell r="D5402">
            <v>8.0585276078000003</v>
          </cell>
        </row>
        <row r="5403">
          <cell r="A5403">
            <v>51294</v>
          </cell>
          <cell r="B5403">
            <v>8.0596579716000001</v>
          </cell>
          <cell r="C5403">
            <v>8.0576741522000006</v>
          </cell>
          <cell r="D5403">
            <v>8.0616422795999991</v>
          </cell>
        </row>
        <row r="5404">
          <cell r="A5404">
            <v>51295</v>
          </cell>
          <cell r="B5404">
            <v>8.0627730802999995</v>
          </cell>
          <cell r="C5404">
            <v>8.0607884941000005</v>
          </cell>
          <cell r="D5404">
            <v>8.0647581551999998</v>
          </cell>
        </row>
        <row r="5405">
          <cell r="A5405">
            <v>51298</v>
          </cell>
          <cell r="B5405">
            <v>8.0658893930000009</v>
          </cell>
          <cell r="C5405">
            <v>8.0639040398000006</v>
          </cell>
          <cell r="D5405">
            <v>8.0678752352000007</v>
          </cell>
        </row>
        <row r="5406">
          <cell r="A5406">
            <v>51299</v>
          </cell>
          <cell r="B5406">
            <v>8.0690069102000006</v>
          </cell>
          <cell r="C5406">
            <v>8.0670207896000008</v>
          </cell>
          <cell r="D5406">
            <v>8.0709935199</v>
          </cell>
        </row>
        <row r="5407">
          <cell r="A5407">
            <v>51300</v>
          </cell>
          <cell r="B5407">
            <v>8.0721256323000006</v>
          </cell>
          <cell r="C5407">
            <v>8.0701387440999994</v>
          </cell>
          <cell r="D5407">
            <v>8.0741130098999996</v>
          </cell>
        </row>
        <row r="5408">
          <cell r="A5408">
            <v>51301</v>
          </cell>
          <cell r="B5408">
            <v>8.0752455598000008</v>
          </cell>
          <cell r="C5408">
            <v>8.0732579037000001</v>
          </cell>
          <cell r="D5408">
            <v>8.0772337054999994</v>
          </cell>
        </row>
        <row r="5409">
          <cell r="A5409">
            <v>51302</v>
          </cell>
          <cell r="B5409">
            <v>8.0783666932999996</v>
          </cell>
          <cell r="C5409">
            <v>8.0763782688999992</v>
          </cell>
          <cell r="D5409">
            <v>8.0803556073999996</v>
          </cell>
        </row>
        <row r="5410">
          <cell r="A5410">
            <v>51305</v>
          </cell>
          <cell r="B5410">
            <v>8.0814890330000004</v>
          </cell>
          <cell r="C5410">
            <v>8.0794998401000004</v>
          </cell>
          <cell r="D5410">
            <v>8.0834787159000001</v>
          </cell>
        </row>
        <row r="5411">
          <cell r="A5411">
            <v>51306</v>
          </cell>
          <cell r="B5411">
            <v>8.0846125794999999</v>
          </cell>
          <cell r="C5411">
            <v>8.0826226178000002</v>
          </cell>
          <cell r="D5411">
            <v>8.0866030313999993</v>
          </cell>
        </row>
        <row r="5412">
          <cell r="A5412">
            <v>51307</v>
          </cell>
          <cell r="B5412">
            <v>8.0877373333999998</v>
          </cell>
          <cell r="C5412">
            <v>8.0857466025000004</v>
          </cell>
          <cell r="D5412">
            <v>8.0897285546000006</v>
          </cell>
        </row>
        <row r="5413">
          <cell r="A5413">
            <v>51308</v>
          </cell>
          <cell r="B5413">
            <v>8.0908632949000001</v>
          </cell>
          <cell r="C5413">
            <v>8.0888717944999993</v>
          </cell>
          <cell r="D5413">
            <v>8.0928552857000007</v>
          </cell>
        </row>
        <row r="5414">
          <cell r="A5414">
            <v>51309</v>
          </cell>
          <cell r="B5414">
            <v>8.0939904646999992</v>
          </cell>
          <cell r="C5414">
            <v>8.0919981946000004</v>
          </cell>
          <cell r="D5414">
            <v>8.0959832253999995</v>
          </cell>
        </row>
        <row r="5415">
          <cell r="A5415">
            <v>51312</v>
          </cell>
          <cell r="B5415">
            <v>8.0971188431000005</v>
          </cell>
          <cell r="C5415">
            <v>8.0951258031000002</v>
          </cell>
          <cell r="D5415">
            <v>8.0991123741000006</v>
          </cell>
        </row>
        <row r="5416">
          <cell r="A5416">
            <v>51313</v>
          </cell>
          <cell r="B5416">
            <v>8.1002484306000007</v>
          </cell>
          <cell r="C5416">
            <v>8.0982546202000005</v>
          </cell>
          <cell r="D5416">
            <v>8.1022427321000006</v>
          </cell>
        </row>
        <row r="5417">
          <cell r="A5417">
            <v>51314</v>
          </cell>
          <cell r="B5417">
            <v>8.1033792277999996</v>
          </cell>
          <cell r="C5417">
            <v>8.1013846467999997</v>
          </cell>
          <cell r="D5417">
            <v>8.1053743000999994</v>
          </cell>
        </row>
        <row r="5418">
          <cell r="A5418">
            <v>51315</v>
          </cell>
          <cell r="B5418">
            <v>8.1065112350999993</v>
          </cell>
          <cell r="C5418">
            <v>8.1045158831999995</v>
          </cell>
          <cell r="D5418">
            <v>8.1085070785000006</v>
          </cell>
        </row>
        <row r="5419">
          <cell r="A5419">
            <v>51316</v>
          </cell>
          <cell r="B5419">
            <v>8.1096444528999996</v>
          </cell>
          <cell r="C5419">
            <v>8.1076483297999999</v>
          </cell>
          <cell r="D5419">
            <v>8.1116410677000008</v>
          </cell>
        </row>
        <row r="5420">
          <cell r="A5420">
            <v>51319</v>
          </cell>
          <cell r="B5420">
            <v>8.1127788817000006</v>
          </cell>
          <cell r="C5420">
            <v>8.1107819869999993</v>
          </cell>
          <cell r="D5420">
            <v>8.1147762682</v>
          </cell>
        </row>
        <row r="5421">
          <cell r="A5421">
            <v>51320</v>
          </cell>
          <cell r="B5421">
            <v>8.1159145219000006</v>
          </cell>
          <cell r="C5421">
            <v>8.1139168553999994</v>
          </cell>
          <cell r="D5421">
            <v>8.1179126803999999</v>
          </cell>
        </row>
        <row r="5422">
          <cell r="A5422">
            <v>51321</v>
          </cell>
          <cell r="B5422">
            <v>8.1190513741999997</v>
          </cell>
          <cell r="C5422">
            <v>8.1170529356000003</v>
          </cell>
          <cell r="D5422">
            <v>8.1210503050000007</v>
          </cell>
        </row>
        <row r="5423">
          <cell r="A5423">
            <v>51322</v>
          </cell>
          <cell r="B5423">
            <v>8.1221894387999996</v>
          </cell>
          <cell r="C5423">
            <v>8.1201902278000002</v>
          </cell>
          <cell r="D5423">
            <v>8.1241891422000005</v>
          </cell>
        </row>
        <row r="5424">
          <cell r="A5424">
            <v>51323</v>
          </cell>
          <cell r="B5424">
            <v>8.1253287163000003</v>
          </cell>
          <cell r="C5424">
            <v>8.1233287325999992</v>
          </cell>
          <cell r="D5424">
            <v>8.1273291925999995</v>
          </cell>
        </row>
        <row r="5425">
          <cell r="A5425">
            <v>51326</v>
          </cell>
          <cell r="B5425">
            <v>8.1284692072000002</v>
          </cell>
          <cell r="C5425">
            <v>8.1264684505000009</v>
          </cell>
          <cell r="D5425">
            <v>8.1304704566999995</v>
          </cell>
        </row>
        <row r="5426">
          <cell r="A5426">
            <v>51327</v>
          </cell>
          <cell r="B5426">
            <v>8.1316109117999993</v>
          </cell>
          <cell r="C5426">
            <v>8.1296093817999999</v>
          </cell>
          <cell r="D5426">
            <v>8.1336129348000004</v>
          </cell>
        </row>
        <row r="5427">
          <cell r="A5427">
            <v>51328</v>
          </cell>
          <cell r="B5427">
            <v>8.1347538307999994</v>
          </cell>
          <cell r="C5427">
            <v>8.1327515271999999</v>
          </cell>
          <cell r="D5427">
            <v>8.1367566276000005</v>
          </cell>
        </row>
        <row r="5428">
          <cell r="A5428">
            <v>51329</v>
          </cell>
          <cell r="B5428">
            <v>8.1378979645000005</v>
          </cell>
          <cell r="C5428">
            <v>8.1358948869999992</v>
          </cell>
          <cell r="D5428">
            <v>8.1399015353999999</v>
          </cell>
        </row>
        <row r="5429">
          <cell r="A5429">
            <v>51330</v>
          </cell>
          <cell r="B5429">
            <v>8.1410433135000009</v>
          </cell>
          <cell r="C5429">
            <v>8.1390394617999995</v>
          </cell>
          <cell r="D5429">
            <v>8.1430476588000005</v>
          </cell>
        </row>
        <row r="5430">
          <cell r="A5430">
            <v>51333</v>
          </cell>
          <cell r="B5430">
            <v>8.1441898781000006</v>
          </cell>
          <cell r="C5430">
            <v>8.1421852519000009</v>
          </cell>
          <cell r="D5430">
            <v>8.1461949981000004</v>
          </cell>
        </row>
        <row r="5431">
          <cell r="A5431">
            <v>51334</v>
          </cell>
          <cell r="B5431">
            <v>8.1473376589999997</v>
          </cell>
          <cell r="C5431">
            <v>8.1453322578999998</v>
          </cell>
          <cell r="D5431">
            <v>8.1493435538999996</v>
          </cell>
        </row>
        <row r="5432">
          <cell r="A5432">
            <v>51335</v>
          </cell>
          <cell r="B5432">
            <v>8.1504866565</v>
          </cell>
          <cell r="C5432">
            <v>8.1484804802999999</v>
          </cell>
          <cell r="D5432">
            <v>8.1524933267000002</v>
          </cell>
        </row>
        <row r="5433">
          <cell r="A5433">
            <v>51336</v>
          </cell>
          <cell r="B5433">
            <v>8.1536368709999998</v>
          </cell>
          <cell r="C5433">
            <v>8.1516299193999995</v>
          </cell>
          <cell r="D5433">
            <v>8.1556443168000001</v>
          </cell>
        </row>
        <row r="5434">
          <cell r="A5434">
            <v>51337</v>
          </cell>
          <cell r="B5434">
            <v>8.1567883032000008</v>
          </cell>
          <cell r="C5434">
            <v>8.1547805759000003</v>
          </cell>
          <cell r="D5434">
            <v>8.1587965248999996</v>
          </cell>
        </row>
        <row r="5435">
          <cell r="A5435">
            <v>51340</v>
          </cell>
          <cell r="B5435">
            <v>8.1599409533999996</v>
          </cell>
          <cell r="C5435">
            <v>8.1579324502000006</v>
          </cell>
          <cell r="D5435">
            <v>8.1619499513000004</v>
          </cell>
        </row>
        <row r="5436">
          <cell r="A5436">
            <v>51341</v>
          </cell>
          <cell r="B5436">
            <v>8.1630948220999997</v>
          </cell>
          <cell r="C5436">
            <v>8.1610855426000004</v>
          </cell>
          <cell r="D5436">
            <v>8.1651045965000009</v>
          </cell>
        </row>
        <row r="5437">
          <cell r="A5437">
            <v>51342</v>
          </cell>
          <cell r="B5437">
            <v>8.1662499096999994</v>
          </cell>
          <cell r="C5437">
            <v>8.1642398535999998</v>
          </cell>
          <cell r="D5437">
            <v>8.1682604608999991</v>
          </cell>
        </row>
        <row r="5438">
          <cell r="A5438">
            <v>51343</v>
          </cell>
          <cell r="B5438">
            <v>8.1694062169000006</v>
          </cell>
          <cell r="C5438">
            <v>8.1673953839000006</v>
          </cell>
          <cell r="D5438">
            <v>8.1714175452000006</v>
          </cell>
        </row>
        <row r="5439">
          <cell r="A5439">
            <v>51344</v>
          </cell>
          <cell r="B5439">
            <v>8.1725637439999996</v>
          </cell>
          <cell r="C5439">
            <v>8.1705521337999993</v>
          </cell>
          <cell r="D5439">
            <v>8.1745758497000001</v>
          </cell>
        </row>
        <row r="5440">
          <cell r="A5440">
            <v>51347</v>
          </cell>
          <cell r="B5440">
            <v>8.1757224915000002</v>
          </cell>
          <cell r="C5440">
            <v>8.1737101037999995</v>
          </cell>
          <cell r="D5440">
            <v>8.1777353748999992</v>
          </cell>
        </row>
        <row r="5441">
          <cell r="A5441">
            <v>51348</v>
          </cell>
          <cell r="B5441">
            <v>8.1788824598000005</v>
          </cell>
          <cell r="C5441">
            <v>8.1768692942999994</v>
          </cell>
          <cell r="D5441">
            <v>8.1808961212</v>
          </cell>
        </row>
        <row r="5442">
          <cell r="A5442">
            <v>51349</v>
          </cell>
          <cell r="B5442">
            <v>8.1820436496000006</v>
          </cell>
          <cell r="C5442">
            <v>8.1800297059999991</v>
          </cell>
          <cell r="D5442">
            <v>8.1840580893000006</v>
          </cell>
        </row>
        <row r="5443">
          <cell r="A5443">
            <v>51350</v>
          </cell>
          <cell r="B5443">
            <v>8.1852060612000006</v>
          </cell>
          <cell r="C5443">
            <v>8.1831913391000004</v>
          </cell>
          <cell r="D5443">
            <v>8.1872212793999992</v>
          </cell>
        </row>
        <row r="5444">
          <cell r="A5444">
            <v>51351</v>
          </cell>
          <cell r="B5444">
            <v>8.1883696950000004</v>
          </cell>
          <cell r="C5444">
            <v>8.1863541941999998</v>
          </cell>
          <cell r="D5444">
            <v>8.1903856920999996</v>
          </cell>
        </row>
        <row r="5445">
          <cell r="A5445">
            <v>51354</v>
          </cell>
          <cell r="B5445">
            <v>8.1915345516000002</v>
          </cell>
          <cell r="C5445">
            <v>8.1895182718000008</v>
          </cell>
          <cell r="D5445">
            <v>8.1935513278999998</v>
          </cell>
        </row>
        <row r="5446">
          <cell r="A5446">
            <v>51355</v>
          </cell>
          <cell r="B5446">
            <v>8.1947006313999999</v>
          </cell>
          <cell r="C5446">
            <v>8.1926835723</v>
          </cell>
          <cell r="D5446">
            <v>8.1967181872000001</v>
          </cell>
        </row>
        <row r="5447">
          <cell r="A5447">
            <v>51356</v>
          </cell>
          <cell r="B5447">
            <v>8.1978679349999997</v>
          </cell>
          <cell r="C5447">
            <v>8.1958500962999992</v>
          </cell>
          <cell r="D5447">
            <v>8.1998862706000004</v>
          </cell>
        </row>
        <row r="5448">
          <cell r="A5448">
            <v>51357</v>
          </cell>
          <cell r="B5448">
            <v>8.2010364626999994</v>
          </cell>
          <cell r="C5448">
            <v>8.1990178441000001</v>
          </cell>
          <cell r="D5448">
            <v>8.2030555784000008</v>
          </cell>
        </row>
        <row r="5449">
          <cell r="A5449">
            <v>51358</v>
          </cell>
          <cell r="B5449">
            <v>8.2042062150999993</v>
          </cell>
          <cell r="C5449">
            <v>8.2021868162999994</v>
          </cell>
          <cell r="D5449">
            <v>8.2062261111999995</v>
          </cell>
        </row>
        <row r="5450">
          <cell r="A5450">
            <v>51361</v>
          </cell>
          <cell r="B5450">
            <v>8.2073771925999992</v>
          </cell>
          <cell r="C5450">
            <v>8.2053570133000004</v>
          </cell>
          <cell r="D5450">
            <v>8.2093978694</v>
          </cell>
        </row>
        <row r="5451">
          <cell r="A5451">
            <v>51362</v>
          </cell>
          <cell r="B5451">
            <v>8.2105493956999993</v>
          </cell>
          <cell r="C5451">
            <v>8.2085284355999999</v>
          </cell>
          <cell r="D5451">
            <v>8.2125708535000008</v>
          </cell>
        </row>
        <row r="5452">
          <cell r="A5452">
            <v>51363</v>
          </cell>
          <cell r="B5452">
            <v>8.2137228248999996</v>
          </cell>
          <cell r="C5452">
            <v>8.2117010835999995</v>
          </cell>
          <cell r="D5452">
            <v>8.215745064</v>
          </cell>
        </row>
        <row r="5453">
          <cell r="A5453">
            <v>51364</v>
          </cell>
          <cell r="B5453">
            <v>8.2168974806000001</v>
          </cell>
          <cell r="C5453">
            <v>8.2148749579999993</v>
          </cell>
          <cell r="D5453">
            <v>8.2189205013999995</v>
          </cell>
        </row>
        <row r="5454">
          <cell r="A5454">
            <v>51365</v>
          </cell>
          <cell r="B5454">
            <v>8.2200733633999992</v>
          </cell>
          <cell r="C5454">
            <v>8.2180500590999994</v>
          </cell>
          <cell r="D5454">
            <v>8.2220971660999993</v>
          </cell>
        </row>
        <row r="5455">
          <cell r="A5455">
            <v>51368</v>
          </cell>
          <cell r="B5455">
            <v>8.2232504736000003</v>
          </cell>
          <cell r="C5455">
            <v>8.2212263872999998</v>
          </cell>
          <cell r="D5455">
            <v>8.2252750584999994</v>
          </cell>
        </row>
        <row r="5456">
          <cell r="A5456">
            <v>51369</v>
          </cell>
          <cell r="B5456">
            <v>8.2264288119</v>
          </cell>
          <cell r="C5456">
            <v>8.2244039432000005</v>
          </cell>
          <cell r="D5456">
            <v>8.2284541792999999</v>
          </cell>
        </row>
        <row r="5457">
          <cell r="A5457">
            <v>51370</v>
          </cell>
          <cell r="B5457">
            <v>8.2296083786000001</v>
          </cell>
          <cell r="C5457">
            <v>8.2275827272999997</v>
          </cell>
          <cell r="D5457">
            <v>8.2316345288000008</v>
          </cell>
        </row>
        <row r="5458">
          <cell r="A5458">
            <v>51371</v>
          </cell>
          <cell r="B5458">
            <v>8.2327891742000006</v>
          </cell>
          <cell r="C5458">
            <v>8.2307627398999994</v>
          </cell>
          <cell r="D5458">
            <v>8.2348161075000004</v>
          </cell>
        </row>
        <row r="5459">
          <cell r="A5459">
            <v>51372</v>
          </cell>
          <cell r="B5459">
            <v>8.2359711992999998</v>
          </cell>
          <cell r="C5459">
            <v>8.2339439817999995</v>
          </cell>
          <cell r="D5459">
            <v>8.2379989160000004</v>
          </cell>
        </row>
        <row r="5460">
          <cell r="A5460">
            <v>51375</v>
          </cell>
          <cell r="B5460">
            <v>8.2391544540999995</v>
          </cell>
          <cell r="C5460">
            <v>8.2371264531000001</v>
          </cell>
          <cell r="D5460">
            <v>8.2411829545999993</v>
          </cell>
        </row>
        <row r="5461">
          <cell r="A5461">
            <v>51376</v>
          </cell>
          <cell r="B5461">
            <v>8.2423389392999997</v>
          </cell>
          <cell r="C5461">
            <v>8.2403101544999995</v>
          </cell>
          <cell r="D5461">
            <v>8.2443682238000005</v>
          </cell>
        </row>
        <row r="5462">
          <cell r="A5462">
            <v>51377</v>
          </cell>
          <cell r="B5462">
            <v>8.2455246554000006</v>
          </cell>
          <cell r="C5462">
            <v>8.2434950863999994</v>
          </cell>
          <cell r="D5462">
            <v>8.2475547242000005</v>
          </cell>
        </row>
        <row r="5463">
          <cell r="A5463">
            <v>51378</v>
          </cell>
          <cell r="B5463">
            <v>8.2487116027000003</v>
          </cell>
          <cell r="C5463">
            <v>8.2466812492999999</v>
          </cell>
          <cell r="D5463">
            <v>8.2507424561999994</v>
          </cell>
        </row>
        <row r="5464">
          <cell r="A5464">
            <v>51379</v>
          </cell>
          <cell r="B5464">
            <v>8.2518997819000006</v>
          </cell>
          <cell r="C5464">
            <v>8.2498686436999993</v>
          </cell>
          <cell r="D5464">
            <v>8.2539314203000007</v>
          </cell>
        </row>
        <row r="5465">
          <cell r="A5465">
            <v>51382</v>
          </cell>
          <cell r="B5465">
            <v>8.2550891932999999</v>
          </cell>
          <cell r="C5465">
            <v>8.2530572699999993</v>
          </cell>
          <cell r="D5465">
            <v>8.2571216168999992</v>
          </cell>
        </row>
        <row r="5466">
          <cell r="A5466">
            <v>51383</v>
          </cell>
          <cell r="B5466">
            <v>8.2582798372999999</v>
          </cell>
          <cell r="C5466">
            <v>8.2562471288000001</v>
          </cell>
          <cell r="D5466">
            <v>8.2603130465000003</v>
          </cell>
        </row>
        <row r="5467">
          <cell r="A5467">
            <v>51384</v>
          </cell>
          <cell r="B5467">
            <v>8.2614717147000007</v>
          </cell>
          <cell r="C5467">
            <v>8.2594382204999999</v>
          </cell>
          <cell r="D5467">
            <v>8.2635057097000004</v>
          </cell>
        </row>
        <row r="5468">
          <cell r="A5468">
            <v>51385</v>
          </cell>
          <cell r="B5468">
            <v>8.2646648256000006</v>
          </cell>
          <cell r="C5468">
            <v>8.2626305454000004</v>
          </cell>
          <cell r="D5468">
            <v>8.2666996067999996</v>
          </cell>
        </row>
        <row r="5469">
          <cell r="A5469">
            <v>51389</v>
          </cell>
          <cell r="B5469">
            <v>8.2678591707999995</v>
          </cell>
          <cell r="C5469">
            <v>8.2658241043</v>
          </cell>
          <cell r="D5469">
            <v>8.2698947383999997</v>
          </cell>
        </row>
        <row r="5470">
          <cell r="A5470">
            <v>51390</v>
          </cell>
          <cell r="B5470">
            <v>8.2710547505999994</v>
          </cell>
          <cell r="C5470">
            <v>8.2690188976000005</v>
          </cell>
          <cell r="D5470">
            <v>8.2730911050000007</v>
          </cell>
        </row>
        <row r="5471">
          <cell r="A5471">
            <v>51391</v>
          </cell>
          <cell r="B5471">
            <v>8.2742515654000002</v>
          </cell>
          <cell r="C5471">
            <v>8.2722149256000002</v>
          </cell>
          <cell r="D5471">
            <v>8.2762887069000008</v>
          </cell>
        </row>
        <row r="5472">
          <cell r="A5472">
            <v>51392</v>
          </cell>
          <cell r="B5472">
            <v>8.2774496160000002</v>
          </cell>
          <cell r="C5472">
            <v>8.2754121889000007</v>
          </cell>
          <cell r="D5472">
            <v>8.2794875448000003</v>
          </cell>
        </row>
        <row r="5473">
          <cell r="A5473">
            <v>51393</v>
          </cell>
          <cell r="B5473">
            <v>8.2806489024999994</v>
          </cell>
          <cell r="C5473">
            <v>8.2786106880000006</v>
          </cell>
          <cell r="D5473">
            <v>8.2826876190000007</v>
          </cell>
        </row>
        <row r="5474">
          <cell r="A5474">
            <v>51396</v>
          </cell>
          <cell r="B5474">
            <v>8.2838494255999997</v>
          </cell>
          <cell r="C5474">
            <v>8.2818104232999996</v>
          </cell>
          <cell r="D5474">
            <v>8.2858889301000005</v>
          </cell>
        </row>
        <row r="5475">
          <cell r="A5475">
            <v>51397</v>
          </cell>
          <cell r="B5475">
            <v>8.2870511856999993</v>
          </cell>
          <cell r="C5475">
            <v>8.2850113952999997</v>
          </cell>
          <cell r="D5475">
            <v>8.2890914784999996</v>
          </cell>
        </row>
        <row r="5476">
          <cell r="A5476">
            <v>51398</v>
          </cell>
          <cell r="B5476">
            <v>8.2902541833000001</v>
          </cell>
          <cell r="C5476">
            <v>8.2882136045999992</v>
          </cell>
          <cell r="D5476">
            <v>8.2922952646999999</v>
          </cell>
        </row>
        <row r="5477">
          <cell r="A5477">
            <v>51399</v>
          </cell>
          <cell r="B5477">
            <v>8.2934584190000002</v>
          </cell>
          <cell r="C5477">
            <v>8.2914170514999999</v>
          </cell>
          <cell r="D5477">
            <v>8.2955002891999996</v>
          </cell>
        </row>
        <row r="5478">
          <cell r="A5478">
            <v>51400</v>
          </cell>
          <cell r="B5478">
            <v>8.2966638929999998</v>
          </cell>
          <cell r="C5478">
            <v>8.2946217364999999</v>
          </cell>
          <cell r="D5478">
            <v>8.2987065524000005</v>
          </cell>
        </row>
        <row r="5479">
          <cell r="A5479">
            <v>51403</v>
          </cell>
          <cell r="B5479">
            <v>8.2998706060000007</v>
          </cell>
          <cell r="C5479">
            <v>8.2978276601999994</v>
          </cell>
          <cell r="D5479">
            <v>8.3019140548999992</v>
          </cell>
        </row>
        <row r="5480">
          <cell r="A5480">
            <v>51404</v>
          </cell>
          <cell r="B5480">
            <v>8.3030785583999993</v>
          </cell>
          <cell r="C5480">
            <v>8.3010348230000002</v>
          </cell>
          <cell r="D5480">
            <v>8.3051227970999992</v>
          </cell>
        </row>
        <row r="5481">
          <cell r="A5481">
            <v>51405</v>
          </cell>
          <cell r="B5481">
            <v>8.3062877505999992</v>
          </cell>
          <cell r="C5481">
            <v>8.3042432253000005</v>
          </cell>
          <cell r="D5481">
            <v>8.3083327795000006</v>
          </cell>
        </row>
        <row r="5482">
          <cell r="A5482">
            <v>51406</v>
          </cell>
          <cell r="B5482">
            <v>8.3094981833000006</v>
          </cell>
          <cell r="C5482">
            <v>8.3074528678000004</v>
          </cell>
          <cell r="D5482">
            <v>8.3115440025999998</v>
          </cell>
        </row>
        <row r="5483">
          <cell r="A5483">
            <v>51407</v>
          </cell>
          <cell r="B5483">
            <v>8.3127098568999997</v>
          </cell>
          <cell r="C5483">
            <v>8.3106637507999999</v>
          </cell>
          <cell r="D5483">
            <v>8.3147564669000005</v>
          </cell>
        </row>
        <row r="5484">
          <cell r="A5484">
            <v>51410</v>
          </cell>
          <cell r="B5484">
            <v>8.3159227718000004</v>
          </cell>
          <cell r="C5484">
            <v>8.3138758749000008</v>
          </cell>
          <cell r="D5484">
            <v>8.3179701728000008</v>
          </cell>
        </row>
        <row r="5485">
          <cell r="A5485">
            <v>51411</v>
          </cell>
          <cell r="B5485">
            <v>8.3191369284000007</v>
          </cell>
          <cell r="C5485">
            <v>8.3170892403999996</v>
          </cell>
          <cell r="D5485">
            <v>8.3211851207999992</v>
          </cell>
        </row>
        <row r="5486">
          <cell r="A5486">
            <v>51412</v>
          </cell>
          <cell r="B5486">
            <v>8.3223523274000009</v>
          </cell>
          <cell r="C5486">
            <v>8.3203038479</v>
          </cell>
          <cell r="D5486">
            <v>8.3244013114000008</v>
          </cell>
        </row>
        <row r="5487">
          <cell r="A5487">
            <v>51413</v>
          </cell>
          <cell r="B5487">
            <v>8.3255689691000008</v>
          </cell>
          <cell r="C5487">
            <v>8.3235196978000001</v>
          </cell>
          <cell r="D5487">
            <v>8.3276187450000005</v>
          </cell>
        </row>
        <row r="5488">
          <cell r="A5488">
            <v>51414</v>
          </cell>
          <cell r="B5488">
            <v>8.3287868541000005</v>
          </cell>
          <cell r="C5488">
            <v>8.3267367908000001</v>
          </cell>
          <cell r="D5488">
            <v>8.3308374223000001</v>
          </cell>
        </row>
        <row r="5489">
          <cell r="A5489">
            <v>51417</v>
          </cell>
          <cell r="B5489">
            <v>8.3320059827000001</v>
          </cell>
          <cell r="C5489">
            <v>8.3299551270999999</v>
          </cell>
          <cell r="D5489">
            <v>8.3340573434999996</v>
          </cell>
        </row>
        <row r="5490">
          <cell r="A5490">
            <v>51418</v>
          </cell>
          <cell r="B5490">
            <v>8.3352263556999997</v>
          </cell>
          <cell r="C5490">
            <v>8.3331747073999995</v>
          </cell>
          <cell r="D5490">
            <v>8.3372785093000008</v>
          </cell>
        </row>
        <row r="5491">
          <cell r="A5491">
            <v>51419</v>
          </cell>
          <cell r="B5491">
            <v>8.3384479732999992</v>
          </cell>
          <cell r="C5491">
            <v>8.3363955319999992</v>
          </cell>
          <cell r="D5491">
            <v>8.3405009201000002</v>
          </cell>
        </row>
        <row r="5492">
          <cell r="A5492">
            <v>51420</v>
          </cell>
          <cell r="B5492">
            <v>8.3416708361000005</v>
          </cell>
          <cell r="C5492">
            <v>8.3396176016000005</v>
          </cell>
          <cell r="D5492">
            <v>8.3437245763999996</v>
          </cell>
        </row>
        <row r="5493">
          <cell r="A5493">
            <v>51424</v>
          </cell>
          <cell r="B5493">
            <v>8.3448949447</v>
          </cell>
          <cell r="C5493">
            <v>8.3428409165000001</v>
          </cell>
          <cell r="D5493">
            <v>8.3469494786999991</v>
          </cell>
        </row>
        <row r="5494">
          <cell r="A5494">
            <v>51425</v>
          </cell>
          <cell r="B5494">
            <v>8.3481202991999996</v>
          </cell>
          <cell r="C5494">
            <v>8.3460654770999998</v>
          </cell>
          <cell r="D5494">
            <v>8.3501756273000005</v>
          </cell>
        </row>
        <row r="5495">
          <cell r="A5495">
            <v>51426</v>
          </cell>
          <cell r="B5495">
            <v>8.3513469004999994</v>
          </cell>
          <cell r="C5495">
            <v>8.3492912841999996</v>
          </cell>
          <cell r="D5495">
            <v>8.3534030230000003</v>
          </cell>
        </row>
        <row r="5496">
          <cell r="A5496">
            <v>51427</v>
          </cell>
          <cell r="B5496">
            <v>8.3545747487999993</v>
          </cell>
          <cell r="C5496">
            <v>8.3525183379999994</v>
          </cell>
          <cell r="D5496">
            <v>8.3566316660000002</v>
          </cell>
        </row>
        <row r="5497">
          <cell r="A5497">
            <v>51428</v>
          </cell>
          <cell r="B5497">
            <v>8.3578038445999994</v>
          </cell>
          <cell r="C5497">
            <v>8.3557466390999995</v>
          </cell>
          <cell r="D5497">
            <v>8.3598615569000003</v>
          </cell>
        </row>
        <row r="5498">
          <cell r="A5498">
            <v>51431</v>
          </cell>
          <cell r="B5498">
            <v>8.3610341885999997</v>
          </cell>
          <cell r="C5498">
            <v>8.3589761878999997</v>
          </cell>
          <cell r="D5498">
            <v>8.3630926962000007</v>
          </cell>
        </row>
        <row r="5499">
          <cell r="A5499">
            <v>51432</v>
          </cell>
          <cell r="B5499">
            <v>8.3642657811000003</v>
          </cell>
          <cell r="C5499">
            <v>8.3622069850000003</v>
          </cell>
          <cell r="D5499">
            <v>8.3663250842999997</v>
          </cell>
        </row>
        <row r="5500">
          <cell r="A5500">
            <v>51433</v>
          </cell>
          <cell r="B5500">
            <v>8.3674986226999994</v>
          </cell>
          <cell r="C5500">
            <v>8.3654390307999993</v>
          </cell>
          <cell r="D5500">
            <v>8.3695587218000007</v>
          </cell>
        </row>
        <row r="5501">
          <cell r="A5501">
            <v>51434</v>
          </cell>
          <cell r="B5501">
            <v>8.3707327137000007</v>
          </cell>
          <cell r="C5501">
            <v>8.3686723258000004</v>
          </cell>
          <cell r="D5501">
            <v>8.3727936091000004</v>
          </cell>
        </row>
        <row r="5502">
          <cell r="A5502">
            <v>51435</v>
          </cell>
          <cell r="B5502">
            <v>8.3739680548000006</v>
          </cell>
          <cell r="C5502">
            <v>8.3719068705000002</v>
          </cell>
          <cell r="D5502">
            <v>8.3760297467000004</v>
          </cell>
        </row>
        <row r="5503">
          <cell r="A5503">
            <v>51438</v>
          </cell>
          <cell r="B5503">
            <v>8.3772046462999992</v>
          </cell>
          <cell r="C5503">
            <v>8.3751426654000003</v>
          </cell>
          <cell r="D5503">
            <v>8.3792671350999992</v>
          </cell>
        </row>
        <row r="5504">
          <cell r="A5504">
            <v>51439</v>
          </cell>
          <cell r="B5504">
            <v>8.3804424889</v>
          </cell>
          <cell r="C5504">
            <v>8.3783797109999991</v>
          </cell>
          <cell r="D5504">
            <v>8.3825057748000003</v>
          </cell>
        </row>
        <row r="5505">
          <cell r="A5505">
            <v>51440</v>
          </cell>
          <cell r="B5505">
            <v>8.3836815827999995</v>
          </cell>
          <cell r="C5505">
            <v>8.3816180076000002</v>
          </cell>
          <cell r="D5505">
            <v>8.3857456662000001</v>
          </cell>
        </row>
        <row r="5506">
          <cell r="A5506">
            <v>51441</v>
          </cell>
          <cell r="B5506">
            <v>8.3869219285999996</v>
          </cell>
          <cell r="C5506">
            <v>8.3848575558</v>
          </cell>
          <cell r="D5506">
            <v>8.3889868098000004</v>
          </cell>
        </row>
        <row r="5507">
          <cell r="A5507">
            <v>51445</v>
          </cell>
          <cell r="B5507">
            <v>8.3901635269000003</v>
          </cell>
          <cell r="C5507">
            <v>8.3880983563000004</v>
          </cell>
          <cell r="D5507">
            <v>8.3922292061999997</v>
          </cell>
        </row>
        <row r="5508">
          <cell r="A5508">
            <v>51446</v>
          </cell>
          <cell r="B5508">
            <v>8.3934063780999999</v>
          </cell>
          <cell r="C5508">
            <v>8.3913404092999997</v>
          </cell>
          <cell r="D5508">
            <v>8.3954728557999996</v>
          </cell>
        </row>
        <row r="5509">
          <cell r="A5509">
            <v>51447</v>
          </cell>
          <cell r="B5509">
            <v>8.3966504827000001</v>
          </cell>
          <cell r="C5509">
            <v>8.3945837152999996</v>
          </cell>
          <cell r="D5509">
            <v>8.3987177591000002</v>
          </cell>
        </row>
        <row r="5510">
          <cell r="A5510">
            <v>51448</v>
          </cell>
          <cell r="B5510">
            <v>8.3998958410999993</v>
          </cell>
          <cell r="C5510">
            <v>8.3978282749000002</v>
          </cell>
          <cell r="D5510">
            <v>8.4019639164999997</v>
          </cell>
        </row>
        <row r="5511">
          <cell r="A5511">
            <v>51449</v>
          </cell>
          <cell r="B5511">
            <v>8.4031424539999993</v>
          </cell>
          <cell r="C5511">
            <v>8.4010740886999997</v>
          </cell>
          <cell r="D5511">
            <v>8.4052113287000001</v>
          </cell>
        </row>
        <row r="5512">
          <cell r="A5512">
            <v>51452</v>
          </cell>
          <cell r="B5512">
            <v>8.4063903215</v>
          </cell>
          <cell r="C5512">
            <v>8.4043211568</v>
          </cell>
          <cell r="D5512">
            <v>8.4084599958999995</v>
          </cell>
        </row>
        <row r="5513">
          <cell r="A5513">
            <v>51453</v>
          </cell>
          <cell r="B5513">
            <v>8.4096394444999998</v>
          </cell>
          <cell r="C5513">
            <v>8.4075694799999994</v>
          </cell>
          <cell r="D5513">
            <v>8.4117099187999997</v>
          </cell>
        </row>
        <row r="5514">
          <cell r="A5514">
            <v>51454</v>
          </cell>
          <cell r="B5514">
            <v>8.4128898232000004</v>
          </cell>
          <cell r="C5514">
            <v>8.4108190586999996</v>
          </cell>
          <cell r="D5514">
            <v>8.4149610977999991</v>
          </cell>
        </row>
        <row r="5515">
          <cell r="A5515">
            <v>51456</v>
          </cell>
          <cell r="B5515">
            <v>8.4161414583000003</v>
          </cell>
          <cell r="C5515">
            <v>8.4140698934000007</v>
          </cell>
          <cell r="D5515">
            <v>8.4182135333999994</v>
          </cell>
        </row>
        <row r="5516">
          <cell r="A5516">
            <v>51459</v>
          </cell>
          <cell r="B5516">
            <v>8.4193943500999993</v>
          </cell>
          <cell r="C5516">
            <v>8.4173219844999991</v>
          </cell>
          <cell r="D5516">
            <v>8.4214672261000008</v>
          </cell>
        </row>
        <row r="5517">
          <cell r="A5517">
            <v>51460</v>
          </cell>
          <cell r="B5517">
            <v>8.4226484991999993</v>
          </cell>
          <cell r="C5517">
            <v>8.4205753327000004</v>
          </cell>
          <cell r="D5517">
            <v>8.4247221763999995</v>
          </cell>
        </row>
        <row r="5518">
          <cell r="A5518">
            <v>51461</v>
          </cell>
          <cell r="B5518">
            <v>8.4259039060000003</v>
          </cell>
          <cell r="C5518">
            <v>8.4238299382000008</v>
          </cell>
          <cell r="D5518">
            <v>8.4279783846999994</v>
          </cell>
        </row>
        <row r="5519">
          <cell r="A5519">
            <v>51462</v>
          </cell>
          <cell r="B5519">
            <v>8.4291605711000006</v>
          </cell>
          <cell r="C5519">
            <v>8.4270858017000005</v>
          </cell>
          <cell r="D5519">
            <v>8.4312358516000003</v>
          </cell>
        </row>
        <row r="5520">
          <cell r="A5520">
            <v>51463</v>
          </cell>
          <cell r="B5520">
            <v>8.4324184949000003</v>
          </cell>
          <cell r="C5520">
            <v>8.4303429235999996</v>
          </cell>
          <cell r="D5520">
            <v>8.4344945775000006</v>
          </cell>
        </row>
        <row r="5521">
          <cell r="A5521">
            <v>51466</v>
          </cell>
          <cell r="B5521">
            <v>8.4356776778999993</v>
          </cell>
          <cell r="C5521">
            <v>8.4336013042999998</v>
          </cell>
          <cell r="D5521">
            <v>8.4377545629000004</v>
          </cell>
        </row>
        <row r="5522">
          <cell r="A5522">
            <v>51467</v>
          </cell>
          <cell r="B5522">
            <v>8.4389381205999996</v>
          </cell>
          <cell r="C5522">
            <v>8.4368609444999993</v>
          </cell>
          <cell r="D5522">
            <v>8.4410158082999995</v>
          </cell>
        </row>
        <row r="5523">
          <cell r="A5523">
            <v>51468</v>
          </cell>
          <cell r="B5523">
            <v>8.4421998233999993</v>
          </cell>
          <cell r="C5523">
            <v>8.4401218445000001</v>
          </cell>
          <cell r="D5523">
            <v>8.4442783142</v>
          </cell>
        </row>
        <row r="5524">
          <cell r="A5524">
            <v>51469</v>
          </cell>
          <cell r="B5524">
            <v>8.4454627870000003</v>
          </cell>
          <cell r="C5524">
            <v>8.4433840049000004</v>
          </cell>
          <cell r="D5524">
            <v>8.4475420810999999</v>
          </cell>
        </row>
        <row r="5525">
          <cell r="A5525">
            <v>51470</v>
          </cell>
          <cell r="B5525">
            <v>8.4487270117000008</v>
          </cell>
          <cell r="C5525">
            <v>8.4466474262000002</v>
          </cell>
          <cell r="D5525">
            <v>8.4508071094999995</v>
          </cell>
        </row>
        <row r="5526">
          <cell r="A5526">
            <v>51473</v>
          </cell>
          <cell r="B5526">
            <v>8.4519924980999992</v>
          </cell>
          <cell r="C5526">
            <v>8.4499121086999995</v>
          </cell>
          <cell r="D5526">
            <v>8.4540733998000004</v>
          </cell>
        </row>
        <row r="5527">
          <cell r="A5527">
            <v>51474</v>
          </cell>
          <cell r="B5527">
            <v>8.4552592466000007</v>
          </cell>
          <cell r="C5527">
            <v>8.4531780531000003</v>
          </cell>
          <cell r="D5527">
            <v>8.4573409525999992</v>
          </cell>
        </row>
        <row r="5528">
          <cell r="A5528">
            <v>51475</v>
          </cell>
          <cell r="B5528">
            <v>8.4585272577000001</v>
          </cell>
          <cell r="C5528">
            <v>8.4564452599000006</v>
          </cell>
          <cell r="D5528">
            <v>8.4606097682999994</v>
          </cell>
        </row>
        <row r="5529">
          <cell r="A5529">
            <v>51476</v>
          </cell>
          <cell r="B5529">
            <v>8.4617965318999993</v>
          </cell>
          <cell r="C5529">
            <v>8.4597137294000007</v>
          </cell>
          <cell r="D5529">
            <v>8.4638798473999994</v>
          </cell>
        </row>
        <row r="5530">
          <cell r="A5530">
            <v>51477</v>
          </cell>
          <cell r="B5530">
            <v>8.4650670696999999</v>
          </cell>
          <cell r="C5530">
            <v>8.4629834621000004</v>
          </cell>
          <cell r="D5530">
            <v>8.4671511903999992</v>
          </cell>
        </row>
        <row r="5531">
          <cell r="A5531">
            <v>51480</v>
          </cell>
          <cell r="B5531">
            <v>8.4683388715000003</v>
          </cell>
          <cell r="C5531">
            <v>8.4662544586999999</v>
          </cell>
          <cell r="D5531">
            <v>8.4704237978000005</v>
          </cell>
        </row>
        <row r="5532">
          <cell r="A5532">
            <v>51481</v>
          </cell>
          <cell r="B5532">
            <v>8.4716119380000006</v>
          </cell>
          <cell r="C5532">
            <v>8.4695267194999992</v>
          </cell>
          <cell r="D5532">
            <v>8.4736976701</v>
          </cell>
        </row>
        <row r="5533">
          <cell r="A5533">
            <v>51482</v>
          </cell>
          <cell r="B5533">
            <v>8.4748862695000007</v>
          </cell>
          <cell r="C5533">
            <v>8.4728002450000002</v>
          </cell>
          <cell r="D5533">
            <v>8.4769728076999993</v>
          </cell>
        </row>
        <row r="5534">
          <cell r="A5534">
            <v>51483</v>
          </cell>
          <cell r="B5534">
            <v>8.4781618666000007</v>
          </cell>
          <cell r="C5534">
            <v>8.4760750358999992</v>
          </cell>
          <cell r="D5534">
            <v>8.4802492113000003</v>
          </cell>
        </row>
        <row r="5535">
          <cell r="A5535">
            <v>51484</v>
          </cell>
          <cell r="B5535">
            <v>8.4814387296000007</v>
          </cell>
          <cell r="C5535">
            <v>8.4793510922999999</v>
          </cell>
          <cell r="D5535">
            <v>8.4835268810999995</v>
          </cell>
        </row>
        <row r="5536">
          <cell r="A5536">
            <v>51487</v>
          </cell>
          <cell r="B5536">
            <v>8.4847168593000006</v>
          </cell>
          <cell r="C5536">
            <v>8.4826284152000007</v>
          </cell>
          <cell r="D5536">
            <v>8.4868058179000005</v>
          </cell>
        </row>
        <row r="5537">
          <cell r="A5537">
            <v>51488</v>
          </cell>
          <cell r="B5537">
            <v>8.4879962560000006</v>
          </cell>
          <cell r="C5537">
            <v>8.4859070045999996</v>
          </cell>
          <cell r="D5537">
            <v>8.4900860218999998</v>
          </cell>
        </row>
        <row r="5538">
          <cell r="A5538">
            <v>51489</v>
          </cell>
          <cell r="B5538">
            <v>8.4912769201000007</v>
          </cell>
          <cell r="C5538">
            <v>8.4891868612000003</v>
          </cell>
          <cell r="D5538">
            <v>8.4933674937999992</v>
          </cell>
        </row>
        <row r="5539">
          <cell r="A5539">
            <v>51490</v>
          </cell>
          <cell r="B5539">
            <v>8.4945588522000008</v>
          </cell>
          <cell r="C5539">
            <v>8.4924679854999994</v>
          </cell>
          <cell r="D5539">
            <v>8.4966502339000005</v>
          </cell>
        </row>
        <row r="5540">
          <cell r="A5540">
            <v>51491</v>
          </cell>
          <cell r="B5540">
            <v>8.4978420528999994</v>
          </cell>
          <cell r="C5540">
            <v>8.4957503780000003</v>
          </cell>
          <cell r="D5540">
            <v>8.4999342429000002</v>
          </cell>
        </row>
        <row r="5541">
          <cell r="A5541">
            <v>51494</v>
          </cell>
          <cell r="B5541">
            <v>8.5011265224999999</v>
          </cell>
          <cell r="C5541">
            <v>8.4990340392999997</v>
          </cell>
          <cell r="D5541">
            <v>8.5032195212000001</v>
          </cell>
        </row>
        <row r="5542">
          <cell r="A5542">
            <v>51496</v>
          </cell>
          <cell r="B5542">
            <v>8.5044122616000006</v>
          </cell>
          <cell r="C5542">
            <v>8.5023189694999992</v>
          </cell>
          <cell r="D5542">
            <v>8.5065060692000003</v>
          </cell>
        </row>
        <row r="5543">
          <cell r="A5543">
            <v>51497</v>
          </cell>
          <cell r="B5543">
            <v>8.5076992705999999</v>
          </cell>
          <cell r="C5543">
            <v>8.5056051695000008</v>
          </cell>
          <cell r="D5543">
            <v>8.5097938875000008</v>
          </cell>
        </row>
        <row r="5544">
          <cell r="A5544">
            <v>51498</v>
          </cell>
          <cell r="B5544">
            <v>8.5109875500999994</v>
          </cell>
          <cell r="C5544">
            <v>8.5088926396000009</v>
          </cell>
          <cell r="D5544">
            <v>8.5130829765999998</v>
          </cell>
        </row>
        <row r="5545">
          <cell r="A5545">
            <v>51501</v>
          </cell>
          <cell r="B5545">
            <v>8.5142771004999993</v>
          </cell>
          <cell r="C5545">
            <v>8.5121813802999995</v>
          </cell>
          <cell r="D5545">
            <v>8.5163733368999992</v>
          </cell>
        </row>
        <row r="5546">
          <cell r="A5546">
            <v>51503</v>
          </cell>
          <cell r="B5546">
            <v>8.5175679223999996</v>
          </cell>
          <cell r="C5546">
            <v>8.5154713922000003</v>
          </cell>
          <cell r="D5546">
            <v>8.5196649690000008</v>
          </cell>
        </row>
        <row r="5547">
          <cell r="A5547">
            <v>51504</v>
          </cell>
          <cell r="B5547">
            <v>8.5208600162000003</v>
          </cell>
          <cell r="C5547">
            <v>8.5187626756999997</v>
          </cell>
          <cell r="D5547">
            <v>8.5229578732999993</v>
          </cell>
        </row>
        <row r="5548">
          <cell r="A5548">
            <v>51505</v>
          </cell>
          <cell r="B5548">
            <v>8.5241533824999998</v>
          </cell>
          <cell r="C5548">
            <v>8.5220552312999995</v>
          </cell>
          <cell r="D5548">
            <v>8.5262520504000001</v>
          </cell>
        </row>
        <row r="5549">
          <cell r="A5549">
            <v>51508</v>
          </cell>
          <cell r="B5549">
            <v>8.5274480214999997</v>
          </cell>
          <cell r="C5549">
            <v>8.5253490593999999</v>
          </cell>
          <cell r="D5549">
            <v>8.5295475005999997</v>
          </cell>
        </row>
        <row r="5550">
          <cell r="A5550">
            <v>51509</v>
          </cell>
          <cell r="B5550">
            <v>8.5307439341000002</v>
          </cell>
          <cell r="C5550">
            <v>8.5286441607000008</v>
          </cell>
          <cell r="D5550">
            <v>8.5328442245999998</v>
          </cell>
        </row>
        <row r="5551">
          <cell r="A5551">
            <v>51510</v>
          </cell>
          <cell r="B5551">
            <v>8.5340411204999995</v>
          </cell>
          <cell r="C5551">
            <v>8.5319405355000004</v>
          </cell>
          <cell r="D5551">
            <v>8.5361422228000006</v>
          </cell>
        </row>
        <row r="5552">
          <cell r="A5552">
            <v>51511</v>
          </cell>
          <cell r="B5552">
            <v>8.5373395812999995</v>
          </cell>
          <cell r="C5552">
            <v>8.5352381845000007</v>
          </cell>
          <cell r="D5552">
            <v>8.5394414957000002</v>
          </cell>
        </row>
        <row r="5553">
          <cell r="A5553">
            <v>51512</v>
          </cell>
          <cell r="B5553">
            <v>8.5406393169000001</v>
          </cell>
          <cell r="C5553">
            <v>8.5385371078999999</v>
          </cell>
          <cell r="D5553">
            <v>8.5427420437000006</v>
          </cell>
        </row>
        <row r="5554">
          <cell r="A5554">
            <v>51515</v>
          </cell>
          <cell r="B5554">
            <v>8.5439403279999997</v>
          </cell>
          <cell r="C5554">
            <v>8.5418373063999997</v>
          </cell>
          <cell r="D5554">
            <v>8.5460438674999999</v>
          </cell>
        </row>
        <row r="5555">
          <cell r="A5555">
            <v>51516</v>
          </cell>
          <cell r="B5555">
            <v>8.5472426149</v>
          </cell>
          <cell r="C5555">
            <v>8.5451387805000003</v>
          </cell>
          <cell r="D5555">
            <v>8.5493469674</v>
          </cell>
        </row>
        <row r="5556">
          <cell r="A5556">
            <v>51517</v>
          </cell>
          <cell r="B5556">
            <v>8.5505461780999994</v>
          </cell>
          <cell r="C5556">
            <v>8.5484415305999999</v>
          </cell>
          <cell r="D5556">
            <v>8.5526513439999992</v>
          </cell>
        </row>
        <row r="5557">
          <cell r="A5557">
            <v>51518</v>
          </cell>
          <cell r="B5557">
            <v>8.5538510181999996</v>
          </cell>
          <cell r="C5557">
            <v>8.5517455572000003</v>
          </cell>
          <cell r="D5557">
            <v>8.5559569977999992</v>
          </cell>
        </row>
        <row r="5558">
          <cell r="A5558">
            <v>51519</v>
          </cell>
          <cell r="B5558">
            <v>8.5571571357000007</v>
          </cell>
          <cell r="C5558">
            <v>8.5550508608999998</v>
          </cell>
          <cell r="D5558">
            <v>8.5592639292000001</v>
          </cell>
        </row>
        <row r="5559">
          <cell r="A5559">
            <v>51522</v>
          </cell>
          <cell r="B5559">
            <v>8.5604645308999991</v>
          </cell>
          <cell r="C5559">
            <v>8.5583574420000001</v>
          </cell>
          <cell r="D5559">
            <v>8.5625721387000002</v>
          </cell>
        </row>
        <row r="5560">
          <cell r="A5560">
            <v>51523</v>
          </cell>
          <cell r="B5560">
            <v>8.5637732045000003</v>
          </cell>
          <cell r="C5560">
            <v>8.5616653011999997</v>
          </cell>
          <cell r="D5560">
            <v>8.5658816268999995</v>
          </cell>
        </row>
        <row r="5561">
          <cell r="A5561">
            <v>51524</v>
          </cell>
          <cell r="B5561">
            <v>8.5670831570000008</v>
          </cell>
          <cell r="C5561">
            <v>8.5649744390000002</v>
          </cell>
          <cell r="D5561">
            <v>8.5691923942999999</v>
          </cell>
        </row>
        <row r="5562">
          <cell r="A5562">
            <v>51525</v>
          </cell>
          <cell r="B5562">
            <v>8.5703943887000005</v>
          </cell>
          <cell r="C5562">
            <v>8.5682848557</v>
          </cell>
          <cell r="D5562">
            <v>8.5725044412999996</v>
          </cell>
        </row>
        <row r="5563">
          <cell r="A5563">
            <v>51526</v>
          </cell>
          <cell r="B5563">
            <v>8.5737069002999995</v>
          </cell>
          <cell r="C5563">
            <v>8.5715965519000008</v>
          </cell>
          <cell r="D5563">
            <v>8.5758177684000003</v>
          </cell>
        </row>
        <row r="5564">
          <cell r="A5564">
            <v>51529</v>
          </cell>
          <cell r="B5564">
            <v>8.5770206920999996</v>
          </cell>
          <cell r="C5564">
            <v>8.5749095280999992</v>
          </cell>
          <cell r="D5564">
            <v>8.5791323761000005</v>
          </cell>
        </row>
        <row r="5565">
          <cell r="A5565">
            <v>51530</v>
          </cell>
          <cell r="B5565">
            <v>8.5803357646999991</v>
          </cell>
          <cell r="C5565">
            <v>8.5782237847000005</v>
          </cell>
          <cell r="D5565">
            <v>8.5824482649</v>
          </cell>
        </row>
        <row r="5566">
          <cell r="A5566">
            <v>51531</v>
          </cell>
          <cell r="B5566">
            <v>8.5836521186999999</v>
          </cell>
          <cell r="C5566">
            <v>8.5815393223999994</v>
          </cell>
          <cell r="D5566">
            <v>8.5857654354000008</v>
          </cell>
        </row>
        <row r="5567">
          <cell r="A5567">
            <v>51532</v>
          </cell>
          <cell r="B5567">
            <v>8.5869697545000001</v>
          </cell>
          <cell r="C5567">
            <v>8.5848561415999995</v>
          </cell>
          <cell r="D5567">
            <v>8.5890838879999993</v>
          </cell>
        </row>
        <row r="5568">
          <cell r="A5568">
            <v>51533</v>
          </cell>
          <cell r="B5568">
            <v>8.5902886724999998</v>
          </cell>
          <cell r="C5568">
            <v>8.5881742426999992</v>
          </cell>
          <cell r="D5568">
            <v>8.5924036230999992</v>
          </cell>
        </row>
        <row r="5569">
          <cell r="A5569">
            <v>51536</v>
          </cell>
          <cell r="B5569">
            <v>8.5936088733999991</v>
          </cell>
          <cell r="C5569">
            <v>8.5914936263000001</v>
          </cell>
          <cell r="D5569">
            <v>8.5957246414000004</v>
          </cell>
        </row>
        <row r="5570">
          <cell r="A5570">
            <v>51537</v>
          </cell>
          <cell r="B5570">
            <v>8.5969303573999998</v>
          </cell>
          <cell r="C5570">
            <v>8.5948142928000006</v>
          </cell>
          <cell r="D5570">
            <v>8.5990469431999994</v>
          </cell>
        </row>
        <row r="5571">
          <cell r="A5571">
            <v>51538</v>
          </cell>
          <cell r="B5571">
            <v>8.6002531253000001</v>
          </cell>
          <cell r="C5571">
            <v>8.5981362428000008</v>
          </cell>
          <cell r="D5571">
            <v>8.6023705291999999</v>
          </cell>
        </row>
        <row r="5572">
          <cell r="A5572">
            <v>51539</v>
          </cell>
          <cell r="B5572">
            <v>8.6035771774000001</v>
          </cell>
          <cell r="C5572">
            <v>8.6014594767000006</v>
          </cell>
          <cell r="D5572">
            <v>8.6056953997000001</v>
          </cell>
        </row>
        <row r="5573">
          <cell r="A5573">
            <v>51540</v>
          </cell>
          <cell r="B5573">
            <v>8.6069025142999998</v>
          </cell>
          <cell r="C5573">
            <v>8.6047839951</v>
          </cell>
          <cell r="D5573">
            <v>8.6090215553</v>
          </cell>
        </row>
        <row r="5574">
          <cell r="A5574">
            <v>51543</v>
          </cell>
          <cell r="B5574">
            <v>8.6102291364999992</v>
          </cell>
          <cell r="C5574">
            <v>8.6081097984999992</v>
          </cell>
          <cell r="D5574">
            <v>8.6123489964999997</v>
          </cell>
        </row>
        <row r="5575">
          <cell r="A5575">
            <v>51544</v>
          </cell>
          <cell r="B5575">
            <v>8.6135570445000003</v>
          </cell>
          <cell r="C5575">
            <v>8.6114368873</v>
          </cell>
          <cell r="D5575">
            <v>8.6156777237999993</v>
          </cell>
        </row>
        <row r="5576">
          <cell r="A5576">
            <v>51545</v>
          </cell>
          <cell r="B5576">
            <v>8.6168862386999994</v>
          </cell>
          <cell r="C5576">
            <v>8.6147652621000006</v>
          </cell>
          <cell r="D5576">
            <v>8.6190077377000005</v>
          </cell>
        </row>
        <row r="5577">
          <cell r="A5577">
            <v>51546</v>
          </cell>
          <cell r="B5577">
            <v>8.6202167196000001</v>
          </cell>
          <cell r="C5577">
            <v>8.6180949232999993</v>
          </cell>
          <cell r="D5577">
            <v>8.6223390385999998</v>
          </cell>
        </row>
        <row r="5578">
          <cell r="A5578">
            <v>51547</v>
          </cell>
          <cell r="B5578">
            <v>8.6235484879000008</v>
          </cell>
          <cell r="C5578">
            <v>8.6214258713999996</v>
          </cell>
          <cell r="D5578">
            <v>8.6256716270999991</v>
          </cell>
        </row>
        <row r="5579">
          <cell r="A5579">
            <v>51550</v>
          </cell>
          <cell r="B5579">
            <v>8.6268815436999997</v>
          </cell>
          <cell r="C5579">
            <v>8.6247581068999999</v>
          </cell>
          <cell r="D5579">
            <v>8.6290055036000002</v>
          </cell>
        </row>
        <row r="5580">
          <cell r="A5580">
            <v>51551</v>
          </cell>
          <cell r="B5580">
            <v>8.6302158880000004</v>
          </cell>
          <cell r="C5580">
            <v>8.6280916304000002</v>
          </cell>
          <cell r="D5580">
            <v>8.6323406687999995</v>
          </cell>
        </row>
        <row r="5581">
          <cell r="A5581">
            <v>51552</v>
          </cell>
          <cell r="B5581">
            <v>8.6335515208999993</v>
          </cell>
          <cell r="C5581">
            <v>8.6314264422000004</v>
          </cell>
          <cell r="D5581">
            <v>8.6356771229000007</v>
          </cell>
        </row>
        <row r="5582">
          <cell r="A5582">
            <v>51553</v>
          </cell>
          <cell r="B5582">
            <v>8.6368884431000001</v>
          </cell>
          <cell r="C5582">
            <v>8.6347625431000008</v>
          </cell>
          <cell r="D5582">
            <v>8.6390148667000002</v>
          </cell>
        </row>
        <row r="5583">
          <cell r="A5583">
            <v>51554</v>
          </cell>
          <cell r="B5583">
            <v>8.6402266549999993</v>
          </cell>
          <cell r="C5583">
            <v>8.6380999333999995</v>
          </cell>
          <cell r="D5583">
            <v>8.6423539004999999</v>
          </cell>
        </row>
        <row r="5584">
          <cell r="A5584">
            <v>51557</v>
          </cell>
          <cell r="B5584">
            <v>8.6435661573000004</v>
          </cell>
          <cell r="C5584">
            <v>8.6414386136000001</v>
          </cell>
          <cell r="D5584">
            <v>8.6456942248999997</v>
          </cell>
        </row>
        <row r="5585">
          <cell r="A5585">
            <v>51558</v>
          </cell>
          <cell r="B5585">
            <v>8.6469069501</v>
          </cell>
          <cell r="C5585">
            <v>8.6447785841999991</v>
          </cell>
          <cell r="D5585">
            <v>8.6490358402999998</v>
          </cell>
        </row>
        <row r="5586">
          <cell r="A5586">
            <v>51559</v>
          </cell>
          <cell r="B5586">
            <v>8.6502490341999998</v>
          </cell>
          <cell r="C5586">
            <v>8.6481198456000001</v>
          </cell>
          <cell r="D5586">
            <v>8.6523787472000002</v>
          </cell>
        </row>
        <row r="5587">
          <cell r="A5587">
            <v>51560</v>
          </cell>
          <cell r="B5587">
            <v>8.6535924101999999</v>
          </cell>
          <cell r="C5587">
            <v>8.6514623985999997</v>
          </cell>
          <cell r="D5587">
            <v>8.6557229462999992</v>
          </cell>
        </row>
        <row r="5588">
          <cell r="A5588">
            <v>51561</v>
          </cell>
          <cell r="B5588">
            <v>8.6569370783000004</v>
          </cell>
          <cell r="C5588">
            <v>8.6548062434999995</v>
          </cell>
          <cell r="D5588">
            <v>8.6590684379000002</v>
          </cell>
        </row>
        <row r="5589">
          <cell r="A5589">
            <v>51566</v>
          </cell>
          <cell r="B5589">
            <v>8.6602830390999994</v>
          </cell>
          <cell r="C5589">
            <v>8.6581513806999997</v>
          </cell>
          <cell r="D5589">
            <v>8.6624152225</v>
          </cell>
        </row>
        <row r="5590">
          <cell r="A5590">
            <v>51567</v>
          </cell>
          <cell r="B5590">
            <v>8.6636302932000007</v>
          </cell>
          <cell r="C5590">
            <v>8.6614978109000003</v>
          </cell>
          <cell r="D5590">
            <v>8.6657633007000001</v>
          </cell>
        </row>
        <row r="5591">
          <cell r="A5591">
            <v>51568</v>
          </cell>
          <cell r="B5591">
            <v>8.6669788410000006</v>
          </cell>
          <cell r="C5591">
            <v>8.6648455344999995</v>
          </cell>
          <cell r="D5591">
            <v>8.6691126729000008</v>
          </cell>
        </row>
        <row r="5592">
          <cell r="A5592">
            <v>51571</v>
          </cell>
          <cell r="B5592">
            <v>8.6703286830999993</v>
          </cell>
          <cell r="C5592">
            <v>8.6681945519999992</v>
          </cell>
          <cell r="D5592">
            <v>8.6724633397000002</v>
          </cell>
        </row>
        <row r="5593">
          <cell r="A5593">
            <v>51572</v>
          </cell>
          <cell r="B5593">
            <v>8.6736798199000003</v>
          </cell>
          <cell r="C5593">
            <v>8.6715448639999995</v>
          </cell>
          <cell r="D5593">
            <v>8.6758153016000001</v>
          </cell>
        </row>
        <row r="5594">
          <cell r="A5594">
            <v>51573</v>
          </cell>
          <cell r="B5594">
            <v>8.6770322519</v>
          </cell>
          <cell r="C5594">
            <v>8.6748964709000003</v>
          </cell>
          <cell r="D5594">
            <v>8.6791685590000007</v>
          </cell>
        </row>
        <row r="5595">
          <cell r="A5595">
            <v>51574</v>
          </cell>
          <cell r="B5595">
            <v>8.6803859796000005</v>
          </cell>
          <cell r="C5595">
            <v>8.6782493730999999</v>
          </cell>
          <cell r="D5595">
            <v>8.6825231124000002</v>
          </cell>
        </row>
        <row r="5596">
          <cell r="A5596">
            <v>51575</v>
          </cell>
          <cell r="B5596">
            <v>8.6837410035999998</v>
          </cell>
          <cell r="C5596">
            <v>8.6816035712000001</v>
          </cell>
          <cell r="D5596">
            <v>8.6858789624000003</v>
          </cell>
        </row>
        <row r="5597">
          <cell r="A5597">
            <v>51578</v>
          </cell>
          <cell r="B5597">
            <v>8.6870973243999998</v>
          </cell>
          <cell r="C5597">
            <v>8.6849590658999993</v>
          </cell>
          <cell r="D5597">
            <v>8.6892361094999995</v>
          </cell>
        </row>
        <row r="5598">
          <cell r="A5598">
            <v>51579</v>
          </cell>
          <cell r="B5598">
            <v>8.6904549423000006</v>
          </cell>
          <cell r="C5598">
            <v>8.6883158573999992</v>
          </cell>
          <cell r="D5598">
            <v>8.6925945540999994</v>
          </cell>
        </row>
        <row r="5599">
          <cell r="A5599">
            <v>51580</v>
          </cell>
          <cell r="B5599">
            <v>8.6938138580000004</v>
          </cell>
          <cell r="C5599">
            <v>8.6916739462999999</v>
          </cell>
          <cell r="D5599">
            <v>8.6959542968000001</v>
          </cell>
        </row>
        <row r="5600">
          <cell r="A5600">
            <v>51581</v>
          </cell>
          <cell r="B5600">
            <v>8.6971740720999993</v>
          </cell>
          <cell r="C5600">
            <v>8.6950333331999996</v>
          </cell>
          <cell r="D5600">
            <v>8.6993153380999999</v>
          </cell>
        </row>
        <row r="5601">
          <cell r="A5601">
            <v>51582</v>
          </cell>
          <cell r="B5601">
            <v>8.7005355847000008</v>
          </cell>
          <cell r="C5601">
            <v>8.6983940185000002</v>
          </cell>
          <cell r="D5601">
            <v>8.7026776784000006</v>
          </cell>
        </row>
        <row r="5602">
          <cell r="A5602">
            <v>51585</v>
          </cell>
          <cell r="B5602">
            <v>8.7038983966999997</v>
          </cell>
          <cell r="C5602">
            <v>8.7017560027999998</v>
          </cell>
          <cell r="D5602">
            <v>8.7060413183000005</v>
          </cell>
        </row>
        <row r="5603">
          <cell r="A5603">
            <v>51586</v>
          </cell>
          <cell r="B5603">
            <v>8.7072625083999995</v>
          </cell>
          <cell r="C5603">
            <v>8.7051192864000004</v>
          </cell>
          <cell r="D5603">
            <v>8.7094062581999996</v>
          </cell>
        </row>
        <row r="5604">
          <cell r="A5604">
            <v>51587</v>
          </cell>
          <cell r="B5604">
            <v>8.7106279204000003</v>
          </cell>
          <cell r="C5604">
            <v>8.7084838700000002</v>
          </cell>
          <cell r="D5604">
            <v>8.7127724987999997</v>
          </cell>
        </row>
        <row r="5605">
          <cell r="A5605">
            <v>51588</v>
          </cell>
          <cell r="B5605">
            <v>8.7139946331000004</v>
          </cell>
          <cell r="C5605">
            <v>8.7118497539999993</v>
          </cell>
          <cell r="D5605">
            <v>8.7161400403999991</v>
          </cell>
        </row>
        <row r="5606">
          <cell r="A5606">
            <v>51589</v>
          </cell>
          <cell r="B5606">
            <v>8.7173626469999999</v>
          </cell>
          <cell r="C5606">
            <v>8.7152169388999994</v>
          </cell>
          <cell r="D5606">
            <v>8.7195088834999996</v>
          </cell>
        </row>
        <row r="5607">
          <cell r="A5607">
            <v>51592</v>
          </cell>
          <cell r="B5607">
            <v>8.7207319627000004</v>
          </cell>
          <cell r="C5607">
            <v>8.7185854253000006</v>
          </cell>
          <cell r="D5607">
            <v>8.7228790287999995</v>
          </cell>
        </row>
        <row r="5608">
          <cell r="A5608">
            <v>51593</v>
          </cell>
          <cell r="B5608">
            <v>8.7241025807000003</v>
          </cell>
          <cell r="C5608">
            <v>8.7219552135999994</v>
          </cell>
          <cell r="D5608">
            <v>8.7262504766000006</v>
          </cell>
        </row>
        <row r="5609">
          <cell r="A5609">
            <v>51594</v>
          </cell>
          <cell r="B5609">
            <v>8.7274745013999997</v>
          </cell>
          <cell r="C5609">
            <v>8.7253263043999993</v>
          </cell>
          <cell r="D5609">
            <v>8.7296232274999994</v>
          </cell>
        </row>
        <row r="5610">
          <cell r="A5610">
            <v>51595</v>
          </cell>
          <cell r="B5610">
            <v>8.7308477254000003</v>
          </cell>
          <cell r="C5610">
            <v>8.7286986981000005</v>
          </cell>
          <cell r="D5610">
            <v>8.7329972819999995</v>
          </cell>
        </row>
        <row r="5611">
          <cell r="A5611">
            <v>51596</v>
          </cell>
          <cell r="B5611">
            <v>8.7342222532000005</v>
          </cell>
          <cell r="C5611">
            <v>8.7320723952999995</v>
          </cell>
          <cell r="D5611">
            <v>8.7363726406000008</v>
          </cell>
        </row>
        <row r="5612">
          <cell r="A5612">
            <v>51599</v>
          </cell>
          <cell r="B5612">
            <v>8.7375980853000002</v>
          </cell>
          <cell r="C5612">
            <v>8.7354473963999997</v>
          </cell>
          <cell r="D5612">
            <v>8.7397493038</v>
          </cell>
        </row>
        <row r="5613">
          <cell r="A5613">
            <v>51600</v>
          </cell>
          <cell r="B5613">
            <v>8.7409752220999994</v>
          </cell>
          <cell r="C5613">
            <v>8.7388237019999995</v>
          </cell>
          <cell r="D5613">
            <v>8.7431272721000006</v>
          </cell>
        </row>
        <row r="5614">
          <cell r="A5614">
            <v>51601</v>
          </cell>
          <cell r="B5614">
            <v>8.7443536642000002</v>
          </cell>
          <cell r="C5614">
            <v>8.7422013125000007</v>
          </cell>
          <cell r="D5614">
            <v>8.7465065460000009</v>
          </cell>
        </row>
        <row r="5615">
          <cell r="A5615">
            <v>51602</v>
          </cell>
          <cell r="B5615">
            <v>8.7477334121000005</v>
          </cell>
          <cell r="C5615">
            <v>8.7455802284999997</v>
          </cell>
          <cell r="D5615">
            <v>8.7498871260000008</v>
          </cell>
        </row>
        <row r="5616">
          <cell r="A5616">
            <v>51603</v>
          </cell>
          <cell r="B5616">
            <v>8.7511144664000007</v>
          </cell>
          <cell r="C5616">
            <v>8.7489604506000003</v>
          </cell>
          <cell r="D5616">
            <v>8.7532690127000006</v>
          </cell>
        </row>
        <row r="5617">
          <cell r="A5617">
            <v>51606</v>
          </cell>
          <cell r="B5617">
            <v>8.7544968273000006</v>
          </cell>
          <cell r="C5617">
            <v>8.7523419790000005</v>
          </cell>
          <cell r="D5617">
            <v>8.7566522064000001</v>
          </cell>
        </row>
        <row r="5618">
          <cell r="A5618">
            <v>51607</v>
          </cell>
          <cell r="B5618">
            <v>8.7578804957000003</v>
          </cell>
          <cell r="C5618">
            <v>8.7557248145000006</v>
          </cell>
          <cell r="D5618">
            <v>8.7600367077999994</v>
          </cell>
        </row>
        <row r="5619">
          <cell r="A5619">
            <v>51608</v>
          </cell>
          <cell r="B5619">
            <v>8.7612654717999998</v>
          </cell>
          <cell r="C5619">
            <v>8.7591089574000005</v>
          </cell>
          <cell r="D5619">
            <v>8.7634225173000004</v>
          </cell>
        </row>
        <row r="5620">
          <cell r="A5620">
            <v>51609</v>
          </cell>
          <cell r="B5620">
            <v>8.7646517562999993</v>
          </cell>
          <cell r="C5620">
            <v>8.7624944084000003</v>
          </cell>
          <cell r="D5620">
            <v>8.7668096354999996</v>
          </cell>
        </row>
        <row r="5621">
          <cell r="A5621">
            <v>51613</v>
          </cell>
          <cell r="B5621">
            <v>8.7680393495000004</v>
          </cell>
          <cell r="C5621">
            <v>8.7658811677999999</v>
          </cell>
          <cell r="D5621">
            <v>8.7701980628000005</v>
          </cell>
        </row>
        <row r="5622">
          <cell r="A5622">
            <v>51614</v>
          </cell>
          <cell r="B5622">
            <v>8.7714282520999998</v>
          </cell>
          <cell r="C5622">
            <v>8.7692692361999995</v>
          </cell>
          <cell r="D5622">
            <v>8.7735877996999996</v>
          </cell>
        </row>
        <row r="5623">
          <cell r="A5623">
            <v>51615</v>
          </cell>
          <cell r="B5623">
            <v>8.7748184644999991</v>
          </cell>
          <cell r="C5623">
            <v>8.7726586141999991</v>
          </cell>
          <cell r="D5623">
            <v>8.7769788468000005</v>
          </cell>
        </row>
        <row r="5624">
          <cell r="A5624">
            <v>51616</v>
          </cell>
          <cell r="B5624">
            <v>8.7782099872000003</v>
          </cell>
          <cell r="C5624">
            <v>8.7760493021000006</v>
          </cell>
          <cell r="D5624">
            <v>8.7803712044999997</v>
          </cell>
        </row>
        <row r="5625">
          <cell r="A5625">
            <v>51617</v>
          </cell>
          <cell r="B5625">
            <v>8.7816028208999999</v>
          </cell>
          <cell r="C5625">
            <v>8.7794413006000003</v>
          </cell>
          <cell r="D5625">
            <v>8.7837648734999991</v>
          </cell>
        </row>
        <row r="5626">
          <cell r="A5626">
            <v>51620</v>
          </cell>
          <cell r="B5626">
            <v>8.7849969657999996</v>
          </cell>
          <cell r="C5626">
            <v>8.7828346101000001</v>
          </cell>
          <cell r="D5626">
            <v>8.7871598541000004</v>
          </cell>
        </row>
        <row r="5627">
          <cell r="A5627">
            <v>51621</v>
          </cell>
          <cell r="B5627">
            <v>8.7883924225999994</v>
          </cell>
          <cell r="C5627">
            <v>8.7862292311000001</v>
          </cell>
          <cell r="D5627">
            <v>8.7905561468000002</v>
          </cell>
        </row>
        <row r="5628">
          <cell r="A5628">
            <v>51623</v>
          </cell>
          <cell r="B5628">
            <v>8.7917891917999995</v>
          </cell>
          <cell r="C5628">
            <v>8.7896251642000003</v>
          </cell>
          <cell r="D5628">
            <v>8.7939537523000002</v>
          </cell>
        </row>
        <row r="5629">
          <cell r="A5629">
            <v>51624</v>
          </cell>
          <cell r="B5629">
            <v>8.7951872738999999</v>
          </cell>
          <cell r="C5629">
            <v>8.7930224099000007</v>
          </cell>
          <cell r="D5629">
            <v>8.7973526710000005</v>
          </cell>
        </row>
        <row r="5630">
          <cell r="A5630">
            <v>51627</v>
          </cell>
          <cell r="B5630">
            <v>8.7985866692000005</v>
          </cell>
          <cell r="C5630">
            <v>8.7964209684999997</v>
          </cell>
          <cell r="D5630">
            <v>8.8007529032999994</v>
          </cell>
        </row>
        <row r="5631">
          <cell r="A5631">
            <v>51628</v>
          </cell>
          <cell r="B5631">
            <v>8.8019873785999998</v>
          </cell>
          <cell r="C5631">
            <v>8.7998208408000007</v>
          </cell>
          <cell r="D5631">
            <v>8.8041544499000004</v>
          </cell>
        </row>
        <row r="5632">
          <cell r="A5632">
            <v>51629</v>
          </cell>
          <cell r="B5632">
            <v>8.8053894022999994</v>
          </cell>
          <cell r="C5632">
            <v>8.8032220271000003</v>
          </cell>
          <cell r="D5632">
            <v>8.8075573112000001</v>
          </cell>
        </row>
        <row r="5633">
          <cell r="A5633">
            <v>51630</v>
          </cell>
          <cell r="B5633">
            <v>8.8087927408999995</v>
          </cell>
          <cell r="C5633">
            <v>8.8066245280000004</v>
          </cell>
          <cell r="D5633">
            <v>8.8109614877000002</v>
          </cell>
        </row>
        <row r="5634">
          <cell r="A5634">
            <v>51631</v>
          </cell>
          <cell r="B5634">
            <v>8.8121973949000001</v>
          </cell>
          <cell r="C5634">
            <v>8.8100283440999991</v>
          </cell>
          <cell r="D5634">
            <v>8.8143669800000009</v>
          </cell>
        </row>
        <row r="5635">
          <cell r="A5635">
            <v>51634</v>
          </cell>
          <cell r="B5635">
            <v>8.8156033648999994</v>
          </cell>
          <cell r="C5635">
            <v>8.8134334756000001</v>
          </cell>
          <cell r="D5635">
            <v>8.8177737885000003</v>
          </cell>
        </row>
        <row r="5636">
          <cell r="A5636">
            <v>51635</v>
          </cell>
          <cell r="B5636">
            <v>8.8190106511999993</v>
          </cell>
          <cell r="C5636">
            <v>8.8168399232999999</v>
          </cell>
          <cell r="D5636">
            <v>8.8211819137000003</v>
          </cell>
        </row>
        <row r="5637">
          <cell r="A5637">
            <v>51636</v>
          </cell>
          <cell r="B5637">
            <v>8.8224192544999998</v>
          </cell>
          <cell r="C5637">
            <v>8.8202476876000002</v>
          </cell>
          <cell r="D5637">
            <v>8.8245913561999991</v>
          </cell>
        </row>
        <row r="5638">
          <cell r="A5638">
            <v>51637</v>
          </cell>
          <cell r="B5638">
            <v>8.8258291752000009</v>
          </cell>
          <cell r="C5638">
            <v>8.8236567689999994</v>
          </cell>
          <cell r="D5638">
            <v>8.8280021165000004</v>
          </cell>
        </row>
        <row r="5639">
          <cell r="A5639">
            <v>51638</v>
          </cell>
          <cell r="B5639">
            <v>8.8292404139999991</v>
          </cell>
          <cell r="C5639">
            <v>8.8270671680999993</v>
          </cell>
          <cell r="D5639">
            <v>8.8314141951000007</v>
          </cell>
        </row>
        <row r="5640">
          <cell r="A5640">
            <v>51641</v>
          </cell>
          <cell r="B5640">
            <v>8.8326529711999999</v>
          </cell>
          <cell r="C5640">
            <v>8.8304788853999998</v>
          </cell>
          <cell r="D5640">
            <v>8.8348275924999999</v>
          </cell>
        </row>
        <row r="5641">
          <cell r="A5641">
            <v>51642</v>
          </cell>
          <cell r="B5641">
            <v>8.8360668472999997</v>
          </cell>
          <cell r="C5641">
            <v>8.8338919211999993</v>
          </cell>
          <cell r="D5641">
            <v>8.8382423091</v>
          </cell>
        </row>
        <row r="5642">
          <cell r="A5642">
            <v>51643</v>
          </cell>
          <cell r="B5642">
            <v>8.8394820430000003</v>
          </cell>
          <cell r="C5642">
            <v>8.8373062761999996</v>
          </cell>
          <cell r="D5642">
            <v>8.8416583456000009</v>
          </cell>
        </row>
        <row r="5643">
          <cell r="A5643">
            <v>51644</v>
          </cell>
          <cell r="B5643">
            <v>8.8428985586</v>
          </cell>
          <cell r="C5643">
            <v>8.8407219509000008</v>
          </cell>
          <cell r="D5643">
            <v>8.8450757024000008</v>
          </cell>
        </row>
        <row r="5644">
          <cell r="A5644">
            <v>51645</v>
          </cell>
          <cell r="B5644">
            <v>8.8463163947000005</v>
          </cell>
          <cell r="C5644">
            <v>8.8441389457999993</v>
          </cell>
          <cell r="D5644">
            <v>8.84849438</v>
          </cell>
        </row>
        <row r="5645">
          <cell r="A5645">
            <v>51648</v>
          </cell>
          <cell r="B5645">
            <v>8.8497355519000003</v>
          </cell>
          <cell r="C5645">
            <v>8.8475572614000004</v>
          </cell>
          <cell r="D5645">
            <v>8.8519143790000001</v>
          </cell>
        </row>
        <row r="5646">
          <cell r="A5646">
            <v>51649</v>
          </cell>
          <cell r="B5646">
            <v>8.8531560305999992</v>
          </cell>
          <cell r="C5646">
            <v>8.8509768981000008</v>
          </cell>
          <cell r="D5646">
            <v>8.8553356997999995</v>
          </cell>
        </row>
        <row r="5647">
          <cell r="A5647">
            <v>51650</v>
          </cell>
          <cell r="B5647">
            <v>8.8565778311999992</v>
          </cell>
          <cell r="C5647">
            <v>8.8543978565000003</v>
          </cell>
          <cell r="D5647">
            <v>8.8587583428999999</v>
          </cell>
        </row>
        <row r="5648">
          <cell r="A5648">
            <v>51651</v>
          </cell>
          <cell r="B5648">
            <v>8.8600009546000003</v>
          </cell>
          <cell r="C5648">
            <v>8.8578201371999992</v>
          </cell>
          <cell r="D5648">
            <v>8.8621823089999996</v>
          </cell>
        </row>
        <row r="5649">
          <cell r="A5649">
            <v>51652</v>
          </cell>
          <cell r="B5649">
            <v>8.8634254009000006</v>
          </cell>
          <cell r="C5649">
            <v>8.8612437406000009</v>
          </cell>
          <cell r="D5649">
            <v>8.8656075984000005</v>
          </cell>
        </row>
        <row r="5650">
          <cell r="A5650">
            <v>51655</v>
          </cell>
          <cell r="B5650">
            <v>8.8668511707000004</v>
          </cell>
          <cell r="C5650">
            <v>8.8646686673000001</v>
          </cell>
          <cell r="D5650">
            <v>8.8690342117000007</v>
          </cell>
        </row>
        <row r="5651">
          <cell r="A5651">
            <v>51656</v>
          </cell>
          <cell r="B5651">
            <v>8.8702782647999996</v>
          </cell>
          <cell r="C5651">
            <v>8.8680949178000006</v>
          </cell>
          <cell r="D5651">
            <v>8.8724621495000005</v>
          </cell>
        </row>
        <row r="5652">
          <cell r="A5652">
            <v>51657</v>
          </cell>
          <cell r="B5652">
            <v>8.8737066833</v>
          </cell>
          <cell r="C5652">
            <v>8.8715224924000005</v>
          </cell>
          <cell r="D5652">
            <v>8.8758914120999997</v>
          </cell>
        </row>
        <row r="5653">
          <cell r="A5653">
            <v>51658</v>
          </cell>
          <cell r="B5653">
            <v>8.8771364269999999</v>
          </cell>
          <cell r="C5653">
            <v>8.8749513918999998</v>
          </cell>
          <cell r="D5653">
            <v>8.8793220002000002</v>
          </cell>
        </row>
        <row r="5654">
          <cell r="A5654">
            <v>51659</v>
          </cell>
          <cell r="B5654">
            <v>8.8805674961999994</v>
          </cell>
          <cell r="C5654">
            <v>8.8783816166000005</v>
          </cell>
          <cell r="D5654">
            <v>8.8827539142000003</v>
          </cell>
        </row>
        <row r="5655">
          <cell r="A5655">
            <v>51662</v>
          </cell>
          <cell r="B5655">
            <v>8.8839998917000003</v>
          </cell>
          <cell r="C5655">
            <v>8.8818131672000007</v>
          </cell>
          <cell r="D5655">
            <v>8.8861871547</v>
          </cell>
        </row>
        <row r="5656">
          <cell r="A5656">
            <v>51663</v>
          </cell>
          <cell r="B5656">
            <v>8.8874336138000007</v>
          </cell>
          <cell r="C5656">
            <v>8.8852460441000005</v>
          </cell>
          <cell r="D5656">
            <v>8.8896217221999994</v>
          </cell>
        </row>
        <row r="5657">
          <cell r="A5657">
            <v>51664</v>
          </cell>
          <cell r="B5657">
            <v>8.8908686629999991</v>
          </cell>
          <cell r="C5657">
            <v>8.8886802478</v>
          </cell>
          <cell r="D5657">
            <v>8.8930576171000002</v>
          </cell>
        </row>
        <row r="5658">
          <cell r="A5658">
            <v>51665</v>
          </cell>
          <cell r="B5658">
            <v>8.8943050398000008</v>
          </cell>
          <cell r="C5658">
            <v>8.8921157787999991</v>
          </cell>
          <cell r="D5658">
            <v>8.8964948400000008</v>
          </cell>
        </row>
        <row r="5659">
          <cell r="A5659">
            <v>51666</v>
          </cell>
          <cell r="B5659">
            <v>8.8977427449000004</v>
          </cell>
          <cell r="C5659">
            <v>8.8955526377999998</v>
          </cell>
          <cell r="D5659">
            <v>8.8999333914999994</v>
          </cell>
        </row>
        <row r="5660">
          <cell r="A5660">
            <v>51669</v>
          </cell>
          <cell r="B5660">
            <v>8.9011817785999998</v>
          </cell>
          <cell r="C5660">
            <v>8.8989908250000003</v>
          </cell>
          <cell r="D5660">
            <v>8.9033732718999996</v>
          </cell>
        </row>
        <row r="5661">
          <cell r="A5661">
            <v>51670</v>
          </cell>
          <cell r="B5661">
            <v>8.9046221416000009</v>
          </cell>
          <cell r="C5661">
            <v>8.9024303412000005</v>
          </cell>
          <cell r="D5661">
            <v>8.9068144818999997</v>
          </cell>
        </row>
        <row r="5662">
          <cell r="A5662">
            <v>51671</v>
          </cell>
          <cell r="B5662">
            <v>8.9080638344</v>
          </cell>
          <cell r="C5662">
            <v>8.9058711868000007</v>
          </cell>
          <cell r="D5662">
            <v>8.9102570219999997</v>
          </cell>
        </row>
        <row r="5663">
          <cell r="A5663">
            <v>51673</v>
          </cell>
          <cell r="B5663">
            <v>8.9115068572999991</v>
          </cell>
          <cell r="C5663">
            <v>8.9093133622000007</v>
          </cell>
          <cell r="D5663">
            <v>8.9137008925999996</v>
          </cell>
        </row>
        <row r="5664">
          <cell r="A5664">
            <v>51676</v>
          </cell>
          <cell r="B5664">
            <v>8.914951211</v>
          </cell>
          <cell r="C5664">
            <v>8.9127568681000007</v>
          </cell>
          <cell r="D5664">
            <v>8.9171460942999996</v>
          </cell>
        </row>
        <row r="5665">
          <cell r="A5665">
            <v>51677</v>
          </cell>
          <cell r="B5665">
            <v>8.9183968959000008</v>
          </cell>
          <cell r="C5665">
            <v>8.9162017049000006</v>
          </cell>
          <cell r="D5665">
            <v>8.9205926275999996</v>
          </cell>
        </row>
        <row r="5666">
          <cell r="A5666">
            <v>51678</v>
          </cell>
          <cell r="B5666">
            <v>8.9218439126</v>
          </cell>
          <cell r="C5666">
            <v>8.9196478731000006</v>
          </cell>
          <cell r="D5666">
            <v>8.9240404928999997</v>
          </cell>
        </row>
        <row r="5667">
          <cell r="A5667">
            <v>51679</v>
          </cell>
          <cell r="B5667">
            <v>8.9252922615999992</v>
          </cell>
          <cell r="C5667">
            <v>8.9230953733000007</v>
          </cell>
          <cell r="D5667">
            <v>8.9274896908999999</v>
          </cell>
        </row>
        <row r="5668">
          <cell r="A5668">
            <v>51680</v>
          </cell>
          <cell r="B5668">
            <v>8.9287419435000004</v>
          </cell>
          <cell r="C5668">
            <v>8.9265442061000009</v>
          </cell>
          <cell r="D5668">
            <v>8.9309402221000003</v>
          </cell>
        </row>
        <row r="5669">
          <cell r="A5669">
            <v>51683</v>
          </cell>
          <cell r="B5669">
            <v>8.9321929586</v>
          </cell>
          <cell r="C5669">
            <v>8.9299943717999994</v>
          </cell>
          <cell r="D5669">
            <v>8.9343920869000009</v>
          </cell>
        </row>
        <row r="5670">
          <cell r="A5670">
            <v>51684</v>
          </cell>
          <cell r="B5670">
            <v>8.9356453075999998</v>
          </cell>
          <cell r="C5670">
            <v>8.9334458711</v>
          </cell>
          <cell r="D5670">
            <v>8.9378452858999999</v>
          </cell>
        </row>
        <row r="5671">
          <cell r="A5671">
            <v>51685</v>
          </cell>
          <cell r="B5671">
            <v>8.9390989908999998</v>
          </cell>
          <cell r="C5671">
            <v>8.9368987043000008</v>
          </cell>
          <cell r="D5671">
            <v>8.9412998194999993</v>
          </cell>
        </row>
        <row r="5672">
          <cell r="A5672">
            <v>51686</v>
          </cell>
          <cell r="B5672">
            <v>8.9425540091000002</v>
          </cell>
          <cell r="C5672">
            <v>8.9403528720000001</v>
          </cell>
          <cell r="D5672">
            <v>8.9447556883000008</v>
          </cell>
        </row>
        <row r="5673">
          <cell r="A5673">
            <v>51687</v>
          </cell>
          <cell r="B5673">
            <v>8.9460103626999992</v>
          </cell>
          <cell r="C5673">
            <v>8.9438083748999997</v>
          </cell>
          <cell r="D5673">
            <v>8.9482128929000009</v>
          </cell>
        </row>
        <row r="5674">
          <cell r="A5674">
            <v>51690</v>
          </cell>
          <cell r="B5674">
            <v>8.9494680522000003</v>
          </cell>
          <cell r="C5674">
            <v>8.9472652132999997</v>
          </cell>
          <cell r="D5674">
            <v>8.9516714336999996</v>
          </cell>
        </row>
        <row r="5675">
          <cell r="A5675">
            <v>51691</v>
          </cell>
          <cell r="B5675">
            <v>8.9529270781000001</v>
          </cell>
          <cell r="C5675">
            <v>8.9507233878000001</v>
          </cell>
          <cell r="D5675">
            <v>8.9551313112000006</v>
          </cell>
        </row>
        <row r="5676">
          <cell r="A5676">
            <v>51692</v>
          </cell>
          <cell r="B5676">
            <v>8.9563874410000004</v>
          </cell>
          <cell r="C5676">
            <v>8.9541828988999992</v>
          </cell>
          <cell r="D5676">
            <v>8.9585925260000003</v>
          </cell>
        </row>
        <row r="5677">
          <cell r="A5677">
            <v>51693</v>
          </cell>
          <cell r="B5677">
            <v>8.9598491412999994</v>
          </cell>
          <cell r="C5677">
            <v>8.9576437471000006</v>
          </cell>
          <cell r="D5677">
            <v>8.9620550786000006</v>
          </cell>
        </row>
        <row r="5678">
          <cell r="A5678">
            <v>51694</v>
          </cell>
          <cell r="B5678">
            <v>8.9633121796000008</v>
          </cell>
          <cell r="C5678">
            <v>8.9611059330000007</v>
          </cell>
          <cell r="D5678">
            <v>8.9655189694999997</v>
          </cell>
        </row>
        <row r="5679">
          <cell r="A5679">
            <v>51697</v>
          </cell>
          <cell r="B5679">
            <v>8.9667765562999993</v>
          </cell>
          <cell r="C5679">
            <v>8.9645694570999996</v>
          </cell>
          <cell r="D5679">
            <v>8.9689841991999995</v>
          </cell>
        </row>
        <row r="5680">
          <cell r="A5680">
            <v>51698</v>
          </cell>
          <cell r="B5680">
            <v>8.9702422722000001</v>
          </cell>
          <cell r="C5680">
            <v>8.9680343197999992</v>
          </cell>
          <cell r="D5680">
            <v>8.9724507682999999</v>
          </cell>
        </row>
        <row r="5681">
          <cell r="A5681">
            <v>51699</v>
          </cell>
          <cell r="B5681">
            <v>8.9737093273999999</v>
          </cell>
          <cell r="C5681">
            <v>8.9715005216999995</v>
          </cell>
          <cell r="D5681">
            <v>8.9759186770999992</v>
          </cell>
        </row>
        <row r="5682">
          <cell r="A5682">
            <v>51700</v>
          </cell>
          <cell r="B5682">
            <v>8.9771777228000005</v>
          </cell>
          <cell r="C5682">
            <v>8.9749680633000004</v>
          </cell>
          <cell r="D5682">
            <v>8.9793879263999994</v>
          </cell>
        </row>
        <row r="5683">
          <cell r="A5683">
            <v>51701</v>
          </cell>
          <cell r="B5683">
            <v>8.9806474586</v>
          </cell>
          <cell r="C5683">
            <v>8.9784369451000003</v>
          </cell>
          <cell r="D5683">
            <v>8.9828585165000003</v>
          </cell>
        </row>
        <row r="5684">
          <cell r="A5684">
            <v>51704</v>
          </cell>
          <cell r="B5684">
            <v>8.9841185356000004</v>
          </cell>
          <cell r="C5684">
            <v>8.9819071676999993</v>
          </cell>
          <cell r="D5684">
            <v>8.9863304481000004</v>
          </cell>
        </row>
        <row r="5685">
          <cell r="A5685">
            <v>51705</v>
          </cell>
          <cell r="B5685">
            <v>8.9875909540999999</v>
          </cell>
          <cell r="C5685">
            <v>8.9853787315000009</v>
          </cell>
          <cell r="D5685">
            <v>8.9898037214999995</v>
          </cell>
        </row>
        <row r="5686">
          <cell r="A5686">
            <v>51706</v>
          </cell>
          <cell r="B5686">
            <v>8.9910647148000002</v>
          </cell>
          <cell r="C5686">
            <v>8.9888516371999998</v>
          </cell>
          <cell r="D5686">
            <v>8.9932783374999996</v>
          </cell>
        </row>
        <row r="5687">
          <cell r="A5687">
            <v>51707</v>
          </cell>
          <cell r="B5687">
            <v>8.9945398180999998</v>
          </cell>
          <cell r="C5687">
            <v>8.9923258850999996</v>
          </cell>
          <cell r="D5687">
            <v>8.9967542963000007</v>
          </cell>
        </row>
        <row r="5688">
          <cell r="A5688">
            <v>51708</v>
          </cell>
          <cell r="B5688">
            <v>8.9980162646000004</v>
          </cell>
          <cell r="C5688">
            <v>8.9958014759000005</v>
          </cell>
          <cell r="D5688">
            <v>9.0002315986999992</v>
          </cell>
        </row>
        <row r="5689">
          <cell r="A5689">
            <v>51711</v>
          </cell>
          <cell r="B5689">
            <v>9.0014940546000002</v>
          </cell>
          <cell r="C5689">
            <v>8.9992784099000005</v>
          </cell>
          <cell r="D5689">
            <v>9.0037102450000006</v>
          </cell>
        </row>
        <row r="5690">
          <cell r="A5690">
            <v>51712</v>
          </cell>
          <cell r="B5690">
            <v>9.0049731888999993</v>
          </cell>
          <cell r="C5690">
            <v>9.0027566878999998</v>
          </cell>
          <cell r="D5690">
            <v>9.0071902358999996</v>
          </cell>
        </row>
        <row r="5691">
          <cell r="A5691">
            <v>51713</v>
          </cell>
          <cell r="B5691">
            <v>9.0084536678999996</v>
          </cell>
          <cell r="C5691">
            <v>9.0062363102000003</v>
          </cell>
          <cell r="D5691">
            <v>9.0106715717999997</v>
          </cell>
        </row>
        <row r="5692">
          <cell r="A5692">
            <v>51714</v>
          </cell>
          <cell r="B5692">
            <v>9.0119354921999992</v>
          </cell>
          <cell r="C5692">
            <v>9.0097172774000001</v>
          </cell>
          <cell r="D5692">
            <v>9.0141542532999992</v>
          </cell>
        </row>
        <row r="5693">
          <cell r="A5693">
            <v>51715</v>
          </cell>
          <cell r="B5693">
            <v>9.0154186621000001</v>
          </cell>
          <cell r="C5693">
            <v>9.0131995899999993</v>
          </cell>
          <cell r="D5693">
            <v>9.0176382808</v>
          </cell>
        </row>
        <row r="5694">
          <cell r="A5694">
            <v>51718</v>
          </cell>
          <cell r="B5694">
            <v>9.0189031784000004</v>
          </cell>
          <cell r="C5694">
            <v>9.0166832485999997</v>
          </cell>
          <cell r="D5694">
            <v>9.0211236550000002</v>
          </cell>
        </row>
        <row r="5695">
          <cell r="A5695">
            <v>51719</v>
          </cell>
          <cell r="B5695">
            <v>9.0223890414000003</v>
          </cell>
          <cell r="C5695">
            <v>9.0201682535999996</v>
          </cell>
          <cell r="D5695">
            <v>9.0246103762000001</v>
          </cell>
        </row>
        <row r="5696">
          <cell r="A5696">
            <v>51720</v>
          </cell>
          <cell r="B5696">
            <v>9.0258762517999997</v>
          </cell>
          <cell r="C5696">
            <v>9.0236546056000009</v>
          </cell>
          <cell r="D5696">
            <v>9.0280984450999995</v>
          </cell>
        </row>
        <row r="5697">
          <cell r="A5697">
            <v>51721</v>
          </cell>
          <cell r="B5697">
            <v>9.0293648100000006</v>
          </cell>
          <cell r="C5697">
            <v>9.0271423050999999</v>
          </cell>
          <cell r="D5697">
            <v>9.0315878622000003</v>
          </cell>
        </row>
        <row r="5698">
          <cell r="A5698">
            <v>51722</v>
          </cell>
          <cell r="B5698">
            <v>9.0328547163999993</v>
          </cell>
          <cell r="C5698">
            <v>9.0306313526000004</v>
          </cell>
          <cell r="D5698">
            <v>9.0350786279000008</v>
          </cell>
        </row>
        <row r="5699">
          <cell r="A5699">
            <v>51725</v>
          </cell>
          <cell r="B5699">
            <v>9.0363459718999994</v>
          </cell>
          <cell r="C5699">
            <v>9.0341217487000005</v>
          </cell>
          <cell r="D5699">
            <v>9.0385707428999993</v>
          </cell>
        </row>
        <row r="5700">
          <cell r="A5700">
            <v>51726</v>
          </cell>
          <cell r="B5700">
            <v>9.0398385766999994</v>
          </cell>
          <cell r="C5700">
            <v>9.0376134938000003</v>
          </cell>
          <cell r="D5700">
            <v>9.0420642075999993</v>
          </cell>
        </row>
        <row r="5701">
          <cell r="A5701">
            <v>51727</v>
          </cell>
          <cell r="B5701">
            <v>9.0433325314000008</v>
          </cell>
          <cell r="C5701">
            <v>9.0411065884999999</v>
          </cell>
          <cell r="D5701">
            <v>9.0455590225000009</v>
          </cell>
        </row>
        <row r="5702">
          <cell r="A5702">
            <v>51728</v>
          </cell>
          <cell r="B5702">
            <v>9.0468278365000003</v>
          </cell>
          <cell r="C5702">
            <v>9.0446010332999993</v>
          </cell>
          <cell r="D5702">
            <v>9.0490551882000005</v>
          </cell>
        </row>
        <row r="5703">
          <cell r="A5703">
            <v>51729</v>
          </cell>
          <cell r="B5703">
            <v>9.0503244924999997</v>
          </cell>
          <cell r="C5703">
            <v>9.0480968286000003</v>
          </cell>
          <cell r="D5703">
            <v>9.0525527051000001</v>
          </cell>
        </row>
        <row r="5704">
          <cell r="A5704">
            <v>51732</v>
          </cell>
          <cell r="B5704">
            <v>9.0538225001000008</v>
          </cell>
          <cell r="C5704">
            <v>9.0515939751999994</v>
          </cell>
          <cell r="D5704">
            <v>9.0560515738999996</v>
          </cell>
        </row>
        <row r="5705">
          <cell r="A5705">
            <v>51733</v>
          </cell>
          <cell r="B5705">
            <v>9.0573218598</v>
          </cell>
          <cell r="C5705">
            <v>9.0550924735000002</v>
          </cell>
          <cell r="D5705">
            <v>9.0595517951000009</v>
          </cell>
        </row>
        <row r="5706">
          <cell r="A5706">
            <v>51734</v>
          </cell>
          <cell r="B5706">
            <v>9.0608225717999993</v>
          </cell>
          <cell r="C5706">
            <v>9.0585923237999992</v>
          </cell>
          <cell r="D5706">
            <v>9.0630533690000004</v>
          </cell>
        </row>
        <row r="5707">
          <cell r="A5707">
            <v>51735</v>
          </cell>
          <cell r="B5707">
            <v>9.0643246370000004</v>
          </cell>
          <cell r="C5707">
            <v>9.062093527</v>
          </cell>
          <cell r="D5707">
            <v>9.0665562963999999</v>
          </cell>
        </row>
        <row r="5708">
          <cell r="A5708">
            <v>51736</v>
          </cell>
          <cell r="B5708">
            <v>9.0678280556999997</v>
          </cell>
          <cell r="C5708">
            <v>9.0655960833999991</v>
          </cell>
          <cell r="D5708">
            <v>9.0700605776999996</v>
          </cell>
        </row>
        <row r="5709">
          <cell r="A5709">
            <v>51739</v>
          </cell>
          <cell r="B5709">
            <v>9.0713328284999992</v>
          </cell>
          <cell r="C5709">
            <v>9.0690999936000001</v>
          </cell>
          <cell r="D5709">
            <v>9.0735662133999995</v>
          </cell>
        </row>
        <row r="5710">
          <cell r="A5710">
            <v>51740</v>
          </cell>
          <cell r="B5710">
            <v>9.0748389559000007</v>
          </cell>
          <cell r="C5710">
            <v>9.0726052579999994</v>
          </cell>
          <cell r="D5710">
            <v>9.0770732039999995</v>
          </cell>
        </row>
        <row r="5711">
          <cell r="A5711">
            <v>51741</v>
          </cell>
          <cell r="B5711">
            <v>9.0783464385000006</v>
          </cell>
          <cell r="C5711">
            <v>9.0761118772000007</v>
          </cell>
          <cell r="D5711">
            <v>9.0805815500999998</v>
          </cell>
        </row>
        <row r="5712">
          <cell r="A5712">
            <v>51742</v>
          </cell>
          <cell r="B5712">
            <v>9.0818552767000007</v>
          </cell>
          <cell r="C5712">
            <v>9.0796198517000004</v>
          </cell>
          <cell r="D5712">
            <v>9.0840912522000004</v>
          </cell>
        </row>
        <row r="5713">
          <cell r="A5713">
            <v>51743</v>
          </cell>
          <cell r="B5713">
            <v>9.0853654711999994</v>
          </cell>
          <cell r="C5713">
            <v>9.0831291822000004</v>
          </cell>
          <cell r="D5713">
            <v>9.0876023108999995</v>
          </cell>
        </row>
        <row r="5714">
          <cell r="A5714">
            <v>51746</v>
          </cell>
          <cell r="B5714">
            <v>9.0888770223000002</v>
          </cell>
          <cell r="C5714">
            <v>9.0866398690000008</v>
          </cell>
          <cell r="D5714">
            <v>9.0911147266000008</v>
          </cell>
        </row>
        <row r="5715">
          <cell r="A5715">
            <v>51747</v>
          </cell>
          <cell r="B5715">
            <v>9.0923899305999996</v>
          </cell>
          <cell r="C5715">
            <v>9.0901519125999997</v>
          </cell>
          <cell r="D5715">
            <v>9.0946284998000007</v>
          </cell>
        </row>
        <row r="5716">
          <cell r="A5716">
            <v>51748</v>
          </cell>
          <cell r="B5716">
            <v>9.0959041967999994</v>
          </cell>
          <cell r="C5716">
            <v>9.0936653138000008</v>
          </cell>
          <cell r="D5716">
            <v>9.0981436311999992</v>
          </cell>
        </row>
        <row r="5717">
          <cell r="A5717">
            <v>51749</v>
          </cell>
          <cell r="B5717">
            <v>9.0994198210999997</v>
          </cell>
          <cell r="C5717">
            <v>9.0971800728000005</v>
          </cell>
          <cell r="D5717">
            <v>9.1016601211000001</v>
          </cell>
        </row>
        <row r="5718">
          <cell r="A5718">
            <v>51750</v>
          </cell>
          <cell r="B5718">
            <v>9.1029368045000005</v>
          </cell>
          <cell r="C5718">
            <v>9.1006961904000008</v>
          </cell>
          <cell r="D5718">
            <v>9.1051779702999998</v>
          </cell>
        </row>
        <row r="5719">
          <cell r="A5719">
            <v>51753</v>
          </cell>
          <cell r="B5719">
            <v>9.1064551469000001</v>
          </cell>
          <cell r="C5719">
            <v>9.1042136668999998</v>
          </cell>
          <cell r="D5719">
            <v>9.108697179</v>
          </cell>
        </row>
        <row r="5720">
          <cell r="A5720">
            <v>51754</v>
          </cell>
          <cell r="B5720">
            <v>9.1099748494000004</v>
          </cell>
          <cell r="C5720">
            <v>9.1077325029999994</v>
          </cell>
          <cell r="D5720">
            <v>9.1122177480000008</v>
          </cell>
        </row>
        <row r="5721">
          <cell r="A5721">
            <v>51755</v>
          </cell>
          <cell r="B5721">
            <v>9.1134959121999994</v>
          </cell>
          <cell r="C5721">
            <v>9.1112526990999996</v>
          </cell>
          <cell r="D5721">
            <v>9.1157396777000006</v>
          </cell>
        </row>
        <row r="5722">
          <cell r="A5722">
            <v>51756</v>
          </cell>
          <cell r="B5722">
            <v>9.1170183358999992</v>
          </cell>
          <cell r="C5722">
            <v>9.1147742559000005</v>
          </cell>
          <cell r="D5722">
            <v>9.1192629686999993</v>
          </cell>
        </row>
        <row r="5723">
          <cell r="A5723">
            <v>51757</v>
          </cell>
          <cell r="B5723">
            <v>9.1205421210999997</v>
          </cell>
          <cell r="C5723">
            <v>9.1182971737000003</v>
          </cell>
          <cell r="D5723">
            <v>9.1227876214000005</v>
          </cell>
        </row>
        <row r="5724">
          <cell r="A5724">
            <v>51760</v>
          </cell>
          <cell r="B5724">
            <v>9.1240672681999992</v>
          </cell>
          <cell r="C5724">
            <v>9.1218214531000008</v>
          </cell>
          <cell r="D5724">
            <v>9.1263136364000008</v>
          </cell>
        </row>
        <row r="5725">
          <cell r="A5725">
            <v>51761</v>
          </cell>
          <cell r="B5725">
            <v>9.1275937777999996</v>
          </cell>
          <cell r="C5725">
            <v>9.1253470947000004</v>
          </cell>
          <cell r="D5725">
            <v>9.1298410143000002</v>
          </cell>
        </row>
        <row r="5726">
          <cell r="A5726">
            <v>51762</v>
          </cell>
          <cell r="B5726">
            <v>9.1311216505000008</v>
          </cell>
          <cell r="C5726">
            <v>9.1288740990000008</v>
          </cell>
          <cell r="D5726">
            <v>9.1333697555000004</v>
          </cell>
        </row>
        <row r="5727">
          <cell r="A5727">
            <v>51763</v>
          </cell>
          <cell r="B5727">
            <v>9.1346508866999994</v>
          </cell>
          <cell r="C5727">
            <v>9.1324024665000003</v>
          </cell>
          <cell r="D5727">
            <v>9.1368998605999998</v>
          </cell>
        </row>
        <row r="5728">
          <cell r="A5728">
            <v>51764</v>
          </cell>
          <cell r="B5728">
            <v>9.1381814869000006</v>
          </cell>
          <cell r="C5728">
            <v>9.1359321977000008</v>
          </cell>
          <cell r="D5728">
            <v>9.1404313301000002</v>
          </cell>
        </row>
        <row r="5729">
          <cell r="A5729">
            <v>51767</v>
          </cell>
          <cell r="B5729">
            <v>9.1417134516999994</v>
          </cell>
          <cell r="C5729">
            <v>9.1394632932000004</v>
          </cell>
          <cell r="D5729">
            <v>9.1439641644999998</v>
          </cell>
        </row>
        <row r="5730">
          <cell r="A5730">
            <v>51768</v>
          </cell>
          <cell r="B5730">
            <v>9.1452467816999992</v>
          </cell>
          <cell r="C5730">
            <v>9.1429957534999993</v>
          </cell>
          <cell r="D5730">
            <v>9.1474983644000005</v>
          </cell>
        </row>
        <row r="5731">
          <cell r="A5731">
            <v>51769</v>
          </cell>
          <cell r="B5731">
            <v>9.1487814774</v>
          </cell>
          <cell r="C5731">
            <v>9.1465295790999992</v>
          </cell>
          <cell r="D5731">
            <v>9.1510339303000006</v>
          </cell>
        </row>
        <row r="5732">
          <cell r="A5732">
            <v>51770</v>
          </cell>
          <cell r="B5732">
            <v>9.1523175392000002</v>
          </cell>
          <cell r="C5732">
            <v>9.1500647705000002</v>
          </cell>
          <cell r="D5732">
            <v>9.1545708627</v>
          </cell>
        </row>
        <row r="5733">
          <cell r="A5733">
            <v>51771</v>
          </cell>
          <cell r="B5733">
            <v>9.1558549677999999</v>
          </cell>
          <cell r="C5733">
            <v>9.1536013284000006</v>
          </cell>
          <cell r="D5733">
            <v>9.1581091622000006</v>
          </cell>
        </row>
        <row r="5734">
          <cell r="A5734">
            <v>51774</v>
          </cell>
          <cell r="B5734">
            <v>9.1593937635000007</v>
          </cell>
          <cell r="C5734">
            <v>9.1571392531000004</v>
          </cell>
          <cell r="D5734">
            <v>9.1616488292000007</v>
          </cell>
        </row>
        <row r="5735">
          <cell r="A5735">
            <v>51775</v>
          </cell>
          <cell r="B5735">
            <v>9.1629339269999992</v>
          </cell>
          <cell r="C5735">
            <v>9.1606785451999997</v>
          </cell>
          <cell r="D5735">
            <v>9.1651898643000003</v>
          </cell>
        </row>
        <row r="5736">
          <cell r="A5736">
            <v>51776</v>
          </cell>
          <cell r="B5736">
            <v>9.1664754589000008</v>
          </cell>
          <cell r="C5736">
            <v>9.1642192053000002</v>
          </cell>
          <cell r="D5736">
            <v>9.1687322680999994</v>
          </cell>
        </row>
        <row r="5737">
          <cell r="A5737">
            <v>51777</v>
          </cell>
          <cell r="B5737">
            <v>9.1700183595000002</v>
          </cell>
          <cell r="C5737">
            <v>9.1677612339000003</v>
          </cell>
          <cell r="D5737">
            <v>9.1722760409999999</v>
          </cell>
        </row>
        <row r="5738">
          <cell r="A5738">
            <v>51778</v>
          </cell>
          <cell r="B5738">
            <v>9.1735626294999992</v>
          </cell>
          <cell r="C5738">
            <v>9.1713046315</v>
          </cell>
          <cell r="D5738">
            <v>9.1758211836000001</v>
          </cell>
        </row>
        <row r="5739">
          <cell r="A5739">
            <v>51781</v>
          </cell>
          <cell r="B5739">
            <v>9.1771082694999997</v>
          </cell>
          <cell r="C5739">
            <v>9.1748493986999993</v>
          </cell>
          <cell r="D5739">
            <v>9.1793676965</v>
          </cell>
        </row>
        <row r="5740">
          <cell r="A5740">
            <v>51782</v>
          </cell>
          <cell r="B5740">
            <v>9.1806552796999998</v>
          </cell>
          <cell r="C5740">
            <v>9.1783955359</v>
          </cell>
          <cell r="D5740">
            <v>9.1829155799999995</v>
          </cell>
        </row>
        <row r="5741">
          <cell r="A5741">
            <v>51783</v>
          </cell>
          <cell r="B5741">
            <v>9.1842036608999997</v>
          </cell>
          <cell r="C5741">
            <v>9.1819430438000005</v>
          </cell>
          <cell r="D5741">
            <v>9.1864648349000007</v>
          </cell>
        </row>
        <row r="5742">
          <cell r="A5742">
            <v>51784</v>
          </cell>
          <cell r="B5742">
            <v>9.1877534136999994</v>
          </cell>
          <cell r="C5742">
            <v>9.1854919228000007</v>
          </cell>
          <cell r="D5742">
            <v>9.1900154615999998</v>
          </cell>
        </row>
        <row r="5743">
          <cell r="A5743">
            <v>51785</v>
          </cell>
          <cell r="B5743">
            <v>9.1913045384000007</v>
          </cell>
          <cell r="C5743">
            <v>9.1890421734000007</v>
          </cell>
          <cell r="D5743">
            <v>9.1935674606000006</v>
          </cell>
        </row>
        <row r="5744">
          <cell r="A5744">
            <v>51788</v>
          </cell>
          <cell r="B5744">
            <v>9.1948570357000001</v>
          </cell>
          <cell r="C5744">
            <v>9.1925937962000006</v>
          </cell>
          <cell r="D5744">
            <v>9.1971208324999996</v>
          </cell>
        </row>
        <row r="5745">
          <cell r="A5745">
            <v>51789</v>
          </cell>
          <cell r="B5745">
            <v>9.1984109059999994</v>
          </cell>
          <cell r="C5745">
            <v>9.1961467918000004</v>
          </cell>
          <cell r="D5745">
            <v>9.2006755778000002</v>
          </cell>
        </row>
        <row r="5746">
          <cell r="A5746">
            <v>51790</v>
          </cell>
          <cell r="B5746">
            <v>9.2019661499000005</v>
          </cell>
          <cell r="C5746">
            <v>9.1997011606000001</v>
          </cell>
          <cell r="D5746">
            <v>9.2042316970000009</v>
          </cell>
        </row>
        <row r="5747">
          <cell r="A5747">
            <v>51791</v>
          </cell>
          <cell r="B5747">
            <v>9.2055227677999998</v>
          </cell>
          <cell r="C5747">
            <v>9.2032569030999998</v>
          </cell>
          <cell r="D5747">
            <v>9.2077891905999998</v>
          </cell>
        </row>
        <row r="5748">
          <cell r="A5748">
            <v>51792</v>
          </cell>
          <cell r="B5748">
            <v>9.2090807604999991</v>
          </cell>
          <cell r="C5748">
            <v>9.2068140200999995</v>
          </cell>
          <cell r="D5748">
            <v>9.2113480593000006</v>
          </cell>
        </row>
        <row r="5749">
          <cell r="A5749">
            <v>51795</v>
          </cell>
          <cell r="B5749">
            <v>9.2126401284000003</v>
          </cell>
          <cell r="C5749">
            <v>9.2103725117999993</v>
          </cell>
          <cell r="D5749">
            <v>9.2149083034999997</v>
          </cell>
        </row>
        <row r="5750">
          <cell r="A5750">
            <v>51796</v>
          </cell>
          <cell r="B5750">
            <v>9.2162008720999999</v>
          </cell>
          <cell r="C5750">
            <v>9.2139323789999992</v>
          </cell>
          <cell r="D5750">
            <v>9.2184699238000007</v>
          </cell>
        </row>
        <row r="5751">
          <cell r="A5751">
            <v>51797</v>
          </cell>
          <cell r="B5751">
            <v>9.2197629918999997</v>
          </cell>
          <cell r="C5751">
            <v>9.2174936219999992</v>
          </cell>
          <cell r="D5751">
            <v>9.2220329206000002</v>
          </cell>
        </row>
        <row r="5752">
          <cell r="A5752">
            <v>51798</v>
          </cell>
          <cell r="B5752">
            <v>9.2233264884999997</v>
          </cell>
          <cell r="C5752">
            <v>9.2210562415999995</v>
          </cell>
          <cell r="D5752">
            <v>9.2255972946</v>
          </cell>
        </row>
        <row r="5753">
          <cell r="A5753">
            <v>51799</v>
          </cell>
          <cell r="B5753">
            <v>9.2268913624</v>
          </cell>
          <cell r="C5753">
            <v>9.224620238</v>
          </cell>
          <cell r="D5753">
            <v>9.2291630462000001</v>
          </cell>
        </row>
        <row r="5754">
          <cell r="A5754">
            <v>51802</v>
          </cell>
          <cell r="B5754">
            <v>9.2304576142000005</v>
          </cell>
          <cell r="C5754">
            <v>9.2281856120000008</v>
          </cell>
          <cell r="D5754">
            <v>9.2327301760000005</v>
          </cell>
        </row>
        <row r="5755">
          <cell r="A5755">
            <v>51803</v>
          </cell>
          <cell r="B5755">
            <v>9.2340252442999997</v>
          </cell>
          <cell r="C5755">
            <v>9.2317523640000001</v>
          </cell>
          <cell r="D5755">
            <v>9.2362986844999995</v>
          </cell>
        </row>
        <row r="5756">
          <cell r="A5756">
            <v>51804</v>
          </cell>
          <cell r="B5756">
            <v>9.2375942534999993</v>
          </cell>
          <cell r="C5756">
            <v>9.2353204945999998</v>
          </cell>
          <cell r="D5756">
            <v>9.2398685723000007</v>
          </cell>
        </row>
        <row r="5757">
          <cell r="A5757">
            <v>51805</v>
          </cell>
          <cell r="B5757">
            <v>9.2411646418999993</v>
          </cell>
          <cell r="C5757">
            <v>9.2388900042</v>
          </cell>
          <cell r="D5757">
            <v>9.2434398398000006</v>
          </cell>
        </row>
        <row r="5758">
          <cell r="A5758">
            <v>51806</v>
          </cell>
          <cell r="B5758">
            <v>9.2447364103999998</v>
          </cell>
          <cell r="C5758">
            <v>9.2424608936000006</v>
          </cell>
          <cell r="D5758">
            <v>9.2470124876999993</v>
          </cell>
        </row>
        <row r="5759">
          <cell r="A5759">
            <v>51809</v>
          </cell>
          <cell r="B5759">
            <v>9.2483095594000009</v>
          </cell>
          <cell r="C5759">
            <v>9.2460331630999999</v>
          </cell>
          <cell r="D5759">
            <v>9.2505865164000003</v>
          </cell>
        </row>
        <row r="5760">
          <cell r="A5760">
            <v>51810</v>
          </cell>
          <cell r="B5760">
            <v>9.2518840895000007</v>
          </cell>
          <cell r="C5760">
            <v>9.2496068132999998</v>
          </cell>
          <cell r="D5760">
            <v>9.2541619265000001</v>
          </cell>
        </row>
        <row r="5761">
          <cell r="A5761">
            <v>51811</v>
          </cell>
          <cell r="B5761">
            <v>9.2554600011999995</v>
          </cell>
          <cell r="C5761">
            <v>9.2531818448000003</v>
          </cell>
          <cell r="D5761">
            <v>9.2577387186000006</v>
          </cell>
        </row>
        <row r="5762">
          <cell r="A5762">
            <v>51812</v>
          </cell>
          <cell r="B5762">
            <v>9.2590372949000006</v>
          </cell>
          <cell r="C5762">
            <v>9.2567582579999996</v>
          </cell>
          <cell r="D5762">
            <v>9.2613168931000001</v>
          </cell>
        </row>
        <row r="5763">
          <cell r="A5763">
            <v>51813</v>
          </cell>
          <cell r="B5763">
            <v>9.2626159712000007</v>
          </cell>
          <cell r="C5763">
            <v>9.2603360534999997</v>
          </cell>
          <cell r="D5763">
            <v>9.2648964505000002</v>
          </cell>
        </row>
        <row r="5764">
          <cell r="A5764">
            <v>51816</v>
          </cell>
          <cell r="B5764">
            <v>9.2661960307999998</v>
          </cell>
          <cell r="C5764">
            <v>9.2639152319000004</v>
          </cell>
          <cell r="D5764">
            <v>9.2684773914999994</v>
          </cell>
        </row>
        <row r="5765">
          <cell r="A5765">
            <v>51817</v>
          </cell>
          <cell r="B5765">
            <v>9.2697774740999996</v>
          </cell>
          <cell r="C5765">
            <v>9.2674957936000002</v>
          </cell>
          <cell r="D5765">
            <v>9.2720597164999994</v>
          </cell>
        </row>
        <row r="5766">
          <cell r="A5766">
            <v>51818</v>
          </cell>
          <cell r="B5766">
            <v>9.2733603017000004</v>
          </cell>
          <cell r="C5766">
            <v>9.2710777393000008</v>
          </cell>
          <cell r="D5766">
            <v>9.2756434262000003</v>
          </cell>
        </row>
        <row r="5767">
          <cell r="A5767">
            <v>51819</v>
          </cell>
          <cell r="B5767">
            <v>9.2769445139000002</v>
          </cell>
          <cell r="C5767">
            <v>9.2746610693000004</v>
          </cell>
          <cell r="D5767">
            <v>9.2792285209000003</v>
          </cell>
        </row>
        <row r="5768">
          <cell r="A5768">
            <v>51823</v>
          </cell>
          <cell r="B5768">
            <v>9.2805301115999992</v>
          </cell>
          <cell r="C5768">
            <v>9.2782457844999993</v>
          </cell>
          <cell r="D5768">
            <v>9.2828150013999995</v>
          </cell>
        </row>
        <row r="5769">
          <cell r="A5769">
            <v>51824</v>
          </cell>
          <cell r="B5769">
            <v>9.2841170950999992</v>
          </cell>
          <cell r="C5769">
            <v>9.2818318850000008</v>
          </cell>
          <cell r="D5769">
            <v>9.2864028679999997</v>
          </cell>
        </row>
        <row r="5770">
          <cell r="A5770">
            <v>51825</v>
          </cell>
          <cell r="B5770">
            <v>9.2877054649000002</v>
          </cell>
          <cell r="C5770">
            <v>9.2854193715999997</v>
          </cell>
          <cell r="D5770">
            <v>9.2899921212999992</v>
          </cell>
        </row>
        <row r="5771">
          <cell r="A5771">
            <v>51826</v>
          </cell>
          <cell r="B5771">
            <v>9.2912952218000004</v>
          </cell>
          <cell r="C5771">
            <v>9.2890082448999998</v>
          </cell>
          <cell r="D5771">
            <v>9.2935827619999998</v>
          </cell>
        </row>
        <row r="5772">
          <cell r="A5772">
            <v>51827</v>
          </cell>
          <cell r="B5772">
            <v>9.2948863661000001</v>
          </cell>
          <cell r="C5772">
            <v>9.2925985053000009</v>
          </cell>
          <cell r="D5772">
            <v>9.2971747903999997</v>
          </cell>
        </row>
        <row r="5773">
          <cell r="A5773">
            <v>51830</v>
          </cell>
          <cell r="B5773">
            <v>9.2984788984000009</v>
          </cell>
          <cell r="C5773">
            <v>9.2961901532999995</v>
          </cell>
          <cell r="D5773">
            <v>9.3007682072000009</v>
          </cell>
        </row>
        <row r="5774">
          <cell r="A5774">
            <v>51831</v>
          </cell>
          <cell r="B5774">
            <v>9.3020728191999993</v>
          </cell>
          <cell r="C5774">
            <v>9.2997831893999994</v>
          </cell>
          <cell r="D5774">
            <v>9.3043630127999997</v>
          </cell>
        </row>
        <row r="5775">
          <cell r="A5775">
            <v>51832</v>
          </cell>
          <cell r="B5775">
            <v>9.3056681291000007</v>
          </cell>
          <cell r="C5775">
            <v>9.3033776144000004</v>
          </cell>
          <cell r="D5775">
            <v>9.3079592078999998</v>
          </cell>
        </row>
        <row r="5776">
          <cell r="A5776">
            <v>51833</v>
          </cell>
          <cell r="B5776">
            <v>9.3092648285999999</v>
          </cell>
          <cell r="C5776">
            <v>9.3069734285999992</v>
          </cell>
          <cell r="D5776">
            <v>9.3115567928999994</v>
          </cell>
        </row>
        <row r="5777">
          <cell r="A5777">
            <v>51834</v>
          </cell>
          <cell r="B5777">
            <v>9.3128629182000005</v>
          </cell>
          <cell r="C5777">
            <v>9.3105706325999993</v>
          </cell>
          <cell r="D5777">
            <v>9.3151557684000004</v>
          </cell>
        </row>
        <row r="5778">
          <cell r="A5778">
            <v>51837</v>
          </cell>
          <cell r="B5778">
            <v>9.3164623985000006</v>
          </cell>
          <cell r="C5778">
            <v>9.3141692269000007</v>
          </cell>
          <cell r="D5778">
            <v>9.3187561348999992</v>
          </cell>
        </row>
        <row r="5779">
          <cell r="A5779">
            <v>51838</v>
          </cell>
          <cell r="B5779">
            <v>9.3200632701000004</v>
          </cell>
          <cell r="C5779">
            <v>9.3177692121</v>
          </cell>
          <cell r="D5779">
            <v>9.3223578929999995</v>
          </cell>
        </row>
        <row r="5780">
          <cell r="A5780">
            <v>51839</v>
          </cell>
          <cell r="B5780">
            <v>9.3236655333999998</v>
          </cell>
          <cell r="C5780">
            <v>9.3213705888000007</v>
          </cell>
          <cell r="D5780">
            <v>9.3259610431999995</v>
          </cell>
        </row>
        <row r="5781">
          <cell r="A5781">
            <v>51840</v>
          </cell>
          <cell r="B5781">
            <v>9.3272691891000008</v>
          </cell>
          <cell r="C5781">
            <v>9.3249733574999993</v>
          </cell>
          <cell r="D5781">
            <v>9.3295655860999993</v>
          </cell>
        </row>
        <row r="5782">
          <cell r="A5782">
            <v>51841</v>
          </cell>
          <cell r="B5782">
            <v>9.3308742374999998</v>
          </cell>
          <cell r="C5782">
            <v>9.3285775184999995</v>
          </cell>
          <cell r="D5782">
            <v>9.3331715221000007</v>
          </cell>
        </row>
        <row r="5783">
          <cell r="A5783">
            <v>51844</v>
          </cell>
          <cell r="B5783">
            <v>9.3344806793000004</v>
          </cell>
          <cell r="C5783">
            <v>9.3321830725999995</v>
          </cell>
          <cell r="D5783">
            <v>9.3367788518000001</v>
          </cell>
        </row>
        <row r="5784">
          <cell r="A5784">
            <v>51845</v>
          </cell>
          <cell r="B5784">
            <v>9.3380885150000008</v>
          </cell>
          <cell r="C5784">
            <v>9.3357900202999993</v>
          </cell>
          <cell r="D5784">
            <v>9.3403875757999995</v>
          </cell>
        </row>
        <row r="5785">
          <cell r="A5785">
            <v>51846</v>
          </cell>
          <cell r="B5785">
            <v>9.3416977451999994</v>
          </cell>
          <cell r="C5785">
            <v>9.3393983621000007</v>
          </cell>
          <cell r="D5785">
            <v>9.3439976946000005</v>
          </cell>
        </row>
        <row r="5786">
          <cell r="A5786">
            <v>51847</v>
          </cell>
          <cell r="B5786">
            <v>9.3453083703999997</v>
          </cell>
          <cell r="C5786">
            <v>9.3430080986000004</v>
          </cell>
          <cell r="D5786">
            <v>9.3476092086999998</v>
          </cell>
        </row>
        <row r="5787">
          <cell r="A5787">
            <v>51848</v>
          </cell>
          <cell r="B5787">
            <v>9.3489203911000001</v>
          </cell>
          <cell r="C5787">
            <v>9.3466192302</v>
          </cell>
          <cell r="D5787">
            <v>9.3512221187000009</v>
          </cell>
        </row>
        <row r="5788">
          <cell r="A5788">
            <v>51851</v>
          </cell>
          <cell r="B5788">
            <v>9.3525338078000004</v>
          </cell>
          <cell r="C5788">
            <v>9.3502317575999996</v>
          </cell>
          <cell r="D5788">
            <v>9.3548364251000002</v>
          </cell>
        </row>
        <row r="5789">
          <cell r="A5789">
            <v>51852</v>
          </cell>
          <cell r="B5789">
            <v>9.3561486212999991</v>
          </cell>
          <cell r="C5789">
            <v>9.3538456811999993</v>
          </cell>
          <cell r="D5789">
            <v>9.3584521284999997</v>
          </cell>
        </row>
        <row r="5790">
          <cell r="A5790">
            <v>51853</v>
          </cell>
          <cell r="B5790">
            <v>9.3597648316999997</v>
          </cell>
          <cell r="C5790">
            <v>9.3574610016000008</v>
          </cell>
          <cell r="D5790">
            <v>9.3620692292999994</v>
          </cell>
        </row>
        <row r="5791">
          <cell r="A5791">
            <v>51854</v>
          </cell>
          <cell r="B5791">
            <v>9.3633824400000005</v>
          </cell>
          <cell r="C5791">
            <v>9.3610777194000008</v>
          </cell>
          <cell r="D5791">
            <v>9.3656877281999993</v>
          </cell>
        </row>
        <row r="5792">
          <cell r="A5792">
            <v>51855</v>
          </cell>
          <cell r="B5792">
            <v>9.3670014463999998</v>
          </cell>
          <cell r="C5792">
            <v>9.3646958349999991</v>
          </cell>
          <cell r="D5792">
            <v>9.3693076255999994</v>
          </cell>
        </row>
        <row r="5793">
          <cell r="A5793">
            <v>51858</v>
          </cell>
          <cell r="B5793">
            <v>9.3706218515999993</v>
          </cell>
          <cell r="C5793">
            <v>9.3683153490999995</v>
          </cell>
          <cell r="D5793">
            <v>9.3729289221999998</v>
          </cell>
        </row>
        <row r="5794">
          <cell r="A5794">
            <v>51859</v>
          </cell>
          <cell r="B5794">
            <v>9.3742436561000009</v>
          </cell>
          <cell r="C5794">
            <v>9.3719362621000002</v>
          </cell>
          <cell r="D5794">
            <v>9.3765516184000006</v>
          </cell>
        </row>
        <row r="5795">
          <cell r="A5795">
            <v>51861</v>
          </cell>
          <cell r="B5795">
            <v>9.3778668604999993</v>
          </cell>
          <cell r="C5795">
            <v>9.3755585746999994</v>
          </cell>
          <cell r="D5795">
            <v>9.3801757148</v>
          </cell>
        </row>
        <row r="5796">
          <cell r="A5796">
            <v>51862</v>
          </cell>
          <cell r="B5796">
            <v>9.3814914652999999</v>
          </cell>
          <cell r="C5796">
            <v>9.3791822873000008</v>
          </cell>
          <cell r="D5796">
            <v>9.3838012119999998</v>
          </cell>
        </row>
        <row r="5797">
          <cell r="A5797">
            <v>51865</v>
          </cell>
          <cell r="B5797">
            <v>9.3851174709999992</v>
          </cell>
          <cell r="C5797">
            <v>9.3828074005000008</v>
          </cell>
          <cell r="D5797">
            <v>9.3874281104000001</v>
          </cell>
        </row>
        <row r="5798">
          <cell r="A5798">
            <v>51866</v>
          </cell>
          <cell r="B5798">
            <v>9.3887448782000007</v>
          </cell>
          <cell r="C5798">
            <v>9.3864339147999996</v>
          </cell>
          <cell r="D5798">
            <v>9.3910564106999992</v>
          </cell>
        </row>
        <row r="5799">
          <cell r="A5799">
            <v>51868</v>
          </cell>
          <cell r="B5799">
            <v>9.3923736873999992</v>
          </cell>
          <cell r="C5799">
            <v>9.3900618308000006</v>
          </cell>
          <cell r="D5799">
            <v>9.3946861133000006</v>
          </cell>
        </row>
        <row r="5800">
          <cell r="A5800">
            <v>51869</v>
          </cell>
          <cell r="B5800">
            <v>9.3960038991000001</v>
          </cell>
          <cell r="C5800">
            <v>9.3936911490000004</v>
          </cell>
          <cell r="D5800">
            <v>9.3983172188000008</v>
          </cell>
        </row>
        <row r="5801">
          <cell r="A5801">
            <v>51872</v>
          </cell>
          <cell r="B5801">
            <v>9.3996355139999999</v>
          </cell>
          <cell r="C5801">
            <v>9.3973218700000007</v>
          </cell>
          <cell r="D5801">
            <v>9.4019497277999999</v>
          </cell>
        </row>
        <row r="5802">
          <cell r="A5802">
            <v>51873</v>
          </cell>
          <cell r="B5802">
            <v>9.4032685324000003</v>
          </cell>
          <cell r="C5802">
            <v>9.4009539942</v>
          </cell>
          <cell r="D5802">
            <v>9.4055836406999997</v>
          </cell>
        </row>
      </sheetData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CAO"/>
      <sheetName val="PERCENTUAL"/>
      <sheetName val="AMORTIZAÇÃO"/>
      <sheetName val="15L0676664"/>
      <sheetName val="Base RF"/>
      <sheetName val="TXT"/>
      <sheetName val="CDI"/>
      <sheetName val="PRE"/>
      <sheetName val="PU MÉDIO"/>
      <sheetName val="Validação"/>
      <sheetName val="Feriados"/>
      <sheetName val="PRO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A1">
            <v>36892</v>
          </cell>
        </row>
        <row r="2">
          <cell r="A2">
            <v>36948</v>
          </cell>
        </row>
        <row r="3">
          <cell r="A3">
            <v>36949</v>
          </cell>
        </row>
        <row r="4">
          <cell r="A4">
            <v>36994</v>
          </cell>
        </row>
        <row r="5">
          <cell r="A5">
            <v>37002</v>
          </cell>
        </row>
        <row r="6">
          <cell r="A6">
            <v>37012</v>
          </cell>
        </row>
        <row r="7">
          <cell r="A7">
            <v>37056</v>
          </cell>
        </row>
        <row r="8">
          <cell r="A8">
            <v>37141</v>
          </cell>
        </row>
        <row r="9">
          <cell r="A9">
            <v>37176</v>
          </cell>
        </row>
        <row r="10">
          <cell r="A10">
            <v>37197</v>
          </cell>
        </row>
        <row r="11">
          <cell r="A11">
            <v>37210</v>
          </cell>
        </row>
        <row r="12">
          <cell r="A12">
            <v>37250</v>
          </cell>
        </row>
        <row r="13">
          <cell r="A13">
            <v>37257</v>
          </cell>
        </row>
        <row r="14">
          <cell r="A14">
            <v>37298</v>
          </cell>
        </row>
        <row r="15">
          <cell r="A15">
            <v>37299</v>
          </cell>
        </row>
        <row r="16">
          <cell r="A16">
            <v>37344</v>
          </cell>
        </row>
        <row r="17">
          <cell r="A17">
            <v>37367</v>
          </cell>
        </row>
        <row r="18">
          <cell r="A18">
            <v>37377</v>
          </cell>
        </row>
        <row r="19">
          <cell r="A19">
            <v>37406</v>
          </cell>
        </row>
        <row r="20">
          <cell r="A20">
            <v>37506</v>
          </cell>
        </row>
        <row r="21">
          <cell r="A21">
            <v>37541</v>
          </cell>
        </row>
        <row r="22">
          <cell r="A22">
            <v>37562</v>
          </cell>
        </row>
        <row r="23">
          <cell r="A23">
            <v>37575</v>
          </cell>
        </row>
        <row r="24">
          <cell r="A24">
            <v>37615</v>
          </cell>
        </row>
        <row r="25">
          <cell r="A25">
            <v>37622</v>
          </cell>
        </row>
        <row r="26">
          <cell r="A26">
            <v>37683</v>
          </cell>
        </row>
        <row r="27">
          <cell r="A27">
            <v>37684</v>
          </cell>
        </row>
        <row r="28">
          <cell r="A28">
            <v>37729</v>
          </cell>
        </row>
        <row r="29">
          <cell r="A29">
            <v>37732</v>
          </cell>
        </row>
        <row r="30">
          <cell r="A30">
            <v>37742</v>
          </cell>
        </row>
        <row r="31">
          <cell r="A31">
            <v>37791</v>
          </cell>
        </row>
        <row r="32">
          <cell r="A32">
            <v>37871</v>
          </cell>
        </row>
        <row r="33">
          <cell r="A33">
            <v>37906</v>
          </cell>
        </row>
        <row r="34">
          <cell r="A34">
            <v>37927</v>
          </cell>
        </row>
        <row r="35">
          <cell r="A35">
            <v>37940</v>
          </cell>
        </row>
        <row r="36">
          <cell r="A36">
            <v>37980</v>
          </cell>
        </row>
        <row r="37">
          <cell r="A37">
            <v>37987</v>
          </cell>
        </row>
        <row r="38">
          <cell r="A38">
            <v>38040</v>
          </cell>
        </row>
        <row r="39">
          <cell r="A39">
            <v>38041</v>
          </cell>
        </row>
        <row r="40">
          <cell r="A40">
            <v>38086</v>
          </cell>
        </row>
        <row r="41">
          <cell r="A41">
            <v>38098</v>
          </cell>
        </row>
        <row r="42">
          <cell r="A42">
            <v>38108</v>
          </cell>
        </row>
        <row r="43">
          <cell r="A43">
            <v>38148</v>
          </cell>
        </row>
        <row r="44">
          <cell r="A44">
            <v>38237</v>
          </cell>
        </row>
        <row r="45">
          <cell r="A45">
            <v>38272</v>
          </cell>
        </row>
        <row r="46">
          <cell r="A46">
            <v>38293</v>
          </cell>
        </row>
        <row r="47">
          <cell r="A47">
            <v>38306</v>
          </cell>
        </row>
        <row r="48">
          <cell r="A48">
            <v>38346</v>
          </cell>
        </row>
        <row r="49">
          <cell r="A49">
            <v>38353</v>
          </cell>
        </row>
        <row r="50">
          <cell r="A50">
            <v>38390</v>
          </cell>
        </row>
        <row r="51">
          <cell r="A51">
            <v>38391</v>
          </cell>
        </row>
        <row r="52">
          <cell r="A52">
            <v>38436</v>
          </cell>
        </row>
        <row r="53">
          <cell r="A53">
            <v>38463</v>
          </cell>
        </row>
        <row r="54">
          <cell r="A54">
            <v>38473</v>
          </cell>
        </row>
        <row r="55">
          <cell r="A55">
            <v>38498</v>
          </cell>
        </row>
        <row r="56">
          <cell r="A56">
            <v>38602</v>
          </cell>
        </row>
        <row r="57">
          <cell r="A57">
            <v>38637</v>
          </cell>
        </row>
        <row r="58">
          <cell r="A58">
            <v>38658</v>
          </cell>
        </row>
        <row r="59">
          <cell r="A59">
            <v>38671</v>
          </cell>
        </row>
        <row r="60">
          <cell r="A60">
            <v>38711</v>
          </cell>
        </row>
        <row r="61">
          <cell r="A61">
            <v>38718</v>
          </cell>
        </row>
        <row r="62">
          <cell r="A62">
            <v>38775</v>
          </cell>
        </row>
        <row r="63">
          <cell r="A63">
            <v>38776</v>
          </cell>
        </row>
        <row r="64">
          <cell r="A64">
            <v>38821</v>
          </cell>
        </row>
        <row r="65">
          <cell r="A65">
            <v>38828</v>
          </cell>
        </row>
        <row r="66">
          <cell r="A66">
            <v>38838</v>
          </cell>
        </row>
        <row r="67">
          <cell r="A67">
            <v>38883</v>
          </cell>
        </row>
        <row r="68">
          <cell r="A68">
            <v>38967</v>
          </cell>
        </row>
        <row r="69">
          <cell r="A69">
            <v>39002</v>
          </cell>
        </row>
        <row r="70">
          <cell r="A70">
            <v>39023</v>
          </cell>
        </row>
        <row r="71">
          <cell r="A71">
            <v>39036</v>
          </cell>
        </row>
        <row r="72">
          <cell r="A72">
            <v>39076</v>
          </cell>
        </row>
        <row r="73">
          <cell r="A73">
            <v>39083</v>
          </cell>
        </row>
        <row r="74">
          <cell r="A74">
            <v>39132</v>
          </cell>
        </row>
        <row r="75">
          <cell r="A75">
            <v>39133</v>
          </cell>
        </row>
        <row r="76">
          <cell r="A76">
            <v>39178</v>
          </cell>
        </row>
        <row r="77">
          <cell r="A77">
            <v>39193</v>
          </cell>
        </row>
        <row r="78">
          <cell r="A78">
            <v>39203</v>
          </cell>
        </row>
        <row r="79">
          <cell r="A79">
            <v>39240</v>
          </cell>
        </row>
        <row r="80">
          <cell r="A80">
            <v>39332</v>
          </cell>
        </row>
        <row r="81">
          <cell r="A81">
            <v>39367</v>
          </cell>
        </row>
        <row r="82">
          <cell r="A82">
            <v>39388</v>
          </cell>
        </row>
        <row r="83">
          <cell r="A83">
            <v>39401</v>
          </cell>
        </row>
        <row r="84">
          <cell r="A84">
            <v>39441</v>
          </cell>
        </row>
        <row r="85">
          <cell r="A85">
            <v>39448</v>
          </cell>
        </row>
        <row r="86">
          <cell r="A86">
            <v>39482</v>
          </cell>
        </row>
        <row r="87">
          <cell r="A87">
            <v>39483</v>
          </cell>
        </row>
        <row r="88">
          <cell r="A88">
            <v>39528</v>
          </cell>
        </row>
        <row r="89">
          <cell r="A89">
            <v>39559</v>
          </cell>
        </row>
        <row r="90">
          <cell r="A90">
            <v>39569</v>
          </cell>
        </row>
        <row r="91">
          <cell r="A91">
            <v>39590</v>
          </cell>
        </row>
        <row r="92">
          <cell r="A92">
            <v>39698</v>
          </cell>
        </row>
        <row r="93">
          <cell r="A93">
            <v>39733</v>
          </cell>
        </row>
        <row r="94">
          <cell r="A94">
            <v>39754</v>
          </cell>
        </row>
        <row r="95">
          <cell r="A95">
            <v>39767</v>
          </cell>
        </row>
        <row r="96">
          <cell r="A96">
            <v>39807</v>
          </cell>
        </row>
        <row r="97">
          <cell r="A97">
            <v>39814</v>
          </cell>
        </row>
        <row r="98">
          <cell r="A98">
            <v>39867</v>
          </cell>
        </row>
        <row r="99">
          <cell r="A99">
            <v>39868</v>
          </cell>
        </row>
        <row r="100">
          <cell r="A100">
            <v>39913</v>
          </cell>
        </row>
        <row r="101">
          <cell r="A101">
            <v>39924</v>
          </cell>
        </row>
        <row r="102">
          <cell r="A102">
            <v>39934</v>
          </cell>
        </row>
        <row r="103">
          <cell r="A103">
            <v>39975</v>
          </cell>
        </row>
        <row r="104">
          <cell r="A104">
            <v>40063</v>
          </cell>
        </row>
        <row r="105">
          <cell r="A105">
            <v>40098</v>
          </cell>
        </row>
        <row r="106">
          <cell r="A106">
            <v>40119</v>
          </cell>
        </row>
        <row r="107">
          <cell r="A107">
            <v>40132</v>
          </cell>
        </row>
        <row r="108">
          <cell r="A108">
            <v>40172</v>
          </cell>
        </row>
        <row r="109">
          <cell r="A109">
            <v>40179</v>
          </cell>
        </row>
        <row r="110">
          <cell r="A110">
            <v>40224</v>
          </cell>
        </row>
        <row r="111">
          <cell r="A111">
            <v>40225</v>
          </cell>
        </row>
        <row r="112">
          <cell r="A112">
            <v>40270</v>
          </cell>
        </row>
        <row r="113">
          <cell r="A113">
            <v>40289</v>
          </cell>
        </row>
        <row r="114">
          <cell r="A114">
            <v>40299</v>
          </cell>
        </row>
        <row r="115">
          <cell r="A115">
            <v>40332</v>
          </cell>
        </row>
        <row r="116">
          <cell r="A116">
            <v>40428</v>
          </cell>
        </row>
        <row r="117">
          <cell r="A117">
            <v>40463</v>
          </cell>
        </row>
        <row r="118">
          <cell r="A118">
            <v>40484</v>
          </cell>
        </row>
        <row r="119">
          <cell r="A119">
            <v>40497</v>
          </cell>
        </row>
        <row r="120">
          <cell r="A120">
            <v>40537</v>
          </cell>
        </row>
        <row r="121">
          <cell r="A121">
            <v>40544</v>
          </cell>
        </row>
        <row r="122">
          <cell r="A122">
            <v>40609</v>
          </cell>
        </row>
        <row r="123">
          <cell r="A123">
            <v>40610</v>
          </cell>
        </row>
        <row r="124">
          <cell r="A124">
            <v>40654</v>
          </cell>
        </row>
        <row r="125">
          <cell r="A125">
            <v>40655</v>
          </cell>
        </row>
        <row r="126">
          <cell r="A126">
            <v>40664</v>
          </cell>
        </row>
        <row r="127">
          <cell r="A127">
            <v>40717</v>
          </cell>
        </row>
        <row r="128">
          <cell r="A128">
            <v>40793</v>
          </cell>
        </row>
        <row r="129">
          <cell r="A129">
            <v>40828</v>
          </cell>
        </row>
        <row r="130">
          <cell r="A130">
            <v>40849</v>
          </cell>
        </row>
        <row r="131">
          <cell r="A131">
            <v>40862</v>
          </cell>
        </row>
        <row r="132">
          <cell r="A132">
            <v>40902</v>
          </cell>
        </row>
        <row r="133">
          <cell r="A133">
            <v>40909</v>
          </cell>
        </row>
        <row r="134">
          <cell r="A134">
            <v>40959</v>
          </cell>
        </row>
        <row r="135">
          <cell r="A135">
            <v>40960</v>
          </cell>
        </row>
        <row r="136">
          <cell r="A136">
            <v>41005</v>
          </cell>
        </row>
        <row r="137">
          <cell r="A137">
            <v>41020</v>
          </cell>
        </row>
        <row r="138">
          <cell r="A138">
            <v>41030</v>
          </cell>
        </row>
        <row r="139">
          <cell r="A139">
            <v>41067</v>
          </cell>
        </row>
        <row r="140">
          <cell r="A140">
            <v>41159</v>
          </cell>
        </row>
        <row r="141">
          <cell r="A141">
            <v>41194</v>
          </cell>
        </row>
        <row r="142">
          <cell r="A142">
            <v>41215</v>
          </cell>
        </row>
        <row r="143">
          <cell r="A143">
            <v>41228</v>
          </cell>
        </row>
        <row r="144">
          <cell r="A144">
            <v>41268</v>
          </cell>
        </row>
        <row r="145">
          <cell r="A145">
            <v>41275</v>
          </cell>
        </row>
        <row r="146">
          <cell r="A146">
            <v>41316</v>
          </cell>
        </row>
        <row r="147">
          <cell r="A147">
            <v>41317</v>
          </cell>
        </row>
        <row r="148">
          <cell r="A148">
            <v>41362</v>
          </cell>
        </row>
        <row r="149">
          <cell r="A149">
            <v>41385</v>
          </cell>
        </row>
        <row r="150">
          <cell r="A150">
            <v>41395</v>
          </cell>
        </row>
        <row r="151">
          <cell r="A151">
            <v>41424</v>
          </cell>
        </row>
        <row r="152">
          <cell r="A152">
            <v>41524</v>
          </cell>
        </row>
        <row r="153">
          <cell r="A153">
            <v>41559</v>
          </cell>
        </row>
        <row r="154">
          <cell r="A154">
            <v>41580</v>
          </cell>
        </row>
        <row r="155">
          <cell r="A155">
            <v>41593</v>
          </cell>
        </row>
        <row r="156">
          <cell r="A156">
            <v>41633</v>
          </cell>
        </row>
        <row r="157">
          <cell r="A157">
            <v>41640</v>
          </cell>
        </row>
        <row r="158">
          <cell r="A158">
            <v>41701</v>
          </cell>
        </row>
        <row r="159">
          <cell r="A159">
            <v>41702</v>
          </cell>
        </row>
        <row r="160">
          <cell r="A160">
            <v>41747</v>
          </cell>
        </row>
        <row r="161">
          <cell r="A161">
            <v>41750</v>
          </cell>
        </row>
        <row r="162">
          <cell r="A162">
            <v>41760</v>
          </cell>
        </row>
        <row r="163">
          <cell r="A163">
            <v>41809</v>
          </cell>
        </row>
        <row r="164">
          <cell r="A164">
            <v>41889</v>
          </cell>
        </row>
        <row r="165">
          <cell r="A165">
            <v>41924</v>
          </cell>
        </row>
        <row r="166">
          <cell r="A166">
            <v>41945</v>
          </cell>
        </row>
        <row r="167">
          <cell r="A167">
            <v>41958</v>
          </cell>
        </row>
        <row r="168">
          <cell r="A168">
            <v>41998</v>
          </cell>
        </row>
        <row r="169">
          <cell r="A169">
            <v>42005</v>
          </cell>
        </row>
        <row r="170">
          <cell r="A170">
            <v>42051</v>
          </cell>
        </row>
        <row r="171">
          <cell r="A171">
            <v>42052</v>
          </cell>
        </row>
        <row r="172">
          <cell r="A172">
            <v>42097</v>
          </cell>
        </row>
        <row r="173">
          <cell r="A173">
            <v>42115</v>
          </cell>
        </row>
        <row r="174">
          <cell r="A174">
            <v>42125</v>
          </cell>
        </row>
        <row r="175">
          <cell r="A175">
            <v>42159</v>
          </cell>
        </row>
        <row r="176">
          <cell r="A176">
            <v>42254</v>
          </cell>
        </row>
        <row r="177">
          <cell r="A177">
            <v>42289</v>
          </cell>
        </row>
        <row r="178">
          <cell r="A178">
            <v>42310</v>
          </cell>
        </row>
        <row r="179">
          <cell r="A179">
            <v>42323</v>
          </cell>
        </row>
        <row r="180">
          <cell r="A180">
            <v>42363</v>
          </cell>
        </row>
        <row r="181">
          <cell r="A181">
            <v>42370</v>
          </cell>
        </row>
        <row r="182">
          <cell r="A182">
            <v>42408</v>
          </cell>
        </row>
        <row r="183">
          <cell r="A183">
            <v>42409</v>
          </cell>
        </row>
        <row r="184">
          <cell r="A184">
            <v>42454</v>
          </cell>
        </row>
        <row r="185">
          <cell r="A185">
            <v>42481</v>
          </cell>
        </row>
        <row r="186">
          <cell r="A186">
            <v>42491</v>
          </cell>
        </row>
        <row r="187">
          <cell r="A187">
            <v>42516</v>
          </cell>
        </row>
        <row r="188">
          <cell r="A188">
            <v>42620</v>
          </cell>
        </row>
        <row r="189">
          <cell r="A189">
            <v>42655</v>
          </cell>
        </row>
        <row r="190">
          <cell r="A190">
            <v>42676</v>
          </cell>
        </row>
        <row r="191">
          <cell r="A191">
            <v>42689</v>
          </cell>
        </row>
        <row r="192">
          <cell r="A192">
            <v>42729</v>
          </cell>
        </row>
        <row r="193">
          <cell r="A193">
            <v>42736</v>
          </cell>
        </row>
        <row r="194">
          <cell r="A194">
            <v>42793</v>
          </cell>
        </row>
        <row r="195">
          <cell r="A195">
            <v>42794</v>
          </cell>
        </row>
        <row r="196">
          <cell r="A196">
            <v>42839</v>
          </cell>
        </row>
        <row r="197">
          <cell r="A197">
            <v>42846</v>
          </cell>
        </row>
        <row r="198">
          <cell r="A198">
            <v>42856</v>
          </cell>
        </row>
        <row r="199">
          <cell r="A199">
            <v>42901</v>
          </cell>
        </row>
        <row r="200">
          <cell r="A200">
            <v>42985</v>
          </cell>
        </row>
        <row r="201">
          <cell r="A201">
            <v>43020</v>
          </cell>
        </row>
        <row r="202">
          <cell r="A202">
            <v>43041</v>
          </cell>
        </row>
        <row r="203">
          <cell r="A203">
            <v>43054</v>
          </cell>
        </row>
        <row r="204">
          <cell r="A204">
            <v>43094</v>
          </cell>
        </row>
        <row r="205">
          <cell r="A205">
            <v>43101</v>
          </cell>
        </row>
        <row r="206">
          <cell r="A206">
            <v>43143</v>
          </cell>
        </row>
        <row r="207">
          <cell r="A207">
            <v>43144</v>
          </cell>
        </row>
        <row r="208">
          <cell r="A208">
            <v>43189</v>
          </cell>
        </row>
        <row r="209">
          <cell r="A209">
            <v>43211</v>
          </cell>
        </row>
        <row r="210">
          <cell r="A210">
            <v>43221</v>
          </cell>
        </row>
        <row r="211">
          <cell r="A211">
            <v>43251</v>
          </cell>
        </row>
        <row r="212">
          <cell r="A212">
            <v>43350</v>
          </cell>
        </row>
        <row r="213">
          <cell r="A213">
            <v>43385</v>
          </cell>
        </row>
        <row r="214">
          <cell r="A214">
            <v>43406</v>
          </cell>
        </row>
        <row r="215">
          <cell r="A215">
            <v>43419</v>
          </cell>
        </row>
        <row r="216">
          <cell r="A216">
            <v>43459</v>
          </cell>
        </row>
        <row r="217">
          <cell r="A217">
            <v>43466</v>
          </cell>
        </row>
        <row r="218">
          <cell r="A218">
            <v>43528</v>
          </cell>
        </row>
        <row r="219">
          <cell r="A219">
            <v>43529</v>
          </cell>
        </row>
        <row r="220">
          <cell r="A220">
            <v>43574</v>
          </cell>
        </row>
        <row r="221">
          <cell r="A221">
            <v>43576</v>
          </cell>
        </row>
        <row r="222">
          <cell r="A222">
            <v>43586</v>
          </cell>
        </row>
        <row r="223">
          <cell r="A223">
            <v>43636</v>
          </cell>
        </row>
        <row r="224">
          <cell r="A224">
            <v>43715</v>
          </cell>
        </row>
        <row r="225">
          <cell r="A225">
            <v>43750</v>
          </cell>
        </row>
        <row r="226">
          <cell r="A226">
            <v>43771</v>
          </cell>
        </row>
        <row r="227">
          <cell r="A227">
            <v>43784</v>
          </cell>
        </row>
        <row r="228">
          <cell r="A228">
            <v>43824</v>
          </cell>
        </row>
        <row r="229">
          <cell r="A229">
            <v>43831</v>
          </cell>
        </row>
        <row r="230">
          <cell r="A230">
            <v>43885</v>
          </cell>
        </row>
        <row r="231">
          <cell r="A231">
            <v>43886</v>
          </cell>
        </row>
        <row r="232">
          <cell r="A232">
            <v>43931</v>
          </cell>
        </row>
        <row r="233">
          <cell r="A233">
            <v>43942</v>
          </cell>
        </row>
        <row r="234">
          <cell r="A234">
            <v>43952</v>
          </cell>
        </row>
        <row r="235">
          <cell r="A235">
            <v>43993</v>
          </cell>
        </row>
        <row r="236">
          <cell r="A236">
            <v>44081</v>
          </cell>
        </row>
        <row r="237">
          <cell r="A237">
            <v>44116</v>
          </cell>
        </row>
        <row r="238">
          <cell r="A238">
            <v>44137</v>
          </cell>
        </row>
        <row r="239">
          <cell r="A239">
            <v>44150</v>
          </cell>
        </row>
        <row r="240">
          <cell r="A240">
            <v>44190</v>
          </cell>
        </row>
        <row r="241">
          <cell r="A241">
            <v>44197</v>
          </cell>
        </row>
        <row r="242">
          <cell r="A242">
            <v>44242</v>
          </cell>
        </row>
        <row r="243">
          <cell r="A243">
            <v>44243</v>
          </cell>
        </row>
        <row r="244">
          <cell r="A244">
            <v>44288</v>
          </cell>
        </row>
        <row r="245">
          <cell r="A245">
            <v>44307</v>
          </cell>
        </row>
        <row r="246">
          <cell r="A246">
            <v>44317</v>
          </cell>
        </row>
        <row r="247">
          <cell r="A247">
            <v>44350</v>
          </cell>
        </row>
        <row r="248">
          <cell r="A248">
            <v>44446</v>
          </cell>
        </row>
        <row r="249">
          <cell r="A249">
            <v>44481</v>
          </cell>
        </row>
        <row r="250">
          <cell r="A250">
            <v>44502</v>
          </cell>
        </row>
        <row r="251">
          <cell r="A251">
            <v>44515</v>
          </cell>
        </row>
        <row r="252">
          <cell r="A252">
            <v>44555</v>
          </cell>
        </row>
        <row r="253">
          <cell r="A253">
            <v>44562</v>
          </cell>
        </row>
        <row r="254">
          <cell r="A254">
            <v>44620</v>
          </cell>
        </row>
        <row r="255">
          <cell r="A255">
            <v>44621</v>
          </cell>
        </row>
        <row r="256">
          <cell r="A256">
            <v>44666</v>
          </cell>
        </row>
        <row r="257">
          <cell r="A257">
            <v>44672</v>
          </cell>
        </row>
        <row r="258">
          <cell r="A258">
            <v>44682</v>
          </cell>
        </row>
        <row r="259">
          <cell r="A259">
            <v>44728</v>
          </cell>
        </row>
        <row r="260">
          <cell r="A260">
            <v>44811</v>
          </cell>
        </row>
        <row r="261">
          <cell r="A261">
            <v>44846</v>
          </cell>
        </row>
        <row r="262">
          <cell r="A262">
            <v>44867</v>
          </cell>
        </row>
        <row r="263">
          <cell r="A263">
            <v>44880</v>
          </cell>
        </row>
        <row r="264">
          <cell r="A264">
            <v>44920</v>
          </cell>
        </row>
        <row r="265">
          <cell r="A265">
            <v>44927</v>
          </cell>
        </row>
        <row r="266">
          <cell r="A266">
            <v>44977</v>
          </cell>
        </row>
        <row r="267">
          <cell r="A267">
            <v>44978</v>
          </cell>
        </row>
        <row r="268">
          <cell r="A268">
            <v>45023</v>
          </cell>
        </row>
        <row r="269">
          <cell r="A269">
            <v>45037</v>
          </cell>
        </row>
        <row r="270">
          <cell r="A270">
            <v>45047</v>
          </cell>
        </row>
        <row r="271">
          <cell r="A271">
            <v>45085</v>
          </cell>
        </row>
        <row r="272">
          <cell r="A272">
            <v>45176</v>
          </cell>
        </row>
        <row r="273">
          <cell r="A273">
            <v>45211</v>
          </cell>
        </row>
        <row r="274">
          <cell r="A274">
            <v>45232</v>
          </cell>
        </row>
        <row r="275">
          <cell r="A275">
            <v>45245</v>
          </cell>
        </row>
        <row r="276">
          <cell r="A276">
            <v>45285</v>
          </cell>
        </row>
        <row r="277">
          <cell r="A277">
            <v>45292</v>
          </cell>
        </row>
        <row r="278">
          <cell r="A278">
            <v>45334</v>
          </cell>
        </row>
        <row r="279">
          <cell r="A279">
            <v>45335</v>
          </cell>
        </row>
        <row r="280">
          <cell r="A280">
            <v>45380</v>
          </cell>
        </row>
        <row r="281">
          <cell r="A281">
            <v>45403</v>
          </cell>
        </row>
        <row r="282">
          <cell r="A282">
            <v>45413</v>
          </cell>
        </row>
        <row r="283">
          <cell r="A283">
            <v>45442</v>
          </cell>
        </row>
        <row r="284">
          <cell r="A284">
            <v>45542</v>
          </cell>
        </row>
        <row r="285">
          <cell r="A285">
            <v>45577</v>
          </cell>
        </row>
        <row r="286">
          <cell r="A286">
            <v>45598</v>
          </cell>
        </row>
        <row r="287">
          <cell r="A287">
            <v>45611</v>
          </cell>
        </row>
        <row r="288">
          <cell r="A288">
            <v>45651</v>
          </cell>
        </row>
        <row r="289">
          <cell r="A289">
            <v>45658</v>
          </cell>
        </row>
        <row r="290">
          <cell r="A290">
            <v>45719</v>
          </cell>
        </row>
        <row r="291">
          <cell r="A291">
            <v>45720</v>
          </cell>
        </row>
        <row r="292">
          <cell r="A292">
            <v>45765</v>
          </cell>
        </row>
        <row r="293">
          <cell r="A293">
            <v>45768</v>
          </cell>
        </row>
        <row r="294">
          <cell r="A294">
            <v>45778</v>
          </cell>
        </row>
        <row r="295">
          <cell r="A295">
            <v>45827</v>
          </cell>
        </row>
        <row r="296">
          <cell r="A296">
            <v>45907</v>
          </cell>
        </row>
        <row r="297">
          <cell r="A297">
            <v>45942</v>
          </cell>
        </row>
        <row r="298">
          <cell r="A298">
            <v>45963</v>
          </cell>
        </row>
        <row r="299">
          <cell r="A299">
            <v>45976</v>
          </cell>
        </row>
        <row r="300">
          <cell r="A300">
            <v>46016</v>
          </cell>
        </row>
        <row r="301">
          <cell r="A301">
            <v>46023</v>
          </cell>
        </row>
        <row r="302">
          <cell r="A302">
            <v>46069</v>
          </cell>
        </row>
        <row r="303">
          <cell r="A303">
            <v>46070</v>
          </cell>
        </row>
        <row r="304">
          <cell r="A304">
            <v>46115</v>
          </cell>
        </row>
        <row r="305">
          <cell r="A305">
            <v>46133</v>
          </cell>
        </row>
        <row r="306">
          <cell r="A306">
            <v>46143</v>
          </cell>
        </row>
        <row r="307">
          <cell r="A307">
            <v>46177</v>
          </cell>
        </row>
        <row r="308">
          <cell r="A308">
            <v>46272</v>
          </cell>
        </row>
        <row r="309">
          <cell r="A309">
            <v>46307</v>
          </cell>
        </row>
        <row r="310">
          <cell r="A310">
            <v>46328</v>
          </cell>
        </row>
        <row r="311">
          <cell r="A311">
            <v>46341</v>
          </cell>
        </row>
        <row r="312">
          <cell r="A312">
            <v>46381</v>
          </cell>
        </row>
        <row r="313">
          <cell r="A313">
            <v>46388</v>
          </cell>
        </row>
        <row r="314">
          <cell r="A314">
            <v>46426</v>
          </cell>
        </row>
        <row r="315">
          <cell r="A315">
            <v>46427</v>
          </cell>
        </row>
        <row r="316">
          <cell r="A316">
            <v>46472</v>
          </cell>
        </row>
        <row r="317">
          <cell r="A317">
            <v>46498</v>
          </cell>
        </row>
        <row r="318">
          <cell r="A318">
            <v>46508</v>
          </cell>
        </row>
        <row r="319">
          <cell r="A319">
            <v>46534</v>
          </cell>
        </row>
        <row r="320">
          <cell r="A320">
            <v>46637</v>
          </cell>
        </row>
        <row r="321">
          <cell r="A321">
            <v>46672</v>
          </cell>
        </row>
        <row r="322">
          <cell r="A322">
            <v>46693</v>
          </cell>
        </row>
        <row r="323">
          <cell r="A323">
            <v>46706</v>
          </cell>
        </row>
        <row r="324">
          <cell r="A324">
            <v>46746</v>
          </cell>
        </row>
        <row r="325">
          <cell r="A325">
            <v>46753</v>
          </cell>
        </row>
        <row r="326">
          <cell r="A326">
            <v>46811</v>
          </cell>
        </row>
        <row r="327">
          <cell r="A327">
            <v>46812</v>
          </cell>
        </row>
        <row r="328">
          <cell r="A328">
            <v>46857</v>
          </cell>
        </row>
        <row r="329">
          <cell r="A329">
            <v>46864</v>
          </cell>
        </row>
        <row r="330">
          <cell r="A330">
            <v>46874</v>
          </cell>
        </row>
        <row r="331">
          <cell r="A331">
            <v>46919</v>
          </cell>
        </row>
        <row r="332">
          <cell r="A332">
            <v>47003</v>
          </cell>
        </row>
        <row r="333">
          <cell r="A333">
            <v>47038</v>
          </cell>
        </row>
        <row r="334">
          <cell r="A334">
            <v>47059</v>
          </cell>
        </row>
        <row r="335">
          <cell r="A335">
            <v>47072</v>
          </cell>
        </row>
        <row r="336">
          <cell r="A336">
            <v>47112</v>
          </cell>
        </row>
        <row r="337">
          <cell r="A337">
            <v>47119</v>
          </cell>
        </row>
        <row r="338">
          <cell r="A338">
            <v>47161</v>
          </cell>
        </row>
        <row r="339">
          <cell r="A339">
            <v>47162</v>
          </cell>
        </row>
        <row r="340">
          <cell r="A340">
            <v>47207</v>
          </cell>
        </row>
        <row r="341">
          <cell r="A341">
            <v>47229</v>
          </cell>
        </row>
        <row r="342">
          <cell r="A342">
            <v>47239</v>
          </cell>
        </row>
        <row r="343">
          <cell r="A343">
            <v>47269</v>
          </cell>
        </row>
        <row r="344">
          <cell r="A344">
            <v>47368</v>
          </cell>
        </row>
        <row r="345">
          <cell r="A345">
            <v>47403</v>
          </cell>
        </row>
        <row r="346">
          <cell r="A346">
            <v>47424</v>
          </cell>
        </row>
        <row r="347">
          <cell r="A347">
            <v>47437</v>
          </cell>
        </row>
        <row r="348">
          <cell r="A348">
            <v>47477</v>
          </cell>
        </row>
        <row r="349">
          <cell r="A349">
            <v>47484</v>
          </cell>
        </row>
        <row r="350">
          <cell r="A350">
            <v>47546</v>
          </cell>
        </row>
        <row r="351">
          <cell r="A351">
            <v>47547</v>
          </cell>
        </row>
        <row r="352">
          <cell r="A352">
            <v>47592</v>
          </cell>
        </row>
        <row r="353">
          <cell r="A353">
            <v>47594</v>
          </cell>
        </row>
        <row r="354">
          <cell r="A354">
            <v>47604</v>
          </cell>
        </row>
        <row r="355">
          <cell r="A355">
            <v>47654</v>
          </cell>
        </row>
        <row r="356">
          <cell r="A356">
            <v>47733</v>
          </cell>
        </row>
        <row r="357">
          <cell r="A357">
            <v>47768</v>
          </cell>
        </row>
        <row r="358">
          <cell r="A358">
            <v>47789</v>
          </cell>
        </row>
        <row r="359">
          <cell r="A359">
            <v>47802</v>
          </cell>
        </row>
        <row r="360">
          <cell r="A360">
            <v>47842</v>
          </cell>
        </row>
        <row r="361">
          <cell r="A361">
            <v>47849</v>
          </cell>
        </row>
        <row r="362">
          <cell r="A362">
            <v>47903</v>
          </cell>
        </row>
        <row r="363">
          <cell r="A363">
            <v>47904</v>
          </cell>
        </row>
        <row r="364">
          <cell r="A364">
            <v>47949</v>
          </cell>
        </row>
        <row r="365">
          <cell r="A365">
            <v>47959</v>
          </cell>
        </row>
        <row r="366">
          <cell r="A366">
            <v>47969</v>
          </cell>
        </row>
        <row r="367">
          <cell r="A367">
            <v>48011</v>
          </cell>
        </row>
        <row r="368">
          <cell r="A368">
            <v>48098</v>
          </cell>
        </row>
        <row r="369">
          <cell r="A369">
            <v>48133</v>
          </cell>
        </row>
        <row r="370">
          <cell r="A370">
            <v>48154</v>
          </cell>
        </row>
        <row r="371">
          <cell r="A371">
            <v>48167</v>
          </cell>
        </row>
        <row r="372">
          <cell r="A372">
            <v>48207</v>
          </cell>
        </row>
        <row r="373">
          <cell r="A373">
            <v>48214</v>
          </cell>
        </row>
        <row r="374">
          <cell r="A374">
            <v>48253</v>
          </cell>
        </row>
        <row r="375">
          <cell r="A375">
            <v>48254</v>
          </cell>
        </row>
        <row r="376">
          <cell r="A376">
            <v>48299</v>
          </cell>
        </row>
        <row r="377">
          <cell r="A377">
            <v>48325</v>
          </cell>
        </row>
        <row r="378">
          <cell r="A378">
            <v>48335</v>
          </cell>
        </row>
        <row r="379">
          <cell r="A379">
            <v>48361</v>
          </cell>
        </row>
        <row r="380">
          <cell r="A380">
            <v>48464</v>
          </cell>
        </row>
        <row r="381">
          <cell r="A381">
            <v>48499</v>
          </cell>
        </row>
        <row r="382">
          <cell r="A382">
            <v>48520</v>
          </cell>
        </row>
        <row r="383">
          <cell r="A383">
            <v>48533</v>
          </cell>
        </row>
        <row r="384">
          <cell r="A384">
            <v>48573</v>
          </cell>
        </row>
        <row r="385">
          <cell r="A385">
            <v>48580</v>
          </cell>
        </row>
        <row r="386">
          <cell r="A386">
            <v>48638</v>
          </cell>
        </row>
        <row r="387">
          <cell r="A387">
            <v>48639</v>
          </cell>
        </row>
        <row r="388">
          <cell r="A388">
            <v>48684</v>
          </cell>
        </row>
        <row r="389">
          <cell r="A389">
            <v>48690</v>
          </cell>
        </row>
        <row r="390">
          <cell r="A390">
            <v>48700</v>
          </cell>
        </row>
        <row r="391">
          <cell r="A391">
            <v>48746</v>
          </cell>
        </row>
        <row r="392">
          <cell r="A392">
            <v>48829</v>
          </cell>
        </row>
        <row r="393">
          <cell r="A393">
            <v>48864</v>
          </cell>
        </row>
        <row r="394">
          <cell r="A394">
            <v>48885</v>
          </cell>
        </row>
        <row r="395">
          <cell r="A395">
            <v>48898</v>
          </cell>
        </row>
        <row r="396">
          <cell r="A396">
            <v>48938</v>
          </cell>
        </row>
        <row r="397">
          <cell r="A397">
            <v>48945</v>
          </cell>
        </row>
        <row r="398">
          <cell r="A398">
            <v>48995</v>
          </cell>
        </row>
        <row r="399">
          <cell r="A399">
            <v>48996</v>
          </cell>
        </row>
        <row r="400">
          <cell r="A400">
            <v>49041</v>
          </cell>
        </row>
        <row r="401">
          <cell r="A401">
            <v>49055</v>
          </cell>
        </row>
        <row r="402">
          <cell r="A402">
            <v>49065</v>
          </cell>
        </row>
        <row r="403">
          <cell r="A403">
            <v>49103</v>
          </cell>
        </row>
        <row r="404">
          <cell r="A404">
            <v>49194</v>
          </cell>
        </row>
        <row r="405">
          <cell r="A405">
            <v>49229</v>
          </cell>
        </row>
        <row r="406">
          <cell r="A406">
            <v>49250</v>
          </cell>
        </row>
        <row r="407">
          <cell r="A407">
            <v>49263</v>
          </cell>
        </row>
        <row r="408">
          <cell r="A408">
            <v>49303</v>
          </cell>
        </row>
        <row r="409">
          <cell r="A409">
            <v>49310</v>
          </cell>
        </row>
        <row r="410">
          <cell r="A410">
            <v>49345</v>
          </cell>
        </row>
        <row r="411">
          <cell r="A411">
            <v>49346</v>
          </cell>
        </row>
        <row r="412">
          <cell r="A412">
            <v>49391</v>
          </cell>
        </row>
        <row r="413">
          <cell r="A413">
            <v>49420</v>
          </cell>
        </row>
        <row r="414">
          <cell r="A414">
            <v>49430</v>
          </cell>
        </row>
        <row r="415">
          <cell r="A415">
            <v>49453</v>
          </cell>
        </row>
        <row r="416">
          <cell r="A416">
            <v>49559</v>
          </cell>
        </row>
        <row r="417">
          <cell r="A417">
            <v>49594</v>
          </cell>
        </row>
        <row r="418">
          <cell r="A418">
            <v>49615</v>
          </cell>
        </row>
        <row r="419">
          <cell r="A419">
            <v>49628</v>
          </cell>
        </row>
        <row r="420">
          <cell r="A420">
            <v>49668</v>
          </cell>
        </row>
        <row r="421">
          <cell r="A421">
            <v>49675</v>
          </cell>
        </row>
        <row r="422">
          <cell r="A422">
            <v>49730</v>
          </cell>
        </row>
        <row r="423">
          <cell r="A423">
            <v>49731</v>
          </cell>
        </row>
        <row r="424">
          <cell r="A424">
            <v>49776</v>
          </cell>
        </row>
        <row r="425">
          <cell r="A425">
            <v>49786</v>
          </cell>
        </row>
        <row r="426">
          <cell r="A426">
            <v>49796</v>
          </cell>
        </row>
        <row r="427">
          <cell r="A427">
            <v>49838</v>
          </cell>
        </row>
        <row r="428">
          <cell r="A428">
            <v>49925</v>
          </cell>
        </row>
        <row r="429">
          <cell r="A429">
            <v>49960</v>
          </cell>
        </row>
        <row r="430">
          <cell r="A430">
            <v>49981</v>
          </cell>
        </row>
        <row r="431">
          <cell r="A431">
            <v>49994</v>
          </cell>
        </row>
        <row r="432">
          <cell r="A432">
            <v>50034</v>
          </cell>
        </row>
        <row r="433">
          <cell r="A433">
            <v>50041</v>
          </cell>
        </row>
        <row r="434">
          <cell r="A434">
            <v>50087</v>
          </cell>
        </row>
        <row r="435">
          <cell r="A435">
            <v>50088</v>
          </cell>
        </row>
        <row r="436">
          <cell r="A436">
            <v>50133</v>
          </cell>
        </row>
        <row r="437">
          <cell r="A437">
            <v>50151</v>
          </cell>
        </row>
        <row r="438">
          <cell r="A438">
            <v>50161</v>
          </cell>
        </row>
        <row r="439">
          <cell r="A439">
            <v>50195</v>
          </cell>
        </row>
        <row r="440">
          <cell r="A440">
            <v>50290</v>
          </cell>
        </row>
        <row r="441">
          <cell r="A441">
            <v>50325</v>
          </cell>
        </row>
        <row r="442">
          <cell r="A442">
            <v>50346</v>
          </cell>
        </row>
        <row r="443">
          <cell r="A443">
            <v>50359</v>
          </cell>
        </row>
        <row r="444">
          <cell r="A444">
            <v>50399</v>
          </cell>
        </row>
        <row r="445">
          <cell r="A445">
            <v>50406</v>
          </cell>
        </row>
        <row r="446">
          <cell r="A446">
            <v>50472</v>
          </cell>
        </row>
        <row r="447">
          <cell r="A447">
            <v>50473</v>
          </cell>
        </row>
        <row r="448">
          <cell r="A448">
            <v>50516</v>
          </cell>
        </row>
        <row r="449">
          <cell r="A449">
            <v>50518</v>
          </cell>
        </row>
        <row r="450">
          <cell r="A450">
            <v>50526</v>
          </cell>
        </row>
        <row r="451">
          <cell r="A451">
            <v>50580</v>
          </cell>
        </row>
        <row r="452">
          <cell r="A452">
            <v>50655</v>
          </cell>
        </row>
        <row r="453">
          <cell r="A453">
            <v>50690</v>
          </cell>
        </row>
        <row r="454">
          <cell r="A454">
            <v>50711</v>
          </cell>
        </row>
        <row r="455">
          <cell r="A455">
            <v>50724</v>
          </cell>
        </row>
        <row r="456">
          <cell r="A456">
            <v>50764</v>
          </cell>
        </row>
        <row r="457">
          <cell r="A457">
            <v>50771</v>
          </cell>
        </row>
        <row r="458">
          <cell r="A458">
            <v>50822</v>
          </cell>
        </row>
        <row r="459">
          <cell r="A459">
            <v>50823</v>
          </cell>
        </row>
        <row r="460">
          <cell r="A460">
            <v>50868</v>
          </cell>
        </row>
        <row r="461">
          <cell r="A461">
            <v>50881</v>
          </cell>
        </row>
        <row r="462">
          <cell r="A462">
            <v>50891</v>
          </cell>
        </row>
        <row r="463">
          <cell r="A463">
            <v>50930</v>
          </cell>
        </row>
        <row r="464">
          <cell r="A464">
            <v>51020</v>
          </cell>
        </row>
        <row r="465">
          <cell r="A465">
            <v>51055</v>
          </cell>
        </row>
        <row r="466">
          <cell r="A466">
            <v>51076</v>
          </cell>
        </row>
        <row r="467">
          <cell r="A467">
            <v>51089</v>
          </cell>
        </row>
        <row r="468">
          <cell r="A468">
            <v>51129</v>
          </cell>
        </row>
        <row r="469">
          <cell r="A469">
            <v>51136</v>
          </cell>
        </row>
        <row r="470">
          <cell r="A470">
            <v>51179</v>
          </cell>
        </row>
        <row r="471">
          <cell r="A471">
            <v>51180</v>
          </cell>
        </row>
        <row r="472">
          <cell r="A472">
            <v>51225</v>
          </cell>
        </row>
        <row r="473">
          <cell r="A473">
            <v>51247</v>
          </cell>
        </row>
        <row r="474">
          <cell r="A474">
            <v>51257</v>
          </cell>
        </row>
        <row r="475">
          <cell r="A475">
            <v>51287</v>
          </cell>
        </row>
        <row r="476">
          <cell r="A476">
            <v>51386</v>
          </cell>
        </row>
        <row r="477">
          <cell r="A477">
            <v>51421</v>
          </cell>
        </row>
        <row r="478">
          <cell r="A478">
            <v>51442</v>
          </cell>
        </row>
        <row r="479">
          <cell r="A479">
            <v>51455</v>
          </cell>
        </row>
        <row r="480">
          <cell r="A480">
            <v>51495</v>
          </cell>
        </row>
        <row r="481">
          <cell r="A481">
            <v>51502</v>
          </cell>
        </row>
        <row r="482">
          <cell r="A482">
            <v>51564</v>
          </cell>
        </row>
        <row r="483">
          <cell r="A483">
            <v>51565</v>
          </cell>
        </row>
        <row r="484">
          <cell r="A484">
            <v>51610</v>
          </cell>
        </row>
        <row r="485">
          <cell r="A485">
            <v>51612</v>
          </cell>
        </row>
        <row r="486">
          <cell r="A486">
            <v>51622</v>
          </cell>
        </row>
        <row r="487">
          <cell r="A487">
            <v>51672</v>
          </cell>
        </row>
        <row r="488">
          <cell r="A488">
            <v>51751</v>
          </cell>
        </row>
        <row r="489">
          <cell r="A489">
            <v>51786</v>
          </cell>
        </row>
        <row r="490">
          <cell r="A490">
            <v>51807</v>
          </cell>
        </row>
        <row r="491">
          <cell r="A491">
            <v>51820</v>
          </cell>
        </row>
        <row r="492">
          <cell r="A492">
            <v>51860</v>
          </cell>
        </row>
        <row r="493">
          <cell r="A493">
            <v>51867</v>
          </cell>
        </row>
        <row r="494">
          <cell r="A494">
            <v>51914</v>
          </cell>
        </row>
        <row r="495">
          <cell r="A495">
            <v>51915</v>
          </cell>
        </row>
        <row r="496">
          <cell r="A496">
            <v>51960</v>
          </cell>
        </row>
        <row r="497">
          <cell r="A497">
            <v>51977</v>
          </cell>
        </row>
        <row r="498">
          <cell r="A498">
            <v>51987</v>
          </cell>
        </row>
        <row r="499">
          <cell r="A499">
            <v>52022</v>
          </cell>
        </row>
        <row r="500">
          <cell r="A500">
            <v>52116</v>
          </cell>
        </row>
        <row r="501">
          <cell r="A501">
            <v>52151</v>
          </cell>
        </row>
        <row r="502">
          <cell r="A502">
            <v>52172</v>
          </cell>
        </row>
        <row r="503">
          <cell r="A503">
            <v>52185</v>
          </cell>
        </row>
        <row r="504">
          <cell r="A504">
            <v>52225</v>
          </cell>
        </row>
        <row r="505">
          <cell r="A505">
            <v>52232</v>
          </cell>
        </row>
        <row r="506">
          <cell r="A506">
            <v>52271</v>
          </cell>
        </row>
        <row r="507">
          <cell r="A507">
            <v>52272</v>
          </cell>
        </row>
        <row r="508">
          <cell r="A508">
            <v>52317</v>
          </cell>
        </row>
        <row r="509">
          <cell r="A509">
            <v>52342</v>
          </cell>
        </row>
        <row r="510">
          <cell r="A510">
            <v>52352</v>
          </cell>
        </row>
        <row r="511">
          <cell r="A511">
            <v>52379</v>
          </cell>
        </row>
        <row r="512">
          <cell r="A512">
            <v>52481</v>
          </cell>
        </row>
        <row r="513">
          <cell r="A513">
            <v>52516</v>
          </cell>
        </row>
        <row r="514">
          <cell r="A514">
            <v>52537</v>
          </cell>
        </row>
        <row r="515">
          <cell r="A515">
            <v>52550</v>
          </cell>
        </row>
        <row r="516">
          <cell r="A516">
            <v>52590</v>
          </cell>
        </row>
        <row r="517">
          <cell r="A517">
            <v>52597</v>
          </cell>
        </row>
        <row r="518">
          <cell r="A518">
            <v>52656</v>
          </cell>
        </row>
        <row r="519">
          <cell r="A519">
            <v>52657</v>
          </cell>
        </row>
        <row r="520">
          <cell r="A520">
            <v>52702</v>
          </cell>
        </row>
        <row r="521">
          <cell r="A521">
            <v>52708</v>
          </cell>
        </row>
        <row r="522">
          <cell r="A522">
            <v>52718</v>
          </cell>
        </row>
        <row r="523">
          <cell r="A523">
            <v>52764</v>
          </cell>
        </row>
        <row r="524">
          <cell r="A524">
            <v>52847</v>
          </cell>
        </row>
        <row r="525">
          <cell r="A525">
            <v>52882</v>
          </cell>
        </row>
        <row r="526">
          <cell r="A526">
            <v>52903</v>
          </cell>
        </row>
        <row r="527">
          <cell r="A527">
            <v>52916</v>
          </cell>
        </row>
        <row r="528">
          <cell r="A528">
            <v>52956</v>
          </cell>
        </row>
        <row r="529">
          <cell r="A529">
            <v>52963</v>
          </cell>
        </row>
        <row r="530">
          <cell r="A530">
            <v>53013</v>
          </cell>
        </row>
        <row r="531">
          <cell r="A531">
            <v>53014</v>
          </cell>
        </row>
        <row r="532">
          <cell r="A532">
            <v>53059</v>
          </cell>
        </row>
        <row r="533">
          <cell r="A533">
            <v>53073</v>
          </cell>
        </row>
        <row r="534">
          <cell r="A534">
            <v>53083</v>
          </cell>
        </row>
        <row r="535">
          <cell r="A535">
            <v>53121</v>
          </cell>
        </row>
        <row r="536">
          <cell r="A536">
            <v>53212</v>
          </cell>
        </row>
        <row r="537">
          <cell r="A537">
            <v>53247</v>
          </cell>
        </row>
        <row r="538">
          <cell r="A538">
            <v>53268</v>
          </cell>
        </row>
        <row r="539">
          <cell r="A539">
            <v>53281</v>
          </cell>
        </row>
        <row r="540">
          <cell r="A540">
            <v>53321</v>
          </cell>
        </row>
        <row r="541">
          <cell r="A541">
            <v>53328</v>
          </cell>
        </row>
        <row r="542">
          <cell r="A542">
            <v>53363</v>
          </cell>
        </row>
        <row r="543">
          <cell r="A543">
            <v>53364</v>
          </cell>
        </row>
        <row r="544">
          <cell r="A544">
            <v>53409</v>
          </cell>
        </row>
        <row r="545">
          <cell r="A545">
            <v>53438</v>
          </cell>
        </row>
        <row r="546">
          <cell r="A546">
            <v>53448</v>
          </cell>
        </row>
        <row r="547">
          <cell r="A547">
            <v>53471</v>
          </cell>
        </row>
        <row r="548">
          <cell r="A548">
            <v>53577</v>
          </cell>
        </row>
        <row r="549">
          <cell r="A549">
            <v>53612</v>
          </cell>
        </row>
        <row r="550">
          <cell r="A550">
            <v>53633</v>
          </cell>
        </row>
        <row r="551">
          <cell r="A551">
            <v>53646</v>
          </cell>
        </row>
        <row r="552">
          <cell r="A552">
            <v>53686</v>
          </cell>
        </row>
        <row r="553">
          <cell r="A553">
            <v>53693</v>
          </cell>
        </row>
        <row r="554">
          <cell r="A554">
            <v>53748</v>
          </cell>
        </row>
        <row r="555">
          <cell r="A555">
            <v>53749</v>
          </cell>
        </row>
        <row r="556">
          <cell r="A556">
            <v>53794</v>
          </cell>
        </row>
        <row r="557">
          <cell r="A557">
            <v>53803</v>
          </cell>
        </row>
        <row r="558">
          <cell r="A558">
            <v>53813</v>
          </cell>
        </row>
        <row r="559">
          <cell r="A559">
            <v>53856</v>
          </cell>
        </row>
        <row r="560">
          <cell r="A560">
            <v>53942</v>
          </cell>
        </row>
        <row r="561">
          <cell r="A561">
            <v>53977</v>
          </cell>
        </row>
        <row r="562">
          <cell r="A562">
            <v>53998</v>
          </cell>
        </row>
        <row r="563">
          <cell r="A563">
            <v>54011</v>
          </cell>
        </row>
        <row r="564">
          <cell r="A564">
            <v>54051</v>
          </cell>
        </row>
        <row r="565">
          <cell r="A565">
            <v>54058</v>
          </cell>
        </row>
        <row r="566">
          <cell r="A566">
            <v>54105</v>
          </cell>
        </row>
        <row r="567">
          <cell r="A567">
            <v>54106</v>
          </cell>
        </row>
        <row r="568">
          <cell r="A568">
            <v>54151</v>
          </cell>
        </row>
        <row r="569">
          <cell r="A569">
            <v>54169</v>
          </cell>
        </row>
        <row r="570">
          <cell r="A570">
            <v>54179</v>
          </cell>
        </row>
        <row r="571">
          <cell r="A571">
            <v>54213</v>
          </cell>
        </row>
        <row r="572">
          <cell r="A572">
            <v>54308</v>
          </cell>
        </row>
        <row r="573">
          <cell r="A573">
            <v>54343</v>
          </cell>
        </row>
        <row r="574">
          <cell r="A574">
            <v>54364</v>
          </cell>
        </row>
        <row r="575">
          <cell r="A575">
            <v>54377</v>
          </cell>
        </row>
        <row r="576">
          <cell r="A576">
            <v>54417</v>
          </cell>
        </row>
        <row r="577">
          <cell r="A577">
            <v>54424</v>
          </cell>
        </row>
        <row r="578">
          <cell r="A578">
            <v>54483</v>
          </cell>
        </row>
        <row r="579">
          <cell r="A579">
            <v>54484</v>
          </cell>
        </row>
        <row r="580">
          <cell r="A580">
            <v>54529</v>
          </cell>
        </row>
        <row r="581">
          <cell r="A581">
            <v>54534</v>
          </cell>
        </row>
        <row r="582">
          <cell r="A582">
            <v>54544</v>
          </cell>
        </row>
        <row r="583">
          <cell r="A583">
            <v>54591</v>
          </cell>
        </row>
        <row r="584">
          <cell r="A584">
            <v>54673</v>
          </cell>
        </row>
        <row r="585">
          <cell r="A585">
            <v>54708</v>
          </cell>
        </row>
        <row r="586">
          <cell r="A586">
            <v>54729</v>
          </cell>
        </row>
        <row r="587">
          <cell r="A587">
            <v>54742</v>
          </cell>
        </row>
        <row r="588">
          <cell r="A588">
            <v>54782</v>
          </cell>
        </row>
        <row r="589">
          <cell r="A589">
            <v>54789</v>
          </cell>
        </row>
        <row r="590">
          <cell r="A590">
            <v>54840</v>
          </cell>
        </row>
        <row r="591">
          <cell r="A591">
            <v>54841</v>
          </cell>
        </row>
        <row r="592">
          <cell r="A592">
            <v>54886</v>
          </cell>
        </row>
        <row r="593">
          <cell r="A593">
            <v>54899</v>
          </cell>
        </row>
        <row r="594">
          <cell r="A594">
            <v>54909</v>
          </cell>
        </row>
        <row r="595">
          <cell r="A595">
            <v>54948</v>
          </cell>
        </row>
        <row r="596">
          <cell r="A596">
            <v>55038</v>
          </cell>
        </row>
        <row r="597">
          <cell r="A597">
            <v>55073</v>
          </cell>
        </row>
        <row r="598">
          <cell r="A598">
            <v>55094</v>
          </cell>
        </row>
        <row r="599">
          <cell r="A599">
            <v>55107</v>
          </cell>
        </row>
        <row r="600">
          <cell r="A600">
            <v>55147</v>
          </cell>
        </row>
        <row r="601">
          <cell r="A601">
            <v>55154</v>
          </cell>
        </row>
        <row r="602">
          <cell r="A602">
            <v>55197</v>
          </cell>
        </row>
        <row r="603">
          <cell r="A603">
            <v>55198</v>
          </cell>
        </row>
        <row r="604">
          <cell r="A604">
            <v>55243</v>
          </cell>
        </row>
        <row r="605">
          <cell r="A605">
            <v>55264</v>
          </cell>
        </row>
        <row r="606">
          <cell r="A606">
            <v>55274</v>
          </cell>
        </row>
        <row r="607">
          <cell r="A607">
            <v>55305</v>
          </cell>
        </row>
        <row r="608">
          <cell r="A608">
            <v>55403</v>
          </cell>
        </row>
        <row r="609">
          <cell r="A609">
            <v>55438</v>
          </cell>
        </row>
        <row r="610">
          <cell r="A610">
            <v>55459</v>
          </cell>
        </row>
        <row r="611">
          <cell r="A611">
            <v>55472</v>
          </cell>
        </row>
        <row r="612">
          <cell r="A612">
            <v>55512</v>
          </cell>
        </row>
        <row r="613">
          <cell r="A613">
            <v>55519</v>
          </cell>
        </row>
        <row r="614">
          <cell r="A614">
            <v>55582</v>
          </cell>
        </row>
        <row r="615">
          <cell r="A615">
            <v>55583</v>
          </cell>
        </row>
        <row r="616">
          <cell r="A616">
            <v>55628</v>
          </cell>
        </row>
        <row r="617">
          <cell r="A617">
            <v>55630</v>
          </cell>
        </row>
        <row r="618">
          <cell r="A618">
            <v>55640</v>
          </cell>
        </row>
        <row r="619">
          <cell r="A619">
            <v>55690</v>
          </cell>
        </row>
        <row r="620">
          <cell r="A620">
            <v>55769</v>
          </cell>
        </row>
        <row r="621">
          <cell r="A621">
            <v>55804</v>
          </cell>
        </row>
        <row r="622">
          <cell r="A622">
            <v>55825</v>
          </cell>
        </row>
        <row r="623">
          <cell r="A623">
            <v>55838</v>
          </cell>
        </row>
        <row r="624">
          <cell r="A624">
            <v>55878</v>
          </cell>
        </row>
        <row r="625">
          <cell r="A625">
            <v>55885</v>
          </cell>
        </row>
        <row r="626">
          <cell r="A626">
            <v>55932</v>
          </cell>
        </row>
        <row r="627">
          <cell r="A627">
            <v>55933</v>
          </cell>
        </row>
        <row r="628">
          <cell r="A628">
            <v>55978</v>
          </cell>
        </row>
        <row r="629">
          <cell r="A629">
            <v>55995</v>
          </cell>
        </row>
        <row r="630">
          <cell r="A630">
            <v>56005</v>
          </cell>
        </row>
        <row r="631">
          <cell r="A631">
            <v>56040</v>
          </cell>
        </row>
        <row r="632">
          <cell r="A632">
            <v>56134</v>
          </cell>
        </row>
        <row r="633">
          <cell r="A633">
            <v>56169</v>
          </cell>
        </row>
        <row r="634">
          <cell r="A634">
            <v>56190</v>
          </cell>
        </row>
        <row r="635">
          <cell r="A635">
            <v>56203</v>
          </cell>
        </row>
        <row r="636">
          <cell r="A636">
            <v>56243</v>
          </cell>
        </row>
        <row r="637">
          <cell r="A637">
            <v>56250</v>
          </cell>
        </row>
        <row r="638">
          <cell r="A638">
            <v>56289</v>
          </cell>
        </row>
        <row r="639">
          <cell r="A639">
            <v>56290</v>
          </cell>
        </row>
        <row r="640">
          <cell r="A640">
            <v>56335</v>
          </cell>
        </row>
        <row r="641">
          <cell r="A641">
            <v>56360</v>
          </cell>
        </row>
        <row r="642">
          <cell r="A642">
            <v>56370</v>
          </cell>
        </row>
        <row r="643">
          <cell r="A643">
            <v>56397</v>
          </cell>
        </row>
        <row r="644">
          <cell r="A644">
            <v>56499</v>
          </cell>
        </row>
        <row r="645">
          <cell r="A645">
            <v>56534</v>
          </cell>
        </row>
        <row r="646">
          <cell r="A646">
            <v>56555</v>
          </cell>
        </row>
        <row r="647">
          <cell r="A647">
            <v>56568</v>
          </cell>
        </row>
        <row r="648">
          <cell r="A648">
            <v>56608</v>
          </cell>
        </row>
        <row r="649">
          <cell r="A649">
            <v>56615</v>
          </cell>
        </row>
        <row r="650">
          <cell r="A650">
            <v>56674</v>
          </cell>
        </row>
        <row r="651">
          <cell r="A651">
            <v>56675</v>
          </cell>
        </row>
        <row r="652">
          <cell r="A652">
            <v>56720</v>
          </cell>
        </row>
        <row r="653">
          <cell r="A653">
            <v>56725</v>
          </cell>
        </row>
        <row r="654">
          <cell r="A654">
            <v>56735</v>
          </cell>
        </row>
        <row r="655">
          <cell r="A655">
            <v>56782</v>
          </cell>
        </row>
        <row r="656">
          <cell r="A656">
            <v>56864</v>
          </cell>
        </row>
        <row r="657">
          <cell r="A657">
            <v>56899</v>
          </cell>
        </row>
        <row r="658">
          <cell r="A658">
            <v>56920</v>
          </cell>
        </row>
        <row r="659">
          <cell r="A659">
            <v>56933</v>
          </cell>
        </row>
        <row r="660">
          <cell r="A660">
            <v>56973</v>
          </cell>
        </row>
        <row r="661">
          <cell r="A661">
            <v>56980</v>
          </cell>
        </row>
        <row r="662">
          <cell r="A662">
            <v>57024</v>
          </cell>
        </row>
        <row r="663">
          <cell r="A663">
            <v>57025</v>
          </cell>
        </row>
        <row r="664">
          <cell r="A664">
            <v>57070</v>
          </cell>
        </row>
        <row r="665">
          <cell r="A665">
            <v>57091</v>
          </cell>
        </row>
        <row r="666">
          <cell r="A666">
            <v>57101</v>
          </cell>
        </row>
        <row r="667">
          <cell r="A667">
            <v>57132</v>
          </cell>
        </row>
        <row r="668">
          <cell r="A668">
            <v>57230</v>
          </cell>
        </row>
        <row r="669">
          <cell r="A669">
            <v>57265</v>
          </cell>
        </row>
        <row r="670">
          <cell r="A670">
            <v>57286</v>
          </cell>
        </row>
        <row r="671">
          <cell r="A671">
            <v>57299</v>
          </cell>
        </row>
        <row r="672">
          <cell r="A672">
            <v>57339</v>
          </cell>
        </row>
        <row r="673">
          <cell r="A673">
            <v>57346</v>
          </cell>
        </row>
        <row r="674">
          <cell r="A674">
            <v>57409</v>
          </cell>
        </row>
        <row r="675">
          <cell r="A675">
            <v>57410</v>
          </cell>
        </row>
        <row r="676">
          <cell r="A676">
            <v>57455</v>
          </cell>
        </row>
        <row r="677">
          <cell r="A677">
            <v>57456</v>
          </cell>
        </row>
        <row r="678">
          <cell r="A678">
            <v>57466</v>
          </cell>
        </row>
        <row r="679">
          <cell r="A679">
            <v>57517</v>
          </cell>
        </row>
        <row r="680">
          <cell r="A680">
            <v>57595</v>
          </cell>
        </row>
        <row r="681">
          <cell r="A681">
            <v>57630</v>
          </cell>
        </row>
        <row r="682">
          <cell r="A682">
            <v>57651</v>
          </cell>
        </row>
        <row r="683">
          <cell r="A683">
            <v>57664</v>
          </cell>
        </row>
        <row r="684">
          <cell r="A684">
            <v>57704</v>
          </cell>
        </row>
        <row r="685">
          <cell r="A685">
            <v>57711</v>
          </cell>
        </row>
        <row r="686">
          <cell r="A686">
            <v>57766</v>
          </cell>
        </row>
        <row r="687">
          <cell r="A687">
            <v>57767</v>
          </cell>
        </row>
        <row r="688">
          <cell r="A688">
            <v>57812</v>
          </cell>
        </row>
        <row r="689">
          <cell r="A689">
            <v>57821</v>
          </cell>
        </row>
        <row r="690">
          <cell r="A690">
            <v>57831</v>
          </cell>
        </row>
        <row r="691">
          <cell r="A691">
            <v>57874</v>
          </cell>
        </row>
        <row r="692">
          <cell r="A692">
            <v>57960</v>
          </cell>
        </row>
        <row r="693">
          <cell r="A693">
            <v>57995</v>
          </cell>
        </row>
        <row r="694">
          <cell r="A694">
            <v>58016</v>
          </cell>
        </row>
        <row r="695">
          <cell r="A695">
            <v>58029</v>
          </cell>
        </row>
        <row r="696">
          <cell r="A696">
            <v>58069</v>
          </cell>
        </row>
        <row r="697">
          <cell r="A697">
            <v>58076</v>
          </cell>
        </row>
        <row r="698">
          <cell r="A698">
            <v>58116</v>
          </cell>
        </row>
        <row r="699">
          <cell r="A699">
            <v>58117</v>
          </cell>
        </row>
        <row r="700">
          <cell r="A700">
            <v>58162</v>
          </cell>
        </row>
        <row r="701">
          <cell r="A701">
            <v>58186</v>
          </cell>
        </row>
        <row r="702">
          <cell r="A702">
            <v>58196</v>
          </cell>
        </row>
        <row r="703">
          <cell r="A703">
            <v>58224</v>
          </cell>
        </row>
        <row r="704">
          <cell r="A704">
            <v>58325</v>
          </cell>
        </row>
        <row r="705">
          <cell r="A705">
            <v>58360</v>
          </cell>
        </row>
        <row r="706">
          <cell r="A706">
            <v>58381</v>
          </cell>
        </row>
        <row r="707">
          <cell r="A707">
            <v>58394</v>
          </cell>
        </row>
        <row r="708">
          <cell r="A708">
            <v>58434</v>
          </cell>
        </row>
        <row r="709">
          <cell r="A709">
            <v>58441</v>
          </cell>
        </row>
        <row r="710">
          <cell r="A710">
            <v>58501</v>
          </cell>
        </row>
        <row r="711">
          <cell r="A711">
            <v>58502</v>
          </cell>
        </row>
        <row r="712">
          <cell r="A712">
            <v>58547</v>
          </cell>
        </row>
        <row r="713">
          <cell r="A713">
            <v>58552</v>
          </cell>
        </row>
        <row r="714">
          <cell r="A714">
            <v>58562</v>
          </cell>
        </row>
        <row r="715">
          <cell r="A715">
            <v>58609</v>
          </cell>
        </row>
        <row r="716">
          <cell r="A716">
            <v>58691</v>
          </cell>
        </row>
        <row r="717">
          <cell r="A717">
            <v>58726</v>
          </cell>
        </row>
        <row r="718">
          <cell r="A718">
            <v>58747</v>
          </cell>
        </row>
        <row r="719">
          <cell r="A719">
            <v>58760</v>
          </cell>
        </row>
        <row r="720">
          <cell r="A720">
            <v>58800</v>
          </cell>
        </row>
        <row r="721">
          <cell r="A721">
            <v>58807</v>
          </cell>
        </row>
        <row r="722">
          <cell r="A722">
            <v>58858</v>
          </cell>
        </row>
        <row r="723">
          <cell r="A723">
            <v>58859</v>
          </cell>
        </row>
        <row r="724">
          <cell r="A724">
            <v>58904</v>
          </cell>
        </row>
        <row r="725">
          <cell r="A725">
            <v>58917</v>
          </cell>
        </row>
        <row r="726">
          <cell r="A726">
            <v>58927</v>
          </cell>
        </row>
        <row r="727">
          <cell r="A727">
            <v>58966</v>
          </cell>
        </row>
        <row r="728">
          <cell r="A728">
            <v>59056</v>
          </cell>
        </row>
        <row r="729">
          <cell r="A729">
            <v>59091</v>
          </cell>
        </row>
        <row r="730">
          <cell r="A730">
            <v>59112</v>
          </cell>
        </row>
        <row r="731">
          <cell r="A731">
            <v>59125</v>
          </cell>
        </row>
        <row r="732">
          <cell r="A732">
            <v>59165</v>
          </cell>
        </row>
        <row r="733">
          <cell r="A733">
            <v>59172</v>
          </cell>
        </row>
        <row r="734">
          <cell r="A734">
            <v>59208</v>
          </cell>
        </row>
        <row r="735">
          <cell r="A735">
            <v>59209</v>
          </cell>
        </row>
        <row r="736">
          <cell r="A736">
            <v>59254</v>
          </cell>
        </row>
        <row r="737">
          <cell r="A737">
            <v>59282</v>
          </cell>
        </row>
        <row r="738">
          <cell r="A738">
            <v>59292</v>
          </cell>
        </row>
        <row r="739">
          <cell r="A739">
            <v>59316</v>
          </cell>
        </row>
        <row r="740">
          <cell r="A740">
            <v>59421</v>
          </cell>
        </row>
        <row r="741">
          <cell r="A741">
            <v>59456</v>
          </cell>
        </row>
        <row r="742">
          <cell r="A742">
            <v>59477</v>
          </cell>
        </row>
        <row r="743">
          <cell r="A743">
            <v>59490</v>
          </cell>
        </row>
        <row r="744">
          <cell r="A744">
            <v>59530</v>
          </cell>
        </row>
        <row r="745">
          <cell r="A745">
            <v>59537</v>
          </cell>
        </row>
        <row r="746">
          <cell r="A746">
            <v>59593</v>
          </cell>
        </row>
        <row r="747">
          <cell r="A747">
            <v>59594</v>
          </cell>
        </row>
        <row r="748">
          <cell r="A748">
            <v>59639</v>
          </cell>
        </row>
        <row r="749">
          <cell r="A749">
            <v>59647</v>
          </cell>
        </row>
        <row r="750">
          <cell r="A750">
            <v>59657</v>
          </cell>
        </row>
        <row r="751">
          <cell r="A751">
            <v>59701</v>
          </cell>
        </row>
        <row r="752">
          <cell r="A752">
            <v>59786</v>
          </cell>
        </row>
        <row r="753">
          <cell r="A753">
            <v>59821</v>
          </cell>
        </row>
        <row r="754">
          <cell r="A754">
            <v>59842</v>
          </cell>
        </row>
        <row r="755">
          <cell r="A755">
            <v>59855</v>
          </cell>
        </row>
        <row r="756">
          <cell r="A756">
            <v>59895</v>
          </cell>
        </row>
        <row r="757">
          <cell r="A757">
            <v>59902</v>
          </cell>
        </row>
        <row r="758">
          <cell r="A758">
            <v>59950</v>
          </cell>
        </row>
        <row r="759">
          <cell r="A759">
            <v>59951</v>
          </cell>
        </row>
        <row r="760">
          <cell r="A760">
            <v>59996</v>
          </cell>
        </row>
        <row r="761">
          <cell r="A761">
            <v>60013</v>
          </cell>
        </row>
        <row r="762">
          <cell r="A762">
            <v>60023</v>
          </cell>
        </row>
        <row r="763">
          <cell r="A763">
            <v>60058</v>
          </cell>
        </row>
        <row r="764">
          <cell r="A764">
            <v>60152</v>
          </cell>
        </row>
        <row r="765">
          <cell r="A765">
            <v>60187</v>
          </cell>
        </row>
        <row r="766">
          <cell r="A766">
            <v>60208</v>
          </cell>
        </row>
        <row r="767">
          <cell r="A767">
            <v>60221</v>
          </cell>
        </row>
        <row r="768">
          <cell r="A768">
            <v>60261</v>
          </cell>
        </row>
        <row r="769">
          <cell r="A769">
            <v>60268</v>
          </cell>
        </row>
        <row r="770">
          <cell r="A770">
            <v>60307</v>
          </cell>
        </row>
        <row r="771">
          <cell r="A771">
            <v>60308</v>
          </cell>
        </row>
        <row r="772">
          <cell r="A772">
            <v>60353</v>
          </cell>
        </row>
        <row r="773">
          <cell r="A773">
            <v>60378</v>
          </cell>
        </row>
        <row r="774">
          <cell r="A774">
            <v>60388</v>
          </cell>
        </row>
        <row r="775">
          <cell r="A775">
            <v>60415</v>
          </cell>
        </row>
        <row r="776">
          <cell r="A776">
            <v>60517</v>
          </cell>
        </row>
        <row r="777">
          <cell r="A777">
            <v>60552</v>
          </cell>
        </row>
        <row r="778">
          <cell r="A778">
            <v>60573</v>
          </cell>
        </row>
        <row r="779">
          <cell r="A779">
            <v>60586</v>
          </cell>
        </row>
        <row r="780">
          <cell r="A780">
            <v>60626</v>
          </cell>
        </row>
        <row r="781">
          <cell r="A781">
            <v>60633</v>
          </cell>
        </row>
        <row r="782">
          <cell r="A782">
            <v>60685</v>
          </cell>
        </row>
        <row r="783">
          <cell r="A783">
            <v>60686</v>
          </cell>
        </row>
        <row r="784">
          <cell r="A784">
            <v>60731</v>
          </cell>
        </row>
        <row r="785">
          <cell r="A785">
            <v>60743</v>
          </cell>
        </row>
        <row r="786">
          <cell r="A786">
            <v>60753</v>
          </cell>
        </row>
        <row r="787">
          <cell r="A787">
            <v>60793</v>
          </cell>
        </row>
        <row r="788">
          <cell r="A788">
            <v>60882</v>
          </cell>
        </row>
        <row r="789">
          <cell r="A789">
            <v>60917</v>
          </cell>
        </row>
        <row r="790">
          <cell r="A790">
            <v>60938</v>
          </cell>
        </row>
        <row r="791">
          <cell r="A791">
            <v>60951</v>
          </cell>
        </row>
        <row r="792">
          <cell r="A792">
            <v>60991</v>
          </cell>
        </row>
        <row r="793">
          <cell r="A793">
            <v>60998</v>
          </cell>
        </row>
        <row r="794">
          <cell r="A794">
            <v>61042</v>
          </cell>
        </row>
        <row r="795">
          <cell r="A795">
            <v>61043</v>
          </cell>
        </row>
        <row r="796">
          <cell r="A796">
            <v>61088</v>
          </cell>
        </row>
        <row r="797">
          <cell r="A797">
            <v>61108</v>
          </cell>
        </row>
        <row r="798">
          <cell r="A798">
            <v>61118</v>
          </cell>
        </row>
        <row r="799">
          <cell r="A799">
            <v>61150</v>
          </cell>
        </row>
        <row r="800">
          <cell r="A800">
            <v>61247</v>
          </cell>
        </row>
        <row r="801">
          <cell r="A801">
            <v>61282</v>
          </cell>
        </row>
        <row r="802">
          <cell r="A802">
            <v>61303</v>
          </cell>
        </row>
        <row r="803">
          <cell r="A803">
            <v>61316</v>
          </cell>
        </row>
        <row r="804">
          <cell r="A804">
            <v>61356</v>
          </cell>
        </row>
        <row r="805">
          <cell r="A805">
            <v>61363</v>
          </cell>
        </row>
        <row r="806">
          <cell r="A806">
            <v>61427</v>
          </cell>
        </row>
        <row r="807">
          <cell r="A807">
            <v>61428</v>
          </cell>
        </row>
        <row r="808">
          <cell r="A808">
            <v>61473</v>
          </cell>
        </row>
        <row r="809">
          <cell r="A809">
            <v>61474</v>
          </cell>
        </row>
        <row r="810">
          <cell r="A810">
            <v>61484</v>
          </cell>
        </row>
        <row r="811">
          <cell r="A811">
            <v>61535</v>
          </cell>
        </row>
        <row r="812">
          <cell r="A812">
            <v>61613</v>
          </cell>
        </row>
        <row r="813">
          <cell r="A813">
            <v>61648</v>
          </cell>
        </row>
        <row r="814">
          <cell r="A814">
            <v>61669</v>
          </cell>
        </row>
        <row r="815">
          <cell r="A815">
            <v>61682</v>
          </cell>
        </row>
        <row r="816">
          <cell r="A816">
            <v>61722</v>
          </cell>
        </row>
        <row r="817">
          <cell r="A817">
            <v>61729</v>
          </cell>
        </row>
        <row r="818">
          <cell r="A818">
            <v>61784</v>
          </cell>
        </row>
        <row r="819">
          <cell r="A819">
            <v>61785</v>
          </cell>
        </row>
        <row r="820">
          <cell r="A820">
            <v>61830</v>
          </cell>
        </row>
        <row r="821">
          <cell r="A821">
            <v>61839</v>
          </cell>
        </row>
        <row r="822">
          <cell r="A822">
            <v>61849</v>
          </cell>
        </row>
        <row r="823">
          <cell r="A823">
            <v>61892</v>
          </cell>
        </row>
        <row r="824">
          <cell r="A824">
            <v>61978</v>
          </cell>
        </row>
        <row r="825">
          <cell r="A825">
            <v>62013</v>
          </cell>
        </row>
        <row r="826">
          <cell r="A826">
            <v>62034</v>
          </cell>
        </row>
        <row r="827">
          <cell r="A827">
            <v>62047</v>
          </cell>
        </row>
        <row r="828">
          <cell r="A828">
            <v>62087</v>
          </cell>
        </row>
        <row r="829">
          <cell r="A829">
            <v>62094</v>
          </cell>
        </row>
        <row r="830">
          <cell r="A830">
            <v>62134</v>
          </cell>
        </row>
        <row r="831">
          <cell r="A831">
            <v>62135</v>
          </cell>
        </row>
        <row r="832">
          <cell r="A832">
            <v>62180</v>
          </cell>
        </row>
        <row r="833">
          <cell r="A833">
            <v>62204</v>
          </cell>
        </row>
        <row r="834">
          <cell r="A834">
            <v>62214</v>
          </cell>
        </row>
        <row r="835">
          <cell r="A835">
            <v>62242</v>
          </cell>
        </row>
        <row r="836">
          <cell r="A836">
            <v>62343</v>
          </cell>
        </row>
        <row r="837">
          <cell r="A837">
            <v>62378</v>
          </cell>
        </row>
        <row r="838">
          <cell r="A838">
            <v>62399</v>
          </cell>
        </row>
        <row r="839">
          <cell r="A839">
            <v>62412</v>
          </cell>
        </row>
        <row r="840">
          <cell r="A840">
            <v>62452</v>
          </cell>
        </row>
        <row r="841">
          <cell r="A841">
            <v>62459</v>
          </cell>
        </row>
        <row r="842">
          <cell r="A842">
            <v>62519</v>
          </cell>
        </row>
        <row r="843">
          <cell r="A843">
            <v>62520</v>
          </cell>
        </row>
        <row r="844">
          <cell r="A844">
            <v>62565</v>
          </cell>
        </row>
        <row r="845">
          <cell r="A845">
            <v>62569</v>
          </cell>
        </row>
        <row r="846">
          <cell r="A846">
            <v>62579</v>
          </cell>
        </row>
        <row r="847">
          <cell r="A847">
            <v>62627</v>
          </cell>
        </row>
        <row r="848">
          <cell r="A848">
            <v>62708</v>
          </cell>
        </row>
        <row r="849">
          <cell r="A849">
            <v>62743</v>
          </cell>
        </row>
        <row r="850">
          <cell r="A850">
            <v>62764</v>
          </cell>
        </row>
        <row r="851">
          <cell r="A851">
            <v>62777</v>
          </cell>
        </row>
        <row r="852">
          <cell r="A852">
            <v>62817</v>
          </cell>
        </row>
        <row r="853">
          <cell r="A853">
            <v>62824</v>
          </cell>
        </row>
        <row r="854">
          <cell r="A854">
            <v>62876</v>
          </cell>
        </row>
        <row r="855">
          <cell r="A855">
            <v>62877</v>
          </cell>
        </row>
        <row r="856">
          <cell r="A856">
            <v>62922</v>
          </cell>
        </row>
        <row r="857">
          <cell r="A857">
            <v>62935</v>
          </cell>
        </row>
        <row r="858">
          <cell r="A858">
            <v>62945</v>
          </cell>
        </row>
        <row r="859">
          <cell r="A859">
            <v>62984</v>
          </cell>
        </row>
        <row r="860">
          <cell r="A860">
            <v>63074</v>
          </cell>
        </row>
        <row r="861">
          <cell r="A861">
            <v>63109</v>
          </cell>
        </row>
        <row r="862">
          <cell r="A862">
            <v>63130</v>
          </cell>
        </row>
        <row r="863">
          <cell r="A863">
            <v>63143</v>
          </cell>
        </row>
        <row r="864">
          <cell r="A864">
            <v>63183</v>
          </cell>
        </row>
        <row r="865">
          <cell r="A865">
            <v>63190</v>
          </cell>
        </row>
        <row r="866">
          <cell r="A866">
            <v>63226</v>
          </cell>
        </row>
        <row r="867">
          <cell r="A867">
            <v>63227</v>
          </cell>
        </row>
        <row r="868">
          <cell r="A868">
            <v>63272</v>
          </cell>
        </row>
        <row r="869">
          <cell r="A869">
            <v>63300</v>
          </cell>
        </row>
        <row r="870">
          <cell r="A870">
            <v>63310</v>
          </cell>
        </row>
        <row r="871">
          <cell r="A871">
            <v>63334</v>
          </cell>
        </row>
        <row r="872">
          <cell r="A872">
            <v>63439</v>
          </cell>
        </row>
        <row r="873">
          <cell r="A873">
            <v>63474</v>
          </cell>
        </row>
        <row r="874">
          <cell r="A874">
            <v>63495</v>
          </cell>
        </row>
        <row r="875">
          <cell r="A875">
            <v>63508</v>
          </cell>
        </row>
        <row r="876">
          <cell r="A876">
            <v>63548</v>
          </cell>
        </row>
        <row r="877">
          <cell r="A877">
            <v>63555</v>
          </cell>
        </row>
        <row r="878">
          <cell r="A878">
            <v>63611</v>
          </cell>
        </row>
        <row r="879">
          <cell r="A879">
            <v>63612</v>
          </cell>
        </row>
        <row r="880">
          <cell r="A880">
            <v>63657</v>
          </cell>
        </row>
        <row r="881">
          <cell r="A881">
            <v>63665</v>
          </cell>
        </row>
        <row r="882">
          <cell r="A882">
            <v>63675</v>
          </cell>
        </row>
        <row r="883">
          <cell r="A883">
            <v>63719</v>
          </cell>
        </row>
        <row r="884">
          <cell r="A884">
            <v>63804</v>
          </cell>
        </row>
        <row r="885">
          <cell r="A885">
            <v>63839</v>
          </cell>
        </row>
        <row r="886">
          <cell r="A886">
            <v>63860</v>
          </cell>
        </row>
        <row r="887">
          <cell r="A887">
            <v>63873</v>
          </cell>
        </row>
        <row r="888">
          <cell r="A888">
            <v>63913</v>
          </cell>
        </row>
        <row r="889">
          <cell r="A889">
            <v>63920</v>
          </cell>
        </row>
        <row r="890">
          <cell r="A890">
            <v>63968</v>
          </cell>
        </row>
        <row r="891">
          <cell r="A891">
            <v>63969</v>
          </cell>
        </row>
        <row r="892">
          <cell r="A892">
            <v>64014</v>
          </cell>
        </row>
        <row r="893">
          <cell r="A893">
            <v>64030</v>
          </cell>
        </row>
        <row r="894">
          <cell r="A894">
            <v>64040</v>
          </cell>
        </row>
        <row r="895">
          <cell r="A895">
            <v>64076</v>
          </cell>
        </row>
        <row r="896">
          <cell r="A896">
            <v>64169</v>
          </cell>
        </row>
        <row r="897">
          <cell r="A897">
            <v>64204</v>
          </cell>
        </row>
        <row r="898">
          <cell r="A898">
            <v>64225</v>
          </cell>
        </row>
        <row r="899">
          <cell r="A899">
            <v>64238</v>
          </cell>
        </row>
        <row r="900">
          <cell r="A900">
            <v>64278</v>
          </cell>
        </row>
        <row r="901">
          <cell r="A901">
            <v>64285</v>
          </cell>
        </row>
        <row r="902">
          <cell r="A902">
            <v>64346</v>
          </cell>
        </row>
        <row r="903">
          <cell r="A903">
            <v>64347</v>
          </cell>
        </row>
        <row r="904">
          <cell r="A904">
            <v>64392</v>
          </cell>
        </row>
        <row r="905">
          <cell r="A905">
            <v>64396</v>
          </cell>
        </row>
        <row r="906">
          <cell r="A906">
            <v>64406</v>
          </cell>
        </row>
        <row r="907">
          <cell r="A907">
            <v>64454</v>
          </cell>
        </row>
        <row r="908">
          <cell r="A908">
            <v>64535</v>
          </cell>
        </row>
        <row r="909">
          <cell r="A909">
            <v>64570</v>
          </cell>
        </row>
        <row r="910">
          <cell r="A910">
            <v>64591</v>
          </cell>
        </row>
        <row r="911">
          <cell r="A911">
            <v>64604</v>
          </cell>
        </row>
        <row r="912">
          <cell r="A912">
            <v>64644</v>
          </cell>
        </row>
        <row r="913">
          <cell r="A913">
            <v>64651</v>
          </cell>
        </row>
        <row r="914">
          <cell r="A914">
            <v>64703</v>
          </cell>
        </row>
        <row r="915">
          <cell r="A915">
            <v>64704</v>
          </cell>
        </row>
        <row r="916">
          <cell r="A916">
            <v>64749</v>
          </cell>
        </row>
        <row r="917">
          <cell r="A917">
            <v>64761</v>
          </cell>
        </row>
        <row r="918">
          <cell r="A918">
            <v>64771</v>
          </cell>
        </row>
        <row r="919">
          <cell r="A919">
            <v>64811</v>
          </cell>
        </row>
        <row r="920">
          <cell r="A920">
            <v>64900</v>
          </cell>
        </row>
        <row r="921">
          <cell r="A921">
            <v>64935</v>
          </cell>
        </row>
        <row r="922">
          <cell r="A922">
            <v>64956</v>
          </cell>
        </row>
        <row r="923">
          <cell r="A923">
            <v>64969</v>
          </cell>
        </row>
        <row r="924">
          <cell r="A924">
            <v>65009</v>
          </cell>
        </row>
        <row r="925">
          <cell r="A925">
            <v>65016</v>
          </cell>
        </row>
        <row r="926">
          <cell r="A926">
            <v>65060</v>
          </cell>
        </row>
        <row r="927">
          <cell r="A927">
            <v>65061</v>
          </cell>
        </row>
        <row r="928">
          <cell r="A928">
            <v>65106</v>
          </cell>
        </row>
        <row r="929">
          <cell r="A929">
            <v>65126</v>
          </cell>
        </row>
        <row r="930">
          <cell r="A930">
            <v>65136</v>
          </cell>
        </row>
        <row r="931">
          <cell r="A931">
            <v>65168</v>
          </cell>
        </row>
        <row r="932">
          <cell r="A932">
            <v>65265</v>
          </cell>
        </row>
        <row r="933">
          <cell r="A933">
            <v>65300</v>
          </cell>
        </row>
        <row r="934">
          <cell r="A934">
            <v>65321</v>
          </cell>
        </row>
        <row r="935">
          <cell r="A935">
            <v>65334</v>
          </cell>
        </row>
        <row r="936">
          <cell r="A936">
            <v>65374</v>
          </cell>
        </row>
      </sheetData>
      <sheetData sheetId="11" refreshError="1"/>
    </sheetDataSet>
  </externalBook>
</externalLink>
</file>

<file path=xl/tables/table1.xml><?xml version="1.0" encoding="utf-8"?>
<table xmlns="http://schemas.openxmlformats.org/spreadsheetml/2006/main" id="12" name="TAB_FERIADOS" displayName="TAB_FERIADOS" ref="A1:D644" totalsRowShown="0" headerRowDxfId="248" dataDxfId="247">
  <autoFilter ref="A1:D644"/>
  <tableColumns count="4">
    <tableColumn id="1" name="FER_TIPO" dataDxfId="246"/>
    <tableColumn id="2" name="FER_CHAVE" dataDxfId="245"/>
    <tableColumn id="3" name="FER_DATA" dataDxfId="244"/>
    <tableColumn id="4" name="FER_DESCRICAO" dataDxfId="243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id="1" name="CAD_TITULO" displayName="CAD_TITULO" ref="A3:AU4" totalsRowShown="0" headerRowDxfId="242" dataDxfId="241">
  <autoFilter ref="A3:AU4"/>
  <tableColumns count="47">
    <tableColumn id="1" name="TITULO_ID" dataDxfId="240"/>
    <tableColumn id="2" name="ATV_CODIGO" dataDxfId="239"/>
    <tableColumn id="3" name="IDX_CODIGO" dataDxfId="238"/>
    <tableColumn id="4" name="ESP_CODIGO" dataDxfId="237"/>
    <tableColumn id="5" name="LOCAL_NEGOCIACAO" dataDxfId="236"/>
    <tableColumn id="6" name="TIT_VENCTO" dataDxfId="235"/>
    <tableColumn id="7" name="TIT_EMISSAO" dataDxfId="234"/>
    <tableColumn id="8" name="PFPJ_EMITENTE" dataDxfId="233"/>
    <tableColumn id="9" name="ESP_CUPOM" dataDxfId="232"/>
    <tableColumn id="10" name="ESP_PU_VENCTO" dataDxfId="231"/>
    <tableColumn id="11" name="TIT_VIRADA" dataDxfId="230"/>
    <tableColumn id="12" name="TIT_SERIE" dataDxfId="229"/>
    <tableColumn id="13" name="ID_BALCAO" dataDxfId="228"/>
    <tableColumn id="14" name="TIT_PRESTACAO" dataDxfId="227"/>
    <tableColumn id="15" name="TIT_CARENCIA" dataDxfId="226"/>
    <tableColumn id="16" name="TIT_BASE" dataDxfId="225"/>
    <tableColumn id="17" name="ATV_LOTE" dataDxfId="224"/>
    <tableColumn id="18" name="ATV_FCVALORIZ" dataDxfId="223"/>
    <tableColumn id="19" name="ATV_PRZ_PGJUROS" dataDxfId="222"/>
    <tableColumn id="20" name="CD_SIST_NACL" dataDxfId="221"/>
    <tableColumn id="21" name="DT_LQDZ" dataDxfId="220"/>
    <tableColumn id="22" name="IC_TIT_RVSV" dataDxfId="219"/>
    <tableColumn id="23" name="IC_TIT_PTCP_LUCR" dataDxfId="218"/>
    <tableColumn id="24" name="IC_TIT_PUBL" dataDxfId="217"/>
    <tableColumn id="25" name="IC_ATVO" dataDxfId="216"/>
    <tableColumn id="26" name="CN_ES_PAPL" dataDxfId="215"/>
    <tableColumn id="27" name="DT_B_CALC" dataDxfId="214"/>
    <tableColumn id="28" name="IDX_PC" dataDxfId="213"/>
    <tableColumn id="29" name="V_PU_EMIS" dataDxfId="212"/>
    <tableColumn id="30" name="IC_TIT_DISP_CPR" dataDxfId="211"/>
    <tableColumn id="31" name="CD_ISIN" dataDxfId="210"/>
    <tableColumn id="32" name="ID_COND_RESG" dataDxfId="209"/>
    <tableColumn id="33" name="ID_T_ATC_NOML" dataDxfId="208"/>
    <tableColumn id="34" name="CD_INTM_FINC" dataDxfId="207"/>
    <tableColumn id="35" name="CD_T_TIT" dataDxfId="206"/>
    <tableColumn id="36" name="CD_FRM_PGT" dataDxfId="205"/>
    <tableColumn id="37" name="CD_ORIG_CRD" dataDxfId="204"/>
    <tableColumn id="38" name="IC_OPRC_ADIT" dataDxfId="203"/>
    <tableColumn id="39" name="V_OPRC_ANTR_ADIT" dataDxfId="202"/>
    <tableColumn id="40" name="DT_OPRC_ADIT" dataDxfId="201"/>
    <tableColumn id="41" name="IC_LAST" dataDxfId="200"/>
    <tableColumn id="42" name="CD_AG_SIML" dataDxfId="199"/>
    <tableColumn id="43" name="ID_NUM_CC_SIML" dataDxfId="198"/>
    <tableColumn id="44" name="ID_NUM_SIML" dataDxfId="197"/>
    <tableColumn id="45" name="IC_V_ATZD_TIT" dataDxfId="196"/>
    <tableColumn id="46" name="PFPJ_DEVEDOR" dataDxfId="195"/>
    <tableColumn id="47" name="DT_H_ATC" dataDxfId="194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2" name="CAD_REPACTUACAO" displayName="CAD_REPACTUACAO" ref="A8:AB9" totalsRowShown="0" headerRowDxfId="193" dataDxfId="192">
  <autoFilter ref="A8:AB9"/>
  <tableColumns count="28">
    <tableColumn id="1" name="TITULO_ID" dataDxfId="191"/>
    <tableColumn id="2" name="ID_RPAC" dataDxfId="190"/>
    <tableColumn id="3" name="IDX_CODIGO" dataDxfId="189"/>
    <tableColumn id="4" name="ATV_FCVALORIZ" dataDxfId="188"/>
    <tableColumn id="5" name="IDX_PC" dataDxfId="187"/>
    <tableColumn id="6" name="DT_INIC_RPAC" dataDxfId="186"/>
    <tableColumn id="7" name="DT_FIM_RPAC" dataDxfId="185"/>
    <tableColumn id="8" name="V_TXA_RPAC" dataDxfId="184"/>
    <tableColumn id="9" name="DT_VCMT" dataDxfId="183"/>
    <tableColumn id="10" name="DT_LQDC" dataDxfId="182"/>
    <tableColumn id="11" name="V_PU_PMIO" dataDxfId="181"/>
    <tableColumn id="12" name="FC_JUROS" dataDxfId="180"/>
    <tableColumn id="13" name="IC_AMTC_JURS" dataDxfId="179"/>
    <tableColumn id="14" name="RF_BASE_CALC" dataDxfId="178"/>
    <tableColumn id="15" name="IC_AMTC_JURS_CORC" dataDxfId="177"/>
    <tableColumn id="16" name="IC_AMTC_CORC_PCPL" dataDxfId="176"/>
    <tableColumn id="17" name="IC_AMTC_PCPL" dataDxfId="175"/>
    <tableColumn id="18" name="IC_INCR_AMTC" dataDxfId="174"/>
    <tableColumn id="19" name="IC_AMTC_CORC_PARC" dataDxfId="173"/>
    <tableColumn id="20" name="IC_EVE_CORC_TIT" dataDxfId="172"/>
    <tableColumn id="21" name="V_PU_CORC" dataDxfId="171"/>
    <tableColumn id="22" name="IC_PZ_MDIO_RPAC" dataDxfId="170"/>
    <tableColumn id="23" name="DT_B_JURS" dataDxfId="169"/>
    <tableColumn id="24" name="IC_AMTC_JURS_DT_B" dataDxfId="168"/>
    <tableColumn id="25" name="IC_AMTC_PCPL_EMIS" dataDxfId="167"/>
    <tableColumn id="26" name="IC_VCE" dataDxfId="166"/>
    <tableColumn id="27" name="FC_DT_ANV" dataDxfId="165"/>
    <tableColumn id="28" name="Q_DEFS_IDXR" dataDxfId="164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id="19" name="CAD_JUROS" displayName="CAD_JUROS" ref="A14:H158" totalsRowShown="0" headerRowDxfId="163" dataDxfId="162">
  <autoFilter ref="A14:H158"/>
  <tableColumns count="8">
    <tableColumn id="8" name="ID" dataDxfId="161"/>
    <tableColumn id="1" name="TITULO_ID" dataDxfId="160"/>
    <tableColumn id="2" name="ID_RPAC" dataDxfId="159"/>
    <tableColumn id="3" name="ID_T_EVE" dataDxfId="158"/>
    <tableColumn id="4" name="TXT_T_EVE" dataDxfId="157"/>
    <tableColumn id="5" name="DT_EVE" dataDxfId="156"/>
    <tableColumn id="6" name="V_PU_AMTC" dataDxfId="155"/>
    <tableColumn id="7" name="DT_LQDC_EVE" dataDxfId="154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id="20" name="CAD_ATUALIZACAO" displayName="CAD_ATUALIZACAO" ref="A163:H307" totalsRowShown="0" headerRowDxfId="153" dataDxfId="152">
  <autoFilter ref="A163:H307"/>
  <tableColumns count="8">
    <tableColumn id="8" name="ID" dataDxfId="151"/>
    <tableColumn id="1" name="TITULO_ID" dataDxfId="150"/>
    <tableColumn id="2" name="ID_RPAC" dataDxfId="149"/>
    <tableColumn id="3" name="ID_T_EVE" dataDxfId="148"/>
    <tableColumn id="4" name="TXT_T_EVE" dataDxfId="147"/>
    <tableColumn id="5" name="DT_EVE" dataDxfId="146"/>
    <tableColumn id="6" name="V_PU_AMTC" dataDxfId="145"/>
    <tableColumn id="7" name="DT_LQDC_EVE" dataDxfId="144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id="21" name="CAD_AMORTIZACAO" displayName="CAD_AMORTIZACAO" ref="A311:H455" totalsRowShown="0" headerRowDxfId="143" dataDxfId="142">
  <autoFilter ref="A311:H455"/>
  <tableColumns count="8">
    <tableColumn id="8" name="ID" dataDxfId="141"/>
    <tableColumn id="1" name="TITULO_ID" dataDxfId="140"/>
    <tableColumn id="2" name="ID_RPAC" dataDxfId="139"/>
    <tableColumn id="3" name="ID_T_EVE" dataDxfId="138"/>
    <tableColumn id="4" name="TXT_T_EVE" dataDxfId="137"/>
    <tableColumn id="5" name="DT_EVE" dataDxfId="136"/>
    <tableColumn id="6" name="V_PU_AMTC" dataDxfId="135"/>
    <tableColumn id="7" name="DT_LQDC_EVE" dataDxfId="134"/>
  </tableColumns>
  <tableStyleInfo name="TableStyleMedium1" showFirstColumn="0" showLastColumn="0" showRowStripes="1" showColumnStripes="0"/>
</table>
</file>

<file path=xl/tables/table7.xml><?xml version="1.0" encoding="utf-8"?>
<table xmlns="http://schemas.openxmlformats.org/spreadsheetml/2006/main" id="7" name="CENARIO" displayName="CENARIO" ref="M2:N257" totalsRowShown="0" headerRowDxfId="133">
  <autoFilter ref="M2:N257"/>
  <tableColumns count="2">
    <tableColumn id="1" name="TX_CENARIO" dataDxfId="132"/>
    <tableColumn id="2" name="Valor" dataDxfId="131"/>
  </tableColumns>
  <tableStyleInfo name="TableStyleMedium16" showFirstColumn="0" showLastColumn="0" showRowStripes="1" showColumnStripes="0"/>
</table>
</file>

<file path=xl/tables/table8.xml><?xml version="1.0" encoding="utf-8"?>
<table xmlns="http://schemas.openxmlformats.org/spreadsheetml/2006/main" id="8" name="CORRECAO_CORC_U" displayName="CORRECAO_CORC_U" ref="G2:H257" totalsRowShown="0" headerRowDxfId="130">
  <autoFilter ref="G2:H257"/>
  <tableColumns count="2">
    <tableColumn id="1" name="CORRECAO_CORC_U" dataDxfId="129"/>
    <tableColumn id="2" name="Valor" dataDxfId="128"/>
  </tableColumns>
  <tableStyleInfo name="TableStyleMedium16" showFirstColumn="0" showLastColumn="0" showRowStripes="1" showColumnStripes="0"/>
</table>
</file>

<file path=xl/tables/table9.xml><?xml version="1.0" encoding="utf-8"?>
<table xmlns="http://schemas.openxmlformats.org/spreadsheetml/2006/main" id="9" name="CORRECAO_JURS_U" displayName="CORRECAO_JURS_U" ref="A2:B257" totalsRowShown="0" headerRowDxfId="127">
  <autoFilter ref="A2:B257"/>
  <tableColumns count="2">
    <tableColumn id="1" name="CORRECAO_JURS_U" dataDxfId="126"/>
    <tableColumn id="2" name="Valor" dataDxfId="125"/>
  </tableColumns>
  <tableStyleInfo name="TableStyleMedium16" showFirstColumn="0" showLastColumn="0" showRowStripes="1" showColumnStripes="0"/>
</table>
</file>

<file path=xl/tables/table10.xml><?xml version="1.0" encoding="utf-8"?>
<table xmlns="http://schemas.openxmlformats.org/spreadsheetml/2006/main" id="22" name="CORRECAO_CORC_C" displayName="CORRECAO_CORC_C" ref="J2:K257" totalsRowShown="0" headerRowDxfId="124">
  <autoFilter ref="J2:K257"/>
  <tableColumns count="2">
    <tableColumn id="1" name="CORRECAO_CORC_C" dataDxfId="123"/>
    <tableColumn id="2" name="Valor" dataDxfId="122"/>
  </tableColumns>
  <tableStyleInfo name="TableStyleMedium16" showFirstColumn="0" showLastColumn="0" showRowStripes="1" showColumnStripes="0"/>
</table>
</file>

<file path=xl/tables/table11.xml><?xml version="1.0" encoding="utf-8"?>
<table xmlns="http://schemas.openxmlformats.org/spreadsheetml/2006/main" id="23" name="CORRECAO_JURS_C" displayName="CORRECAO_JURS_C" ref="D2:E257" totalsRowShown="0" headerRowDxfId="121">
  <autoFilter ref="D2:E257"/>
  <tableColumns count="2">
    <tableColumn id="1" name="CORRECAO_JURS_C" dataDxfId="120"/>
    <tableColumn id="2" name="Valor" dataDxfId="119"/>
  </tableColumns>
  <tableStyleInfo name="TableStyleMedium16" showFirstColumn="0" showLastColumn="0" showRowStripes="1" showColumnStripes="0"/>
</table>
</file>

<file path=xl/tables/table12.xml><?xml version="1.0" encoding="utf-8"?>
<table xmlns="http://schemas.openxmlformats.org/spreadsheetml/2006/main" id="13" name="TAB_TESTES" displayName="TAB_TESTES" ref="A1:I10" totalsRowShown="0" headerRowDxfId="118" dataDxfId="117">
  <autoFilter ref="A1:I10"/>
  <tableColumns count="9">
    <tableColumn id="1" name="Id Teste" dataDxfId="116"/>
    <tableColumn id="2" name="Data Compra" dataDxfId="115"/>
    <tableColumn id="3" name="PU Compra" dataDxfId="114"/>
    <tableColumn id="4" name="Data do Cálculo" dataDxfId="113"/>
    <tableColumn id="5" name="TIR_U" dataDxfId="112"/>
    <tableColumn id="6" name="TIR_C" dataDxfId="111"/>
    <tableColumn id="7" name="PU_UTEIS" dataDxfId="110"/>
    <tableColumn id="8" name="PU_CORRIDOS" dataDxfId="109"/>
    <tableColumn id="9" name="EXEC" dataDxfId="108">
      <calculatedColumnFormula>"EXEC SANPS_RF_CALCULADORA_TITULO " &amp; CAD_TITULO[TITULO_ID] &amp; ", " &amp; TEXT(TAB_TESTES[[#This Row],[Data Compra]], "'AAAA-MM-DD'") &amp; ", " &amp; SUBSTITUTE( TAB_TESTES[[#This Row],[PU Compra]], ",", ".") &amp; ", " &amp; TEXT(TAB_TESTES[[#This Row],[Data do Cálculo]], "'AAAA-MM-DD'") &amp; ", " &amp; TEXT(TAB_TESTES[[#This Row],[Data do Cálculo]], "'AAAA-MM-DD'")</calculatedColumnFormula>
    </tableColumn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3" name="TAB_JUROS_U" displayName="TAB_JUROS_U" ref="A24:V168" totalsRowShown="0" headerRowDxfId="107" dataDxfId="106">
  <autoFilter ref="A24:V168">
    <filterColumn colId="0">
      <filters>
        <filter val="1"/>
        <filter val="2"/>
      </filters>
    </filterColumn>
  </autoFilter>
  <tableColumns count="22">
    <tableColumn id="11" name="ID" dataDxfId="105"/>
    <tableColumn id="3" name="ID_T_EVE" dataDxfId="104">
      <calculatedColumnFormula>VLOOKUP($A25, CAD_JUROS[#Data], MATCH(B$24, CAD_JUROS[#Headers],0), FALSE)</calculatedColumnFormula>
    </tableColumn>
    <tableColumn id="4" name="TXT_T_EVE" dataDxfId="103">
      <calculatedColumnFormula>VLOOKUP($A25, CAD_JUROS[#Data], MATCH(C$24, CAD_JUROS[#Headers],0), FALSE)</calculatedColumnFormula>
    </tableColumn>
    <tableColumn id="5" name="DT_EVE" dataDxfId="102">
      <calculatedColumnFormula>VLOOKUP($A25, CAD_JUROS[#Data], MATCH(D$24, CAD_JUROS[#Headers],0), FALSE)</calculatedColumnFormula>
    </tableColumn>
    <tableColumn id="6" name="V_PU_AMTC" dataDxfId="101" dataCellStyle="Vírgula">
      <calculatedColumnFormula>VLOOKUP($A25, CAD_JUROS[#Data], MATCH(E$24, CAD_JUROS[#Headers],0), FALSE)</calculatedColumnFormula>
    </tableColumn>
    <tableColumn id="7" name="DT_LQDC_EVE" dataDxfId="100">
      <calculatedColumnFormula>VLOOKUP($A25, CAD_JUROS[#Data], MATCH(F$24, CAD_JUROS[#Headers],0), FALSE)</calculatedColumnFormula>
    </tableColumn>
    <tableColumn id="14" name="dt_eve_u" dataDxfId="99">
      <calculatedColumnFormula>WORKDAY(WORKDAY(TAB_JUROS_U[[#This Row],[DT_EVE]], -1, TAB_FERIADOS[FER_DATA]), 1, TAB_FERIADOS[FER_DATA])</calculatedColumnFormula>
    </tableColumn>
    <tableColumn id="1" name="dt_lqdc_eve_u" dataDxfId="98">
      <calculatedColumnFormula>WORKDAY(WORKDAY(TAB_JUROS_U[[#This Row],[DT_LQDC_EVE]], -1, TAB_FERIADOS[FER_DATA]), 1, TAB_FERIADOS[FER_DATA])</calculatedColumnFormula>
    </tableColumn>
    <tableColumn id="23" name="V_NOML_PCPL" dataDxfId="97">
      <calculatedColumnFormula>PU_EMISSAO - SUMIF(TAB_AMORTIZACAO_U[DT_EVE], "&lt;" &amp; TAB_JUROS_U[[#This Row],[DT_EVE]], TAB_AMORTIZACAO_U[V_PU_AMTC])</calculatedColumnFormula>
    </tableColumn>
    <tableColumn id="16" name="PU_AMORT" dataDxfId="96">
      <calculatedColumnFormula>IFERROR(VLOOKUP(TAB_JUROS_U[[#This Row],[DT_EVE]], TAB_AMORTIZACAO_U[[DT_EVE]:[V_PU_AMTC]], 2, FALSE), 0)</calculatedColumnFormula>
    </tableColumn>
    <tableColumn id="13" name="Q_DIAS_U_PARC" dataDxfId="95">
      <calculatedColumnFormula>NETWORKDAYS(DT_CALCULO_U, TAB_JUROS_U[[#This Row],[dt_eve_u]], TAB_FERIADOS[FER_DATA]) -1</calculatedColumnFormula>
    </tableColumn>
    <tableColumn id="2" name="Q_DIAS_U_PARC_TIR" dataDxfId="94">
      <calculatedColumnFormula>NETWORKDAYS(DT_CALCULO_U, TAB_JUROS_U[[#This Row],[dt_lqdc_eve_u]], TAB_FERIADOS[FER_DATA]) -1</calculatedColumnFormula>
    </tableColumn>
    <tableColumn id="12" name="dias_periodo_u" dataDxfId="93">
      <calculatedColumnFormula>NETWORKDAYS(IF(ISTEXT(H24), DT_B_JURS, H24), TAB_JUROS_U[[#This Row],[dt_lqdc_eve_u]],  TAB_FERIADOS[FER_DATA]) -1</calculatedColumnFormula>
    </tableColumn>
    <tableColumn id="22" name="CUPOM_TIR" dataDxfId="92">
      <calculatedColumnFormula>(TX_EMISSAO/100 +1)^(TAB_JUROS_U[[#This Row],[dias_periodo_u]]/252)</calculatedColumnFormula>
    </tableColumn>
    <tableColumn id="9" name="VAR_DESCAP_U" dataDxfId="91">
      <calculatedColumnFormula>(TIR_U/100 +1)^(TAB_JUROS_U[[#This Row],[Q_DIAS_U_PARC_TIR]]/252)</calculatedColumnFormula>
    </tableColumn>
    <tableColumn id="35" name="Chave-CENARIO" dataDxfId="90">
      <calculatedColumnFormula>"TX_CENARIO" &amp; TEXT(DT_CALCULO_C, "-AAAAMMDD") &amp; TEXT(TAB_JUROS_U[[#This Row],[DT_EVE]], "-AAAAMMDD")</calculatedColumnFormula>
    </tableColumn>
    <tableColumn id="19" name="TX_CENARIO" dataDxfId="89">
      <calculatedColumnFormula>IFERROR(VLOOKUP(TAB_JUROS_U[[#This Row],[Chave-CENARIO]],CENARIO[],2,FALSE), 0)</calculatedColumnFormula>
    </tableColumn>
    <tableColumn id="36" name="Chave-CORC" dataDxfId="88">
      <calculatedColumnFormula>"CORRECAO_JURS_U" &amp; TEXT(DT_CALCULO_C, "-AAAAMMDD") &amp; TEXT(TAB_JUROS_U[[#This Row],[DT_EVE]], "-AAAAMMDD")</calculatedColumnFormula>
    </tableColumn>
    <tableColumn id="24" name="CORRECAO_U" dataDxfId="87">
      <calculatedColumnFormula>IFERROR(VLOOKUP(TAB_JUROS_U[[#This Row],[Chave-CORC]],CORRECAO_JURS_U[],2, FALSE), 0)</calculatedColumnFormula>
    </tableColumn>
    <tableColumn id="27" name="V_FUT_U_JURS-01" dataDxfId="86">
      <calculatedColumnFormula>MAX(0, (TAB_JUROS_U[[#This Row],[CUPOM_TIR]] -1) * IF(TAB_JUROS_U[[#This Row],[ID_T_EVE]]=1, TAB_JUROS_U[[#This Row],[PU_AMORT]], TAB_JUROS_U[[#This Row],[V_NOML_PCPL]]) * TAB_JUROS_U[[#This Row],[CORRECAO_U]])</calculatedColumnFormula>
    </tableColumn>
    <tableColumn id="10" name="V_FUT_U_JURS CENARIO" dataDxfId="85">
      <calculatedColumnFormula>MAX(0, TAB_JUROS_U[[#This Row],[V_FUT_U_JURS-01]]/((((TAB_JUROS_U[[#This Row],[TX_CENARIO]]/100 +1)^(1/252) -1) * PC_IDXR/100 +1)^TAB_JUROS_U[[#This Row],[Q_DIAS_U_PARC_TIR]]))</calculatedColumnFormula>
    </tableColumn>
    <tableColumn id="8" name="V_PRS_U_JURS" dataDxfId="84">
      <calculatedColumnFormula>+TAB_JUROS_U[[#This Row],[V_FUT_U_JURS CENARIO]]/TAB_JUROS_U[[#This Row],[VAR_DESCAP_U]]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4" name="TAB_CORRECAO_U" displayName="TAB_CORRECAO_U" ref="A171:V315" totalsRowShown="0" headerRowDxfId="83" dataDxfId="82">
  <autoFilter ref="A171:V315"/>
  <tableColumns count="22">
    <tableColumn id="2" name="ID" dataDxfId="81"/>
    <tableColumn id="3" name="ID_T_EVE" dataDxfId="80">
      <calculatedColumnFormula>VLOOKUP($A172, CAD_ATUALIZACAO[#Data], MATCH(B$171, CAD_ATUALIZACAO[#Headers],0), FALSE)</calculatedColumnFormula>
    </tableColumn>
    <tableColumn id="4" name="TXT_T_EVE" dataDxfId="79">
      <calculatedColumnFormula>VLOOKUP($A172, CAD_ATUALIZACAO[#Data], MATCH(C$171, CAD_ATUALIZACAO[#Headers],0), FALSE)</calculatedColumnFormula>
    </tableColumn>
    <tableColumn id="5" name="DT_EVE" dataDxfId="78">
      <calculatedColumnFormula>VLOOKUP($A172, CAD_ATUALIZACAO[#Data], MATCH(D$171, CAD_ATUALIZACAO[#Headers],0), FALSE)</calculatedColumnFormula>
    </tableColumn>
    <tableColumn id="6" name="V_PU_AMTC" dataDxfId="77" dataCellStyle="Vírgula">
      <calculatedColumnFormula>VLOOKUP($A172, CAD_ATUALIZACAO[#Data], MATCH(E$171, CAD_ATUALIZACAO[#Headers],0), FALSE)</calculatedColumnFormula>
    </tableColumn>
    <tableColumn id="7" name="DT_LQDC_EVE" dataDxfId="76">
      <calculatedColumnFormula>VLOOKUP($A172, CAD_ATUALIZACAO[#Data], MATCH(F$171, CAD_ATUALIZACAO[#Headers],0), FALSE)</calculatedColumnFormula>
    </tableColumn>
    <tableColumn id="13" name="dt_eve_u" dataDxfId="75">
      <calculatedColumnFormula>WORKDAY(WORKDAY(TAB_CORRECAO_U[[#This Row],[DT_EVE]], -1, TAB_FERIADOS[FER_DATA]), 1, TAB_FERIADOS[FER_DATA])</calculatedColumnFormula>
    </tableColumn>
    <tableColumn id="1" name="dt_lqdc_eve_u" dataDxfId="74">
      <calculatedColumnFormula>WORKDAY(WORKDAY(TAB_CORRECAO_U[[#This Row],[DT_LQDC_EVE]], -1, TAB_FERIADOS[FER_DATA]), 1, TAB_FERIADOS[FER_DATA])</calculatedColumnFormula>
    </tableColumn>
    <tableColumn id="18" name="V_NOML_PCPL" dataDxfId="73">
      <calculatedColumnFormula>PU_EMISSAO - SUMIF(TAB_AMORTIZACAO_U[dt_eve_u], "&lt;" &amp; TAB_CORRECAO_U[[#This Row],[dt_eve_u]], TAB_AMORTIZACAO_U[V_PU_AMTC])</calculatedColumnFormula>
    </tableColumn>
    <tableColumn id="25" name="PU_AMORT" dataDxfId="72">
      <calculatedColumnFormula>IFERROR(VLOOKUP(TAB_CORRECAO_U[[#This Row],[DT_EVE]], TAB_AMORTIZACAO_U[[DT_EVE]:[V_PU_AMTC]], 2, FALSE), 0)</calculatedColumnFormula>
    </tableColumn>
    <tableColumn id="20" name="Q_DIAS_U_PARC" dataDxfId="71">
      <calculatedColumnFormula>NETWORKDAYS(DT_CALCULO_U, TAB_CORRECAO_U[[#This Row],[dt_eve_u]], TAB_FERIADOS[FER_DATA]) -1</calculatedColumnFormula>
    </tableColumn>
    <tableColumn id="8" name="Q_DIAS_U_PARC_TIR" dataDxfId="70">
      <calculatedColumnFormula>NETWORKDAYS(DT_CALCULO_U, TAB_CORRECAO_U[[#This Row],[dt_lqdc_eve_u]], TAB_FERIADOS[FER_DATA]) -1</calculatedColumnFormula>
    </tableColumn>
    <tableColumn id="19" name="dias_periodo_u" dataDxfId="69">
      <calculatedColumnFormula>NETWORKDAYS(IF(ISTEXT(G171), DT_B_CORC, G171), TAB_CORRECAO_U[[#This Row],[dt_eve_u]], TAB_FERIADOS[FER_DATA]) -1</calculatedColumnFormula>
    </tableColumn>
    <tableColumn id="17" name="CUPOM_TIR" dataDxfId="68">
      <calculatedColumnFormula>(TX_EMISSAO/100 +1)^(TAB_CORRECAO_U[[#This Row],[dias_periodo_u]]/252)</calculatedColumnFormula>
    </tableColumn>
    <tableColumn id="16" name="VAR_DESCAP_U" dataDxfId="67">
      <calculatedColumnFormula>(TIR_U/100 +1)^(TAB_CORRECAO_U[[#This Row],[Q_DIAS_U_PARC_TIR]]/252)</calculatedColumnFormula>
    </tableColumn>
    <tableColumn id="23" name="Chave-CENARIO" dataDxfId="66">
      <calculatedColumnFormula>"TX_CENARIO" &amp; TEXT(DT_CALCULO_C, "-AAAAMMDD") &amp; TEXT(TAB_CORRECAO_U[[#This Row],[DT_EVE]], "-AAAAMMDD")</calculatedColumnFormula>
    </tableColumn>
    <tableColumn id="12" name="TX_CENARIO" dataDxfId="65">
      <calculatedColumnFormula>IFERROR(VLOOKUP(TAB_CORRECAO_U[[#This Row],[Chave-CENARIO]],CENARIO[],2,FALSE), 0)</calculatedColumnFormula>
    </tableColumn>
    <tableColumn id="24" name="Chave-CORC" dataDxfId="64">
      <calculatedColumnFormula>"CORRECAO_CORC_U" &amp; TEXT(DT_CALCULO_C, "-AAAAMMDD") &amp; TEXT(TAB_CORRECAO_U[[#This Row],[DT_EVE]], "-AAAAMMDD")</calculatedColumnFormula>
    </tableColumn>
    <tableColumn id="11" name="CORRECAO_U" dataDxfId="63">
      <calculatedColumnFormula>IFERROR(VLOOKUP(TAB_CORRECAO_U[[#This Row],[Chave-CORC]],CORRECAO_CORC_U[],2, FALSE), 0)</calculatedColumnFormula>
    </tableColumn>
    <tableColumn id="15" name="V_FUT_U_CORC-01" dataDxfId="62">
      <calculatedColumnFormula>MAX(0, IF(TAB_CORRECAO_U[[#This Row],[ID_T_EVE]]= 5, TAB_CORRECAO_U[[#This Row],[PU_AMORT]],TAB_CORRECAO_U[[#This Row],[V_NOML_PCPL]]) * (TAB_CORRECAO_U[[#This Row],[CORRECAO_U]] -1))</calculatedColumnFormula>
    </tableColumn>
    <tableColumn id="14" name="V_FUT_U_CORC-02" dataDxfId="61">
      <calculatedColumnFormula>MAX(0, TAB_CORRECAO_U[[#This Row],[V_FUT_U_CORC-01]]/((((TAB_CORRECAO_U[[#This Row],[TX_CENARIO]]/100 +1)^(1/252) -1) * PC_IDXR/100 +1)^TAB_CORRECAO_U[[#This Row],[Q_DIAS_U_PARC_TIR]]))</calculatedColumnFormula>
    </tableColumn>
    <tableColumn id="10" name="V_PRS_U_CORC" dataDxfId="60">
      <calculatedColumnFormula>TAB_CORRECAO_U[[#This Row],[V_FUT_U_CORC-02]]/TAB_CORRECAO_U[[#This Row],[VAR_DESCAP_U]]</calculatedColumnFormula>
    </tableColumn>
  </tableColumns>
  <tableStyleInfo name="TableStyleMedium4" showFirstColumn="0" showLastColumn="0" showRowStripes="1" showColumnStripes="0"/>
</table>
</file>

<file path=xl/tables/table15.xml><?xml version="1.0" encoding="utf-8"?>
<table xmlns="http://schemas.openxmlformats.org/spreadsheetml/2006/main" id="5" name="TAB_AMORTIZACAO_U" displayName="TAB_AMORTIZACAO_U" ref="A318:V462" totalsRowShown="0" headerRowDxfId="59" dataDxfId="58">
  <autoFilter ref="A318:V462"/>
  <tableColumns count="22">
    <tableColumn id="2" name="ID" dataDxfId="57"/>
    <tableColumn id="3" name="ID_T_EVE" dataDxfId="56">
      <calculatedColumnFormula>VLOOKUP($A319, CAD_AMORTIZACAO[#Data], MATCH(B$318, CAD_ATUALIZACAO[#Headers],0), FALSE)</calculatedColumnFormula>
    </tableColumn>
    <tableColumn id="4" name="TXT_T_EVE" dataDxfId="55">
      <calculatedColumnFormula>VLOOKUP($A319, CAD_AMORTIZACAO[#Data], MATCH(C$318, CAD_ATUALIZACAO[#Headers],0), FALSE)</calculatedColumnFormula>
    </tableColumn>
    <tableColumn id="5" name="DT_EVE" dataDxfId="54">
      <calculatedColumnFormula>VLOOKUP($A319, CAD_AMORTIZACAO[#Data], MATCH(D$318, CAD_ATUALIZACAO[#Headers],0), FALSE)</calculatedColumnFormula>
    </tableColumn>
    <tableColumn id="6" name="V_PU_AMTC" dataDxfId="53" dataCellStyle="Vírgula">
      <calculatedColumnFormula>VLOOKUP($A319, CAD_AMORTIZACAO[#Data], MATCH(E$318, CAD_ATUALIZACAO[#Headers],0), FALSE)</calculatedColumnFormula>
    </tableColumn>
    <tableColumn id="7" name="DT_LQDC_EVE" dataDxfId="52">
      <calculatedColumnFormula>VLOOKUP($A319, CAD_AMORTIZACAO[#Data], MATCH(F$318, CAD_ATUALIZACAO[#Headers],0), FALSE)</calculatedColumnFormula>
    </tableColumn>
    <tableColumn id="13" name="dt_eve_u" dataDxfId="51">
      <calculatedColumnFormula>WORKDAY(WORKDAY(TAB_AMORTIZACAO_U[[#This Row],[DT_EVE]], -1, TAB_FERIADOS[FER_DATA]), 1, TAB_FERIADOS[FER_DATA])</calculatedColumnFormula>
    </tableColumn>
    <tableColumn id="1" name="dt_lqdc_eve_u" dataDxfId="50">
      <calculatedColumnFormula>WORKDAY(WORKDAY(TAB_AMORTIZACAO_U[[#This Row],[DT_LQDC_EVE]], -1, TAB_FERIADOS[FER_DATA]), 1, TAB_FERIADOS[FER_DATA])</calculatedColumnFormula>
    </tableColumn>
    <tableColumn id="18" name="V_NOML_PCPL" dataDxfId="49">
      <calculatedColumnFormula>PU_EMISSAO - SUMIF(TAB_AMORTIZACAO_U[dt_eve_u], "&lt;" &amp; TAB_AMORTIZACAO_U[[#This Row],[dt_eve_u]], TAB_AMORTIZACAO_U[V_PU_AMTC])</calculatedColumnFormula>
    </tableColumn>
    <tableColumn id="14" name="PU_AMORT" dataDxfId="48">
      <calculatedColumnFormula>IFERROR(VLOOKUP(TAB_AMORTIZACAO_U[[#This Row],[DT_EVE]], TAB_AMORTIZACAO_U[[DT_EVE]:[V_PU_AMTC]], 2, FALSE), 0)</calculatedColumnFormula>
    </tableColumn>
    <tableColumn id="20" name="Q_DIAS_U_PARC" dataDxfId="47">
      <calculatedColumnFormula>NETWORKDAYS(DT_CALCULO_U, TAB_AMORTIZACAO_U[[#This Row],[dt_eve_u]], TAB_FERIADOS[FER_DATA]) -1</calculatedColumnFormula>
    </tableColumn>
    <tableColumn id="8" name="Q_DIAS_U_PARC_TIR" dataDxfId="46">
      <calculatedColumnFormula>NETWORKDAYS(DT_CALCULO_U, TAB_AMORTIZACAO_U[[#This Row],[dt_lqdc_eve_u]], TAB_FERIADOS[FER_DATA]) -1</calculatedColumnFormula>
    </tableColumn>
    <tableColumn id="19" name="dias_periodo_u" dataDxfId="45">
      <calculatedColumnFormula>NETWORKDAYS(IF(ISTEXT(G318), DT_B_CORC, G318), TAB_AMORTIZACAO_U[[#This Row],[dt_eve_u]], TAB_FERIADOS[FER_DATA]) -1</calculatedColumnFormula>
    </tableColumn>
    <tableColumn id="17" name="CUPOM_TIR" dataDxfId="44">
      <calculatedColumnFormula>(TX_EMISSAO/100 +1)^(TAB_AMORTIZACAO_U[[#This Row],[dias_periodo_u]]/252)</calculatedColumnFormula>
    </tableColumn>
    <tableColumn id="11" name="VAR_DESCAP_U" dataDxfId="43">
      <calculatedColumnFormula>(TIR_U/100 +1)^(TAB_AMORTIZACAO_U[[#This Row],[Q_DIAS_U_PARC_TIR]]/252)</calculatedColumnFormula>
    </tableColumn>
    <tableColumn id="25" name="Chave-CENARIO" dataDxfId="42">
      <calculatedColumnFormula>"TX_CENARIO" &amp; TEXT(DT_CALCULO_C, "-AAAAMMDD") &amp; TEXT(TAB_AMORTIZACAO_U[[#This Row],[DT_EVE]], "-AAAAMMDD")</calculatedColumnFormula>
    </tableColumn>
    <tableColumn id="15" name="TX_CENARIO" dataDxfId="41">
      <calculatedColumnFormula>IFERROR(VLOOKUP(TAB_AMORTIZACAO_U[[#This Row],[Chave-CENARIO]],CENARIO[],2,FALSE), 0)</calculatedColumnFormula>
    </tableColumn>
    <tableColumn id="27" name="Chave-CORC" dataDxfId="40">
      <calculatedColumnFormula>"n/a"</calculatedColumnFormula>
    </tableColumn>
    <tableColumn id="28" name="CORRECAO_U" dataDxfId="39">
      <calculatedColumnFormula>"n/a"</calculatedColumnFormula>
    </tableColumn>
    <tableColumn id="16" name="V_FUT_U_PCPL-01" dataDxfId="38">
      <calculatedColumnFormula>IF(TAB_AMORTIZACAO_U[[#This Row],[Q_DIAS_U_PARC_TIR]]&lt;0, 0, TAB_AMORTIZACAO_U[[#This Row],[PU_AMORT]])</calculatedColumnFormula>
    </tableColumn>
    <tableColumn id="12" name="V_FUT_U_PCPL-02" dataDxfId="37">
      <calculatedColumnFormula>MAX(0, TAB_AMORTIZACAO_U[[#This Row],[V_FUT_U_PCPL-01]]/((((TAB_AMORTIZACAO_U[[#This Row],[TX_CENARIO]]/100 +1)^(1/252) -1) * PC_IDXR/100 +1)^TAB_AMORTIZACAO_U[[#This Row],[Q_DIAS_U_PARC_TIR]]))</calculatedColumnFormula>
    </tableColumn>
    <tableColumn id="10" name="V_PRS_U_PCPL" dataDxfId="36">
      <calculatedColumnFormula>+TAB_AMORTIZACAO_U[[#This Row],[V_FUT_U_PCPL-02]]/TAB_AMORTIZACAO_U[[#This Row],[VAR_DESCAP_U]]</calculatedColumnFormula>
    </tableColumn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id="6" name="TAB_JUROS_C" displayName="TAB_JUROS_C" ref="X24:AE168" headerRowDxfId="35" dataDxfId="34">
  <autoFilter ref="X24:AE168"/>
  <tableColumns count="8">
    <tableColumn id="12" name="DIAS_CORRIDOS" totalsRowFunction="custom" dataDxfId="33" totalsRowDxfId="32">
      <calculatedColumnFormula>TAB_JUROS_U[[#This Row],[dt_eve_u]]- DT_CALCULO_C</calculatedColumnFormula>
      <totalsRowFormula>TAB_JUROS_U[[#This Row],[dt_lqdc_eve_u]]- DT_CALCULO_C</totalsRowFormula>
    </tableColumn>
    <tableColumn id="2" name="Chave-CORC" totalsRowFunction="custom" dataDxfId="31" totalsRowDxfId="30">
      <calculatedColumnFormula>"CORRECAO_JURS_C" &amp; TEXT(DT_CALCULO_C, "-AAAAMMDD") &amp; TEXT(TAB_JUROS_U[[#This Row],[DT_EVE]], "-AAAAMMDD")</calculatedColumnFormula>
      <totalsRowFormula>"CORRECAO_JURS_C" &amp; TEXT(DT_CALCULO_C, "-AAAAMMDD") &amp; TEXT(TAB_JUROS_U[[#This Row],[DT_EVE]], "-AAAAMMDD")</totalsRowFormula>
    </tableColumn>
    <tableColumn id="1" name="CORRECAO_C" totalsRowFunction="custom" dataDxfId="29" totalsRowDxfId="28">
      <calculatedColumnFormula>IFERROR(VLOOKUP(TAB_JUROS_C[[#This Row],[Chave-CORC]],CORRECAO_JURS_C[],2, FALSE), 0)</calculatedColumnFormula>
      <totalsRowFormula>VLOOKUP(TAB_JUROS_C[[#This Row],[Chave-CORC]],CORRECAO_JURS_C[],2, FALSE)</totalsRowFormula>
    </tableColumn>
    <tableColumn id="9" name="V_FUT_C_JURS" totalsRowFunction="custom" dataDxfId="27" totalsRowDxfId="26">
      <calculatedColumnFormula>IF(TAB_JUROS_U[[#This Row],[Q_DIAS_U_PARC]] &lt; 0, 0, (TAB_JUROS_U[[#This Row],[CUPOM_TIR]] -1) * IF(TAB_JUROS_U[[#This Row],[ID_T_EVE]]=1, TAB_JUROS_U[[#This Row],[PU_AMORT]], TAB_JUROS_U[[#This Row],[V_NOML_PCPL]]) * TAB_JUROS_C[[#This Row],[CORRECAO_C]])</calculatedColumnFormula>
      <totalsRowFormula>IF(TAB_JUROS_U[[#This Row],[Q_DIAS_U_PARC]] &lt; 0, 0, (TAB_JUROS_U[[#This Row],[CUPOM_TIR]] -1) * TAB_JUROS_U[[#This Row],[V_NOML_PCPL]] * TAB_JUROS_C[[#This Row],[CORRECAO_C]])</totalsRowFormula>
    </tableColumn>
    <tableColumn id="10" name="VAR_DESCAP_C" totalsRowFunction="custom" dataDxfId="25" totalsRowDxfId="24">
      <calculatedColumnFormula>(TIR_C/100 +1)^(TAB_JUROS_C[[#This Row],[DIAS_CORRIDOS]]/360)</calculatedColumnFormula>
      <totalsRowFormula>(TIR_C/100 +1)^(TAB_JUROS_C[[#This Row],[DIAS_CORRIDOS]]/360)</totalsRowFormula>
    </tableColumn>
    <tableColumn id="11" name="V_PRS_C_JURS" totalsRowFunction="custom" dataDxfId="23" totalsRowDxfId="22">
      <calculatedColumnFormula>IF(TAB_JUROS_C[[#This Row],[DIAS_CORRIDOS]]&lt;0, 0, TAB_JUROS_C[[#This Row],[V_FUT_C_JURS]]/TAB_JUROS_C[[#This Row],[VAR_DESCAP_C]])</calculatedColumnFormula>
      <totalsRowFormula>IF(TAB_JUROS_C[[#This Row],[DIAS_CORRIDOS]]&lt;0, 0, TAB_JUROS_C[[#This Row],[V_FUT_C_JURS]]/TAB_JUROS_C[[#This Row],[VAR_DESCAP_C]])</totalsRowFormula>
    </tableColumn>
    <tableColumn id="3" name="V_FUT_UTEIS" dataDxfId="21">
      <calculatedColumnFormula>TAB_JUROS_U[[#This Row],[V_FUT_U_JURS CENARIO]]</calculatedColumnFormula>
    </tableColumn>
    <tableColumn id="4" name="V_PRS_UTEIS" dataDxfId="20">
      <calculatedColumnFormula>IF(TAB_JUROS_C[[#This Row],[DIAS_CORRIDOS]]&lt;0, 0, TAB_JUROS_C[[#This Row],[V_FUT_UTEIS]]/TAB_JUROS_C[[#This Row],[VAR_DESCAP_C]])</calculatedColumnFormula>
    </tableColumn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0" name="TAB_CORRECAO_C" displayName="TAB_CORRECAO_C" ref="X171:AE315" totalsRowShown="0" headerRowDxfId="19" dataDxfId="18">
  <autoFilter ref="X171:AE315"/>
  <tableColumns count="8">
    <tableColumn id="10" name="DIAS_CORRIDOS" dataDxfId="17">
      <calculatedColumnFormula>TAB_CORRECAO_U[[#This Row],[dt_eve_u]]- DT_CALCULO_C</calculatedColumnFormula>
    </tableColumn>
    <tableColumn id="2" name="Chave-CORC" dataDxfId="16">
      <calculatedColumnFormula>"CORRECAO_CORC_C" &amp; TEXT(DT_CALCULO_C, "-AAAAMMDD") &amp; TEXT(TAB_CORRECAO_U[[#This Row],[DT_EVE]], "-AAAAMMDD")</calculatedColumnFormula>
    </tableColumn>
    <tableColumn id="1" name="CORRECAO_C" dataDxfId="15">
      <calculatedColumnFormula>IFERROR(VLOOKUP(TAB_CORRECAO_C[[#This Row],[Chave-CORC]],CORRECAO_CORC_C[],2, FALSE), 0)</calculatedColumnFormula>
    </tableColumn>
    <tableColumn id="9" name="V_FUT_C_CORC" dataDxfId="14">
      <calculatedColumnFormula>IF(TAB_CORRECAO_U[[#This Row],[Q_DIAS_U_PARC]] &lt; 0, 0, IF(TAB_CORRECAO_U[[#This Row],[ID_T_EVE]]=5, TAB_CORRECAO_U[[#This Row],[PU_AMORT]],TAB_CORRECAO_U[[#This Row],[V_NOML_PCPL]]) * (TAB_CORRECAO_C[[#This Row],[CORRECAO_C]] -1))</calculatedColumnFormula>
    </tableColumn>
    <tableColumn id="11" name="VAR_DESCAP_C" dataDxfId="13">
      <calculatedColumnFormula>(TIR_C/100 +1)^(TAB_CORRECAO_C[[#This Row],[DIAS_CORRIDOS]]/360)</calculatedColumnFormula>
    </tableColumn>
    <tableColumn id="12" name="V_PRS_C_CORC" dataDxfId="12">
      <calculatedColumnFormula>IF(TAB_CORRECAO_C[[#This Row],[DIAS_CORRIDOS]]&lt;0, 0, TAB_CORRECAO_C[[#This Row],[V_FUT_C_CORC]]/TAB_CORRECAO_C[[#This Row],[VAR_DESCAP_C]])</calculatedColumnFormula>
    </tableColumn>
    <tableColumn id="3" name="V_FUT_UTEIS" dataDxfId="11">
      <calculatedColumnFormula>TAB_CORRECAO_U[[#This Row],[V_FUT_U_CORC-02]]</calculatedColumnFormula>
    </tableColumn>
    <tableColumn id="4" name="V_PRS_UTEIS" dataDxfId="10">
      <calculatedColumnFormula>IF(TAB_CORRECAO_C[[#This Row],[DIAS_CORRIDOS]]&lt;0, 0, TAB_CORRECAO_C[[#This Row],[V_FUT_UTEIS]]/TAB_CORRECAO_C[[#This Row],[VAR_DESCAP_C]])</calculatedColumnFormula>
    </tableColumn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id="11" name="TAB_AMORTIZACAO_C" displayName="TAB_AMORTIZACAO_C" ref="X318:AE462" totalsRowShown="0" headerRowDxfId="9" dataDxfId="8">
  <autoFilter ref="X318:AE462"/>
  <tableColumns count="8">
    <tableColumn id="10" name="DIAS_CORRIDOS" dataDxfId="7">
      <calculatedColumnFormula>TAB_AMORTIZACAO_U[[#This Row],[dt_eve_u]]- DT_CALCULO_C</calculatedColumnFormula>
    </tableColumn>
    <tableColumn id="2" name="Chave-CORC" dataDxfId="6">
      <calculatedColumnFormula>"n/a"</calculatedColumnFormula>
    </tableColumn>
    <tableColumn id="1" name="CORRECAO_C" dataDxfId="5">
      <calculatedColumnFormula>"n/a"</calculatedColumnFormula>
    </tableColumn>
    <tableColumn id="9" name="V_FUT_C_PCPL" dataDxfId="4">
      <calculatedColumnFormula>TAB_AMORTIZACAO_U[[#This Row],[V_PU_AMTC]]</calculatedColumnFormula>
    </tableColumn>
    <tableColumn id="11" name="VAR_DESCAP_C" dataDxfId="3">
      <calculatedColumnFormula>(TIR_C/100 +1)^(TAB_AMORTIZACAO_C[[#This Row],[DIAS_CORRIDOS]]/360)</calculatedColumnFormula>
    </tableColumn>
    <tableColumn id="12" name="V_PRS_C_PCPL" dataDxfId="2">
      <calculatedColumnFormula>IF(TAB_AMORTIZACAO_C[[#This Row],[DIAS_CORRIDOS]]&lt;0, 0, TAB_AMORTIZACAO_C[[#This Row],[V_FUT_C_PCPL]]/TAB_AMORTIZACAO_C[[#This Row],[VAR_DESCAP_C]])</calculatedColumnFormula>
    </tableColumn>
    <tableColumn id="3" name="V_FUT_UTEIS" dataDxfId="1">
      <calculatedColumnFormula>TAB_AMORTIZACAO_U[[#This Row],[V_FUT_U_PCPL-02]]</calculatedColumnFormula>
    </tableColumn>
    <tableColumn id="4" name="V_PRS_UTEIS" dataDxfId="0">
      <calculatedColumnFormula>IF(TAB_AMORTIZACAO_C[[#This Row],[DIAS_CORRIDOS]]&lt;0, 0, TAB_AMORTIZACAO_C[[#This Row],[V_FUT_UTEIS]]/TAB_AMORTIZACAO_C[[#This Row],[VAR_DESCAP_C]])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7" Type="http://schemas.openxmlformats.org/officeDocument/2006/relationships/table" Target="../tables/table18.xml"/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4"/>
  <sheetViews>
    <sheetView topLeftCell="A225" workbookViewId="0">
      <selection activeCell="C263" sqref="A262:D263"/>
    </sheetView>
  </sheetViews>
  <sheetFormatPr defaultRowHeight="11.25"/>
  <cols>
    <col min="1" max="1" width="9" style="1" bestFit="1" customWidth="1"/>
    <col min="2" max="2" width="10.5703125" style="1" bestFit="1" customWidth="1"/>
    <col min="3" max="3" width="9.7109375" style="1" bestFit="1" customWidth="1"/>
    <col min="4" max="4" width="18.140625" style="1" bestFit="1" customWidth="1"/>
    <col min="5" max="16384" width="9.140625" style="1"/>
  </cols>
  <sheetData>
    <row r="1" spans="1:4">
      <c r="A1" s="1" t="s">
        <v>151</v>
      </c>
      <c r="B1" s="1" t="s">
        <v>152</v>
      </c>
      <c r="C1" s="1" t="s">
        <v>153</v>
      </c>
      <c r="D1" s="1" t="s">
        <v>154</v>
      </c>
    </row>
    <row r="2" spans="1:4">
      <c r="A2" s="1" t="s">
        <v>155</v>
      </c>
      <c r="B2" s="1" t="s">
        <v>156</v>
      </c>
      <c r="C2" s="2">
        <v>33970</v>
      </c>
      <c r="D2" s="1" t="s">
        <v>157</v>
      </c>
    </row>
    <row r="3" spans="1:4">
      <c r="A3" s="1" t="s">
        <v>155</v>
      </c>
      <c r="B3" s="1" t="s">
        <v>156</v>
      </c>
      <c r="C3" s="2">
        <v>34022</v>
      </c>
      <c r="D3" s="1" t="s">
        <v>158</v>
      </c>
    </row>
    <row r="4" spans="1:4">
      <c r="A4" s="1" t="s">
        <v>155</v>
      </c>
      <c r="B4" s="1" t="s">
        <v>156</v>
      </c>
      <c r="C4" s="2">
        <v>34023</v>
      </c>
      <c r="D4" s="1" t="s">
        <v>158</v>
      </c>
    </row>
    <row r="5" spans="1:4">
      <c r="A5" s="1" t="s">
        <v>155</v>
      </c>
      <c r="B5" s="1" t="s">
        <v>156</v>
      </c>
      <c r="C5" s="2">
        <v>34067</v>
      </c>
      <c r="D5" s="1" t="s">
        <v>159</v>
      </c>
    </row>
    <row r="6" spans="1:4">
      <c r="A6" s="1" t="s">
        <v>155</v>
      </c>
      <c r="B6" s="1" t="s">
        <v>156</v>
      </c>
      <c r="C6" s="2">
        <v>34068</v>
      </c>
      <c r="D6" s="1" t="s">
        <v>159</v>
      </c>
    </row>
    <row r="7" spans="1:4">
      <c r="A7" s="1" t="s">
        <v>155</v>
      </c>
      <c r="B7" s="1" t="s">
        <v>156</v>
      </c>
      <c r="C7" s="2">
        <v>34080</v>
      </c>
      <c r="D7" s="1" t="s">
        <v>160</v>
      </c>
    </row>
    <row r="8" spans="1:4">
      <c r="A8" s="1" t="s">
        <v>155</v>
      </c>
      <c r="B8" s="1" t="s">
        <v>156</v>
      </c>
      <c r="C8" s="2">
        <v>34130</v>
      </c>
      <c r="D8" s="1" t="s">
        <v>161</v>
      </c>
    </row>
    <row r="9" spans="1:4">
      <c r="A9" s="1" t="s">
        <v>155</v>
      </c>
      <c r="B9" s="1" t="s">
        <v>156</v>
      </c>
      <c r="C9" s="2">
        <v>34219</v>
      </c>
      <c r="D9" s="1" t="s">
        <v>162</v>
      </c>
    </row>
    <row r="10" spans="1:4">
      <c r="A10" s="1" t="s">
        <v>155</v>
      </c>
      <c r="B10" s="1" t="s">
        <v>156</v>
      </c>
      <c r="C10" s="2">
        <v>34254</v>
      </c>
      <c r="D10" s="1" t="s">
        <v>163</v>
      </c>
    </row>
    <row r="11" spans="1:4">
      <c r="A11" s="1" t="s">
        <v>155</v>
      </c>
      <c r="B11" s="1" t="s">
        <v>156</v>
      </c>
      <c r="C11" s="2">
        <v>34275</v>
      </c>
      <c r="D11" s="1" t="s">
        <v>164</v>
      </c>
    </row>
    <row r="12" spans="1:4">
      <c r="A12" s="1" t="s">
        <v>155</v>
      </c>
      <c r="B12" s="1" t="s">
        <v>156</v>
      </c>
      <c r="C12" s="2">
        <v>34288</v>
      </c>
      <c r="D12" s="1" t="s">
        <v>165</v>
      </c>
    </row>
    <row r="13" spans="1:4">
      <c r="A13" s="1" t="s">
        <v>155</v>
      </c>
      <c r="B13" s="1" t="s">
        <v>156</v>
      </c>
      <c r="C13" s="2">
        <v>34379</v>
      </c>
      <c r="D13" s="1" t="s">
        <v>158</v>
      </c>
    </row>
    <row r="14" spans="1:4">
      <c r="A14" s="1" t="s">
        <v>155</v>
      </c>
      <c r="B14" s="1" t="s">
        <v>156</v>
      </c>
      <c r="C14" s="2">
        <v>34380</v>
      </c>
      <c r="D14" s="1" t="s">
        <v>158</v>
      </c>
    </row>
    <row r="15" spans="1:4">
      <c r="A15" s="1" t="s">
        <v>155</v>
      </c>
      <c r="B15" s="1" t="s">
        <v>156</v>
      </c>
      <c r="C15" s="2">
        <v>34424</v>
      </c>
      <c r="D15" s="1" t="s">
        <v>159</v>
      </c>
    </row>
    <row r="16" spans="1:4">
      <c r="A16" s="1" t="s">
        <v>155</v>
      </c>
      <c r="B16" s="1" t="s">
        <v>156</v>
      </c>
      <c r="C16" s="2">
        <v>34425</v>
      </c>
      <c r="D16" s="1" t="s">
        <v>159</v>
      </c>
    </row>
    <row r="17" spans="1:4">
      <c r="A17" s="1" t="s">
        <v>155</v>
      </c>
      <c r="B17" s="1" t="s">
        <v>156</v>
      </c>
      <c r="C17" s="2">
        <v>34445</v>
      </c>
      <c r="D17" s="1" t="s">
        <v>160</v>
      </c>
    </row>
    <row r="18" spans="1:4">
      <c r="A18" s="1" t="s">
        <v>155</v>
      </c>
      <c r="B18" s="1" t="s">
        <v>156</v>
      </c>
      <c r="C18" s="2">
        <v>34487</v>
      </c>
      <c r="D18" s="1" t="s">
        <v>161</v>
      </c>
    </row>
    <row r="19" spans="1:4">
      <c r="A19" s="1" t="s">
        <v>155</v>
      </c>
      <c r="B19" s="1" t="s">
        <v>156</v>
      </c>
      <c r="C19" s="2">
        <v>34578</v>
      </c>
      <c r="D19" s="1" t="s">
        <v>159</v>
      </c>
    </row>
    <row r="20" spans="1:4">
      <c r="A20" s="1" t="s">
        <v>155</v>
      </c>
      <c r="B20" s="1" t="s">
        <v>156</v>
      </c>
      <c r="C20" s="2">
        <v>34584</v>
      </c>
      <c r="D20" s="1" t="s">
        <v>162</v>
      </c>
    </row>
    <row r="21" spans="1:4">
      <c r="A21" s="1" t="s">
        <v>155</v>
      </c>
      <c r="B21" s="1" t="s">
        <v>156</v>
      </c>
      <c r="C21" s="2">
        <v>34610</v>
      </c>
      <c r="D21" s="1" t="s">
        <v>166</v>
      </c>
    </row>
    <row r="22" spans="1:4">
      <c r="A22" s="1" t="s">
        <v>155</v>
      </c>
      <c r="B22" s="1" t="s">
        <v>156</v>
      </c>
      <c r="C22" s="2">
        <v>34619</v>
      </c>
      <c r="D22" s="1" t="s">
        <v>163</v>
      </c>
    </row>
    <row r="23" spans="1:4">
      <c r="A23" s="1" t="s">
        <v>155</v>
      </c>
      <c r="B23" s="1" t="s">
        <v>156</v>
      </c>
      <c r="C23" s="2">
        <v>34640</v>
      </c>
      <c r="D23" s="1" t="s">
        <v>164</v>
      </c>
    </row>
    <row r="24" spans="1:4">
      <c r="A24" s="1" t="s">
        <v>155</v>
      </c>
      <c r="B24" s="1" t="s">
        <v>156</v>
      </c>
      <c r="C24" s="2">
        <v>34653</v>
      </c>
      <c r="D24" s="1" t="s">
        <v>165</v>
      </c>
    </row>
    <row r="25" spans="1:4">
      <c r="A25" s="1" t="s">
        <v>155</v>
      </c>
      <c r="B25" s="1" t="s">
        <v>156</v>
      </c>
      <c r="C25" s="2">
        <v>34757</v>
      </c>
      <c r="D25" s="1" t="s">
        <v>158</v>
      </c>
    </row>
    <row r="26" spans="1:4">
      <c r="A26" s="1" t="s">
        <v>155</v>
      </c>
      <c r="B26" s="1" t="s">
        <v>156</v>
      </c>
      <c r="C26" s="2">
        <v>34758</v>
      </c>
      <c r="D26" s="1" t="s">
        <v>158</v>
      </c>
    </row>
    <row r="27" spans="1:4">
      <c r="A27" s="1" t="s">
        <v>155</v>
      </c>
      <c r="B27" s="1" t="s">
        <v>156</v>
      </c>
      <c r="C27" s="2">
        <v>34802</v>
      </c>
      <c r="D27" s="1" t="s">
        <v>159</v>
      </c>
    </row>
    <row r="28" spans="1:4">
      <c r="A28" s="1" t="s">
        <v>155</v>
      </c>
      <c r="B28" s="1" t="s">
        <v>156</v>
      </c>
      <c r="C28" s="2">
        <v>34803</v>
      </c>
      <c r="D28" s="1" t="s">
        <v>159</v>
      </c>
    </row>
    <row r="29" spans="1:4">
      <c r="A29" s="1" t="s">
        <v>155</v>
      </c>
      <c r="B29" s="1" t="s">
        <v>156</v>
      </c>
      <c r="C29" s="2">
        <v>34810</v>
      </c>
      <c r="D29" s="1" t="s">
        <v>160</v>
      </c>
    </row>
    <row r="30" spans="1:4">
      <c r="A30" s="1" t="s">
        <v>155</v>
      </c>
      <c r="B30" s="1" t="s">
        <v>156</v>
      </c>
      <c r="C30" s="2">
        <v>34820</v>
      </c>
      <c r="D30" s="1" t="s">
        <v>167</v>
      </c>
    </row>
    <row r="31" spans="1:4">
      <c r="A31" s="1" t="s">
        <v>155</v>
      </c>
      <c r="B31" s="1" t="s">
        <v>156</v>
      </c>
      <c r="C31" s="2">
        <v>34865</v>
      </c>
      <c r="D31" s="1" t="s">
        <v>161</v>
      </c>
    </row>
    <row r="32" spans="1:4">
      <c r="A32" s="1" t="s">
        <v>155</v>
      </c>
      <c r="B32" s="1" t="s">
        <v>156</v>
      </c>
      <c r="C32" s="2">
        <v>34949</v>
      </c>
      <c r="D32" s="1" t="s">
        <v>162</v>
      </c>
    </row>
    <row r="33" spans="1:4">
      <c r="A33" s="1" t="s">
        <v>155</v>
      </c>
      <c r="B33" s="1" t="s">
        <v>156</v>
      </c>
      <c r="C33" s="2">
        <v>34984</v>
      </c>
      <c r="D33" s="1" t="s">
        <v>163</v>
      </c>
    </row>
    <row r="34" spans="1:4">
      <c r="A34" s="1" t="s">
        <v>155</v>
      </c>
      <c r="B34" s="1" t="s">
        <v>156</v>
      </c>
      <c r="C34" s="2">
        <v>35005</v>
      </c>
      <c r="D34" s="1" t="s">
        <v>164</v>
      </c>
    </row>
    <row r="35" spans="1:4">
      <c r="A35" s="1" t="s">
        <v>155</v>
      </c>
      <c r="B35" s="1" t="s">
        <v>156</v>
      </c>
      <c r="C35" s="2">
        <v>35018</v>
      </c>
      <c r="D35" s="1" t="s">
        <v>165</v>
      </c>
    </row>
    <row r="36" spans="1:4">
      <c r="A36" s="1" t="s">
        <v>155</v>
      </c>
      <c r="B36" s="1" t="s">
        <v>156</v>
      </c>
      <c r="C36" s="2">
        <v>35058</v>
      </c>
      <c r="D36" s="1" t="s">
        <v>168</v>
      </c>
    </row>
    <row r="37" spans="1:4">
      <c r="A37" s="1" t="s">
        <v>155</v>
      </c>
      <c r="B37" s="1" t="s">
        <v>156</v>
      </c>
      <c r="C37" s="2">
        <v>35065</v>
      </c>
      <c r="D37" s="1" t="s">
        <v>157</v>
      </c>
    </row>
    <row r="38" spans="1:4">
      <c r="A38" s="1" t="s">
        <v>155</v>
      </c>
      <c r="B38" s="1" t="s">
        <v>156</v>
      </c>
      <c r="C38" s="2">
        <v>35114</v>
      </c>
      <c r="D38" s="1" t="s">
        <v>158</v>
      </c>
    </row>
    <row r="39" spans="1:4">
      <c r="A39" s="1" t="s">
        <v>155</v>
      </c>
      <c r="B39" s="1" t="s">
        <v>156</v>
      </c>
      <c r="C39" s="2">
        <v>35115</v>
      </c>
      <c r="D39" s="1" t="s">
        <v>158</v>
      </c>
    </row>
    <row r="40" spans="1:4">
      <c r="A40" s="1" t="s">
        <v>155</v>
      </c>
      <c r="B40" s="1" t="s">
        <v>156</v>
      </c>
      <c r="C40" s="2">
        <v>35159</v>
      </c>
      <c r="D40" s="1" t="s">
        <v>159</v>
      </c>
    </row>
    <row r="41" spans="1:4">
      <c r="A41" s="1" t="s">
        <v>155</v>
      </c>
      <c r="B41" s="1" t="s">
        <v>156</v>
      </c>
      <c r="C41" s="2">
        <v>35160</v>
      </c>
      <c r="D41" s="1" t="s">
        <v>159</v>
      </c>
    </row>
    <row r="42" spans="1:4">
      <c r="A42" s="1" t="s">
        <v>155</v>
      </c>
      <c r="B42" s="1" t="s">
        <v>156</v>
      </c>
      <c r="C42" s="2">
        <v>35186</v>
      </c>
      <c r="D42" s="1" t="s">
        <v>167</v>
      </c>
    </row>
    <row r="43" spans="1:4">
      <c r="A43" s="1" t="s">
        <v>155</v>
      </c>
      <c r="B43" s="1" t="s">
        <v>156</v>
      </c>
      <c r="C43" s="2">
        <v>35222</v>
      </c>
      <c r="D43" s="1" t="s">
        <v>161</v>
      </c>
    </row>
    <row r="44" spans="1:4">
      <c r="A44" s="1" t="s">
        <v>155</v>
      </c>
      <c r="B44" s="1" t="s">
        <v>156</v>
      </c>
      <c r="C44" s="2">
        <v>35341</v>
      </c>
      <c r="D44" s="1" t="s">
        <v>169</v>
      </c>
    </row>
    <row r="45" spans="1:4">
      <c r="A45" s="1" t="s">
        <v>155</v>
      </c>
      <c r="B45" s="1" t="s">
        <v>156</v>
      </c>
      <c r="C45" s="2">
        <v>35384</v>
      </c>
      <c r="D45" s="1" t="s">
        <v>170</v>
      </c>
    </row>
    <row r="46" spans="1:4">
      <c r="A46" s="1" t="s">
        <v>155</v>
      </c>
      <c r="B46" s="1" t="s">
        <v>156</v>
      </c>
      <c r="C46" s="2">
        <v>35424</v>
      </c>
      <c r="D46" s="1" t="s">
        <v>168</v>
      </c>
    </row>
    <row r="47" spans="1:4">
      <c r="A47" s="1" t="s">
        <v>155</v>
      </c>
      <c r="B47" s="1" t="s">
        <v>156</v>
      </c>
      <c r="C47" s="2">
        <v>35431</v>
      </c>
      <c r="D47" s="1" t="s">
        <v>157</v>
      </c>
    </row>
    <row r="48" spans="1:4">
      <c r="A48" s="1" t="s">
        <v>155</v>
      </c>
      <c r="B48" s="1" t="s">
        <v>156</v>
      </c>
      <c r="C48" s="2">
        <v>35471</v>
      </c>
      <c r="D48" s="1" t="s">
        <v>158</v>
      </c>
    </row>
    <row r="49" spans="1:4">
      <c r="A49" s="1" t="s">
        <v>155</v>
      </c>
      <c r="B49" s="1" t="s">
        <v>156</v>
      </c>
      <c r="C49" s="2">
        <v>35472</v>
      </c>
      <c r="D49" s="1" t="s">
        <v>158</v>
      </c>
    </row>
    <row r="50" spans="1:4">
      <c r="A50" s="1" t="s">
        <v>155</v>
      </c>
      <c r="B50" s="1" t="s">
        <v>156</v>
      </c>
      <c r="C50" s="2">
        <v>35516</v>
      </c>
      <c r="D50" s="1" t="s">
        <v>159</v>
      </c>
    </row>
    <row r="51" spans="1:4">
      <c r="A51" s="1" t="s">
        <v>155</v>
      </c>
      <c r="B51" s="1" t="s">
        <v>156</v>
      </c>
      <c r="C51" s="2">
        <v>35517</v>
      </c>
      <c r="D51" s="1" t="s">
        <v>171</v>
      </c>
    </row>
    <row r="52" spans="1:4">
      <c r="A52" s="1" t="s">
        <v>155</v>
      </c>
      <c r="B52" s="1" t="s">
        <v>156</v>
      </c>
      <c r="C52" s="2">
        <v>35541</v>
      </c>
      <c r="D52" s="1" t="s">
        <v>160</v>
      </c>
    </row>
    <row r="53" spans="1:4">
      <c r="A53" s="1" t="s">
        <v>155</v>
      </c>
      <c r="B53" s="1" t="s">
        <v>156</v>
      </c>
      <c r="C53" s="2">
        <v>35551</v>
      </c>
      <c r="D53" s="1" t="s">
        <v>167</v>
      </c>
    </row>
    <row r="54" spans="1:4">
      <c r="A54" s="1" t="s">
        <v>155</v>
      </c>
      <c r="B54" s="1" t="s">
        <v>156</v>
      </c>
      <c r="C54" s="2">
        <v>35579</v>
      </c>
      <c r="D54" s="1" t="s">
        <v>161</v>
      </c>
    </row>
    <row r="55" spans="1:4">
      <c r="A55" s="1" t="s">
        <v>155</v>
      </c>
      <c r="B55" s="1" t="s">
        <v>156</v>
      </c>
      <c r="C55" s="2">
        <v>35789</v>
      </c>
      <c r="D55" s="1" t="s">
        <v>168</v>
      </c>
    </row>
    <row r="56" spans="1:4">
      <c r="A56" s="1" t="s">
        <v>155</v>
      </c>
      <c r="B56" s="1" t="s">
        <v>156</v>
      </c>
      <c r="C56" s="2">
        <v>35796</v>
      </c>
      <c r="D56" s="1" t="s">
        <v>157</v>
      </c>
    </row>
    <row r="57" spans="1:4">
      <c r="A57" s="1" t="s">
        <v>155</v>
      </c>
      <c r="B57" s="1" t="s">
        <v>156</v>
      </c>
      <c r="C57" s="2">
        <v>35849</v>
      </c>
      <c r="D57" s="1" t="s">
        <v>158</v>
      </c>
    </row>
    <row r="58" spans="1:4">
      <c r="A58" s="1" t="s">
        <v>155</v>
      </c>
      <c r="B58" s="1" t="s">
        <v>156</v>
      </c>
      <c r="C58" s="2">
        <v>35850</v>
      </c>
      <c r="D58" s="1" t="s">
        <v>158</v>
      </c>
    </row>
    <row r="59" spans="1:4">
      <c r="A59" s="1" t="s">
        <v>155</v>
      </c>
      <c r="B59" s="1" t="s">
        <v>156</v>
      </c>
      <c r="C59" s="2">
        <v>35894</v>
      </c>
      <c r="D59" s="1" t="s">
        <v>159</v>
      </c>
    </row>
    <row r="60" spans="1:4">
      <c r="A60" s="1" t="s">
        <v>155</v>
      </c>
      <c r="B60" s="1" t="s">
        <v>156</v>
      </c>
      <c r="C60" s="2">
        <v>35895</v>
      </c>
      <c r="D60" s="1" t="s">
        <v>171</v>
      </c>
    </row>
    <row r="61" spans="1:4">
      <c r="A61" s="1" t="s">
        <v>155</v>
      </c>
      <c r="B61" s="1" t="s">
        <v>156</v>
      </c>
      <c r="C61" s="2">
        <v>35906</v>
      </c>
      <c r="D61" s="1" t="s">
        <v>160</v>
      </c>
    </row>
    <row r="62" spans="1:4">
      <c r="A62" s="1" t="s">
        <v>155</v>
      </c>
      <c r="B62" s="1" t="s">
        <v>156</v>
      </c>
      <c r="C62" s="2">
        <v>35916</v>
      </c>
      <c r="D62" s="1" t="s">
        <v>167</v>
      </c>
    </row>
    <row r="63" spans="1:4">
      <c r="A63" s="1" t="s">
        <v>155</v>
      </c>
      <c r="B63" s="1" t="s">
        <v>156</v>
      </c>
      <c r="C63" s="2">
        <v>35957</v>
      </c>
      <c r="D63" s="1" t="s">
        <v>161</v>
      </c>
    </row>
    <row r="64" spans="1:4">
      <c r="A64" s="1" t="s">
        <v>155</v>
      </c>
      <c r="B64" s="1" t="s">
        <v>156</v>
      </c>
      <c r="C64" s="2">
        <v>36045</v>
      </c>
      <c r="D64" s="1" t="s">
        <v>162</v>
      </c>
    </row>
    <row r="65" spans="1:4">
      <c r="A65" s="1" t="s">
        <v>155</v>
      </c>
      <c r="B65" s="1" t="s">
        <v>156</v>
      </c>
      <c r="C65" s="2">
        <v>36080</v>
      </c>
      <c r="D65" s="1" t="s">
        <v>163</v>
      </c>
    </row>
    <row r="66" spans="1:4">
      <c r="A66" s="1" t="s">
        <v>155</v>
      </c>
      <c r="B66" s="1" t="s">
        <v>156</v>
      </c>
      <c r="C66" s="2">
        <v>36101</v>
      </c>
      <c r="D66" s="1" t="s">
        <v>164</v>
      </c>
    </row>
    <row r="67" spans="1:4">
      <c r="A67" s="1" t="s">
        <v>155</v>
      </c>
      <c r="B67" s="1" t="s">
        <v>156</v>
      </c>
      <c r="C67" s="2">
        <v>36154</v>
      </c>
      <c r="D67" s="1" t="s">
        <v>168</v>
      </c>
    </row>
    <row r="68" spans="1:4">
      <c r="A68" s="1" t="s">
        <v>155</v>
      </c>
      <c r="B68" s="1" t="s">
        <v>156</v>
      </c>
      <c r="C68" s="2">
        <v>36161</v>
      </c>
      <c r="D68" s="1" t="s">
        <v>157</v>
      </c>
    </row>
    <row r="69" spans="1:4">
      <c r="A69" s="1" t="s">
        <v>155</v>
      </c>
      <c r="B69" s="1" t="s">
        <v>156</v>
      </c>
      <c r="C69" s="2">
        <v>36206</v>
      </c>
      <c r="D69" s="1" t="s">
        <v>158</v>
      </c>
    </row>
    <row r="70" spans="1:4">
      <c r="A70" s="1" t="s">
        <v>155</v>
      </c>
      <c r="B70" s="1" t="s">
        <v>156</v>
      </c>
      <c r="C70" s="2">
        <v>36207</v>
      </c>
      <c r="D70" s="1" t="s">
        <v>158</v>
      </c>
    </row>
    <row r="71" spans="1:4">
      <c r="A71" s="1" t="s">
        <v>155</v>
      </c>
      <c r="B71" s="1" t="s">
        <v>156</v>
      </c>
      <c r="C71" s="2">
        <v>36251</v>
      </c>
      <c r="D71" s="1" t="s">
        <v>159</v>
      </c>
    </row>
    <row r="72" spans="1:4">
      <c r="A72" s="1" t="s">
        <v>155</v>
      </c>
      <c r="B72" s="1" t="s">
        <v>156</v>
      </c>
      <c r="C72" s="2">
        <v>36252</v>
      </c>
      <c r="D72" s="1" t="s">
        <v>171</v>
      </c>
    </row>
    <row r="73" spans="1:4">
      <c r="A73" s="1" t="s">
        <v>155</v>
      </c>
      <c r="B73" s="1" t="s">
        <v>156</v>
      </c>
      <c r="C73" s="2">
        <v>36271</v>
      </c>
      <c r="D73" s="1" t="s">
        <v>160</v>
      </c>
    </row>
    <row r="74" spans="1:4">
      <c r="A74" s="1" t="s">
        <v>155</v>
      </c>
      <c r="B74" s="1" t="s">
        <v>156</v>
      </c>
      <c r="C74" s="2">
        <v>36314</v>
      </c>
      <c r="D74" s="1" t="s">
        <v>161</v>
      </c>
    </row>
    <row r="75" spans="1:4">
      <c r="A75" s="1" t="s">
        <v>155</v>
      </c>
      <c r="B75" s="1" t="s">
        <v>156</v>
      </c>
      <c r="C75" s="2">
        <v>36410</v>
      </c>
      <c r="D75" s="1" t="s">
        <v>162</v>
      </c>
    </row>
    <row r="76" spans="1:4">
      <c r="A76" s="1" t="s">
        <v>155</v>
      </c>
      <c r="B76" s="1" t="s">
        <v>156</v>
      </c>
      <c r="C76" s="2">
        <v>36445</v>
      </c>
      <c r="D76" s="1" t="s">
        <v>172</v>
      </c>
    </row>
    <row r="77" spans="1:4">
      <c r="A77" s="1" t="s">
        <v>155</v>
      </c>
      <c r="B77" s="1" t="s">
        <v>156</v>
      </c>
      <c r="C77" s="2">
        <v>36466</v>
      </c>
      <c r="D77" s="1" t="s">
        <v>164</v>
      </c>
    </row>
    <row r="78" spans="1:4">
      <c r="A78" s="1" t="s">
        <v>155</v>
      </c>
      <c r="B78" s="1" t="s">
        <v>156</v>
      </c>
      <c r="C78" s="2">
        <v>36479</v>
      </c>
      <c r="D78" s="1" t="s">
        <v>170</v>
      </c>
    </row>
    <row r="79" spans="1:4">
      <c r="A79" s="1" t="s">
        <v>155</v>
      </c>
      <c r="B79" s="1" t="s">
        <v>156</v>
      </c>
      <c r="C79" s="2">
        <v>36591</v>
      </c>
      <c r="D79" s="1" t="s">
        <v>158</v>
      </c>
    </row>
    <row r="80" spans="1:4">
      <c r="A80" s="1" t="s">
        <v>155</v>
      </c>
      <c r="B80" s="1" t="s">
        <v>156</v>
      </c>
      <c r="C80" s="2">
        <v>36592</v>
      </c>
      <c r="D80" s="1" t="s">
        <v>158</v>
      </c>
    </row>
    <row r="81" spans="1:4">
      <c r="A81" s="1" t="s">
        <v>155</v>
      </c>
      <c r="B81" s="1" t="s">
        <v>156</v>
      </c>
      <c r="C81" s="2">
        <v>36637</v>
      </c>
      <c r="D81" s="1" t="s">
        <v>171</v>
      </c>
    </row>
    <row r="82" spans="1:4">
      <c r="A82" s="1" t="s">
        <v>155</v>
      </c>
      <c r="B82" s="1" t="s">
        <v>156</v>
      </c>
      <c r="C82" s="2">
        <v>36647</v>
      </c>
      <c r="D82" s="1" t="s">
        <v>167</v>
      </c>
    </row>
    <row r="83" spans="1:4">
      <c r="A83" s="1" t="s">
        <v>155</v>
      </c>
      <c r="B83" s="1" t="s">
        <v>156</v>
      </c>
      <c r="C83" s="2">
        <v>36699</v>
      </c>
      <c r="D83" s="1" t="s">
        <v>161</v>
      </c>
    </row>
    <row r="84" spans="1:4">
      <c r="A84" s="1" t="s">
        <v>155</v>
      </c>
      <c r="B84" s="1" t="s">
        <v>156</v>
      </c>
      <c r="C84" s="2">
        <v>36776</v>
      </c>
      <c r="D84" s="1" t="s">
        <v>162</v>
      </c>
    </row>
    <row r="85" spans="1:4">
      <c r="A85" s="1" t="s">
        <v>155</v>
      </c>
      <c r="B85" s="1" t="s">
        <v>156</v>
      </c>
      <c r="C85" s="2">
        <v>36811</v>
      </c>
      <c r="D85" s="1" t="s">
        <v>172</v>
      </c>
    </row>
    <row r="86" spans="1:4">
      <c r="A86" s="1" t="s">
        <v>155</v>
      </c>
      <c r="B86" s="1" t="s">
        <v>156</v>
      </c>
      <c r="C86" s="2">
        <v>36832</v>
      </c>
      <c r="D86" s="1" t="s">
        <v>164</v>
      </c>
    </row>
    <row r="87" spans="1:4">
      <c r="A87" s="1" t="s">
        <v>155</v>
      </c>
      <c r="B87" s="1" t="s">
        <v>156</v>
      </c>
      <c r="C87" s="2">
        <v>36845</v>
      </c>
      <c r="D87" s="1" t="s">
        <v>170</v>
      </c>
    </row>
    <row r="88" spans="1:4">
      <c r="A88" s="1" t="s">
        <v>155</v>
      </c>
      <c r="B88" s="1" t="s">
        <v>156</v>
      </c>
      <c r="C88" s="2">
        <v>36885</v>
      </c>
      <c r="D88" s="1" t="s">
        <v>168</v>
      </c>
    </row>
    <row r="89" spans="1:4">
      <c r="A89" s="1" t="s">
        <v>155</v>
      </c>
      <c r="B89" s="1" t="s">
        <v>156</v>
      </c>
      <c r="C89" s="2">
        <v>36892</v>
      </c>
      <c r="D89" s="1" t="s">
        <v>157</v>
      </c>
    </row>
    <row r="90" spans="1:4">
      <c r="A90" s="1" t="s">
        <v>155</v>
      </c>
      <c r="B90" s="1" t="s">
        <v>156</v>
      </c>
      <c r="C90" s="2">
        <v>36948</v>
      </c>
      <c r="D90" s="1" t="s">
        <v>158</v>
      </c>
    </row>
    <row r="91" spans="1:4">
      <c r="A91" s="1" t="s">
        <v>155</v>
      </c>
      <c r="B91" s="1" t="s">
        <v>156</v>
      </c>
      <c r="C91" s="2">
        <v>36949</v>
      </c>
      <c r="D91" s="1" t="s">
        <v>158</v>
      </c>
    </row>
    <row r="92" spans="1:4">
      <c r="A92" s="1" t="s">
        <v>155</v>
      </c>
      <c r="B92" s="1" t="s">
        <v>156</v>
      </c>
      <c r="C92" s="2">
        <v>36994</v>
      </c>
      <c r="D92" s="1" t="s">
        <v>171</v>
      </c>
    </row>
    <row r="93" spans="1:4">
      <c r="A93" s="1" t="s">
        <v>155</v>
      </c>
      <c r="B93" s="1" t="s">
        <v>156</v>
      </c>
      <c r="C93" s="2">
        <v>37012</v>
      </c>
      <c r="D93" s="1" t="s">
        <v>167</v>
      </c>
    </row>
    <row r="94" spans="1:4">
      <c r="A94" s="1" t="s">
        <v>155</v>
      </c>
      <c r="B94" s="1" t="s">
        <v>156</v>
      </c>
      <c r="C94" s="2">
        <v>37056</v>
      </c>
      <c r="D94" s="1" t="s">
        <v>161</v>
      </c>
    </row>
    <row r="95" spans="1:4">
      <c r="A95" s="1" t="s">
        <v>155</v>
      </c>
      <c r="B95" s="1" t="s">
        <v>156</v>
      </c>
      <c r="C95" s="2">
        <v>37141</v>
      </c>
      <c r="D95" s="1" t="s">
        <v>162</v>
      </c>
    </row>
    <row r="96" spans="1:4">
      <c r="A96" s="1" t="s">
        <v>155</v>
      </c>
      <c r="B96" s="1" t="s">
        <v>156</v>
      </c>
      <c r="C96" s="2">
        <v>37176</v>
      </c>
      <c r="D96" s="1" t="s">
        <v>172</v>
      </c>
    </row>
    <row r="97" spans="1:4">
      <c r="A97" s="1" t="s">
        <v>155</v>
      </c>
      <c r="B97" s="1" t="s">
        <v>156</v>
      </c>
      <c r="C97" s="2">
        <v>37197</v>
      </c>
      <c r="D97" s="1" t="s">
        <v>164</v>
      </c>
    </row>
    <row r="98" spans="1:4">
      <c r="A98" s="1" t="s">
        <v>155</v>
      </c>
      <c r="B98" s="1" t="s">
        <v>156</v>
      </c>
      <c r="C98" s="2">
        <v>37210</v>
      </c>
      <c r="D98" s="1" t="s">
        <v>170</v>
      </c>
    </row>
    <row r="99" spans="1:4">
      <c r="A99" s="1" t="s">
        <v>155</v>
      </c>
      <c r="B99" s="1" t="s">
        <v>156</v>
      </c>
      <c r="C99" s="2">
        <v>37250</v>
      </c>
      <c r="D99" s="1" t="s">
        <v>168</v>
      </c>
    </row>
    <row r="100" spans="1:4">
      <c r="A100" s="1" t="s">
        <v>155</v>
      </c>
      <c r="B100" s="1" t="s">
        <v>156</v>
      </c>
      <c r="C100" s="2">
        <v>37257</v>
      </c>
      <c r="D100" s="1" t="s">
        <v>157</v>
      </c>
    </row>
    <row r="101" spans="1:4">
      <c r="A101" s="1" t="s">
        <v>155</v>
      </c>
      <c r="B101" s="1" t="s">
        <v>156</v>
      </c>
      <c r="C101" s="2">
        <v>37298</v>
      </c>
      <c r="D101" s="1" t="s">
        <v>158</v>
      </c>
    </row>
    <row r="102" spans="1:4">
      <c r="A102" s="1" t="s">
        <v>155</v>
      </c>
      <c r="B102" s="1" t="s">
        <v>156</v>
      </c>
      <c r="C102" s="2">
        <v>37299</v>
      </c>
      <c r="D102" s="1" t="s">
        <v>158</v>
      </c>
    </row>
    <row r="103" spans="1:4">
      <c r="A103" s="1" t="s">
        <v>155</v>
      </c>
      <c r="B103" s="1" t="s">
        <v>156</v>
      </c>
      <c r="C103" s="2">
        <v>37344</v>
      </c>
      <c r="D103" s="1" t="s">
        <v>171</v>
      </c>
    </row>
    <row r="104" spans="1:4">
      <c r="A104" s="1" t="s">
        <v>155</v>
      </c>
      <c r="B104" s="1" t="s">
        <v>156</v>
      </c>
      <c r="C104" s="2">
        <v>37377</v>
      </c>
      <c r="D104" s="1" t="s">
        <v>167</v>
      </c>
    </row>
    <row r="105" spans="1:4">
      <c r="A105" s="1" t="s">
        <v>155</v>
      </c>
      <c r="B105" s="1" t="s">
        <v>156</v>
      </c>
      <c r="C105" s="2">
        <v>37406</v>
      </c>
      <c r="D105" s="1" t="s">
        <v>161</v>
      </c>
    </row>
    <row r="106" spans="1:4">
      <c r="A106" s="1" t="s">
        <v>155</v>
      </c>
      <c r="B106" s="1" t="s">
        <v>156</v>
      </c>
      <c r="C106" s="2">
        <v>37575</v>
      </c>
      <c r="D106" s="1" t="s">
        <v>170</v>
      </c>
    </row>
    <row r="107" spans="1:4">
      <c r="A107" s="1" t="s">
        <v>155</v>
      </c>
      <c r="B107" s="1" t="s">
        <v>156</v>
      </c>
      <c r="C107" s="2">
        <v>37615</v>
      </c>
      <c r="D107" s="1" t="s">
        <v>168</v>
      </c>
    </row>
    <row r="108" spans="1:4">
      <c r="A108" s="1" t="s">
        <v>155</v>
      </c>
      <c r="B108" s="1" t="s">
        <v>156</v>
      </c>
      <c r="C108" s="2">
        <v>37622</v>
      </c>
      <c r="D108" s="1" t="s">
        <v>157</v>
      </c>
    </row>
    <row r="109" spans="1:4">
      <c r="A109" s="1" t="s">
        <v>155</v>
      </c>
      <c r="B109" s="1" t="s">
        <v>156</v>
      </c>
      <c r="C109" s="2">
        <v>37683</v>
      </c>
      <c r="D109" s="1" t="s">
        <v>158</v>
      </c>
    </row>
    <row r="110" spans="1:4">
      <c r="A110" s="1" t="s">
        <v>155</v>
      </c>
      <c r="B110" s="1" t="s">
        <v>156</v>
      </c>
      <c r="C110" s="2">
        <v>37684</v>
      </c>
      <c r="D110" s="1" t="s">
        <v>158</v>
      </c>
    </row>
    <row r="111" spans="1:4">
      <c r="A111" s="1" t="s">
        <v>155</v>
      </c>
      <c r="B111" s="1" t="s">
        <v>156</v>
      </c>
      <c r="C111" s="2">
        <v>37729</v>
      </c>
      <c r="D111" s="1" t="s">
        <v>171</v>
      </c>
    </row>
    <row r="112" spans="1:4">
      <c r="A112" s="1" t="s">
        <v>155</v>
      </c>
      <c r="B112" s="1" t="s">
        <v>156</v>
      </c>
      <c r="C112" s="2">
        <v>37732</v>
      </c>
      <c r="D112" s="1" t="s">
        <v>160</v>
      </c>
    </row>
    <row r="113" spans="1:4">
      <c r="A113" s="1" t="s">
        <v>155</v>
      </c>
      <c r="B113" s="1" t="s">
        <v>156</v>
      </c>
      <c r="C113" s="2">
        <v>37742</v>
      </c>
      <c r="D113" s="1" t="s">
        <v>167</v>
      </c>
    </row>
    <row r="114" spans="1:4">
      <c r="A114" s="1" t="s">
        <v>155</v>
      </c>
      <c r="B114" s="1" t="s">
        <v>156</v>
      </c>
      <c r="C114" s="2">
        <v>37791</v>
      </c>
      <c r="D114" s="1" t="s">
        <v>161</v>
      </c>
    </row>
    <row r="115" spans="1:4">
      <c r="A115" s="1" t="s">
        <v>155</v>
      </c>
      <c r="B115" s="1" t="s">
        <v>156</v>
      </c>
      <c r="C115" s="2">
        <v>37980</v>
      </c>
      <c r="D115" s="1" t="s">
        <v>168</v>
      </c>
    </row>
    <row r="116" spans="1:4">
      <c r="A116" s="1" t="s">
        <v>155</v>
      </c>
      <c r="B116" s="1" t="s">
        <v>156</v>
      </c>
      <c r="C116" s="2">
        <v>37987</v>
      </c>
      <c r="D116" s="1" t="s">
        <v>173</v>
      </c>
    </row>
    <row r="117" spans="1:4">
      <c r="A117" s="1" t="s">
        <v>155</v>
      </c>
      <c r="B117" s="1" t="s">
        <v>156</v>
      </c>
      <c r="C117" s="2">
        <v>38040</v>
      </c>
      <c r="D117" s="1" t="s">
        <v>158</v>
      </c>
    </row>
    <row r="118" spans="1:4">
      <c r="A118" s="1" t="s">
        <v>155</v>
      </c>
      <c r="B118" s="1" t="s">
        <v>156</v>
      </c>
      <c r="C118" s="2">
        <v>38041</v>
      </c>
      <c r="D118" s="1" t="s">
        <v>158</v>
      </c>
    </row>
    <row r="119" spans="1:4">
      <c r="A119" s="1" t="s">
        <v>155</v>
      </c>
      <c r="B119" s="1" t="s">
        <v>156</v>
      </c>
      <c r="C119" s="2">
        <v>38086</v>
      </c>
      <c r="D119" s="1" t="s">
        <v>171</v>
      </c>
    </row>
    <row r="120" spans="1:4">
      <c r="A120" s="1" t="s">
        <v>155</v>
      </c>
      <c r="B120" s="1" t="s">
        <v>156</v>
      </c>
      <c r="C120" s="2">
        <v>38098</v>
      </c>
      <c r="D120" s="1" t="s">
        <v>160</v>
      </c>
    </row>
    <row r="121" spans="1:4">
      <c r="A121" s="1" t="s">
        <v>155</v>
      </c>
      <c r="B121" s="1" t="s">
        <v>156</v>
      </c>
      <c r="C121" s="2">
        <v>38148</v>
      </c>
      <c r="D121" s="1" t="s">
        <v>161</v>
      </c>
    </row>
    <row r="122" spans="1:4">
      <c r="A122" s="1" t="s">
        <v>155</v>
      </c>
      <c r="B122" s="1" t="s">
        <v>156</v>
      </c>
      <c r="C122" s="2">
        <v>38237</v>
      </c>
      <c r="D122" s="1" t="s">
        <v>162</v>
      </c>
    </row>
    <row r="123" spans="1:4">
      <c r="A123" s="1" t="s">
        <v>155</v>
      </c>
      <c r="B123" s="1" t="s">
        <v>156</v>
      </c>
      <c r="C123" s="2">
        <v>38272</v>
      </c>
      <c r="D123" s="1" t="s">
        <v>172</v>
      </c>
    </row>
    <row r="124" spans="1:4">
      <c r="A124" s="1" t="s">
        <v>155</v>
      </c>
      <c r="B124" s="1" t="s">
        <v>156</v>
      </c>
      <c r="C124" s="2">
        <v>38293</v>
      </c>
      <c r="D124" s="1" t="s">
        <v>164</v>
      </c>
    </row>
    <row r="125" spans="1:4">
      <c r="A125" s="1" t="s">
        <v>155</v>
      </c>
      <c r="B125" s="1" t="s">
        <v>156</v>
      </c>
      <c r="C125" s="2">
        <v>38306</v>
      </c>
      <c r="D125" s="1" t="s">
        <v>170</v>
      </c>
    </row>
    <row r="126" spans="1:4">
      <c r="A126" s="1" t="s">
        <v>155</v>
      </c>
      <c r="B126" s="1" t="s">
        <v>156</v>
      </c>
      <c r="C126" s="2">
        <v>38390</v>
      </c>
      <c r="D126" s="1" t="s">
        <v>158</v>
      </c>
    </row>
    <row r="127" spans="1:4">
      <c r="A127" s="1" t="s">
        <v>155</v>
      </c>
      <c r="B127" s="1" t="s">
        <v>156</v>
      </c>
      <c r="C127" s="2">
        <v>38391</v>
      </c>
      <c r="D127" s="1" t="s">
        <v>158</v>
      </c>
    </row>
    <row r="128" spans="1:4">
      <c r="A128" s="1" t="s">
        <v>155</v>
      </c>
      <c r="B128" s="1" t="s">
        <v>156</v>
      </c>
      <c r="C128" s="2">
        <v>38436</v>
      </c>
      <c r="D128" s="1" t="s">
        <v>174</v>
      </c>
    </row>
    <row r="129" spans="1:4">
      <c r="A129" s="1" t="s">
        <v>155</v>
      </c>
      <c r="B129" s="1" t="s">
        <v>156</v>
      </c>
      <c r="C129" s="2">
        <v>38463</v>
      </c>
      <c r="D129" s="1" t="s">
        <v>160</v>
      </c>
    </row>
    <row r="130" spans="1:4">
      <c r="A130" s="1" t="s">
        <v>155</v>
      </c>
      <c r="B130" s="1" t="s">
        <v>156</v>
      </c>
      <c r="C130" s="2">
        <v>38498</v>
      </c>
      <c r="D130" s="1" t="s">
        <v>161</v>
      </c>
    </row>
    <row r="131" spans="1:4">
      <c r="A131" s="1" t="s">
        <v>155</v>
      </c>
      <c r="B131" s="1" t="s">
        <v>156</v>
      </c>
      <c r="C131" s="2">
        <v>38602</v>
      </c>
      <c r="D131" s="1" t="s">
        <v>162</v>
      </c>
    </row>
    <row r="132" spans="1:4">
      <c r="A132" s="1" t="s">
        <v>155</v>
      </c>
      <c r="B132" s="1" t="s">
        <v>156</v>
      </c>
      <c r="C132" s="2">
        <v>38637</v>
      </c>
      <c r="D132" s="1" t="s">
        <v>172</v>
      </c>
    </row>
    <row r="133" spans="1:4">
      <c r="A133" s="1" t="s">
        <v>155</v>
      </c>
      <c r="B133" s="1" t="s">
        <v>156</v>
      </c>
      <c r="C133" s="2">
        <v>38658</v>
      </c>
      <c r="D133" s="1" t="s">
        <v>164</v>
      </c>
    </row>
    <row r="134" spans="1:4">
      <c r="A134" s="1" t="s">
        <v>155</v>
      </c>
      <c r="B134" s="1" t="s">
        <v>156</v>
      </c>
      <c r="C134" s="2">
        <v>38671</v>
      </c>
      <c r="D134" s="1" t="s">
        <v>175</v>
      </c>
    </row>
    <row r="135" spans="1:4">
      <c r="A135" s="1" t="s">
        <v>155</v>
      </c>
      <c r="B135" s="1" t="s">
        <v>156</v>
      </c>
      <c r="C135" s="2">
        <v>38775</v>
      </c>
      <c r="D135" s="1" t="s">
        <v>158</v>
      </c>
    </row>
    <row r="136" spans="1:4">
      <c r="A136" s="1" t="s">
        <v>155</v>
      </c>
      <c r="B136" s="1" t="s">
        <v>156</v>
      </c>
      <c r="C136" s="2">
        <v>38776</v>
      </c>
      <c r="D136" s="1" t="s">
        <v>158</v>
      </c>
    </row>
    <row r="137" spans="1:4">
      <c r="A137" s="1" t="s">
        <v>155</v>
      </c>
      <c r="B137" s="1" t="s">
        <v>156</v>
      </c>
      <c r="C137" s="2">
        <v>38821</v>
      </c>
      <c r="D137" s="1" t="s">
        <v>174</v>
      </c>
    </row>
    <row r="138" spans="1:4">
      <c r="A138" s="1" t="s">
        <v>155</v>
      </c>
      <c r="B138" s="1" t="s">
        <v>156</v>
      </c>
      <c r="C138" s="2">
        <v>38828</v>
      </c>
      <c r="D138" s="1" t="s">
        <v>160</v>
      </c>
    </row>
    <row r="139" spans="1:4">
      <c r="A139" s="1" t="s">
        <v>155</v>
      </c>
      <c r="B139" s="1" t="s">
        <v>156</v>
      </c>
      <c r="C139" s="2">
        <v>38838</v>
      </c>
      <c r="D139" s="1" t="s">
        <v>167</v>
      </c>
    </row>
    <row r="140" spans="1:4">
      <c r="A140" s="1" t="s">
        <v>155</v>
      </c>
      <c r="B140" s="1" t="s">
        <v>156</v>
      </c>
      <c r="C140" s="2">
        <v>38883</v>
      </c>
      <c r="D140" s="1" t="s">
        <v>176</v>
      </c>
    </row>
    <row r="141" spans="1:4">
      <c r="A141" s="1" t="s">
        <v>177</v>
      </c>
      <c r="B141" s="1" t="s">
        <v>156</v>
      </c>
      <c r="C141" s="2">
        <v>38883</v>
      </c>
      <c r="D141" s="1" t="s">
        <v>176</v>
      </c>
    </row>
    <row r="142" spans="1:4">
      <c r="A142" s="1" t="s">
        <v>155</v>
      </c>
      <c r="B142" s="1" t="s">
        <v>156</v>
      </c>
      <c r="C142" s="2">
        <v>38967</v>
      </c>
      <c r="D142" s="1" t="s">
        <v>162</v>
      </c>
    </row>
    <row r="143" spans="1:4">
      <c r="A143" s="1" t="s">
        <v>155</v>
      </c>
      <c r="B143" s="1" t="s">
        <v>156</v>
      </c>
      <c r="C143" s="2">
        <v>39002</v>
      </c>
      <c r="D143" s="1" t="s">
        <v>172</v>
      </c>
    </row>
    <row r="144" spans="1:4">
      <c r="A144" s="1" t="s">
        <v>155</v>
      </c>
      <c r="B144" s="1" t="s">
        <v>156</v>
      </c>
      <c r="C144" s="2">
        <v>39023</v>
      </c>
      <c r="D144" s="1" t="s">
        <v>164</v>
      </c>
    </row>
    <row r="145" spans="1:4">
      <c r="A145" s="1" t="s">
        <v>155</v>
      </c>
      <c r="B145" s="1" t="s">
        <v>156</v>
      </c>
      <c r="C145" s="2">
        <v>39036</v>
      </c>
      <c r="D145" s="1" t="s">
        <v>178</v>
      </c>
    </row>
    <row r="146" spans="1:4">
      <c r="A146" s="1" t="s">
        <v>155</v>
      </c>
      <c r="B146" s="1" t="s">
        <v>156</v>
      </c>
      <c r="C146" s="2">
        <v>39076</v>
      </c>
      <c r="D146" s="1" t="s">
        <v>168</v>
      </c>
    </row>
    <row r="147" spans="1:4">
      <c r="A147" s="1" t="s">
        <v>155</v>
      </c>
      <c r="B147" s="1" t="s">
        <v>156</v>
      </c>
      <c r="C147" s="2">
        <v>39083</v>
      </c>
      <c r="D147" s="1" t="s">
        <v>157</v>
      </c>
    </row>
    <row r="148" spans="1:4">
      <c r="A148" s="1" t="s">
        <v>155</v>
      </c>
      <c r="B148" s="1" t="s">
        <v>156</v>
      </c>
      <c r="C148" s="2">
        <v>39132</v>
      </c>
      <c r="D148" s="1" t="s">
        <v>158</v>
      </c>
    </row>
    <row r="149" spans="1:4">
      <c r="A149" s="1" t="s">
        <v>155</v>
      </c>
      <c r="B149" s="1" t="s">
        <v>156</v>
      </c>
      <c r="C149" s="2">
        <v>39133</v>
      </c>
      <c r="D149" s="1" t="s">
        <v>158</v>
      </c>
    </row>
    <row r="150" spans="1:4">
      <c r="A150" s="1" t="s">
        <v>155</v>
      </c>
      <c r="B150" s="1" t="s">
        <v>156</v>
      </c>
      <c r="C150" s="2">
        <v>39178</v>
      </c>
      <c r="D150" s="1" t="s">
        <v>174</v>
      </c>
    </row>
    <row r="151" spans="1:4">
      <c r="A151" s="1" t="s">
        <v>155</v>
      </c>
      <c r="B151" s="1" t="s">
        <v>156</v>
      </c>
      <c r="C151" s="2">
        <v>39203</v>
      </c>
      <c r="D151" s="1" t="s">
        <v>167</v>
      </c>
    </row>
    <row r="152" spans="1:4">
      <c r="A152" s="1" t="s">
        <v>155</v>
      </c>
      <c r="B152" s="1" t="s">
        <v>156</v>
      </c>
      <c r="C152" s="2">
        <v>39240</v>
      </c>
      <c r="D152" s="1" t="s">
        <v>176</v>
      </c>
    </row>
    <row r="153" spans="1:4">
      <c r="A153" s="1" t="s">
        <v>155</v>
      </c>
      <c r="B153" s="1" t="s">
        <v>156</v>
      </c>
      <c r="C153" s="2">
        <v>39332</v>
      </c>
      <c r="D153" s="1" t="s">
        <v>162</v>
      </c>
    </row>
    <row r="154" spans="1:4">
      <c r="A154" s="1" t="s">
        <v>155</v>
      </c>
      <c r="B154" s="1" t="s">
        <v>156</v>
      </c>
      <c r="C154" s="2">
        <v>39367</v>
      </c>
      <c r="D154" s="1" t="s">
        <v>172</v>
      </c>
    </row>
    <row r="155" spans="1:4">
      <c r="A155" s="1" t="s">
        <v>155</v>
      </c>
      <c r="B155" s="1" t="s">
        <v>156</v>
      </c>
      <c r="C155" s="2">
        <v>39388</v>
      </c>
      <c r="D155" s="1" t="s">
        <v>164</v>
      </c>
    </row>
    <row r="156" spans="1:4">
      <c r="A156" s="1" t="s">
        <v>155</v>
      </c>
      <c r="B156" s="1" t="s">
        <v>156</v>
      </c>
      <c r="C156" s="2">
        <v>39401</v>
      </c>
      <c r="D156" s="1" t="s">
        <v>178</v>
      </c>
    </row>
    <row r="157" spans="1:4">
      <c r="A157" s="1" t="s">
        <v>155</v>
      </c>
      <c r="B157" s="1" t="s">
        <v>156</v>
      </c>
      <c r="C157" s="2">
        <v>39441</v>
      </c>
      <c r="D157" s="1" t="s">
        <v>168</v>
      </c>
    </row>
    <row r="158" spans="1:4">
      <c r="A158" s="1" t="s">
        <v>155</v>
      </c>
      <c r="B158" s="1" t="s">
        <v>156</v>
      </c>
      <c r="C158" s="2">
        <v>39448</v>
      </c>
      <c r="D158" s="1" t="s">
        <v>157</v>
      </c>
    </row>
    <row r="159" spans="1:4">
      <c r="A159" s="1" t="s">
        <v>155</v>
      </c>
      <c r="B159" s="1" t="s">
        <v>156</v>
      </c>
      <c r="C159" s="2">
        <v>39482</v>
      </c>
      <c r="D159" s="1" t="s">
        <v>158</v>
      </c>
    </row>
    <row r="160" spans="1:4">
      <c r="A160" s="1" t="s">
        <v>155</v>
      </c>
      <c r="B160" s="1" t="s">
        <v>156</v>
      </c>
      <c r="C160" s="2">
        <v>39483</v>
      </c>
      <c r="D160" s="1" t="s">
        <v>158</v>
      </c>
    </row>
    <row r="161" spans="1:4">
      <c r="A161" s="1" t="s">
        <v>155</v>
      </c>
      <c r="B161" s="1" t="s">
        <v>156</v>
      </c>
      <c r="C161" s="2">
        <v>39528</v>
      </c>
      <c r="D161" s="1" t="s">
        <v>174</v>
      </c>
    </row>
    <row r="162" spans="1:4">
      <c r="A162" s="1" t="s">
        <v>155</v>
      </c>
      <c r="B162" s="1" t="s">
        <v>156</v>
      </c>
      <c r="C162" s="2">
        <v>39559</v>
      </c>
      <c r="D162" s="1" t="s">
        <v>160</v>
      </c>
    </row>
    <row r="163" spans="1:4">
      <c r="A163" s="1" t="s">
        <v>155</v>
      </c>
      <c r="B163" s="1" t="s">
        <v>156</v>
      </c>
      <c r="C163" s="2">
        <v>39569</v>
      </c>
      <c r="D163" s="1" t="s">
        <v>167</v>
      </c>
    </row>
    <row r="164" spans="1:4">
      <c r="A164" s="1" t="s">
        <v>155</v>
      </c>
      <c r="B164" s="1" t="s">
        <v>156</v>
      </c>
      <c r="C164" s="2">
        <v>39590</v>
      </c>
      <c r="D164" s="1" t="s">
        <v>176</v>
      </c>
    </row>
    <row r="165" spans="1:4">
      <c r="A165" s="1" t="s">
        <v>155</v>
      </c>
      <c r="B165" s="1" t="s">
        <v>156</v>
      </c>
      <c r="C165" s="2">
        <v>39807</v>
      </c>
      <c r="D165" s="1" t="s">
        <v>168</v>
      </c>
    </row>
    <row r="166" spans="1:4">
      <c r="A166" s="1" t="s">
        <v>155</v>
      </c>
      <c r="B166" s="1" t="s">
        <v>156</v>
      </c>
      <c r="C166" s="2">
        <v>39814</v>
      </c>
      <c r="D166" s="1" t="s">
        <v>157</v>
      </c>
    </row>
    <row r="167" spans="1:4">
      <c r="A167" s="1" t="s">
        <v>155</v>
      </c>
      <c r="B167" s="1" t="s">
        <v>156</v>
      </c>
      <c r="C167" s="2">
        <v>39867</v>
      </c>
      <c r="D167" s="1" t="s">
        <v>158</v>
      </c>
    </row>
    <row r="168" spans="1:4">
      <c r="A168" s="1" t="s">
        <v>155</v>
      </c>
      <c r="B168" s="1" t="s">
        <v>156</v>
      </c>
      <c r="C168" s="2">
        <v>39868</v>
      </c>
      <c r="D168" s="1" t="s">
        <v>158</v>
      </c>
    </row>
    <row r="169" spans="1:4">
      <c r="A169" s="1" t="s">
        <v>155</v>
      </c>
      <c r="B169" s="1" t="s">
        <v>156</v>
      </c>
      <c r="C169" s="2">
        <v>39913</v>
      </c>
      <c r="D169" s="1" t="s">
        <v>174</v>
      </c>
    </row>
    <row r="170" spans="1:4">
      <c r="A170" s="1" t="s">
        <v>155</v>
      </c>
      <c r="B170" s="1" t="s">
        <v>156</v>
      </c>
      <c r="C170" s="2">
        <v>39924</v>
      </c>
      <c r="D170" s="1" t="s">
        <v>160</v>
      </c>
    </row>
    <row r="171" spans="1:4">
      <c r="A171" s="1" t="s">
        <v>155</v>
      </c>
      <c r="B171" s="1" t="s">
        <v>156</v>
      </c>
      <c r="C171" s="2">
        <v>39934</v>
      </c>
      <c r="D171" s="1" t="s">
        <v>167</v>
      </c>
    </row>
    <row r="172" spans="1:4">
      <c r="A172" s="1" t="s">
        <v>155</v>
      </c>
      <c r="B172" s="1" t="s">
        <v>156</v>
      </c>
      <c r="C172" s="2">
        <v>39975</v>
      </c>
      <c r="D172" s="1" t="s">
        <v>176</v>
      </c>
    </row>
    <row r="173" spans="1:4">
      <c r="A173" s="1" t="s">
        <v>155</v>
      </c>
      <c r="B173" s="1" t="s">
        <v>156</v>
      </c>
      <c r="C173" s="2">
        <v>40063</v>
      </c>
      <c r="D173" s="1" t="s">
        <v>162</v>
      </c>
    </row>
    <row r="174" spans="1:4">
      <c r="A174" s="1" t="s">
        <v>155</v>
      </c>
      <c r="B174" s="1" t="s">
        <v>156</v>
      </c>
      <c r="C174" s="2">
        <v>40098</v>
      </c>
      <c r="D174" s="1" t="s">
        <v>172</v>
      </c>
    </row>
    <row r="175" spans="1:4">
      <c r="A175" s="1" t="s">
        <v>155</v>
      </c>
      <c r="B175" s="1" t="s">
        <v>156</v>
      </c>
      <c r="C175" s="2">
        <v>40119</v>
      </c>
      <c r="D175" s="1" t="s">
        <v>164</v>
      </c>
    </row>
    <row r="176" spans="1:4">
      <c r="A176" s="1" t="s">
        <v>155</v>
      </c>
      <c r="B176" s="1" t="s">
        <v>156</v>
      </c>
      <c r="C176" s="2">
        <v>40172</v>
      </c>
      <c r="D176" s="1" t="s">
        <v>168</v>
      </c>
    </row>
    <row r="177" spans="1:4">
      <c r="A177" s="1" t="s">
        <v>155</v>
      </c>
      <c r="B177" s="1" t="s">
        <v>156</v>
      </c>
      <c r="C177" s="2">
        <v>40179</v>
      </c>
      <c r="D177" s="1" t="s">
        <v>157</v>
      </c>
    </row>
    <row r="178" spans="1:4">
      <c r="A178" s="1" t="s">
        <v>155</v>
      </c>
      <c r="B178" s="1" t="s">
        <v>156</v>
      </c>
      <c r="C178" s="2">
        <v>40224</v>
      </c>
      <c r="D178" s="1" t="s">
        <v>158</v>
      </c>
    </row>
    <row r="179" spans="1:4">
      <c r="A179" s="1" t="s">
        <v>155</v>
      </c>
      <c r="B179" s="1" t="s">
        <v>156</v>
      </c>
      <c r="C179" s="2">
        <v>40225</v>
      </c>
      <c r="D179" s="1" t="s">
        <v>158</v>
      </c>
    </row>
    <row r="180" spans="1:4">
      <c r="A180" s="1" t="s">
        <v>155</v>
      </c>
      <c r="B180" s="1" t="s">
        <v>156</v>
      </c>
      <c r="C180" s="2">
        <v>40270</v>
      </c>
      <c r="D180" s="1" t="s">
        <v>174</v>
      </c>
    </row>
    <row r="181" spans="1:4">
      <c r="A181" s="1" t="s">
        <v>155</v>
      </c>
      <c r="B181" s="1" t="s">
        <v>156</v>
      </c>
      <c r="C181" s="2">
        <v>40289</v>
      </c>
      <c r="D181" s="1" t="s">
        <v>160</v>
      </c>
    </row>
    <row r="182" spans="1:4">
      <c r="A182" s="1" t="s">
        <v>155</v>
      </c>
      <c r="B182" s="1" t="s">
        <v>156</v>
      </c>
      <c r="C182" s="2">
        <v>40332</v>
      </c>
      <c r="D182" s="1" t="s">
        <v>176</v>
      </c>
    </row>
    <row r="183" spans="1:4">
      <c r="A183" s="1" t="s">
        <v>155</v>
      </c>
      <c r="B183" s="1" t="s">
        <v>156</v>
      </c>
      <c r="C183" s="2">
        <v>40428</v>
      </c>
      <c r="D183" s="1" t="s">
        <v>162</v>
      </c>
    </row>
    <row r="184" spans="1:4">
      <c r="A184" s="1" t="s">
        <v>155</v>
      </c>
      <c r="B184" s="1" t="s">
        <v>156</v>
      </c>
      <c r="C184" s="2">
        <v>40463</v>
      </c>
      <c r="D184" s="1" t="s">
        <v>172</v>
      </c>
    </row>
    <row r="185" spans="1:4">
      <c r="A185" s="1" t="s">
        <v>155</v>
      </c>
      <c r="B185" s="1" t="s">
        <v>156</v>
      </c>
      <c r="C185" s="2">
        <v>40484</v>
      </c>
      <c r="D185" s="1" t="s">
        <v>164</v>
      </c>
    </row>
    <row r="186" spans="1:4">
      <c r="A186" s="1" t="s">
        <v>155</v>
      </c>
      <c r="B186" s="1" t="s">
        <v>156</v>
      </c>
      <c r="C186" s="2">
        <v>40497</v>
      </c>
      <c r="D186" s="1" t="s">
        <v>178</v>
      </c>
    </row>
    <row r="187" spans="1:4">
      <c r="A187" s="1" t="s">
        <v>155</v>
      </c>
      <c r="B187" s="1" t="s">
        <v>156</v>
      </c>
      <c r="C187" s="2">
        <v>40609</v>
      </c>
      <c r="D187" s="1" t="s">
        <v>158</v>
      </c>
    </row>
    <row r="188" spans="1:4">
      <c r="A188" s="1" t="s">
        <v>155</v>
      </c>
      <c r="B188" s="1" t="s">
        <v>156</v>
      </c>
      <c r="C188" s="2">
        <v>40610</v>
      </c>
      <c r="D188" s="1" t="s">
        <v>179</v>
      </c>
    </row>
    <row r="189" spans="1:4">
      <c r="A189" s="1" t="s">
        <v>155</v>
      </c>
      <c r="B189" s="1" t="s">
        <v>156</v>
      </c>
      <c r="C189" s="2">
        <v>40654</v>
      </c>
      <c r="D189" s="1" t="s">
        <v>160</v>
      </c>
    </row>
    <row r="190" spans="1:4">
      <c r="A190" s="1" t="s">
        <v>155</v>
      </c>
      <c r="B190" s="1" t="s">
        <v>156</v>
      </c>
      <c r="C190" s="2">
        <v>40655</v>
      </c>
      <c r="D190" s="1" t="s">
        <v>180</v>
      </c>
    </row>
    <row r="191" spans="1:4">
      <c r="A191" s="1" t="s">
        <v>155</v>
      </c>
      <c r="B191" s="1" t="s">
        <v>156</v>
      </c>
      <c r="C191" s="2">
        <v>40717</v>
      </c>
      <c r="D191" s="1" t="s">
        <v>181</v>
      </c>
    </row>
    <row r="192" spans="1:4">
      <c r="A192" s="1" t="s">
        <v>155</v>
      </c>
      <c r="B192" s="1" t="s">
        <v>156</v>
      </c>
      <c r="C192" s="2">
        <v>40793</v>
      </c>
      <c r="D192" s="1" t="s">
        <v>182</v>
      </c>
    </row>
    <row r="193" spans="1:4">
      <c r="A193" s="1" t="s">
        <v>155</v>
      </c>
      <c r="B193" s="1" t="s">
        <v>156</v>
      </c>
      <c r="C193" s="2">
        <v>40828</v>
      </c>
      <c r="D193" s="1" t="s">
        <v>183</v>
      </c>
    </row>
    <row r="194" spans="1:4">
      <c r="A194" s="1" t="s">
        <v>155</v>
      </c>
      <c r="B194" s="1" t="s">
        <v>156</v>
      </c>
      <c r="C194" s="2">
        <v>40849</v>
      </c>
      <c r="D194" s="1" t="s">
        <v>164</v>
      </c>
    </row>
    <row r="195" spans="1:4">
      <c r="A195" s="1" t="s">
        <v>155</v>
      </c>
      <c r="B195" s="1" t="s">
        <v>156</v>
      </c>
      <c r="C195" s="2">
        <v>40862</v>
      </c>
      <c r="D195" s="1" t="s">
        <v>184</v>
      </c>
    </row>
    <row r="196" spans="1:4">
      <c r="A196" s="1" t="s">
        <v>155</v>
      </c>
      <c r="B196" s="1" t="s">
        <v>156</v>
      </c>
      <c r="C196" s="2">
        <v>40959</v>
      </c>
      <c r="D196" s="1" t="s">
        <v>158</v>
      </c>
    </row>
    <row r="197" spans="1:4">
      <c r="A197" s="1" t="s">
        <v>155</v>
      </c>
      <c r="B197" s="1" t="s">
        <v>156</v>
      </c>
      <c r="C197" s="2">
        <v>40960</v>
      </c>
      <c r="D197" s="1" t="s">
        <v>158</v>
      </c>
    </row>
    <row r="198" spans="1:4">
      <c r="A198" s="1" t="s">
        <v>155</v>
      </c>
      <c r="B198" s="1" t="s">
        <v>156</v>
      </c>
      <c r="C198" s="2">
        <v>41005</v>
      </c>
      <c r="D198" s="1" t="s">
        <v>180</v>
      </c>
    </row>
    <row r="199" spans="1:4">
      <c r="A199" s="1" t="s">
        <v>155</v>
      </c>
      <c r="B199" s="1" t="s">
        <v>156</v>
      </c>
      <c r="C199" s="2">
        <v>41030</v>
      </c>
      <c r="D199" s="1" t="s">
        <v>167</v>
      </c>
    </row>
    <row r="200" spans="1:4">
      <c r="A200" s="1" t="s">
        <v>155</v>
      </c>
      <c r="B200" s="1" t="s">
        <v>156</v>
      </c>
      <c r="C200" s="2">
        <v>41067</v>
      </c>
      <c r="D200" s="1" t="s">
        <v>181</v>
      </c>
    </row>
    <row r="201" spans="1:4">
      <c r="A201" s="1" t="s">
        <v>155</v>
      </c>
      <c r="B201" s="1" t="s">
        <v>156</v>
      </c>
      <c r="C201" s="2">
        <v>41159</v>
      </c>
      <c r="D201" s="1" t="s">
        <v>185</v>
      </c>
    </row>
    <row r="202" spans="1:4">
      <c r="A202" s="1" t="s">
        <v>155</v>
      </c>
      <c r="B202" s="1" t="s">
        <v>156</v>
      </c>
      <c r="C202" s="2">
        <v>41194</v>
      </c>
      <c r="D202" s="1" t="s">
        <v>186</v>
      </c>
    </row>
    <row r="203" spans="1:4">
      <c r="A203" s="1" t="s">
        <v>155</v>
      </c>
      <c r="B203" s="1" t="s">
        <v>156</v>
      </c>
      <c r="C203" s="2">
        <v>41215</v>
      </c>
      <c r="D203" s="1" t="s">
        <v>164</v>
      </c>
    </row>
    <row r="204" spans="1:4">
      <c r="A204" s="1" t="s">
        <v>155</v>
      </c>
      <c r="B204" s="1" t="s">
        <v>156</v>
      </c>
      <c r="C204" s="2">
        <v>41228</v>
      </c>
      <c r="D204" s="1" t="s">
        <v>184</v>
      </c>
    </row>
    <row r="205" spans="1:4">
      <c r="A205" s="1" t="s">
        <v>155</v>
      </c>
      <c r="B205" s="1" t="s">
        <v>156</v>
      </c>
      <c r="C205" s="2">
        <v>41268</v>
      </c>
      <c r="D205" s="1" t="s">
        <v>168</v>
      </c>
    </row>
    <row r="206" spans="1:4">
      <c r="A206" s="1" t="s">
        <v>155</v>
      </c>
      <c r="B206" s="1" t="s">
        <v>156</v>
      </c>
      <c r="C206" s="2">
        <v>41275</v>
      </c>
      <c r="D206" s="1" t="s">
        <v>187</v>
      </c>
    </row>
    <row r="207" spans="1:4">
      <c r="A207" s="1" t="s">
        <v>155</v>
      </c>
      <c r="B207" s="1" t="s">
        <v>156</v>
      </c>
      <c r="C207" s="2">
        <v>41316</v>
      </c>
      <c r="D207" s="1" t="s">
        <v>158</v>
      </c>
    </row>
    <row r="208" spans="1:4">
      <c r="A208" s="1" t="s">
        <v>155</v>
      </c>
      <c r="B208" s="1" t="s">
        <v>156</v>
      </c>
      <c r="C208" s="2">
        <v>41317</v>
      </c>
      <c r="D208" s="1" t="s">
        <v>158</v>
      </c>
    </row>
    <row r="209" spans="1:4">
      <c r="A209" s="1" t="s">
        <v>155</v>
      </c>
      <c r="B209" s="1" t="s">
        <v>156</v>
      </c>
      <c r="C209" s="2">
        <v>41362</v>
      </c>
      <c r="D209" s="1" t="s">
        <v>180</v>
      </c>
    </row>
    <row r="210" spans="1:4">
      <c r="A210" s="1" t="s">
        <v>155</v>
      </c>
      <c r="B210" s="1" t="s">
        <v>156</v>
      </c>
      <c r="C210" s="2">
        <v>41395</v>
      </c>
      <c r="D210" s="1" t="s">
        <v>167</v>
      </c>
    </row>
    <row r="211" spans="1:4">
      <c r="A211" s="1" t="s">
        <v>155</v>
      </c>
      <c r="B211" s="1" t="s">
        <v>156</v>
      </c>
      <c r="C211" s="2">
        <v>41424</v>
      </c>
      <c r="D211" s="1" t="s">
        <v>181</v>
      </c>
    </row>
    <row r="212" spans="1:4">
      <c r="A212" s="1" t="s">
        <v>155</v>
      </c>
      <c r="B212" s="1" t="s">
        <v>156</v>
      </c>
      <c r="C212" s="2">
        <v>41593</v>
      </c>
      <c r="D212" s="1" t="s">
        <v>188</v>
      </c>
    </row>
    <row r="213" spans="1:4">
      <c r="A213" s="1" t="s">
        <v>155</v>
      </c>
      <c r="B213" s="1" t="s">
        <v>156</v>
      </c>
      <c r="C213" s="2">
        <v>41633</v>
      </c>
      <c r="D213" s="1" t="s">
        <v>168</v>
      </c>
    </row>
    <row r="214" spans="1:4">
      <c r="A214" s="1" t="s">
        <v>155</v>
      </c>
      <c r="B214" s="1" t="s">
        <v>156</v>
      </c>
      <c r="C214" s="2">
        <v>41640</v>
      </c>
      <c r="D214" s="1" t="s">
        <v>187</v>
      </c>
    </row>
    <row r="215" spans="1:4">
      <c r="A215" s="1" t="s">
        <v>155</v>
      </c>
      <c r="B215" s="1" t="s">
        <v>156</v>
      </c>
      <c r="C215" s="2">
        <v>41701</v>
      </c>
      <c r="D215" s="1" t="s">
        <v>158</v>
      </c>
    </row>
    <row r="216" spans="1:4">
      <c r="A216" s="1" t="s">
        <v>155</v>
      </c>
      <c r="B216" s="1" t="s">
        <v>156</v>
      </c>
      <c r="C216" s="2">
        <v>41702</v>
      </c>
      <c r="D216" s="1" t="s">
        <v>189</v>
      </c>
    </row>
    <row r="217" spans="1:4">
      <c r="A217" s="1" t="s">
        <v>155</v>
      </c>
      <c r="B217" s="1" t="s">
        <v>156</v>
      </c>
      <c r="C217" s="2">
        <v>41747</v>
      </c>
      <c r="D217" s="1" t="s">
        <v>180</v>
      </c>
    </row>
    <row r="218" spans="1:4">
      <c r="A218" s="1" t="s">
        <v>155</v>
      </c>
      <c r="B218" s="1" t="s">
        <v>156</v>
      </c>
      <c r="C218" s="2">
        <v>41750</v>
      </c>
      <c r="D218" s="1" t="s">
        <v>160</v>
      </c>
    </row>
    <row r="219" spans="1:4">
      <c r="A219" s="1" t="s">
        <v>155</v>
      </c>
      <c r="B219" s="1" t="s">
        <v>156</v>
      </c>
      <c r="C219" s="2">
        <v>41760</v>
      </c>
      <c r="D219" s="1" t="s">
        <v>167</v>
      </c>
    </row>
    <row r="220" spans="1:4">
      <c r="A220" s="1" t="s">
        <v>155</v>
      </c>
      <c r="B220" s="1" t="s">
        <v>156</v>
      </c>
      <c r="C220" s="2">
        <v>41809</v>
      </c>
      <c r="D220" s="1" t="s">
        <v>181</v>
      </c>
    </row>
    <row r="221" spans="1:4">
      <c r="A221" s="1" t="s">
        <v>155</v>
      </c>
      <c r="B221" s="1" t="s">
        <v>156</v>
      </c>
      <c r="C221" s="2">
        <v>41998</v>
      </c>
      <c r="D221" s="1" t="s">
        <v>168</v>
      </c>
    </row>
    <row r="222" spans="1:4">
      <c r="A222" s="1" t="s">
        <v>155</v>
      </c>
      <c r="B222" s="1" t="s">
        <v>156</v>
      </c>
      <c r="C222" s="2">
        <v>42005</v>
      </c>
      <c r="D222" s="1" t="s">
        <v>187</v>
      </c>
    </row>
    <row r="223" spans="1:4">
      <c r="A223" s="1" t="s">
        <v>155</v>
      </c>
      <c r="B223" s="1" t="s">
        <v>156</v>
      </c>
      <c r="C223" s="2">
        <v>42051</v>
      </c>
      <c r="D223" s="1" t="s">
        <v>158</v>
      </c>
    </row>
    <row r="224" spans="1:4">
      <c r="A224" s="1" t="s">
        <v>155</v>
      </c>
      <c r="B224" s="1" t="s">
        <v>156</v>
      </c>
      <c r="C224" s="2">
        <v>42052</v>
      </c>
      <c r="D224" s="1" t="s">
        <v>158</v>
      </c>
    </row>
    <row r="225" spans="1:4">
      <c r="A225" s="1" t="s">
        <v>155</v>
      </c>
      <c r="B225" s="1" t="s">
        <v>156</v>
      </c>
      <c r="C225" s="2">
        <v>42097</v>
      </c>
      <c r="D225" s="1" t="s">
        <v>180</v>
      </c>
    </row>
    <row r="226" spans="1:4">
      <c r="A226" s="1" t="s">
        <v>155</v>
      </c>
      <c r="B226" s="1" t="s">
        <v>156</v>
      </c>
      <c r="C226" s="2">
        <v>42115</v>
      </c>
      <c r="D226" s="1" t="s">
        <v>160</v>
      </c>
    </row>
    <row r="227" spans="1:4">
      <c r="A227" s="1" t="s">
        <v>155</v>
      </c>
      <c r="B227" s="1" t="s">
        <v>156</v>
      </c>
      <c r="C227" s="2">
        <v>42125</v>
      </c>
      <c r="D227" s="1" t="s">
        <v>167</v>
      </c>
    </row>
    <row r="228" spans="1:4">
      <c r="A228" s="1" t="s">
        <v>155</v>
      </c>
      <c r="B228" s="1" t="s">
        <v>156</v>
      </c>
      <c r="C228" s="2">
        <v>42159</v>
      </c>
      <c r="D228" s="1" t="s">
        <v>181</v>
      </c>
    </row>
    <row r="229" spans="1:4">
      <c r="A229" s="1" t="s">
        <v>155</v>
      </c>
      <c r="B229" s="1" t="s">
        <v>156</v>
      </c>
      <c r="C229" s="2">
        <v>42254</v>
      </c>
      <c r="D229" s="1" t="s">
        <v>182</v>
      </c>
    </row>
    <row r="230" spans="1:4">
      <c r="A230" s="1" t="s">
        <v>155</v>
      </c>
      <c r="B230" s="1" t="s">
        <v>156</v>
      </c>
      <c r="C230" s="2">
        <v>42289</v>
      </c>
      <c r="D230" s="1" t="s">
        <v>190</v>
      </c>
    </row>
    <row r="231" spans="1:4">
      <c r="A231" s="1" t="s">
        <v>155</v>
      </c>
      <c r="B231" s="1" t="s">
        <v>156</v>
      </c>
      <c r="C231" s="2">
        <v>42310</v>
      </c>
      <c r="D231" s="1" t="s">
        <v>164</v>
      </c>
    </row>
    <row r="232" spans="1:4">
      <c r="A232" s="1" t="s">
        <v>155</v>
      </c>
      <c r="B232" s="1" t="s">
        <v>156</v>
      </c>
      <c r="C232" s="2">
        <v>42363</v>
      </c>
      <c r="D232" s="1" t="s">
        <v>168</v>
      </c>
    </row>
    <row r="233" spans="1:4">
      <c r="A233" s="1" t="s">
        <v>155</v>
      </c>
      <c r="B233" s="1" t="s">
        <v>156</v>
      </c>
      <c r="C233" s="2">
        <v>42370</v>
      </c>
      <c r="D233" s="1" t="s">
        <v>191</v>
      </c>
    </row>
    <row r="234" spans="1:4">
      <c r="A234" s="1" t="s">
        <v>155</v>
      </c>
      <c r="B234" s="1" t="s">
        <v>156</v>
      </c>
      <c r="C234" s="2">
        <v>42408</v>
      </c>
      <c r="D234" s="1" t="s">
        <v>158</v>
      </c>
    </row>
    <row r="235" spans="1:4">
      <c r="A235" s="1" t="s">
        <v>155</v>
      </c>
      <c r="B235" s="1" t="s">
        <v>156</v>
      </c>
      <c r="C235" s="2">
        <v>42409</v>
      </c>
      <c r="D235" s="1" t="s">
        <v>158</v>
      </c>
    </row>
    <row r="236" spans="1:4">
      <c r="A236" s="1" t="s">
        <v>155</v>
      </c>
      <c r="B236" s="1" t="s">
        <v>156</v>
      </c>
      <c r="C236" s="2">
        <v>42454</v>
      </c>
      <c r="D236" s="1" t="s">
        <v>180</v>
      </c>
    </row>
    <row r="237" spans="1:4">
      <c r="A237" s="1" t="s">
        <v>155</v>
      </c>
      <c r="B237" s="1" t="s">
        <v>156</v>
      </c>
      <c r="C237" s="2">
        <v>42481</v>
      </c>
      <c r="D237" s="1" t="s">
        <v>160</v>
      </c>
    </row>
    <row r="238" spans="1:4">
      <c r="A238" s="1" t="s">
        <v>155</v>
      </c>
      <c r="B238" s="1" t="s">
        <v>156</v>
      </c>
      <c r="C238" s="2">
        <v>42516</v>
      </c>
      <c r="D238" s="1" t="s">
        <v>181</v>
      </c>
    </row>
    <row r="239" spans="1:4">
      <c r="A239" s="1" t="s">
        <v>155</v>
      </c>
      <c r="B239" s="1" t="s">
        <v>156</v>
      </c>
      <c r="C239" s="2">
        <v>42620</v>
      </c>
      <c r="D239" s="1" t="s">
        <v>182</v>
      </c>
    </row>
    <row r="240" spans="1:4">
      <c r="A240" s="1" t="s">
        <v>155</v>
      </c>
      <c r="B240" s="1" t="s">
        <v>156</v>
      </c>
      <c r="C240" s="2">
        <v>42655</v>
      </c>
      <c r="D240" s="1" t="s">
        <v>192</v>
      </c>
    </row>
    <row r="241" spans="1:4">
      <c r="A241" s="1" t="s">
        <v>155</v>
      </c>
      <c r="B241" s="1" t="s">
        <v>156</v>
      </c>
      <c r="C241" s="2">
        <v>42676</v>
      </c>
      <c r="D241" s="1" t="s">
        <v>164</v>
      </c>
    </row>
    <row r="242" spans="1:4">
      <c r="A242" s="1" t="s">
        <v>155</v>
      </c>
      <c r="B242" s="1" t="s">
        <v>156</v>
      </c>
      <c r="C242" s="2">
        <v>42689</v>
      </c>
      <c r="D242" s="1" t="s">
        <v>193</v>
      </c>
    </row>
    <row r="243" spans="1:4">
      <c r="A243" s="1" t="s">
        <v>155</v>
      </c>
      <c r="B243" s="1" t="s">
        <v>156</v>
      </c>
      <c r="C243" s="2">
        <v>42793</v>
      </c>
      <c r="D243" s="1" t="s">
        <v>158</v>
      </c>
    </row>
    <row r="244" spans="1:4">
      <c r="A244" s="1" t="s">
        <v>155</v>
      </c>
      <c r="B244" s="1" t="s">
        <v>156</v>
      </c>
      <c r="C244" s="2">
        <v>42794</v>
      </c>
      <c r="D244" s="1" t="s">
        <v>189</v>
      </c>
    </row>
    <row r="245" spans="1:4">
      <c r="A245" s="1" t="s">
        <v>155</v>
      </c>
      <c r="B245" s="1" t="s">
        <v>156</v>
      </c>
      <c r="C245" s="2">
        <v>42839</v>
      </c>
      <c r="D245" s="1" t="s">
        <v>180</v>
      </c>
    </row>
    <row r="246" spans="1:4">
      <c r="A246" s="1" t="s">
        <v>155</v>
      </c>
      <c r="B246" s="1" t="s">
        <v>156</v>
      </c>
      <c r="C246" s="2">
        <v>42846</v>
      </c>
      <c r="D246" s="1" t="s">
        <v>160</v>
      </c>
    </row>
    <row r="247" spans="1:4">
      <c r="A247" s="1" t="s">
        <v>155</v>
      </c>
      <c r="B247" s="1" t="s">
        <v>156</v>
      </c>
      <c r="C247" s="2">
        <v>42856</v>
      </c>
      <c r="D247" s="1" t="s">
        <v>167</v>
      </c>
    </row>
    <row r="248" spans="1:4">
      <c r="A248" s="1" t="s">
        <v>155</v>
      </c>
      <c r="B248" s="1" t="s">
        <v>156</v>
      </c>
      <c r="C248" s="2">
        <v>42901</v>
      </c>
      <c r="D248" s="1" t="s">
        <v>181</v>
      </c>
    </row>
    <row r="249" spans="1:4">
      <c r="A249" s="1" t="s">
        <v>155</v>
      </c>
      <c r="B249" s="1" t="s">
        <v>156</v>
      </c>
      <c r="C249" s="2">
        <v>42985</v>
      </c>
      <c r="D249" s="1" t="s">
        <v>194</v>
      </c>
    </row>
    <row r="250" spans="1:4">
      <c r="A250" s="1" t="s">
        <v>155</v>
      </c>
      <c r="B250" s="1" t="s">
        <v>156</v>
      </c>
      <c r="C250" s="2">
        <v>43020</v>
      </c>
      <c r="D250" s="1" t="s">
        <v>192</v>
      </c>
    </row>
    <row r="251" spans="1:4">
      <c r="A251" s="1" t="s">
        <v>155</v>
      </c>
      <c r="B251" s="1" t="s">
        <v>156</v>
      </c>
      <c r="C251" s="2">
        <v>43041</v>
      </c>
      <c r="D251" s="1" t="s">
        <v>164</v>
      </c>
    </row>
    <row r="252" spans="1:4">
      <c r="A252" s="1" t="s">
        <v>155</v>
      </c>
      <c r="B252" s="1" t="s">
        <v>156</v>
      </c>
      <c r="C252" s="2">
        <v>43054</v>
      </c>
      <c r="D252" s="1" t="s">
        <v>193</v>
      </c>
    </row>
    <row r="253" spans="1:4">
      <c r="A253" s="1" t="s">
        <v>155</v>
      </c>
      <c r="B253" s="1" t="s">
        <v>156</v>
      </c>
      <c r="C253" s="2">
        <v>43094</v>
      </c>
      <c r="D253" s="1" t="s">
        <v>168</v>
      </c>
    </row>
    <row r="254" spans="1:4">
      <c r="A254" s="1" t="s">
        <v>155</v>
      </c>
      <c r="B254" s="1" t="s">
        <v>156</v>
      </c>
      <c r="C254" s="2">
        <v>43101</v>
      </c>
      <c r="D254" s="1" t="s">
        <v>187</v>
      </c>
    </row>
    <row r="255" spans="1:4">
      <c r="A255" s="1" t="s">
        <v>155</v>
      </c>
      <c r="B255" s="1" t="s">
        <v>156</v>
      </c>
      <c r="C255" s="2">
        <v>43143</v>
      </c>
      <c r="D255" s="1" t="s">
        <v>158</v>
      </c>
    </row>
    <row r="256" spans="1:4">
      <c r="A256" s="1" t="s">
        <v>155</v>
      </c>
      <c r="B256" s="1" t="s">
        <v>156</v>
      </c>
      <c r="C256" s="2">
        <v>43144</v>
      </c>
      <c r="D256" s="1" t="s">
        <v>158</v>
      </c>
    </row>
    <row r="257" spans="1:4">
      <c r="A257" s="1" t="s">
        <v>155</v>
      </c>
      <c r="B257" s="1" t="s">
        <v>156</v>
      </c>
      <c r="C257" s="2">
        <v>43189</v>
      </c>
      <c r="D257" s="1" t="s">
        <v>195</v>
      </c>
    </row>
    <row r="258" spans="1:4">
      <c r="A258" s="1" t="s">
        <v>155</v>
      </c>
      <c r="B258" s="1" t="s">
        <v>156</v>
      </c>
      <c r="C258" s="2">
        <v>43221</v>
      </c>
      <c r="D258" s="1" t="s">
        <v>196</v>
      </c>
    </row>
    <row r="259" spans="1:4">
      <c r="A259" s="1" t="s">
        <v>155</v>
      </c>
      <c r="B259" s="1" t="s">
        <v>156</v>
      </c>
      <c r="C259" s="2">
        <v>43251</v>
      </c>
      <c r="D259" s="1" t="s">
        <v>181</v>
      </c>
    </row>
    <row r="260" spans="1:4">
      <c r="A260" s="1" t="s">
        <v>155</v>
      </c>
      <c r="B260" s="1" t="s">
        <v>156</v>
      </c>
      <c r="C260" s="2">
        <v>43350</v>
      </c>
      <c r="D260" s="1" t="s">
        <v>197</v>
      </c>
    </row>
    <row r="261" spans="1:4">
      <c r="A261" s="1" t="s">
        <v>155</v>
      </c>
      <c r="B261" s="1" t="s">
        <v>156</v>
      </c>
      <c r="C261" s="2">
        <v>43385</v>
      </c>
      <c r="D261" s="1" t="s">
        <v>198</v>
      </c>
    </row>
    <row r="262" spans="1:4">
      <c r="A262" s="1" t="s">
        <v>155</v>
      </c>
      <c r="B262" s="1" t="s">
        <v>156</v>
      </c>
      <c r="C262" s="2">
        <v>43406</v>
      </c>
      <c r="D262" s="1" t="s">
        <v>164</v>
      </c>
    </row>
    <row r="263" spans="1:4">
      <c r="A263" s="1" t="s">
        <v>155</v>
      </c>
      <c r="B263" s="1" t="s">
        <v>156</v>
      </c>
      <c r="C263" s="2">
        <v>43419</v>
      </c>
      <c r="D263" s="1" t="s">
        <v>193</v>
      </c>
    </row>
    <row r="264" spans="1:4">
      <c r="A264" s="1" t="s">
        <v>155</v>
      </c>
      <c r="B264" s="1" t="s">
        <v>156</v>
      </c>
      <c r="C264" s="2">
        <v>43459</v>
      </c>
      <c r="D264" s="1" t="s">
        <v>168</v>
      </c>
    </row>
    <row r="265" spans="1:4">
      <c r="A265" s="1" t="s">
        <v>155</v>
      </c>
      <c r="B265" s="1" t="s">
        <v>156</v>
      </c>
      <c r="C265" s="2">
        <v>43466</v>
      </c>
      <c r="D265" s="1" t="s">
        <v>187</v>
      </c>
    </row>
    <row r="266" spans="1:4">
      <c r="A266" s="1" t="s">
        <v>155</v>
      </c>
      <c r="B266" s="1" t="s">
        <v>156</v>
      </c>
      <c r="C266" s="2">
        <v>43528</v>
      </c>
      <c r="D266" s="1" t="s">
        <v>158</v>
      </c>
    </row>
    <row r="267" spans="1:4">
      <c r="A267" s="1" t="s">
        <v>155</v>
      </c>
      <c r="B267" s="1" t="s">
        <v>156</v>
      </c>
      <c r="C267" s="2">
        <v>43529</v>
      </c>
      <c r="D267" s="1" t="s">
        <v>158</v>
      </c>
    </row>
    <row r="268" spans="1:4">
      <c r="A268" s="1" t="s">
        <v>155</v>
      </c>
      <c r="B268" s="1" t="s">
        <v>156</v>
      </c>
      <c r="C268" s="2">
        <v>43574</v>
      </c>
      <c r="D268" s="1" t="s">
        <v>180</v>
      </c>
    </row>
    <row r="269" spans="1:4">
      <c r="A269" s="1" t="s">
        <v>155</v>
      </c>
      <c r="B269" s="1" t="s">
        <v>156</v>
      </c>
      <c r="C269" s="2">
        <v>43586</v>
      </c>
      <c r="D269" s="1" t="s">
        <v>167</v>
      </c>
    </row>
    <row r="270" spans="1:4">
      <c r="A270" s="1" t="s">
        <v>155</v>
      </c>
      <c r="B270" s="1" t="s">
        <v>156</v>
      </c>
      <c r="C270" s="2">
        <v>43636</v>
      </c>
      <c r="D270" s="1" t="s">
        <v>199</v>
      </c>
    </row>
    <row r="271" spans="1:4">
      <c r="A271" s="1" t="s">
        <v>155</v>
      </c>
      <c r="B271" s="1" t="s">
        <v>156</v>
      </c>
      <c r="C271" s="2">
        <v>43784</v>
      </c>
      <c r="D271" s="1" t="s">
        <v>164</v>
      </c>
    </row>
    <row r="272" spans="1:4">
      <c r="A272" s="1" t="s">
        <v>155</v>
      </c>
      <c r="B272" s="1" t="s">
        <v>156</v>
      </c>
      <c r="C272" s="2">
        <v>43824</v>
      </c>
      <c r="D272" s="1" t="s">
        <v>168</v>
      </c>
    </row>
    <row r="273" spans="1:4">
      <c r="A273" s="1" t="s">
        <v>155</v>
      </c>
      <c r="B273" s="1" t="s">
        <v>156</v>
      </c>
      <c r="C273" s="2">
        <v>43831</v>
      </c>
      <c r="D273" s="1" t="s">
        <v>187</v>
      </c>
    </row>
    <row r="274" spans="1:4">
      <c r="A274" s="1" t="s">
        <v>155</v>
      </c>
      <c r="B274" s="1" t="s">
        <v>156</v>
      </c>
      <c r="C274" s="2">
        <v>43885</v>
      </c>
      <c r="D274" s="1" t="s">
        <v>158</v>
      </c>
    </row>
    <row r="275" spans="1:4">
      <c r="A275" s="1" t="s">
        <v>155</v>
      </c>
      <c r="B275" s="1" t="s">
        <v>156</v>
      </c>
      <c r="C275" s="2">
        <v>43886</v>
      </c>
      <c r="D275" s="1" t="s">
        <v>158</v>
      </c>
    </row>
    <row r="276" spans="1:4">
      <c r="A276" s="1" t="s">
        <v>155</v>
      </c>
      <c r="B276" s="1" t="s">
        <v>156</v>
      </c>
      <c r="C276" s="2">
        <v>43931</v>
      </c>
      <c r="D276" s="1" t="s">
        <v>200</v>
      </c>
    </row>
    <row r="277" spans="1:4">
      <c r="A277" s="1" t="s">
        <v>155</v>
      </c>
      <c r="B277" s="1" t="s">
        <v>156</v>
      </c>
      <c r="C277" s="2">
        <v>43942</v>
      </c>
      <c r="D277" s="1" t="s">
        <v>160</v>
      </c>
    </row>
    <row r="278" spans="1:4">
      <c r="A278" s="1" t="s">
        <v>155</v>
      </c>
      <c r="B278" s="1" t="s">
        <v>156</v>
      </c>
      <c r="C278" s="2">
        <v>43952</v>
      </c>
      <c r="D278" s="1" t="s">
        <v>196</v>
      </c>
    </row>
    <row r="279" spans="1:4">
      <c r="A279" s="1" t="s">
        <v>155</v>
      </c>
      <c r="B279" s="1" t="s">
        <v>156</v>
      </c>
      <c r="C279" s="2">
        <v>43993</v>
      </c>
      <c r="D279" s="1" t="s">
        <v>201</v>
      </c>
    </row>
    <row r="280" spans="1:4">
      <c r="A280" s="1" t="s">
        <v>155</v>
      </c>
      <c r="B280" s="1" t="s">
        <v>156</v>
      </c>
      <c r="C280" s="2">
        <v>44081</v>
      </c>
      <c r="D280" s="1" t="s">
        <v>182</v>
      </c>
    </row>
    <row r="281" spans="1:4">
      <c r="A281" s="1" t="s">
        <v>155</v>
      </c>
      <c r="B281" s="1" t="s">
        <v>156</v>
      </c>
      <c r="C281" s="2">
        <v>44116</v>
      </c>
      <c r="D281" s="1" t="s">
        <v>198</v>
      </c>
    </row>
    <row r="282" spans="1:4">
      <c r="A282" s="1" t="s">
        <v>155</v>
      </c>
      <c r="B282" s="1" t="s">
        <v>156</v>
      </c>
      <c r="C282" s="2">
        <v>44137</v>
      </c>
      <c r="D282" s="1" t="s">
        <v>164</v>
      </c>
    </row>
    <row r="283" spans="1:4">
      <c r="A283" s="1" t="s">
        <v>155</v>
      </c>
      <c r="B283" s="1" t="s">
        <v>156</v>
      </c>
      <c r="C283" s="2">
        <v>44190</v>
      </c>
      <c r="D283" s="1" t="s">
        <v>168</v>
      </c>
    </row>
    <row r="284" spans="1:4">
      <c r="A284" s="1" t="s">
        <v>155</v>
      </c>
      <c r="B284" s="1" t="s">
        <v>156</v>
      </c>
      <c r="C284" s="2">
        <v>44197</v>
      </c>
      <c r="D284" s="1" t="s">
        <v>187</v>
      </c>
    </row>
    <row r="285" spans="1:4">
      <c r="A285" s="1" t="s">
        <v>155</v>
      </c>
      <c r="B285" s="1" t="s">
        <v>156</v>
      </c>
      <c r="C285" s="2">
        <v>44242</v>
      </c>
      <c r="D285" s="1" t="s">
        <v>158</v>
      </c>
    </row>
    <row r="286" spans="1:4">
      <c r="A286" s="1" t="s">
        <v>155</v>
      </c>
      <c r="B286" s="1" t="s">
        <v>156</v>
      </c>
      <c r="C286" s="2">
        <v>44243</v>
      </c>
      <c r="D286" s="1" t="s">
        <v>158</v>
      </c>
    </row>
    <row r="287" spans="1:4">
      <c r="A287" s="1" t="s">
        <v>155</v>
      </c>
      <c r="B287" s="1" t="s">
        <v>156</v>
      </c>
      <c r="C287" s="2">
        <v>44288</v>
      </c>
      <c r="D287" s="1" t="s">
        <v>180</v>
      </c>
    </row>
    <row r="288" spans="1:4">
      <c r="A288" s="1" t="s">
        <v>155</v>
      </c>
      <c r="B288" s="1" t="s">
        <v>156</v>
      </c>
      <c r="C288" s="2">
        <v>44307</v>
      </c>
      <c r="D288" s="1" t="s">
        <v>160</v>
      </c>
    </row>
    <row r="289" spans="1:4">
      <c r="A289" s="1" t="s">
        <v>155</v>
      </c>
      <c r="B289" s="1" t="s">
        <v>156</v>
      </c>
      <c r="C289" s="2">
        <v>44350</v>
      </c>
      <c r="D289" s="1" t="s">
        <v>181</v>
      </c>
    </row>
    <row r="290" spans="1:4">
      <c r="A290" s="1" t="s">
        <v>155</v>
      </c>
      <c r="B290" s="1" t="s">
        <v>156</v>
      </c>
      <c r="C290" s="2">
        <v>44446</v>
      </c>
      <c r="D290" s="1" t="s">
        <v>182</v>
      </c>
    </row>
    <row r="291" spans="1:4">
      <c r="A291" s="1" t="s">
        <v>155</v>
      </c>
      <c r="B291" s="1" t="s">
        <v>156</v>
      </c>
      <c r="C291" s="2">
        <v>44481</v>
      </c>
      <c r="D291" s="1" t="s">
        <v>202</v>
      </c>
    </row>
    <row r="292" spans="1:4">
      <c r="A292" s="1" t="s">
        <v>155</v>
      </c>
      <c r="B292" s="1" t="s">
        <v>156</v>
      </c>
      <c r="C292" s="2">
        <v>44502</v>
      </c>
      <c r="D292" s="1" t="s">
        <v>164</v>
      </c>
    </row>
    <row r="293" spans="1:4">
      <c r="A293" s="1" t="s">
        <v>155</v>
      </c>
      <c r="B293" s="1" t="s">
        <v>156</v>
      </c>
      <c r="C293" s="2">
        <v>44515</v>
      </c>
      <c r="D293" s="1" t="s">
        <v>203</v>
      </c>
    </row>
    <row r="294" spans="1:4">
      <c r="A294" s="1" t="s">
        <v>155</v>
      </c>
      <c r="B294" s="1" t="s">
        <v>156</v>
      </c>
      <c r="C294" s="2">
        <v>44620</v>
      </c>
      <c r="D294" s="1" t="s">
        <v>158</v>
      </c>
    </row>
    <row r="295" spans="1:4">
      <c r="A295" s="1" t="s">
        <v>155</v>
      </c>
      <c r="B295" s="1" t="s">
        <v>156</v>
      </c>
      <c r="C295" s="2">
        <v>44621</v>
      </c>
      <c r="D295" s="1" t="s">
        <v>158</v>
      </c>
    </row>
    <row r="296" spans="1:4">
      <c r="A296" s="1" t="s">
        <v>155</v>
      </c>
      <c r="B296" s="1" t="s">
        <v>156</v>
      </c>
      <c r="C296" s="2">
        <v>44666</v>
      </c>
      <c r="D296" s="1" t="s">
        <v>204</v>
      </c>
    </row>
    <row r="297" spans="1:4">
      <c r="A297" s="1" t="s">
        <v>155</v>
      </c>
      <c r="B297" s="1" t="s">
        <v>156</v>
      </c>
      <c r="C297" s="2">
        <v>44672</v>
      </c>
      <c r="D297" s="1" t="s">
        <v>160</v>
      </c>
    </row>
    <row r="298" spans="1:4">
      <c r="A298" s="1" t="s">
        <v>155</v>
      </c>
      <c r="B298" s="1" t="s">
        <v>156</v>
      </c>
      <c r="C298" s="2">
        <v>44728</v>
      </c>
      <c r="D298" s="1" t="s">
        <v>161</v>
      </c>
    </row>
    <row r="299" spans="1:4">
      <c r="A299" s="1" t="s">
        <v>155</v>
      </c>
      <c r="B299" s="1" t="s">
        <v>156</v>
      </c>
      <c r="C299" s="2">
        <v>44811</v>
      </c>
      <c r="D299" s="1" t="s">
        <v>162</v>
      </c>
    </row>
    <row r="300" spans="1:4">
      <c r="A300" s="1" t="s">
        <v>155</v>
      </c>
      <c r="B300" s="1" t="s">
        <v>156</v>
      </c>
      <c r="C300" s="2">
        <v>44846</v>
      </c>
      <c r="D300" s="1" t="s">
        <v>205</v>
      </c>
    </row>
    <row r="301" spans="1:4">
      <c r="A301" s="1" t="s">
        <v>155</v>
      </c>
      <c r="B301" s="1" t="s">
        <v>156</v>
      </c>
      <c r="C301" s="2">
        <v>44867</v>
      </c>
      <c r="D301" s="1" t="s">
        <v>164</v>
      </c>
    </row>
    <row r="302" spans="1:4">
      <c r="A302" s="1" t="s">
        <v>155</v>
      </c>
      <c r="B302" s="1" t="s">
        <v>156</v>
      </c>
      <c r="C302" s="2">
        <v>44880</v>
      </c>
      <c r="D302" s="1" t="s">
        <v>206</v>
      </c>
    </row>
    <row r="303" spans="1:4">
      <c r="A303" s="1" t="s">
        <v>155</v>
      </c>
      <c r="B303" s="1" t="s">
        <v>156</v>
      </c>
      <c r="C303" s="2">
        <v>44977</v>
      </c>
      <c r="D303" s="1" t="s">
        <v>158</v>
      </c>
    </row>
    <row r="304" spans="1:4">
      <c r="A304" s="1" t="s">
        <v>155</v>
      </c>
      <c r="B304" s="1" t="s">
        <v>156</v>
      </c>
      <c r="C304" s="2">
        <v>44978</v>
      </c>
      <c r="D304" s="1" t="s">
        <v>158</v>
      </c>
    </row>
    <row r="305" spans="1:5">
      <c r="A305" s="1" t="s">
        <v>155</v>
      </c>
      <c r="B305" s="1" t="s">
        <v>156</v>
      </c>
      <c r="C305" s="2">
        <v>45023</v>
      </c>
      <c r="D305" s="1" t="s">
        <v>204</v>
      </c>
    </row>
    <row r="306" spans="1:5">
      <c r="A306" s="1" t="s">
        <v>155</v>
      </c>
      <c r="B306" s="1" t="s">
        <v>156</v>
      </c>
      <c r="C306" s="2">
        <v>45037</v>
      </c>
      <c r="D306" s="1" t="s">
        <v>160</v>
      </c>
    </row>
    <row r="307" spans="1:5">
      <c r="A307" s="1" t="s">
        <v>155</v>
      </c>
      <c r="B307" s="1" t="s">
        <v>156</v>
      </c>
      <c r="C307" s="2">
        <v>45047</v>
      </c>
      <c r="D307" s="1" t="s">
        <v>167</v>
      </c>
    </row>
    <row r="308" spans="1:5">
      <c r="A308" s="1" t="s">
        <v>155</v>
      </c>
      <c r="B308" s="1" t="s">
        <v>156</v>
      </c>
      <c r="C308" s="2">
        <v>45085</v>
      </c>
      <c r="D308" s="1" t="s">
        <v>161</v>
      </c>
    </row>
    <row r="309" spans="1:5">
      <c r="A309" s="1" t="s">
        <v>155</v>
      </c>
      <c r="B309" s="1" t="s">
        <v>156</v>
      </c>
      <c r="C309" s="2">
        <v>45176</v>
      </c>
      <c r="D309" s="1" t="s">
        <v>162</v>
      </c>
    </row>
    <row r="310" spans="1:5">
      <c r="A310" s="1" t="s">
        <v>155</v>
      </c>
      <c r="B310" s="1" t="s">
        <v>156</v>
      </c>
      <c r="C310" s="2">
        <v>45211</v>
      </c>
      <c r="D310" s="1" t="s">
        <v>205</v>
      </c>
    </row>
    <row r="311" spans="1:5">
      <c r="A311" s="1" t="s">
        <v>155</v>
      </c>
      <c r="B311" s="1" t="s">
        <v>156</v>
      </c>
      <c r="C311" s="2">
        <v>45232</v>
      </c>
      <c r="D311" s="1" t="s">
        <v>164</v>
      </c>
    </row>
    <row r="312" spans="1:5">
      <c r="A312" s="1" t="s">
        <v>155</v>
      </c>
      <c r="B312" s="1" t="s">
        <v>156</v>
      </c>
      <c r="C312" s="2">
        <v>45245</v>
      </c>
      <c r="D312" s="1" t="s">
        <v>206</v>
      </c>
    </row>
    <row r="313" spans="1:5">
      <c r="A313" s="1" t="s">
        <v>155</v>
      </c>
      <c r="B313" s="1" t="s">
        <v>156</v>
      </c>
      <c r="C313" s="2">
        <v>45285</v>
      </c>
      <c r="D313" s="1" t="s">
        <v>168</v>
      </c>
    </row>
    <row r="314" spans="1:5">
      <c r="A314" s="1" t="s">
        <v>155</v>
      </c>
      <c r="B314" s="1" t="s">
        <v>156</v>
      </c>
      <c r="C314" s="2">
        <v>45292</v>
      </c>
      <c r="D314" s="1" t="s">
        <v>207</v>
      </c>
    </row>
    <row r="315" spans="1:5">
      <c r="A315" s="1" t="s">
        <v>155</v>
      </c>
      <c r="B315" s="1" t="s">
        <v>156</v>
      </c>
      <c r="C315" s="2">
        <v>45334</v>
      </c>
      <c r="D315" s="1" t="s">
        <v>158</v>
      </c>
      <c r="E315" s="160" t="s">
        <v>958</v>
      </c>
    </row>
    <row r="316" spans="1:5">
      <c r="A316" s="1" t="s">
        <v>155</v>
      </c>
      <c r="B316" s="1" t="s">
        <v>156</v>
      </c>
      <c r="C316" s="2">
        <v>45335</v>
      </c>
      <c r="D316" s="1" t="s">
        <v>158</v>
      </c>
    </row>
    <row r="317" spans="1:5">
      <c r="A317" s="1" t="s">
        <v>155</v>
      </c>
      <c r="B317" s="1" t="s">
        <v>156</v>
      </c>
      <c r="C317" s="2">
        <v>45380</v>
      </c>
      <c r="D317" s="1" t="s">
        <v>204</v>
      </c>
    </row>
    <row r="318" spans="1:5">
      <c r="A318" s="1" t="s">
        <v>155</v>
      </c>
      <c r="B318" s="1" t="s">
        <v>156</v>
      </c>
      <c r="C318" s="2">
        <v>45413</v>
      </c>
      <c r="D318" s="1" t="s">
        <v>167</v>
      </c>
    </row>
    <row r="319" spans="1:5">
      <c r="A319" s="1" t="s">
        <v>155</v>
      </c>
      <c r="B319" s="1" t="s">
        <v>156</v>
      </c>
      <c r="C319" s="2">
        <v>45442</v>
      </c>
      <c r="D319" s="1" t="s">
        <v>208</v>
      </c>
    </row>
    <row r="320" spans="1:5">
      <c r="A320" s="1" t="s">
        <v>155</v>
      </c>
      <c r="B320" s="1" t="s">
        <v>156</v>
      </c>
      <c r="C320" s="2">
        <v>45611</v>
      </c>
      <c r="D320" s="1" t="s">
        <v>206</v>
      </c>
    </row>
    <row r="321" spans="1:4">
      <c r="A321" s="1" t="s">
        <v>155</v>
      </c>
      <c r="B321" s="1" t="s">
        <v>156</v>
      </c>
      <c r="C321" s="2">
        <v>45651</v>
      </c>
      <c r="D321" s="1" t="s">
        <v>168</v>
      </c>
    </row>
    <row r="322" spans="1:4">
      <c r="A322" s="1" t="s">
        <v>155</v>
      </c>
      <c r="B322" s="1" t="s">
        <v>156</v>
      </c>
      <c r="C322" s="2">
        <v>45658</v>
      </c>
      <c r="D322" s="1" t="s">
        <v>207</v>
      </c>
    </row>
    <row r="323" spans="1:4">
      <c r="A323" s="1" t="s">
        <v>155</v>
      </c>
      <c r="B323" s="1" t="s">
        <v>156</v>
      </c>
      <c r="C323" s="2">
        <v>45719</v>
      </c>
      <c r="D323" s="1" t="s">
        <v>158</v>
      </c>
    </row>
    <row r="324" spans="1:4">
      <c r="A324" s="1" t="s">
        <v>155</v>
      </c>
      <c r="B324" s="1" t="s">
        <v>156</v>
      </c>
      <c r="C324" s="2">
        <v>45720</v>
      </c>
      <c r="D324" s="1" t="s">
        <v>158</v>
      </c>
    </row>
    <row r="325" spans="1:4">
      <c r="A325" s="1" t="s">
        <v>155</v>
      </c>
      <c r="B325" s="1" t="s">
        <v>156</v>
      </c>
      <c r="C325" s="2">
        <v>45765</v>
      </c>
      <c r="D325" s="1" t="s">
        <v>204</v>
      </c>
    </row>
    <row r="326" spans="1:4">
      <c r="A326" s="1" t="s">
        <v>155</v>
      </c>
      <c r="B326" s="1" t="s">
        <v>156</v>
      </c>
      <c r="C326" s="2">
        <v>45768</v>
      </c>
      <c r="D326" s="1" t="s">
        <v>160</v>
      </c>
    </row>
    <row r="327" spans="1:4">
      <c r="A327" s="1" t="s">
        <v>155</v>
      </c>
      <c r="B327" s="1" t="s">
        <v>156</v>
      </c>
      <c r="C327" s="2">
        <v>45778</v>
      </c>
      <c r="D327" s="1" t="s">
        <v>167</v>
      </c>
    </row>
    <row r="328" spans="1:4">
      <c r="A328" s="1" t="s">
        <v>155</v>
      </c>
      <c r="B328" s="1" t="s">
        <v>156</v>
      </c>
      <c r="C328" s="2">
        <v>45827</v>
      </c>
      <c r="D328" s="1" t="s">
        <v>161</v>
      </c>
    </row>
    <row r="329" spans="1:4">
      <c r="A329" s="1" t="s">
        <v>155</v>
      </c>
      <c r="B329" s="1" t="s">
        <v>156</v>
      </c>
      <c r="C329" s="2">
        <v>46016</v>
      </c>
      <c r="D329" s="1" t="s">
        <v>168</v>
      </c>
    </row>
    <row r="330" spans="1:4">
      <c r="A330" s="1" t="s">
        <v>155</v>
      </c>
      <c r="B330" s="1" t="s">
        <v>156</v>
      </c>
      <c r="C330" s="2">
        <v>46023</v>
      </c>
      <c r="D330" s="1" t="s">
        <v>207</v>
      </c>
    </row>
    <row r="331" spans="1:4">
      <c r="A331" s="1" t="s">
        <v>155</v>
      </c>
      <c r="B331" s="1" t="s">
        <v>156</v>
      </c>
      <c r="C331" s="2">
        <v>46069</v>
      </c>
      <c r="D331" s="1" t="s">
        <v>158</v>
      </c>
    </row>
    <row r="332" spans="1:4">
      <c r="A332" s="1" t="s">
        <v>155</v>
      </c>
      <c r="B332" s="1" t="s">
        <v>156</v>
      </c>
      <c r="C332" s="2">
        <v>46070</v>
      </c>
      <c r="D332" s="1" t="s">
        <v>158</v>
      </c>
    </row>
    <row r="333" spans="1:4">
      <c r="A333" s="1" t="s">
        <v>155</v>
      </c>
      <c r="B333" s="1" t="s">
        <v>156</v>
      </c>
      <c r="C333" s="2">
        <v>46115</v>
      </c>
      <c r="D333" s="1" t="s">
        <v>204</v>
      </c>
    </row>
    <row r="334" spans="1:4">
      <c r="A334" s="1" t="s">
        <v>155</v>
      </c>
      <c r="B334" s="1" t="s">
        <v>156</v>
      </c>
      <c r="C334" s="2">
        <v>46133</v>
      </c>
      <c r="D334" s="1" t="s">
        <v>160</v>
      </c>
    </row>
    <row r="335" spans="1:4">
      <c r="A335" s="1" t="s">
        <v>155</v>
      </c>
      <c r="B335" s="1" t="s">
        <v>156</v>
      </c>
      <c r="C335" s="2">
        <v>46143</v>
      </c>
      <c r="D335" s="1" t="s">
        <v>167</v>
      </c>
    </row>
    <row r="336" spans="1:4">
      <c r="A336" s="1" t="s">
        <v>155</v>
      </c>
      <c r="B336" s="1" t="s">
        <v>156</v>
      </c>
      <c r="C336" s="2">
        <v>46177</v>
      </c>
      <c r="D336" s="1" t="s">
        <v>161</v>
      </c>
    </row>
    <row r="337" spans="1:4">
      <c r="A337" s="1" t="s">
        <v>155</v>
      </c>
      <c r="B337" s="1" t="s">
        <v>156</v>
      </c>
      <c r="C337" s="2">
        <v>46272</v>
      </c>
      <c r="D337" s="1" t="s">
        <v>162</v>
      </c>
    </row>
    <row r="338" spans="1:4">
      <c r="A338" s="1" t="s">
        <v>155</v>
      </c>
      <c r="B338" s="1" t="s">
        <v>156</v>
      </c>
      <c r="C338" s="2">
        <v>46307</v>
      </c>
      <c r="D338" s="1" t="s">
        <v>205</v>
      </c>
    </row>
    <row r="339" spans="1:4">
      <c r="A339" s="1" t="s">
        <v>155</v>
      </c>
      <c r="B339" s="1" t="s">
        <v>156</v>
      </c>
      <c r="C339" s="2">
        <v>46328</v>
      </c>
      <c r="D339" s="1" t="s">
        <v>164</v>
      </c>
    </row>
    <row r="340" spans="1:4">
      <c r="A340" s="1" t="s">
        <v>155</v>
      </c>
      <c r="B340" s="1" t="s">
        <v>156</v>
      </c>
      <c r="C340" s="2">
        <v>46381</v>
      </c>
      <c r="D340" s="1" t="s">
        <v>168</v>
      </c>
    </row>
    <row r="341" spans="1:4">
      <c r="A341" s="1" t="s">
        <v>155</v>
      </c>
      <c r="B341" s="1" t="s">
        <v>156</v>
      </c>
      <c r="C341" s="2">
        <v>46388</v>
      </c>
      <c r="D341" s="1" t="s">
        <v>207</v>
      </c>
    </row>
    <row r="342" spans="1:4">
      <c r="A342" s="1" t="s">
        <v>155</v>
      </c>
      <c r="B342" s="1" t="s">
        <v>156</v>
      </c>
      <c r="C342" s="2">
        <v>46426</v>
      </c>
      <c r="D342" s="1" t="s">
        <v>158</v>
      </c>
    </row>
    <row r="343" spans="1:4">
      <c r="A343" s="1" t="s">
        <v>155</v>
      </c>
      <c r="B343" s="1" t="s">
        <v>156</v>
      </c>
      <c r="C343" s="2">
        <v>46427</v>
      </c>
      <c r="D343" s="1" t="s">
        <v>158</v>
      </c>
    </row>
    <row r="344" spans="1:4">
      <c r="A344" s="1" t="s">
        <v>155</v>
      </c>
      <c r="B344" s="1" t="s">
        <v>156</v>
      </c>
      <c r="C344" s="2">
        <v>46472</v>
      </c>
      <c r="D344" s="1" t="s">
        <v>204</v>
      </c>
    </row>
    <row r="345" spans="1:4">
      <c r="A345" s="1" t="s">
        <v>155</v>
      </c>
      <c r="B345" s="1" t="s">
        <v>156</v>
      </c>
      <c r="C345" s="2">
        <v>46498</v>
      </c>
      <c r="D345" s="1" t="s">
        <v>160</v>
      </c>
    </row>
    <row r="346" spans="1:4">
      <c r="A346" s="1" t="s">
        <v>155</v>
      </c>
      <c r="B346" s="1" t="s">
        <v>156</v>
      </c>
      <c r="C346" s="2">
        <v>46534</v>
      </c>
      <c r="D346" s="1" t="s">
        <v>161</v>
      </c>
    </row>
    <row r="347" spans="1:4">
      <c r="A347" s="1" t="s">
        <v>155</v>
      </c>
      <c r="B347" s="1" t="s">
        <v>156</v>
      </c>
      <c r="C347" s="2">
        <v>46637</v>
      </c>
      <c r="D347" s="1" t="s">
        <v>162</v>
      </c>
    </row>
    <row r="348" spans="1:4">
      <c r="A348" s="1" t="s">
        <v>155</v>
      </c>
      <c r="B348" s="1" t="s">
        <v>156</v>
      </c>
      <c r="C348" s="2">
        <v>46672</v>
      </c>
      <c r="D348" s="1" t="s">
        <v>205</v>
      </c>
    </row>
    <row r="349" spans="1:4">
      <c r="A349" s="1" t="s">
        <v>155</v>
      </c>
      <c r="B349" s="1" t="s">
        <v>156</v>
      </c>
      <c r="C349" s="2">
        <v>46693</v>
      </c>
      <c r="D349" s="1" t="s">
        <v>164</v>
      </c>
    </row>
    <row r="350" spans="1:4">
      <c r="A350" s="1" t="s">
        <v>155</v>
      </c>
      <c r="B350" s="1" t="s">
        <v>156</v>
      </c>
      <c r="C350" s="2">
        <v>46706</v>
      </c>
      <c r="D350" s="1" t="s">
        <v>209</v>
      </c>
    </row>
    <row r="351" spans="1:4">
      <c r="A351" s="1" t="s">
        <v>155</v>
      </c>
      <c r="B351" s="1" t="s">
        <v>156</v>
      </c>
      <c r="C351" s="2">
        <v>46811</v>
      </c>
      <c r="D351" s="1" t="s">
        <v>158</v>
      </c>
    </row>
    <row r="352" spans="1:4">
      <c r="A352" s="1" t="s">
        <v>155</v>
      </c>
      <c r="B352" s="1" t="s">
        <v>156</v>
      </c>
      <c r="C352" s="2">
        <v>46812</v>
      </c>
      <c r="D352" s="1" t="s">
        <v>158</v>
      </c>
    </row>
    <row r="353" spans="1:4">
      <c r="A353" s="1" t="s">
        <v>155</v>
      </c>
      <c r="B353" s="1" t="s">
        <v>156</v>
      </c>
      <c r="C353" s="2">
        <v>46857</v>
      </c>
      <c r="D353" s="1" t="s">
        <v>204</v>
      </c>
    </row>
    <row r="354" spans="1:4">
      <c r="A354" s="1" t="s">
        <v>155</v>
      </c>
      <c r="B354" s="1" t="s">
        <v>156</v>
      </c>
      <c r="C354" s="2">
        <v>46864</v>
      </c>
      <c r="D354" s="1" t="s">
        <v>210</v>
      </c>
    </row>
    <row r="355" spans="1:4">
      <c r="A355" s="1" t="s">
        <v>155</v>
      </c>
      <c r="B355" s="1" t="s">
        <v>156</v>
      </c>
      <c r="C355" s="2">
        <v>46874</v>
      </c>
      <c r="D355" s="1" t="s">
        <v>167</v>
      </c>
    </row>
    <row r="356" spans="1:4">
      <c r="A356" s="1" t="s">
        <v>155</v>
      </c>
      <c r="B356" s="1" t="s">
        <v>156</v>
      </c>
      <c r="C356" s="2">
        <v>46919</v>
      </c>
      <c r="D356" s="1" t="s">
        <v>161</v>
      </c>
    </row>
    <row r="357" spans="1:4">
      <c r="A357" s="1" t="s">
        <v>155</v>
      </c>
      <c r="B357" s="1" t="s">
        <v>156</v>
      </c>
      <c r="C357" s="2">
        <v>47003</v>
      </c>
      <c r="D357" s="1" t="s">
        <v>162</v>
      </c>
    </row>
    <row r="358" spans="1:4">
      <c r="A358" s="1" t="s">
        <v>155</v>
      </c>
      <c r="B358" s="1" t="s">
        <v>156</v>
      </c>
      <c r="C358" s="2">
        <v>47038</v>
      </c>
      <c r="D358" s="1" t="s">
        <v>205</v>
      </c>
    </row>
    <row r="359" spans="1:4">
      <c r="A359" s="1" t="s">
        <v>155</v>
      </c>
      <c r="B359" s="1" t="s">
        <v>156</v>
      </c>
      <c r="C359" s="2">
        <v>47059</v>
      </c>
      <c r="D359" s="1" t="s">
        <v>164</v>
      </c>
    </row>
    <row r="360" spans="1:4">
      <c r="A360" s="1" t="s">
        <v>155</v>
      </c>
      <c r="B360" s="1" t="s">
        <v>156</v>
      </c>
      <c r="C360" s="2">
        <v>47072</v>
      </c>
      <c r="D360" s="1" t="s">
        <v>206</v>
      </c>
    </row>
    <row r="361" spans="1:4">
      <c r="A361" s="1" t="s">
        <v>155</v>
      </c>
      <c r="B361" s="1" t="s">
        <v>156</v>
      </c>
      <c r="C361" s="2">
        <v>47112</v>
      </c>
      <c r="D361" s="1" t="s">
        <v>168</v>
      </c>
    </row>
    <row r="362" spans="1:4">
      <c r="A362" s="1" t="s">
        <v>155</v>
      </c>
      <c r="B362" s="1" t="s">
        <v>156</v>
      </c>
      <c r="C362" s="2">
        <v>47119</v>
      </c>
      <c r="D362" s="1" t="s">
        <v>207</v>
      </c>
    </row>
    <row r="363" spans="1:4">
      <c r="A363" s="1" t="s">
        <v>155</v>
      </c>
      <c r="B363" s="1" t="s">
        <v>156</v>
      </c>
      <c r="C363" s="2">
        <v>47161</v>
      </c>
      <c r="D363" s="1" t="s">
        <v>158</v>
      </c>
    </row>
    <row r="364" spans="1:4">
      <c r="A364" s="1" t="s">
        <v>155</v>
      </c>
      <c r="B364" s="1" t="s">
        <v>156</v>
      </c>
      <c r="C364" s="2">
        <v>47162</v>
      </c>
      <c r="D364" s="1" t="s">
        <v>158</v>
      </c>
    </row>
    <row r="365" spans="1:4">
      <c r="A365" s="1" t="s">
        <v>155</v>
      </c>
      <c r="B365" s="1" t="s">
        <v>156</v>
      </c>
      <c r="C365" s="2">
        <v>47207</v>
      </c>
      <c r="D365" s="1" t="s">
        <v>204</v>
      </c>
    </row>
    <row r="366" spans="1:4">
      <c r="A366" s="1" t="s">
        <v>155</v>
      </c>
      <c r="B366" s="1" t="s">
        <v>156</v>
      </c>
      <c r="C366" s="2">
        <v>47239</v>
      </c>
      <c r="D366" s="1" t="s">
        <v>167</v>
      </c>
    </row>
    <row r="367" spans="1:4">
      <c r="A367" s="1" t="s">
        <v>155</v>
      </c>
      <c r="B367" s="1" t="s">
        <v>156</v>
      </c>
      <c r="C367" s="2">
        <v>47269</v>
      </c>
      <c r="D367" s="1" t="s">
        <v>161</v>
      </c>
    </row>
    <row r="368" spans="1:4">
      <c r="A368" s="1" t="s">
        <v>155</v>
      </c>
      <c r="B368" s="1" t="s">
        <v>156</v>
      </c>
      <c r="C368" s="2">
        <v>47368</v>
      </c>
      <c r="D368" s="1" t="s">
        <v>162</v>
      </c>
    </row>
    <row r="369" spans="1:4">
      <c r="A369" s="1" t="s">
        <v>155</v>
      </c>
      <c r="B369" s="1" t="s">
        <v>156</v>
      </c>
      <c r="C369" s="2">
        <v>47403</v>
      </c>
      <c r="D369" s="1" t="s">
        <v>205</v>
      </c>
    </row>
    <row r="370" spans="1:4">
      <c r="A370" s="1" t="s">
        <v>155</v>
      </c>
      <c r="B370" s="1" t="s">
        <v>156</v>
      </c>
      <c r="C370" s="2">
        <v>47424</v>
      </c>
      <c r="D370" s="1" t="s">
        <v>164</v>
      </c>
    </row>
    <row r="371" spans="1:4">
      <c r="A371" s="1" t="s">
        <v>155</v>
      </c>
      <c r="B371" s="1" t="s">
        <v>156</v>
      </c>
      <c r="C371" s="2">
        <v>47437</v>
      </c>
      <c r="D371" s="1" t="s">
        <v>206</v>
      </c>
    </row>
    <row r="372" spans="1:4">
      <c r="A372" s="1" t="s">
        <v>155</v>
      </c>
      <c r="B372" s="1" t="s">
        <v>156</v>
      </c>
      <c r="C372" s="2">
        <v>47477</v>
      </c>
      <c r="D372" s="1" t="s">
        <v>168</v>
      </c>
    </row>
    <row r="373" spans="1:4">
      <c r="A373" s="1" t="s">
        <v>155</v>
      </c>
      <c r="B373" s="1" t="s">
        <v>156</v>
      </c>
      <c r="C373" s="2">
        <v>47484</v>
      </c>
      <c r="D373" s="1" t="s">
        <v>207</v>
      </c>
    </row>
    <row r="374" spans="1:4">
      <c r="A374" s="1" t="s">
        <v>155</v>
      </c>
      <c r="B374" s="1" t="s">
        <v>156</v>
      </c>
      <c r="C374" s="2">
        <v>47546</v>
      </c>
      <c r="D374" s="1" t="s">
        <v>158</v>
      </c>
    </row>
    <row r="375" spans="1:4">
      <c r="A375" s="1" t="s">
        <v>155</v>
      </c>
      <c r="B375" s="1" t="s">
        <v>156</v>
      </c>
      <c r="C375" s="2">
        <v>47547</v>
      </c>
      <c r="D375" s="1" t="s">
        <v>158</v>
      </c>
    </row>
    <row r="376" spans="1:4">
      <c r="A376" s="1" t="s">
        <v>155</v>
      </c>
      <c r="B376" s="1" t="s">
        <v>156</v>
      </c>
      <c r="C376" s="2">
        <v>47592</v>
      </c>
      <c r="D376" s="1" t="s">
        <v>204</v>
      </c>
    </row>
    <row r="377" spans="1:4">
      <c r="A377" s="1" t="s">
        <v>155</v>
      </c>
      <c r="B377" s="1" t="s">
        <v>156</v>
      </c>
      <c r="C377" s="2">
        <v>47604</v>
      </c>
      <c r="D377" s="1" t="s">
        <v>167</v>
      </c>
    </row>
    <row r="378" spans="1:4">
      <c r="A378" s="1" t="s">
        <v>155</v>
      </c>
      <c r="B378" s="1" t="s">
        <v>156</v>
      </c>
      <c r="C378" s="2">
        <v>47654</v>
      </c>
      <c r="D378" s="1" t="s">
        <v>161</v>
      </c>
    </row>
    <row r="379" spans="1:4">
      <c r="A379" s="1" t="s">
        <v>155</v>
      </c>
      <c r="B379" s="1" t="s">
        <v>156</v>
      </c>
      <c r="C379" s="2">
        <v>47802</v>
      </c>
      <c r="D379" s="1" t="s">
        <v>206</v>
      </c>
    </row>
    <row r="380" spans="1:4">
      <c r="A380" s="1" t="s">
        <v>155</v>
      </c>
      <c r="B380" s="1" t="s">
        <v>156</v>
      </c>
      <c r="C380" s="2">
        <v>47842</v>
      </c>
      <c r="D380" s="1" t="s">
        <v>168</v>
      </c>
    </row>
    <row r="381" spans="1:4">
      <c r="A381" s="1" t="s">
        <v>155</v>
      </c>
      <c r="B381" s="1" t="s">
        <v>156</v>
      </c>
      <c r="C381" s="2">
        <v>47849</v>
      </c>
      <c r="D381" s="1" t="s">
        <v>207</v>
      </c>
    </row>
    <row r="382" spans="1:4">
      <c r="A382" s="1" t="s">
        <v>155</v>
      </c>
      <c r="B382" s="1" t="s">
        <v>156</v>
      </c>
      <c r="C382" s="2">
        <v>47903</v>
      </c>
      <c r="D382" s="1" t="s">
        <v>158</v>
      </c>
    </row>
    <row r="383" spans="1:4">
      <c r="A383" s="1" t="s">
        <v>155</v>
      </c>
      <c r="B383" s="1" t="s">
        <v>156</v>
      </c>
      <c r="C383" s="2">
        <v>47904</v>
      </c>
      <c r="D383" s="1" t="s">
        <v>158</v>
      </c>
    </row>
    <row r="384" spans="1:4">
      <c r="A384" s="1" t="s">
        <v>155</v>
      </c>
      <c r="B384" s="1" t="s">
        <v>156</v>
      </c>
      <c r="C384" s="2">
        <v>47949</v>
      </c>
      <c r="D384" s="1" t="s">
        <v>204</v>
      </c>
    </row>
    <row r="385" spans="1:4">
      <c r="A385" s="1" t="s">
        <v>155</v>
      </c>
      <c r="B385" s="1" t="s">
        <v>156</v>
      </c>
      <c r="C385" s="2">
        <v>47959</v>
      </c>
      <c r="D385" s="1" t="s">
        <v>160</v>
      </c>
    </row>
    <row r="386" spans="1:4">
      <c r="A386" s="1" t="s">
        <v>155</v>
      </c>
      <c r="B386" s="1" t="s">
        <v>156</v>
      </c>
      <c r="C386" s="2">
        <v>47969</v>
      </c>
      <c r="D386" s="1" t="s">
        <v>167</v>
      </c>
    </row>
    <row r="387" spans="1:4">
      <c r="A387" s="1" t="s">
        <v>155</v>
      </c>
      <c r="B387" s="1" t="s">
        <v>156</v>
      </c>
      <c r="C387" s="2">
        <v>48011</v>
      </c>
      <c r="D387" s="1" t="s">
        <v>161</v>
      </c>
    </row>
    <row r="388" spans="1:4">
      <c r="A388" s="1" t="s">
        <v>155</v>
      </c>
      <c r="B388" s="1" t="s">
        <v>156</v>
      </c>
      <c r="C388" s="2">
        <v>48207</v>
      </c>
      <c r="D388" s="1" t="s">
        <v>168</v>
      </c>
    </row>
    <row r="389" spans="1:4">
      <c r="A389" s="1" t="s">
        <v>155</v>
      </c>
      <c r="B389" s="1" t="s">
        <v>156</v>
      </c>
      <c r="C389" s="2">
        <v>48214</v>
      </c>
      <c r="D389" s="1" t="s">
        <v>211</v>
      </c>
    </row>
    <row r="390" spans="1:4">
      <c r="A390" s="1" t="s">
        <v>155</v>
      </c>
      <c r="B390" s="1" t="s">
        <v>156</v>
      </c>
      <c r="C390" s="2">
        <v>48253</v>
      </c>
      <c r="D390" s="1" t="s">
        <v>158</v>
      </c>
    </row>
    <row r="391" spans="1:4">
      <c r="A391" s="1" t="s">
        <v>155</v>
      </c>
      <c r="B391" s="1" t="s">
        <v>156</v>
      </c>
      <c r="C391" s="2">
        <v>48254</v>
      </c>
      <c r="D391" s="1" t="s">
        <v>158</v>
      </c>
    </row>
    <row r="392" spans="1:4">
      <c r="A392" s="1" t="s">
        <v>155</v>
      </c>
      <c r="B392" s="1" t="s">
        <v>156</v>
      </c>
      <c r="C392" s="2">
        <v>48299</v>
      </c>
      <c r="D392" s="1" t="s">
        <v>174</v>
      </c>
    </row>
    <row r="393" spans="1:4">
      <c r="A393" s="1" t="s">
        <v>155</v>
      </c>
      <c r="B393" s="1" t="s">
        <v>156</v>
      </c>
      <c r="C393" s="2">
        <v>48325</v>
      </c>
      <c r="D393" s="1" t="s">
        <v>210</v>
      </c>
    </row>
    <row r="394" spans="1:4">
      <c r="A394" s="1" t="s">
        <v>155</v>
      </c>
      <c r="B394" s="1" t="s">
        <v>156</v>
      </c>
      <c r="C394" s="2">
        <v>48361</v>
      </c>
      <c r="D394" s="1" t="s">
        <v>161</v>
      </c>
    </row>
    <row r="395" spans="1:4">
      <c r="A395" s="1" t="s">
        <v>155</v>
      </c>
      <c r="B395" s="1" t="s">
        <v>156</v>
      </c>
      <c r="C395" s="2">
        <v>48464</v>
      </c>
      <c r="D395" s="1" t="s">
        <v>194</v>
      </c>
    </row>
    <row r="396" spans="1:4">
      <c r="A396" s="1" t="s">
        <v>155</v>
      </c>
      <c r="B396" s="1" t="s">
        <v>156</v>
      </c>
      <c r="C396" s="2">
        <v>48499</v>
      </c>
      <c r="D396" s="1" t="s">
        <v>172</v>
      </c>
    </row>
    <row r="397" spans="1:4">
      <c r="A397" s="1" t="s">
        <v>155</v>
      </c>
      <c r="B397" s="1" t="s">
        <v>156</v>
      </c>
      <c r="C397" s="2">
        <v>48520</v>
      </c>
      <c r="D397" s="1" t="s">
        <v>164</v>
      </c>
    </row>
    <row r="398" spans="1:4">
      <c r="A398" s="1" t="s">
        <v>155</v>
      </c>
      <c r="B398" s="1" t="s">
        <v>156</v>
      </c>
      <c r="C398" s="2">
        <v>48533</v>
      </c>
      <c r="D398" s="1" t="s">
        <v>178</v>
      </c>
    </row>
    <row r="399" spans="1:4">
      <c r="A399" s="1" t="s">
        <v>155</v>
      </c>
      <c r="B399" s="1" t="s">
        <v>156</v>
      </c>
      <c r="C399" s="2">
        <v>48638</v>
      </c>
      <c r="D399" s="1" t="s">
        <v>158</v>
      </c>
    </row>
    <row r="400" spans="1:4">
      <c r="A400" s="1" t="s">
        <v>155</v>
      </c>
      <c r="B400" s="1" t="s">
        <v>156</v>
      </c>
      <c r="C400" s="2">
        <v>48639</v>
      </c>
      <c r="D400" s="1" t="s">
        <v>158</v>
      </c>
    </row>
    <row r="401" spans="1:4">
      <c r="A401" s="1" t="s">
        <v>155</v>
      </c>
      <c r="B401" s="1" t="s">
        <v>156</v>
      </c>
      <c r="C401" s="2">
        <v>48684</v>
      </c>
      <c r="D401" s="1" t="s">
        <v>174</v>
      </c>
    </row>
    <row r="402" spans="1:4">
      <c r="A402" s="1" t="s">
        <v>155</v>
      </c>
      <c r="B402" s="1" t="s">
        <v>156</v>
      </c>
      <c r="C402" s="2">
        <v>48690</v>
      </c>
      <c r="D402" s="1" t="s">
        <v>160</v>
      </c>
    </row>
    <row r="403" spans="1:4">
      <c r="A403" s="1" t="s">
        <v>155</v>
      </c>
      <c r="B403" s="1" t="s">
        <v>156</v>
      </c>
      <c r="C403" s="2">
        <v>48746</v>
      </c>
      <c r="D403" s="1" t="s">
        <v>161</v>
      </c>
    </row>
    <row r="404" spans="1:4">
      <c r="A404" s="1" t="s">
        <v>155</v>
      </c>
      <c r="B404" s="1" t="s">
        <v>156</v>
      </c>
      <c r="C404" s="2">
        <v>48829</v>
      </c>
      <c r="D404" s="1" t="s">
        <v>162</v>
      </c>
    </row>
    <row r="405" spans="1:4">
      <c r="A405" s="1" t="s">
        <v>155</v>
      </c>
      <c r="B405" s="1" t="s">
        <v>156</v>
      </c>
      <c r="C405" s="2">
        <v>48864</v>
      </c>
      <c r="D405" s="1" t="s">
        <v>172</v>
      </c>
    </row>
    <row r="406" spans="1:4">
      <c r="A406" s="1" t="s">
        <v>155</v>
      </c>
      <c r="B406" s="1" t="s">
        <v>156</v>
      </c>
      <c r="C406" s="2">
        <v>48885</v>
      </c>
      <c r="D406" s="1" t="s">
        <v>164</v>
      </c>
    </row>
    <row r="407" spans="1:4">
      <c r="A407" s="1" t="s">
        <v>155</v>
      </c>
      <c r="B407" s="1" t="s">
        <v>156</v>
      </c>
      <c r="C407" s="2">
        <v>48898</v>
      </c>
      <c r="D407" s="1" t="s">
        <v>178</v>
      </c>
    </row>
    <row r="408" spans="1:4">
      <c r="A408" s="1" t="s">
        <v>155</v>
      </c>
      <c r="B408" s="1" t="s">
        <v>156</v>
      </c>
      <c r="C408" s="2">
        <v>48995</v>
      </c>
      <c r="D408" s="1" t="s">
        <v>158</v>
      </c>
    </row>
    <row r="409" spans="1:4">
      <c r="A409" s="1" t="s">
        <v>155</v>
      </c>
      <c r="B409" s="1" t="s">
        <v>156</v>
      </c>
      <c r="C409" s="2">
        <v>48996</v>
      </c>
      <c r="D409" s="1" t="s">
        <v>158</v>
      </c>
    </row>
    <row r="410" spans="1:4">
      <c r="A410" s="1" t="s">
        <v>155</v>
      </c>
      <c r="B410" s="1" t="s">
        <v>156</v>
      </c>
      <c r="C410" s="2">
        <v>49041</v>
      </c>
      <c r="D410" s="1" t="s">
        <v>174</v>
      </c>
    </row>
    <row r="411" spans="1:4">
      <c r="A411" s="1" t="s">
        <v>155</v>
      </c>
      <c r="B411" s="1" t="s">
        <v>156</v>
      </c>
      <c r="C411" s="2">
        <v>49055</v>
      </c>
      <c r="D411" s="1" t="s">
        <v>160</v>
      </c>
    </row>
    <row r="412" spans="1:4">
      <c r="A412" s="1" t="s">
        <v>155</v>
      </c>
      <c r="B412" s="1" t="s">
        <v>156</v>
      </c>
      <c r="C412" s="2">
        <v>49065</v>
      </c>
      <c r="D412" s="1" t="s">
        <v>167</v>
      </c>
    </row>
    <row r="413" spans="1:4">
      <c r="A413" s="1" t="s">
        <v>155</v>
      </c>
      <c r="B413" s="1" t="s">
        <v>156</v>
      </c>
      <c r="C413" s="2">
        <v>49103</v>
      </c>
      <c r="D413" s="1" t="s">
        <v>161</v>
      </c>
    </row>
    <row r="414" spans="1:4">
      <c r="A414" s="1" t="s">
        <v>155</v>
      </c>
      <c r="B414" s="1" t="s">
        <v>156</v>
      </c>
      <c r="C414" s="2">
        <v>49194</v>
      </c>
      <c r="D414" s="1" t="s">
        <v>162</v>
      </c>
    </row>
    <row r="415" spans="1:4">
      <c r="A415" s="1" t="s">
        <v>155</v>
      </c>
      <c r="B415" s="1" t="s">
        <v>156</v>
      </c>
      <c r="C415" s="2">
        <v>49229</v>
      </c>
      <c r="D415" s="1" t="s">
        <v>172</v>
      </c>
    </row>
    <row r="416" spans="1:4">
      <c r="A416" s="1" t="s">
        <v>155</v>
      </c>
      <c r="B416" s="1" t="s">
        <v>156</v>
      </c>
      <c r="C416" s="2">
        <v>49250</v>
      </c>
      <c r="D416" s="1" t="s">
        <v>164</v>
      </c>
    </row>
    <row r="417" spans="1:4">
      <c r="A417" s="1" t="s">
        <v>155</v>
      </c>
      <c r="B417" s="1" t="s">
        <v>156</v>
      </c>
      <c r="C417" s="2">
        <v>49263</v>
      </c>
      <c r="D417" s="1" t="s">
        <v>178</v>
      </c>
    </row>
    <row r="418" spans="1:4">
      <c r="A418" s="1" t="s">
        <v>155</v>
      </c>
      <c r="B418" s="1" t="s">
        <v>156</v>
      </c>
      <c r="C418" s="2">
        <v>49303</v>
      </c>
      <c r="D418" s="1" t="s">
        <v>168</v>
      </c>
    </row>
    <row r="419" spans="1:4">
      <c r="A419" s="1" t="s">
        <v>155</v>
      </c>
      <c r="B419" s="1" t="s">
        <v>156</v>
      </c>
      <c r="C419" s="2">
        <v>49310</v>
      </c>
      <c r="D419" s="1" t="s">
        <v>211</v>
      </c>
    </row>
    <row r="420" spans="1:4">
      <c r="A420" s="1" t="s">
        <v>155</v>
      </c>
      <c r="B420" s="1" t="s">
        <v>156</v>
      </c>
      <c r="C420" s="2">
        <v>49345</v>
      </c>
      <c r="D420" s="1" t="s">
        <v>158</v>
      </c>
    </row>
    <row r="421" spans="1:4">
      <c r="A421" s="1" t="s">
        <v>155</v>
      </c>
      <c r="B421" s="1" t="s">
        <v>156</v>
      </c>
      <c r="C421" s="2">
        <v>49346</v>
      </c>
      <c r="D421" s="1" t="s">
        <v>158</v>
      </c>
    </row>
    <row r="422" spans="1:4">
      <c r="A422" s="1" t="s">
        <v>155</v>
      </c>
      <c r="B422" s="1" t="s">
        <v>156</v>
      </c>
      <c r="C422" s="2">
        <v>49391</v>
      </c>
      <c r="D422" s="1" t="s">
        <v>212</v>
      </c>
    </row>
    <row r="423" spans="1:4">
      <c r="A423" s="1" t="s">
        <v>155</v>
      </c>
      <c r="B423" s="1" t="s">
        <v>156</v>
      </c>
      <c r="C423" s="2">
        <v>49430</v>
      </c>
      <c r="D423" s="1" t="s">
        <v>167</v>
      </c>
    </row>
    <row r="424" spans="1:4">
      <c r="A424" s="1" t="s">
        <v>155</v>
      </c>
      <c r="B424" s="1" t="s">
        <v>156</v>
      </c>
      <c r="C424" s="2">
        <v>49453</v>
      </c>
      <c r="D424" s="1" t="s">
        <v>161</v>
      </c>
    </row>
    <row r="425" spans="1:4">
      <c r="A425" s="1" t="s">
        <v>155</v>
      </c>
      <c r="B425" s="1" t="s">
        <v>156</v>
      </c>
      <c r="C425" s="2">
        <v>49559</v>
      </c>
      <c r="D425" s="1" t="s">
        <v>162</v>
      </c>
    </row>
    <row r="426" spans="1:4">
      <c r="A426" s="1" t="s">
        <v>155</v>
      </c>
      <c r="B426" s="1" t="s">
        <v>156</v>
      </c>
      <c r="C426" s="2">
        <v>49594</v>
      </c>
      <c r="D426" s="1" t="s">
        <v>172</v>
      </c>
    </row>
    <row r="427" spans="1:4">
      <c r="A427" s="1" t="s">
        <v>155</v>
      </c>
      <c r="B427" s="1" t="s">
        <v>156</v>
      </c>
      <c r="C427" s="2">
        <v>49615</v>
      </c>
      <c r="D427" s="1" t="s">
        <v>164</v>
      </c>
    </row>
    <row r="428" spans="1:4">
      <c r="A428" s="1" t="s">
        <v>155</v>
      </c>
      <c r="B428" s="1" t="s">
        <v>156</v>
      </c>
      <c r="C428" s="2">
        <v>49628</v>
      </c>
      <c r="D428" s="1" t="s">
        <v>178</v>
      </c>
    </row>
    <row r="429" spans="1:4">
      <c r="A429" s="1" t="s">
        <v>155</v>
      </c>
      <c r="B429" s="1" t="s">
        <v>156</v>
      </c>
      <c r="C429" s="2">
        <v>49668</v>
      </c>
      <c r="D429" s="1" t="s">
        <v>168</v>
      </c>
    </row>
    <row r="430" spans="1:4">
      <c r="A430" s="1" t="s">
        <v>155</v>
      </c>
      <c r="B430" s="1" t="s">
        <v>156</v>
      </c>
      <c r="C430" s="2">
        <v>49675</v>
      </c>
      <c r="D430" s="1" t="s">
        <v>157</v>
      </c>
    </row>
    <row r="431" spans="1:4">
      <c r="A431" s="1" t="s">
        <v>155</v>
      </c>
      <c r="B431" s="1" t="s">
        <v>156</v>
      </c>
      <c r="C431" s="2">
        <v>49730</v>
      </c>
      <c r="D431" s="1" t="s">
        <v>158</v>
      </c>
    </row>
    <row r="432" spans="1:4">
      <c r="A432" s="1" t="s">
        <v>155</v>
      </c>
      <c r="B432" s="1" t="s">
        <v>156</v>
      </c>
      <c r="C432" s="2">
        <v>49731</v>
      </c>
      <c r="D432" s="1" t="s">
        <v>158</v>
      </c>
    </row>
    <row r="433" spans="1:4">
      <c r="A433" s="1" t="s">
        <v>155</v>
      </c>
      <c r="B433" s="1" t="s">
        <v>156</v>
      </c>
      <c r="C433" s="2">
        <v>49776</v>
      </c>
      <c r="D433" s="1" t="s">
        <v>174</v>
      </c>
    </row>
    <row r="434" spans="1:4">
      <c r="A434" s="1" t="s">
        <v>155</v>
      </c>
      <c r="B434" s="1" t="s">
        <v>156</v>
      </c>
      <c r="C434" s="2">
        <v>49786</v>
      </c>
      <c r="D434" s="1" t="s">
        <v>160</v>
      </c>
    </row>
    <row r="435" spans="1:4">
      <c r="A435" s="1" t="s">
        <v>155</v>
      </c>
      <c r="B435" s="1" t="s">
        <v>156</v>
      </c>
      <c r="C435" s="2">
        <v>49796</v>
      </c>
      <c r="D435" s="1" t="s">
        <v>167</v>
      </c>
    </row>
    <row r="436" spans="1:4">
      <c r="A436" s="1" t="s">
        <v>155</v>
      </c>
      <c r="B436" s="1" t="s">
        <v>156</v>
      </c>
      <c r="C436" s="2">
        <v>49838</v>
      </c>
      <c r="D436" s="1" t="s">
        <v>161</v>
      </c>
    </row>
    <row r="437" spans="1:4">
      <c r="A437" s="1" t="s">
        <v>155</v>
      </c>
      <c r="B437" s="1" t="s">
        <v>156</v>
      </c>
      <c r="C437" s="2">
        <v>50034</v>
      </c>
      <c r="D437" s="1" t="s">
        <v>168</v>
      </c>
    </row>
    <row r="438" spans="1:4">
      <c r="A438" s="1" t="s">
        <v>155</v>
      </c>
      <c r="B438" s="1" t="s">
        <v>156</v>
      </c>
      <c r="C438" s="2">
        <v>50041</v>
      </c>
      <c r="D438" s="1" t="s">
        <v>211</v>
      </c>
    </row>
    <row r="439" spans="1:4">
      <c r="A439" s="1" t="s">
        <v>155</v>
      </c>
      <c r="B439" s="1" t="s">
        <v>156</v>
      </c>
      <c r="C439" s="2">
        <v>50087</v>
      </c>
      <c r="D439" s="1" t="s">
        <v>158</v>
      </c>
    </row>
    <row r="440" spans="1:4">
      <c r="A440" s="1" t="s">
        <v>155</v>
      </c>
      <c r="B440" s="1" t="s">
        <v>156</v>
      </c>
      <c r="C440" s="2">
        <v>50088</v>
      </c>
      <c r="D440" s="1" t="s">
        <v>158</v>
      </c>
    </row>
    <row r="441" spans="1:4">
      <c r="A441" s="1" t="s">
        <v>155</v>
      </c>
      <c r="B441" s="1" t="s">
        <v>156</v>
      </c>
      <c r="C441" s="2">
        <v>50133</v>
      </c>
      <c r="D441" s="1" t="s">
        <v>212</v>
      </c>
    </row>
    <row r="442" spans="1:4">
      <c r="A442" s="1" t="s">
        <v>155</v>
      </c>
      <c r="B442" s="1" t="s">
        <v>156</v>
      </c>
      <c r="C442" s="2">
        <v>50151</v>
      </c>
      <c r="D442" s="1" t="s">
        <v>160</v>
      </c>
    </row>
    <row r="443" spans="1:4">
      <c r="A443" s="1" t="s">
        <v>155</v>
      </c>
      <c r="B443" s="1" t="s">
        <v>156</v>
      </c>
      <c r="C443" s="2">
        <v>50161</v>
      </c>
      <c r="D443" s="1" t="s">
        <v>167</v>
      </c>
    </row>
    <row r="444" spans="1:4">
      <c r="A444" s="1" t="s">
        <v>155</v>
      </c>
      <c r="B444" s="1" t="s">
        <v>156</v>
      </c>
      <c r="C444" s="2">
        <v>50195</v>
      </c>
      <c r="D444" s="1" t="s">
        <v>161</v>
      </c>
    </row>
    <row r="445" spans="1:4">
      <c r="A445" s="1" t="s">
        <v>155</v>
      </c>
      <c r="B445" s="1" t="s">
        <v>156</v>
      </c>
      <c r="C445" s="2">
        <v>50290</v>
      </c>
      <c r="D445" s="1" t="s">
        <v>162</v>
      </c>
    </row>
    <row r="446" spans="1:4">
      <c r="A446" s="1" t="s">
        <v>155</v>
      </c>
      <c r="B446" s="1" t="s">
        <v>156</v>
      </c>
      <c r="C446" s="2">
        <v>50325</v>
      </c>
      <c r="D446" s="1" t="s">
        <v>172</v>
      </c>
    </row>
    <row r="447" spans="1:4">
      <c r="A447" s="1" t="s">
        <v>155</v>
      </c>
      <c r="B447" s="1" t="s">
        <v>156</v>
      </c>
      <c r="C447" s="2">
        <v>50346</v>
      </c>
      <c r="D447" s="1" t="s">
        <v>164</v>
      </c>
    </row>
    <row r="448" spans="1:4">
      <c r="A448" s="1" t="s">
        <v>155</v>
      </c>
      <c r="B448" s="1" t="s">
        <v>156</v>
      </c>
      <c r="C448" s="2">
        <v>50399</v>
      </c>
      <c r="D448" s="1" t="s">
        <v>168</v>
      </c>
    </row>
    <row r="449" spans="1:4">
      <c r="A449" s="1" t="s">
        <v>155</v>
      </c>
      <c r="B449" s="1" t="s">
        <v>156</v>
      </c>
      <c r="C449" s="2">
        <v>50406</v>
      </c>
      <c r="D449" s="1" t="s">
        <v>211</v>
      </c>
    </row>
    <row r="450" spans="1:4">
      <c r="A450" s="1" t="s">
        <v>155</v>
      </c>
      <c r="B450" s="1" t="s">
        <v>156</v>
      </c>
      <c r="C450" s="2">
        <v>50472</v>
      </c>
      <c r="D450" s="1" t="s">
        <v>158</v>
      </c>
    </row>
    <row r="451" spans="1:4">
      <c r="A451" s="1" t="s">
        <v>155</v>
      </c>
      <c r="B451" s="1" t="s">
        <v>156</v>
      </c>
      <c r="C451" s="2">
        <v>50473</v>
      </c>
      <c r="D451" s="1" t="s">
        <v>158</v>
      </c>
    </row>
    <row r="452" spans="1:4">
      <c r="A452" s="1" t="s">
        <v>155</v>
      </c>
      <c r="B452" s="1" t="s">
        <v>156</v>
      </c>
      <c r="C452" s="2">
        <v>50516</v>
      </c>
      <c r="D452" s="1" t="s">
        <v>160</v>
      </c>
    </row>
    <row r="453" spans="1:4">
      <c r="A453" s="1" t="s">
        <v>155</v>
      </c>
      <c r="B453" s="1" t="s">
        <v>156</v>
      </c>
      <c r="C453" s="2">
        <v>50518</v>
      </c>
      <c r="D453" s="1" t="s">
        <v>174</v>
      </c>
    </row>
    <row r="454" spans="1:4">
      <c r="A454" s="1" t="s">
        <v>155</v>
      </c>
      <c r="B454" s="1" t="s">
        <v>156</v>
      </c>
      <c r="C454" s="2">
        <v>50580</v>
      </c>
      <c r="D454" s="1" t="s">
        <v>161</v>
      </c>
    </row>
    <row r="455" spans="1:4">
      <c r="A455" s="1" t="s">
        <v>155</v>
      </c>
      <c r="B455" s="1" t="s">
        <v>156</v>
      </c>
      <c r="C455" s="2">
        <v>50655</v>
      </c>
      <c r="D455" s="1" t="s">
        <v>162</v>
      </c>
    </row>
    <row r="456" spans="1:4">
      <c r="A456" s="1" t="s">
        <v>155</v>
      </c>
      <c r="B456" s="1" t="s">
        <v>156</v>
      </c>
      <c r="C456" s="2">
        <v>50690</v>
      </c>
      <c r="D456" s="1" t="s">
        <v>172</v>
      </c>
    </row>
    <row r="457" spans="1:4">
      <c r="A457" s="1" t="s">
        <v>155</v>
      </c>
      <c r="B457" s="1" t="s">
        <v>156</v>
      </c>
      <c r="C457" s="2">
        <v>50711</v>
      </c>
      <c r="D457" s="1" t="s">
        <v>164</v>
      </c>
    </row>
    <row r="458" spans="1:4">
      <c r="A458" s="1" t="s">
        <v>155</v>
      </c>
      <c r="B458" s="1" t="s">
        <v>156</v>
      </c>
      <c r="C458" s="2">
        <v>50724</v>
      </c>
      <c r="D458" s="1" t="s">
        <v>178</v>
      </c>
    </row>
    <row r="459" spans="1:4">
      <c r="A459" s="1" t="s">
        <v>155</v>
      </c>
      <c r="B459" s="1" t="s">
        <v>156</v>
      </c>
      <c r="C459" s="2">
        <v>50822</v>
      </c>
      <c r="D459" s="1" t="s">
        <v>158</v>
      </c>
    </row>
    <row r="460" spans="1:4">
      <c r="A460" s="1" t="s">
        <v>155</v>
      </c>
      <c r="B460" s="1" t="s">
        <v>156</v>
      </c>
      <c r="C460" s="2">
        <v>50823</v>
      </c>
      <c r="D460" s="1" t="s">
        <v>158</v>
      </c>
    </row>
    <row r="461" spans="1:4">
      <c r="A461" s="1" t="s">
        <v>155</v>
      </c>
      <c r="B461" s="1" t="s">
        <v>156</v>
      </c>
      <c r="C461" s="2">
        <v>50868</v>
      </c>
      <c r="D461" s="1" t="s">
        <v>174</v>
      </c>
    </row>
    <row r="462" spans="1:4">
      <c r="A462" s="1" t="s">
        <v>155</v>
      </c>
      <c r="B462" s="1" t="s">
        <v>156</v>
      </c>
      <c r="C462" s="2">
        <v>50881</v>
      </c>
      <c r="D462" s="1" t="s">
        <v>160</v>
      </c>
    </row>
    <row r="463" spans="1:4">
      <c r="A463" s="1" t="s">
        <v>155</v>
      </c>
      <c r="B463" s="1" t="s">
        <v>156</v>
      </c>
      <c r="C463" s="2">
        <v>50930</v>
      </c>
      <c r="D463" s="1" t="s">
        <v>161</v>
      </c>
    </row>
    <row r="464" spans="1:4">
      <c r="A464" s="1" t="s">
        <v>155</v>
      </c>
      <c r="B464" s="1" t="s">
        <v>156</v>
      </c>
      <c r="C464" s="2">
        <v>51020</v>
      </c>
      <c r="D464" s="1" t="s">
        <v>162</v>
      </c>
    </row>
    <row r="465" spans="1:4">
      <c r="A465" s="1" t="s">
        <v>155</v>
      </c>
      <c r="B465" s="1" t="s">
        <v>156</v>
      </c>
      <c r="C465" s="2">
        <v>51055</v>
      </c>
      <c r="D465" s="1" t="s">
        <v>172</v>
      </c>
    </row>
    <row r="466" spans="1:4">
      <c r="A466" s="1" t="s">
        <v>155</v>
      </c>
      <c r="B466" s="1" t="s">
        <v>156</v>
      </c>
      <c r="C466" s="2">
        <v>51076</v>
      </c>
      <c r="D466" s="1" t="s">
        <v>164</v>
      </c>
    </row>
    <row r="467" spans="1:4">
      <c r="A467" s="1" t="s">
        <v>155</v>
      </c>
      <c r="B467" s="1" t="s">
        <v>156</v>
      </c>
      <c r="C467" s="2">
        <v>51089</v>
      </c>
      <c r="D467" s="1" t="s">
        <v>178</v>
      </c>
    </row>
    <row r="468" spans="1:4">
      <c r="A468" s="1" t="s">
        <v>155</v>
      </c>
      <c r="B468" s="1" t="s">
        <v>156</v>
      </c>
      <c r="C468" s="2">
        <v>51179</v>
      </c>
      <c r="D468" s="1" t="s">
        <v>158</v>
      </c>
    </row>
    <row r="469" spans="1:4">
      <c r="A469" s="1" t="s">
        <v>155</v>
      </c>
      <c r="B469" s="1" t="s">
        <v>156</v>
      </c>
      <c r="C469" s="2">
        <v>51180</v>
      </c>
      <c r="D469" s="1" t="s">
        <v>158</v>
      </c>
    </row>
    <row r="470" spans="1:4">
      <c r="A470" s="1" t="s">
        <v>155</v>
      </c>
      <c r="B470" s="1" t="s">
        <v>156</v>
      </c>
      <c r="C470" s="2">
        <v>51225</v>
      </c>
      <c r="D470" s="1" t="s">
        <v>174</v>
      </c>
    </row>
    <row r="471" spans="1:4">
      <c r="A471" s="1" t="s">
        <v>155</v>
      </c>
      <c r="B471" s="1" t="s">
        <v>156</v>
      </c>
      <c r="C471" s="2">
        <v>51257</v>
      </c>
      <c r="D471" s="1" t="s">
        <v>167</v>
      </c>
    </row>
    <row r="472" spans="1:4">
      <c r="A472" s="1" t="s">
        <v>155</v>
      </c>
      <c r="B472" s="1" t="s">
        <v>156</v>
      </c>
      <c r="C472" s="2">
        <v>51287</v>
      </c>
      <c r="D472" s="1" t="s">
        <v>161</v>
      </c>
    </row>
    <row r="473" spans="1:4">
      <c r="A473" s="1" t="s">
        <v>155</v>
      </c>
      <c r="B473" s="1" t="s">
        <v>156</v>
      </c>
      <c r="C473" s="2">
        <v>51386</v>
      </c>
      <c r="D473" s="1" t="s">
        <v>162</v>
      </c>
    </row>
    <row r="474" spans="1:4">
      <c r="A474" s="1" t="s">
        <v>155</v>
      </c>
      <c r="B474" s="1" t="s">
        <v>156</v>
      </c>
      <c r="C474" s="2">
        <v>51421</v>
      </c>
      <c r="D474" s="1" t="s">
        <v>172</v>
      </c>
    </row>
    <row r="475" spans="1:4">
      <c r="A475" s="1" t="s">
        <v>155</v>
      </c>
      <c r="B475" s="1" t="s">
        <v>156</v>
      </c>
      <c r="C475" s="2">
        <v>51442</v>
      </c>
      <c r="D475" s="1" t="s">
        <v>164</v>
      </c>
    </row>
    <row r="476" spans="1:4">
      <c r="A476" s="1" t="s">
        <v>155</v>
      </c>
      <c r="B476" s="1" t="s">
        <v>156</v>
      </c>
      <c r="C476" s="2">
        <v>51455</v>
      </c>
      <c r="D476" s="1" t="s">
        <v>178</v>
      </c>
    </row>
    <row r="477" spans="1:4">
      <c r="A477" s="1" t="s">
        <v>155</v>
      </c>
      <c r="B477" s="1" t="s">
        <v>156</v>
      </c>
      <c r="C477" s="2">
        <v>51495</v>
      </c>
      <c r="D477" s="1" t="s">
        <v>168</v>
      </c>
    </row>
    <row r="478" spans="1:4">
      <c r="A478" s="1" t="s">
        <v>155</v>
      </c>
      <c r="B478" s="1" t="s">
        <v>156</v>
      </c>
      <c r="C478" s="2">
        <v>51502</v>
      </c>
      <c r="D478" s="1" t="s">
        <v>157</v>
      </c>
    </row>
    <row r="479" spans="1:4">
      <c r="A479" s="1" t="s">
        <v>155</v>
      </c>
      <c r="B479" s="1" t="s">
        <v>156</v>
      </c>
      <c r="C479" s="2">
        <v>51564</v>
      </c>
      <c r="D479" s="1" t="s">
        <v>158</v>
      </c>
    </row>
    <row r="480" spans="1:4">
      <c r="A480" s="1" t="s">
        <v>155</v>
      </c>
      <c r="B480" s="1" t="s">
        <v>156</v>
      </c>
      <c r="C480" s="2">
        <v>51565</v>
      </c>
      <c r="D480" s="1" t="s">
        <v>158</v>
      </c>
    </row>
    <row r="481" spans="1:4">
      <c r="A481" s="1" t="s">
        <v>155</v>
      </c>
      <c r="B481" s="1" t="s">
        <v>156</v>
      </c>
      <c r="C481" s="2">
        <v>51610</v>
      </c>
      <c r="D481" s="1" t="s">
        <v>174</v>
      </c>
    </row>
    <row r="482" spans="1:4">
      <c r="A482" s="1" t="s">
        <v>155</v>
      </c>
      <c r="B482" s="1" t="s">
        <v>156</v>
      </c>
      <c r="C482" s="2">
        <v>51622</v>
      </c>
      <c r="D482" s="1" t="s">
        <v>167</v>
      </c>
    </row>
    <row r="483" spans="1:4">
      <c r="A483" s="1" t="s">
        <v>155</v>
      </c>
      <c r="B483" s="1" t="s">
        <v>156</v>
      </c>
      <c r="C483" s="2">
        <v>51672</v>
      </c>
      <c r="D483" s="1" t="s">
        <v>161</v>
      </c>
    </row>
    <row r="484" spans="1:4">
      <c r="A484" s="1" t="s">
        <v>155</v>
      </c>
      <c r="B484" s="1" t="s">
        <v>156</v>
      </c>
      <c r="C484" s="2">
        <v>51820</v>
      </c>
      <c r="D484" s="1" t="s">
        <v>178</v>
      </c>
    </row>
    <row r="485" spans="1:4">
      <c r="A485" s="1" t="s">
        <v>155</v>
      </c>
      <c r="B485" s="1" t="s">
        <v>156</v>
      </c>
      <c r="C485" s="2">
        <v>51860</v>
      </c>
      <c r="D485" s="1" t="s">
        <v>168</v>
      </c>
    </row>
    <row r="486" spans="1:4">
      <c r="A486" s="1" t="s">
        <v>155</v>
      </c>
      <c r="B486" s="1" t="s">
        <v>156</v>
      </c>
      <c r="C486" s="2">
        <v>51867</v>
      </c>
      <c r="D486" s="1" t="s">
        <v>157</v>
      </c>
    </row>
    <row r="487" spans="1:4">
      <c r="A487" s="1" t="s">
        <v>155</v>
      </c>
      <c r="B487" s="1" t="s">
        <v>156</v>
      </c>
      <c r="C487" s="2">
        <v>51914</v>
      </c>
      <c r="D487" s="1" t="s">
        <v>158</v>
      </c>
    </row>
    <row r="488" spans="1:4">
      <c r="A488" s="1" t="s">
        <v>155</v>
      </c>
      <c r="B488" s="1" t="s">
        <v>156</v>
      </c>
      <c r="C488" s="2">
        <v>51915</v>
      </c>
      <c r="D488" s="1" t="s">
        <v>158</v>
      </c>
    </row>
    <row r="489" spans="1:4">
      <c r="A489" s="1" t="s">
        <v>155</v>
      </c>
      <c r="B489" s="1" t="s">
        <v>156</v>
      </c>
      <c r="C489" s="2">
        <v>51960</v>
      </c>
      <c r="D489" s="1" t="s">
        <v>174</v>
      </c>
    </row>
    <row r="490" spans="1:4">
      <c r="A490" s="1" t="s">
        <v>155</v>
      </c>
      <c r="B490" s="1" t="s">
        <v>156</v>
      </c>
      <c r="C490" s="2">
        <v>51977</v>
      </c>
      <c r="D490" s="1" t="s">
        <v>160</v>
      </c>
    </row>
    <row r="491" spans="1:4">
      <c r="A491" s="1" t="s">
        <v>155</v>
      </c>
      <c r="B491" s="1" t="s">
        <v>156</v>
      </c>
      <c r="C491" s="2">
        <v>51987</v>
      </c>
      <c r="D491" s="1" t="s">
        <v>167</v>
      </c>
    </row>
    <row r="492" spans="1:4">
      <c r="A492" s="1" t="s">
        <v>155</v>
      </c>
      <c r="B492" s="1" t="s">
        <v>156</v>
      </c>
      <c r="C492" s="2">
        <v>52022</v>
      </c>
      <c r="D492" s="1" t="s">
        <v>161</v>
      </c>
    </row>
    <row r="493" spans="1:4">
      <c r="A493" s="1" t="s">
        <v>155</v>
      </c>
      <c r="B493" s="1" t="s">
        <v>156</v>
      </c>
      <c r="C493" s="2">
        <v>52225</v>
      </c>
      <c r="D493" s="1" t="s">
        <v>168</v>
      </c>
    </row>
    <row r="494" spans="1:4">
      <c r="A494" s="1" t="s">
        <v>155</v>
      </c>
      <c r="B494" s="1" t="s">
        <v>156</v>
      </c>
      <c r="C494" s="2">
        <v>52232</v>
      </c>
      <c r="D494" s="1" t="s">
        <v>157</v>
      </c>
    </row>
    <row r="495" spans="1:4">
      <c r="A495" s="1" t="s">
        <v>155</v>
      </c>
      <c r="B495" s="1" t="s">
        <v>156</v>
      </c>
      <c r="C495" s="2">
        <v>52271</v>
      </c>
      <c r="D495" s="1" t="s">
        <v>158</v>
      </c>
    </row>
    <row r="496" spans="1:4">
      <c r="A496" s="1" t="s">
        <v>155</v>
      </c>
      <c r="B496" s="1" t="s">
        <v>156</v>
      </c>
      <c r="C496" s="2">
        <v>52272</v>
      </c>
      <c r="D496" s="1" t="s">
        <v>158</v>
      </c>
    </row>
    <row r="497" spans="1:4">
      <c r="A497" s="1" t="s">
        <v>155</v>
      </c>
      <c r="B497" s="1" t="s">
        <v>156</v>
      </c>
      <c r="C497" s="2">
        <v>52317</v>
      </c>
      <c r="D497" s="1" t="s">
        <v>174</v>
      </c>
    </row>
    <row r="498" spans="1:4">
      <c r="A498" s="1" t="s">
        <v>155</v>
      </c>
      <c r="B498" s="1" t="s">
        <v>156</v>
      </c>
      <c r="C498" s="2">
        <v>52342</v>
      </c>
      <c r="D498" s="1" t="s">
        <v>160</v>
      </c>
    </row>
    <row r="499" spans="1:4">
      <c r="A499" s="1" t="s">
        <v>155</v>
      </c>
      <c r="B499" s="1" t="s">
        <v>156</v>
      </c>
      <c r="C499" s="2">
        <v>52352</v>
      </c>
      <c r="D499" s="1" t="s">
        <v>167</v>
      </c>
    </row>
    <row r="500" spans="1:4">
      <c r="A500" s="1" t="s">
        <v>155</v>
      </c>
      <c r="B500" s="1" t="s">
        <v>156</v>
      </c>
      <c r="C500" s="2">
        <v>52379</v>
      </c>
      <c r="D500" s="1" t="s">
        <v>161</v>
      </c>
    </row>
    <row r="501" spans="1:4">
      <c r="A501" s="1" t="s">
        <v>155</v>
      </c>
      <c r="B501" s="1" t="s">
        <v>156</v>
      </c>
      <c r="C501" s="2">
        <v>52481</v>
      </c>
      <c r="D501" s="1" t="s">
        <v>162</v>
      </c>
    </row>
    <row r="502" spans="1:4">
      <c r="A502" s="1" t="s">
        <v>155</v>
      </c>
      <c r="B502" s="1" t="s">
        <v>156</v>
      </c>
      <c r="C502" s="2">
        <v>52516</v>
      </c>
      <c r="D502" s="1" t="s">
        <v>172</v>
      </c>
    </row>
    <row r="503" spans="1:4">
      <c r="A503" s="1" t="s">
        <v>155</v>
      </c>
      <c r="B503" s="1" t="s">
        <v>156</v>
      </c>
      <c r="C503" s="2">
        <v>52537</v>
      </c>
      <c r="D503" s="1" t="s">
        <v>164</v>
      </c>
    </row>
    <row r="504" spans="1:4">
      <c r="A504" s="1" t="s">
        <v>155</v>
      </c>
      <c r="B504" s="1" t="s">
        <v>156</v>
      </c>
      <c r="C504" s="2">
        <v>52590</v>
      </c>
      <c r="D504" s="1" t="s">
        <v>168</v>
      </c>
    </row>
    <row r="505" spans="1:4">
      <c r="A505" s="1" t="s">
        <v>155</v>
      </c>
      <c r="B505" s="1" t="s">
        <v>156</v>
      </c>
      <c r="C505" s="2">
        <v>52597</v>
      </c>
      <c r="D505" s="1" t="s">
        <v>157</v>
      </c>
    </row>
    <row r="506" spans="1:4">
      <c r="A506" s="1" t="s">
        <v>155</v>
      </c>
      <c r="B506" s="1" t="s">
        <v>156</v>
      </c>
      <c r="C506" s="2">
        <v>52656</v>
      </c>
      <c r="D506" s="1" t="s">
        <v>158</v>
      </c>
    </row>
    <row r="507" spans="1:4">
      <c r="A507" s="1" t="s">
        <v>155</v>
      </c>
      <c r="B507" s="1" t="s">
        <v>156</v>
      </c>
      <c r="C507" s="2">
        <v>52657</v>
      </c>
      <c r="D507" s="1" t="s">
        <v>158</v>
      </c>
    </row>
    <row r="508" spans="1:4">
      <c r="A508" s="1" t="s">
        <v>155</v>
      </c>
      <c r="B508" s="1" t="s">
        <v>156</v>
      </c>
      <c r="C508" s="2">
        <v>52702</v>
      </c>
      <c r="D508" s="1" t="s">
        <v>174</v>
      </c>
    </row>
    <row r="509" spans="1:4">
      <c r="A509" s="1" t="s">
        <v>155</v>
      </c>
      <c r="B509" s="1" t="s">
        <v>156</v>
      </c>
      <c r="C509" s="2">
        <v>52708</v>
      </c>
      <c r="D509" s="1" t="s">
        <v>160</v>
      </c>
    </row>
    <row r="510" spans="1:4">
      <c r="A510" s="1" t="s">
        <v>155</v>
      </c>
      <c r="B510" s="1" t="s">
        <v>156</v>
      </c>
      <c r="C510" s="2">
        <v>52764</v>
      </c>
      <c r="D510" s="1" t="s">
        <v>161</v>
      </c>
    </row>
    <row r="511" spans="1:4">
      <c r="A511" s="1" t="s">
        <v>155</v>
      </c>
      <c r="B511" s="1" t="s">
        <v>156</v>
      </c>
      <c r="C511" s="2">
        <v>52847</v>
      </c>
      <c r="D511" s="1" t="s">
        <v>162</v>
      </c>
    </row>
    <row r="512" spans="1:4">
      <c r="A512" s="1" t="s">
        <v>155</v>
      </c>
      <c r="B512" s="1" t="s">
        <v>156</v>
      </c>
      <c r="C512" s="2">
        <v>52882</v>
      </c>
      <c r="D512" s="1" t="s">
        <v>172</v>
      </c>
    </row>
    <row r="513" spans="1:4">
      <c r="A513" s="1" t="s">
        <v>155</v>
      </c>
      <c r="B513" s="1" t="s">
        <v>156</v>
      </c>
      <c r="C513" s="2">
        <v>52903</v>
      </c>
      <c r="D513" s="1" t="s">
        <v>164</v>
      </c>
    </row>
    <row r="514" spans="1:4">
      <c r="A514" s="1" t="s">
        <v>155</v>
      </c>
      <c r="B514" s="1" t="s">
        <v>156</v>
      </c>
      <c r="C514" s="2">
        <v>52916</v>
      </c>
      <c r="D514" s="1" t="s">
        <v>178</v>
      </c>
    </row>
    <row r="515" spans="1:4">
      <c r="A515" s="1" t="s">
        <v>155</v>
      </c>
      <c r="B515" s="1" t="s">
        <v>156</v>
      </c>
      <c r="C515" s="2">
        <v>53013</v>
      </c>
      <c r="D515" s="1" t="s">
        <v>158</v>
      </c>
    </row>
    <row r="516" spans="1:4">
      <c r="A516" s="1" t="s">
        <v>155</v>
      </c>
      <c r="B516" s="1" t="s">
        <v>156</v>
      </c>
      <c r="C516" s="2">
        <v>53014</v>
      </c>
      <c r="D516" s="1" t="s">
        <v>158</v>
      </c>
    </row>
    <row r="517" spans="1:4">
      <c r="A517" s="1" t="s">
        <v>155</v>
      </c>
      <c r="B517" s="1" t="s">
        <v>156</v>
      </c>
      <c r="C517" s="2">
        <v>53059</v>
      </c>
      <c r="D517" s="1" t="s">
        <v>174</v>
      </c>
    </row>
    <row r="518" spans="1:4">
      <c r="A518" s="1" t="s">
        <v>155</v>
      </c>
      <c r="B518" s="1" t="s">
        <v>156</v>
      </c>
      <c r="C518" s="2">
        <v>53073</v>
      </c>
      <c r="D518" s="1" t="s">
        <v>160</v>
      </c>
    </row>
    <row r="519" spans="1:4">
      <c r="A519" s="1" t="s">
        <v>155</v>
      </c>
      <c r="B519" s="1" t="s">
        <v>156</v>
      </c>
      <c r="C519" s="2">
        <v>53083</v>
      </c>
      <c r="D519" s="1" t="s">
        <v>167</v>
      </c>
    </row>
    <row r="520" spans="1:4">
      <c r="A520" s="1" t="s">
        <v>155</v>
      </c>
      <c r="B520" s="1" t="s">
        <v>156</v>
      </c>
      <c r="C520" s="2">
        <v>53121</v>
      </c>
      <c r="D520" s="1" t="s">
        <v>161</v>
      </c>
    </row>
    <row r="521" spans="1:4">
      <c r="A521" s="1" t="s">
        <v>155</v>
      </c>
      <c r="B521" s="1" t="s">
        <v>156</v>
      </c>
      <c r="C521" s="2">
        <v>53212</v>
      </c>
      <c r="D521" s="1" t="s">
        <v>162</v>
      </c>
    </row>
    <row r="522" spans="1:4">
      <c r="A522" s="1" t="s">
        <v>155</v>
      </c>
      <c r="B522" s="1" t="s">
        <v>156</v>
      </c>
      <c r="C522" s="2">
        <v>53247</v>
      </c>
      <c r="D522" s="1" t="s">
        <v>172</v>
      </c>
    </row>
    <row r="523" spans="1:4">
      <c r="A523" s="1" t="s">
        <v>155</v>
      </c>
      <c r="B523" s="1" t="s">
        <v>156</v>
      </c>
      <c r="C523" s="2">
        <v>53268</v>
      </c>
      <c r="D523" s="1" t="s">
        <v>164</v>
      </c>
    </row>
    <row r="524" spans="1:4">
      <c r="A524" s="1" t="s">
        <v>155</v>
      </c>
      <c r="B524" s="1" t="s">
        <v>156</v>
      </c>
      <c r="C524" s="2">
        <v>53281</v>
      </c>
      <c r="D524" s="1" t="s">
        <v>213</v>
      </c>
    </row>
    <row r="525" spans="1:4">
      <c r="A525" s="1" t="s">
        <v>155</v>
      </c>
      <c r="B525" s="1" t="s">
        <v>156</v>
      </c>
      <c r="C525" s="2">
        <v>53321</v>
      </c>
      <c r="D525" s="1" t="s">
        <v>168</v>
      </c>
    </row>
    <row r="526" spans="1:4">
      <c r="A526" s="1" t="s">
        <v>155</v>
      </c>
      <c r="B526" s="1" t="s">
        <v>156</v>
      </c>
      <c r="C526" s="2">
        <v>53328</v>
      </c>
      <c r="D526" s="1" t="s">
        <v>157</v>
      </c>
    </row>
    <row r="527" spans="1:4">
      <c r="A527" s="1" t="s">
        <v>155</v>
      </c>
      <c r="B527" s="1" t="s">
        <v>156</v>
      </c>
      <c r="C527" s="2">
        <v>53363</v>
      </c>
      <c r="D527" s="1" t="s">
        <v>214</v>
      </c>
    </row>
    <row r="528" spans="1:4">
      <c r="A528" s="1" t="s">
        <v>155</v>
      </c>
      <c r="B528" s="1" t="s">
        <v>156</v>
      </c>
      <c r="C528" s="2">
        <v>53364</v>
      </c>
      <c r="D528" s="1" t="s">
        <v>158</v>
      </c>
    </row>
    <row r="529" spans="1:4">
      <c r="A529" s="1" t="s">
        <v>155</v>
      </c>
      <c r="B529" s="1" t="s">
        <v>156</v>
      </c>
      <c r="C529" s="2">
        <v>53409</v>
      </c>
      <c r="D529" s="1" t="s">
        <v>174</v>
      </c>
    </row>
    <row r="530" spans="1:4">
      <c r="A530" s="1" t="s">
        <v>155</v>
      </c>
      <c r="B530" s="1" t="s">
        <v>156</v>
      </c>
      <c r="C530" s="2">
        <v>53448</v>
      </c>
      <c r="D530" s="1" t="s">
        <v>167</v>
      </c>
    </row>
    <row r="531" spans="1:4">
      <c r="A531" s="1" t="s">
        <v>155</v>
      </c>
      <c r="B531" s="1" t="s">
        <v>156</v>
      </c>
      <c r="C531" s="2">
        <v>53471</v>
      </c>
      <c r="D531" s="1" t="s">
        <v>161</v>
      </c>
    </row>
    <row r="532" spans="1:4">
      <c r="A532" s="1" t="s">
        <v>155</v>
      </c>
      <c r="B532" s="1" t="s">
        <v>156</v>
      </c>
      <c r="C532" s="2">
        <v>53577</v>
      </c>
      <c r="D532" s="1" t="s">
        <v>162</v>
      </c>
    </row>
    <row r="533" spans="1:4">
      <c r="A533" s="1" t="s">
        <v>155</v>
      </c>
      <c r="B533" s="1" t="s">
        <v>156</v>
      </c>
      <c r="C533" s="2">
        <v>53612</v>
      </c>
      <c r="D533" s="1" t="s">
        <v>215</v>
      </c>
    </row>
    <row r="534" spans="1:4">
      <c r="A534" s="1" t="s">
        <v>155</v>
      </c>
      <c r="B534" s="1" t="s">
        <v>156</v>
      </c>
      <c r="C534" s="2">
        <v>53633</v>
      </c>
      <c r="D534" s="1" t="s">
        <v>164</v>
      </c>
    </row>
    <row r="535" spans="1:4">
      <c r="A535" s="1" t="s">
        <v>155</v>
      </c>
      <c r="B535" s="1" t="s">
        <v>156</v>
      </c>
      <c r="C535" s="2">
        <v>53646</v>
      </c>
      <c r="D535" s="1" t="s">
        <v>178</v>
      </c>
    </row>
    <row r="536" spans="1:4">
      <c r="A536" s="1" t="s">
        <v>155</v>
      </c>
      <c r="B536" s="1" t="s">
        <v>156</v>
      </c>
      <c r="C536" s="2">
        <v>53686</v>
      </c>
      <c r="D536" s="1" t="s">
        <v>168</v>
      </c>
    </row>
    <row r="537" spans="1:4">
      <c r="A537" s="1" t="s">
        <v>155</v>
      </c>
      <c r="B537" s="1" t="s">
        <v>156</v>
      </c>
      <c r="C537" s="2">
        <v>53693</v>
      </c>
      <c r="D537" s="1" t="s">
        <v>157</v>
      </c>
    </row>
    <row r="538" spans="1:4">
      <c r="A538" s="1" t="s">
        <v>155</v>
      </c>
      <c r="B538" s="1" t="s">
        <v>156</v>
      </c>
      <c r="C538" s="2">
        <v>53748</v>
      </c>
      <c r="D538" s="1" t="s">
        <v>158</v>
      </c>
    </row>
    <row r="539" spans="1:4">
      <c r="A539" s="1" t="s">
        <v>155</v>
      </c>
      <c r="B539" s="1" t="s">
        <v>156</v>
      </c>
      <c r="C539" s="2">
        <v>53749</v>
      </c>
      <c r="D539" s="1" t="s">
        <v>158</v>
      </c>
    </row>
    <row r="540" spans="1:4">
      <c r="A540" s="1" t="s">
        <v>155</v>
      </c>
      <c r="B540" s="1" t="s">
        <v>156</v>
      </c>
      <c r="C540" s="2">
        <v>53794</v>
      </c>
      <c r="D540" s="1" t="s">
        <v>174</v>
      </c>
    </row>
    <row r="541" spans="1:4">
      <c r="A541" s="1" t="s">
        <v>155</v>
      </c>
      <c r="B541" s="1" t="s">
        <v>156</v>
      </c>
      <c r="C541" s="2">
        <v>53813</v>
      </c>
      <c r="D541" s="1" t="s">
        <v>167</v>
      </c>
    </row>
    <row r="542" spans="1:4">
      <c r="A542" s="1" t="s">
        <v>155</v>
      </c>
      <c r="B542" s="1" t="s">
        <v>156</v>
      </c>
      <c r="C542" s="2">
        <v>53856</v>
      </c>
      <c r="D542" s="1" t="s">
        <v>216</v>
      </c>
    </row>
    <row r="543" spans="1:4">
      <c r="A543" s="1" t="s">
        <v>155</v>
      </c>
      <c r="B543" s="1" t="s">
        <v>156</v>
      </c>
      <c r="C543" s="2">
        <v>54011</v>
      </c>
      <c r="D543" s="1" t="s">
        <v>217</v>
      </c>
    </row>
    <row r="544" spans="1:4">
      <c r="A544" s="1" t="s">
        <v>155</v>
      </c>
      <c r="B544" s="1" t="s">
        <v>156</v>
      </c>
      <c r="C544" s="2">
        <v>54051</v>
      </c>
      <c r="D544" s="1" t="s">
        <v>168</v>
      </c>
    </row>
    <row r="545" spans="1:4">
      <c r="A545" s="1" t="s">
        <v>155</v>
      </c>
      <c r="B545" s="1" t="s">
        <v>156</v>
      </c>
      <c r="C545" s="2">
        <v>54058</v>
      </c>
      <c r="D545" s="1" t="s">
        <v>157</v>
      </c>
    </row>
    <row r="546" spans="1:4">
      <c r="A546" s="1" t="s">
        <v>155</v>
      </c>
      <c r="B546" s="1" t="s">
        <v>156</v>
      </c>
      <c r="C546" s="2">
        <v>54105</v>
      </c>
      <c r="D546" s="1" t="s">
        <v>158</v>
      </c>
    </row>
    <row r="547" spans="1:4">
      <c r="A547" s="1" t="s">
        <v>155</v>
      </c>
      <c r="B547" s="1" t="s">
        <v>156</v>
      </c>
      <c r="C547" s="2">
        <v>54106</v>
      </c>
      <c r="D547" s="1" t="s">
        <v>158</v>
      </c>
    </row>
    <row r="548" spans="1:4">
      <c r="A548" s="1" t="s">
        <v>155</v>
      </c>
      <c r="B548" s="1" t="s">
        <v>156</v>
      </c>
      <c r="C548" s="2">
        <v>54151</v>
      </c>
      <c r="D548" s="1" t="s">
        <v>174</v>
      </c>
    </row>
    <row r="549" spans="1:4">
      <c r="A549" s="1" t="s">
        <v>155</v>
      </c>
      <c r="B549" s="1" t="s">
        <v>156</v>
      </c>
      <c r="C549" s="2">
        <v>54169</v>
      </c>
      <c r="D549" s="1" t="s">
        <v>160</v>
      </c>
    </row>
    <row r="550" spans="1:4">
      <c r="A550" s="1" t="s">
        <v>155</v>
      </c>
      <c r="B550" s="1" t="s">
        <v>156</v>
      </c>
      <c r="C550" s="2">
        <v>54179</v>
      </c>
      <c r="D550" s="1" t="s">
        <v>167</v>
      </c>
    </row>
    <row r="551" spans="1:4">
      <c r="A551" s="1" t="s">
        <v>155</v>
      </c>
      <c r="B551" s="1" t="s">
        <v>156</v>
      </c>
      <c r="C551" s="2">
        <v>54213</v>
      </c>
      <c r="D551" s="1" t="s">
        <v>161</v>
      </c>
    </row>
    <row r="552" spans="1:4">
      <c r="A552" s="1" t="s">
        <v>155</v>
      </c>
      <c r="B552" s="1" t="s">
        <v>156</v>
      </c>
      <c r="C552" s="2">
        <v>54308</v>
      </c>
      <c r="D552" s="1" t="s">
        <v>162</v>
      </c>
    </row>
    <row r="553" spans="1:4">
      <c r="A553" s="1" t="s">
        <v>155</v>
      </c>
      <c r="B553" s="1" t="s">
        <v>156</v>
      </c>
      <c r="C553" s="2">
        <v>54343</v>
      </c>
      <c r="D553" s="1" t="s">
        <v>172</v>
      </c>
    </row>
    <row r="554" spans="1:4">
      <c r="A554" s="1" t="s">
        <v>155</v>
      </c>
      <c r="B554" s="1" t="s">
        <v>156</v>
      </c>
      <c r="C554" s="2">
        <v>54364</v>
      </c>
      <c r="D554" s="1" t="s">
        <v>164</v>
      </c>
    </row>
    <row r="555" spans="1:4">
      <c r="A555" s="1" t="s">
        <v>155</v>
      </c>
      <c r="B555" s="1" t="s">
        <v>156</v>
      </c>
      <c r="C555" s="2">
        <v>54417</v>
      </c>
      <c r="D555" s="1" t="s">
        <v>168</v>
      </c>
    </row>
    <row r="556" spans="1:4">
      <c r="A556" s="1" t="s">
        <v>155</v>
      </c>
      <c r="B556" s="1" t="s">
        <v>156</v>
      </c>
      <c r="C556" s="2">
        <v>54424</v>
      </c>
      <c r="D556" s="1" t="s">
        <v>157</v>
      </c>
    </row>
    <row r="557" spans="1:4">
      <c r="A557" s="1" t="s">
        <v>155</v>
      </c>
      <c r="B557" s="1" t="s">
        <v>156</v>
      </c>
      <c r="C557" s="2">
        <v>54483</v>
      </c>
      <c r="D557" s="1" t="s">
        <v>158</v>
      </c>
    </row>
    <row r="558" spans="1:4">
      <c r="A558" s="1" t="s">
        <v>155</v>
      </c>
      <c r="B558" s="1" t="s">
        <v>156</v>
      </c>
      <c r="C558" s="2">
        <v>54484</v>
      </c>
      <c r="D558" s="1" t="s">
        <v>158</v>
      </c>
    </row>
    <row r="559" spans="1:4">
      <c r="A559" s="1" t="s">
        <v>155</v>
      </c>
      <c r="B559" s="1" t="s">
        <v>156</v>
      </c>
      <c r="C559" s="2">
        <v>54529</v>
      </c>
      <c r="D559" s="1" t="s">
        <v>174</v>
      </c>
    </row>
    <row r="560" spans="1:4">
      <c r="A560" s="1" t="s">
        <v>155</v>
      </c>
      <c r="B560" s="1" t="s">
        <v>156</v>
      </c>
      <c r="C560" s="2">
        <v>54534</v>
      </c>
      <c r="D560" s="1" t="s">
        <v>160</v>
      </c>
    </row>
    <row r="561" spans="1:4">
      <c r="A561" s="1" t="s">
        <v>155</v>
      </c>
      <c r="B561" s="1" t="s">
        <v>156</v>
      </c>
      <c r="C561" s="2">
        <v>54591</v>
      </c>
      <c r="D561" s="1" t="s">
        <v>161</v>
      </c>
    </row>
    <row r="562" spans="1:4">
      <c r="A562" s="1" t="s">
        <v>155</v>
      </c>
      <c r="B562" s="1" t="s">
        <v>156</v>
      </c>
      <c r="C562" s="2">
        <v>54673</v>
      </c>
      <c r="D562" s="1" t="s">
        <v>162</v>
      </c>
    </row>
    <row r="563" spans="1:4">
      <c r="A563" s="1" t="s">
        <v>155</v>
      </c>
      <c r="B563" s="1" t="s">
        <v>156</v>
      </c>
      <c r="C563" s="2">
        <v>54708</v>
      </c>
      <c r="D563" s="1" t="s">
        <v>215</v>
      </c>
    </row>
    <row r="564" spans="1:4">
      <c r="A564" s="1" t="s">
        <v>155</v>
      </c>
      <c r="B564" s="1" t="s">
        <v>156</v>
      </c>
      <c r="C564" s="2">
        <v>54729</v>
      </c>
      <c r="D564" s="1" t="s">
        <v>164</v>
      </c>
    </row>
    <row r="565" spans="1:4">
      <c r="A565" s="1" t="s">
        <v>155</v>
      </c>
      <c r="B565" s="1" t="s">
        <v>156</v>
      </c>
      <c r="C565" s="2">
        <v>54742</v>
      </c>
      <c r="D565" s="1" t="s">
        <v>218</v>
      </c>
    </row>
    <row r="566" spans="1:4">
      <c r="A566" s="1" t="s">
        <v>155</v>
      </c>
      <c r="B566" s="1" t="s">
        <v>156</v>
      </c>
      <c r="C566" s="2">
        <v>54840</v>
      </c>
      <c r="D566" s="1" t="s">
        <v>158</v>
      </c>
    </row>
    <row r="567" spans="1:4">
      <c r="A567" s="1" t="s">
        <v>155</v>
      </c>
      <c r="B567" s="1" t="s">
        <v>156</v>
      </c>
      <c r="C567" s="2">
        <v>54841</v>
      </c>
      <c r="D567" s="1" t="s">
        <v>158</v>
      </c>
    </row>
    <row r="568" spans="1:4">
      <c r="A568" s="1" t="s">
        <v>155</v>
      </c>
      <c r="B568" s="1" t="s">
        <v>156</v>
      </c>
      <c r="C568" s="2">
        <v>54886</v>
      </c>
      <c r="D568" s="1" t="s">
        <v>174</v>
      </c>
    </row>
    <row r="569" spans="1:4">
      <c r="A569" s="1" t="s">
        <v>155</v>
      </c>
      <c r="B569" s="1" t="s">
        <v>156</v>
      </c>
      <c r="C569" s="2">
        <v>54899</v>
      </c>
      <c r="D569" s="1" t="s">
        <v>160</v>
      </c>
    </row>
    <row r="570" spans="1:4">
      <c r="A570" s="1" t="s">
        <v>155</v>
      </c>
      <c r="B570" s="1" t="s">
        <v>156</v>
      </c>
      <c r="C570" s="2">
        <v>54948</v>
      </c>
      <c r="D570" s="1" t="s">
        <v>219</v>
      </c>
    </row>
    <row r="571" spans="1:4">
      <c r="A571" s="1" t="s">
        <v>155</v>
      </c>
      <c r="B571" s="1" t="s">
        <v>156</v>
      </c>
      <c r="C571" s="2">
        <v>55038</v>
      </c>
      <c r="D571" s="1" t="s">
        <v>162</v>
      </c>
    </row>
    <row r="572" spans="1:4">
      <c r="A572" s="1" t="s">
        <v>155</v>
      </c>
      <c r="B572" s="1" t="s">
        <v>156</v>
      </c>
      <c r="C572" s="2">
        <v>55073</v>
      </c>
      <c r="D572" s="1" t="s">
        <v>215</v>
      </c>
    </row>
    <row r="573" spans="1:4">
      <c r="A573" s="1" t="s">
        <v>155</v>
      </c>
      <c r="B573" s="1" t="s">
        <v>156</v>
      </c>
      <c r="C573" s="2">
        <v>55094</v>
      </c>
      <c r="D573" s="1" t="s">
        <v>164</v>
      </c>
    </row>
    <row r="574" spans="1:4">
      <c r="A574" s="1" t="s">
        <v>155</v>
      </c>
      <c r="B574" s="1" t="s">
        <v>156</v>
      </c>
      <c r="C574" s="2">
        <v>55107</v>
      </c>
      <c r="D574" s="1" t="s">
        <v>220</v>
      </c>
    </row>
    <row r="575" spans="1:4">
      <c r="A575" s="1" t="s">
        <v>155</v>
      </c>
      <c r="B575" s="1" t="s">
        <v>156</v>
      </c>
      <c r="C575" s="2">
        <v>55197</v>
      </c>
      <c r="D575" s="1" t="s">
        <v>158</v>
      </c>
    </row>
    <row r="576" spans="1:4">
      <c r="A576" s="1" t="s">
        <v>155</v>
      </c>
      <c r="B576" s="1" t="s">
        <v>156</v>
      </c>
      <c r="C576" s="2">
        <v>55198</v>
      </c>
      <c r="D576" s="1" t="s">
        <v>158</v>
      </c>
    </row>
    <row r="577" spans="1:4">
      <c r="A577" s="1" t="s">
        <v>155</v>
      </c>
      <c r="B577" s="1" t="s">
        <v>156</v>
      </c>
      <c r="C577" s="2">
        <v>55243</v>
      </c>
      <c r="D577" s="1" t="s">
        <v>212</v>
      </c>
    </row>
    <row r="578" spans="1:4">
      <c r="A578" s="1" t="s">
        <v>155</v>
      </c>
      <c r="B578" s="1" t="s">
        <v>156</v>
      </c>
      <c r="C578" s="2">
        <v>55264</v>
      </c>
      <c r="D578" s="1" t="s">
        <v>160</v>
      </c>
    </row>
    <row r="579" spans="1:4">
      <c r="A579" s="1" t="s">
        <v>155</v>
      </c>
      <c r="B579" s="1" t="s">
        <v>156</v>
      </c>
      <c r="C579" s="2">
        <v>55274</v>
      </c>
      <c r="D579" s="1" t="s">
        <v>167</v>
      </c>
    </row>
    <row r="580" spans="1:4">
      <c r="A580" s="1" t="s">
        <v>155</v>
      </c>
      <c r="B580" s="1" t="s">
        <v>156</v>
      </c>
      <c r="C580" s="2">
        <v>55305</v>
      </c>
      <c r="D580" s="1" t="s">
        <v>161</v>
      </c>
    </row>
    <row r="581" spans="1:4">
      <c r="A581" s="1" t="s">
        <v>155</v>
      </c>
      <c r="B581" s="1" t="s">
        <v>156</v>
      </c>
      <c r="C581" s="2">
        <v>55403</v>
      </c>
      <c r="D581" s="1" t="s">
        <v>162</v>
      </c>
    </row>
    <row r="582" spans="1:4">
      <c r="A582" s="1" t="s">
        <v>155</v>
      </c>
      <c r="B582" s="1" t="s">
        <v>156</v>
      </c>
      <c r="C582" s="2">
        <v>55438</v>
      </c>
      <c r="D582" s="1" t="s">
        <v>215</v>
      </c>
    </row>
    <row r="583" spans="1:4">
      <c r="A583" s="1" t="s">
        <v>155</v>
      </c>
      <c r="B583" s="1" t="s">
        <v>156</v>
      </c>
      <c r="C583" s="2">
        <v>55459</v>
      </c>
      <c r="D583" s="1" t="s">
        <v>164</v>
      </c>
    </row>
    <row r="584" spans="1:4">
      <c r="A584" s="1" t="s">
        <v>155</v>
      </c>
      <c r="B584" s="1" t="s">
        <v>156</v>
      </c>
      <c r="C584" s="2">
        <v>55472</v>
      </c>
      <c r="D584" s="1" t="s">
        <v>220</v>
      </c>
    </row>
    <row r="585" spans="1:4">
      <c r="A585" s="1" t="s">
        <v>155</v>
      </c>
      <c r="B585" s="1" t="s">
        <v>156</v>
      </c>
      <c r="C585" s="2">
        <v>55512</v>
      </c>
      <c r="D585" s="1" t="s">
        <v>168</v>
      </c>
    </row>
    <row r="586" spans="1:4">
      <c r="A586" s="1" t="s">
        <v>155</v>
      </c>
      <c r="B586" s="1" t="s">
        <v>156</v>
      </c>
      <c r="C586" s="2">
        <v>55519</v>
      </c>
      <c r="D586" s="1" t="s">
        <v>157</v>
      </c>
    </row>
    <row r="587" spans="1:4">
      <c r="A587" s="1" t="s">
        <v>155</v>
      </c>
      <c r="B587" s="1" t="s">
        <v>156</v>
      </c>
      <c r="C587" s="2">
        <v>55582</v>
      </c>
      <c r="D587" s="1" t="s">
        <v>158</v>
      </c>
    </row>
    <row r="588" spans="1:4">
      <c r="A588" s="1" t="s">
        <v>155</v>
      </c>
      <c r="B588" s="1" t="s">
        <v>156</v>
      </c>
      <c r="C588" s="2">
        <v>55583</v>
      </c>
      <c r="D588" s="1" t="s">
        <v>158</v>
      </c>
    </row>
    <row r="589" spans="1:4">
      <c r="A589" s="1" t="s">
        <v>155</v>
      </c>
      <c r="B589" s="1" t="s">
        <v>156</v>
      </c>
      <c r="C589" s="2">
        <v>55628</v>
      </c>
      <c r="D589" s="1" t="s">
        <v>174</v>
      </c>
    </row>
    <row r="590" spans="1:4">
      <c r="A590" s="1" t="s">
        <v>155</v>
      </c>
      <c r="B590" s="1" t="s">
        <v>156</v>
      </c>
      <c r="C590" s="2">
        <v>55640</v>
      </c>
      <c r="D590" s="1" t="s">
        <v>167</v>
      </c>
    </row>
    <row r="591" spans="1:4">
      <c r="A591" s="1" t="s">
        <v>155</v>
      </c>
      <c r="B591" s="1" t="s">
        <v>156</v>
      </c>
      <c r="C591" s="2">
        <v>55690</v>
      </c>
      <c r="D591" s="1" t="s">
        <v>161</v>
      </c>
    </row>
    <row r="592" spans="1:4">
      <c r="A592" s="1" t="s">
        <v>155</v>
      </c>
      <c r="B592" s="1" t="s">
        <v>156</v>
      </c>
      <c r="C592" s="2">
        <v>55838</v>
      </c>
      <c r="D592" s="1" t="s">
        <v>178</v>
      </c>
    </row>
    <row r="593" spans="1:4">
      <c r="A593" s="1" t="s">
        <v>155</v>
      </c>
      <c r="B593" s="1" t="s">
        <v>156</v>
      </c>
      <c r="C593" s="2">
        <v>55878</v>
      </c>
      <c r="D593" s="1" t="s">
        <v>168</v>
      </c>
    </row>
    <row r="594" spans="1:4">
      <c r="A594" s="1" t="s">
        <v>155</v>
      </c>
      <c r="B594" s="1" t="s">
        <v>156</v>
      </c>
      <c r="C594" s="2">
        <v>55885</v>
      </c>
      <c r="D594" s="1" t="s">
        <v>157</v>
      </c>
    </row>
    <row r="595" spans="1:4">
      <c r="A595" s="1" t="s">
        <v>155</v>
      </c>
      <c r="B595" s="1" t="s">
        <v>156</v>
      </c>
      <c r="C595" s="2">
        <v>55932</v>
      </c>
      <c r="D595" s="1" t="s">
        <v>158</v>
      </c>
    </row>
    <row r="596" spans="1:4">
      <c r="A596" s="1" t="s">
        <v>155</v>
      </c>
      <c r="B596" s="1" t="s">
        <v>156</v>
      </c>
      <c r="C596" s="2">
        <v>55933</v>
      </c>
      <c r="D596" s="1" t="s">
        <v>158</v>
      </c>
    </row>
    <row r="597" spans="1:4">
      <c r="A597" s="1" t="s">
        <v>155</v>
      </c>
      <c r="B597" s="1" t="s">
        <v>156</v>
      </c>
      <c r="C597" s="2">
        <v>55978</v>
      </c>
      <c r="D597" s="1" t="s">
        <v>174</v>
      </c>
    </row>
    <row r="598" spans="1:4">
      <c r="A598" s="1" t="s">
        <v>155</v>
      </c>
      <c r="B598" s="1" t="s">
        <v>156</v>
      </c>
      <c r="C598" s="2">
        <v>55995</v>
      </c>
      <c r="D598" s="1" t="s">
        <v>160</v>
      </c>
    </row>
    <row r="599" spans="1:4">
      <c r="A599" s="1" t="s">
        <v>155</v>
      </c>
      <c r="B599" s="1" t="s">
        <v>156</v>
      </c>
      <c r="C599" s="2">
        <v>56005</v>
      </c>
      <c r="D599" s="1" t="s">
        <v>167</v>
      </c>
    </row>
    <row r="600" spans="1:4">
      <c r="A600" s="1" t="s">
        <v>155</v>
      </c>
      <c r="B600" s="1" t="s">
        <v>156</v>
      </c>
      <c r="C600" s="2">
        <v>56040</v>
      </c>
      <c r="D600" s="1" t="s">
        <v>161</v>
      </c>
    </row>
    <row r="601" spans="1:4">
      <c r="A601" s="1" t="s">
        <v>155</v>
      </c>
      <c r="B601" s="1" t="s">
        <v>156</v>
      </c>
      <c r="C601" s="2">
        <v>56243</v>
      </c>
      <c r="D601" s="1" t="s">
        <v>168</v>
      </c>
    </row>
    <row r="602" spans="1:4">
      <c r="A602" s="1" t="s">
        <v>155</v>
      </c>
      <c r="B602" s="1" t="s">
        <v>156</v>
      </c>
      <c r="C602" s="2">
        <v>56250</v>
      </c>
      <c r="D602" s="1" t="s">
        <v>157</v>
      </c>
    </row>
    <row r="603" spans="1:4">
      <c r="A603" s="1" t="s">
        <v>155</v>
      </c>
      <c r="B603" s="1" t="s">
        <v>156</v>
      </c>
      <c r="C603" s="2">
        <v>56289</v>
      </c>
      <c r="D603" s="1" t="s">
        <v>158</v>
      </c>
    </row>
    <row r="604" spans="1:4">
      <c r="A604" s="1" t="s">
        <v>155</v>
      </c>
      <c r="B604" s="1" t="s">
        <v>156</v>
      </c>
      <c r="C604" s="2">
        <v>56290</v>
      </c>
      <c r="D604" s="1" t="s">
        <v>158</v>
      </c>
    </row>
    <row r="605" spans="1:4">
      <c r="A605" s="1" t="s">
        <v>155</v>
      </c>
      <c r="B605" s="1" t="s">
        <v>156</v>
      </c>
      <c r="C605" s="2">
        <v>56335</v>
      </c>
      <c r="D605" s="1" t="s">
        <v>174</v>
      </c>
    </row>
    <row r="606" spans="1:4">
      <c r="A606" s="1" t="s">
        <v>155</v>
      </c>
      <c r="B606" s="1" t="s">
        <v>156</v>
      </c>
      <c r="C606" s="2">
        <v>56360</v>
      </c>
      <c r="D606" s="1" t="s">
        <v>160</v>
      </c>
    </row>
    <row r="607" spans="1:4">
      <c r="A607" s="1" t="s">
        <v>155</v>
      </c>
      <c r="B607" s="1" t="s">
        <v>156</v>
      </c>
      <c r="C607" s="2">
        <v>56370</v>
      </c>
      <c r="D607" s="1" t="s">
        <v>167</v>
      </c>
    </row>
    <row r="608" spans="1:4">
      <c r="A608" s="1" t="s">
        <v>155</v>
      </c>
      <c r="B608" s="1" t="s">
        <v>156</v>
      </c>
      <c r="C608" s="2">
        <v>56397</v>
      </c>
      <c r="D608" s="1" t="s">
        <v>161</v>
      </c>
    </row>
    <row r="609" spans="1:4">
      <c r="A609" s="1" t="s">
        <v>155</v>
      </c>
      <c r="B609" s="1" t="s">
        <v>156</v>
      </c>
      <c r="C609" s="2">
        <v>56499</v>
      </c>
      <c r="D609" s="1" t="s">
        <v>162</v>
      </c>
    </row>
    <row r="610" spans="1:4">
      <c r="A610" s="1" t="s">
        <v>155</v>
      </c>
      <c r="B610" s="1" t="s">
        <v>156</v>
      </c>
      <c r="C610" s="2">
        <v>56534</v>
      </c>
      <c r="D610" s="1" t="s">
        <v>221</v>
      </c>
    </row>
    <row r="611" spans="1:4">
      <c r="A611" s="1" t="s">
        <v>155</v>
      </c>
      <c r="B611" s="1" t="s">
        <v>156</v>
      </c>
      <c r="C611" s="2">
        <v>56555</v>
      </c>
      <c r="D611" s="1" t="s">
        <v>164</v>
      </c>
    </row>
    <row r="612" spans="1:4">
      <c r="A612" s="1" t="s">
        <v>155</v>
      </c>
      <c r="B612" s="1" t="s">
        <v>156</v>
      </c>
      <c r="C612" s="2">
        <v>56608</v>
      </c>
      <c r="D612" s="1" t="s">
        <v>168</v>
      </c>
    </row>
    <row r="613" spans="1:4">
      <c r="A613" s="1" t="s">
        <v>155</v>
      </c>
      <c r="B613" s="1" t="s">
        <v>156</v>
      </c>
      <c r="C613" s="2">
        <v>56615</v>
      </c>
      <c r="D613" s="1" t="s">
        <v>157</v>
      </c>
    </row>
    <row r="614" spans="1:4">
      <c r="A614" s="1" t="s">
        <v>155</v>
      </c>
      <c r="B614" s="1" t="s">
        <v>156</v>
      </c>
      <c r="C614" s="2">
        <v>56674</v>
      </c>
      <c r="D614" s="1" t="s">
        <v>158</v>
      </c>
    </row>
    <row r="615" spans="1:4">
      <c r="A615" s="1" t="s">
        <v>155</v>
      </c>
      <c r="B615" s="1" t="s">
        <v>156</v>
      </c>
      <c r="C615" s="2">
        <v>56675</v>
      </c>
      <c r="D615" s="1" t="s">
        <v>158</v>
      </c>
    </row>
    <row r="616" spans="1:4">
      <c r="A616" s="1" t="s">
        <v>155</v>
      </c>
      <c r="B616" s="1" t="s">
        <v>156</v>
      </c>
      <c r="C616" s="2">
        <v>56720</v>
      </c>
      <c r="D616" s="1" t="s">
        <v>174</v>
      </c>
    </row>
    <row r="617" spans="1:4">
      <c r="A617" s="1" t="s">
        <v>155</v>
      </c>
      <c r="B617" s="1" t="s">
        <v>156</v>
      </c>
      <c r="C617" s="2">
        <v>56725</v>
      </c>
      <c r="D617" s="1" t="s">
        <v>160</v>
      </c>
    </row>
    <row r="618" spans="1:4">
      <c r="A618" s="1" t="s">
        <v>155</v>
      </c>
      <c r="B618" s="1" t="s">
        <v>156</v>
      </c>
      <c r="C618" s="2">
        <v>56782</v>
      </c>
      <c r="D618" s="1" t="s">
        <v>161</v>
      </c>
    </row>
    <row r="619" spans="1:4">
      <c r="A619" s="1" t="s">
        <v>155</v>
      </c>
      <c r="B619" s="1" t="s">
        <v>156</v>
      </c>
      <c r="C619" s="2">
        <v>56864</v>
      </c>
      <c r="D619" s="1" t="s">
        <v>162</v>
      </c>
    </row>
    <row r="620" spans="1:4">
      <c r="A620" s="1" t="s">
        <v>155</v>
      </c>
      <c r="B620" s="1" t="s">
        <v>156</v>
      </c>
      <c r="C620" s="2">
        <v>56899</v>
      </c>
      <c r="D620" s="1" t="s">
        <v>215</v>
      </c>
    </row>
    <row r="621" spans="1:4">
      <c r="A621" s="1" t="s">
        <v>155</v>
      </c>
      <c r="B621" s="1" t="s">
        <v>156</v>
      </c>
      <c r="C621" s="2">
        <v>56920</v>
      </c>
      <c r="D621" s="1" t="s">
        <v>164</v>
      </c>
    </row>
    <row r="622" spans="1:4">
      <c r="A622" s="1" t="s">
        <v>155</v>
      </c>
      <c r="B622" s="1" t="s">
        <v>156</v>
      </c>
      <c r="C622" s="2">
        <v>56933</v>
      </c>
      <c r="D622" s="1" t="s">
        <v>178</v>
      </c>
    </row>
    <row r="623" spans="1:4">
      <c r="A623" s="1" t="s">
        <v>155</v>
      </c>
      <c r="B623" s="1" t="s">
        <v>156</v>
      </c>
      <c r="C623" s="2">
        <v>57024</v>
      </c>
      <c r="D623" s="1" t="s">
        <v>158</v>
      </c>
    </row>
    <row r="624" spans="1:4">
      <c r="A624" s="1" t="s">
        <v>155</v>
      </c>
      <c r="B624" s="1" t="s">
        <v>156</v>
      </c>
      <c r="C624" s="2">
        <v>57025</v>
      </c>
      <c r="D624" s="1" t="s">
        <v>158</v>
      </c>
    </row>
    <row r="625" spans="1:4">
      <c r="A625" s="1" t="s">
        <v>155</v>
      </c>
      <c r="B625" s="1" t="s">
        <v>156</v>
      </c>
      <c r="C625" s="2">
        <v>57070</v>
      </c>
      <c r="D625" s="1" t="s">
        <v>174</v>
      </c>
    </row>
    <row r="626" spans="1:4">
      <c r="A626" s="1" t="s">
        <v>155</v>
      </c>
      <c r="B626" s="1" t="s">
        <v>156</v>
      </c>
      <c r="C626" s="2">
        <v>57091</v>
      </c>
      <c r="D626" s="1" t="s">
        <v>160</v>
      </c>
    </row>
    <row r="627" spans="1:4">
      <c r="A627" s="1" t="s">
        <v>155</v>
      </c>
      <c r="B627" s="1" t="s">
        <v>156</v>
      </c>
      <c r="C627" s="2">
        <v>57101</v>
      </c>
      <c r="D627" s="1" t="s">
        <v>167</v>
      </c>
    </row>
    <row r="628" spans="1:4">
      <c r="A628" s="1" t="s">
        <v>155</v>
      </c>
      <c r="B628" s="1" t="s">
        <v>156</v>
      </c>
      <c r="C628" s="2">
        <v>57132</v>
      </c>
      <c r="D628" s="1" t="s">
        <v>222</v>
      </c>
    </row>
    <row r="629" spans="1:4">
      <c r="A629" s="1" t="s">
        <v>155</v>
      </c>
      <c r="B629" s="1" t="s">
        <v>156</v>
      </c>
      <c r="C629" s="2">
        <v>57230</v>
      </c>
      <c r="D629" s="1" t="s">
        <v>162</v>
      </c>
    </row>
    <row r="630" spans="1:4">
      <c r="A630" s="1" t="s">
        <v>155</v>
      </c>
      <c r="B630" s="1" t="s">
        <v>156</v>
      </c>
      <c r="C630" s="2">
        <v>57265</v>
      </c>
      <c r="D630" s="1" t="s">
        <v>215</v>
      </c>
    </row>
    <row r="631" spans="1:4">
      <c r="A631" s="1" t="s">
        <v>155</v>
      </c>
      <c r="B631" s="1" t="s">
        <v>156</v>
      </c>
      <c r="C631" s="2">
        <v>57286</v>
      </c>
      <c r="D631" s="1" t="s">
        <v>164</v>
      </c>
    </row>
    <row r="632" spans="1:4">
      <c r="A632" s="1" t="s">
        <v>155</v>
      </c>
      <c r="B632" s="1" t="s">
        <v>156</v>
      </c>
      <c r="C632" s="2">
        <v>57299</v>
      </c>
      <c r="D632" s="1" t="s">
        <v>178</v>
      </c>
    </row>
    <row r="633" spans="1:4">
      <c r="A633" s="1" t="s">
        <v>155</v>
      </c>
      <c r="B633" s="1" t="s">
        <v>156</v>
      </c>
      <c r="C633" s="2">
        <v>57339</v>
      </c>
      <c r="D633" s="1" t="s">
        <v>168</v>
      </c>
    </row>
    <row r="634" spans="1:4">
      <c r="A634" s="1" t="s">
        <v>155</v>
      </c>
      <c r="B634" s="1" t="s">
        <v>156</v>
      </c>
      <c r="C634" s="2">
        <v>57346</v>
      </c>
      <c r="D634" s="1" t="s">
        <v>157</v>
      </c>
    </row>
    <row r="635" spans="1:4">
      <c r="A635" s="1" t="s">
        <v>155</v>
      </c>
      <c r="B635" s="1" t="s">
        <v>156</v>
      </c>
      <c r="C635" s="2">
        <v>57409</v>
      </c>
      <c r="D635" s="1" t="s">
        <v>158</v>
      </c>
    </row>
    <row r="636" spans="1:4">
      <c r="A636" s="1" t="s">
        <v>155</v>
      </c>
      <c r="B636" s="1" t="s">
        <v>156</v>
      </c>
      <c r="C636" s="2">
        <v>57410</v>
      </c>
      <c r="D636" s="1" t="s">
        <v>158</v>
      </c>
    </row>
    <row r="637" spans="1:4">
      <c r="A637" s="1" t="s">
        <v>155</v>
      </c>
      <c r="B637" s="1" t="s">
        <v>156</v>
      </c>
      <c r="C637" s="2">
        <v>57455</v>
      </c>
      <c r="D637" s="1" t="s">
        <v>174</v>
      </c>
    </row>
    <row r="638" spans="1:4">
      <c r="A638" s="1" t="s">
        <v>155</v>
      </c>
      <c r="B638" s="1" t="s">
        <v>156</v>
      </c>
      <c r="C638" s="2">
        <v>57466</v>
      </c>
      <c r="D638" s="1" t="s">
        <v>167</v>
      </c>
    </row>
    <row r="639" spans="1:4">
      <c r="A639" s="1" t="s">
        <v>155</v>
      </c>
      <c r="B639" s="1" t="s">
        <v>156</v>
      </c>
      <c r="C639" s="2">
        <v>57517</v>
      </c>
      <c r="D639" s="1" t="s">
        <v>161</v>
      </c>
    </row>
    <row r="640" spans="1:4">
      <c r="A640" s="1" t="s">
        <v>155</v>
      </c>
      <c r="B640" s="1" t="s">
        <v>156</v>
      </c>
      <c r="C640" s="2">
        <v>57595</v>
      </c>
      <c r="D640" s="1" t="s">
        <v>162</v>
      </c>
    </row>
    <row r="641" spans="1:4">
      <c r="A641" s="1" t="s">
        <v>155</v>
      </c>
      <c r="B641" s="1" t="s">
        <v>156</v>
      </c>
      <c r="C641" s="2">
        <v>57630</v>
      </c>
      <c r="D641" s="1" t="s">
        <v>215</v>
      </c>
    </row>
    <row r="642" spans="1:4">
      <c r="A642" s="1" t="s">
        <v>155</v>
      </c>
      <c r="B642" s="1" t="s">
        <v>156</v>
      </c>
      <c r="C642" s="2">
        <v>57651</v>
      </c>
      <c r="D642" s="1" t="s">
        <v>164</v>
      </c>
    </row>
    <row r="643" spans="1:4">
      <c r="A643" s="1" t="s">
        <v>155</v>
      </c>
      <c r="B643" s="1" t="s">
        <v>156</v>
      </c>
      <c r="C643" s="2">
        <v>57664</v>
      </c>
      <c r="D643" s="1" t="s">
        <v>178</v>
      </c>
    </row>
    <row r="644" spans="1:4">
      <c r="A644" s="1" t="s">
        <v>155</v>
      </c>
      <c r="B644" s="1" t="s">
        <v>156</v>
      </c>
      <c r="C644" s="2">
        <v>57704</v>
      </c>
      <c r="D644" s="1" t="s">
        <v>168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U846"/>
  <sheetViews>
    <sheetView showGridLines="0" workbookViewId="0">
      <selection activeCell="A15" sqref="A15"/>
    </sheetView>
  </sheetViews>
  <sheetFormatPr defaultRowHeight="11.25"/>
  <cols>
    <col min="1" max="1" width="9.7109375" style="1" bestFit="1" customWidth="1"/>
    <col min="2" max="2" width="11.7109375" style="1" bestFit="1" customWidth="1"/>
    <col min="3" max="3" width="11.28515625" style="1" bestFit="1" customWidth="1"/>
    <col min="4" max="4" width="13.7109375" style="1" bestFit="1" customWidth="1"/>
    <col min="5" max="5" width="21.85546875" style="1" bestFit="1" customWidth="1"/>
    <col min="6" max="6" width="12.42578125" style="3" bestFit="1" customWidth="1"/>
    <col min="7" max="7" width="12.28515625" style="1" bestFit="1" customWidth="1"/>
    <col min="8" max="8" width="13.140625" style="1" bestFit="1" customWidth="1"/>
    <col min="9" max="9" width="11.140625" style="1" bestFit="1" customWidth="1"/>
    <col min="10" max="10" width="13.85546875" style="1" bestFit="1" customWidth="1"/>
    <col min="11" max="11" width="11" style="1" bestFit="1" customWidth="1"/>
    <col min="12" max="12" width="10.7109375" style="1" bestFit="1" customWidth="1"/>
    <col min="13" max="13" width="12.85546875" style="1" bestFit="1" customWidth="1"/>
    <col min="14" max="14" width="13.28515625" style="1" bestFit="1" customWidth="1"/>
    <col min="15" max="15" width="17.28515625" style="1" bestFit="1" customWidth="1"/>
    <col min="16" max="16" width="17.42578125" style="1" bestFit="1" customWidth="1"/>
    <col min="17" max="17" width="13" style="1" bestFit="1" customWidth="1"/>
    <col min="18" max="18" width="13.7109375" style="1" bestFit="1" customWidth="1"/>
    <col min="19" max="19" width="17.7109375" style="1" bestFit="1" customWidth="1"/>
    <col min="20" max="20" width="14.28515625" style="1" bestFit="1" customWidth="1"/>
    <col min="21" max="21" width="10.85546875" style="1" bestFit="1" customWidth="1"/>
    <col min="22" max="22" width="15.5703125" style="1" bestFit="1" customWidth="1"/>
    <col min="23" max="23" width="15.140625" style="1" bestFit="1" customWidth="1"/>
    <col min="24" max="24" width="17" style="1" bestFit="1" customWidth="1"/>
    <col min="25" max="25" width="17.140625" style="1" bestFit="1" customWidth="1"/>
    <col min="26" max="26" width="11.140625" style="1" bestFit="1" customWidth="1"/>
    <col min="27" max="27" width="10.7109375" style="1" bestFit="1" customWidth="1"/>
    <col min="28" max="28" width="11.85546875" style="1" bestFit="1" customWidth="1"/>
    <col min="29" max="29" width="10.5703125" style="1" bestFit="1" customWidth="1"/>
    <col min="30" max="30" width="13.85546875" style="1" bestFit="1" customWidth="1"/>
    <col min="31" max="31" width="12" style="1" bestFit="1" customWidth="1"/>
    <col min="32" max="32" width="13" style="1" bestFit="1" customWidth="1"/>
    <col min="33" max="33" width="14" style="1" bestFit="1" customWidth="1"/>
    <col min="34" max="34" width="12.85546875" style="1" bestFit="1" customWidth="1"/>
    <col min="35" max="35" width="8.85546875" style="1" bestFit="1" customWidth="1"/>
    <col min="36" max="36" width="11.85546875" style="1" bestFit="1" customWidth="1"/>
    <col min="37" max="37" width="12.28515625" style="1" bestFit="1" customWidth="1"/>
    <col min="38" max="38" width="12.42578125" style="1" bestFit="1" customWidth="1"/>
    <col min="39" max="39" width="16.5703125" style="1" bestFit="1" customWidth="1"/>
    <col min="40" max="40" width="12.85546875" style="1" bestFit="1" customWidth="1"/>
    <col min="41" max="41" width="8.140625" style="1" bestFit="1" customWidth="1"/>
    <col min="42" max="42" width="11.5703125" style="1" bestFit="1" customWidth="1"/>
    <col min="43" max="43" width="15.140625" style="1" bestFit="1" customWidth="1"/>
    <col min="44" max="44" width="12.5703125" style="1" bestFit="1" customWidth="1"/>
    <col min="45" max="45" width="12.7109375" style="1" bestFit="1" customWidth="1"/>
    <col min="46" max="46" width="13" style="1" bestFit="1" customWidth="1"/>
    <col min="47" max="47" width="13.28515625" style="1" bestFit="1" customWidth="1"/>
    <col min="48" max="16384" width="9.140625" style="1"/>
  </cols>
  <sheetData>
    <row r="2" spans="1:47" ht="15.75">
      <c r="A2" s="247" t="s">
        <v>227</v>
      </c>
      <c r="B2" s="247"/>
      <c r="C2" s="247"/>
      <c r="D2" s="247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</row>
    <row r="3" spans="1:4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</row>
    <row r="4" spans="1:47">
      <c r="A4" s="1">
        <v>3881608</v>
      </c>
      <c r="B4" s="1" t="s">
        <v>241</v>
      </c>
      <c r="C4" s="1" t="s">
        <v>242</v>
      </c>
      <c r="D4" s="1" t="s">
        <v>243</v>
      </c>
      <c r="E4" s="1" t="s">
        <v>47</v>
      </c>
      <c r="F4" s="2">
        <v>46735</v>
      </c>
      <c r="G4" s="2">
        <v>42354</v>
      </c>
      <c r="H4" s="1" t="s">
        <v>244</v>
      </c>
      <c r="I4" s="1">
        <v>2.5</v>
      </c>
      <c r="J4" s="1">
        <v>0</v>
      </c>
      <c r="K4" s="2">
        <v>46735</v>
      </c>
      <c r="L4" s="1" t="s">
        <v>48</v>
      </c>
      <c r="M4" s="1">
        <v>2257108</v>
      </c>
      <c r="N4" s="1">
        <v>0</v>
      </c>
      <c r="O4" s="1">
        <v>0</v>
      </c>
      <c r="P4" s="1" t="s">
        <v>49</v>
      </c>
      <c r="Q4" s="1">
        <v>100000</v>
      </c>
      <c r="R4" s="1">
        <v>8</v>
      </c>
      <c r="S4" s="1">
        <v>0</v>
      </c>
      <c r="T4" s="1" t="s">
        <v>245</v>
      </c>
      <c r="U4" s="2">
        <v>1</v>
      </c>
      <c r="V4" s="1" t="s">
        <v>50</v>
      </c>
      <c r="W4" s="1" t="s">
        <v>50</v>
      </c>
      <c r="X4" s="1" t="s">
        <v>51</v>
      </c>
      <c r="Y4" s="1" t="s">
        <v>51</v>
      </c>
      <c r="Z4" s="1" t="s">
        <v>246</v>
      </c>
      <c r="AA4" s="140">
        <v>42354</v>
      </c>
      <c r="AB4" s="96">
        <v>100</v>
      </c>
      <c r="AC4" s="1">
        <v>0</v>
      </c>
      <c r="AD4" s="1" t="s">
        <v>51</v>
      </c>
      <c r="AE4" s="1" t="s">
        <v>247</v>
      </c>
      <c r="AF4" s="1" t="s">
        <v>265</v>
      </c>
      <c r="AG4" s="1">
        <v>0</v>
      </c>
      <c r="AH4" s="1" t="s">
        <v>248</v>
      </c>
      <c r="AI4" s="1">
        <v>11</v>
      </c>
      <c r="AJ4" s="1" t="s">
        <v>265</v>
      </c>
      <c r="AK4" s="1" t="s">
        <v>265</v>
      </c>
      <c r="AL4" s="1" t="s">
        <v>265</v>
      </c>
      <c r="AM4" s="1" t="s">
        <v>266</v>
      </c>
      <c r="AN4" s="1" t="s">
        <v>265</v>
      </c>
      <c r="AO4" s="1" t="s">
        <v>265</v>
      </c>
      <c r="AP4" s="1">
        <v>0</v>
      </c>
      <c r="AQ4" s="1" t="s">
        <v>265</v>
      </c>
      <c r="AR4" s="1">
        <v>0</v>
      </c>
      <c r="AS4" s="1" t="s">
        <v>51</v>
      </c>
      <c r="AT4" s="1" t="s">
        <v>249</v>
      </c>
      <c r="AU4" s="2">
        <v>43431</v>
      </c>
    </row>
    <row r="5" spans="1:47">
      <c r="F5" s="2"/>
      <c r="G5" s="2"/>
      <c r="K5" s="2"/>
      <c r="U5" s="2"/>
      <c r="AA5" s="2"/>
      <c r="AU5" s="74"/>
    </row>
    <row r="6" spans="1:47">
      <c r="F6" s="2"/>
      <c r="G6" s="2"/>
      <c r="K6" s="2"/>
      <c r="U6" s="2"/>
      <c r="AA6" s="2"/>
      <c r="AU6" s="74"/>
    </row>
    <row r="7" spans="1:47" ht="15.75">
      <c r="A7" s="247" t="s">
        <v>228</v>
      </c>
      <c r="B7" s="247"/>
      <c r="C7" s="247"/>
      <c r="D7" s="247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</row>
    <row r="8" spans="1:47">
      <c r="A8" s="1" t="s">
        <v>0</v>
      </c>
      <c r="B8" s="1" t="s">
        <v>52</v>
      </c>
      <c r="C8" s="1" t="s">
        <v>2</v>
      </c>
      <c r="D8" s="1" t="s">
        <v>17</v>
      </c>
      <c r="E8" s="1" t="s">
        <v>27</v>
      </c>
      <c r="F8" s="160" t="s">
        <v>53</v>
      </c>
      <c r="G8" s="1" t="s">
        <v>54</v>
      </c>
      <c r="H8" s="1" t="s">
        <v>55</v>
      </c>
      <c r="I8" s="1" t="s">
        <v>56</v>
      </c>
      <c r="J8" s="1" t="s">
        <v>57</v>
      </c>
      <c r="K8" s="1" t="s">
        <v>58</v>
      </c>
      <c r="L8" s="1" t="s">
        <v>59</v>
      </c>
      <c r="M8" s="1" t="s">
        <v>60</v>
      </c>
      <c r="N8" s="1" t="s">
        <v>61</v>
      </c>
      <c r="O8" s="1" t="s">
        <v>62</v>
      </c>
      <c r="P8" s="1" t="s">
        <v>63</v>
      </c>
      <c r="Q8" s="1" t="s">
        <v>64</v>
      </c>
      <c r="R8" s="1" t="s">
        <v>65</v>
      </c>
      <c r="S8" s="1" t="s">
        <v>66</v>
      </c>
      <c r="T8" s="1" t="s">
        <v>67</v>
      </c>
      <c r="U8" s="1" t="s">
        <v>68</v>
      </c>
      <c r="V8" s="1" t="s">
        <v>69</v>
      </c>
      <c r="W8" s="1" t="s">
        <v>70</v>
      </c>
      <c r="X8" s="1" t="s">
        <v>71</v>
      </c>
      <c r="Y8" s="1" t="s">
        <v>72</v>
      </c>
      <c r="Z8" s="1" t="s">
        <v>73</v>
      </c>
      <c r="AA8" s="1" t="s">
        <v>74</v>
      </c>
      <c r="AB8" s="1" t="s">
        <v>75</v>
      </c>
    </row>
    <row r="9" spans="1:47">
      <c r="A9" s="1">
        <v>3881608</v>
      </c>
      <c r="B9" s="1">
        <v>1</v>
      </c>
      <c r="C9" s="1" t="s">
        <v>242</v>
      </c>
      <c r="D9" s="1">
        <v>8</v>
      </c>
      <c r="E9" s="96">
        <v>100</v>
      </c>
      <c r="F9" s="2">
        <v>42354</v>
      </c>
      <c r="G9" s="2">
        <v>46735</v>
      </c>
      <c r="H9" s="1">
        <v>2.5</v>
      </c>
      <c r="I9" s="2">
        <v>46735</v>
      </c>
      <c r="J9" s="2">
        <v>46735</v>
      </c>
      <c r="K9" s="1">
        <v>0</v>
      </c>
      <c r="L9" s="1">
        <v>22</v>
      </c>
      <c r="M9" s="1" t="s">
        <v>50</v>
      </c>
      <c r="N9" s="2">
        <v>42348</v>
      </c>
      <c r="O9" s="1" t="s">
        <v>51</v>
      </c>
      <c r="P9" s="1" t="s">
        <v>51</v>
      </c>
      <c r="Q9" s="1" t="s">
        <v>51</v>
      </c>
      <c r="R9" s="1" t="s">
        <v>50</v>
      </c>
      <c r="S9" s="1" t="s">
        <v>50</v>
      </c>
      <c r="T9" s="1" t="s">
        <v>49</v>
      </c>
      <c r="U9" s="1">
        <v>0</v>
      </c>
      <c r="V9" s="1" t="s">
        <v>51</v>
      </c>
      <c r="W9" s="2">
        <v>42348</v>
      </c>
      <c r="X9" s="1" t="s">
        <v>50</v>
      </c>
      <c r="Y9" s="1" t="s">
        <v>51</v>
      </c>
      <c r="Z9" s="1" t="s">
        <v>50</v>
      </c>
      <c r="AA9" s="1">
        <v>1</v>
      </c>
      <c r="AB9" s="1">
        <v>0</v>
      </c>
    </row>
    <row r="10" spans="1:47">
      <c r="F10" s="2"/>
      <c r="G10" s="2"/>
      <c r="I10" s="2"/>
      <c r="J10" s="2"/>
      <c r="N10" s="2"/>
      <c r="W10" s="2"/>
    </row>
    <row r="11" spans="1:47">
      <c r="F11" s="2"/>
      <c r="G11" s="2"/>
      <c r="I11" s="2"/>
      <c r="J11" s="2"/>
      <c r="N11" s="2"/>
      <c r="W11" s="2"/>
    </row>
    <row r="12" spans="1:47">
      <c r="F12" s="2"/>
      <c r="G12" s="2"/>
      <c r="I12" s="2"/>
      <c r="J12" s="2"/>
      <c r="N12" s="2"/>
      <c r="W12" s="2"/>
    </row>
    <row r="13" spans="1:47" ht="15.75">
      <c r="A13" s="247" t="s">
        <v>229</v>
      </c>
      <c r="B13" s="247"/>
      <c r="C13" s="247"/>
      <c r="D13" s="247"/>
      <c r="E13" s="83"/>
      <c r="F13" s="83"/>
      <c r="G13" s="83"/>
      <c r="H13" s="83"/>
    </row>
    <row r="14" spans="1:47">
      <c r="A14" s="80" t="s">
        <v>226</v>
      </c>
      <c r="B14" s="1" t="s">
        <v>0</v>
      </c>
      <c r="C14" s="1" t="s">
        <v>52</v>
      </c>
      <c r="D14" s="1" t="s">
        <v>76</v>
      </c>
      <c r="E14" s="1" t="s">
        <v>77</v>
      </c>
      <c r="F14" s="1" t="s">
        <v>78</v>
      </c>
      <c r="G14" s="3" t="s">
        <v>79</v>
      </c>
      <c r="H14" s="1" t="s">
        <v>80</v>
      </c>
    </row>
    <row r="15" spans="1:47">
      <c r="A15" s="80">
        <v>1</v>
      </c>
      <c r="B15" s="1">
        <v>3881608</v>
      </c>
      <c r="C15" s="1">
        <v>1</v>
      </c>
      <c r="D15" s="1">
        <v>2</v>
      </c>
      <c r="E15" s="141" t="s">
        <v>250</v>
      </c>
      <c r="F15" s="2">
        <v>42380</v>
      </c>
      <c r="G15" s="3">
        <v>0</v>
      </c>
      <c r="H15" s="2">
        <v>42384</v>
      </c>
      <c r="J15" s="2"/>
      <c r="L15" s="2"/>
    </row>
    <row r="16" spans="1:47">
      <c r="A16" s="97">
        <v>2</v>
      </c>
      <c r="B16" s="97">
        <v>3881608</v>
      </c>
      <c r="C16" s="97">
        <v>1</v>
      </c>
      <c r="D16" s="97">
        <v>2</v>
      </c>
      <c r="E16" s="98" t="s">
        <v>250</v>
      </c>
      <c r="F16" s="98">
        <v>42410</v>
      </c>
      <c r="G16" s="99">
        <v>0</v>
      </c>
      <c r="H16" s="98">
        <v>42416</v>
      </c>
      <c r="J16" s="2"/>
      <c r="L16" s="2"/>
    </row>
    <row r="17" spans="1:12">
      <c r="A17" s="97">
        <v>3</v>
      </c>
      <c r="B17" s="97">
        <v>3881608</v>
      </c>
      <c r="C17" s="97">
        <v>1</v>
      </c>
      <c r="D17" s="97">
        <v>2</v>
      </c>
      <c r="E17" s="98" t="s">
        <v>250</v>
      </c>
      <c r="F17" s="98">
        <v>42437</v>
      </c>
      <c r="G17" s="99">
        <v>0</v>
      </c>
      <c r="H17" s="98">
        <v>42443</v>
      </c>
      <c r="J17" s="2"/>
      <c r="L17" s="2"/>
    </row>
    <row r="18" spans="1:12">
      <c r="A18" s="97">
        <v>4</v>
      </c>
      <c r="B18" s="97">
        <v>3881608</v>
      </c>
      <c r="C18" s="97">
        <v>1</v>
      </c>
      <c r="D18" s="97">
        <v>2</v>
      </c>
      <c r="E18" s="98" t="s">
        <v>250</v>
      </c>
      <c r="F18" s="98">
        <v>42468</v>
      </c>
      <c r="G18" s="99">
        <v>0</v>
      </c>
      <c r="H18" s="98">
        <v>42474</v>
      </c>
      <c r="J18" s="2"/>
      <c r="L18" s="2"/>
    </row>
    <row r="19" spans="1:12">
      <c r="A19" s="97">
        <v>5</v>
      </c>
      <c r="B19" s="97">
        <v>3881608</v>
      </c>
      <c r="C19" s="97">
        <v>1</v>
      </c>
      <c r="D19" s="97">
        <v>2</v>
      </c>
      <c r="E19" s="98" t="s">
        <v>250</v>
      </c>
      <c r="F19" s="98">
        <v>42499</v>
      </c>
      <c r="G19" s="99">
        <v>0</v>
      </c>
      <c r="H19" s="98">
        <v>42503</v>
      </c>
      <c r="J19" s="2"/>
      <c r="L19" s="2"/>
    </row>
    <row r="20" spans="1:12">
      <c r="A20" s="97">
        <v>6</v>
      </c>
      <c r="B20" s="97">
        <v>3881608</v>
      </c>
      <c r="C20" s="97">
        <v>1</v>
      </c>
      <c r="D20" s="97">
        <v>2</v>
      </c>
      <c r="E20" s="98" t="s">
        <v>250</v>
      </c>
      <c r="F20" s="98">
        <v>42529</v>
      </c>
      <c r="G20" s="99">
        <v>0</v>
      </c>
      <c r="H20" s="98">
        <v>42535</v>
      </c>
      <c r="J20" s="2"/>
      <c r="L20" s="2"/>
    </row>
    <row r="21" spans="1:12">
      <c r="A21" s="97">
        <v>7</v>
      </c>
      <c r="B21" s="97">
        <v>3881608</v>
      </c>
      <c r="C21" s="97">
        <v>1</v>
      </c>
      <c r="D21" s="97">
        <v>2</v>
      </c>
      <c r="E21" s="98" t="s">
        <v>250</v>
      </c>
      <c r="F21" s="98">
        <v>42559</v>
      </c>
      <c r="G21" s="99">
        <v>0</v>
      </c>
      <c r="H21" s="98">
        <v>42565</v>
      </c>
      <c r="J21" s="2"/>
      <c r="L21" s="2"/>
    </row>
    <row r="22" spans="1:12">
      <c r="A22" s="97">
        <v>8</v>
      </c>
      <c r="B22" s="97">
        <v>3881608</v>
      </c>
      <c r="C22" s="97">
        <v>1</v>
      </c>
      <c r="D22" s="97">
        <v>2</v>
      </c>
      <c r="E22" s="98" t="s">
        <v>250</v>
      </c>
      <c r="F22" s="98">
        <v>42590</v>
      </c>
      <c r="G22" s="99">
        <v>0</v>
      </c>
      <c r="H22" s="98">
        <v>42594</v>
      </c>
      <c r="J22" s="2"/>
      <c r="L22" s="2"/>
    </row>
    <row r="23" spans="1:12">
      <c r="A23" s="97">
        <v>9</v>
      </c>
      <c r="B23" s="97">
        <v>3881608</v>
      </c>
      <c r="C23" s="97">
        <v>1</v>
      </c>
      <c r="D23" s="97">
        <v>2</v>
      </c>
      <c r="E23" s="98" t="s">
        <v>250</v>
      </c>
      <c r="F23" s="98">
        <v>42622</v>
      </c>
      <c r="G23" s="99">
        <v>0</v>
      </c>
      <c r="H23" s="98">
        <v>42628</v>
      </c>
      <c r="J23" s="2"/>
      <c r="L23" s="2"/>
    </row>
    <row r="24" spans="1:12">
      <c r="A24" s="97">
        <v>10</v>
      </c>
      <c r="B24" s="97">
        <v>3881608</v>
      </c>
      <c r="C24" s="97">
        <v>1</v>
      </c>
      <c r="D24" s="97">
        <v>2</v>
      </c>
      <c r="E24" s="98" t="s">
        <v>250</v>
      </c>
      <c r="F24" s="98">
        <v>42654</v>
      </c>
      <c r="G24" s="99">
        <v>0</v>
      </c>
      <c r="H24" s="98">
        <v>42660</v>
      </c>
      <c r="J24" s="2"/>
      <c r="L24" s="2"/>
    </row>
    <row r="25" spans="1:12">
      <c r="A25" s="97">
        <v>11</v>
      </c>
      <c r="B25" s="103">
        <v>3881608</v>
      </c>
      <c r="C25" s="103">
        <v>1</v>
      </c>
      <c r="D25" s="103">
        <v>2</v>
      </c>
      <c r="E25" s="104" t="s">
        <v>250</v>
      </c>
      <c r="F25" s="104">
        <v>42684</v>
      </c>
      <c r="G25" s="105">
        <v>0</v>
      </c>
      <c r="H25" s="104">
        <v>42690</v>
      </c>
      <c r="J25" s="2"/>
      <c r="L25" s="2"/>
    </row>
    <row r="26" spans="1:12">
      <c r="A26" s="97">
        <v>12</v>
      </c>
      <c r="B26" s="103">
        <v>3881608</v>
      </c>
      <c r="C26" s="103">
        <v>1</v>
      </c>
      <c r="D26" s="103">
        <v>2</v>
      </c>
      <c r="E26" s="104" t="s">
        <v>250</v>
      </c>
      <c r="F26" s="104">
        <v>42712</v>
      </c>
      <c r="G26" s="105">
        <v>0</v>
      </c>
      <c r="H26" s="104">
        <v>42718</v>
      </c>
      <c r="J26" s="2"/>
      <c r="L26" s="2"/>
    </row>
    <row r="27" spans="1:12">
      <c r="A27" s="97">
        <v>13</v>
      </c>
      <c r="B27" s="103">
        <v>3881608</v>
      </c>
      <c r="C27" s="103">
        <v>1</v>
      </c>
      <c r="D27" s="103">
        <v>2</v>
      </c>
      <c r="E27" s="104" t="s">
        <v>250</v>
      </c>
      <c r="F27" s="104">
        <v>42744</v>
      </c>
      <c r="G27" s="105">
        <v>0</v>
      </c>
      <c r="H27" s="104">
        <v>42748</v>
      </c>
      <c r="J27" s="2"/>
      <c r="L27" s="2"/>
    </row>
    <row r="28" spans="1:12">
      <c r="A28" s="97">
        <v>14</v>
      </c>
      <c r="B28" s="103">
        <v>3881608</v>
      </c>
      <c r="C28" s="103">
        <v>1</v>
      </c>
      <c r="D28" s="103">
        <v>2</v>
      </c>
      <c r="E28" s="104" t="s">
        <v>250</v>
      </c>
      <c r="F28" s="104">
        <v>42774</v>
      </c>
      <c r="G28" s="105">
        <v>0</v>
      </c>
      <c r="H28" s="104">
        <v>42780</v>
      </c>
      <c r="J28" s="2"/>
      <c r="L28" s="2"/>
    </row>
    <row r="29" spans="1:12">
      <c r="A29" s="97">
        <v>15</v>
      </c>
      <c r="B29" s="103">
        <v>3881608</v>
      </c>
      <c r="C29" s="103">
        <v>1</v>
      </c>
      <c r="D29" s="103">
        <v>2</v>
      </c>
      <c r="E29" s="104" t="s">
        <v>250</v>
      </c>
      <c r="F29" s="104">
        <v>42802</v>
      </c>
      <c r="G29" s="105">
        <v>0</v>
      </c>
      <c r="H29" s="104">
        <v>42808</v>
      </c>
      <c r="J29" s="2"/>
      <c r="L29" s="2"/>
    </row>
    <row r="30" spans="1:12">
      <c r="A30" s="97">
        <v>16</v>
      </c>
      <c r="B30" s="103">
        <v>3881608</v>
      </c>
      <c r="C30" s="103">
        <v>1</v>
      </c>
      <c r="D30" s="103">
        <v>2</v>
      </c>
      <c r="E30" s="104" t="s">
        <v>250</v>
      </c>
      <c r="F30" s="104">
        <v>42836</v>
      </c>
      <c r="G30" s="105">
        <v>0</v>
      </c>
      <c r="H30" s="104">
        <v>42842</v>
      </c>
      <c r="J30" s="2"/>
      <c r="L30" s="2"/>
    </row>
    <row r="31" spans="1:12">
      <c r="A31" s="97">
        <v>17</v>
      </c>
      <c r="B31" s="103">
        <v>3881608</v>
      </c>
      <c r="C31" s="103">
        <v>1</v>
      </c>
      <c r="D31" s="103">
        <v>2</v>
      </c>
      <c r="E31" s="104" t="s">
        <v>250</v>
      </c>
      <c r="F31" s="104">
        <v>42864</v>
      </c>
      <c r="G31" s="105">
        <v>0</v>
      </c>
      <c r="H31" s="104">
        <v>42870</v>
      </c>
      <c r="J31" s="2"/>
      <c r="L31" s="2"/>
    </row>
    <row r="32" spans="1:12">
      <c r="A32" s="97">
        <v>18</v>
      </c>
      <c r="B32" s="103">
        <v>3881608</v>
      </c>
      <c r="C32" s="103">
        <v>1</v>
      </c>
      <c r="D32" s="103">
        <v>2</v>
      </c>
      <c r="E32" s="104" t="s">
        <v>250</v>
      </c>
      <c r="F32" s="104">
        <v>42894</v>
      </c>
      <c r="G32" s="105">
        <v>0</v>
      </c>
      <c r="H32" s="104">
        <v>42900</v>
      </c>
      <c r="J32" s="2"/>
      <c r="L32" s="2"/>
    </row>
    <row r="33" spans="1:12">
      <c r="A33" s="97">
        <v>19</v>
      </c>
      <c r="B33" s="103">
        <v>3881608</v>
      </c>
      <c r="C33" s="103">
        <v>1</v>
      </c>
      <c r="D33" s="103">
        <v>2</v>
      </c>
      <c r="E33" s="104" t="s">
        <v>250</v>
      </c>
      <c r="F33" s="104">
        <v>42926</v>
      </c>
      <c r="G33" s="105">
        <v>0</v>
      </c>
      <c r="H33" s="104">
        <v>42930</v>
      </c>
      <c r="J33" s="2"/>
      <c r="L33" s="2"/>
    </row>
    <row r="34" spans="1:12">
      <c r="A34" s="97">
        <v>20</v>
      </c>
      <c r="B34" s="103">
        <v>3881608</v>
      </c>
      <c r="C34" s="103">
        <v>1</v>
      </c>
      <c r="D34" s="103">
        <v>2</v>
      </c>
      <c r="E34" s="104" t="s">
        <v>250</v>
      </c>
      <c r="F34" s="104">
        <v>42955</v>
      </c>
      <c r="G34" s="105">
        <v>0</v>
      </c>
      <c r="H34" s="104">
        <v>42961</v>
      </c>
      <c r="J34" s="2"/>
      <c r="L34" s="2"/>
    </row>
    <row r="35" spans="1:12">
      <c r="A35" s="97">
        <v>21</v>
      </c>
      <c r="B35" s="103">
        <v>3881608</v>
      </c>
      <c r="C35" s="103">
        <v>1</v>
      </c>
      <c r="D35" s="103">
        <v>2</v>
      </c>
      <c r="E35" s="104" t="s">
        <v>250</v>
      </c>
      <c r="F35" s="104">
        <v>42989</v>
      </c>
      <c r="G35" s="105">
        <v>0</v>
      </c>
      <c r="H35" s="104">
        <v>42993</v>
      </c>
      <c r="J35" s="2"/>
      <c r="L35" s="2"/>
    </row>
    <row r="36" spans="1:12">
      <c r="A36" s="97">
        <v>22</v>
      </c>
      <c r="B36" s="103">
        <v>3881608</v>
      </c>
      <c r="C36" s="103">
        <v>1</v>
      </c>
      <c r="D36" s="103">
        <v>2</v>
      </c>
      <c r="E36" s="104" t="s">
        <v>250</v>
      </c>
      <c r="F36" s="104">
        <v>43018</v>
      </c>
      <c r="G36" s="105">
        <v>0</v>
      </c>
      <c r="H36" s="104">
        <v>43024</v>
      </c>
      <c r="J36" s="2"/>
      <c r="L36" s="2"/>
    </row>
    <row r="37" spans="1:12">
      <c r="A37" s="97">
        <v>23</v>
      </c>
      <c r="B37" s="103">
        <v>3881608</v>
      </c>
      <c r="C37" s="103">
        <v>1</v>
      </c>
      <c r="D37" s="103">
        <v>2</v>
      </c>
      <c r="E37" s="104" t="s">
        <v>250</v>
      </c>
      <c r="F37" s="104">
        <v>43049</v>
      </c>
      <c r="G37" s="105">
        <v>0</v>
      </c>
      <c r="H37" s="104">
        <v>43055</v>
      </c>
      <c r="J37" s="2"/>
      <c r="L37" s="2"/>
    </row>
    <row r="38" spans="1:12">
      <c r="A38" s="97">
        <v>24</v>
      </c>
      <c r="B38" s="103">
        <v>3881608</v>
      </c>
      <c r="C38" s="103">
        <v>1</v>
      </c>
      <c r="D38" s="103">
        <v>2</v>
      </c>
      <c r="E38" s="104" t="s">
        <v>250</v>
      </c>
      <c r="F38" s="104">
        <v>43077</v>
      </c>
      <c r="G38" s="105">
        <v>0</v>
      </c>
      <c r="H38" s="104">
        <v>43083</v>
      </c>
      <c r="J38" s="2"/>
      <c r="L38" s="2"/>
    </row>
    <row r="39" spans="1:12">
      <c r="A39" s="97">
        <v>25</v>
      </c>
      <c r="B39" s="103">
        <v>3881608</v>
      </c>
      <c r="C39" s="103">
        <v>1</v>
      </c>
      <c r="D39" s="103">
        <v>2</v>
      </c>
      <c r="E39" s="104" t="s">
        <v>250</v>
      </c>
      <c r="F39" s="104">
        <v>43109</v>
      </c>
      <c r="G39" s="105">
        <v>0</v>
      </c>
      <c r="H39" s="104">
        <v>43115</v>
      </c>
      <c r="J39" s="2"/>
      <c r="L39" s="2"/>
    </row>
    <row r="40" spans="1:12">
      <c r="A40" s="97">
        <v>26</v>
      </c>
      <c r="B40" s="103">
        <v>3881608</v>
      </c>
      <c r="C40" s="103">
        <v>1</v>
      </c>
      <c r="D40" s="103">
        <v>2</v>
      </c>
      <c r="E40" s="104" t="s">
        <v>250</v>
      </c>
      <c r="F40" s="104">
        <v>43143</v>
      </c>
      <c r="G40" s="105">
        <v>0</v>
      </c>
      <c r="H40" s="104">
        <v>43147</v>
      </c>
      <c r="J40" s="2"/>
      <c r="L40" s="2"/>
    </row>
    <row r="41" spans="1:12">
      <c r="A41" s="97">
        <v>27</v>
      </c>
      <c r="B41" s="103">
        <v>3881608</v>
      </c>
      <c r="C41" s="103">
        <v>1</v>
      </c>
      <c r="D41" s="103">
        <v>2</v>
      </c>
      <c r="E41" s="104" t="s">
        <v>250</v>
      </c>
      <c r="F41" s="104">
        <v>43167</v>
      </c>
      <c r="G41" s="105">
        <v>0</v>
      </c>
      <c r="H41" s="104">
        <v>43173</v>
      </c>
      <c r="J41" s="2"/>
      <c r="L41" s="2"/>
    </row>
    <row r="42" spans="1:12">
      <c r="A42" s="97">
        <v>28</v>
      </c>
      <c r="B42" s="103">
        <v>3881608</v>
      </c>
      <c r="C42" s="103">
        <v>1</v>
      </c>
      <c r="D42" s="103">
        <v>2</v>
      </c>
      <c r="E42" s="104" t="s">
        <v>250</v>
      </c>
      <c r="F42" s="104">
        <v>43199</v>
      </c>
      <c r="G42" s="105">
        <v>0</v>
      </c>
      <c r="H42" s="104">
        <v>43203</v>
      </c>
      <c r="J42" s="2"/>
      <c r="L42" s="2"/>
    </row>
    <row r="43" spans="1:12">
      <c r="A43" s="97">
        <v>29</v>
      </c>
      <c r="B43" s="103">
        <v>3881608</v>
      </c>
      <c r="C43" s="103">
        <v>1</v>
      </c>
      <c r="D43" s="103">
        <v>2</v>
      </c>
      <c r="E43" s="104" t="s">
        <v>250</v>
      </c>
      <c r="F43" s="104">
        <v>43229</v>
      </c>
      <c r="G43" s="105">
        <v>0</v>
      </c>
      <c r="H43" s="104">
        <v>43235</v>
      </c>
      <c r="J43" s="2"/>
      <c r="L43" s="2"/>
    </row>
    <row r="44" spans="1:12">
      <c r="A44" s="97">
        <v>30</v>
      </c>
      <c r="B44" s="103">
        <v>3881608</v>
      </c>
      <c r="C44" s="103">
        <v>1</v>
      </c>
      <c r="D44" s="103">
        <v>2</v>
      </c>
      <c r="E44" s="104" t="s">
        <v>250</v>
      </c>
      <c r="F44" s="104">
        <v>43259</v>
      </c>
      <c r="G44" s="105">
        <v>0</v>
      </c>
      <c r="H44" s="104">
        <v>43265</v>
      </c>
      <c r="J44" s="2"/>
      <c r="L44" s="2"/>
    </row>
    <row r="45" spans="1:12">
      <c r="A45" s="97">
        <v>31</v>
      </c>
      <c r="B45" s="103">
        <v>3881608</v>
      </c>
      <c r="C45" s="103">
        <v>1</v>
      </c>
      <c r="D45" s="103">
        <v>2</v>
      </c>
      <c r="E45" s="104" t="s">
        <v>250</v>
      </c>
      <c r="F45" s="104">
        <v>43290</v>
      </c>
      <c r="G45" s="105">
        <v>0</v>
      </c>
      <c r="H45" s="104">
        <v>43294</v>
      </c>
      <c r="J45" s="2"/>
      <c r="L45" s="2"/>
    </row>
    <row r="46" spans="1:12">
      <c r="A46" s="97">
        <v>32</v>
      </c>
      <c r="B46" s="103">
        <v>3881608</v>
      </c>
      <c r="C46" s="103">
        <v>1</v>
      </c>
      <c r="D46" s="103">
        <v>2</v>
      </c>
      <c r="E46" s="104" t="s">
        <v>250</v>
      </c>
      <c r="F46" s="104">
        <v>43320</v>
      </c>
      <c r="G46" s="105">
        <v>0</v>
      </c>
      <c r="H46" s="104">
        <v>43326</v>
      </c>
      <c r="J46" s="2"/>
      <c r="L46" s="2"/>
    </row>
    <row r="47" spans="1:12">
      <c r="A47" s="97">
        <v>33</v>
      </c>
      <c r="B47" s="103">
        <v>3881608</v>
      </c>
      <c r="C47" s="103">
        <v>1</v>
      </c>
      <c r="D47" s="103">
        <v>2</v>
      </c>
      <c r="E47" s="104" t="s">
        <v>250</v>
      </c>
      <c r="F47" s="104">
        <v>43354</v>
      </c>
      <c r="G47" s="105">
        <v>0</v>
      </c>
      <c r="H47" s="104">
        <v>43360</v>
      </c>
      <c r="J47" s="2"/>
      <c r="L47" s="2"/>
    </row>
    <row r="48" spans="1:12">
      <c r="A48" s="97">
        <v>34</v>
      </c>
      <c r="B48" s="103">
        <v>3881608</v>
      </c>
      <c r="C48" s="103">
        <v>1</v>
      </c>
      <c r="D48" s="103">
        <v>2</v>
      </c>
      <c r="E48" s="104" t="s">
        <v>250</v>
      </c>
      <c r="F48" s="104">
        <v>43382</v>
      </c>
      <c r="G48" s="105">
        <v>0</v>
      </c>
      <c r="H48" s="104">
        <v>43388</v>
      </c>
      <c r="J48" s="2"/>
      <c r="L48" s="2"/>
    </row>
    <row r="49" spans="1:12">
      <c r="A49" s="97">
        <v>35</v>
      </c>
      <c r="B49" s="103">
        <v>3881608</v>
      </c>
      <c r="C49" s="103">
        <v>1</v>
      </c>
      <c r="D49" s="103">
        <v>2</v>
      </c>
      <c r="E49" s="104" t="s">
        <v>250</v>
      </c>
      <c r="F49" s="104">
        <v>43416</v>
      </c>
      <c r="G49" s="105">
        <v>0</v>
      </c>
      <c r="H49" s="104">
        <v>43420</v>
      </c>
      <c r="J49" s="2"/>
      <c r="L49" s="2"/>
    </row>
    <row r="50" spans="1:12">
      <c r="A50" s="97">
        <v>36</v>
      </c>
      <c r="B50" s="103">
        <v>3881608</v>
      </c>
      <c r="C50" s="103">
        <v>1</v>
      </c>
      <c r="D50" s="103">
        <v>2</v>
      </c>
      <c r="E50" s="104" t="s">
        <v>250</v>
      </c>
      <c r="F50" s="104">
        <v>43444</v>
      </c>
      <c r="G50" s="105">
        <v>0</v>
      </c>
      <c r="H50" s="104">
        <v>43448</v>
      </c>
      <c r="J50" s="2"/>
      <c r="L50" s="2"/>
    </row>
    <row r="51" spans="1:12">
      <c r="A51" s="97">
        <v>37</v>
      </c>
      <c r="B51" s="103">
        <v>3881608</v>
      </c>
      <c r="C51" s="103">
        <v>1</v>
      </c>
      <c r="D51" s="103">
        <v>2</v>
      </c>
      <c r="E51" s="104" t="s">
        <v>250</v>
      </c>
      <c r="F51" s="104">
        <v>43474</v>
      </c>
      <c r="G51" s="105">
        <v>0</v>
      </c>
      <c r="H51" s="104">
        <v>43480</v>
      </c>
      <c r="J51" s="2"/>
      <c r="L51" s="2"/>
    </row>
    <row r="52" spans="1:12">
      <c r="A52" s="97">
        <v>38</v>
      </c>
      <c r="B52" s="103">
        <v>3881608</v>
      </c>
      <c r="C52" s="103">
        <v>1</v>
      </c>
      <c r="D52" s="103">
        <v>2</v>
      </c>
      <c r="E52" s="104" t="s">
        <v>250</v>
      </c>
      <c r="F52" s="104">
        <v>43504</v>
      </c>
      <c r="G52" s="105">
        <v>0</v>
      </c>
      <c r="H52" s="104">
        <v>43510</v>
      </c>
      <c r="J52" s="2"/>
      <c r="L52" s="2"/>
    </row>
    <row r="53" spans="1:12">
      <c r="A53" s="97">
        <v>39</v>
      </c>
      <c r="B53" s="103">
        <v>3881608</v>
      </c>
      <c r="C53" s="103">
        <v>1</v>
      </c>
      <c r="D53" s="103">
        <v>2</v>
      </c>
      <c r="E53" s="104" t="s">
        <v>250</v>
      </c>
      <c r="F53" s="104">
        <v>43536</v>
      </c>
      <c r="G53" s="105">
        <v>0</v>
      </c>
      <c r="H53" s="104">
        <v>43542</v>
      </c>
      <c r="J53" s="2"/>
      <c r="L53" s="2"/>
    </row>
    <row r="54" spans="1:12">
      <c r="A54" s="97">
        <v>40</v>
      </c>
      <c r="B54" s="103">
        <v>3881608</v>
      </c>
      <c r="C54" s="103">
        <v>1</v>
      </c>
      <c r="D54" s="103">
        <v>2</v>
      </c>
      <c r="E54" s="104" t="s">
        <v>250</v>
      </c>
      <c r="F54" s="104">
        <v>43563</v>
      </c>
      <c r="G54" s="105">
        <v>0</v>
      </c>
      <c r="H54" s="104">
        <v>43567</v>
      </c>
      <c r="J54" s="2"/>
      <c r="L54" s="2"/>
    </row>
    <row r="55" spans="1:12">
      <c r="A55" s="97">
        <v>41</v>
      </c>
      <c r="B55" s="103">
        <v>3881608</v>
      </c>
      <c r="C55" s="103">
        <v>1</v>
      </c>
      <c r="D55" s="103">
        <v>2</v>
      </c>
      <c r="E55" s="104" t="s">
        <v>250</v>
      </c>
      <c r="F55" s="104">
        <v>43594</v>
      </c>
      <c r="G55" s="105">
        <v>0</v>
      </c>
      <c r="H55" s="104">
        <v>43600</v>
      </c>
      <c r="J55" s="2"/>
      <c r="L55" s="2"/>
    </row>
    <row r="56" spans="1:12">
      <c r="A56" s="97">
        <v>42</v>
      </c>
      <c r="B56" s="103">
        <v>3881608</v>
      </c>
      <c r="C56" s="103">
        <v>1</v>
      </c>
      <c r="D56" s="103">
        <v>2</v>
      </c>
      <c r="E56" s="104" t="s">
        <v>250</v>
      </c>
      <c r="F56" s="104">
        <v>43626</v>
      </c>
      <c r="G56" s="105">
        <v>0</v>
      </c>
      <c r="H56" s="104">
        <v>43630</v>
      </c>
      <c r="J56" s="2"/>
      <c r="L56" s="2"/>
    </row>
    <row r="57" spans="1:12">
      <c r="A57" s="97">
        <v>43</v>
      </c>
      <c r="B57" s="103">
        <v>3881608</v>
      </c>
      <c r="C57" s="103">
        <v>1</v>
      </c>
      <c r="D57" s="103">
        <v>2</v>
      </c>
      <c r="E57" s="104" t="s">
        <v>250</v>
      </c>
      <c r="F57" s="104">
        <v>43654</v>
      </c>
      <c r="G57" s="105">
        <v>0</v>
      </c>
      <c r="H57" s="104">
        <v>43658</v>
      </c>
      <c r="J57" s="2"/>
      <c r="L57" s="2"/>
    </row>
    <row r="58" spans="1:12">
      <c r="A58" s="97">
        <v>44</v>
      </c>
      <c r="B58" s="103">
        <v>3881608</v>
      </c>
      <c r="C58" s="103">
        <v>1</v>
      </c>
      <c r="D58" s="103">
        <v>2</v>
      </c>
      <c r="E58" s="104" t="s">
        <v>250</v>
      </c>
      <c r="F58" s="104">
        <v>43685</v>
      </c>
      <c r="G58" s="105">
        <v>0</v>
      </c>
      <c r="H58" s="104">
        <v>43691</v>
      </c>
      <c r="J58" s="2"/>
      <c r="L58" s="2"/>
    </row>
    <row r="59" spans="1:12">
      <c r="A59" s="97">
        <v>45</v>
      </c>
      <c r="B59" s="103">
        <v>3881608</v>
      </c>
      <c r="C59" s="103">
        <v>1</v>
      </c>
      <c r="D59" s="103">
        <v>2</v>
      </c>
      <c r="E59" s="104" t="s">
        <v>250</v>
      </c>
      <c r="F59" s="104">
        <v>43717</v>
      </c>
      <c r="G59" s="105">
        <v>0</v>
      </c>
      <c r="H59" s="104">
        <v>43721</v>
      </c>
      <c r="J59" s="2"/>
      <c r="L59" s="2"/>
    </row>
    <row r="60" spans="1:12">
      <c r="A60" s="97">
        <v>46</v>
      </c>
      <c r="B60" s="103">
        <v>3881608</v>
      </c>
      <c r="C60" s="103">
        <v>1</v>
      </c>
      <c r="D60" s="103">
        <v>2</v>
      </c>
      <c r="E60" s="104" t="s">
        <v>250</v>
      </c>
      <c r="F60" s="104">
        <v>43746</v>
      </c>
      <c r="G60" s="105">
        <v>0</v>
      </c>
      <c r="H60" s="104">
        <v>43752</v>
      </c>
      <c r="J60" s="2"/>
      <c r="L60" s="2"/>
    </row>
    <row r="61" spans="1:12">
      <c r="A61" s="97">
        <v>47</v>
      </c>
      <c r="B61" s="103">
        <v>3881608</v>
      </c>
      <c r="C61" s="103">
        <v>1</v>
      </c>
      <c r="D61" s="103">
        <v>2</v>
      </c>
      <c r="E61" s="104" t="s">
        <v>250</v>
      </c>
      <c r="F61" s="104">
        <v>43777</v>
      </c>
      <c r="G61" s="105">
        <v>0</v>
      </c>
      <c r="H61" s="104">
        <v>43783</v>
      </c>
      <c r="J61" s="2"/>
      <c r="L61" s="2"/>
    </row>
    <row r="62" spans="1:12">
      <c r="A62" s="97">
        <v>48</v>
      </c>
      <c r="B62" s="103">
        <v>3881608</v>
      </c>
      <c r="C62" s="103">
        <v>1</v>
      </c>
      <c r="D62" s="103">
        <v>2</v>
      </c>
      <c r="E62" s="104" t="s">
        <v>250</v>
      </c>
      <c r="F62" s="104">
        <v>43808</v>
      </c>
      <c r="G62" s="105">
        <v>0</v>
      </c>
      <c r="H62" s="104">
        <v>43812</v>
      </c>
      <c r="J62" s="2"/>
      <c r="L62" s="2"/>
    </row>
    <row r="63" spans="1:12">
      <c r="A63" s="97">
        <v>49</v>
      </c>
      <c r="B63" s="103">
        <v>3881608</v>
      </c>
      <c r="C63" s="103">
        <v>1</v>
      </c>
      <c r="D63" s="103">
        <v>2</v>
      </c>
      <c r="E63" s="104" t="s">
        <v>250</v>
      </c>
      <c r="F63" s="104">
        <v>43839</v>
      </c>
      <c r="G63" s="105">
        <v>0</v>
      </c>
      <c r="H63" s="104">
        <v>43845</v>
      </c>
      <c r="J63" s="2"/>
      <c r="L63" s="2"/>
    </row>
    <row r="64" spans="1:12">
      <c r="A64" s="97">
        <v>50</v>
      </c>
      <c r="B64" s="103">
        <v>3881608</v>
      </c>
      <c r="C64" s="103">
        <v>1</v>
      </c>
      <c r="D64" s="103">
        <v>2</v>
      </c>
      <c r="E64" s="104" t="s">
        <v>250</v>
      </c>
      <c r="F64" s="104">
        <v>43871</v>
      </c>
      <c r="G64" s="105">
        <v>0</v>
      </c>
      <c r="H64" s="104">
        <v>43875</v>
      </c>
      <c r="J64" s="2"/>
      <c r="L64" s="2"/>
    </row>
    <row r="65" spans="1:12">
      <c r="A65" s="97">
        <v>51</v>
      </c>
      <c r="B65" s="103">
        <v>3881608</v>
      </c>
      <c r="C65" s="103">
        <v>1</v>
      </c>
      <c r="D65" s="103">
        <v>2</v>
      </c>
      <c r="E65" s="104" t="s">
        <v>250</v>
      </c>
      <c r="F65" s="104">
        <v>43899</v>
      </c>
      <c r="G65" s="105">
        <v>0</v>
      </c>
      <c r="H65" s="104">
        <v>43903</v>
      </c>
      <c r="J65" s="2"/>
      <c r="L65" s="2"/>
    </row>
    <row r="66" spans="1:12">
      <c r="A66" s="97">
        <v>52</v>
      </c>
      <c r="B66" s="103">
        <v>3881608</v>
      </c>
      <c r="C66" s="103">
        <v>1</v>
      </c>
      <c r="D66" s="103">
        <v>2</v>
      </c>
      <c r="E66" s="104" t="s">
        <v>250</v>
      </c>
      <c r="F66" s="104">
        <v>43930</v>
      </c>
      <c r="G66" s="105">
        <v>0</v>
      </c>
      <c r="H66" s="104">
        <v>43936</v>
      </c>
      <c r="J66" s="2"/>
      <c r="L66" s="2"/>
    </row>
    <row r="67" spans="1:12">
      <c r="A67" s="97">
        <v>53</v>
      </c>
      <c r="B67" s="103">
        <v>3881608</v>
      </c>
      <c r="C67" s="103">
        <v>1</v>
      </c>
      <c r="D67" s="103">
        <v>2</v>
      </c>
      <c r="E67" s="104" t="s">
        <v>250</v>
      </c>
      <c r="F67" s="104">
        <v>43962</v>
      </c>
      <c r="G67" s="105">
        <v>0</v>
      </c>
      <c r="H67" s="104">
        <v>43966</v>
      </c>
      <c r="J67" s="2"/>
      <c r="L67" s="2"/>
    </row>
    <row r="68" spans="1:12">
      <c r="A68" s="97">
        <v>54</v>
      </c>
      <c r="B68" s="103">
        <v>3881608</v>
      </c>
      <c r="C68" s="103">
        <v>1</v>
      </c>
      <c r="D68" s="103">
        <v>2</v>
      </c>
      <c r="E68" s="104" t="s">
        <v>250</v>
      </c>
      <c r="F68" s="104">
        <v>43991</v>
      </c>
      <c r="G68" s="105">
        <v>0</v>
      </c>
      <c r="H68" s="104">
        <v>43997</v>
      </c>
      <c r="J68" s="2"/>
      <c r="L68" s="2"/>
    </row>
    <row r="69" spans="1:12">
      <c r="A69" s="97">
        <v>55</v>
      </c>
      <c r="B69" s="103">
        <v>3881608</v>
      </c>
      <c r="C69" s="103">
        <v>1</v>
      </c>
      <c r="D69" s="103">
        <v>2</v>
      </c>
      <c r="E69" s="104" t="s">
        <v>250</v>
      </c>
      <c r="F69" s="104">
        <v>44020</v>
      </c>
      <c r="G69" s="105">
        <v>0</v>
      </c>
      <c r="H69" s="104">
        <v>44026</v>
      </c>
      <c r="J69" s="2"/>
      <c r="L69" s="2"/>
    </row>
    <row r="70" spans="1:12">
      <c r="A70" s="97">
        <v>56</v>
      </c>
      <c r="B70" s="103">
        <v>3881608</v>
      </c>
      <c r="C70" s="103">
        <v>1</v>
      </c>
      <c r="D70" s="103">
        <v>2</v>
      </c>
      <c r="E70" s="104" t="s">
        <v>250</v>
      </c>
      <c r="F70" s="104">
        <v>44053</v>
      </c>
      <c r="G70" s="105">
        <v>0</v>
      </c>
      <c r="H70" s="104">
        <v>44057</v>
      </c>
      <c r="J70" s="2"/>
      <c r="L70" s="2"/>
    </row>
    <row r="71" spans="1:12">
      <c r="A71" s="97">
        <v>57</v>
      </c>
      <c r="B71" s="103">
        <v>3881608</v>
      </c>
      <c r="C71" s="103">
        <v>1</v>
      </c>
      <c r="D71" s="103">
        <v>2</v>
      </c>
      <c r="E71" s="104" t="s">
        <v>250</v>
      </c>
      <c r="F71" s="104">
        <v>44083</v>
      </c>
      <c r="G71" s="105">
        <v>0</v>
      </c>
      <c r="H71" s="104">
        <v>44089</v>
      </c>
      <c r="J71" s="2"/>
      <c r="L71" s="2"/>
    </row>
    <row r="72" spans="1:12">
      <c r="A72" s="97">
        <v>58</v>
      </c>
      <c r="B72" s="103">
        <v>3881608</v>
      </c>
      <c r="C72" s="103">
        <v>1</v>
      </c>
      <c r="D72" s="103">
        <v>2</v>
      </c>
      <c r="E72" s="104" t="s">
        <v>250</v>
      </c>
      <c r="F72" s="104">
        <v>44113</v>
      </c>
      <c r="G72" s="105">
        <v>0</v>
      </c>
      <c r="H72" s="104">
        <v>44119</v>
      </c>
      <c r="J72" s="2"/>
      <c r="L72" s="2"/>
    </row>
    <row r="73" spans="1:12">
      <c r="A73" s="97">
        <v>59</v>
      </c>
      <c r="B73" s="103">
        <v>3881608</v>
      </c>
      <c r="C73" s="103">
        <v>1</v>
      </c>
      <c r="D73" s="103">
        <v>2</v>
      </c>
      <c r="E73" s="104" t="s">
        <v>250</v>
      </c>
      <c r="F73" s="104">
        <v>44145</v>
      </c>
      <c r="G73" s="105">
        <v>0</v>
      </c>
      <c r="H73" s="104">
        <v>44151</v>
      </c>
      <c r="J73" s="2"/>
      <c r="L73" s="2"/>
    </row>
    <row r="74" spans="1:12">
      <c r="A74" s="97">
        <v>60</v>
      </c>
      <c r="B74" s="103">
        <v>3881608</v>
      </c>
      <c r="C74" s="103">
        <v>1</v>
      </c>
      <c r="D74" s="103">
        <v>2</v>
      </c>
      <c r="E74" s="104" t="s">
        <v>250</v>
      </c>
      <c r="F74" s="104">
        <v>44173</v>
      </c>
      <c r="G74" s="105">
        <v>0</v>
      </c>
      <c r="H74" s="104">
        <v>44179</v>
      </c>
      <c r="J74" s="2"/>
      <c r="L74" s="2"/>
    </row>
    <row r="75" spans="1:12">
      <c r="A75" s="97">
        <v>61</v>
      </c>
      <c r="B75" s="103">
        <v>3881608</v>
      </c>
      <c r="C75" s="103">
        <v>1</v>
      </c>
      <c r="D75" s="103">
        <v>2</v>
      </c>
      <c r="E75" s="104" t="s">
        <v>250</v>
      </c>
      <c r="F75" s="104">
        <v>44207</v>
      </c>
      <c r="G75" s="105">
        <v>0</v>
      </c>
      <c r="H75" s="104">
        <v>44211</v>
      </c>
      <c r="J75" s="2"/>
      <c r="L75" s="2"/>
    </row>
    <row r="76" spans="1:12">
      <c r="A76" s="97">
        <v>62</v>
      </c>
      <c r="B76" s="103">
        <v>3881608</v>
      </c>
      <c r="C76" s="103">
        <v>1</v>
      </c>
      <c r="D76" s="103">
        <v>2</v>
      </c>
      <c r="E76" s="104" t="s">
        <v>250</v>
      </c>
      <c r="F76" s="104">
        <v>44235</v>
      </c>
      <c r="G76" s="105">
        <v>0</v>
      </c>
      <c r="H76" s="104">
        <v>44239</v>
      </c>
      <c r="J76" s="2"/>
      <c r="L76" s="2"/>
    </row>
    <row r="77" spans="1:12">
      <c r="A77" s="97">
        <v>63</v>
      </c>
      <c r="B77" s="103">
        <v>3881608</v>
      </c>
      <c r="C77" s="103">
        <v>1</v>
      </c>
      <c r="D77" s="103">
        <v>2</v>
      </c>
      <c r="E77" s="104" t="s">
        <v>250</v>
      </c>
      <c r="F77" s="104">
        <v>44263</v>
      </c>
      <c r="G77" s="105">
        <v>0</v>
      </c>
      <c r="H77" s="104">
        <v>44267</v>
      </c>
      <c r="J77" s="2"/>
      <c r="L77" s="2"/>
    </row>
    <row r="78" spans="1:12">
      <c r="A78" s="97">
        <v>64</v>
      </c>
      <c r="B78" s="103">
        <v>3881608</v>
      </c>
      <c r="C78" s="103">
        <v>1</v>
      </c>
      <c r="D78" s="103">
        <v>2</v>
      </c>
      <c r="E78" s="104" t="s">
        <v>250</v>
      </c>
      <c r="F78" s="104">
        <v>44295</v>
      </c>
      <c r="G78" s="105">
        <v>0</v>
      </c>
      <c r="H78" s="104">
        <v>44301</v>
      </c>
      <c r="J78" s="2"/>
      <c r="L78" s="2"/>
    </row>
    <row r="79" spans="1:12">
      <c r="A79" s="97">
        <v>65</v>
      </c>
      <c r="B79" s="103">
        <v>3881608</v>
      </c>
      <c r="C79" s="103">
        <v>1</v>
      </c>
      <c r="D79" s="103">
        <v>2</v>
      </c>
      <c r="E79" s="104" t="s">
        <v>250</v>
      </c>
      <c r="F79" s="104">
        <v>44326</v>
      </c>
      <c r="G79" s="105">
        <v>0</v>
      </c>
      <c r="H79" s="104">
        <v>44330</v>
      </c>
      <c r="J79" s="2"/>
      <c r="L79" s="2"/>
    </row>
    <row r="80" spans="1:12">
      <c r="A80" s="97">
        <v>66</v>
      </c>
      <c r="B80" s="103">
        <v>3881608</v>
      </c>
      <c r="C80" s="103">
        <v>1</v>
      </c>
      <c r="D80" s="103">
        <v>2</v>
      </c>
      <c r="E80" s="104" t="s">
        <v>250</v>
      </c>
      <c r="F80" s="104">
        <v>44356</v>
      </c>
      <c r="G80" s="105">
        <v>0</v>
      </c>
      <c r="H80" s="104">
        <v>44362</v>
      </c>
      <c r="J80" s="2"/>
      <c r="L80" s="2"/>
    </row>
    <row r="81" spans="1:12">
      <c r="A81" s="97">
        <v>67</v>
      </c>
      <c r="B81" s="103">
        <v>3881608</v>
      </c>
      <c r="C81" s="103">
        <v>1</v>
      </c>
      <c r="D81" s="103">
        <v>2</v>
      </c>
      <c r="E81" s="104" t="s">
        <v>250</v>
      </c>
      <c r="F81" s="104">
        <v>44385</v>
      </c>
      <c r="G81" s="105">
        <v>0</v>
      </c>
      <c r="H81" s="104">
        <v>44391</v>
      </c>
      <c r="J81" s="2"/>
      <c r="L81" s="2"/>
    </row>
    <row r="82" spans="1:12">
      <c r="A82" s="97">
        <v>68</v>
      </c>
      <c r="B82" s="103">
        <v>3881608</v>
      </c>
      <c r="C82" s="103">
        <v>1</v>
      </c>
      <c r="D82" s="103">
        <v>2</v>
      </c>
      <c r="E82" s="104" t="s">
        <v>250</v>
      </c>
      <c r="F82" s="104">
        <v>44417</v>
      </c>
      <c r="G82" s="105">
        <v>0</v>
      </c>
      <c r="H82" s="104">
        <v>44421</v>
      </c>
      <c r="J82" s="2"/>
      <c r="L82" s="2"/>
    </row>
    <row r="83" spans="1:12">
      <c r="A83" s="97">
        <v>69</v>
      </c>
      <c r="B83" s="103">
        <v>3881608</v>
      </c>
      <c r="C83" s="103">
        <v>1</v>
      </c>
      <c r="D83" s="103">
        <v>2</v>
      </c>
      <c r="E83" s="104" t="s">
        <v>250</v>
      </c>
      <c r="F83" s="104">
        <v>44448</v>
      </c>
      <c r="G83" s="105">
        <v>0</v>
      </c>
      <c r="H83" s="104">
        <v>44454</v>
      </c>
      <c r="J83" s="2"/>
      <c r="L83" s="2"/>
    </row>
    <row r="84" spans="1:12">
      <c r="A84" s="97">
        <v>70</v>
      </c>
      <c r="B84" s="103">
        <v>3881608</v>
      </c>
      <c r="C84" s="103">
        <v>1</v>
      </c>
      <c r="D84" s="103">
        <v>2</v>
      </c>
      <c r="E84" s="104" t="s">
        <v>250</v>
      </c>
      <c r="F84" s="104">
        <v>44480</v>
      </c>
      <c r="G84" s="105">
        <v>0</v>
      </c>
      <c r="H84" s="104">
        <v>44484</v>
      </c>
      <c r="J84" s="2"/>
      <c r="L84" s="2"/>
    </row>
    <row r="85" spans="1:12">
      <c r="A85" s="97">
        <v>71</v>
      </c>
      <c r="B85" s="103">
        <v>3881608</v>
      </c>
      <c r="C85" s="103">
        <v>1</v>
      </c>
      <c r="D85" s="103">
        <v>2</v>
      </c>
      <c r="E85" s="104" t="s">
        <v>250</v>
      </c>
      <c r="F85" s="104">
        <v>44510</v>
      </c>
      <c r="G85" s="105">
        <v>0</v>
      </c>
      <c r="H85" s="104">
        <v>44516</v>
      </c>
      <c r="J85" s="2"/>
      <c r="L85" s="2"/>
    </row>
    <row r="86" spans="1:12">
      <c r="A86" s="97">
        <v>72</v>
      </c>
      <c r="B86" s="103">
        <v>3881608</v>
      </c>
      <c r="C86" s="103">
        <v>1</v>
      </c>
      <c r="D86" s="103">
        <v>2</v>
      </c>
      <c r="E86" s="104" t="s">
        <v>250</v>
      </c>
      <c r="F86" s="104">
        <v>44538</v>
      </c>
      <c r="G86" s="105">
        <v>0</v>
      </c>
      <c r="H86" s="104">
        <v>44544</v>
      </c>
      <c r="J86" s="2"/>
      <c r="L86" s="2"/>
    </row>
    <row r="87" spans="1:12">
      <c r="A87" s="97">
        <v>73</v>
      </c>
      <c r="B87" s="103">
        <v>3881608</v>
      </c>
      <c r="C87" s="103">
        <v>1</v>
      </c>
      <c r="D87" s="103">
        <v>2</v>
      </c>
      <c r="E87" s="104" t="s">
        <v>250</v>
      </c>
      <c r="F87" s="104">
        <v>44571</v>
      </c>
      <c r="G87" s="105">
        <v>0</v>
      </c>
      <c r="H87" s="104">
        <v>44575</v>
      </c>
      <c r="J87" s="2"/>
      <c r="L87" s="2"/>
    </row>
    <row r="88" spans="1:12">
      <c r="A88" s="97">
        <v>74</v>
      </c>
      <c r="B88" s="103">
        <v>3881608</v>
      </c>
      <c r="C88" s="103">
        <v>1</v>
      </c>
      <c r="D88" s="103">
        <v>2</v>
      </c>
      <c r="E88" s="104" t="s">
        <v>250</v>
      </c>
      <c r="F88" s="104">
        <v>44600</v>
      </c>
      <c r="G88" s="105">
        <v>0</v>
      </c>
      <c r="H88" s="104">
        <v>44606</v>
      </c>
      <c r="J88" s="2"/>
      <c r="L88" s="2"/>
    </row>
    <row r="89" spans="1:12">
      <c r="A89" s="97">
        <v>75</v>
      </c>
      <c r="B89" s="103">
        <v>3881608</v>
      </c>
      <c r="C89" s="103">
        <v>1</v>
      </c>
      <c r="D89" s="103">
        <v>2</v>
      </c>
      <c r="E89" s="104" t="s">
        <v>250</v>
      </c>
      <c r="F89" s="104">
        <v>44629</v>
      </c>
      <c r="G89" s="105">
        <v>0</v>
      </c>
      <c r="H89" s="104">
        <v>44635</v>
      </c>
      <c r="J89" s="2"/>
      <c r="L89" s="2"/>
    </row>
    <row r="90" spans="1:12">
      <c r="A90" s="97">
        <v>76</v>
      </c>
      <c r="B90" s="103">
        <v>3881608</v>
      </c>
      <c r="C90" s="103">
        <v>1</v>
      </c>
      <c r="D90" s="103">
        <v>2</v>
      </c>
      <c r="E90" s="104" t="s">
        <v>250</v>
      </c>
      <c r="F90" s="104">
        <v>44659</v>
      </c>
      <c r="G90" s="105">
        <v>0</v>
      </c>
      <c r="H90" s="104">
        <v>44665</v>
      </c>
      <c r="J90" s="2"/>
      <c r="L90" s="2"/>
    </row>
    <row r="91" spans="1:12">
      <c r="A91" s="97">
        <v>77</v>
      </c>
      <c r="B91" s="103">
        <v>3881608</v>
      </c>
      <c r="C91" s="103">
        <v>1</v>
      </c>
      <c r="D91" s="103">
        <v>2</v>
      </c>
      <c r="E91" s="104" t="s">
        <v>250</v>
      </c>
      <c r="F91" s="104">
        <v>44690</v>
      </c>
      <c r="G91" s="105">
        <v>0</v>
      </c>
      <c r="H91" s="104">
        <v>44694</v>
      </c>
      <c r="J91" s="2"/>
      <c r="L91" s="2"/>
    </row>
    <row r="92" spans="1:12">
      <c r="A92" s="97">
        <v>78</v>
      </c>
      <c r="B92" s="103">
        <v>3881608</v>
      </c>
      <c r="C92" s="103">
        <v>1</v>
      </c>
      <c r="D92" s="103">
        <v>2</v>
      </c>
      <c r="E92" s="104" t="s">
        <v>250</v>
      </c>
      <c r="F92" s="104">
        <v>44720</v>
      </c>
      <c r="G92" s="105">
        <v>0</v>
      </c>
      <c r="H92" s="104">
        <v>44726</v>
      </c>
      <c r="J92" s="2"/>
      <c r="L92" s="2"/>
    </row>
    <row r="93" spans="1:12">
      <c r="A93" s="97">
        <v>79</v>
      </c>
      <c r="B93" s="103">
        <v>3881608</v>
      </c>
      <c r="C93" s="103">
        <v>1</v>
      </c>
      <c r="D93" s="103">
        <v>2</v>
      </c>
      <c r="E93" s="104" t="s">
        <v>250</v>
      </c>
      <c r="F93" s="104">
        <v>44750</v>
      </c>
      <c r="G93" s="105">
        <v>0</v>
      </c>
      <c r="H93" s="104">
        <v>44756</v>
      </c>
      <c r="J93" s="2"/>
      <c r="L93" s="2"/>
    </row>
    <row r="94" spans="1:12">
      <c r="A94" s="97">
        <v>80</v>
      </c>
      <c r="B94" s="103">
        <v>3881608</v>
      </c>
      <c r="C94" s="103">
        <v>1</v>
      </c>
      <c r="D94" s="103">
        <v>2</v>
      </c>
      <c r="E94" s="104" t="s">
        <v>250</v>
      </c>
      <c r="F94" s="104">
        <v>44781</v>
      </c>
      <c r="G94" s="105">
        <v>0</v>
      </c>
      <c r="H94" s="104">
        <v>44785</v>
      </c>
      <c r="J94" s="2"/>
      <c r="L94" s="2"/>
    </row>
    <row r="95" spans="1:12">
      <c r="A95" s="97">
        <v>81</v>
      </c>
      <c r="B95" s="103">
        <v>3881608</v>
      </c>
      <c r="C95" s="103">
        <v>1</v>
      </c>
      <c r="D95" s="103">
        <v>2</v>
      </c>
      <c r="E95" s="104" t="s">
        <v>250</v>
      </c>
      <c r="F95" s="104">
        <v>44813</v>
      </c>
      <c r="G95" s="105">
        <v>0</v>
      </c>
      <c r="H95" s="104">
        <v>44819</v>
      </c>
      <c r="J95" s="2"/>
      <c r="L95" s="2"/>
    </row>
    <row r="96" spans="1:12">
      <c r="A96" s="97">
        <v>82</v>
      </c>
      <c r="B96" s="103">
        <v>3881608</v>
      </c>
      <c r="C96" s="103">
        <v>1</v>
      </c>
      <c r="D96" s="103">
        <v>2</v>
      </c>
      <c r="E96" s="104" t="s">
        <v>250</v>
      </c>
      <c r="F96" s="104">
        <v>44845</v>
      </c>
      <c r="G96" s="105">
        <v>0</v>
      </c>
      <c r="H96" s="104">
        <v>44851</v>
      </c>
      <c r="J96" s="2"/>
      <c r="L96" s="2"/>
    </row>
    <row r="97" spans="1:12">
      <c r="A97" s="97">
        <v>83</v>
      </c>
      <c r="B97" s="103">
        <v>3881608</v>
      </c>
      <c r="C97" s="103">
        <v>1</v>
      </c>
      <c r="D97" s="103">
        <v>2</v>
      </c>
      <c r="E97" s="104" t="s">
        <v>250</v>
      </c>
      <c r="F97" s="104">
        <v>44875</v>
      </c>
      <c r="G97" s="105">
        <v>0</v>
      </c>
      <c r="H97" s="104">
        <v>44881</v>
      </c>
      <c r="J97" s="2"/>
      <c r="L97" s="2"/>
    </row>
    <row r="98" spans="1:12">
      <c r="A98" s="97">
        <v>84</v>
      </c>
      <c r="B98" s="103">
        <v>3881608</v>
      </c>
      <c r="C98" s="103">
        <v>1</v>
      </c>
      <c r="D98" s="103">
        <v>2</v>
      </c>
      <c r="E98" s="104" t="s">
        <v>250</v>
      </c>
      <c r="F98" s="104">
        <v>44903</v>
      </c>
      <c r="G98" s="105">
        <v>0</v>
      </c>
      <c r="H98" s="104">
        <v>44909</v>
      </c>
      <c r="J98" s="2"/>
      <c r="L98" s="2"/>
    </row>
    <row r="99" spans="1:12">
      <c r="A99" s="97">
        <v>85</v>
      </c>
      <c r="B99" s="103">
        <v>3881608</v>
      </c>
      <c r="C99" s="103">
        <v>1</v>
      </c>
      <c r="D99" s="103">
        <v>2</v>
      </c>
      <c r="E99" s="104" t="s">
        <v>250</v>
      </c>
      <c r="F99" s="104">
        <v>44935</v>
      </c>
      <c r="G99" s="105">
        <v>0</v>
      </c>
      <c r="H99" s="104">
        <v>44939</v>
      </c>
      <c r="J99" s="2"/>
      <c r="L99" s="2"/>
    </row>
    <row r="100" spans="1:12">
      <c r="A100" s="97">
        <v>86</v>
      </c>
      <c r="B100" s="103">
        <v>3881608</v>
      </c>
      <c r="C100" s="103">
        <v>1</v>
      </c>
      <c r="D100" s="103">
        <v>2</v>
      </c>
      <c r="E100" s="104" t="s">
        <v>250</v>
      </c>
      <c r="F100" s="104">
        <v>44965</v>
      </c>
      <c r="G100" s="105">
        <v>0</v>
      </c>
      <c r="H100" s="104">
        <v>44971</v>
      </c>
      <c r="J100" s="2"/>
      <c r="L100" s="2"/>
    </row>
    <row r="101" spans="1:12">
      <c r="A101" s="97">
        <v>87</v>
      </c>
      <c r="B101" s="103">
        <v>3881608</v>
      </c>
      <c r="C101" s="103">
        <v>1</v>
      </c>
      <c r="D101" s="103">
        <v>2</v>
      </c>
      <c r="E101" s="104" t="s">
        <v>250</v>
      </c>
      <c r="F101" s="104">
        <v>44993</v>
      </c>
      <c r="G101" s="105">
        <v>0</v>
      </c>
      <c r="H101" s="104">
        <v>44999</v>
      </c>
      <c r="J101" s="2"/>
      <c r="L101" s="2"/>
    </row>
    <row r="102" spans="1:12">
      <c r="A102" s="97">
        <v>88</v>
      </c>
      <c r="B102" s="103">
        <v>3881608</v>
      </c>
      <c r="C102" s="103">
        <v>1</v>
      </c>
      <c r="D102" s="103">
        <v>2</v>
      </c>
      <c r="E102" s="104" t="s">
        <v>250</v>
      </c>
      <c r="F102" s="104">
        <v>45027</v>
      </c>
      <c r="G102" s="105">
        <v>0</v>
      </c>
      <c r="H102" s="104">
        <v>45033</v>
      </c>
      <c r="J102" s="2"/>
      <c r="L102" s="2"/>
    </row>
    <row r="103" spans="1:12">
      <c r="A103" s="97">
        <v>89</v>
      </c>
      <c r="B103" s="103">
        <v>3881608</v>
      </c>
      <c r="C103" s="103">
        <v>1</v>
      </c>
      <c r="D103" s="103">
        <v>2</v>
      </c>
      <c r="E103" s="104" t="s">
        <v>250</v>
      </c>
      <c r="F103" s="104">
        <v>45055</v>
      </c>
      <c r="G103" s="105">
        <v>0</v>
      </c>
      <c r="H103" s="104">
        <v>45061</v>
      </c>
      <c r="J103" s="2"/>
      <c r="L103" s="2"/>
    </row>
    <row r="104" spans="1:12">
      <c r="A104" s="97">
        <v>90</v>
      </c>
      <c r="B104" s="103">
        <v>3881608</v>
      </c>
      <c r="C104" s="103">
        <v>1</v>
      </c>
      <c r="D104" s="103">
        <v>2</v>
      </c>
      <c r="E104" s="104" t="s">
        <v>250</v>
      </c>
      <c r="F104" s="104">
        <v>45086</v>
      </c>
      <c r="G104" s="105">
        <v>0</v>
      </c>
      <c r="H104" s="104">
        <v>45092</v>
      </c>
      <c r="J104" s="2"/>
      <c r="L104" s="2"/>
    </row>
    <row r="105" spans="1:12">
      <c r="A105" s="97">
        <v>91</v>
      </c>
      <c r="B105" s="103">
        <v>3881608</v>
      </c>
      <c r="C105" s="103">
        <v>1</v>
      </c>
      <c r="D105" s="103">
        <v>2</v>
      </c>
      <c r="E105" s="104" t="s">
        <v>250</v>
      </c>
      <c r="F105" s="104">
        <v>45117</v>
      </c>
      <c r="G105" s="105">
        <v>0</v>
      </c>
      <c r="H105" s="104">
        <v>45121</v>
      </c>
      <c r="J105" s="2"/>
      <c r="L105" s="2"/>
    </row>
    <row r="106" spans="1:12">
      <c r="A106" s="97">
        <v>92</v>
      </c>
      <c r="B106" s="103">
        <v>3881608</v>
      </c>
      <c r="C106" s="103">
        <v>1</v>
      </c>
      <c r="D106" s="103">
        <v>2</v>
      </c>
      <c r="E106" s="104" t="s">
        <v>250</v>
      </c>
      <c r="F106" s="104">
        <v>45146</v>
      </c>
      <c r="G106" s="105">
        <v>0</v>
      </c>
      <c r="H106" s="104">
        <v>45152</v>
      </c>
      <c r="J106" s="2"/>
      <c r="L106" s="2"/>
    </row>
    <row r="107" spans="1:12">
      <c r="A107" s="97">
        <v>93</v>
      </c>
      <c r="B107" s="103">
        <v>3881608</v>
      </c>
      <c r="C107" s="103">
        <v>1</v>
      </c>
      <c r="D107" s="103">
        <v>2</v>
      </c>
      <c r="E107" s="104" t="s">
        <v>250</v>
      </c>
      <c r="F107" s="104">
        <v>45180</v>
      </c>
      <c r="G107" s="105">
        <v>0</v>
      </c>
      <c r="H107" s="104">
        <v>45184</v>
      </c>
      <c r="J107" s="2"/>
      <c r="L107" s="2"/>
    </row>
    <row r="108" spans="1:12">
      <c r="A108" s="97">
        <v>94</v>
      </c>
      <c r="B108" s="103">
        <v>3881608</v>
      </c>
      <c r="C108" s="103">
        <v>1</v>
      </c>
      <c r="D108" s="103">
        <v>2</v>
      </c>
      <c r="E108" s="104" t="s">
        <v>250</v>
      </c>
      <c r="F108" s="104">
        <v>45209</v>
      </c>
      <c r="G108" s="105">
        <v>0</v>
      </c>
      <c r="H108" s="104">
        <v>45215</v>
      </c>
      <c r="J108" s="2"/>
      <c r="L108" s="2"/>
    </row>
    <row r="109" spans="1:12">
      <c r="A109" s="97">
        <v>95</v>
      </c>
      <c r="B109" s="103">
        <v>3881608</v>
      </c>
      <c r="C109" s="103">
        <v>1</v>
      </c>
      <c r="D109" s="103">
        <v>2</v>
      </c>
      <c r="E109" s="104" t="s">
        <v>250</v>
      </c>
      <c r="F109" s="104">
        <v>45240</v>
      </c>
      <c r="G109" s="105">
        <v>0</v>
      </c>
      <c r="H109" s="104">
        <v>45246</v>
      </c>
      <c r="J109" s="2"/>
      <c r="L109" s="2"/>
    </row>
    <row r="110" spans="1:12">
      <c r="A110" s="97">
        <v>96</v>
      </c>
      <c r="B110" s="103">
        <v>3881608</v>
      </c>
      <c r="C110" s="103">
        <v>1</v>
      </c>
      <c r="D110" s="103">
        <v>2</v>
      </c>
      <c r="E110" s="104" t="s">
        <v>250</v>
      </c>
      <c r="F110" s="104">
        <v>45268</v>
      </c>
      <c r="G110" s="105">
        <v>0</v>
      </c>
      <c r="H110" s="104">
        <v>45274</v>
      </c>
      <c r="J110" s="2"/>
      <c r="L110" s="2"/>
    </row>
    <row r="111" spans="1:12">
      <c r="A111" s="97">
        <v>97</v>
      </c>
      <c r="B111" s="103">
        <v>3881608</v>
      </c>
      <c r="C111" s="103">
        <v>1</v>
      </c>
      <c r="D111" s="103">
        <v>2</v>
      </c>
      <c r="E111" s="104" t="s">
        <v>250</v>
      </c>
      <c r="F111" s="104">
        <v>45300</v>
      </c>
      <c r="G111" s="105">
        <v>0</v>
      </c>
      <c r="H111" s="104">
        <v>45306</v>
      </c>
      <c r="J111" s="2"/>
      <c r="L111" s="2"/>
    </row>
    <row r="112" spans="1:12">
      <c r="A112" s="97">
        <v>98</v>
      </c>
      <c r="B112" s="103">
        <v>3881608</v>
      </c>
      <c r="C112" s="103">
        <v>1</v>
      </c>
      <c r="D112" s="103">
        <v>2</v>
      </c>
      <c r="E112" s="104" t="s">
        <v>250</v>
      </c>
      <c r="F112" s="104">
        <v>45334</v>
      </c>
      <c r="G112" s="105">
        <v>0</v>
      </c>
      <c r="H112" s="104">
        <v>45338</v>
      </c>
      <c r="J112" s="2"/>
      <c r="L112" s="2"/>
    </row>
    <row r="113" spans="1:12">
      <c r="A113" s="97">
        <v>99</v>
      </c>
      <c r="B113" s="103">
        <v>3881608</v>
      </c>
      <c r="C113" s="103">
        <v>1</v>
      </c>
      <c r="D113" s="103">
        <v>2</v>
      </c>
      <c r="E113" s="104" t="s">
        <v>250</v>
      </c>
      <c r="F113" s="104">
        <v>45359</v>
      </c>
      <c r="G113" s="105">
        <v>0</v>
      </c>
      <c r="H113" s="104">
        <v>45365</v>
      </c>
      <c r="J113" s="2"/>
      <c r="L113" s="2"/>
    </row>
    <row r="114" spans="1:12">
      <c r="A114" s="97">
        <v>100</v>
      </c>
      <c r="B114" s="103">
        <v>3881608</v>
      </c>
      <c r="C114" s="103">
        <v>1</v>
      </c>
      <c r="D114" s="103">
        <v>2</v>
      </c>
      <c r="E114" s="104" t="s">
        <v>250</v>
      </c>
      <c r="F114" s="104">
        <v>45390</v>
      </c>
      <c r="G114" s="105">
        <v>0</v>
      </c>
      <c r="H114" s="104">
        <v>45394</v>
      </c>
      <c r="J114" s="2"/>
      <c r="L114" s="2"/>
    </row>
    <row r="115" spans="1:12">
      <c r="A115" s="97">
        <v>101</v>
      </c>
      <c r="B115" s="103">
        <v>3881608</v>
      </c>
      <c r="C115" s="103">
        <v>1</v>
      </c>
      <c r="D115" s="103">
        <v>2</v>
      </c>
      <c r="E115" s="104" t="s">
        <v>250</v>
      </c>
      <c r="F115" s="104">
        <v>45421</v>
      </c>
      <c r="G115" s="105">
        <v>0</v>
      </c>
      <c r="H115" s="104">
        <v>45427</v>
      </c>
      <c r="J115" s="2"/>
      <c r="L115" s="2"/>
    </row>
    <row r="116" spans="1:12">
      <c r="A116" s="97">
        <v>102</v>
      </c>
      <c r="B116" s="103">
        <v>3881608</v>
      </c>
      <c r="C116" s="103">
        <v>1</v>
      </c>
      <c r="D116" s="103">
        <v>2</v>
      </c>
      <c r="E116" s="104" t="s">
        <v>250</v>
      </c>
      <c r="F116" s="104">
        <v>45453</v>
      </c>
      <c r="G116" s="105">
        <v>0</v>
      </c>
      <c r="H116" s="104">
        <v>45457</v>
      </c>
      <c r="J116" s="2"/>
      <c r="L116" s="2"/>
    </row>
    <row r="117" spans="1:12">
      <c r="A117" s="97">
        <v>103</v>
      </c>
      <c r="B117" s="103">
        <v>3881608</v>
      </c>
      <c r="C117" s="103">
        <v>1</v>
      </c>
      <c r="D117" s="103">
        <v>2</v>
      </c>
      <c r="E117" s="104" t="s">
        <v>250</v>
      </c>
      <c r="F117" s="104">
        <v>45481</v>
      </c>
      <c r="G117" s="105">
        <v>0</v>
      </c>
      <c r="H117" s="104">
        <v>45485</v>
      </c>
      <c r="J117" s="2"/>
      <c r="L117" s="2"/>
    </row>
    <row r="118" spans="1:12">
      <c r="A118" s="97">
        <v>104</v>
      </c>
      <c r="B118" s="103">
        <v>3881608</v>
      </c>
      <c r="C118" s="103">
        <v>1</v>
      </c>
      <c r="D118" s="103">
        <v>2</v>
      </c>
      <c r="E118" s="104" t="s">
        <v>250</v>
      </c>
      <c r="F118" s="104">
        <v>45512</v>
      </c>
      <c r="G118" s="105">
        <v>0</v>
      </c>
      <c r="H118" s="104">
        <v>45518</v>
      </c>
      <c r="J118" s="2"/>
      <c r="L118" s="2"/>
    </row>
    <row r="119" spans="1:12">
      <c r="A119" s="97">
        <v>105</v>
      </c>
      <c r="B119" s="103">
        <v>3881608</v>
      </c>
      <c r="C119" s="103">
        <v>1</v>
      </c>
      <c r="D119" s="103">
        <v>2</v>
      </c>
      <c r="E119" s="104" t="s">
        <v>250</v>
      </c>
      <c r="F119" s="104">
        <v>45544</v>
      </c>
      <c r="G119" s="105">
        <v>0</v>
      </c>
      <c r="H119" s="104">
        <v>45548</v>
      </c>
      <c r="J119" s="2"/>
      <c r="L119" s="2"/>
    </row>
    <row r="120" spans="1:12">
      <c r="A120" s="97">
        <v>106</v>
      </c>
      <c r="B120" s="103">
        <v>3881608</v>
      </c>
      <c r="C120" s="103">
        <v>1</v>
      </c>
      <c r="D120" s="103">
        <v>2</v>
      </c>
      <c r="E120" s="104" t="s">
        <v>250</v>
      </c>
      <c r="F120" s="104">
        <v>45573</v>
      </c>
      <c r="G120" s="105">
        <v>0</v>
      </c>
      <c r="H120" s="104">
        <v>45579</v>
      </c>
      <c r="J120" s="2"/>
      <c r="L120" s="2"/>
    </row>
    <row r="121" spans="1:12">
      <c r="A121" s="97">
        <v>107</v>
      </c>
      <c r="B121" s="103">
        <v>3881608</v>
      </c>
      <c r="C121" s="103">
        <v>1</v>
      </c>
      <c r="D121" s="103">
        <v>2</v>
      </c>
      <c r="E121" s="104" t="s">
        <v>250</v>
      </c>
      <c r="F121" s="104">
        <v>45604</v>
      </c>
      <c r="G121" s="105">
        <v>0</v>
      </c>
      <c r="H121" s="104">
        <v>45610</v>
      </c>
      <c r="J121" s="2"/>
      <c r="L121" s="2"/>
    </row>
    <row r="122" spans="1:12">
      <c r="A122" s="97">
        <v>108</v>
      </c>
      <c r="B122" s="103">
        <v>3881608</v>
      </c>
      <c r="C122" s="103">
        <v>1</v>
      </c>
      <c r="D122" s="103">
        <v>2</v>
      </c>
      <c r="E122" s="104" t="s">
        <v>250</v>
      </c>
      <c r="F122" s="104">
        <v>45635</v>
      </c>
      <c r="G122" s="105">
        <v>0</v>
      </c>
      <c r="H122" s="104">
        <v>45639</v>
      </c>
      <c r="J122" s="2"/>
      <c r="L122" s="2"/>
    </row>
    <row r="123" spans="1:12">
      <c r="A123" s="97">
        <v>109</v>
      </c>
      <c r="B123" s="103">
        <v>3881608</v>
      </c>
      <c r="C123" s="103">
        <v>1</v>
      </c>
      <c r="D123" s="103">
        <v>2</v>
      </c>
      <c r="E123" s="104" t="s">
        <v>250</v>
      </c>
      <c r="F123" s="104">
        <v>45666</v>
      </c>
      <c r="G123" s="105">
        <v>0</v>
      </c>
      <c r="H123" s="104">
        <v>45672</v>
      </c>
      <c r="J123" s="2"/>
      <c r="L123" s="2"/>
    </row>
    <row r="124" spans="1:12">
      <c r="A124" s="97">
        <v>110</v>
      </c>
      <c r="B124" s="103">
        <v>3881608</v>
      </c>
      <c r="C124" s="103">
        <v>1</v>
      </c>
      <c r="D124" s="103">
        <v>2</v>
      </c>
      <c r="E124" s="104" t="s">
        <v>250</v>
      </c>
      <c r="F124" s="104">
        <v>45698</v>
      </c>
      <c r="G124" s="105">
        <v>0</v>
      </c>
      <c r="H124" s="104">
        <v>45702</v>
      </c>
      <c r="J124" s="2"/>
      <c r="L124" s="2"/>
    </row>
    <row r="125" spans="1:12">
      <c r="A125" s="97">
        <v>111</v>
      </c>
      <c r="B125" s="103">
        <v>3881608</v>
      </c>
      <c r="C125" s="103">
        <v>1</v>
      </c>
      <c r="D125" s="103">
        <v>2</v>
      </c>
      <c r="E125" s="104" t="s">
        <v>250</v>
      </c>
      <c r="F125" s="104">
        <v>45728</v>
      </c>
      <c r="G125" s="105">
        <v>0</v>
      </c>
      <c r="H125" s="104">
        <v>45734</v>
      </c>
      <c r="J125" s="2"/>
      <c r="L125" s="2"/>
    </row>
    <row r="126" spans="1:12">
      <c r="A126" s="97">
        <v>112</v>
      </c>
      <c r="B126" s="103">
        <v>3881608</v>
      </c>
      <c r="C126" s="103">
        <v>1</v>
      </c>
      <c r="D126" s="103">
        <v>2</v>
      </c>
      <c r="E126" s="104" t="s">
        <v>250</v>
      </c>
      <c r="F126" s="104">
        <v>45755</v>
      </c>
      <c r="G126" s="105">
        <v>0</v>
      </c>
      <c r="H126" s="104">
        <v>45761</v>
      </c>
      <c r="J126" s="2"/>
      <c r="L126" s="2"/>
    </row>
    <row r="127" spans="1:12">
      <c r="A127" s="97">
        <v>113</v>
      </c>
      <c r="B127" s="103">
        <v>3881608</v>
      </c>
      <c r="C127" s="103">
        <v>1</v>
      </c>
      <c r="D127" s="103">
        <v>2</v>
      </c>
      <c r="E127" s="104" t="s">
        <v>250</v>
      </c>
      <c r="F127" s="104">
        <v>45786</v>
      </c>
      <c r="G127" s="105">
        <v>0</v>
      </c>
      <c r="H127" s="104">
        <v>45792</v>
      </c>
      <c r="J127" s="2"/>
      <c r="L127" s="2"/>
    </row>
    <row r="128" spans="1:12">
      <c r="A128" s="97">
        <v>114</v>
      </c>
      <c r="B128" s="103">
        <v>3881608</v>
      </c>
      <c r="C128" s="103">
        <v>1</v>
      </c>
      <c r="D128" s="103">
        <v>2</v>
      </c>
      <c r="E128" s="104" t="s">
        <v>250</v>
      </c>
      <c r="F128" s="104">
        <v>45817</v>
      </c>
      <c r="G128" s="105">
        <v>0</v>
      </c>
      <c r="H128" s="104">
        <v>45821</v>
      </c>
      <c r="J128" s="2"/>
      <c r="L128" s="2"/>
    </row>
    <row r="129" spans="1:12">
      <c r="A129" s="97">
        <v>115</v>
      </c>
      <c r="B129" s="103">
        <v>3881608</v>
      </c>
      <c r="C129" s="103">
        <v>1</v>
      </c>
      <c r="D129" s="103">
        <v>2</v>
      </c>
      <c r="E129" s="104" t="s">
        <v>250</v>
      </c>
      <c r="F129" s="104">
        <v>45846</v>
      </c>
      <c r="G129" s="105">
        <v>0</v>
      </c>
      <c r="H129" s="104">
        <v>45852</v>
      </c>
      <c r="J129" s="2"/>
      <c r="L129" s="2"/>
    </row>
    <row r="130" spans="1:12">
      <c r="A130" s="97">
        <v>116</v>
      </c>
      <c r="B130" s="103">
        <v>3881608</v>
      </c>
      <c r="C130" s="103">
        <v>1</v>
      </c>
      <c r="D130" s="103">
        <v>2</v>
      </c>
      <c r="E130" s="104" t="s">
        <v>250</v>
      </c>
      <c r="F130" s="104">
        <v>45877</v>
      </c>
      <c r="G130" s="105">
        <v>0</v>
      </c>
      <c r="H130" s="104">
        <v>45883</v>
      </c>
      <c r="J130" s="2"/>
      <c r="L130" s="2"/>
    </row>
    <row r="131" spans="1:12">
      <c r="A131" s="97">
        <v>117</v>
      </c>
      <c r="B131" s="103">
        <v>3881608</v>
      </c>
      <c r="C131" s="103">
        <v>1</v>
      </c>
      <c r="D131" s="103">
        <v>2</v>
      </c>
      <c r="E131" s="104" t="s">
        <v>250</v>
      </c>
      <c r="F131" s="104">
        <v>45908</v>
      </c>
      <c r="G131" s="105">
        <v>0</v>
      </c>
      <c r="H131" s="104">
        <v>45912</v>
      </c>
      <c r="J131" s="2"/>
      <c r="L131" s="2"/>
    </row>
    <row r="132" spans="1:12">
      <c r="A132" s="97">
        <v>118</v>
      </c>
      <c r="B132" s="103">
        <v>3881608</v>
      </c>
      <c r="C132" s="103">
        <v>1</v>
      </c>
      <c r="D132" s="103">
        <v>2</v>
      </c>
      <c r="E132" s="104" t="s">
        <v>250</v>
      </c>
      <c r="F132" s="104">
        <v>45938</v>
      </c>
      <c r="G132" s="105">
        <v>0</v>
      </c>
      <c r="H132" s="104">
        <v>45944</v>
      </c>
      <c r="J132" s="2"/>
      <c r="L132" s="2"/>
    </row>
    <row r="133" spans="1:12">
      <c r="A133" s="97">
        <v>119</v>
      </c>
      <c r="B133" s="103">
        <v>3881608</v>
      </c>
      <c r="C133" s="103">
        <v>1</v>
      </c>
      <c r="D133" s="103">
        <v>2</v>
      </c>
      <c r="E133" s="104" t="s">
        <v>250</v>
      </c>
      <c r="F133" s="104">
        <v>45971</v>
      </c>
      <c r="G133" s="105">
        <v>0</v>
      </c>
      <c r="H133" s="104">
        <v>45975</v>
      </c>
      <c r="J133" s="2"/>
      <c r="L133" s="2"/>
    </row>
    <row r="134" spans="1:12">
      <c r="A134" s="97">
        <v>120</v>
      </c>
      <c r="B134" s="103">
        <v>3881608</v>
      </c>
      <c r="C134" s="103">
        <v>1</v>
      </c>
      <c r="D134" s="103">
        <v>2</v>
      </c>
      <c r="E134" s="104" t="s">
        <v>250</v>
      </c>
      <c r="F134" s="104">
        <v>45999</v>
      </c>
      <c r="G134" s="105">
        <v>0</v>
      </c>
      <c r="H134" s="104">
        <v>46003</v>
      </c>
      <c r="J134" s="2"/>
      <c r="L134" s="2"/>
    </row>
    <row r="135" spans="1:12">
      <c r="A135" s="97">
        <v>121</v>
      </c>
      <c r="B135" s="103">
        <v>3881608</v>
      </c>
      <c r="C135" s="103">
        <v>1</v>
      </c>
      <c r="D135" s="103">
        <v>2</v>
      </c>
      <c r="E135" s="104" t="s">
        <v>250</v>
      </c>
      <c r="F135" s="104">
        <v>46031</v>
      </c>
      <c r="G135" s="105">
        <v>0</v>
      </c>
      <c r="H135" s="104">
        <v>46037</v>
      </c>
      <c r="J135" s="2"/>
      <c r="L135" s="2"/>
    </row>
    <row r="136" spans="1:12">
      <c r="A136" s="97">
        <v>122</v>
      </c>
      <c r="B136" s="103">
        <v>3881608</v>
      </c>
      <c r="C136" s="103">
        <v>1</v>
      </c>
      <c r="D136" s="103">
        <v>2</v>
      </c>
      <c r="E136" s="104" t="s">
        <v>250</v>
      </c>
      <c r="F136" s="104">
        <v>46062</v>
      </c>
      <c r="G136" s="105">
        <v>0</v>
      </c>
      <c r="H136" s="104">
        <v>46066</v>
      </c>
      <c r="J136" s="2"/>
      <c r="L136" s="2"/>
    </row>
    <row r="137" spans="1:12">
      <c r="A137" s="97">
        <v>123</v>
      </c>
      <c r="B137" s="103">
        <v>3881608</v>
      </c>
      <c r="C137" s="103">
        <v>1</v>
      </c>
      <c r="D137" s="103">
        <v>2</v>
      </c>
      <c r="E137" s="104" t="s">
        <v>250</v>
      </c>
      <c r="F137" s="104">
        <v>46090</v>
      </c>
      <c r="G137" s="105">
        <v>0</v>
      </c>
      <c r="H137" s="104">
        <v>46094</v>
      </c>
      <c r="J137" s="2"/>
      <c r="L137" s="2"/>
    </row>
    <row r="138" spans="1:12">
      <c r="A138" s="97">
        <v>124</v>
      </c>
      <c r="B138" s="103">
        <v>3881608</v>
      </c>
      <c r="C138" s="103">
        <v>1</v>
      </c>
      <c r="D138" s="103">
        <v>2</v>
      </c>
      <c r="E138" s="104" t="s">
        <v>250</v>
      </c>
      <c r="F138" s="104">
        <v>46121</v>
      </c>
      <c r="G138" s="105">
        <v>0</v>
      </c>
      <c r="H138" s="104">
        <v>46127</v>
      </c>
      <c r="J138" s="2"/>
      <c r="L138" s="2"/>
    </row>
    <row r="139" spans="1:12">
      <c r="A139" s="97">
        <v>125</v>
      </c>
      <c r="B139" s="103">
        <v>3881608</v>
      </c>
      <c r="C139" s="103">
        <v>1</v>
      </c>
      <c r="D139" s="103">
        <v>2</v>
      </c>
      <c r="E139" s="104" t="s">
        <v>250</v>
      </c>
      <c r="F139" s="104">
        <v>46153</v>
      </c>
      <c r="G139" s="105">
        <v>0</v>
      </c>
      <c r="H139" s="104">
        <v>46157</v>
      </c>
      <c r="J139" s="2"/>
      <c r="L139" s="2"/>
    </row>
    <row r="140" spans="1:12">
      <c r="A140" s="97">
        <v>126</v>
      </c>
      <c r="B140" s="103">
        <v>3881608</v>
      </c>
      <c r="C140" s="103">
        <v>1</v>
      </c>
      <c r="D140" s="103">
        <v>2</v>
      </c>
      <c r="E140" s="104" t="s">
        <v>250</v>
      </c>
      <c r="F140" s="104">
        <v>46182</v>
      </c>
      <c r="G140" s="105">
        <v>0</v>
      </c>
      <c r="H140" s="104">
        <v>46188</v>
      </c>
      <c r="J140" s="2"/>
      <c r="L140" s="2"/>
    </row>
    <row r="141" spans="1:12">
      <c r="A141" s="97">
        <v>127</v>
      </c>
      <c r="B141" s="103">
        <v>3881608</v>
      </c>
      <c r="C141" s="103">
        <v>1</v>
      </c>
      <c r="D141" s="103">
        <v>2</v>
      </c>
      <c r="E141" s="104" t="s">
        <v>250</v>
      </c>
      <c r="F141" s="104">
        <v>46211</v>
      </c>
      <c r="G141" s="105">
        <v>0</v>
      </c>
      <c r="H141" s="104">
        <v>46217</v>
      </c>
      <c r="J141" s="2"/>
      <c r="L141" s="2"/>
    </row>
    <row r="142" spans="1:12">
      <c r="A142" s="97">
        <v>128</v>
      </c>
      <c r="B142" s="103">
        <v>3881608</v>
      </c>
      <c r="C142" s="103">
        <v>1</v>
      </c>
      <c r="D142" s="103">
        <v>2</v>
      </c>
      <c r="E142" s="104" t="s">
        <v>250</v>
      </c>
      <c r="F142" s="104">
        <v>46244</v>
      </c>
      <c r="G142" s="105">
        <v>0</v>
      </c>
      <c r="H142" s="104">
        <v>46248</v>
      </c>
      <c r="J142" s="2"/>
      <c r="L142" s="2"/>
    </row>
    <row r="143" spans="1:12">
      <c r="A143" s="97">
        <v>129</v>
      </c>
      <c r="B143" s="103">
        <v>3881608</v>
      </c>
      <c r="C143" s="103">
        <v>1</v>
      </c>
      <c r="D143" s="103">
        <v>2</v>
      </c>
      <c r="E143" s="104" t="s">
        <v>250</v>
      </c>
      <c r="F143" s="104">
        <v>46274</v>
      </c>
      <c r="G143" s="105">
        <v>0</v>
      </c>
      <c r="H143" s="104">
        <v>46280</v>
      </c>
      <c r="J143" s="2"/>
      <c r="L143" s="2"/>
    </row>
    <row r="144" spans="1:12">
      <c r="A144" s="97">
        <v>130</v>
      </c>
      <c r="B144" s="103">
        <v>3881608</v>
      </c>
      <c r="C144" s="103">
        <v>1</v>
      </c>
      <c r="D144" s="103">
        <v>2</v>
      </c>
      <c r="E144" s="104" t="s">
        <v>250</v>
      </c>
      <c r="F144" s="104">
        <v>46304</v>
      </c>
      <c r="G144" s="105">
        <v>0</v>
      </c>
      <c r="H144" s="104">
        <v>46310</v>
      </c>
      <c r="J144" s="2"/>
      <c r="L144" s="2"/>
    </row>
    <row r="145" spans="1:12">
      <c r="A145" s="97">
        <v>131</v>
      </c>
      <c r="B145" s="103">
        <v>3881608</v>
      </c>
      <c r="C145" s="103">
        <v>1</v>
      </c>
      <c r="D145" s="103">
        <v>2</v>
      </c>
      <c r="E145" s="104" t="s">
        <v>250</v>
      </c>
      <c r="F145" s="104">
        <v>46336</v>
      </c>
      <c r="G145" s="105">
        <v>0</v>
      </c>
      <c r="H145" s="104">
        <v>46342</v>
      </c>
      <c r="J145" s="2"/>
      <c r="L145" s="2"/>
    </row>
    <row r="146" spans="1:12">
      <c r="A146" s="97">
        <v>132</v>
      </c>
      <c r="B146" s="103">
        <v>3881608</v>
      </c>
      <c r="C146" s="103">
        <v>1</v>
      </c>
      <c r="D146" s="103">
        <v>2</v>
      </c>
      <c r="E146" s="104" t="s">
        <v>250</v>
      </c>
      <c r="F146" s="104">
        <v>46364</v>
      </c>
      <c r="G146" s="105">
        <v>0</v>
      </c>
      <c r="H146" s="104">
        <v>46370</v>
      </c>
      <c r="J146" s="2"/>
      <c r="L146" s="2"/>
    </row>
    <row r="147" spans="1:12">
      <c r="A147" s="97">
        <v>133</v>
      </c>
      <c r="B147" s="103">
        <v>3881608</v>
      </c>
      <c r="C147" s="103">
        <v>1</v>
      </c>
      <c r="D147" s="103">
        <v>2</v>
      </c>
      <c r="E147" s="104" t="s">
        <v>250</v>
      </c>
      <c r="F147" s="104">
        <v>46398</v>
      </c>
      <c r="G147" s="105">
        <v>0</v>
      </c>
      <c r="H147" s="104">
        <v>46402</v>
      </c>
      <c r="J147" s="2"/>
      <c r="L147" s="2"/>
    </row>
    <row r="148" spans="1:12">
      <c r="A148" s="97">
        <v>134</v>
      </c>
      <c r="B148" s="103">
        <v>3881608</v>
      </c>
      <c r="C148" s="103">
        <v>1</v>
      </c>
      <c r="D148" s="103">
        <v>2</v>
      </c>
      <c r="E148" s="104" t="s">
        <v>250</v>
      </c>
      <c r="F148" s="104">
        <v>46428</v>
      </c>
      <c r="G148" s="105">
        <v>0</v>
      </c>
      <c r="H148" s="104">
        <v>46434</v>
      </c>
      <c r="J148" s="2"/>
      <c r="L148" s="2"/>
    </row>
    <row r="149" spans="1:12">
      <c r="A149" s="97">
        <v>135</v>
      </c>
      <c r="B149" s="103">
        <v>3881608</v>
      </c>
      <c r="C149" s="103">
        <v>1</v>
      </c>
      <c r="D149" s="103">
        <v>2</v>
      </c>
      <c r="E149" s="104" t="s">
        <v>250</v>
      </c>
      <c r="F149" s="104">
        <v>46454</v>
      </c>
      <c r="G149" s="105">
        <v>0</v>
      </c>
      <c r="H149" s="104">
        <v>46458</v>
      </c>
      <c r="J149" s="2"/>
      <c r="L149" s="2"/>
    </row>
    <row r="150" spans="1:12">
      <c r="A150" s="97">
        <v>136</v>
      </c>
      <c r="B150" s="103">
        <v>3881608</v>
      </c>
      <c r="C150" s="103">
        <v>1</v>
      </c>
      <c r="D150" s="103">
        <v>2</v>
      </c>
      <c r="E150" s="104" t="s">
        <v>250</v>
      </c>
      <c r="F150" s="104">
        <v>46485</v>
      </c>
      <c r="G150" s="105">
        <v>0</v>
      </c>
      <c r="H150" s="104">
        <v>46491</v>
      </c>
      <c r="J150" s="2"/>
      <c r="L150" s="2"/>
    </row>
    <row r="151" spans="1:12">
      <c r="A151" s="97">
        <v>137</v>
      </c>
      <c r="B151" s="103">
        <v>3881608</v>
      </c>
      <c r="C151" s="103">
        <v>1</v>
      </c>
      <c r="D151" s="103">
        <v>2</v>
      </c>
      <c r="E151" s="104" t="s">
        <v>250</v>
      </c>
      <c r="F151" s="104">
        <v>46517</v>
      </c>
      <c r="G151" s="105">
        <v>0</v>
      </c>
      <c r="H151" s="104">
        <v>46521</v>
      </c>
      <c r="J151" s="2"/>
      <c r="L151" s="2"/>
    </row>
    <row r="152" spans="1:12">
      <c r="A152" s="97">
        <v>138</v>
      </c>
      <c r="B152" s="103">
        <v>3881608</v>
      </c>
      <c r="C152" s="103">
        <v>1</v>
      </c>
      <c r="D152" s="103">
        <v>2</v>
      </c>
      <c r="E152" s="104" t="s">
        <v>250</v>
      </c>
      <c r="F152" s="104">
        <v>46546</v>
      </c>
      <c r="G152" s="105">
        <v>0</v>
      </c>
      <c r="H152" s="104">
        <v>46552</v>
      </c>
      <c r="J152" s="2"/>
      <c r="L152" s="2"/>
    </row>
    <row r="153" spans="1:12">
      <c r="A153" s="97">
        <v>139</v>
      </c>
      <c r="B153" s="103">
        <v>3881608</v>
      </c>
      <c r="C153" s="103">
        <v>1</v>
      </c>
      <c r="D153" s="103">
        <v>2</v>
      </c>
      <c r="E153" s="104" t="s">
        <v>250</v>
      </c>
      <c r="F153" s="104">
        <v>46576</v>
      </c>
      <c r="G153" s="105">
        <v>0</v>
      </c>
      <c r="H153" s="104">
        <v>46582</v>
      </c>
      <c r="J153" s="2"/>
      <c r="L153" s="2"/>
    </row>
    <row r="154" spans="1:12">
      <c r="A154" s="97">
        <v>140</v>
      </c>
      <c r="B154" s="103">
        <v>3881608</v>
      </c>
      <c r="C154" s="103">
        <v>1</v>
      </c>
      <c r="D154" s="103">
        <v>2</v>
      </c>
      <c r="E154" s="104" t="s">
        <v>250</v>
      </c>
      <c r="F154" s="104">
        <v>46608</v>
      </c>
      <c r="G154" s="105">
        <v>0</v>
      </c>
      <c r="H154" s="104">
        <v>46612</v>
      </c>
      <c r="J154" s="2"/>
      <c r="L154" s="2"/>
    </row>
    <row r="155" spans="1:12">
      <c r="A155" s="97">
        <v>141</v>
      </c>
      <c r="B155" s="103">
        <v>3881608</v>
      </c>
      <c r="C155" s="103">
        <v>1</v>
      </c>
      <c r="D155" s="103">
        <v>2</v>
      </c>
      <c r="E155" s="104" t="s">
        <v>250</v>
      </c>
      <c r="F155" s="104">
        <v>46639</v>
      </c>
      <c r="G155" s="105">
        <v>0</v>
      </c>
      <c r="H155" s="104">
        <v>46645</v>
      </c>
      <c r="J155" s="2"/>
      <c r="L155" s="2"/>
    </row>
    <row r="156" spans="1:12">
      <c r="A156" s="97">
        <v>142</v>
      </c>
      <c r="B156" s="103">
        <v>3881608</v>
      </c>
      <c r="C156" s="103">
        <v>1</v>
      </c>
      <c r="D156" s="103">
        <v>2</v>
      </c>
      <c r="E156" s="104" t="s">
        <v>250</v>
      </c>
      <c r="F156" s="104">
        <v>46671</v>
      </c>
      <c r="G156" s="105">
        <v>0</v>
      </c>
      <c r="H156" s="104">
        <v>46675</v>
      </c>
      <c r="J156" s="2"/>
      <c r="L156" s="2"/>
    </row>
    <row r="157" spans="1:12">
      <c r="A157" s="97">
        <v>143</v>
      </c>
      <c r="B157" s="103">
        <v>3881608</v>
      </c>
      <c r="C157" s="103">
        <v>1</v>
      </c>
      <c r="D157" s="103">
        <v>2</v>
      </c>
      <c r="E157" s="104" t="s">
        <v>250</v>
      </c>
      <c r="F157" s="104">
        <v>46701</v>
      </c>
      <c r="G157" s="105">
        <v>0</v>
      </c>
      <c r="H157" s="104">
        <v>46707</v>
      </c>
      <c r="J157" s="2"/>
      <c r="L157" s="2"/>
    </row>
    <row r="158" spans="1:12">
      <c r="A158" s="97">
        <v>144</v>
      </c>
      <c r="B158" s="103">
        <v>3881608</v>
      </c>
      <c r="C158" s="103">
        <v>1</v>
      </c>
      <c r="D158" s="103">
        <v>2</v>
      </c>
      <c r="E158" s="104" t="s">
        <v>250</v>
      </c>
      <c r="F158" s="104">
        <v>46729</v>
      </c>
      <c r="G158" s="105">
        <v>0</v>
      </c>
      <c r="H158" s="104">
        <v>46735</v>
      </c>
      <c r="J158" s="2"/>
      <c r="L158" s="2"/>
    </row>
    <row r="159" spans="1:12">
      <c r="A159" s="97"/>
      <c r="B159" s="97"/>
      <c r="C159" s="97"/>
      <c r="D159" s="97"/>
      <c r="E159" s="97"/>
      <c r="F159" s="98"/>
      <c r="G159" s="99"/>
      <c r="H159" s="98"/>
      <c r="J159" s="2"/>
      <c r="L159" s="2"/>
    </row>
    <row r="160" spans="1:12">
      <c r="A160" s="97"/>
      <c r="B160" s="97"/>
      <c r="C160" s="97"/>
      <c r="D160" s="97"/>
      <c r="E160" s="97"/>
      <c r="F160" s="98"/>
      <c r="G160" s="99"/>
      <c r="H160" s="98"/>
      <c r="J160" s="2"/>
      <c r="L160" s="2"/>
    </row>
    <row r="161" spans="1:16">
      <c r="A161" s="80"/>
      <c r="F161" s="2"/>
      <c r="G161" s="3"/>
      <c r="H161" s="2"/>
      <c r="J161" s="2"/>
      <c r="L161" s="2"/>
    </row>
    <row r="162" spans="1:16" ht="15.75">
      <c r="A162" s="247" t="s">
        <v>230</v>
      </c>
      <c r="B162" s="247"/>
      <c r="C162" s="247"/>
      <c r="D162" s="247"/>
      <c r="E162" s="83"/>
      <c r="F162" s="83"/>
      <c r="G162" s="83"/>
      <c r="H162" s="83"/>
      <c r="N162" s="2"/>
      <c r="P162" s="2"/>
    </row>
    <row r="163" spans="1:16">
      <c r="A163" s="80" t="s">
        <v>226</v>
      </c>
      <c r="B163" s="1" t="s">
        <v>0</v>
      </c>
      <c r="C163" s="1" t="s">
        <v>52</v>
      </c>
      <c r="D163" s="1" t="s">
        <v>76</v>
      </c>
      <c r="E163" s="1" t="s">
        <v>77</v>
      </c>
      <c r="F163" s="1" t="s">
        <v>78</v>
      </c>
      <c r="G163" s="3" t="s">
        <v>79</v>
      </c>
      <c r="H163" s="1" t="s">
        <v>80</v>
      </c>
      <c r="N163" s="2"/>
      <c r="P163" s="2"/>
    </row>
    <row r="164" spans="1:16">
      <c r="A164" s="80">
        <v>1</v>
      </c>
      <c r="B164" s="1">
        <v>3881608</v>
      </c>
      <c r="C164" s="1">
        <v>1</v>
      </c>
      <c r="D164" s="1">
        <v>3</v>
      </c>
      <c r="E164" s="1" t="s">
        <v>251</v>
      </c>
      <c r="F164" s="2">
        <v>42380</v>
      </c>
      <c r="G164" s="3">
        <v>0</v>
      </c>
      <c r="H164" s="2">
        <v>42384</v>
      </c>
      <c r="N164" s="2"/>
      <c r="P164" s="2"/>
    </row>
    <row r="165" spans="1:16">
      <c r="A165" s="97">
        <v>2</v>
      </c>
      <c r="B165" s="97">
        <v>3881608</v>
      </c>
      <c r="C165" s="97">
        <v>1</v>
      </c>
      <c r="D165" s="97">
        <v>3</v>
      </c>
      <c r="E165" s="97" t="s">
        <v>251</v>
      </c>
      <c r="F165" s="98">
        <v>42410</v>
      </c>
      <c r="G165" s="99">
        <v>0</v>
      </c>
      <c r="H165" s="98">
        <v>42416</v>
      </c>
      <c r="N165" s="2"/>
      <c r="P165" s="2"/>
    </row>
    <row r="166" spans="1:16">
      <c r="A166" s="97">
        <v>3</v>
      </c>
      <c r="B166" s="97">
        <v>3881608</v>
      </c>
      <c r="C166" s="97">
        <v>1</v>
      </c>
      <c r="D166" s="97">
        <v>3</v>
      </c>
      <c r="E166" s="97" t="s">
        <v>251</v>
      </c>
      <c r="F166" s="98">
        <v>42437</v>
      </c>
      <c r="G166" s="99">
        <v>0</v>
      </c>
      <c r="H166" s="98">
        <v>42443</v>
      </c>
      <c r="N166" s="2"/>
      <c r="P166" s="2"/>
    </row>
    <row r="167" spans="1:16">
      <c r="A167" s="97">
        <v>4</v>
      </c>
      <c r="B167" s="103">
        <v>3881608</v>
      </c>
      <c r="C167" s="103">
        <v>1</v>
      </c>
      <c r="D167" s="103">
        <v>3</v>
      </c>
      <c r="E167" s="103" t="s">
        <v>251</v>
      </c>
      <c r="F167" s="104">
        <v>42468</v>
      </c>
      <c r="G167" s="105">
        <v>0</v>
      </c>
      <c r="H167" s="104">
        <v>42474</v>
      </c>
      <c r="N167" s="2"/>
      <c r="P167" s="2"/>
    </row>
    <row r="168" spans="1:16">
      <c r="A168" s="97">
        <v>5</v>
      </c>
      <c r="B168" s="103">
        <v>3881608</v>
      </c>
      <c r="C168" s="103">
        <v>1</v>
      </c>
      <c r="D168" s="103">
        <v>3</v>
      </c>
      <c r="E168" s="103" t="s">
        <v>251</v>
      </c>
      <c r="F168" s="104">
        <v>42499</v>
      </c>
      <c r="G168" s="105">
        <v>0</v>
      </c>
      <c r="H168" s="104">
        <v>42503</v>
      </c>
      <c r="N168" s="2"/>
      <c r="P168" s="2"/>
    </row>
    <row r="169" spans="1:16">
      <c r="A169" s="97">
        <v>6</v>
      </c>
      <c r="B169" s="103">
        <v>3881608</v>
      </c>
      <c r="C169" s="103">
        <v>1</v>
      </c>
      <c r="D169" s="103">
        <v>3</v>
      </c>
      <c r="E169" s="103" t="s">
        <v>251</v>
      </c>
      <c r="F169" s="104">
        <v>42529</v>
      </c>
      <c r="G169" s="105">
        <v>0</v>
      </c>
      <c r="H169" s="104">
        <v>42535</v>
      </c>
      <c r="N169" s="2"/>
      <c r="P169" s="2"/>
    </row>
    <row r="170" spans="1:16">
      <c r="A170" s="97">
        <v>7</v>
      </c>
      <c r="B170" s="103">
        <v>3881608</v>
      </c>
      <c r="C170" s="103">
        <v>1</v>
      </c>
      <c r="D170" s="103">
        <v>3</v>
      </c>
      <c r="E170" s="103" t="s">
        <v>251</v>
      </c>
      <c r="F170" s="104">
        <v>42559</v>
      </c>
      <c r="G170" s="105">
        <v>0</v>
      </c>
      <c r="H170" s="104">
        <v>42565</v>
      </c>
      <c r="N170" s="2"/>
      <c r="P170" s="2"/>
    </row>
    <row r="171" spans="1:16">
      <c r="A171" s="97">
        <v>8</v>
      </c>
      <c r="B171" s="103">
        <v>3881608</v>
      </c>
      <c r="C171" s="103">
        <v>1</v>
      </c>
      <c r="D171" s="103">
        <v>3</v>
      </c>
      <c r="E171" s="103" t="s">
        <v>251</v>
      </c>
      <c r="F171" s="104">
        <v>42590</v>
      </c>
      <c r="G171" s="105">
        <v>0</v>
      </c>
      <c r="H171" s="104">
        <v>42594</v>
      </c>
      <c r="N171" s="2"/>
      <c r="P171" s="2"/>
    </row>
    <row r="172" spans="1:16">
      <c r="A172" s="97">
        <v>9</v>
      </c>
      <c r="B172" s="103">
        <v>3881608</v>
      </c>
      <c r="C172" s="103">
        <v>1</v>
      </c>
      <c r="D172" s="103">
        <v>3</v>
      </c>
      <c r="E172" s="103" t="s">
        <v>251</v>
      </c>
      <c r="F172" s="104">
        <v>42622</v>
      </c>
      <c r="G172" s="105">
        <v>0</v>
      </c>
      <c r="H172" s="104">
        <v>42628</v>
      </c>
      <c r="N172" s="2"/>
      <c r="P172" s="2"/>
    </row>
    <row r="173" spans="1:16">
      <c r="A173" s="97">
        <v>10</v>
      </c>
      <c r="B173" s="103">
        <v>3881608</v>
      </c>
      <c r="C173" s="103">
        <v>1</v>
      </c>
      <c r="D173" s="103">
        <v>3</v>
      </c>
      <c r="E173" s="103" t="s">
        <v>251</v>
      </c>
      <c r="F173" s="104">
        <v>42654</v>
      </c>
      <c r="G173" s="105">
        <v>0</v>
      </c>
      <c r="H173" s="104">
        <v>42660</v>
      </c>
      <c r="N173" s="2"/>
      <c r="P173" s="2"/>
    </row>
    <row r="174" spans="1:16">
      <c r="A174" s="97">
        <v>11</v>
      </c>
      <c r="B174" s="103">
        <v>3881608</v>
      </c>
      <c r="C174" s="103">
        <v>1</v>
      </c>
      <c r="D174" s="103">
        <v>3</v>
      </c>
      <c r="E174" s="103" t="s">
        <v>251</v>
      </c>
      <c r="F174" s="104">
        <v>42684</v>
      </c>
      <c r="G174" s="105">
        <v>0</v>
      </c>
      <c r="H174" s="104">
        <v>42690</v>
      </c>
      <c r="N174" s="2"/>
      <c r="P174" s="2"/>
    </row>
    <row r="175" spans="1:16">
      <c r="A175" s="97">
        <v>12</v>
      </c>
      <c r="B175" s="103">
        <v>3881608</v>
      </c>
      <c r="C175" s="103">
        <v>1</v>
      </c>
      <c r="D175" s="103">
        <v>3</v>
      </c>
      <c r="E175" s="103" t="s">
        <v>251</v>
      </c>
      <c r="F175" s="104">
        <v>42712</v>
      </c>
      <c r="G175" s="105">
        <v>0</v>
      </c>
      <c r="H175" s="104">
        <v>42718</v>
      </c>
      <c r="N175" s="2"/>
      <c r="P175" s="2"/>
    </row>
    <row r="176" spans="1:16">
      <c r="A176" s="97">
        <v>13</v>
      </c>
      <c r="B176" s="103">
        <v>3881608</v>
      </c>
      <c r="C176" s="103">
        <v>1</v>
      </c>
      <c r="D176" s="103">
        <v>3</v>
      </c>
      <c r="E176" s="103" t="s">
        <v>251</v>
      </c>
      <c r="F176" s="104">
        <v>42744</v>
      </c>
      <c r="G176" s="105">
        <v>0</v>
      </c>
      <c r="H176" s="104">
        <v>42748</v>
      </c>
      <c r="N176" s="2"/>
      <c r="P176" s="2"/>
    </row>
    <row r="177" spans="1:16">
      <c r="A177" s="97">
        <v>14</v>
      </c>
      <c r="B177" s="103">
        <v>3881608</v>
      </c>
      <c r="C177" s="103">
        <v>1</v>
      </c>
      <c r="D177" s="103">
        <v>3</v>
      </c>
      <c r="E177" s="103" t="s">
        <v>251</v>
      </c>
      <c r="F177" s="104">
        <v>42774</v>
      </c>
      <c r="G177" s="105">
        <v>0</v>
      </c>
      <c r="H177" s="104">
        <v>42780</v>
      </c>
      <c r="N177" s="2"/>
      <c r="P177" s="2"/>
    </row>
    <row r="178" spans="1:16">
      <c r="A178" s="97">
        <v>15</v>
      </c>
      <c r="B178" s="103">
        <v>3881608</v>
      </c>
      <c r="C178" s="103">
        <v>1</v>
      </c>
      <c r="D178" s="103">
        <v>3</v>
      </c>
      <c r="E178" s="103" t="s">
        <v>251</v>
      </c>
      <c r="F178" s="104">
        <v>42802</v>
      </c>
      <c r="G178" s="105">
        <v>0</v>
      </c>
      <c r="H178" s="104">
        <v>42808</v>
      </c>
      <c r="N178" s="2"/>
      <c r="P178" s="2"/>
    </row>
    <row r="179" spans="1:16">
      <c r="A179" s="97">
        <v>16</v>
      </c>
      <c r="B179" s="103">
        <v>3881608</v>
      </c>
      <c r="C179" s="103">
        <v>1</v>
      </c>
      <c r="D179" s="103">
        <v>3</v>
      </c>
      <c r="E179" s="103" t="s">
        <v>251</v>
      </c>
      <c r="F179" s="104">
        <v>42836</v>
      </c>
      <c r="G179" s="105">
        <v>0</v>
      </c>
      <c r="H179" s="104">
        <v>42842</v>
      </c>
      <c r="N179" s="2"/>
      <c r="P179" s="2"/>
    </row>
    <row r="180" spans="1:16">
      <c r="A180" s="97">
        <v>17</v>
      </c>
      <c r="B180" s="103">
        <v>3881608</v>
      </c>
      <c r="C180" s="103">
        <v>1</v>
      </c>
      <c r="D180" s="103">
        <v>3</v>
      </c>
      <c r="E180" s="103" t="s">
        <v>251</v>
      </c>
      <c r="F180" s="104">
        <v>42864</v>
      </c>
      <c r="G180" s="105">
        <v>0</v>
      </c>
      <c r="H180" s="104">
        <v>42870</v>
      </c>
      <c r="N180" s="2"/>
      <c r="P180" s="2"/>
    </row>
    <row r="181" spans="1:16">
      <c r="A181" s="97">
        <v>18</v>
      </c>
      <c r="B181" s="103">
        <v>3881608</v>
      </c>
      <c r="C181" s="103">
        <v>1</v>
      </c>
      <c r="D181" s="103">
        <v>3</v>
      </c>
      <c r="E181" s="103" t="s">
        <v>251</v>
      </c>
      <c r="F181" s="104">
        <v>42894</v>
      </c>
      <c r="G181" s="105">
        <v>0</v>
      </c>
      <c r="H181" s="104">
        <v>42900</v>
      </c>
      <c r="N181" s="2"/>
      <c r="P181" s="2"/>
    </row>
    <row r="182" spans="1:16">
      <c r="A182" s="97">
        <v>19</v>
      </c>
      <c r="B182" s="103">
        <v>3881608</v>
      </c>
      <c r="C182" s="103">
        <v>1</v>
      </c>
      <c r="D182" s="103">
        <v>3</v>
      </c>
      <c r="E182" s="103" t="s">
        <v>251</v>
      </c>
      <c r="F182" s="104">
        <v>42926</v>
      </c>
      <c r="G182" s="105">
        <v>0</v>
      </c>
      <c r="H182" s="104">
        <v>42930</v>
      </c>
      <c r="N182" s="2"/>
      <c r="P182" s="2"/>
    </row>
    <row r="183" spans="1:16">
      <c r="A183" s="97">
        <v>20</v>
      </c>
      <c r="B183" s="103">
        <v>3881608</v>
      </c>
      <c r="C183" s="103">
        <v>1</v>
      </c>
      <c r="D183" s="103">
        <v>3</v>
      </c>
      <c r="E183" s="103" t="s">
        <v>251</v>
      </c>
      <c r="F183" s="104">
        <v>42955</v>
      </c>
      <c r="G183" s="105">
        <v>0</v>
      </c>
      <c r="H183" s="104">
        <v>42961</v>
      </c>
      <c r="N183" s="2"/>
      <c r="P183" s="2"/>
    </row>
    <row r="184" spans="1:16">
      <c r="A184" s="97">
        <v>21</v>
      </c>
      <c r="B184" s="103">
        <v>3881608</v>
      </c>
      <c r="C184" s="103">
        <v>1</v>
      </c>
      <c r="D184" s="103">
        <v>3</v>
      </c>
      <c r="E184" s="103" t="s">
        <v>251</v>
      </c>
      <c r="F184" s="104">
        <v>42989</v>
      </c>
      <c r="G184" s="105">
        <v>0</v>
      </c>
      <c r="H184" s="104">
        <v>42993</v>
      </c>
      <c r="N184" s="2"/>
      <c r="P184" s="2"/>
    </row>
    <row r="185" spans="1:16">
      <c r="A185" s="97">
        <v>22</v>
      </c>
      <c r="B185" s="103">
        <v>3881608</v>
      </c>
      <c r="C185" s="103">
        <v>1</v>
      </c>
      <c r="D185" s="103">
        <v>3</v>
      </c>
      <c r="E185" s="103" t="s">
        <v>251</v>
      </c>
      <c r="F185" s="104">
        <v>43018</v>
      </c>
      <c r="G185" s="105">
        <v>0</v>
      </c>
      <c r="H185" s="104">
        <v>43024</v>
      </c>
      <c r="N185" s="2"/>
      <c r="P185" s="2"/>
    </row>
    <row r="186" spans="1:16">
      <c r="A186" s="97">
        <v>23</v>
      </c>
      <c r="B186" s="103">
        <v>3881608</v>
      </c>
      <c r="C186" s="103">
        <v>1</v>
      </c>
      <c r="D186" s="103">
        <v>3</v>
      </c>
      <c r="E186" s="103" t="s">
        <v>251</v>
      </c>
      <c r="F186" s="104">
        <v>43049</v>
      </c>
      <c r="G186" s="105">
        <v>0</v>
      </c>
      <c r="H186" s="104">
        <v>43055</v>
      </c>
      <c r="N186" s="2"/>
      <c r="P186" s="2"/>
    </row>
    <row r="187" spans="1:16">
      <c r="A187" s="97">
        <v>24</v>
      </c>
      <c r="B187" s="103">
        <v>3881608</v>
      </c>
      <c r="C187" s="103">
        <v>1</v>
      </c>
      <c r="D187" s="103">
        <v>3</v>
      </c>
      <c r="E187" s="103" t="s">
        <v>251</v>
      </c>
      <c r="F187" s="104">
        <v>43077</v>
      </c>
      <c r="G187" s="105">
        <v>0</v>
      </c>
      <c r="H187" s="104">
        <v>43083</v>
      </c>
      <c r="N187" s="2"/>
      <c r="P187" s="2"/>
    </row>
    <row r="188" spans="1:16">
      <c r="A188" s="97">
        <v>25</v>
      </c>
      <c r="B188" s="103">
        <v>3881608</v>
      </c>
      <c r="C188" s="103">
        <v>1</v>
      </c>
      <c r="D188" s="103">
        <v>3</v>
      </c>
      <c r="E188" s="103" t="s">
        <v>251</v>
      </c>
      <c r="F188" s="104">
        <v>43109</v>
      </c>
      <c r="G188" s="105">
        <v>0</v>
      </c>
      <c r="H188" s="104">
        <v>43115</v>
      </c>
      <c r="N188" s="2"/>
      <c r="P188" s="2"/>
    </row>
    <row r="189" spans="1:16">
      <c r="A189" s="97">
        <v>26</v>
      </c>
      <c r="B189" s="103">
        <v>3881608</v>
      </c>
      <c r="C189" s="103">
        <v>1</v>
      </c>
      <c r="D189" s="103">
        <v>3</v>
      </c>
      <c r="E189" s="103" t="s">
        <v>251</v>
      </c>
      <c r="F189" s="104">
        <v>43143</v>
      </c>
      <c r="G189" s="105">
        <v>0</v>
      </c>
      <c r="H189" s="104">
        <v>43147</v>
      </c>
      <c r="N189" s="2"/>
      <c r="P189" s="2"/>
    </row>
    <row r="190" spans="1:16">
      <c r="A190" s="97">
        <v>27</v>
      </c>
      <c r="B190" s="103">
        <v>3881608</v>
      </c>
      <c r="C190" s="103">
        <v>1</v>
      </c>
      <c r="D190" s="103">
        <v>3</v>
      </c>
      <c r="E190" s="103" t="s">
        <v>251</v>
      </c>
      <c r="F190" s="104">
        <v>43167</v>
      </c>
      <c r="G190" s="105">
        <v>0</v>
      </c>
      <c r="H190" s="104">
        <v>43173</v>
      </c>
      <c r="N190" s="2"/>
      <c r="P190" s="2"/>
    </row>
    <row r="191" spans="1:16">
      <c r="A191" s="97">
        <v>28</v>
      </c>
      <c r="B191" s="103">
        <v>3881608</v>
      </c>
      <c r="C191" s="103">
        <v>1</v>
      </c>
      <c r="D191" s="103">
        <v>3</v>
      </c>
      <c r="E191" s="103" t="s">
        <v>251</v>
      </c>
      <c r="F191" s="104">
        <v>43199</v>
      </c>
      <c r="G191" s="105">
        <v>0</v>
      </c>
      <c r="H191" s="104">
        <v>43203</v>
      </c>
      <c r="N191" s="2"/>
      <c r="P191" s="2"/>
    </row>
    <row r="192" spans="1:16">
      <c r="A192" s="97">
        <v>29</v>
      </c>
      <c r="B192" s="103">
        <v>3881608</v>
      </c>
      <c r="C192" s="103">
        <v>1</v>
      </c>
      <c r="D192" s="103">
        <v>3</v>
      </c>
      <c r="E192" s="103" t="s">
        <v>251</v>
      </c>
      <c r="F192" s="104">
        <v>43229</v>
      </c>
      <c r="G192" s="105">
        <v>0</v>
      </c>
      <c r="H192" s="104">
        <v>43235</v>
      </c>
      <c r="N192" s="2"/>
      <c r="P192" s="2"/>
    </row>
    <row r="193" spans="1:16">
      <c r="A193" s="97">
        <v>30</v>
      </c>
      <c r="B193" s="103">
        <v>3881608</v>
      </c>
      <c r="C193" s="103">
        <v>1</v>
      </c>
      <c r="D193" s="103">
        <v>3</v>
      </c>
      <c r="E193" s="103" t="s">
        <v>251</v>
      </c>
      <c r="F193" s="104">
        <v>43259</v>
      </c>
      <c r="G193" s="105">
        <v>0</v>
      </c>
      <c r="H193" s="104">
        <v>43265</v>
      </c>
      <c r="N193" s="2"/>
      <c r="P193" s="2"/>
    </row>
    <row r="194" spans="1:16">
      <c r="A194" s="97">
        <v>31</v>
      </c>
      <c r="B194" s="103">
        <v>3881608</v>
      </c>
      <c r="C194" s="103">
        <v>1</v>
      </c>
      <c r="D194" s="103">
        <v>3</v>
      </c>
      <c r="E194" s="103" t="s">
        <v>251</v>
      </c>
      <c r="F194" s="104">
        <v>43290</v>
      </c>
      <c r="G194" s="105">
        <v>0</v>
      </c>
      <c r="H194" s="104">
        <v>43294</v>
      </c>
      <c r="N194" s="2"/>
      <c r="P194" s="2"/>
    </row>
    <row r="195" spans="1:16">
      <c r="A195" s="97">
        <v>32</v>
      </c>
      <c r="B195" s="103">
        <v>3881608</v>
      </c>
      <c r="C195" s="103">
        <v>1</v>
      </c>
      <c r="D195" s="103">
        <v>3</v>
      </c>
      <c r="E195" s="103" t="s">
        <v>251</v>
      </c>
      <c r="F195" s="104">
        <v>43320</v>
      </c>
      <c r="G195" s="105">
        <v>0</v>
      </c>
      <c r="H195" s="104">
        <v>43326</v>
      </c>
      <c r="N195" s="2"/>
      <c r="P195" s="2"/>
    </row>
    <row r="196" spans="1:16">
      <c r="A196" s="97">
        <v>33</v>
      </c>
      <c r="B196" s="103">
        <v>3881608</v>
      </c>
      <c r="C196" s="103">
        <v>1</v>
      </c>
      <c r="D196" s="103">
        <v>3</v>
      </c>
      <c r="E196" s="103" t="s">
        <v>251</v>
      </c>
      <c r="F196" s="104">
        <v>43354</v>
      </c>
      <c r="G196" s="105">
        <v>0</v>
      </c>
      <c r="H196" s="104">
        <v>43360</v>
      </c>
      <c r="N196" s="2"/>
      <c r="P196" s="2"/>
    </row>
    <row r="197" spans="1:16">
      <c r="A197" s="97">
        <v>34</v>
      </c>
      <c r="B197" s="103">
        <v>3881608</v>
      </c>
      <c r="C197" s="103">
        <v>1</v>
      </c>
      <c r="D197" s="103">
        <v>3</v>
      </c>
      <c r="E197" s="103" t="s">
        <v>251</v>
      </c>
      <c r="F197" s="104">
        <v>43382</v>
      </c>
      <c r="G197" s="105">
        <v>0</v>
      </c>
      <c r="H197" s="104">
        <v>43388</v>
      </c>
      <c r="N197" s="2"/>
      <c r="P197" s="2"/>
    </row>
    <row r="198" spans="1:16">
      <c r="A198" s="97">
        <v>35</v>
      </c>
      <c r="B198" s="103">
        <v>3881608</v>
      </c>
      <c r="C198" s="103">
        <v>1</v>
      </c>
      <c r="D198" s="103">
        <v>3</v>
      </c>
      <c r="E198" s="103" t="s">
        <v>251</v>
      </c>
      <c r="F198" s="104">
        <v>43416</v>
      </c>
      <c r="G198" s="105">
        <v>0</v>
      </c>
      <c r="H198" s="104">
        <v>43420</v>
      </c>
      <c r="N198" s="2"/>
      <c r="P198" s="2"/>
    </row>
    <row r="199" spans="1:16">
      <c r="A199" s="97">
        <v>36</v>
      </c>
      <c r="B199" s="103">
        <v>3881608</v>
      </c>
      <c r="C199" s="103">
        <v>1</v>
      </c>
      <c r="D199" s="103">
        <v>3</v>
      </c>
      <c r="E199" s="103" t="s">
        <v>251</v>
      </c>
      <c r="F199" s="104">
        <v>43444</v>
      </c>
      <c r="G199" s="105">
        <v>0</v>
      </c>
      <c r="H199" s="104">
        <v>43448</v>
      </c>
      <c r="N199" s="2"/>
      <c r="P199" s="2"/>
    </row>
    <row r="200" spans="1:16">
      <c r="A200" s="97">
        <v>37</v>
      </c>
      <c r="B200" s="103">
        <v>3881608</v>
      </c>
      <c r="C200" s="103">
        <v>1</v>
      </c>
      <c r="D200" s="103">
        <v>3</v>
      </c>
      <c r="E200" s="103" t="s">
        <v>251</v>
      </c>
      <c r="F200" s="104">
        <v>43474</v>
      </c>
      <c r="G200" s="105">
        <v>0</v>
      </c>
      <c r="H200" s="104">
        <v>43480</v>
      </c>
      <c r="N200" s="2"/>
      <c r="P200" s="2"/>
    </row>
    <row r="201" spans="1:16">
      <c r="A201" s="97">
        <v>38</v>
      </c>
      <c r="B201" s="103">
        <v>3881608</v>
      </c>
      <c r="C201" s="103">
        <v>1</v>
      </c>
      <c r="D201" s="103">
        <v>3</v>
      </c>
      <c r="E201" s="103" t="s">
        <v>251</v>
      </c>
      <c r="F201" s="104">
        <v>43504</v>
      </c>
      <c r="G201" s="105">
        <v>0</v>
      </c>
      <c r="H201" s="104">
        <v>43510</v>
      </c>
      <c r="N201" s="2"/>
      <c r="P201" s="2"/>
    </row>
    <row r="202" spans="1:16">
      <c r="A202" s="97">
        <v>39</v>
      </c>
      <c r="B202" s="103">
        <v>3881608</v>
      </c>
      <c r="C202" s="103">
        <v>1</v>
      </c>
      <c r="D202" s="103">
        <v>3</v>
      </c>
      <c r="E202" s="103" t="s">
        <v>251</v>
      </c>
      <c r="F202" s="104">
        <v>43536</v>
      </c>
      <c r="G202" s="105">
        <v>0</v>
      </c>
      <c r="H202" s="104">
        <v>43542</v>
      </c>
      <c r="N202" s="2"/>
      <c r="P202" s="2"/>
    </row>
    <row r="203" spans="1:16">
      <c r="A203" s="97">
        <v>40</v>
      </c>
      <c r="B203" s="103">
        <v>3881608</v>
      </c>
      <c r="C203" s="103">
        <v>1</v>
      </c>
      <c r="D203" s="103">
        <v>3</v>
      </c>
      <c r="E203" s="103" t="s">
        <v>251</v>
      </c>
      <c r="F203" s="104">
        <v>43563</v>
      </c>
      <c r="G203" s="105">
        <v>0</v>
      </c>
      <c r="H203" s="104">
        <v>43567</v>
      </c>
      <c r="N203" s="2"/>
      <c r="P203" s="2"/>
    </row>
    <row r="204" spans="1:16">
      <c r="A204" s="97">
        <v>41</v>
      </c>
      <c r="B204" s="103">
        <v>3881608</v>
      </c>
      <c r="C204" s="103">
        <v>1</v>
      </c>
      <c r="D204" s="103">
        <v>3</v>
      </c>
      <c r="E204" s="103" t="s">
        <v>251</v>
      </c>
      <c r="F204" s="104">
        <v>43594</v>
      </c>
      <c r="G204" s="105">
        <v>0</v>
      </c>
      <c r="H204" s="104">
        <v>43600</v>
      </c>
      <c r="N204" s="2"/>
      <c r="P204" s="2"/>
    </row>
    <row r="205" spans="1:16">
      <c r="A205" s="97">
        <v>42</v>
      </c>
      <c r="B205" s="103">
        <v>3881608</v>
      </c>
      <c r="C205" s="103">
        <v>1</v>
      </c>
      <c r="D205" s="103">
        <v>3</v>
      </c>
      <c r="E205" s="103" t="s">
        <v>251</v>
      </c>
      <c r="F205" s="104">
        <v>43626</v>
      </c>
      <c r="G205" s="105">
        <v>0</v>
      </c>
      <c r="H205" s="104">
        <v>43630</v>
      </c>
      <c r="N205" s="2"/>
      <c r="P205" s="2"/>
    </row>
    <row r="206" spans="1:16">
      <c r="A206" s="97">
        <v>43</v>
      </c>
      <c r="B206" s="103">
        <v>3881608</v>
      </c>
      <c r="C206" s="103">
        <v>1</v>
      </c>
      <c r="D206" s="103">
        <v>3</v>
      </c>
      <c r="E206" s="103" t="s">
        <v>251</v>
      </c>
      <c r="F206" s="104">
        <v>43654</v>
      </c>
      <c r="G206" s="105">
        <v>0</v>
      </c>
      <c r="H206" s="104">
        <v>43658</v>
      </c>
      <c r="N206" s="2"/>
      <c r="P206" s="2"/>
    </row>
    <row r="207" spans="1:16">
      <c r="A207" s="97">
        <v>44</v>
      </c>
      <c r="B207" s="103">
        <v>3881608</v>
      </c>
      <c r="C207" s="103">
        <v>1</v>
      </c>
      <c r="D207" s="103">
        <v>3</v>
      </c>
      <c r="E207" s="103" t="s">
        <v>251</v>
      </c>
      <c r="F207" s="104">
        <v>43685</v>
      </c>
      <c r="G207" s="105">
        <v>0</v>
      </c>
      <c r="H207" s="104">
        <v>43691</v>
      </c>
      <c r="N207" s="2"/>
      <c r="P207" s="2"/>
    </row>
    <row r="208" spans="1:16">
      <c r="A208" s="97">
        <v>45</v>
      </c>
      <c r="B208" s="103">
        <v>3881608</v>
      </c>
      <c r="C208" s="103">
        <v>1</v>
      </c>
      <c r="D208" s="103">
        <v>3</v>
      </c>
      <c r="E208" s="103" t="s">
        <v>251</v>
      </c>
      <c r="F208" s="104">
        <v>43717</v>
      </c>
      <c r="G208" s="105">
        <v>0</v>
      </c>
      <c r="H208" s="104">
        <v>43721</v>
      </c>
      <c r="N208" s="2"/>
      <c r="P208" s="2"/>
    </row>
    <row r="209" spans="1:16">
      <c r="A209" s="97">
        <v>46</v>
      </c>
      <c r="B209" s="103">
        <v>3881608</v>
      </c>
      <c r="C209" s="103">
        <v>1</v>
      </c>
      <c r="D209" s="103">
        <v>3</v>
      </c>
      <c r="E209" s="103" t="s">
        <v>251</v>
      </c>
      <c r="F209" s="104">
        <v>43746</v>
      </c>
      <c r="G209" s="105">
        <v>0</v>
      </c>
      <c r="H209" s="104">
        <v>43752</v>
      </c>
      <c r="N209" s="2"/>
      <c r="P209" s="2"/>
    </row>
    <row r="210" spans="1:16">
      <c r="A210" s="97">
        <v>47</v>
      </c>
      <c r="B210" s="103">
        <v>3881608</v>
      </c>
      <c r="C210" s="103">
        <v>1</v>
      </c>
      <c r="D210" s="103">
        <v>3</v>
      </c>
      <c r="E210" s="103" t="s">
        <v>251</v>
      </c>
      <c r="F210" s="104">
        <v>43777</v>
      </c>
      <c r="G210" s="105">
        <v>0</v>
      </c>
      <c r="H210" s="104">
        <v>43783</v>
      </c>
      <c r="N210" s="2"/>
      <c r="P210" s="2"/>
    </row>
    <row r="211" spans="1:16">
      <c r="A211" s="97">
        <v>48</v>
      </c>
      <c r="B211" s="103">
        <v>3881608</v>
      </c>
      <c r="C211" s="103">
        <v>1</v>
      </c>
      <c r="D211" s="103">
        <v>3</v>
      </c>
      <c r="E211" s="103" t="s">
        <v>251</v>
      </c>
      <c r="F211" s="104">
        <v>43808</v>
      </c>
      <c r="G211" s="105">
        <v>0</v>
      </c>
      <c r="H211" s="104">
        <v>43812</v>
      </c>
      <c r="N211" s="2"/>
      <c r="P211" s="2"/>
    </row>
    <row r="212" spans="1:16">
      <c r="A212" s="97">
        <v>49</v>
      </c>
      <c r="B212" s="103">
        <v>3881608</v>
      </c>
      <c r="C212" s="103">
        <v>1</v>
      </c>
      <c r="D212" s="103">
        <v>3</v>
      </c>
      <c r="E212" s="103" t="s">
        <v>251</v>
      </c>
      <c r="F212" s="104">
        <v>43839</v>
      </c>
      <c r="G212" s="105">
        <v>0</v>
      </c>
      <c r="H212" s="104">
        <v>43845</v>
      </c>
      <c r="N212" s="2"/>
      <c r="P212" s="2"/>
    </row>
    <row r="213" spans="1:16">
      <c r="A213" s="97">
        <v>50</v>
      </c>
      <c r="B213" s="103">
        <v>3881608</v>
      </c>
      <c r="C213" s="103">
        <v>1</v>
      </c>
      <c r="D213" s="103">
        <v>3</v>
      </c>
      <c r="E213" s="103" t="s">
        <v>251</v>
      </c>
      <c r="F213" s="104">
        <v>43871</v>
      </c>
      <c r="G213" s="105">
        <v>0</v>
      </c>
      <c r="H213" s="104">
        <v>43875</v>
      </c>
      <c r="N213" s="2"/>
      <c r="P213" s="2"/>
    </row>
    <row r="214" spans="1:16">
      <c r="A214" s="97">
        <v>51</v>
      </c>
      <c r="B214" s="103">
        <v>3881608</v>
      </c>
      <c r="C214" s="103">
        <v>1</v>
      </c>
      <c r="D214" s="103">
        <v>3</v>
      </c>
      <c r="E214" s="103" t="s">
        <v>251</v>
      </c>
      <c r="F214" s="104">
        <v>43899</v>
      </c>
      <c r="G214" s="105">
        <v>0</v>
      </c>
      <c r="H214" s="104">
        <v>43903</v>
      </c>
      <c r="N214" s="2"/>
      <c r="P214" s="2"/>
    </row>
    <row r="215" spans="1:16">
      <c r="A215" s="97">
        <v>52</v>
      </c>
      <c r="B215" s="103">
        <v>3881608</v>
      </c>
      <c r="C215" s="103">
        <v>1</v>
      </c>
      <c r="D215" s="103">
        <v>3</v>
      </c>
      <c r="E215" s="103" t="s">
        <v>251</v>
      </c>
      <c r="F215" s="104">
        <v>43930</v>
      </c>
      <c r="G215" s="105">
        <v>0</v>
      </c>
      <c r="H215" s="104">
        <v>43936</v>
      </c>
      <c r="N215" s="2"/>
      <c r="P215" s="2"/>
    </row>
    <row r="216" spans="1:16">
      <c r="A216" s="97">
        <v>53</v>
      </c>
      <c r="B216" s="103">
        <v>3881608</v>
      </c>
      <c r="C216" s="103">
        <v>1</v>
      </c>
      <c r="D216" s="103">
        <v>3</v>
      </c>
      <c r="E216" s="103" t="s">
        <v>251</v>
      </c>
      <c r="F216" s="104">
        <v>43962</v>
      </c>
      <c r="G216" s="105">
        <v>0</v>
      </c>
      <c r="H216" s="104">
        <v>43966</v>
      </c>
      <c r="N216" s="2"/>
      <c r="P216" s="2"/>
    </row>
    <row r="217" spans="1:16">
      <c r="A217" s="97">
        <v>54</v>
      </c>
      <c r="B217" s="103">
        <v>3881608</v>
      </c>
      <c r="C217" s="103">
        <v>1</v>
      </c>
      <c r="D217" s="103">
        <v>3</v>
      </c>
      <c r="E217" s="103" t="s">
        <v>251</v>
      </c>
      <c r="F217" s="104">
        <v>43991</v>
      </c>
      <c r="G217" s="105">
        <v>0</v>
      </c>
      <c r="H217" s="104">
        <v>43997</v>
      </c>
      <c r="N217" s="2"/>
      <c r="P217" s="2"/>
    </row>
    <row r="218" spans="1:16">
      <c r="A218" s="97">
        <v>55</v>
      </c>
      <c r="B218" s="103">
        <v>3881608</v>
      </c>
      <c r="C218" s="103">
        <v>1</v>
      </c>
      <c r="D218" s="103">
        <v>3</v>
      </c>
      <c r="E218" s="103" t="s">
        <v>251</v>
      </c>
      <c r="F218" s="104">
        <v>44020</v>
      </c>
      <c r="G218" s="105">
        <v>0</v>
      </c>
      <c r="H218" s="104">
        <v>44026</v>
      </c>
      <c r="N218" s="2"/>
      <c r="P218" s="2"/>
    </row>
    <row r="219" spans="1:16">
      <c r="A219" s="97">
        <v>56</v>
      </c>
      <c r="B219" s="103">
        <v>3881608</v>
      </c>
      <c r="C219" s="103">
        <v>1</v>
      </c>
      <c r="D219" s="103">
        <v>3</v>
      </c>
      <c r="E219" s="103" t="s">
        <v>251</v>
      </c>
      <c r="F219" s="104">
        <v>44053</v>
      </c>
      <c r="G219" s="105">
        <v>0</v>
      </c>
      <c r="H219" s="104">
        <v>44057</v>
      </c>
      <c r="N219" s="2"/>
      <c r="P219" s="2"/>
    </row>
    <row r="220" spans="1:16">
      <c r="A220" s="97">
        <v>57</v>
      </c>
      <c r="B220" s="103">
        <v>3881608</v>
      </c>
      <c r="C220" s="103">
        <v>1</v>
      </c>
      <c r="D220" s="103">
        <v>3</v>
      </c>
      <c r="E220" s="103" t="s">
        <v>251</v>
      </c>
      <c r="F220" s="104">
        <v>44083</v>
      </c>
      <c r="G220" s="105">
        <v>0</v>
      </c>
      <c r="H220" s="104">
        <v>44089</v>
      </c>
      <c r="N220" s="2"/>
      <c r="P220" s="2"/>
    </row>
    <row r="221" spans="1:16">
      <c r="A221" s="97">
        <v>58</v>
      </c>
      <c r="B221" s="103">
        <v>3881608</v>
      </c>
      <c r="C221" s="103">
        <v>1</v>
      </c>
      <c r="D221" s="103">
        <v>3</v>
      </c>
      <c r="E221" s="103" t="s">
        <v>251</v>
      </c>
      <c r="F221" s="104">
        <v>44113</v>
      </c>
      <c r="G221" s="105">
        <v>0</v>
      </c>
      <c r="H221" s="104">
        <v>44119</v>
      </c>
      <c r="N221" s="2"/>
      <c r="P221" s="2"/>
    </row>
    <row r="222" spans="1:16">
      <c r="A222" s="97">
        <v>59</v>
      </c>
      <c r="B222" s="103">
        <v>3881608</v>
      </c>
      <c r="C222" s="103">
        <v>1</v>
      </c>
      <c r="D222" s="103">
        <v>3</v>
      </c>
      <c r="E222" s="103" t="s">
        <v>251</v>
      </c>
      <c r="F222" s="104">
        <v>44145</v>
      </c>
      <c r="G222" s="105">
        <v>0</v>
      </c>
      <c r="H222" s="104">
        <v>44151</v>
      </c>
      <c r="N222" s="2"/>
      <c r="P222" s="2"/>
    </row>
    <row r="223" spans="1:16">
      <c r="A223" s="97">
        <v>60</v>
      </c>
      <c r="B223" s="103">
        <v>3881608</v>
      </c>
      <c r="C223" s="103">
        <v>1</v>
      </c>
      <c r="D223" s="103">
        <v>3</v>
      </c>
      <c r="E223" s="103" t="s">
        <v>251</v>
      </c>
      <c r="F223" s="104">
        <v>44173</v>
      </c>
      <c r="G223" s="105">
        <v>0</v>
      </c>
      <c r="H223" s="104">
        <v>44179</v>
      </c>
      <c r="N223" s="2"/>
      <c r="P223" s="2"/>
    </row>
    <row r="224" spans="1:16">
      <c r="A224" s="97">
        <v>61</v>
      </c>
      <c r="B224" s="103">
        <v>3881608</v>
      </c>
      <c r="C224" s="103">
        <v>1</v>
      </c>
      <c r="D224" s="103">
        <v>3</v>
      </c>
      <c r="E224" s="103" t="s">
        <v>251</v>
      </c>
      <c r="F224" s="104">
        <v>44207</v>
      </c>
      <c r="G224" s="105">
        <v>0</v>
      </c>
      <c r="H224" s="104">
        <v>44211</v>
      </c>
      <c r="N224" s="2"/>
      <c r="P224" s="2"/>
    </row>
    <row r="225" spans="1:16">
      <c r="A225" s="97">
        <v>62</v>
      </c>
      <c r="B225" s="103">
        <v>3881608</v>
      </c>
      <c r="C225" s="103">
        <v>1</v>
      </c>
      <c r="D225" s="103">
        <v>3</v>
      </c>
      <c r="E225" s="103" t="s">
        <v>251</v>
      </c>
      <c r="F225" s="104">
        <v>44235</v>
      </c>
      <c r="G225" s="105">
        <v>0</v>
      </c>
      <c r="H225" s="104">
        <v>44239</v>
      </c>
      <c r="N225" s="2"/>
      <c r="P225" s="2"/>
    </row>
    <row r="226" spans="1:16">
      <c r="A226" s="97">
        <v>63</v>
      </c>
      <c r="B226" s="103">
        <v>3881608</v>
      </c>
      <c r="C226" s="103">
        <v>1</v>
      </c>
      <c r="D226" s="103">
        <v>3</v>
      </c>
      <c r="E226" s="103" t="s">
        <v>251</v>
      </c>
      <c r="F226" s="104">
        <v>44263</v>
      </c>
      <c r="G226" s="105">
        <v>0</v>
      </c>
      <c r="H226" s="104">
        <v>44267</v>
      </c>
      <c r="N226" s="2"/>
      <c r="P226" s="2"/>
    </row>
    <row r="227" spans="1:16">
      <c r="A227" s="97">
        <v>64</v>
      </c>
      <c r="B227" s="103">
        <v>3881608</v>
      </c>
      <c r="C227" s="103">
        <v>1</v>
      </c>
      <c r="D227" s="103">
        <v>3</v>
      </c>
      <c r="E227" s="103" t="s">
        <v>251</v>
      </c>
      <c r="F227" s="104">
        <v>44295</v>
      </c>
      <c r="G227" s="105">
        <v>0</v>
      </c>
      <c r="H227" s="104">
        <v>44301</v>
      </c>
      <c r="N227" s="2"/>
      <c r="P227" s="2"/>
    </row>
    <row r="228" spans="1:16">
      <c r="A228" s="97">
        <v>65</v>
      </c>
      <c r="B228" s="103">
        <v>3881608</v>
      </c>
      <c r="C228" s="103">
        <v>1</v>
      </c>
      <c r="D228" s="103">
        <v>3</v>
      </c>
      <c r="E228" s="103" t="s">
        <v>251</v>
      </c>
      <c r="F228" s="104">
        <v>44326</v>
      </c>
      <c r="G228" s="105">
        <v>0</v>
      </c>
      <c r="H228" s="104">
        <v>44330</v>
      </c>
      <c r="N228" s="2"/>
      <c r="P228" s="2"/>
    </row>
    <row r="229" spans="1:16">
      <c r="A229" s="97">
        <v>66</v>
      </c>
      <c r="B229" s="103">
        <v>3881608</v>
      </c>
      <c r="C229" s="103">
        <v>1</v>
      </c>
      <c r="D229" s="103">
        <v>3</v>
      </c>
      <c r="E229" s="103" t="s">
        <v>251</v>
      </c>
      <c r="F229" s="104">
        <v>44356</v>
      </c>
      <c r="G229" s="105">
        <v>0</v>
      </c>
      <c r="H229" s="104">
        <v>44362</v>
      </c>
      <c r="N229" s="2"/>
      <c r="P229" s="2"/>
    </row>
    <row r="230" spans="1:16">
      <c r="A230" s="97">
        <v>67</v>
      </c>
      <c r="B230" s="103">
        <v>3881608</v>
      </c>
      <c r="C230" s="103">
        <v>1</v>
      </c>
      <c r="D230" s="103">
        <v>3</v>
      </c>
      <c r="E230" s="103" t="s">
        <v>251</v>
      </c>
      <c r="F230" s="104">
        <v>44385</v>
      </c>
      <c r="G230" s="105">
        <v>0</v>
      </c>
      <c r="H230" s="104">
        <v>44391</v>
      </c>
      <c r="N230" s="2"/>
      <c r="P230" s="2"/>
    </row>
    <row r="231" spans="1:16">
      <c r="A231" s="97">
        <v>68</v>
      </c>
      <c r="B231" s="103">
        <v>3881608</v>
      </c>
      <c r="C231" s="103">
        <v>1</v>
      </c>
      <c r="D231" s="103">
        <v>3</v>
      </c>
      <c r="E231" s="103" t="s">
        <v>251</v>
      </c>
      <c r="F231" s="104">
        <v>44417</v>
      </c>
      <c r="G231" s="105">
        <v>0</v>
      </c>
      <c r="H231" s="104">
        <v>44421</v>
      </c>
      <c r="N231" s="2"/>
      <c r="P231" s="2"/>
    </row>
    <row r="232" spans="1:16">
      <c r="A232" s="97">
        <v>69</v>
      </c>
      <c r="B232" s="103">
        <v>3881608</v>
      </c>
      <c r="C232" s="103">
        <v>1</v>
      </c>
      <c r="D232" s="103">
        <v>3</v>
      </c>
      <c r="E232" s="103" t="s">
        <v>251</v>
      </c>
      <c r="F232" s="104">
        <v>44448</v>
      </c>
      <c r="G232" s="105">
        <v>0</v>
      </c>
      <c r="H232" s="104">
        <v>44454</v>
      </c>
      <c r="N232" s="2"/>
      <c r="P232" s="2"/>
    </row>
    <row r="233" spans="1:16">
      <c r="A233" s="97">
        <v>70</v>
      </c>
      <c r="B233" s="103">
        <v>3881608</v>
      </c>
      <c r="C233" s="103">
        <v>1</v>
      </c>
      <c r="D233" s="103">
        <v>3</v>
      </c>
      <c r="E233" s="103" t="s">
        <v>251</v>
      </c>
      <c r="F233" s="104">
        <v>44480</v>
      </c>
      <c r="G233" s="105">
        <v>0</v>
      </c>
      <c r="H233" s="104">
        <v>44484</v>
      </c>
      <c r="N233" s="2"/>
      <c r="P233" s="2"/>
    </row>
    <row r="234" spans="1:16">
      <c r="A234" s="97">
        <v>71</v>
      </c>
      <c r="B234" s="103">
        <v>3881608</v>
      </c>
      <c r="C234" s="103">
        <v>1</v>
      </c>
      <c r="D234" s="103">
        <v>3</v>
      </c>
      <c r="E234" s="103" t="s">
        <v>251</v>
      </c>
      <c r="F234" s="104">
        <v>44510</v>
      </c>
      <c r="G234" s="105">
        <v>0</v>
      </c>
      <c r="H234" s="104">
        <v>44516</v>
      </c>
      <c r="N234" s="2"/>
      <c r="P234" s="2"/>
    </row>
    <row r="235" spans="1:16">
      <c r="A235" s="97">
        <v>72</v>
      </c>
      <c r="B235" s="103">
        <v>3881608</v>
      </c>
      <c r="C235" s="103">
        <v>1</v>
      </c>
      <c r="D235" s="103">
        <v>3</v>
      </c>
      <c r="E235" s="103" t="s">
        <v>251</v>
      </c>
      <c r="F235" s="104">
        <v>44538</v>
      </c>
      <c r="G235" s="105">
        <v>0</v>
      </c>
      <c r="H235" s="104">
        <v>44544</v>
      </c>
      <c r="N235" s="2"/>
      <c r="P235" s="2"/>
    </row>
    <row r="236" spans="1:16">
      <c r="A236" s="97">
        <v>73</v>
      </c>
      <c r="B236" s="103">
        <v>3881608</v>
      </c>
      <c r="C236" s="103">
        <v>1</v>
      </c>
      <c r="D236" s="103">
        <v>3</v>
      </c>
      <c r="E236" s="103" t="s">
        <v>251</v>
      </c>
      <c r="F236" s="104">
        <v>44571</v>
      </c>
      <c r="G236" s="105">
        <v>0</v>
      </c>
      <c r="H236" s="104">
        <v>44575</v>
      </c>
      <c r="N236" s="2"/>
      <c r="P236" s="2"/>
    </row>
    <row r="237" spans="1:16">
      <c r="A237" s="97">
        <v>74</v>
      </c>
      <c r="B237" s="103">
        <v>3881608</v>
      </c>
      <c r="C237" s="103">
        <v>1</v>
      </c>
      <c r="D237" s="103">
        <v>3</v>
      </c>
      <c r="E237" s="103" t="s">
        <v>251</v>
      </c>
      <c r="F237" s="104">
        <v>44600</v>
      </c>
      <c r="G237" s="105">
        <v>0</v>
      </c>
      <c r="H237" s="104">
        <v>44606</v>
      </c>
      <c r="N237" s="2"/>
      <c r="P237" s="2"/>
    </row>
    <row r="238" spans="1:16">
      <c r="A238" s="97">
        <v>75</v>
      </c>
      <c r="B238" s="103">
        <v>3881608</v>
      </c>
      <c r="C238" s="103">
        <v>1</v>
      </c>
      <c r="D238" s="103">
        <v>3</v>
      </c>
      <c r="E238" s="103" t="s">
        <v>251</v>
      </c>
      <c r="F238" s="104">
        <v>44629</v>
      </c>
      <c r="G238" s="105">
        <v>0</v>
      </c>
      <c r="H238" s="104">
        <v>44635</v>
      </c>
      <c r="N238" s="2"/>
      <c r="P238" s="2"/>
    </row>
    <row r="239" spans="1:16">
      <c r="A239" s="97">
        <v>76</v>
      </c>
      <c r="B239" s="103">
        <v>3881608</v>
      </c>
      <c r="C239" s="103">
        <v>1</v>
      </c>
      <c r="D239" s="103">
        <v>3</v>
      </c>
      <c r="E239" s="103" t="s">
        <v>251</v>
      </c>
      <c r="F239" s="104">
        <v>44659</v>
      </c>
      <c r="G239" s="105">
        <v>0</v>
      </c>
      <c r="H239" s="104">
        <v>44665</v>
      </c>
      <c r="N239" s="2"/>
      <c r="P239" s="2"/>
    </row>
    <row r="240" spans="1:16">
      <c r="A240" s="97">
        <v>77</v>
      </c>
      <c r="B240" s="103">
        <v>3881608</v>
      </c>
      <c r="C240" s="103">
        <v>1</v>
      </c>
      <c r="D240" s="103">
        <v>3</v>
      </c>
      <c r="E240" s="103" t="s">
        <v>251</v>
      </c>
      <c r="F240" s="104">
        <v>44690</v>
      </c>
      <c r="G240" s="105">
        <v>0</v>
      </c>
      <c r="H240" s="104">
        <v>44694</v>
      </c>
      <c r="N240" s="2"/>
      <c r="P240" s="2"/>
    </row>
    <row r="241" spans="1:16">
      <c r="A241" s="97">
        <v>78</v>
      </c>
      <c r="B241" s="103">
        <v>3881608</v>
      </c>
      <c r="C241" s="103">
        <v>1</v>
      </c>
      <c r="D241" s="103">
        <v>3</v>
      </c>
      <c r="E241" s="103" t="s">
        <v>251</v>
      </c>
      <c r="F241" s="104">
        <v>44720</v>
      </c>
      <c r="G241" s="105">
        <v>0</v>
      </c>
      <c r="H241" s="104">
        <v>44726</v>
      </c>
      <c r="N241" s="2"/>
      <c r="P241" s="2"/>
    </row>
    <row r="242" spans="1:16">
      <c r="A242" s="97">
        <v>79</v>
      </c>
      <c r="B242" s="103">
        <v>3881608</v>
      </c>
      <c r="C242" s="103">
        <v>1</v>
      </c>
      <c r="D242" s="103">
        <v>3</v>
      </c>
      <c r="E242" s="103" t="s">
        <v>251</v>
      </c>
      <c r="F242" s="104">
        <v>44750</v>
      </c>
      <c r="G242" s="105">
        <v>0</v>
      </c>
      <c r="H242" s="104">
        <v>44756</v>
      </c>
      <c r="N242" s="2"/>
      <c r="P242" s="2"/>
    </row>
    <row r="243" spans="1:16">
      <c r="A243" s="97">
        <v>80</v>
      </c>
      <c r="B243" s="103">
        <v>3881608</v>
      </c>
      <c r="C243" s="103">
        <v>1</v>
      </c>
      <c r="D243" s="103">
        <v>3</v>
      </c>
      <c r="E243" s="103" t="s">
        <v>251</v>
      </c>
      <c r="F243" s="104">
        <v>44781</v>
      </c>
      <c r="G243" s="105">
        <v>0</v>
      </c>
      <c r="H243" s="104">
        <v>44785</v>
      </c>
      <c r="N243" s="2"/>
      <c r="P243" s="2"/>
    </row>
    <row r="244" spans="1:16">
      <c r="A244" s="97">
        <v>81</v>
      </c>
      <c r="B244" s="103">
        <v>3881608</v>
      </c>
      <c r="C244" s="103">
        <v>1</v>
      </c>
      <c r="D244" s="103">
        <v>3</v>
      </c>
      <c r="E244" s="103" t="s">
        <v>251</v>
      </c>
      <c r="F244" s="104">
        <v>44813</v>
      </c>
      <c r="G244" s="105">
        <v>0</v>
      </c>
      <c r="H244" s="104">
        <v>44819</v>
      </c>
      <c r="N244" s="2"/>
      <c r="P244" s="2"/>
    </row>
    <row r="245" spans="1:16">
      <c r="A245" s="97">
        <v>82</v>
      </c>
      <c r="B245" s="103">
        <v>3881608</v>
      </c>
      <c r="C245" s="103">
        <v>1</v>
      </c>
      <c r="D245" s="103">
        <v>3</v>
      </c>
      <c r="E245" s="103" t="s">
        <v>251</v>
      </c>
      <c r="F245" s="104">
        <v>44845</v>
      </c>
      <c r="G245" s="105">
        <v>0</v>
      </c>
      <c r="H245" s="104">
        <v>44851</v>
      </c>
      <c r="N245" s="2"/>
      <c r="P245" s="2"/>
    </row>
    <row r="246" spans="1:16">
      <c r="A246" s="97">
        <v>83</v>
      </c>
      <c r="B246" s="103">
        <v>3881608</v>
      </c>
      <c r="C246" s="103">
        <v>1</v>
      </c>
      <c r="D246" s="103">
        <v>3</v>
      </c>
      <c r="E246" s="103" t="s">
        <v>251</v>
      </c>
      <c r="F246" s="104">
        <v>44875</v>
      </c>
      <c r="G246" s="105">
        <v>0</v>
      </c>
      <c r="H246" s="104">
        <v>44881</v>
      </c>
      <c r="N246" s="2"/>
      <c r="P246" s="2"/>
    </row>
    <row r="247" spans="1:16">
      <c r="A247" s="97">
        <v>84</v>
      </c>
      <c r="B247" s="103">
        <v>3881608</v>
      </c>
      <c r="C247" s="103">
        <v>1</v>
      </c>
      <c r="D247" s="103">
        <v>3</v>
      </c>
      <c r="E247" s="103" t="s">
        <v>251</v>
      </c>
      <c r="F247" s="104">
        <v>44903</v>
      </c>
      <c r="G247" s="105">
        <v>0</v>
      </c>
      <c r="H247" s="104">
        <v>44909</v>
      </c>
      <c r="N247" s="2"/>
      <c r="P247" s="2"/>
    </row>
    <row r="248" spans="1:16">
      <c r="A248" s="97">
        <v>85</v>
      </c>
      <c r="B248" s="103">
        <v>3881608</v>
      </c>
      <c r="C248" s="103">
        <v>1</v>
      </c>
      <c r="D248" s="103">
        <v>3</v>
      </c>
      <c r="E248" s="103" t="s">
        <v>251</v>
      </c>
      <c r="F248" s="104">
        <v>44935</v>
      </c>
      <c r="G248" s="105">
        <v>0</v>
      </c>
      <c r="H248" s="104">
        <v>44939</v>
      </c>
      <c r="N248" s="2"/>
      <c r="P248" s="2"/>
    </row>
    <row r="249" spans="1:16">
      <c r="A249" s="97">
        <v>86</v>
      </c>
      <c r="B249" s="103">
        <v>3881608</v>
      </c>
      <c r="C249" s="103">
        <v>1</v>
      </c>
      <c r="D249" s="103">
        <v>3</v>
      </c>
      <c r="E249" s="103" t="s">
        <v>251</v>
      </c>
      <c r="F249" s="104">
        <v>44965</v>
      </c>
      <c r="G249" s="105">
        <v>0</v>
      </c>
      <c r="H249" s="104">
        <v>44971</v>
      </c>
      <c r="N249" s="2"/>
      <c r="P249" s="2"/>
    </row>
    <row r="250" spans="1:16">
      <c r="A250" s="97">
        <v>87</v>
      </c>
      <c r="B250" s="103">
        <v>3881608</v>
      </c>
      <c r="C250" s="103">
        <v>1</v>
      </c>
      <c r="D250" s="103">
        <v>3</v>
      </c>
      <c r="E250" s="103" t="s">
        <v>251</v>
      </c>
      <c r="F250" s="104">
        <v>44993</v>
      </c>
      <c r="G250" s="105">
        <v>0</v>
      </c>
      <c r="H250" s="104">
        <v>44999</v>
      </c>
      <c r="N250" s="2"/>
      <c r="P250" s="2"/>
    </row>
    <row r="251" spans="1:16">
      <c r="A251" s="97">
        <v>88</v>
      </c>
      <c r="B251" s="103">
        <v>3881608</v>
      </c>
      <c r="C251" s="103">
        <v>1</v>
      </c>
      <c r="D251" s="103">
        <v>3</v>
      </c>
      <c r="E251" s="103" t="s">
        <v>251</v>
      </c>
      <c r="F251" s="104">
        <v>45027</v>
      </c>
      <c r="G251" s="105">
        <v>0</v>
      </c>
      <c r="H251" s="104">
        <v>45033</v>
      </c>
      <c r="N251" s="2"/>
      <c r="P251" s="2"/>
    </row>
    <row r="252" spans="1:16">
      <c r="A252" s="97">
        <v>89</v>
      </c>
      <c r="B252" s="103">
        <v>3881608</v>
      </c>
      <c r="C252" s="103">
        <v>1</v>
      </c>
      <c r="D252" s="103">
        <v>3</v>
      </c>
      <c r="E252" s="103" t="s">
        <v>251</v>
      </c>
      <c r="F252" s="104">
        <v>45055</v>
      </c>
      <c r="G252" s="105">
        <v>0</v>
      </c>
      <c r="H252" s="104">
        <v>45061</v>
      </c>
      <c r="N252" s="2"/>
      <c r="P252" s="2"/>
    </row>
    <row r="253" spans="1:16">
      <c r="A253" s="97">
        <v>90</v>
      </c>
      <c r="B253" s="103">
        <v>3881608</v>
      </c>
      <c r="C253" s="103">
        <v>1</v>
      </c>
      <c r="D253" s="103">
        <v>3</v>
      </c>
      <c r="E253" s="103" t="s">
        <v>251</v>
      </c>
      <c r="F253" s="104">
        <v>45086</v>
      </c>
      <c r="G253" s="105">
        <v>0</v>
      </c>
      <c r="H253" s="104">
        <v>45092</v>
      </c>
      <c r="N253" s="2"/>
      <c r="P253" s="2"/>
    </row>
    <row r="254" spans="1:16">
      <c r="A254" s="97">
        <v>91</v>
      </c>
      <c r="B254" s="103">
        <v>3881608</v>
      </c>
      <c r="C254" s="103">
        <v>1</v>
      </c>
      <c r="D254" s="103">
        <v>3</v>
      </c>
      <c r="E254" s="103" t="s">
        <v>251</v>
      </c>
      <c r="F254" s="104">
        <v>45117</v>
      </c>
      <c r="G254" s="105">
        <v>0</v>
      </c>
      <c r="H254" s="104">
        <v>45121</v>
      </c>
      <c r="N254" s="2"/>
      <c r="P254" s="2"/>
    </row>
    <row r="255" spans="1:16">
      <c r="A255" s="97">
        <v>92</v>
      </c>
      <c r="B255" s="103">
        <v>3881608</v>
      </c>
      <c r="C255" s="103">
        <v>1</v>
      </c>
      <c r="D255" s="103">
        <v>3</v>
      </c>
      <c r="E255" s="103" t="s">
        <v>251</v>
      </c>
      <c r="F255" s="104">
        <v>45146</v>
      </c>
      <c r="G255" s="105">
        <v>0</v>
      </c>
      <c r="H255" s="104">
        <v>45152</v>
      </c>
      <c r="N255" s="2"/>
      <c r="P255" s="2"/>
    </row>
    <row r="256" spans="1:16">
      <c r="A256" s="97">
        <v>93</v>
      </c>
      <c r="B256" s="103">
        <v>3881608</v>
      </c>
      <c r="C256" s="103">
        <v>1</v>
      </c>
      <c r="D256" s="103">
        <v>3</v>
      </c>
      <c r="E256" s="103" t="s">
        <v>251</v>
      </c>
      <c r="F256" s="104">
        <v>45180</v>
      </c>
      <c r="G256" s="105">
        <v>0</v>
      </c>
      <c r="H256" s="104">
        <v>45184</v>
      </c>
      <c r="N256" s="2"/>
      <c r="P256" s="2"/>
    </row>
    <row r="257" spans="1:16">
      <c r="A257" s="97">
        <v>94</v>
      </c>
      <c r="B257" s="103">
        <v>3881608</v>
      </c>
      <c r="C257" s="103">
        <v>1</v>
      </c>
      <c r="D257" s="103">
        <v>3</v>
      </c>
      <c r="E257" s="103" t="s">
        <v>251</v>
      </c>
      <c r="F257" s="104">
        <v>45209</v>
      </c>
      <c r="G257" s="105">
        <v>0</v>
      </c>
      <c r="H257" s="104">
        <v>45215</v>
      </c>
      <c r="N257" s="2"/>
      <c r="P257" s="2"/>
    </row>
    <row r="258" spans="1:16">
      <c r="A258" s="97">
        <v>95</v>
      </c>
      <c r="B258" s="103">
        <v>3881608</v>
      </c>
      <c r="C258" s="103">
        <v>1</v>
      </c>
      <c r="D258" s="103">
        <v>3</v>
      </c>
      <c r="E258" s="103" t="s">
        <v>251</v>
      </c>
      <c r="F258" s="104">
        <v>45240</v>
      </c>
      <c r="G258" s="105">
        <v>0</v>
      </c>
      <c r="H258" s="104">
        <v>45246</v>
      </c>
      <c r="N258" s="2"/>
      <c r="P258" s="2"/>
    </row>
    <row r="259" spans="1:16">
      <c r="A259" s="97">
        <v>96</v>
      </c>
      <c r="B259" s="103">
        <v>3881608</v>
      </c>
      <c r="C259" s="103">
        <v>1</v>
      </c>
      <c r="D259" s="103">
        <v>3</v>
      </c>
      <c r="E259" s="103" t="s">
        <v>251</v>
      </c>
      <c r="F259" s="104">
        <v>45268</v>
      </c>
      <c r="G259" s="105">
        <v>0</v>
      </c>
      <c r="H259" s="104">
        <v>45274</v>
      </c>
      <c r="N259" s="2"/>
      <c r="P259" s="2"/>
    </row>
    <row r="260" spans="1:16">
      <c r="A260" s="97">
        <v>97</v>
      </c>
      <c r="B260" s="103">
        <v>3881608</v>
      </c>
      <c r="C260" s="103">
        <v>1</v>
      </c>
      <c r="D260" s="103">
        <v>3</v>
      </c>
      <c r="E260" s="103" t="s">
        <v>251</v>
      </c>
      <c r="F260" s="104">
        <v>45300</v>
      </c>
      <c r="G260" s="105">
        <v>0</v>
      </c>
      <c r="H260" s="104">
        <v>45306</v>
      </c>
      <c r="N260" s="2"/>
      <c r="P260" s="2"/>
    </row>
    <row r="261" spans="1:16">
      <c r="A261" s="97">
        <v>98</v>
      </c>
      <c r="B261" s="103">
        <v>3881608</v>
      </c>
      <c r="C261" s="103">
        <v>1</v>
      </c>
      <c r="D261" s="103">
        <v>3</v>
      </c>
      <c r="E261" s="103" t="s">
        <v>251</v>
      </c>
      <c r="F261" s="104">
        <v>45334</v>
      </c>
      <c r="G261" s="105">
        <v>0</v>
      </c>
      <c r="H261" s="104">
        <v>45338</v>
      </c>
      <c r="N261" s="2"/>
      <c r="P261" s="2"/>
    </row>
    <row r="262" spans="1:16">
      <c r="A262" s="97">
        <v>99</v>
      </c>
      <c r="B262" s="103">
        <v>3881608</v>
      </c>
      <c r="C262" s="103">
        <v>1</v>
      </c>
      <c r="D262" s="103">
        <v>3</v>
      </c>
      <c r="E262" s="103" t="s">
        <v>251</v>
      </c>
      <c r="F262" s="104">
        <v>45359</v>
      </c>
      <c r="G262" s="105">
        <v>0</v>
      </c>
      <c r="H262" s="104">
        <v>45365</v>
      </c>
      <c r="N262" s="2"/>
      <c r="P262" s="2"/>
    </row>
    <row r="263" spans="1:16">
      <c r="A263" s="97">
        <v>100</v>
      </c>
      <c r="B263" s="103">
        <v>3881608</v>
      </c>
      <c r="C263" s="103">
        <v>1</v>
      </c>
      <c r="D263" s="103">
        <v>3</v>
      </c>
      <c r="E263" s="103" t="s">
        <v>251</v>
      </c>
      <c r="F263" s="104">
        <v>45390</v>
      </c>
      <c r="G263" s="105">
        <v>0</v>
      </c>
      <c r="H263" s="104">
        <v>45394</v>
      </c>
      <c r="N263" s="2"/>
      <c r="P263" s="2"/>
    </row>
    <row r="264" spans="1:16">
      <c r="A264" s="97">
        <v>101</v>
      </c>
      <c r="B264" s="103">
        <v>3881608</v>
      </c>
      <c r="C264" s="103">
        <v>1</v>
      </c>
      <c r="D264" s="103">
        <v>3</v>
      </c>
      <c r="E264" s="103" t="s">
        <v>251</v>
      </c>
      <c r="F264" s="104">
        <v>45421</v>
      </c>
      <c r="G264" s="105">
        <v>0</v>
      </c>
      <c r="H264" s="104">
        <v>45427</v>
      </c>
      <c r="N264" s="2"/>
      <c r="P264" s="2"/>
    </row>
    <row r="265" spans="1:16">
      <c r="A265" s="97">
        <v>102</v>
      </c>
      <c r="B265" s="103">
        <v>3881608</v>
      </c>
      <c r="C265" s="103">
        <v>1</v>
      </c>
      <c r="D265" s="103">
        <v>3</v>
      </c>
      <c r="E265" s="103" t="s">
        <v>251</v>
      </c>
      <c r="F265" s="104">
        <v>45453</v>
      </c>
      <c r="G265" s="105">
        <v>0</v>
      </c>
      <c r="H265" s="104">
        <v>45457</v>
      </c>
      <c r="N265" s="2"/>
      <c r="P265" s="2"/>
    </row>
    <row r="266" spans="1:16">
      <c r="A266" s="97">
        <v>103</v>
      </c>
      <c r="B266" s="103">
        <v>3881608</v>
      </c>
      <c r="C266" s="103">
        <v>1</v>
      </c>
      <c r="D266" s="103">
        <v>3</v>
      </c>
      <c r="E266" s="103" t="s">
        <v>251</v>
      </c>
      <c r="F266" s="104">
        <v>45481</v>
      </c>
      <c r="G266" s="105">
        <v>0</v>
      </c>
      <c r="H266" s="104">
        <v>45485</v>
      </c>
      <c r="N266" s="2"/>
      <c r="P266" s="2"/>
    </row>
    <row r="267" spans="1:16">
      <c r="A267" s="97">
        <v>104</v>
      </c>
      <c r="B267" s="103">
        <v>3881608</v>
      </c>
      <c r="C267" s="103">
        <v>1</v>
      </c>
      <c r="D267" s="103">
        <v>3</v>
      </c>
      <c r="E267" s="103" t="s">
        <v>251</v>
      </c>
      <c r="F267" s="104">
        <v>45512</v>
      </c>
      <c r="G267" s="105">
        <v>0</v>
      </c>
      <c r="H267" s="104">
        <v>45518</v>
      </c>
      <c r="N267" s="2"/>
      <c r="P267" s="2"/>
    </row>
    <row r="268" spans="1:16">
      <c r="A268" s="97">
        <v>105</v>
      </c>
      <c r="B268" s="103">
        <v>3881608</v>
      </c>
      <c r="C268" s="103">
        <v>1</v>
      </c>
      <c r="D268" s="103">
        <v>3</v>
      </c>
      <c r="E268" s="103" t="s">
        <v>251</v>
      </c>
      <c r="F268" s="104">
        <v>45544</v>
      </c>
      <c r="G268" s="105">
        <v>0</v>
      </c>
      <c r="H268" s="104">
        <v>45548</v>
      </c>
      <c r="N268" s="2"/>
      <c r="P268" s="2"/>
    </row>
    <row r="269" spans="1:16">
      <c r="A269" s="97">
        <v>106</v>
      </c>
      <c r="B269" s="103">
        <v>3881608</v>
      </c>
      <c r="C269" s="103">
        <v>1</v>
      </c>
      <c r="D269" s="103">
        <v>3</v>
      </c>
      <c r="E269" s="103" t="s">
        <v>251</v>
      </c>
      <c r="F269" s="104">
        <v>45573</v>
      </c>
      <c r="G269" s="105">
        <v>0</v>
      </c>
      <c r="H269" s="104">
        <v>45579</v>
      </c>
      <c r="N269" s="2"/>
      <c r="P269" s="2"/>
    </row>
    <row r="270" spans="1:16">
      <c r="A270" s="97">
        <v>107</v>
      </c>
      <c r="B270" s="103">
        <v>3881608</v>
      </c>
      <c r="C270" s="103">
        <v>1</v>
      </c>
      <c r="D270" s="103">
        <v>3</v>
      </c>
      <c r="E270" s="103" t="s">
        <v>251</v>
      </c>
      <c r="F270" s="104">
        <v>45604</v>
      </c>
      <c r="G270" s="105">
        <v>0</v>
      </c>
      <c r="H270" s="104">
        <v>45610</v>
      </c>
      <c r="N270" s="2"/>
      <c r="P270" s="2"/>
    </row>
    <row r="271" spans="1:16">
      <c r="A271" s="97">
        <v>108</v>
      </c>
      <c r="B271" s="103">
        <v>3881608</v>
      </c>
      <c r="C271" s="103">
        <v>1</v>
      </c>
      <c r="D271" s="103">
        <v>3</v>
      </c>
      <c r="E271" s="103" t="s">
        <v>251</v>
      </c>
      <c r="F271" s="104">
        <v>45635</v>
      </c>
      <c r="G271" s="105">
        <v>0</v>
      </c>
      <c r="H271" s="104">
        <v>45639</v>
      </c>
      <c r="N271" s="2"/>
      <c r="P271" s="2"/>
    </row>
    <row r="272" spans="1:16">
      <c r="A272" s="97">
        <v>109</v>
      </c>
      <c r="B272" s="103">
        <v>3881608</v>
      </c>
      <c r="C272" s="103">
        <v>1</v>
      </c>
      <c r="D272" s="103">
        <v>3</v>
      </c>
      <c r="E272" s="103" t="s">
        <v>251</v>
      </c>
      <c r="F272" s="104">
        <v>45666</v>
      </c>
      <c r="G272" s="105">
        <v>0</v>
      </c>
      <c r="H272" s="104">
        <v>45672</v>
      </c>
      <c r="N272" s="2"/>
      <c r="P272" s="2"/>
    </row>
    <row r="273" spans="1:16">
      <c r="A273" s="97">
        <v>110</v>
      </c>
      <c r="B273" s="103">
        <v>3881608</v>
      </c>
      <c r="C273" s="103">
        <v>1</v>
      </c>
      <c r="D273" s="103">
        <v>3</v>
      </c>
      <c r="E273" s="103" t="s">
        <v>251</v>
      </c>
      <c r="F273" s="104">
        <v>45698</v>
      </c>
      <c r="G273" s="105">
        <v>0</v>
      </c>
      <c r="H273" s="104">
        <v>45702</v>
      </c>
      <c r="N273" s="2"/>
      <c r="P273" s="2"/>
    </row>
    <row r="274" spans="1:16">
      <c r="A274" s="97">
        <v>111</v>
      </c>
      <c r="B274" s="103">
        <v>3881608</v>
      </c>
      <c r="C274" s="103">
        <v>1</v>
      </c>
      <c r="D274" s="103">
        <v>3</v>
      </c>
      <c r="E274" s="103" t="s">
        <v>251</v>
      </c>
      <c r="F274" s="104">
        <v>45728</v>
      </c>
      <c r="G274" s="105">
        <v>0</v>
      </c>
      <c r="H274" s="104">
        <v>45734</v>
      </c>
      <c r="N274" s="2"/>
      <c r="P274" s="2"/>
    </row>
    <row r="275" spans="1:16">
      <c r="A275" s="97">
        <v>112</v>
      </c>
      <c r="B275" s="103">
        <v>3881608</v>
      </c>
      <c r="C275" s="103">
        <v>1</v>
      </c>
      <c r="D275" s="103">
        <v>3</v>
      </c>
      <c r="E275" s="103" t="s">
        <v>251</v>
      </c>
      <c r="F275" s="104">
        <v>45755</v>
      </c>
      <c r="G275" s="105">
        <v>0</v>
      </c>
      <c r="H275" s="104">
        <v>45761</v>
      </c>
      <c r="N275" s="2"/>
      <c r="P275" s="2"/>
    </row>
    <row r="276" spans="1:16">
      <c r="A276" s="97">
        <v>113</v>
      </c>
      <c r="B276" s="103">
        <v>3881608</v>
      </c>
      <c r="C276" s="103">
        <v>1</v>
      </c>
      <c r="D276" s="103">
        <v>3</v>
      </c>
      <c r="E276" s="103" t="s">
        <v>251</v>
      </c>
      <c r="F276" s="104">
        <v>45786</v>
      </c>
      <c r="G276" s="105">
        <v>0</v>
      </c>
      <c r="H276" s="104">
        <v>45792</v>
      </c>
      <c r="N276" s="2"/>
      <c r="P276" s="2"/>
    </row>
    <row r="277" spans="1:16">
      <c r="A277" s="97">
        <v>114</v>
      </c>
      <c r="B277" s="103">
        <v>3881608</v>
      </c>
      <c r="C277" s="103">
        <v>1</v>
      </c>
      <c r="D277" s="103">
        <v>3</v>
      </c>
      <c r="E277" s="103" t="s">
        <v>251</v>
      </c>
      <c r="F277" s="104">
        <v>45817</v>
      </c>
      <c r="G277" s="105">
        <v>0</v>
      </c>
      <c r="H277" s="104">
        <v>45821</v>
      </c>
      <c r="N277" s="2"/>
      <c r="P277" s="2"/>
    </row>
    <row r="278" spans="1:16">
      <c r="A278" s="97">
        <v>115</v>
      </c>
      <c r="B278" s="103">
        <v>3881608</v>
      </c>
      <c r="C278" s="103">
        <v>1</v>
      </c>
      <c r="D278" s="103">
        <v>3</v>
      </c>
      <c r="E278" s="103" t="s">
        <v>251</v>
      </c>
      <c r="F278" s="104">
        <v>45846</v>
      </c>
      <c r="G278" s="105">
        <v>0</v>
      </c>
      <c r="H278" s="104">
        <v>45852</v>
      </c>
      <c r="N278" s="2"/>
      <c r="P278" s="2"/>
    </row>
    <row r="279" spans="1:16">
      <c r="A279" s="97">
        <v>116</v>
      </c>
      <c r="B279" s="103">
        <v>3881608</v>
      </c>
      <c r="C279" s="103">
        <v>1</v>
      </c>
      <c r="D279" s="103">
        <v>3</v>
      </c>
      <c r="E279" s="103" t="s">
        <v>251</v>
      </c>
      <c r="F279" s="104">
        <v>45877</v>
      </c>
      <c r="G279" s="105">
        <v>0</v>
      </c>
      <c r="H279" s="104">
        <v>45883</v>
      </c>
      <c r="N279" s="2"/>
      <c r="P279" s="2"/>
    </row>
    <row r="280" spans="1:16">
      <c r="A280" s="97">
        <v>117</v>
      </c>
      <c r="B280" s="103">
        <v>3881608</v>
      </c>
      <c r="C280" s="103">
        <v>1</v>
      </c>
      <c r="D280" s="103">
        <v>3</v>
      </c>
      <c r="E280" s="103" t="s">
        <v>251</v>
      </c>
      <c r="F280" s="104">
        <v>45908</v>
      </c>
      <c r="G280" s="105">
        <v>0</v>
      </c>
      <c r="H280" s="104">
        <v>45912</v>
      </c>
      <c r="N280" s="2"/>
      <c r="P280" s="2"/>
    </row>
    <row r="281" spans="1:16">
      <c r="A281" s="97">
        <v>118</v>
      </c>
      <c r="B281" s="103">
        <v>3881608</v>
      </c>
      <c r="C281" s="103">
        <v>1</v>
      </c>
      <c r="D281" s="103">
        <v>3</v>
      </c>
      <c r="E281" s="103" t="s">
        <v>251</v>
      </c>
      <c r="F281" s="104">
        <v>45938</v>
      </c>
      <c r="G281" s="105">
        <v>0</v>
      </c>
      <c r="H281" s="104">
        <v>45944</v>
      </c>
      <c r="N281" s="2"/>
      <c r="P281" s="2"/>
    </row>
    <row r="282" spans="1:16">
      <c r="A282" s="97">
        <v>119</v>
      </c>
      <c r="B282" s="103">
        <v>3881608</v>
      </c>
      <c r="C282" s="103">
        <v>1</v>
      </c>
      <c r="D282" s="103">
        <v>3</v>
      </c>
      <c r="E282" s="103" t="s">
        <v>251</v>
      </c>
      <c r="F282" s="104">
        <v>45971</v>
      </c>
      <c r="G282" s="105">
        <v>0</v>
      </c>
      <c r="H282" s="104">
        <v>45975</v>
      </c>
      <c r="N282" s="2"/>
      <c r="P282" s="2"/>
    </row>
    <row r="283" spans="1:16">
      <c r="A283" s="97">
        <v>120</v>
      </c>
      <c r="B283" s="103">
        <v>3881608</v>
      </c>
      <c r="C283" s="103">
        <v>1</v>
      </c>
      <c r="D283" s="103">
        <v>3</v>
      </c>
      <c r="E283" s="103" t="s">
        <v>251</v>
      </c>
      <c r="F283" s="104">
        <v>45999</v>
      </c>
      <c r="G283" s="105">
        <v>0</v>
      </c>
      <c r="H283" s="104">
        <v>46003</v>
      </c>
      <c r="N283" s="2"/>
      <c r="P283" s="2"/>
    </row>
    <row r="284" spans="1:16">
      <c r="A284" s="97">
        <v>121</v>
      </c>
      <c r="B284" s="103">
        <v>3881608</v>
      </c>
      <c r="C284" s="103">
        <v>1</v>
      </c>
      <c r="D284" s="103">
        <v>3</v>
      </c>
      <c r="E284" s="103" t="s">
        <v>251</v>
      </c>
      <c r="F284" s="104">
        <v>46031</v>
      </c>
      <c r="G284" s="105">
        <v>0</v>
      </c>
      <c r="H284" s="104">
        <v>46037</v>
      </c>
      <c r="N284" s="2"/>
      <c r="P284" s="2"/>
    </row>
    <row r="285" spans="1:16">
      <c r="A285" s="97">
        <v>122</v>
      </c>
      <c r="B285" s="103">
        <v>3881608</v>
      </c>
      <c r="C285" s="103">
        <v>1</v>
      </c>
      <c r="D285" s="103">
        <v>3</v>
      </c>
      <c r="E285" s="103" t="s">
        <v>251</v>
      </c>
      <c r="F285" s="104">
        <v>46062</v>
      </c>
      <c r="G285" s="105">
        <v>0</v>
      </c>
      <c r="H285" s="104">
        <v>46066</v>
      </c>
      <c r="N285" s="2"/>
      <c r="P285" s="2"/>
    </row>
    <row r="286" spans="1:16">
      <c r="A286" s="97">
        <v>123</v>
      </c>
      <c r="B286" s="103">
        <v>3881608</v>
      </c>
      <c r="C286" s="103">
        <v>1</v>
      </c>
      <c r="D286" s="103">
        <v>3</v>
      </c>
      <c r="E286" s="103" t="s">
        <v>251</v>
      </c>
      <c r="F286" s="104">
        <v>46090</v>
      </c>
      <c r="G286" s="105">
        <v>0</v>
      </c>
      <c r="H286" s="104">
        <v>46094</v>
      </c>
      <c r="N286" s="2"/>
      <c r="P286" s="2"/>
    </row>
    <row r="287" spans="1:16">
      <c r="A287" s="97">
        <v>124</v>
      </c>
      <c r="B287" s="103">
        <v>3881608</v>
      </c>
      <c r="C287" s="103">
        <v>1</v>
      </c>
      <c r="D287" s="103">
        <v>3</v>
      </c>
      <c r="E287" s="103" t="s">
        <v>251</v>
      </c>
      <c r="F287" s="104">
        <v>46121</v>
      </c>
      <c r="G287" s="105">
        <v>0</v>
      </c>
      <c r="H287" s="104">
        <v>46127</v>
      </c>
      <c r="N287" s="2"/>
      <c r="P287" s="2"/>
    </row>
    <row r="288" spans="1:16">
      <c r="A288" s="97">
        <v>125</v>
      </c>
      <c r="B288" s="103">
        <v>3881608</v>
      </c>
      <c r="C288" s="103">
        <v>1</v>
      </c>
      <c r="D288" s="103">
        <v>3</v>
      </c>
      <c r="E288" s="103" t="s">
        <v>251</v>
      </c>
      <c r="F288" s="104">
        <v>46153</v>
      </c>
      <c r="G288" s="105">
        <v>0</v>
      </c>
      <c r="H288" s="104">
        <v>46157</v>
      </c>
      <c r="N288" s="2"/>
      <c r="P288" s="2"/>
    </row>
    <row r="289" spans="1:16">
      <c r="A289" s="97">
        <v>126</v>
      </c>
      <c r="B289" s="103">
        <v>3881608</v>
      </c>
      <c r="C289" s="103">
        <v>1</v>
      </c>
      <c r="D289" s="103">
        <v>3</v>
      </c>
      <c r="E289" s="103" t="s">
        <v>251</v>
      </c>
      <c r="F289" s="104">
        <v>46182</v>
      </c>
      <c r="G289" s="105">
        <v>0</v>
      </c>
      <c r="H289" s="104">
        <v>46188</v>
      </c>
      <c r="N289" s="2"/>
      <c r="P289" s="2"/>
    </row>
    <row r="290" spans="1:16">
      <c r="A290" s="97">
        <v>127</v>
      </c>
      <c r="B290" s="103">
        <v>3881608</v>
      </c>
      <c r="C290" s="103">
        <v>1</v>
      </c>
      <c r="D290" s="103">
        <v>3</v>
      </c>
      <c r="E290" s="103" t="s">
        <v>251</v>
      </c>
      <c r="F290" s="104">
        <v>46211</v>
      </c>
      <c r="G290" s="105">
        <v>0</v>
      </c>
      <c r="H290" s="104">
        <v>46217</v>
      </c>
      <c r="N290" s="2"/>
      <c r="P290" s="2"/>
    </row>
    <row r="291" spans="1:16">
      <c r="A291" s="97">
        <v>128</v>
      </c>
      <c r="B291" s="103">
        <v>3881608</v>
      </c>
      <c r="C291" s="103">
        <v>1</v>
      </c>
      <c r="D291" s="103">
        <v>3</v>
      </c>
      <c r="E291" s="103" t="s">
        <v>251</v>
      </c>
      <c r="F291" s="104">
        <v>46244</v>
      </c>
      <c r="G291" s="105">
        <v>0</v>
      </c>
      <c r="H291" s="104">
        <v>46248</v>
      </c>
      <c r="N291" s="2"/>
      <c r="P291" s="2"/>
    </row>
    <row r="292" spans="1:16">
      <c r="A292" s="97">
        <v>129</v>
      </c>
      <c r="B292" s="103">
        <v>3881608</v>
      </c>
      <c r="C292" s="103">
        <v>1</v>
      </c>
      <c r="D292" s="103">
        <v>3</v>
      </c>
      <c r="E292" s="103" t="s">
        <v>251</v>
      </c>
      <c r="F292" s="104">
        <v>46274</v>
      </c>
      <c r="G292" s="105">
        <v>0</v>
      </c>
      <c r="H292" s="104">
        <v>46280</v>
      </c>
      <c r="N292" s="2"/>
      <c r="P292" s="2"/>
    </row>
    <row r="293" spans="1:16">
      <c r="A293" s="97">
        <v>130</v>
      </c>
      <c r="B293" s="103">
        <v>3881608</v>
      </c>
      <c r="C293" s="103">
        <v>1</v>
      </c>
      <c r="D293" s="103">
        <v>3</v>
      </c>
      <c r="E293" s="103" t="s">
        <v>251</v>
      </c>
      <c r="F293" s="104">
        <v>46304</v>
      </c>
      <c r="G293" s="105">
        <v>0</v>
      </c>
      <c r="H293" s="104">
        <v>46310</v>
      </c>
      <c r="N293" s="2"/>
      <c r="P293" s="2"/>
    </row>
    <row r="294" spans="1:16">
      <c r="A294" s="97">
        <v>131</v>
      </c>
      <c r="B294" s="103">
        <v>3881608</v>
      </c>
      <c r="C294" s="103">
        <v>1</v>
      </c>
      <c r="D294" s="103">
        <v>3</v>
      </c>
      <c r="E294" s="103" t="s">
        <v>251</v>
      </c>
      <c r="F294" s="104">
        <v>46336</v>
      </c>
      <c r="G294" s="105">
        <v>0</v>
      </c>
      <c r="H294" s="104">
        <v>46342</v>
      </c>
      <c r="N294" s="2"/>
      <c r="P294" s="2"/>
    </row>
    <row r="295" spans="1:16">
      <c r="A295" s="97">
        <v>132</v>
      </c>
      <c r="B295" s="103">
        <v>3881608</v>
      </c>
      <c r="C295" s="103">
        <v>1</v>
      </c>
      <c r="D295" s="103">
        <v>3</v>
      </c>
      <c r="E295" s="103" t="s">
        <v>251</v>
      </c>
      <c r="F295" s="104">
        <v>46364</v>
      </c>
      <c r="G295" s="105">
        <v>0</v>
      </c>
      <c r="H295" s="104">
        <v>46370</v>
      </c>
      <c r="N295" s="2"/>
      <c r="P295" s="2"/>
    </row>
    <row r="296" spans="1:16">
      <c r="A296" s="97">
        <v>133</v>
      </c>
      <c r="B296" s="103">
        <v>3881608</v>
      </c>
      <c r="C296" s="103">
        <v>1</v>
      </c>
      <c r="D296" s="103">
        <v>3</v>
      </c>
      <c r="E296" s="103" t="s">
        <v>251</v>
      </c>
      <c r="F296" s="104">
        <v>46398</v>
      </c>
      <c r="G296" s="105">
        <v>0</v>
      </c>
      <c r="H296" s="104">
        <v>46402</v>
      </c>
      <c r="N296" s="2"/>
      <c r="P296" s="2"/>
    </row>
    <row r="297" spans="1:16">
      <c r="A297" s="97">
        <v>134</v>
      </c>
      <c r="B297" s="103">
        <v>3881608</v>
      </c>
      <c r="C297" s="103">
        <v>1</v>
      </c>
      <c r="D297" s="103">
        <v>3</v>
      </c>
      <c r="E297" s="103" t="s">
        <v>251</v>
      </c>
      <c r="F297" s="104">
        <v>46428</v>
      </c>
      <c r="G297" s="105">
        <v>0</v>
      </c>
      <c r="H297" s="104">
        <v>46434</v>
      </c>
      <c r="N297" s="2"/>
      <c r="P297" s="2"/>
    </row>
    <row r="298" spans="1:16">
      <c r="A298" s="97">
        <v>135</v>
      </c>
      <c r="B298" s="103">
        <v>3881608</v>
      </c>
      <c r="C298" s="103">
        <v>1</v>
      </c>
      <c r="D298" s="103">
        <v>3</v>
      </c>
      <c r="E298" s="103" t="s">
        <v>251</v>
      </c>
      <c r="F298" s="104">
        <v>46454</v>
      </c>
      <c r="G298" s="105">
        <v>0</v>
      </c>
      <c r="H298" s="104">
        <v>46458</v>
      </c>
      <c r="N298" s="2"/>
      <c r="P298" s="2"/>
    </row>
    <row r="299" spans="1:16">
      <c r="A299" s="97">
        <v>136</v>
      </c>
      <c r="B299" s="103">
        <v>3881608</v>
      </c>
      <c r="C299" s="103">
        <v>1</v>
      </c>
      <c r="D299" s="103">
        <v>3</v>
      </c>
      <c r="E299" s="103" t="s">
        <v>251</v>
      </c>
      <c r="F299" s="104">
        <v>46485</v>
      </c>
      <c r="G299" s="105">
        <v>0</v>
      </c>
      <c r="H299" s="104">
        <v>46491</v>
      </c>
      <c r="N299" s="2"/>
      <c r="P299" s="2"/>
    </row>
    <row r="300" spans="1:16">
      <c r="A300" s="97">
        <v>137</v>
      </c>
      <c r="B300" s="103">
        <v>3881608</v>
      </c>
      <c r="C300" s="103">
        <v>1</v>
      </c>
      <c r="D300" s="103">
        <v>3</v>
      </c>
      <c r="E300" s="103" t="s">
        <v>251</v>
      </c>
      <c r="F300" s="104">
        <v>46517</v>
      </c>
      <c r="G300" s="105">
        <v>0</v>
      </c>
      <c r="H300" s="104">
        <v>46521</v>
      </c>
      <c r="N300" s="2"/>
      <c r="P300" s="2"/>
    </row>
    <row r="301" spans="1:16">
      <c r="A301" s="97">
        <v>138</v>
      </c>
      <c r="B301" s="103">
        <v>3881608</v>
      </c>
      <c r="C301" s="103">
        <v>1</v>
      </c>
      <c r="D301" s="103">
        <v>3</v>
      </c>
      <c r="E301" s="103" t="s">
        <v>251</v>
      </c>
      <c r="F301" s="104">
        <v>46546</v>
      </c>
      <c r="G301" s="105">
        <v>0</v>
      </c>
      <c r="H301" s="104">
        <v>46552</v>
      </c>
      <c r="N301" s="2"/>
      <c r="P301" s="2"/>
    </row>
    <row r="302" spans="1:16">
      <c r="A302" s="97">
        <v>139</v>
      </c>
      <c r="B302" s="103">
        <v>3881608</v>
      </c>
      <c r="C302" s="103">
        <v>1</v>
      </c>
      <c r="D302" s="103">
        <v>3</v>
      </c>
      <c r="E302" s="103" t="s">
        <v>251</v>
      </c>
      <c r="F302" s="104">
        <v>46576</v>
      </c>
      <c r="G302" s="105">
        <v>0</v>
      </c>
      <c r="H302" s="104">
        <v>46582</v>
      </c>
      <c r="N302" s="2"/>
      <c r="P302" s="2"/>
    </row>
    <row r="303" spans="1:16">
      <c r="A303" s="97">
        <v>140</v>
      </c>
      <c r="B303" s="103">
        <v>3881608</v>
      </c>
      <c r="C303" s="103">
        <v>1</v>
      </c>
      <c r="D303" s="103">
        <v>3</v>
      </c>
      <c r="E303" s="103" t="s">
        <v>251</v>
      </c>
      <c r="F303" s="104">
        <v>46608</v>
      </c>
      <c r="G303" s="105">
        <v>0</v>
      </c>
      <c r="H303" s="104">
        <v>46612</v>
      </c>
      <c r="N303" s="2"/>
      <c r="P303" s="2"/>
    </row>
    <row r="304" spans="1:16">
      <c r="A304" s="97">
        <v>141</v>
      </c>
      <c r="B304" s="103">
        <v>3881608</v>
      </c>
      <c r="C304" s="103">
        <v>1</v>
      </c>
      <c r="D304" s="103">
        <v>3</v>
      </c>
      <c r="E304" s="103" t="s">
        <v>251</v>
      </c>
      <c r="F304" s="104">
        <v>46639</v>
      </c>
      <c r="G304" s="105">
        <v>0</v>
      </c>
      <c r="H304" s="104">
        <v>46645</v>
      </c>
      <c r="N304" s="2"/>
      <c r="P304" s="2"/>
    </row>
    <row r="305" spans="1:16">
      <c r="A305" s="97">
        <v>142</v>
      </c>
      <c r="B305" s="103">
        <v>3881608</v>
      </c>
      <c r="C305" s="103">
        <v>1</v>
      </c>
      <c r="D305" s="103">
        <v>3</v>
      </c>
      <c r="E305" s="103" t="s">
        <v>251</v>
      </c>
      <c r="F305" s="104">
        <v>46671</v>
      </c>
      <c r="G305" s="105">
        <v>0</v>
      </c>
      <c r="H305" s="104">
        <v>46675</v>
      </c>
      <c r="N305" s="2"/>
      <c r="P305" s="2"/>
    </row>
    <row r="306" spans="1:16">
      <c r="A306" s="97">
        <v>143</v>
      </c>
      <c r="B306" s="103">
        <v>3881608</v>
      </c>
      <c r="C306" s="103">
        <v>1</v>
      </c>
      <c r="D306" s="103">
        <v>3</v>
      </c>
      <c r="E306" s="103" t="s">
        <v>251</v>
      </c>
      <c r="F306" s="104">
        <v>46701</v>
      </c>
      <c r="G306" s="105">
        <v>0</v>
      </c>
      <c r="H306" s="104">
        <v>46707</v>
      </c>
      <c r="N306" s="2"/>
      <c r="P306" s="2"/>
    </row>
    <row r="307" spans="1:16">
      <c r="A307" s="97">
        <v>144</v>
      </c>
      <c r="B307" s="103">
        <v>3881608</v>
      </c>
      <c r="C307" s="103">
        <v>1</v>
      </c>
      <c r="D307" s="103">
        <v>3</v>
      </c>
      <c r="E307" s="103" t="s">
        <v>251</v>
      </c>
      <c r="F307" s="104">
        <v>46729</v>
      </c>
      <c r="G307" s="105">
        <v>0</v>
      </c>
      <c r="H307" s="104">
        <v>46735</v>
      </c>
      <c r="N307" s="2"/>
      <c r="P307" s="2"/>
    </row>
    <row r="308" spans="1:16">
      <c r="A308" s="97"/>
      <c r="B308" s="97"/>
      <c r="C308" s="97"/>
      <c r="D308" s="97"/>
      <c r="E308" s="97"/>
      <c r="F308" s="98"/>
      <c r="G308" s="99"/>
      <c r="H308" s="98"/>
      <c r="N308" s="2"/>
      <c r="P308" s="2"/>
    </row>
    <row r="309" spans="1:16">
      <c r="A309" s="80"/>
      <c r="F309" s="2"/>
      <c r="G309" s="3"/>
      <c r="H309" s="2"/>
      <c r="N309" s="2"/>
      <c r="P309" s="2"/>
    </row>
    <row r="310" spans="1:16" ht="15.75">
      <c r="A310" s="247" t="s">
        <v>231</v>
      </c>
      <c r="B310" s="247"/>
      <c r="C310" s="247"/>
      <c r="D310" s="247"/>
      <c r="E310" s="83"/>
      <c r="F310" s="83"/>
      <c r="G310" s="83"/>
      <c r="H310" s="83"/>
      <c r="N310" s="2"/>
      <c r="P310" s="2"/>
    </row>
    <row r="311" spans="1:16">
      <c r="A311" s="80" t="s">
        <v>226</v>
      </c>
      <c r="B311" s="1" t="s">
        <v>0</v>
      </c>
      <c r="C311" s="1" t="s">
        <v>52</v>
      </c>
      <c r="D311" s="1" t="s">
        <v>76</v>
      </c>
      <c r="E311" s="1" t="s">
        <v>77</v>
      </c>
      <c r="F311" s="1" t="s">
        <v>78</v>
      </c>
      <c r="G311" s="3" t="s">
        <v>79</v>
      </c>
      <c r="H311" s="1" t="s">
        <v>80</v>
      </c>
      <c r="N311" s="2"/>
      <c r="P311" s="2"/>
    </row>
    <row r="312" spans="1:16">
      <c r="A312" s="80">
        <v>1</v>
      </c>
      <c r="B312" s="1">
        <v>3881608</v>
      </c>
      <c r="C312" s="1">
        <v>1</v>
      </c>
      <c r="D312" s="1">
        <v>4</v>
      </c>
      <c r="E312" s="1" t="s">
        <v>252</v>
      </c>
      <c r="F312" s="2">
        <v>42380</v>
      </c>
      <c r="G312" s="3">
        <v>1007.6</v>
      </c>
      <c r="H312" s="2">
        <v>42384</v>
      </c>
      <c r="N312" s="2"/>
      <c r="P312" s="2"/>
    </row>
    <row r="313" spans="1:16">
      <c r="A313" s="97">
        <v>2</v>
      </c>
      <c r="B313" s="97">
        <v>3881608</v>
      </c>
      <c r="C313" s="97">
        <v>1</v>
      </c>
      <c r="D313" s="97">
        <v>4</v>
      </c>
      <c r="E313" s="97" t="s">
        <v>252</v>
      </c>
      <c r="F313" s="98">
        <v>42410</v>
      </c>
      <c r="G313" s="99">
        <v>996.75447499999996</v>
      </c>
      <c r="H313" s="98">
        <v>42416</v>
      </c>
      <c r="N313" s="2"/>
      <c r="P313" s="2"/>
    </row>
    <row r="314" spans="1:16">
      <c r="A314" s="97">
        <v>3</v>
      </c>
      <c r="B314" s="97">
        <v>3881608</v>
      </c>
      <c r="C314" s="97">
        <v>1</v>
      </c>
      <c r="D314" s="97">
        <v>4</v>
      </c>
      <c r="E314" s="97" t="s">
        <v>252</v>
      </c>
      <c r="F314" s="98">
        <v>42437</v>
      </c>
      <c r="G314" s="99">
        <v>996.02774099999999</v>
      </c>
      <c r="H314" s="98">
        <v>42443</v>
      </c>
      <c r="N314" s="2"/>
      <c r="P314" s="2"/>
    </row>
    <row r="315" spans="1:16">
      <c r="A315" s="97">
        <v>4</v>
      </c>
      <c r="B315" s="103">
        <v>3881608</v>
      </c>
      <c r="C315" s="103">
        <v>1</v>
      </c>
      <c r="D315" s="103">
        <v>4</v>
      </c>
      <c r="E315" s="103" t="s">
        <v>252</v>
      </c>
      <c r="F315" s="104">
        <v>42468</v>
      </c>
      <c r="G315" s="105">
        <v>954.76723700000002</v>
      </c>
      <c r="H315" s="104">
        <v>42474</v>
      </c>
      <c r="N315" s="2"/>
      <c r="P315" s="2"/>
    </row>
    <row r="316" spans="1:16">
      <c r="A316" s="97">
        <v>5</v>
      </c>
      <c r="B316" s="103">
        <v>3881608</v>
      </c>
      <c r="C316" s="103">
        <v>1</v>
      </c>
      <c r="D316" s="103">
        <v>4</v>
      </c>
      <c r="E316" s="103" t="s">
        <v>252</v>
      </c>
      <c r="F316" s="104">
        <v>42499</v>
      </c>
      <c r="G316" s="105">
        <v>962.46544700000004</v>
      </c>
      <c r="H316" s="104">
        <v>42503</v>
      </c>
      <c r="N316" s="2"/>
      <c r="P316" s="2"/>
    </row>
    <row r="317" spans="1:16">
      <c r="A317" s="97">
        <v>6</v>
      </c>
      <c r="B317" s="103">
        <v>3881608</v>
      </c>
      <c r="C317" s="103">
        <v>1</v>
      </c>
      <c r="D317" s="103">
        <v>4</v>
      </c>
      <c r="E317" s="103" t="s">
        <v>252</v>
      </c>
      <c r="F317" s="104">
        <v>42529</v>
      </c>
      <c r="G317" s="105">
        <v>940.74511800000005</v>
      </c>
      <c r="H317" s="104">
        <v>42535</v>
      </c>
      <c r="N317" s="2"/>
      <c r="P317" s="2"/>
    </row>
    <row r="318" spans="1:16">
      <c r="A318" s="97">
        <v>7</v>
      </c>
      <c r="B318" s="103">
        <v>3881608</v>
      </c>
      <c r="C318" s="103">
        <v>1</v>
      </c>
      <c r="D318" s="103">
        <v>4</v>
      </c>
      <c r="E318" s="103" t="s">
        <v>252</v>
      </c>
      <c r="F318" s="104">
        <v>42559</v>
      </c>
      <c r="G318" s="105">
        <v>918.63412200000005</v>
      </c>
      <c r="H318" s="104">
        <v>42565</v>
      </c>
      <c r="N318" s="2"/>
      <c r="P318" s="2"/>
    </row>
    <row r="319" spans="1:16">
      <c r="A319" s="97">
        <v>8</v>
      </c>
      <c r="B319" s="103">
        <v>3881608</v>
      </c>
      <c r="C319" s="103">
        <v>1</v>
      </c>
      <c r="D319" s="103">
        <v>4</v>
      </c>
      <c r="E319" s="103" t="s">
        <v>252</v>
      </c>
      <c r="F319" s="104">
        <v>42590</v>
      </c>
      <c r="G319" s="105">
        <v>915.35669399999995</v>
      </c>
      <c r="H319" s="104">
        <v>42594</v>
      </c>
      <c r="N319" s="2"/>
      <c r="P319" s="2"/>
    </row>
    <row r="320" spans="1:16">
      <c r="A320" s="97">
        <v>9</v>
      </c>
      <c r="B320" s="103">
        <v>3881608</v>
      </c>
      <c r="C320" s="103">
        <v>1</v>
      </c>
      <c r="D320" s="103">
        <v>4</v>
      </c>
      <c r="E320" s="103" t="s">
        <v>252</v>
      </c>
      <c r="F320" s="104">
        <v>42622</v>
      </c>
      <c r="G320" s="105">
        <v>883.56881699999997</v>
      </c>
      <c r="H320" s="104">
        <v>42628</v>
      </c>
      <c r="N320" s="2"/>
      <c r="P320" s="2"/>
    </row>
    <row r="321" spans="1:16">
      <c r="A321" s="97">
        <v>10</v>
      </c>
      <c r="B321" s="103">
        <v>3881608</v>
      </c>
      <c r="C321" s="103">
        <v>1</v>
      </c>
      <c r="D321" s="103">
        <v>4</v>
      </c>
      <c r="E321" s="103" t="s">
        <v>252</v>
      </c>
      <c r="F321" s="104">
        <v>42654</v>
      </c>
      <c r="G321" s="105">
        <v>889.64772500000004</v>
      </c>
      <c r="H321" s="104">
        <v>42660</v>
      </c>
      <c r="N321" s="2"/>
      <c r="P321" s="2"/>
    </row>
    <row r="322" spans="1:16">
      <c r="A322" s="97">
        <v>11</v>
      </c>
      <c r="B322" s="103">
        <v>3881608</v>
      </c>
      <c r="C322" s="103">
        <v>1</v>
      </c>
      <c r="D322" s="103">
        <v>4</v>
      </c>
      <c r="E322" s="103" t="s">
        <v>252</v>
      </c>
      <c r="F322" s="104">
        <v>42684</v>
      </c>
      <c r="G322" s="105">
        <v>886.96583599999997</v>
      </c>
      <c r="H322" s="104">
        <v>42690</v>
      </c>
      <c r="N322" s="2"/>
      <c r="P322" s="2"/>
    </row>
    <row r="323" spans="1:16">
      <c r="A323" s="97">
        <v>12</v>
      </c>
      <c r="B323" s="103">
        <v>3881608</v>
      </c>
      <c r="C323" s="103">
        <v>1</v>
      </c>
      <c r="D323" s="103">
        <v>4</v>
      </c>
      <c r="E323" s="103" t="s">
        <v>252</v>
      </c>
      <c r="F323" s="104">
        <v>42712</v>
      </c>
      <c r="G323" s="105">
        <v>875.58680800000002</v>
      </c>
      <c r="H323" s="104">
        <v>42718</v>
      </c>
      <c r="N323" s="2"/>
      <c r="P323" s="2"/>
    </row>
    <row r="324" spans="1:16">
      <c r="A324" s="97">
        <v>13</v>
      </c>
      <c r="B324" s="103">
        <v>3881608</v>
      </c>
      <c r="C324" s="103">
        <v>1</v>
      </c>
      <c r="D324" s="103">
        <v>4</v>
      </c>
      <c r="E324" s="103" t="s">
        <v>252</v>
      </c>
      <c r="F324" s="104">
        <v>42744</v>
      </c>
      <c r="G324" s="105">
        <v>928.64263600000004</v>
      </c>
      <c r="H324" s="104">
        <v>42748</v>
      </c>
      <c r="N324" s="2"/>
      <c r="P324" s="2"/>
    </row>
    <row r="325" spans="1:16">
      <c r="A325" s="97">
        <v>14</v>
      </c>
      <c r="B325" s="103">
        <v>3881608</v>
      </c>
      <c r="C325" s="103">
        <v>1</v>
      </c>
      <c r="D325" s="103">
        <v>4</v>
      </c>
      <c r="E325" s="103" t="s">
        <v>252</v>
      </c>
      <c r="F325" s="104">
        <v>42774</v>
      </c>
      <c r="G325" s="105">
        <v>915.50221899999997</v>
      </c>
      <c r="H325" s="104">
        <v>42780</v>
      </c>
      <c r="N325" s="2"/>
      <c r="P325" s="2"/>
    </row>
    <row r="326" spans="1:16">
      <c r="A326" s="97">
        <v>15</v>
      </c>
      <c r="B326" s="103">
        <v>3881608</v>
      </c>
      <c r="C326" s="103">
        <v>1</v>
      </c>
      <c r="D326" s="103">
        <v>4</v>
      </c>
      <c r="E326" s="103" t="s">
        <v>252</v>
      </c>
      <c r="F326" s="104">
        <v>42802</v>
      </c>
      <c r="G326" s="105">
        <v>939.25417800000002</v>
      </c>
      <c r="H326" s="104">
        <v>42808</v>
      </c>
      <c r="N326" s="2"/>
      <c r="P326" s="2"/>
    </row>
    <row r="327" spans="1:16">
      <c r="A327" s="97">
        <v>16</v>
      </c>
      <c r="B327" s="103">
        <v>3881608</v>
      </c>
      <c r="C327" s="103">
        <v>1</v>
      </c>
      <c r="D327" s="103">
        <v>4</v>
      </c>
      <c r="E327" s="103" t="s">
        <v>252</v>
      </c>
      <c r="F327" s="104">
        <v>42836</v>
      </c>
      <c r="G327" s="105">
        <v>883.27367600000002</v>
      </c>
      <c r="H327" s="104">
        <v>42842</v>
      </c>
      <c r="N327" s="2"/>
      <c r="P327" s="2"/>
    </row>
    <row r="328" spans="1:16">
      <c r="A328" s="97">
        <v>17</v>
      </c>
      <c r="B328" s="103">
        <v>3881608</v>
      </c>
      <c r="C328" s="103">
        <v>1</v>
      </c>
      <c r="D328" s="103">
        <v>4</v>
      </c>
      <c r="E328" s="103" t="s">
        <v>252</v>
      </c>
      <c r="F328" s="104">
        <v>42864</v>
      </c>
      <c r="G328" s="105">
        <v>914.79587200000003</v>
      </c>
      <c r="H328" s="104">
        <v>42870</v>
      </c>
      <c r="N328" s="2"/>
      <c r="P328" s="2"/>
    </row>
    <row r="329" spans="1:16">
      <c r="A329" s="97">
        <v>18</v>
      </c>
      <c r="B329" s="103">
        <v>3881608</v>
      </c>
      <c r="C329" s="103">
        <v>1</v>
      </c>
      <c r="D329" s="103">
        <v>4</v>
      </c>
      <c r="E329" s="103" t="s">
        <v>252</v>
      </c>
      <c r="F329" s="104">
        <v>42894</v>
      </c>
      <c r="G329" s="105">
        <v>868.92923599999995</v>
      </c>
      <c r="H329" s="104">
        <v>42900</v>
      </c>
      <c r="N329" s="2"/>
      <c r="P329" s="2"/>
    </row>
    <row r="330" spans="1:16">
      <c r="A330" s="97">
        <v>19</v>
      </c>
      <c r="B330" s="103">
        <v>3881608</v>
      </c>
      <c r="C330" s="103">
        <v>1</v>
      </c>
      <c r="D330" s="103">
        <v>4</v>
      </c>
      <c r="E330" s="103" t="s">
        <v>252</v>
      </c>
      <c r="F330" s="104">
        <v>42926</v>
      </c>
      <c r="G330" s="105">
        <v>865.12694899999997</v>
      </c>
      <c r="H330" s="104">
        <v>42930</v>
      </c>
      <c r="N330" s="2"/>
      <c r="P330" s="2"/>
    </row>
    <row r="331" spans="1:16">
      <c r="A331" s="97">
        <v>20</v>
      </c>
      <c r="B331" s="103">
        <v>3881608</v>
      </c>
      <c r="C331" s="103">
        <v>1</v>
      </c>
      <c r="D331" s="103">
        <v>4</v>
      </c>
      <c r="E331" s="103" t="s">
        <v>252</v>
      </c>
      <c r="F331" s="104">
        <v>42955</v>
      </c>
      <c r="G331" s="105">
        <v>853.83555799999999</v>
      </c>
      <c r="H331" s="104">
        <v>42961</v>
      </c>
      <c r="N331" s="2"/>
      <c r="P331" s="2"/>
    </row>
    <row r="332" spans="1:16">
      <c r="A332" s="97">
        <v>21</v>
      </c>
      <c r="B332" s="103">
        <v>3881608</v>
      </c>
      <c r="C332" s="103">
        <v>1</v>
      </c>
      <c r="D332" s="103">
        <v>4</v>
      </c>
      <c r="E332" s="103" t="s">
        <v>252</v>
      </c>
      <c r="F332" s="104">
        <v>42989</v>
      </c>
      <c r="G332" s="105">
        <v>825.49108799999999</v>
      </c>
      <c r="H332" s="104">
        <v>42993</v>
      </c>
      <c r="N332" s="2"/>
      <c r="P332" s="2"/>
    </row>
    <row r="333" spans="1:16">
      <c r="A333" s="97">
        <v>22</v>
      </c>
      <c r="B333" s="103">
        <v>3881608</v>
      </c>
      <c r="C333" s="103">
        <v>1</v>
      </c>
      <c r="D333" s="103">
        <v>4</v>
      </c>
      <c r="E333" s="103" t="s">
        <v>252</v>
      </c>
      <c r="F333" s="104">
        <v>43018</v>
      </c>
      <c r="G333" s="105">
        <v>838.95021799999995</v>
      </c>
      <c r="H333" s="104">
        <v>43024</v>
      </c>
      <c r="N333" s="2"/>
      <c r="P333" s="2"/>
    </row>
    <row r="334" spans="1:16">
      <c r="A334" s="97">
        <v>23</v>
      </c>
      <c r="B334" s="103">
        <v>3881608</v>
      </c>
      <c r="C334" s="103">
        <v>1</v>
      </c>
      <c r="D334" s="103">
        <v>4</v>
      </c>
      <c r="E334" s="103" t="s">
        <v>252</v>
      </c>
      <c r="F334" s="104">
        <v>43049</v>
      </c>
      <c r="G334" s="105">
        <v>820.24462100000005</v>
      </c>
      <c r="H334" s="104">
        <v>43055</v>
      </c>
      <c r="N334" s="2"/>
      <c r="P334" s="2"/>
    </row>
    <row r="335" spans="1:16">
      <c r="A335" s="97">
        <v>24</v>
      </c>
      <c r="B335" s="103">
        <v>3881608</v>
      </c>
      <c r="C335" s="103">
        <v>1</v>
      </c>
      <c r="D335" s="103">
        <v>4</v>
      </c>
      <c r="E335" s="103" t="s">
        <v>252</v>
      </c>
      <c r="F335" s="104">
        <v>43077</v>
      </c>
      <c r="G335" s="105">
        <v>818.07839999999999</v>
      </c>
      <c r="H335" s="104">
        <v>43083</v>
      </c>
      <c r="N335" s="2"/>
      <c r="P335" s="2"/>
    </row>
    <row r="336" spans="1:16">
      <c r="A336" s="97">
        <v>25</v>
      </c>
      <c r="B336" s="103">
        <v>3881608</v>
      </c>
      <c r="C336" s="103">
        <v>1</v>
      </c>
      <c r="D336" s="103">
        <v>4</v>
      </c>
      <c r="E336" s="103" t="s">
        <v>252</v>
      </c>
      <c r="F336" s="104">
        <v>43109</v>
      </c>
      <c r="G336" s="105">
        <v>900.91698399999996</v>
      </c>
      <c r="H336" s="104">
        <v>43115</v>
      </c>
      <c r="N336" s="2"/>
      <c r="P336" s="2"/>
    </row>
    <row r="337" spans="1:16">
      <c r="A337" s="97">
        <v>26</v>
      </c>
      <c r="B337" s="103">
        <v>3881608</v>
      </c>
      <c r="C337" s="103">
        <v>1</v>
      </c>
      <c r="D337" s="103">
        <v>4</v>
      </c>
      <c r="E337" s="103" t="s">
        <v>252</v>
      </c>
      <c r="F337" s="104">
        <v>43143</v>
      </c>
      <c r="G337" s="105">
        <v>873.678087</v>
      </c>
      <c r="H337" s="104">
        <v>43147</v>
      </c>
      <c r="N337" s="2"/>
      <c r="P337" s="2"/>
    </row>
    <row r="338" spans="1:16">
      <c r="A338" s="97">
        <v>27</v>
      </c>
      <c r="B338" s="103">
        <v>3881608</v>
      </c>
      <c r="C338" s="103">
        <v>1</v>
      </c>
      <c r="D338" s="103">
        <v>4</v>
      </c>
      <c r="E338" s="103" t="s">
        <v>252</v>
      </c>
      <c r="F338" s="104">
        <v>43167</v>
      </c>
      <c r="G338" s="105">
        <v>894.42607299999997</v>
      </c>
      <c r="H338" s="104">
        <v>43173</v>
      </c>
      <c r="N338" s="2"/>
      <c r="P338" s="2"/>
    </row>
    <row r="339" spans="1:16">
      <c r="A339" s="97">
        <v>28</v>
      </c>
      <c r="B339" s="103">
        <v>3881608</v>
      </c>
      <c r="C339" s="103">
        <v>1</v>
      </c>
      <c r="D339" s="103">
        <v>4</v>
      </c>
      <c r="E339" s="103" t="s">
        <v>252</v>
      </c>
      <c r="F339" s="104">
        <v>43199</v>
      </c>
      <c r="G339" s="105">
        <v>860.82901600000002</v>
      </c>
      <c r="H339" s="104">
        <v>43203</v>
      </c>
      <c r="N339" s="2"/>
      <c r="P339" s="2"/>
    </row>
    <row r="340" spans="1:16">
      <c r="A340" s="97">
        <v>29</v>
      </c>
      <c r="B340" s="103">
        <v>3881608</v>
      </c>
      <c r="C340" s="103">
        <v>1</v>
      </c>
      <c r="D340" s="103">
        <v>4</v>
      </c>
      <c r="E340" s="103" t="s">
        <v>252</v>
      </c>
      <c r="F340" s="104">
        <v>43229</v>
      </c>
      <c r="G340" s="105">
        <v>849.75997199999995</v>
      </c>
      <c r="H340" s="104">
        <v>43235</v>
      </c>
      <c r="N340" s="2"/>
      <c r="P340" s="2"/>
    </row>
    <row r="341" spans="1:16">
      <c r="A341" s="97">
        <v>30</v>
      </c>
      <c r="B341" s="103">
        <v>3881608</v>
      </c>
      <c r="C341" s="103">
        <v>1</v>
      </c>
      <c r="D341" s="103">
        <v>4</v>
      </c>
      <c r="E341" s="103" t="s">
        <v>252</v>
      </c>
      <c r="F341" s="104">
        <v>43259</v>
      </c>
      <c r="G341" s="105">
        <v>838.84580700000004</v>
      </c>
      <c r="H341" s="104">
        <v>43265</v>
      </c>
      <c r="N341" s="2"/>
      <c r="P341" s="2"/>
    </row>
    <row r="342" spans="1:16">
      <c r="A342" s="97">
        <v>31</v>
      </c>
      <c r="B342" s="103">
        <v>3881608</v>
      </c>
      <c r="C342" s="103">
        <v>1</v>
      </c>
      <c r="D342" s="103">
        <v>4</v>
      </c>
      <c r="E342" s="103" t="s">
        <v>252</v>
      </c>
      <c r="F342" s="104">
        <v>43290</v>
      </c>
      <c r="G342" s="105">
        <v>828.084203</v>
      </c>
      <c r="H342" s="104">
        <v>43294</v>
      </c>
      <c r="N342" s="2"/>
      <c r="P342" s="2"/>
    </row>
    <row r="343" spans="1:16">
      <c r="A343" s="97">
        <v>32</v>
      </c>
      <c r="B343" s="103">
        <v>3881608</v>
      </c>
      <c r="C343" s="103">
        <v>1</v>
      </c>
      <c r="D343" s="103">
        <v>4</v>
      </c>
      <c r="E343" s="103" t="s">
        <v>252</v>
      </c>
      <c r="F343" s="104">
        <v>43320</v>
      </c>
      <c r="G343" s="105">
        <v>810.10304799999994</v>
      </c>
      <c r="H343" s="104">
        <v>43326</v>
      </c>
      <c r="N343" s="2"/>
      <c r="P343" s="2"/>
    </row>
    <row r="344" spans="1:16">
      <c r="A344" s="97">
        <v>33</v>
      </c>
      <c r="B344" s="103">
        <v>3881608</v>
      </c>
      <c r="C344" s="103">
        <v>1</v>
      </c>
      <c r="D344" s="103">
        <v>4</v>
      </c>
      <c r="E344" s="103" t="s">
        <v>252</v>
      </c>
      <c r="F344" s="104">
        <v>43354</v>
      </c>
      <c r="G344" s="105">
        <v>791.73256800000001</v>
      </c>
      <c r="H344" s="104">
        <v>43360</v>
      </c>
      <c r="N344" s="2"/>
      <c r="P344" s="2"/>
    </row>
    <row r="345" spans="1:16">
      <c r="A345" s="97">
        <v>34</v>
      </c>
      <c r="B345" s="103">
        <v>3881608</v>
      </c>
      <c r="C345" s="103">
        <v>1</v>
      </c>
      <c r="D345" s="103">
        <v>4</v>
      </c>
      <c r="E345" s="103" t="s">
        <v>252</v>
      </c>
      <c r="F345" s="104">
        <v>43382</v>
      </c>
      <c r="G345" s="105">
        <v>810.72457999999995</v>
      </c>
      <c r="H345" s="104">
        <v>43388</v>
      </c>
      <c r="N345" s="2"/>
      <c r="P345" s="2"/>
    </row>
    <row r="346" spans="1:16">
      <c r="A346" s="97">
        <v>35</v>
      </c>
      <c r="B346" s="103">
        <v>3881608</v>
      </c>
      <c r="C346" s="103">
        <v>1</v>
      </c>
      <c r="D346" s="103">
        <v>4</v>
      </c>
      <c r="E346" s="103" t="s">
        <v>252</v>
      </c>
      <c r="F346" s="104">
        <v>43416</v>
      </c>
      <c r="G346" s="105">
        <v>779.70107199999995</v>
      </c>
      <c r="H346" s="104">
        <v>43420</v>
      </c>
      <c r="N346" s="2"/>
      <c r="P346" s="2"/>
    </row>
    <row r="347" spans="1:16">
      <c r="A347" s="97">
        <v>36</v>
      </c>
      <c r="B347" s="103">
        <v>3881608</v>
      </c>
      <c r="C347" s="103">
        <v>1</v>
      </c>
      <c r="D347" s="103">
        <v>4</v>
      </c>
      <c r="E347" s="103" t="s">
        <v>252</v>
      </c>
      <c r="F347" s="104">
        <v>43444</v>
      </c>
      <c r="G347" s="105">
        <v>784.25619200000006</v>
      </c>
      <c r="H347" s="104">
        <v>43448</v>
      </c>
      <c r="N347" s="2"/>
      <c r="P347" s="2"/>
    </row>
    <row r="348" spans="1:16">
      <c r="A348" s="97">
        <v>37</v>
      </c>
      <c r="B348" s="103">
        <v>3881608</v>
      </c>
      <c r="C348" s="103">
        <v>1</v>
      </c>
      <c r="D348" s="103">
        <v>4</v>
      </c>
      <c r="E348" s="103" t="s">
        <v>252</v>
      </c>
      <c r="F348" s="104">
        <v>43474</v>
      </c>
      <c r="G348" s="105">
        <v>843.08066299999996</v>
      </c>
      <c r="H348" s="104">
        <v>43480</v>
      </c>
      <c r="N348" s="2"/>
      <c r="P348" s="2"/>
    </row>
    <row r="349" spans="1:16">
      <c r="A349" s="97">
        <v>38</v>
      </c>
      <c r="B349" s="103">
        <v>3881608</v>
      </c>
      <c r="C349" s="103">
        <v>1</v>
      </c>
      <c r="D349" s="103">
        <v>4</v>
      </c>
      <c r="E349" s="103" t="s">
        <v>252</v>
      </c>
      <c r="F349" s="104">
        <v>43504</v>
      </c>
      <c r="G349" s="105">
        <v>819.45331399999998</v>
      </c>
      <c r="H349" s="104">
        <v>43510</v>
      </c>
      <c r="N349" s="2"/>
      <c r="P349" s="2"/>
    </row>
    <row r="350" spans="1:16">
      <c r="A350" s="97">
        <v>39</v>
      </c>
      <c r="B350" s="103">
        <v>3881608</v>
      </c>
      <c r="C350" s="103">
        <v>1</v>
      </c>
      <c r="D350" s="103">
        <v>4</v>
      </c>
      <c r="E350" s="103" t="s">
        <v>252</v>
      </c>
      <c r="F350" s="104">
        <v>43536</v>
      </c>
      <c r="G350" s="105">
        <v>823.817363</v>
      </c>
      <c r="H350" s="104">
        <v>43542</v>
      </c>
      <c r="N350" s="2"/>
      <c r="P350" s="2"/>
    </row>
    <row r="351" spans="1:16">
      <c r="A351" s="97">
        <v>40</v>
      </c>
      <c r="B351" s="103">
        <v>3881608</v>
      </c>
      <c r="C351" s="103">
        <v>1</v>
      </c>
      <c r="D351" s="103">
        <v>4</v>
      </c>
      <c r="E351" s="103" t="s">
        <v>252</v>
      </c>
      <c r="F351" s="104">
        <v>43563</v>
      </c>
      <c r="G351" s="105">
        <v>821.52405499999998</v>
      </c>
      <c r="H351" s="104">
        <v>43567</v>
      </c>
      <c r="N351" s="2"/>
      <c r="P351" s="2"/>
    </row>
    <row r="352" spans="1:16">
      <c r="A352" s="97">
        <v>41</v>
      </c>
      <c r="B352" s="103">
        <v>3881608</v>
      </c>
      <c r="C352" s="103">
        <v>1</v>
      </c>
      <c r="D352" s="103">
        <v>4</v>
      </c>
      <c r="E352" s="103" t="s">
        <v>252</v>
      </c>
      <c r="F352" s="104">
        <v>43594</v>
      </c>
      <c r="G352" s="105">
        <v>798.46682599999997</v>
      </c>
      <c r="H352" s="104">
        <v>43600</v>
      </c>
      <c r="N352" s="2"/>
      <c r="P352" s="2"/>
    </row>
    <row r="353" spans="1:16">
      <c r="A353" s="97">
        <v>42</v>
      </c>
      <c r="B353" s="103">
        <v>3881608</v>
      </c>
      <c r="C353" s="103">
        <v>1</v>
      </c>
      <c r="D353" s="103">
        <v>4</v>
      </c>
      <c r="E353" s="103" t="s">
        <v>252</v>
      </c>
      <c r="F353" s="104">
        <v>43626</v>
      </c>
      <c r="G353" s="105">
        <v>781.59492999999998</v>
      </c>
      <c r="H353" s="104">
        <v>43630</v>
      </c>
      <c r="N353" s="2"/>
      <c r="P353" s="2"/>
    </row>
    <row r="354" spans="1:16">
      <c r="A354" s="97">
        <v>43</v>
      </c>
      <c r="B354" s="103">
        <v>3881608</v>
      </c>
      <c r="C354" s="103">
        <v>1</v>
      </c>
      <c r="D354" s="103">
        <v>4</v>
      </c>
      <c r="E354" s="103" t="s">
        <v>252</v>
      </c>
      <c r="F354" s="104">
        <v>43654</v>
      </c>
      <c r="G354" s="105">
        <v>791.78900799999997</v>
      </c>
      <c r="H354" s="104">
        <v>43658</v>
      </c>
      <c r="N354" s="2"/>
      <c r="P354" s="2"/>
    </row>
    <row r="355" spans="1:16">
      <c r="A355" s="97">
        <v>44</v>
      </c>
      <c r="B355" s="103">
        <v>3881608</v>
      </c>
      <c r="C355" s="103">
        <v>1</v>
      </c>
      <c r="D355" s="103">
        <v>4</v>
      </c>
      <c r="E355" s="103" t="s">
        <v>252</v>
      </c>
      <c r="F355" s="104">
        <v>43685</v>
      </c>
      <c r="G355" s="105">
        <v>757.17296799999997</v>
      </c>
      <c r="H355" s="104">
        <v>43691</v>
      </c>
      <c r="N355" s="2"/>
      <c r="P355" s="2"/>
    </row>
    <row r="356" spans="1:16">
      <c r="A356" s="97">
        <v>45</v>
      </c>
      <c r="B356" s="103">
        <v>3881608</v>
      </c>
      <c r="C356" s="103">
        <v>1</v>
      </c>
      <c r="D356" s="103">
        <v>4</v>
      </c>
      <c r="E356" s="103" t="s">
        <v>252</v>
      </c>
      <c r="F356" s="104">
        <v>43717</v>
      </c>
      <c r="G356" s="105">
        <v>753.88898400000005</v>
      </c>
      <c r="H356" s="104">
        <v>43721</v>
      </c>
      <c r="N356" s="2"/>
      <c r="P356" s="2"/>
    </row>
    <row r="357" spans="1:16">
      <c r="A357" s="97">
        <v>46</v>
      </c>
      <c r="B357" s="103">
        <v>3881608</v>
      </c>
      <c r="C357" s="103">
        <v>1</v>
      </c>
      <c r="D357" s="103">
        <v>4</v>
      </c>
      <c r="E357" s="103" t="s">
        <v>252</v>
      </c>
      <c r="F357" s="104">
        <v>43746</v>
      </c>
      <c r="G357" s="105">
        <v>750.92908599999998</v>
      </c>
      <c r="H357" s="104">
        <v>43752</v>
      </c>
      <c r="N357" s="2"/>
      <c r="P357" s="2"/>
    </row>
    <row r="358" spans="1:16">
      <c r="A358" s="97">
        <v>47</v>
      </c>
      <c r="B358" s="103">
        <v>3881608</v>
      </c>
      <c r="C358" s="103">
        <v>1</v>
      </c>
      <c r="D358" s="103">
        <v>4</v>
      </c>
      <c r="E358" s="103" t="s">
        <v>252</v>
      </c>
      <c r="F358" s="104">
        <v>43777</v>
      </c>
      <c r="G358" s="105">
        <v>729.02756899999997</v>
      </c>
      <c r="H358" s="104">
        <v>43783</v>
      </c>
      <c r="N358" s="2"/>
      <c r="P358" s="2"/>
    </row>
    <row r="359" spans="1:16">
      <c r="A359" s="97">
        <v>48</v>
      </c>
      <c r="B359" s="103">
        <v>3881608</v>
      </c>
      <c r="C359" s="103">
        <v>1</v>
      </c>
      <c r="D359" s="103">
        <v>4</v>
      </c>
      <c r="E359" s="103" t="s">
        <v>252</v>
      </c>
      <c r="F359" s="104">
        <v>43808</v>
      </c>
      <c r="G359" s="105">
        <v>738.10051499999997</v>
      </c>
      <c r="H359" s="104">
        <v>43812</v>
      </c>
      <c r="N359" s="2"/>
      <c r="P359" s="2"/>
    </row>
    <row r="360" spans="1:16">
      <c r="A360" s="97">
        <v>49</v>
      </c>
      <c r="B360" s="103">
        <v>3881608</v>
      </c>
      <c r="C360" s="103">
        <v>1</v>
      </c>
      <c r="D360" s="103">
        <v>4</v>
      </c>
      <c r="E360" s="103" t="s">
        <v>252</v>
      </c>
      <c r="F360" s="104">
        <v>43839</v>
      </c>
      <c r="G360" s="105">
        <v>782.11828700000001</v>
      </c>
      <c r="H360" s="104">
        <v>43845</v>
      </c>
      <c r="N360" s="2"/>
      <c r="P360" s="2"/>
    </row>
    <row r="361" spans="1:16">
      <c r="A361" s="97">
        <v>50</v>
      </c>
      <c r="B361" s="103">
        <v>3881608</v>
      </c>
      <c r="C361" s="103">
        <v>1</v>
      </c>
      <c r="D361" s="103">
        <v>4</v>
      </c>
      <c r="E361" s="103" t="s">
        <v>252</v>
      </c>
      <c r="F361" s="104">
        <v>43871</v>
      </c>
      <c r="G361" s="105">
        <v>766.96403299999997</v>
      </c>
      <c r="H361" s="104">
        <v>43875</v>
      </c>
      <c r="N361" s="2"/>
      <c r="P361" s="2"/>
    </row>
    <row r="362" spans="1:16">
      <c r="A362" s="97">
        <v>51</v>
      </c>
      <c r="B362" s="103">
        <v>3881608</v>
      </c>
      <c r="C362" s="103">
        <v>1</v>
      </c>
      <c r="D362" s="103">
        <v>4</v>
      </c>
      <c r="E362" s="103" t="s">
        <v>252</v>
      </c>
      <c r="F362" s="104">
        <v>43899</v>
      </c>
      <c r="G362" s="105">
        <v>782.34389299999998</v>
      </c>
      <c r="H362" s="104">
        <v>43903</v>
      </c>
      <c r="N362" s="2"/>
      <c r="P362" s="2"/>
    </row>
    <row r="363" spans="1:16">
      <c r="A363" s="97">
        <v>52</v>
      </c>
      <c r="B363" s="103">
        <v>3881608</v>
      </c>
      <c r="C363" s="103">
        <v>1</v>
      </c>
      <c r="D363" s="103">
        <v>4</v>
      </c>
      <c r="E363" s="103" t="s">
        <v>252</v>
      </c>
      <c r="F363" s="104">
        <v>43930</v>
      </c>
      <c r="G363" s="105">
        <v>750.74720300000001</v>
      </c>
      <c r="H363" s="104">
        <v>43936</v>
      </c>
      <c r="N363" s="2"/>
      <c r="P363" s="2"/>
    </row>
    <row r="364" spans="1:16">
      <c r="A364" s="97">
        <v>53</v>
      </c>
      <c r="B364" s="103">
        <v>3881608</v>
      </c>
      <c r="C364" s="103">
        <v>1</v>
      </c>
      <c r="D364" s="103">
        <v>4</v>
      </c>
      <c r="E364" s="103" t="s">
        <v>252</v>
      </c>
      <c r="F364" s="104">
        <v>43962</v>
      </c>
      <c r="G364" s="105">
        <v>753.77609500000005</v>
      </c>
      <c r="H364" s="104">
        <v>43966</v>
      </c>
      <c r="N364" s="2"/>
      <c r="P364" s="2"/>
    </row>
    <row r="365" spans="1:16">
      <c r="A365" s="97">
        <v>54</v>
      </c>
      <c r="B365" s="103">
        <v>3881608</v>
      </c>
      <c r="C365" s="103">
        <v>1</v>
      </c>
      <c r="D365" s="103">
        <v>4</v>
      </c>
      <c r="E365" s="103" t="s">
        <v>252</v>
      </c>
      <c r="F365" s="104">
        <v>43991</v>
      </c>
      <c r="G365" s="105">
        <v>745.73731599999996</v>
      </c>
      <c r="H365" s="104">
        <v>43997</v>
      </c>
      <c r="N365" s="2"/>
      <c r="P365" s="2"/>
    </row>
    <row r="366" spans="1:16">
      <c r="A366" s="97">
        <v>55</v>
      </c>
      <c r="B366" s="103">
        <v>3881608</v>
      </c>
      <c r="C366" s="103">
        <v>1</v>
      </c>
      <c r="D366" s="103">
        <v>4</v>
      </c>
      <c r="E366" s="103" t="s">
        <v>252</v>
      </c>
      <c r="F366" s="104">
        <v>44020</v>
      </c>
      <c r="G366" s="105">
        <v>732.04894300000001</v>
      </c>
      <c r="H366" s="104">
        <v>44026</v>
      </c>
      <c r="N366" s="2"/>
      <c r="P366" s="2"/>
    </row>
    <row r="367" spans="1:16">
      <c r="A367" s="97">
        <v>56</v>
      </c>
      <c r="B367" s="103">
        <v>3881608</v>
      </c>
      <c r="C367" s="103">
        <v>1</v>
      </c>
      <c r="D367" s="103">
        <v>4</v>
      </c>
      <c r="E367" s="103" t="s">
        <v>252</v>
      </c>
      <c r="F367" s="104">
        <v>44053</v>
      </c>
      <c r="G367" s="105">
        <v>712.37685999999997</v>
      </c>
      <c r="H367" s="104">
        <v>44057</v>
      </c>
      <c r="N367" s="2"/>
      <c r="P367" s="2"/>
    </row>
    <row r="368" spans="1:16">
      <c r="A368" s="97">
        <v>57</v>
      </c>
      <c r="B368" s="103">
        <v>3881608</v>
      </c>
      <c r="C368" s="103">
        <v>1</v>
      </c>
      <c r="D368" s="103">
        <v>4</v>
      </c>
      <c r="E368" s="103" t="s">
        <v>252</v>
      </c>
      <c r="F368" s="104">
        <v>44083</v>
      </c>
      <c r="G368" s="105">
        <v>714.68453099999999</v>
      </c>
      <c r="H368" s="104">
        <v>44089</v>
      </c>
      <c r="N368" s="2"/>
      <c r="P368" s="2"/>
    </row>
    <row r="369" spans="1:16">
      <c r="A369" s="97">
        <v>58</v>
      </c>
      <c r="B369" s="103">
        <v>3881608</v>
      </c>
      <c r="C369" s="103">
        <v>1</v>
      </c>
      <c r="D369" s="103">
        <v>4</v>
      </c>
      <c r="E369" s="103" t="s">
        <v>252</v>
      </c>
      <c r="F369" s="104">
        <v>44113</v>
      </c>
      <c r="G369" s="105">
        <v>706.63436100000001</v>
      </c>
      <c r="H369" s="104">
        <v>44119</v>
      </c>
      <c r="N369" s="2"/>
      <c r="P369" s="2"/>
    </row>
    <row r="370" spans="1:16">
      <c r="A370" s="97">
        <v>59</v>
      </c>
      <c r="B370" s="103">
        <v>3881608</v>
      </c>
      <c r="C370" s="103">
        <v>1</v>
      </c>
      <c r="D370" s="103">
        <v>4</v>
      </c>
      <c r="E370" s="103" t="s">
        <v>252</v>
      </c>
      <c r="F370" s="104">
        <v>44145</v>
      </c>
      <c r="G370" s="105">
        <v>697.82653200000004</v>
      </c>
      <c r="H370" s="104">
        <v>44151</v>
      </c>
      <c r="N370" s="2"/>
      <c r="P370" s="2"/>
    </row>
    <row r="371" spans="1:16">
      <c r="A371" s="97">
        <v>60</v>
      </c>
      <c r="B371" s="103">
        <v>3881608</v>
      </c>
      <c r="C371" s="103">
        <v>1</v>
      </c>
      <c r="D371" s="103">
        <v>4</v>
      </c>
      <c r="E371" s="103" t="s">
        <v>252</v>
      </c>
      <c r="F371" s="104">
        <v>44173</v>
      </c>
      <c r="G371" s="105">
        <v>697.841453</v>
      </c>
      <c r="H371" s="104">
        <v>44179</v>
      </c>
      <c r="N371" s="2"/>
      <c r="P371" s="2"/>
    </row>
    <row r="372" spans="1:16">
      <c r="A372" s="97">
        <v>61</v>
      </c>
      <c r="B372" s="103">
        <v>3881608</v>
      </c>
      <c r="C372" s="103">
        <v>1</v>
      </c>
      <c r="D372" s="103">
        <v>4</v>
      </c>
      <c r="E372" s="103" t="s">
        <v>252</v>
      </c>
      <c r="F372" s="104">
        <v>44207</v>
      </c>
      <c r="G372" s="105">
        <v>729.61102100000005</v>
      </c>
      <c r="H372" s="104">
        <v>44211</v>
      </c>
      <c r="N372" s="2"/>
      <c r="P372" s="2"/>
    </row>
    <row r="373" spans="1:16">
      <c r="A373" s="97">
        <v>62</v>
      </c>
      <c r="B373" s="103">
        <v>3881608</v>
      </c>
      <c r="C373" s="103">
        <v>1</v>
      </c>
      <c r="D373" s="103">
        <v>4</v>
      </c>
      <c r="E373" s="103" t="s">
        <v>252</v>
      </c>
      <c r="F373" s="104">
        <v>44235</v>
      </c>
      <c r="G373" s="105">
        <v>731.49060999999995</v>
      </c>
      <c r="H373" s="104">
        <v>44239</v>
      </c>
      <c r="N373" s="2"/>
      <c r="P373" s="2"/>
    </row>
    <row r="374" spans="1:16">
      <c r="A374" s="97">
        <v>63</v>
      </c>
      <c r="B374" s="103">
        <v>3881608</v>
      </c>
      <c r="C374" s="103">
        <v>1</v>
      </c>
      <c r="D374" s="103">
        <v>4</v>
      </c>
      <c r="E374" s="103" t="s">
        <v>252</v>
      </c>
      <c r="F374" s="104">
        <v>44263</v>
      </c>
      <c r="G374" s="105">
        <v>733.84533399999998</v>
      </c>
      <c r="H374" s="104">
        <v>44267</v>
      </c>
      <c r="N374" s="2"/>
      <c r="P374" s="2"/>
    </row>
    <row r="375" spans="1:16">
      <c r="A375" s="97">
        <v>64</v>
      </c>
      <c r="B375" s="103">
        <v>3881608</v>
      </c>
      <c r="C375" s="103">
        <v>1</v>
      </c>
      <c r="D375" s="103">
        <v>4</v>
      </c>
      <c r="E375" s="103" t="s">
        <v>252</v>
      </c>
      <c r="F375" s="104">
        <v>44295</v>
      </c>
      <c r="G375" s="105">
        <v>701.13712499999997</v>
      </c>
      <c r="H375" s="104">
        <v>44301</v>
      </c>
      <c r="N375" s="2"/>
      <c r="P375" s="2"/>
    </row>
    <row r="376" spans="1:16">
      <c r="A376" s="97">
        <v>65</v>
      </c>
      <c r="B376" s="103">
        <v>3881608</v>
      </c>
      <c r="C376" s="103">
        <v>1</v>
      </c>
      <c r="D376" s="103">
        <v>4</v>
      </c>
      <c r="E376" s="103" t="s">
        <v>252</v>
      </c>
      <c r="F376" s="104">
        <v>44326</v>
      </c>
      <c r="G376" s="105">
        <v>707.11854700000004</v>
      </c>
      <c r="H376" s="104">
        <v>44330</v>
      </c>
      <c r="N376" s="2"/>
      <c r="P376" s="2"/>
    </row>
    <row r="377" spans="1:16">
      <c r="A377" s="97">
        <v>66</v>
      </c>
      <c r="B377" s="103">
        <v>3881608</v>
      </c>
      <c r="C377" s="103">
        <v>1</v>
      </c>
      <c r="D377" s="103">
        <v>4</v>
      </c>
      <c r="E377" s="103" t="s">
        <v>252</v>
      </c>
      <c r="F377" s="104">
        <v>44356</v>
      </c>
      <c r="G377" s="105">
        <v>694.46639200000004</v>
      </c>
      <c r="H377" s="104">
        <v>44362</v>
      </c>
      <c r="N377" s="2"/>
      <c r="P377" s="2"/>
    </row>
    <row r="378" spans="1:16">
      <c r="A378" s="97">
        <v>67</v>
      </c>
      <c r="B378" s="103">
        <v>3881608</v>
      </c>
      <c r="C378" s="103">
        <v>1</v>
      </c>
      <c r="D378" s="103">
        <v>4</v>
      </c>
      <c r="E378" s="103" t="s">
        <v>252</v>
      </c>
      <c r="F378" s="104">
        <v>44385</v>
      </c>
      <c r="G378" s="105">
        <v>686.40925600000003</v>
      </c>
      <c r="H378" s="104">
        <v>44391</v>
      </c>
      <c r="N378" s="2"/>
      <c r="P378" s="2"/>
    </row>
    <row r="379" spans="1:16">
      <c r="A379" s="97">
        <v>68</v>
      </c>
      <c r="B379" s="103">
        <v>3881608</v>
      </c>
      <c r="C379" s="103">
        <v>1</v>
      </c>
      <c r="D379" s="103">
        <v>4</v>
      </c>
      <c r="E379" s="103" t="s">
        <v>252</v>
      </c>
      <c r="F379" s="104">
        <v>44417</v>
      </c>
      <c r="G379" s="105">
        <v>673.76345200000003</v>
      </c>
      <c r="H379" s="104">
        <v>44421</v>
      </c>
      <c r="N379" s="2"/>
      <c r="P379" s="2"/>
    </row>
    <row r="380" spans="1:16">
      <c r="A380" s="97">
        <v>69</v>
      </c>
      <c r="B380" s="103">
        <v>3881608</v>
      </c>
      <c r="C380" s="103">
        <v>1</v>
      </c>
      <c r="D380" s="103">
        <v>4</v>
      </c>
      <c r="E380" s="103" t="s">
        <v>252</v>
      </c>
      <c r="F380" s="104">
        <v>44448</v>
      </c>
      <c r="G380" s="105">
        <v>665.41493400000002</v>
      </c>
      <c r="H380" s="104">
        <v>44454</v>
      </c>
      <c r="N380" s="2"/>
      <c r="P380" s="2"/>
    </row>
    <row r="381" spans="1:16">
      <c r="A381" s="97">
        <v>70</v>
      </c>
      <c r="B381" s="103">
        <v>3881608</v>
      </c>
      <c r="C381" s="103">
        <v>1</v>
      </c>
      <c r="D381" s="103">
        <v>4</v>
      </c>
      <c r="E381" s="103" t="s">
        <v>252</v>
      </c>
      <c r="F381" s="104">
        <v>44480</v>
      </c>
      <c r="G381" s="105">
        <v>662.29617499999995</v>
      </c>
      <c r="H381" s="104">
        <v>44484</v>
      </c>
      <c r="N381" s="2"/>
      <c r="P381" s="2"/>
    </row>
    <row r="382" spans="1:16">
      <c r="A382" s="97">
        <v>71</v>
      </c>
      <c r="B382" s="103">
        <v>3881608</v>
      </c>
      <c r="C382" s="103">
        <v>1</v>
      </c>
      <c r="D382" s="103">
        <v>4</v>
      </c>
      <c r="E382" s="103" t="s">
        <v>252</v>
      </c>
      <c r="F382" s="104">
        <v>44510</v>
      </c>
      <c r="G382" s="105">
        <v>659.14534900000001</v>
      </c>
      <c r="H382" s="104">
        <v>44516</v>
      </c>
      <c r="N382" s="2"/>
      <c r="P382" s="2"/>
    </row>
    <row r="383" spans="1:16">
      <c r="A383" s="97">
        <v>72</v>
      </c>
      <c r="B383" s="103">
        <v>3881608</v>
      </c>
      <c r="C383" s="103">
        <v>1</v>
      </c>
      <c r="D383" s="103">
        <v>4</v>
      </c>
      <c r="E383" s="103" t="s">
        <v>252</v>
      </c>
      <c r="F383" s="104">
        <v>44538</v>
      </c>
      <c r="G383" s="105">
        <v>651.97476200000006</v>
      </c>
      <c r="H383" s="104">
        <v>44544</v>
      </c>
      <c r="N383" s="2"/>
      <c r="P383" s="2"/>
    </row>
    <row r="384" spans="1:16">
      <c r="A384" s="97">
        <v>73</v>
      </c>
      <c r="B384" s="103">
        <v>3881608</v>
      </c>
      <c r="C384" s="103">
        <v>1</v>
      </c>
      <c r="D384" s="103">
        <v>4</v>
      </c>
      <c r="E384" s="103" t="s">
        <v>252</v>
      </c>
      <c r="F384" s="104">
        <v>44571</v>
      </c>
      <c r="G384" s="105">
        <v>686.51037099999996</v>
      </c>
      <c r="H384" s="104">
        <v>44575</v>
      </c>
      <c r="N384" s="2"/>
      <c r="P384" s="2"/>
    </row>
    <row r="385" spans="1:16">
      <c r="A385" s="97">
        <v>74</v>
      </c>
      <c r="B385" s="103">
        <v>3881608</v>
      </c>
      <c r="C385" s="103">
        <v>1</v>
      </c>
      <c r="D385" s="103">
        <v>4</v>
      </c>
      <c r="E385" s="103" t="s">
        <v>252</v>
      </c>
      <c r="F385" s="104">
        <v>44600</v>
      </c>
      <c r="G385" s="105">
        <v>686.58441800000003</v>
      </c>
      <c r="H385" s="104">
        <v>44606</v>
      </c>
      <c r="N385" s="2"/>
      <c r="P385" s="2"/>
    </row>
    <row r="386" spans="1:16">
      <c r="A386" s="97">
        <v>75</v>
      </c>
      <c r="B386" s="103">
        <v>3881608</v>
      </c>
      <c r="C386" s="103">
        <v>1</v>
      </c>
      <c r="D386" s="103">
        <v>4</v>
      </c>
      <c r="E386" s="103" t="s">
        <v>252</v>
      </c>
      <c r="F386" s="104">
        <v>44629</v>
      </c>
      <c r="G386" s="105">
        <v>687.81036700000004</v>
      </c>
      <c r="H386" s="104">
        <v>44635</v>
      </c>
      <c r="N386" s="2"/>
      <c r="P386" s="2"/>
    </row>
    <row r="387" spans="1:16">
      <c r="A387" s="97">
        <v>76</v>
      </c>
      <c r="B387" s="103">
        <v>3881608</v>
      </c>
      <c r="C387" s="103">
        <v>1</v>
      </c>
      <c r="D387" s="103">
        <v>4</v>
      </c>
      <c r="E387" s="103" t="s">
        <v>252</v>
      </c>
      <c r="F387" s="104">
        <v>44659</v>
      </c>
      <c r="G387" s="105">
        <v>667.75722099999996</v>
      </c>
      <c r="H387" s="104">
        <v>44665</v>
      </c>
      <c r="N387" s="2"/>
      <c r="P387" s="2"/>
    </row>
    <row r="388" spans="1:16">
      <c r="A388" s="97">
        <v>77</v>
      </c>
      <c r="B388" s="103">
        <v>3881608</v>
      </c>
      <c r="C388" s="103">
        <v>1</v>
      </c>
      <c r="D388" s="103">
        <v>4</v>
      </c>
      <c r="E388" s="103" t="s">
        <v>252</v>
      </c>
      <c r="F388" s="104">
        <v>44690</v>
      </c>
      <c r="G388" s="105">
        <v>672.388958</v>
      </c>
      <c r="H388" s="104">
        <v>44694</v>
      </c>
      <c r="N388" s="2"/>
      <c r="P388" s="2"/>
    </row>
    <row r="389" spans="1:16">
      <c r="A389" s="97">
        <v>78</v>
      </c>
      <c r="B389" s="103">
        <v>3881608</v>
      </c>
      <c r="C389" s="103">
        <v>1</v>
      </c>
      <c r="D389" s="103">
        <v>4</v>
      </c>
      <c r="E389" s="103" t="s">
        <v>252</v>
      </c>
      <c r="F389" s="104">
        <v>44720</v>
      </c>
      <c r="G389" s="105">
        <v>653.09256800000003</v>
      </c>
      <c r="H389" s="104">
        <v>44726</v>
      </c>
      <c r="N389" s="2"/>
      <c r="P389" s="2"/>
    </row>
    <row r="390" spans="1:16">
      <c r="A390" s="97">
        <v>79</v>
      </c>
      <c r="B390" s="103">
        <v>3881608</v>
      </c>
      <c r="C390" s="103">
        <v>1</v>
      </c>
      <c r="D390" s="103">
        <v>4</v>
      </c>
      <c r="E390" s="103" t="s">
        <v>252</v>
      </c>
      <c r="F390" s="104">
        <v>44750</v>
      </c>
      <c r="G390" s="105">
        <v>649.46098400000005</v>
      </c>
      <c r="H390" s="104">
        <v>44756</v>
      </c>
      <c r="N390" s="2"/>
      <c r="P390" s="2"/>
    </row>
    <row r="391" spans="1:16">
      <c r="A391" s="97">
        <v>80</v>
      </c>
      <c r="B391" s="103">
        <v>3881608</v>
      </c>
      <c r="C391" s="103">
        <v>1</v>
      </c>
      <c r="D391" s="103">
        <v>4</v>
      </c>
      <c r="E391" s="103" t="s">
        <v>252</v>
      </c>
      <c r="F391" s="104">
        <v>44781</v>
      </c>
      <c r="G391" s="105">
        <v>641.93034899999998</v>
      </c>
      <c r="H391" s="104">
        <v>44785</v>
      </c>
      <c r="N391" s="2"/>
      <c r="P391" s="2"/>
    </row>
    <row r="392" spans="1:16">
      <c r="A392" s="97">
        <v>81</v>
      </c>
      <c r="B392" s="103">
        <v>3881608</v>
      </c>
      <c r="C392" s="103">
        <v>1</v>
      </c>
      <c r="D392" s="103">
        <v>4</v>
      </c>
      <c r="E392" s="103" t="s">
        <v>252</v>
      </c>
      <c r="F392" s="104">
        <v>44813</v>
      </c>
      <c r="G392" s="105">
        <v>626.94401100000005</v>
      </c>
      <c r="H392" s="104">
        <v>44819</v>
      </c>
      <c r="N392" s="2"/>
      <c r="P392" s="2"/>
    </row>
    <row r="393" spans="1:16">
      <c r="A393" s="97">
        <v>82</v>
      </c>
      <c r="B393" s="103">
        <v>3881608</v>
      </c>
      <c r="C393" s="103">
        <v>1</v>
      </c>
      <c r="D393" s="103">
        <v>4</v>
      </c>
      <c r="E393" s="103" t="s">
        <v>252</v>
      </c>
      <c r="F393" s="104">
        <v>44845</v>
      </c>
      <c r="G393" s="105">
        <v>626.83143600000005</v>
      </c>
      <c r="H393" s="104">
        <v>44851</v>
      </c>
      <c r="N393" s="2"/>
      <c r="P393" s="2"/>
    </row>
    <row r="394" spans="1:16">
      <c r="A394" s="97">
        <v>83</v>
      </c>
      <c r="B394" s="103">
        <v>3881608</v>
      </c>
      <c r="C394" s="103">
        <v>1</v>
      </c>
      <c r="D394" s="103">
        <v>4</v>
      </c>
      <c r="E394" s="103" t="s">
        <v>252</v>
      </c>
      <c r="F394" s="104">
        <v>44875</v>
      </c>
      <c r="G394" s="105">
        <v>623.46539700000005</v>
      </c>
      <c r="H394" s="104">
        <v>44881</v>
      </c>
      <c r="N394" s="2"/>
      <c r="P394" s="2"/>
    </row>
    <row r="395" spans="1:16">
      <c r="A395" s="97">
        <v>84</v>
      </c>
      <c r="B395" s="103">
        <v>3881608</v>
      </c>
      <c r="C395" s="103">
        <v>1</v>
      </c>
      <c r="D395" s="103">
        <v>4</v>
      </c>
      <c r="E395" s="103" t="s">
        <v>252</v>
      </c>
      <c r="F395" s="104">
        <v>44903</v>
      </c>
      <c r="G395" s="105">
        <v>616.85131699999999</v>
      </c>
      <c r="H395" s="104">
        <v>44909</v>
      </c>
      <c r="N395" s="2"/>
      <c r="P395" s="2"/>
    </row>
    <row r="396" spans="1:16">
      <c r="A396" s="97">
        <v>85</v>
      </c>
      <c r="B396" s="103">
        <v>3881608</v>
      </c>
      <c r="C396" s="103">
        <v>1</v>
      </c>
      <c r="D396" s="103">
        <v>4</v>
      </c>
      <c r="E396" s="103" t="s">
        <v>252</v>
      </c>
      <c r="F396" s="104">
        <v>44935</v>
      </c>
      <c r="G396" s="105">
        <v>652.38660000000004</v>
      </c>
      <c r="H396" s="104">
        <v>44939</v>
      </c>
      <c r="N396" s="2"/>
      <c r="P396" s="2"/>
    </row>
    <row r="397" spans="1:16">
      <c r="A397" s="97">
        <v>86</v>
      </c>
      <c r="B397" s="103">
        <v>3881608</v>
      </c>
      <c r="C397" s="103">
        <v>1</v>
      </c>
      <c r="D397" s="103">
        <v>4</v>
      </c>
      <c r="E397" s="103" t="s">
        <v>252</v>
      </c>
      <c r="F397" s="104">
        <v>44965</v>
      </c>
      <c r="G397" s="105">
        <v>644.54702699999996</v>
      </c>
      <c r="H397" s="104">
        <v>44971</v>
      </c>
      <c r="N397" s="2"/>
      <c r="P397" s="2"/>
    </row>
    <row r="398" spans="1:16">
      <c r="A398" s="97">
        <v>87</v>
      </c>
      <c r="B398" s="103">
        <v>3881608</v>
      </c>
      <c r="C398" s="103">
        <v>1</v>
      </c>
      <c r="D398" s="103">
        <v>4</v>
      </c>
      <c r="E398" s="103" t="s">
        <v>252</v>
      </c>
      <c r="F398" s="104">
        <v>44993</v>
      </c>
      <c r="G398" s="105">
        <v>651.27632300000005</v>
      </c>
      <c r="H398" s="104">
        <v>44999</v>
      </c>
      <c r="N398" s="2"/>
      <c r="P398" s="2"/>
    </row>
    <row r="399" spans="1:16">
      <c r="A399" s="97">
        <v>88</v>
      </c>
      <c r="B399" s="103">
        <v>3881608</v>
      </c>
      <c r="C399" s="103">
        <v>1</v>
      </c>
      <c r="D399" s="103">
        <v>4</v>
      </c>
      <c r="E399" s="103" t="s">
        <v>252</v>
      </c>
      <c r="F399" s="104">
        <v>45027</v>
      </c>
      <c r="G399" s="105">
        <v>627.33830499999999</v>
      </c>
      <c r="H399" s="104">
        <v>45033</v>
      </c>
      <c r="N399" s="2"/>
      <c r="P399" s="2"/>
    </row>
    <row r="400" spans="1:16">
      <c r="A400" s="97">
        <v>89</v>
      </c>
      <c r="B400" s="103">
        <v>3881608</v>
      </c>
      <c r="C400" s="103">
        <v>1</v>
      </c>
      <c r="D400" s="103">
        <v>4</v>
      </c>
      <c r="E400" s="103" t="s">
        <v>252</v>
      </c>
      <c r="F400" s="104">
        <v>45055</v>
      </c>
      <c r="G400" s="105">
        <v>636.84184800000003</v>
      </c>
      <c r="H400" s="104">
        <v>45061</v>
      </c>
      <c r="N400" s="2"/>
      <c r="P400" s="2"/>
    </row>
    <row r="401" spans="1:16">
      <c r="A401" s="97">
        <v>90</v>
      </c>
      <c r="B401" s="103">
        <v>3881608</v>
      </c>
      <c r="C401" s="103">
        <v>1</v>
      </c>
      <c r="D401" s="103">
        <v>4</v>
      </c>
      <c r="E401" s="103" t="s">
        <v>252</v>
      </c>
      <c r="F401" s="104">
        <v>45086</v>
      </c>
      <c r="G401" s="105">
        <v>617.11034800000004</v>
      </c>
      <c r="H401" s="104">
        <v>45092</v>
      </c>
      <c r="N401" s="2"/>
      <c r="P401" s="2"/>
    </row>
    <row r="402" spans="1:16">
      <c r="A402" s="97">
        <v>91</v>
      </c>
      <c r="B402" s="103">
        <v>3881608</v>
      </c>
      <c r="C402" s="103">
        <v>1</v>
      </c>
      <c r="D402" s="103">
        <v>4</v>
      </c>
      <c r="E402" s="103" t="s">
        <v>252</v>
      </c>
      <c r="F402" s="104">
        <v>45117</v>
      </c>
      <c r="G402" s="105">
        <v>613.11244599999998</v>
      </c>
      <c r="H402" s="104">
        <v>45121</v>
      </c>
      <c r="N402" s="2"/>
      <c r="P402" s="2"/>
    </row>
    <row r="403" spans="1:16">
      <c r="A403" s="97">
        <v>92</v>
      </c>
      <c r="B403" s="103">
        <v>3881608</v>
      </c>
      <c r="C403" s="103">
        <v>1</v>
      </c>
      <c r="D403" s="103">
        <v>4</v>
      </c>
      <c r="E403" s="103" t="s">
        <v>252</v>
      </c>
      <c r="F403" s="104">
        <v>45146</v>
      </c>
      <c r="G403" s="105">
        <v>606.172055</v>
      </c>
      <c r="H403" s="104">
        <v>45152</v>
      </c>
      <c r="N403" s="2"/>
      <c r="P403" s="2"/>
    </row>
    <row r="404" spans="1:16">
      <c r="A404" s="97">
        <v>93</v>
      </c>
      <c r="B404" s="103">
        <v>3881608</v>
      </c>
      <c r="C404" s="103">
        <v>1</v>
      </c>
      <c r="D404" s="103">
        <v>4</v>
      </c>
      <c r="E404" s="103" t="s">
        <v>252</v>
      </c>
      <c r="F404" s="104">
        <v>45180</v>
      </c>
      <c r="G404" s="105">
        <v>592.91472599999997</v>
      </c>
      <c r="H404" s="104">
        <v>45184</v>
      </c>
      <c r="N404" s="2"/>
      <c r="P404" s="2"/>
    </row>
    <row r="405" spans="1:16">
      <c r="A405" s="97">
        <v>94</v>
      </c>
      <c r="B405" s="103">
        <v>3881608</v>
      </c>
      <c r="C405" s="103">
        <v>1</v>
      </c>
      <c r="D405" s="103">
        <v>4</v>
      </c>
      <c r="E405" s="103" t="s">
        <v>252</v>
      </c>
      <c r="F405" s="104">
        <v>45209</v>
      </c>
      <c r="G405" s="105">
        <v>594.96135600000002</v>
      </c>
      <c r="H405" s="104">
        <v>45215</v>
      </c>
      <c r="N405" s="2"/>
      <c r="P405" s="2"/>
    </row>
    <row r="406" spans="1:16">
      <c r="A406" s="97">
        <v>95</v>
      </c>
      <c r="B406" s="103">
        <v>3881608</v>
      </c>
      <c r="C406" s="103">
        <v>1</v>
      </c>
      <c r="D406" s="103">
        <v>4</v>
      </c>
      <c r="E406" s="103" t="s">
        <v>252</v>
      </c>
      <c r="F406" s="104">
        <v>45240</v>
      </c>
      <c r="G406" s="105">
        <v>585.52668600000004</v>
      </c>
      <c r="H406" s="104">
        <v>45246</v>
      </c>
      <c r="N406" s="2"/>
      <c r="P406" s="2"/>
    </row>
    <row r="407" spans="1:16">
      <c r="A407" s="97">
        <v>96</v>
      </c>
      <c r="B407" s="103">
        <v>3881608</v>
      </c>
      <c r="C407" s="103">
        <v>1</v>
      </c>
      <c r="D407" s="103">
        <v>4</v>
      </c>
      <c r="E407" s="103" t="s">
        <v>252</v>
      </c>
      <c r="F407" s="104">
        <v>45268</v>
      </c>
      <c r="G407" s="105">
        <v>581.95176000000004</v>
      </c>
      <c r="H407" s="104">
        <v>45274</v>
      </c>
      <c r="N407" s="2"/>
      <c r="P407" s="2"/>
    </row>
    <row r="408" spans="1:16">
      <c r="A408" s="97">
        <v>97</v>
      </c>
      <c r="B408" s="103">
        <v>3881608</v>
      </c>
      <c r="C408" s="103">
        <v>1</v>
      </c>
      <c r="D408" s="103">
        <v>4</v>
      </c>
      <c r="E408" s="103" t="s">
        <v>252</v>
      </c>
      <c r="F408" s="104">
        <v>45300</v>
      </c>
      <c r="G408" s="105">
        <v>627.51931400000001</v>
      </c>
      <c r="H408" s="104">
        <v>45306</v>
      </c>
      <c r="N408" s="2"/>
      <c r="P408" s="2"/>
    </row>
    <row r="409" spans="1:16">
      <c r="A409" s="97">
        <v>98</v>
      </c>
      <c r="B409" s="103">
        <v>3881608</v>
      </c>
      <c r="C409" s="103">
        <v>1</v>
      </c>
      <c r="D409" s="103">
        <v>4</v>
      </c>
      <c r="E409" s="103" t="s">
        <v>252</v>
      </c>
      <c r="F409" s="104">
        <v>45334</v>
      </c>
      <c r="G409" s="105">
        <v>615.02969700000006</v>
      </c>
      <c r="H409" s="104">
        <v>45338</v>
      </c>
      <c r="N409" s="2"/>
      <c r="P409" s="2"/>
    </row>
    <row r="410" spans="1:16">
      <c r="A410" s="97">
        <v>99</v>
      </c>
      <c r="B410" s="103">
        <v>3881608</v>
      </c>
      <c r="C410" s="103">
        <v>1</v>
      </c>
      <c r="D410" s="103">
        <v>4</v>
      </c>
      <c r="E410" s="103" t="s">
        <v>252</v>
      </c>
      <c r="F410" s="104">
        <v>45359</v>
      </c>
      <c r="G410" s="105">
        <v>616.42912000000001</v>
      </c>
      <c r="H410" s="104">
        <v>45365</v>
      </c>
      <c r="N410" s="2"/>
      <c r="P410" s="2"/>
    </row>
    <row r="411" spans="1:16">
      <c r="A411" s="97">
        <v>100</v>
      </c>
      <c r="B411" s="103">
        <v>3881608</v>
      </c>
      <c r="C411" s="103">
        <v>1</v>
      </c>
      <c r="D411" s="103">
        <v>4</v>
      </c>
      <c r="E411" s="103" t="s">
        <v>252</v>
      </c>
      <c r="F411" s="104">
        <v>45390</v>
      </c>
      <c r="G411" s="105">
        <v>607.48238800000001</v>
      </c>
      <c r="H411" s="104">
        <v>45394</v>
      </c>
      <c r="N411" s="2"/>
      <c r="P411" s="2"/>
    </row>
    <row r="412" spans="1:16">
      <c r="A412" s="97">
        <v>101</v>
      </c>
      <c r="B412" s="103">
        <v>3881608</v>
      </c>
      <c r="C412" s="103">
        <v>1</v>
      </c>
      <c r="D412" s="103">
        <v>4</v>
      </c>
      <c r="E412" s="103" t="s">
        <v>252</v>
      </c>
      <c r="F412" s="104">
        <v>45421</v>
      </c>
      <c r="G412" s="105">
        <v>595.61872600000004</v>
      </c>
      <c r="H412" s="104">
        <v>45427</v>
      </c>
      <c r="N412" s="2"/>
      <c r="P412" s="2"/>
    </row>
    <row r="413" spans="1:16">
      <c r="A413" s="97">
        <v>102</v>
      </c>
      <c r="B413" s="103">
        <v>3881608</v>
      </c>
      <c r="C413" s="103">
        <v>1</v>
      </c>
      <c r="D413" s="103">
        <v>4</v>
      </c>
      <c r="E413" s="103" t="s">
        <v>252</v>
      </c>
      <c r="F413" s="104">
        <v>45453</v>
      </c>
      <c r="G413" s="105">
        <v>591.341138</v>
      </c>
      <c r="H413" s="104">
        <v>45457</v>
      </c>
      <c r="N413" s="2"/>
      <c r="P413" s="2"/>
    </row>
    <row r="414" spans="1:16">
      <c r="A414" s="97">
        <v>103</v>
      </c>
      <c r="B414" s="103">
        <v>3881608</v>
      </c>
      <c r="C414" s="103">
        <v>1</v>
      </c>
      <c r="D414" s="103">
        <v>4</v>
      </c>
      <c r="E414" s="103" t="s">
        <v>252</v>
      </c>
      <c r="F414" s="104">
        <v>45481</v>
      </c>
      <c r="G414" s="105">
        <v>587.41603799999996</v>
      </c>
      <c r="H414" s="104">
        <v>45485</v>
      </c>
      <c r="N414" s="2"/>
      <c r="P414" s="2"/>
    </row>
    <row r="415" spans="1:16">
      <c r="A415" s="97">
        <v>104</v>
      </c>
      <c r="B415" s="103">
        <v>3881608</v>
      </c>
      <c r="C415" s="103">
        <v>1</v>
      </c>
      <c r="D415" s="103">
        <v>4</v>
      </c>
      <c r="E415" s="103" t="s">
        <v>252</v>
      </c>
      <c r="F415" s="104">
        <v>45512</v>
      </c>
      <c r="G415" s="105">
        <v>573.61477600000001</v>
      </c>
      <c r="H415" s="104">
        <v>45518</v>
      </c>
      <c r="N415" s="2"/>
      <c r="P415" s="2"/>
    </row>
    <row r="416" spans="1:16">
      <c r="A416" s="97">
        <v>105</v>
      </c>
      <c r="B416" s="103">
        <v>3881608</v>
      </c>
      <c r="C416" s="103">
        <v>1</v>
      </c>
      <c r="D416" s="103">
        <v>4</v>
      </c>
      <c r="E416" s="103" t="s">
        <v>252</v>
      </c>
      <c r="F416" s="104">
        <v>45544</v>
      </c>
      <c r="G416" s="105">
        <v>569.11558300000002</v>
      </c>
      <c r="H416" s="104">
        <v>45548</v>
      </c>
      <c r="N416" s="2"/>
      <c r="P416" s="2"/>
    </row>
    <row r="417" spans="1:16">
      <c r="A417" s="97">
        <v>106</v>
      </c>
      <c r="B417" s="103">
        <v>3881608</v>
      </c>
      <c r="C417" s="103">
        <v>1</v>
      </c>
      <c r="D417" s="103">
        <v>4</v>
      </c>
      <c r="E417" s="103" t="s">
        <v>252</v>
      </c>
      <c r="F417" s="104">
        <v>45573</v>
      </c>
      <c r="G417" s="105">
        <v>564.93028100000004</v>
      </c>
      <c r="H417" s="104">
        <v>45579</v>
      </c>
      <c r="N417" s="2"/>
      <c r="P417" s="2"/>
    </row>
    <row r="418" spans="1:16">
      <c r="A418" s="97">
        <v>107</v>
      </c>
      <c r="B418" s="103">
        <v>3881608</v>
      </c>
      <c r="C418" s="103">
        <v>1</v>
      </c>
      <c r="D418" s="103">
        <v>4</v>
      </c>
      <c r="E418" s="103" t="s">
        <v>252</v>
      </c>
      <c r="F418" s="104">
        <v>45604</v>
      </c>
      <c r="G418" s="105">
        <v>553.99470899999994</v>
      </c>
      <c r="H418" s="104">
        <v>45610</v>
      </c>
      <c r="N418" s="2"/>
      <c r="P418" s="2"/>
    </row>
    <row r="419" spans="1:16">
      <c r="A419" s="97">
        <v>108</v>
      </c>
      <c r="B419" s="103">
        <v>3881608</v>
      </c>
      <c r="C419" s="103">
        <v>1</v>
      </c>
      <c r="D419" s="103">
        <v>4</v>
      </c>
      <c r="E419" s="103" t="s">
        <v>252</v>
      </c>
      <c r="F419" s="104">
        <v>45635</v>
      </c>
      <c r="G419" s="105">
        <v>554.17583200000001</v>
      </c>
      <c r="H419" s="104">
        <v>45639</v>
      </c>
      <c r="N419" s="2"/>
      <c r="P419" s="2"/>
    </row>
    <row r="420" spans="1:16">
      <c r="A420" s="97">
        <v>109</v>
      </c>
      <c r="B420" s="103">
        <v>3881608</v>
      </c>
      <c r="C420" s="103">
        <v>1</v>
      </c>
      <c r="D420" s="103">
        <v>4</v>
      </c>
      <c r="E420" s="103" t="s">
        <v>252</v>
      </c>
      <c r="F420" s="104">
        <v>45666</v>
      </c>
      <c r="G420" s="105">
        <v>597.30295999999998</v>
      </c>
      <c r="H420" s="104">
        <v>45672</v>
      </c>
      <c r="N420" s="2"/>
      <c r="P420" s="2"/>
    </row>
    <row r="421" spans="1:16">
      <c r="A421" s="97">
        <v>110</v>
      </c>
      <c r="B421" s="103">
        <v>3881608</v>
      </c>
      <c r="C421" s="103">
        <v>1</v>
      </c>
      <c r="D421" s="103">
        <v>4</v>
      </c>
      <c r="E421" s="103" t="s">
        <v>252</v>
      </c>
      <c r="F421" s="104">
        <v>45698</v>
      </c>
      <c r="G421" s="105">
        <v>588.580016</v>
      </c>
      <c r="H421" s="104">
        <v>45702</v>
      </c>
      <c r="N421" s="2"/>
      <c r="P421" s="2"/>
    </row>
    <row r="422" spans="1:16">
      <c r="A422" s="97">
        <v>111</v>
      </c>
      <c r="B422" s="103">
        <v>3881608</v>
      </c>
      <c r="C422" s="103">
        <v>1</v>
      </c>
      <c r="D422" s="103">
        <v>4</v>
      </c>
      <c r="E422" s="103" t="s">
        <v>252</v>
      </c>
      <c r="F422" s="104">
        <v>45728</v>
      </c>
      <c r="G422" s="105">
        <v>586.162555</v>
      </c>
      <c r="H422" s="104">
        <v>45734</v>
      </c>
      <c r="N422" s="2"/>
      <c r="P422" s="2"/>
    </row>
    <row r="423" spans="1:16">
      <c r="A423" s="97">
        <v>112</v>
      </c>
      <c r="B423" s="103">
        <v>3881608</v>
      </c>
      <c r="C423" s="103">
        <v>1</v>
      </c>
      <c r="D423" s="103">
        <v>4</v>
      </c>
      <c r="E423" s="103" t="s">
        <v>252</v>
      </c>
      <c r="F423" s="104">
        <v>45755</v>
      </c>
      <c r="G423" s="105">
        <v>582.21106399999996</v>
      </c>
      <c r="H423" s="104">
        <v>45761</v>
      </c>
      <c r="N423" s="2"/>
      <c r="P423" s="2"/>
    </row>
    <row r="424" spans="1:16">
      <c r="A424" s="97">
        <v>113</v>
      </c>
      <c r="B424" s="103">
        <v>3881608</v>
      </c>
      <c r="C424" s="103">
        <v>1</v>
      </c>
      <c r="D424" s="103">
        <v>4</v>
      </c>
      <c r="E424" s="103" t="s">
        <v>252</v>
      </c>
      <c r="F424" s="104">
        <v>45786</v>
      </c>
      <c r="G424" s="105">
        <v>574.50246300000003</v>
      </c>
      <c r="H424" s="104">
        <v>45792</v>
      </c>
      <c r="N424" s="2"/>
      <c r="P424" s="2"/>
    </row>
    <row r="425" spans="1:16">
      <c r="A425" s="97">
        <v>114</v>
      </c>
      <c r="B425" s="103">
        <v>3881608</v>
      </c>
      <c r="C425" s="103">
        <v>1</v>
      </c>
      <c r="D425" s="103">
        <v>4</v>
      </c>
      <c r="E425" s="103" t="s">
        <v>252</v>
      </c>
      <c r="F425" s="104">
        <v>45817</v>
      </c>
      <c r="G425" s="105">
        <v>566.63775599999997</v>
      </c>
      <c r="H425" s="104">
        <v>45821</v>
      </c>
      <c r="N425" s="2"/>
      <c r="P425" s="2"/>
    </row>
    <row r="426" spans="1:16">
      <c r="A426" s="97">
        <v>115</v>
      </c>
      <c r="B426" s="103">
        <v>3881608</v>
      </c>
      <c r="C426" s="103">
        <v>1</v>
      </c>
      <c r="D426" s="103">
        <v>4</v>
      </c>
      <c r="E426" s="103" t="s">
        <v>252</v>
      </c>
      <c r="F426" s="104">
        <v>45846</v>
      </c>
      <c r="G426" s="105">
        <v>562.42430999999999</v>
      </c>
      <c r="H426" s="104">
        <v>45852</v>
      </c>
      <c r="N426" s="2"/>
      <c r="P426" s="2"/>
    </row>
    <row r="427" spans="1:16">
      <c r="A427" s="97">
        <v>116</v>
      </c>
      <c r="B427" s="103">
        <v>3881608</v>
      </c>
      <c r="C427" s="103">
        <v>1</v>
      </c>
      <c r="D427" s="103">
        <v>4</v>
      </c>
      <c r="E427" s="103" t="s">
        <v>252</v>
      </c>
      <c r="F427" s="104">
        <v>45877</v>
      </c>
      <c r="G427" s="105">
        <v>551.10042199999998</v>
      </c>
      <c r="H427" s="104">
        <v>45883</v>
      </c>
      <c r="N427" s="2"/>
      <c r="P427" s="2"/>
    </row>
    <row r="428" spans="1:16">
      <c r="A428" s="97">
        <v>117</v>
      </c>
      <c r="B428" s="103">
        <v>3881608</v>
      </c>
      <c r="C428" s="103">
        <v>1</v>
      </c>
      <c r="D428" s="103">
        <v>4</v>
      </c>
      <c r="E428" s="103" t="s">
        <v>252</v>
      </c>
      <c r="F428" s="104">
        <v>45908</v>
      </c>
      <c r="G428" s="105">
        <v>548.15941699999996</v>
      </c>
      <c r="H428" s="104">
        <v>45912</v>
      </c>
      <c r="N428" s="2"/>
      <c r="P428" s="2"/>
    </row>
    <row r="429" spans="1:16">
      <c r="A429" s="97">
        <v>118</v>
      </c>
      <c r="B429" s="103">
        <v>3881608</v>
      </c>
      <c r="C429" s="103">
        <v>1</v>
      </c>
      <c r="D429" s="103">
        <v>4</v>
      </c>
      <c r="E429" s="103" t="s">
        <v>252</v>
      </c>
      <c r="F429" s="104">
        <v>45938</v>
      </c>
      <c r="G429" s="105">
        <v>540.52617299999997</v>
      </c>
      <c r="H429" s="104">
        <v>45944</v>
      </c>
      <c r="N429" s="2"/>
      <c r="P429" s="2"/>
    </row>
    <row r="430" spans="1:16">
      <c r="A430" s="97">
        <v>119</v>
      </c>
      <c r="B430" s="103">
        <v>3881608</v>
      </c>
      <c r="C430" s="103">
        <v>1</v>
      </c>
      <c r="D430" s="103">
        <v>4</v>
      </c>
      <c r="E430" s="103" t="s">
        <v>252</v>
      </c>
      <c r="F430" s="104">
        <v>45971</v>
      </c>
      <c r="G430" s="105">
        <v>532.75294799999995</v>
      </c>
      <c r="H430" s="104">
        <v>45975</v>
      </c>
      <c r="N430" s="2"/>
      <c r="P430" s="2"/>
    </row>
    <row r="431" spans="1:16">
      <c r="A431" s="97">
        <v>120</v>
      </c>
      <c r="B431" s="103">
        <v>3881608</v>
      </c>
      <c r="C431" s="103">
        <v>1</v>
      </c>
      <c r="D431" s="103">
        <v>4</v>
      </c>
      <c r="E431" s="103" t="s">
        <v>252</v>
      </c>
      <c r="F431" s="104">
        <v>45999</v>
      </c>
      <c r="G431" s="105">
        <v>531.32271000000003</v>
      </c>
      <c r="H431" s="104">
        <v>46003</v>
      </c>
      <c r="N431" s="2"/>
      <c r="P431" s="2"/>
    </row>
    <row r="432" spans="1:16">
      <c r="A432" s="97">
        <v>121</v>
      </c>
      <c r="B432" s="103">
        <v>3881608</v>
      </c>
      <c r="C432" s="103">
        <v>1</v>
      </c>
      <c r="D432" s="103">
        <v>4</v>
      </c>
      <c r="E432" s="103" t="s">
        <v>252</v>
      </c>
      <c r="F432" s="104">
        <v>46031</v>
      </c>
      <c r="G432" s="105">
        <v>568.98037599999998</v>
      </c>
      <c r="H432" s="104">
        <v>46037</v>
      </c>
      <c r="N432" s="2"/>
      <c r="P432" s="2"/>
    </row>
    <row r="433" spans="1:16">
      <c r="A433" s="97">
        <v>122</v>
      </c>
      <c r="B433" s="103">
        <v>3881608</v>
      </c>
      <c r="C433" s="103">
        <v>1</v>
      </c>
      <c r="D433" s="103">
        <v>4</v>
      </c>
      <c r="E433" s="103" t="s">
        <v>252</v>
      </c>
      <c r="F433" s="104">
        <v>46062</v>
      </c>
      <c r="G433" s="105">
        <v>564.166965</v>
      </c>
      <c r="H433" s="104">
        <v>46066</v>
      </c>
      <c r="N433" s="2"/>
      <c r="P433" s="2"/>
    </row>
    <row r="434" spans="1:16">
      <c r="A434" s="97">
        <v>123</v>
      </c>
      <c r="B434" s="103">
        <v>3881608</v>
      </c>
      <c r="C434" s="103">
        <v>1</v>
      </c>
      <c r="D434" s="103">
        <v>4</v>
      </c>
      <c r="E434" s="103" t="s">
        <v>252</v>
      </c>
      <c r="F434" s="104">
        <v>46090</v>
      </c>
      <c r="G434" s="105">
        <v>562.490003</v>
      </c>
      <c r="H434" s="104">
        <v>46094</v>
      </c>
      <c r="N434" s="2"/>
      <c r="P434" s="2"/>
    </row>
    <row r="435" spans="1:16">
      <c r="A435" s="97">
        <v>124</v>
      </c>
      <c r="B435" s="103">
        <v>3881608</v>
      </c>
      <c r="C435" s="103">
        <v>1</v>
      </c>
      <c r="D435" s="103">
        <v>4</v>
      </c>
      <c r="E435" s="103" t="s">
        <v>252</v>
      </c>
      <c r="F435" s="104">
        <v>46121</v>
      </c>
      <c r="G435" s="105">
        <v>551.53310699999997</v>
      </c>
      <c r="H435" s="104">
        <v>46127</v>
      </c>
      <c r="N435" s="2"/>
      <c r="P435" s="2"/>
    </row>
    <row r="436" spans="1:16">
      <c r="A436" s="97">
        <v>125</v>
      </c>
      <c r="B436" s="103">
        <v>3881608</v>
      </c>
      <c r="C436" s="103">
        <v>1</v>
      </c>
      <c r="D436" s="103">
        <v>4</v>
      </c>
      <c r="E436" s="103" t="s">
        <v>252</v>
      </c>
      <c r="F436" s="104">
        <v>46153</v>
      </c>
      <c r="G436" s="105">
        <v>547.94512199999997</v>
      </c>
      <c r="H436" s="104">
        <v>46157</v>
      </c>
      <c r="N436" s="2"/>
      <c r="P436" s="2"/>
    </row>
    <row r="437" spans="1:16">
      <c r="A437" s="97">
        <v>126</v>
      </c>
      <c r="B437" s="103">
        <v>3881608</v>
      </c>
      <c r="C437" s="103">
        <v>1</v>
      </c>
      <c r="D437" s="103">
        <v>4</v>
      </c>
      <c r="E437" s="103" t="s">
        <v>252</v>
      </c>
      <c r="F437" s="104">
        <v>46182</v>
      </c>
      <c r="G437" s="105">
        <v>542.40305000000001</v>
      </c>
      <c r="H437" s="104">
        <v>46188</v>
      </c>
      <c r="N437" s="2"/>
      <c r="P437" s="2"/>
    </row>
    <row r="438" spans="1:16">
      <c r="A438" s="97">
        <v>127</v>
      </c>
      <c r="B438" s="103">
        <v>3881608</v>
      </c>
      <c r="C438" s="103">
        <v>1</v>
      </c>
      <c r="D438" s="103">
        <v>4</v>
      </c>
      <c r="E438" s="103" t="s">
        <v>252</v>
      </c>
      <c r="F438" s="104">
        <v>46211</v>
      </c>
      <c r="G438" s="105">
        <v>535.75120000000004</v>
      </c>
      <c r="H438" s="104">
        <v>46217</v>
      </c>
      <c r="N438" s="2"/>
      <c r="P438" s="2"/>
    </row>
    <row r="439" spans="1:16">
      <c r="A439" s="97">
        <v>128</v>
      </c>
      <c r="B439" s="103">
        <v>3881608</v>
      </c>
      <c r="C439" s="103">
        <v>1</v>
      </c>
      <c r="D439" s="103">
        <v>4</v>
      </c>
      <c r="E439" s="103" t="s">
        <v>252</v>
      </c>
      <c r="F439" s="104">
        <v>46244</v>
      </c>
      <c r="G439" s="105">
        <v>527.75501199999997</v>
      </c>
      <c r="H439" s="104">
        <v>46248</v>
      </c>
      <c r="N439" s="2"/>
      <c r="P439" s="2"/>
    </row>
    <row r="440" spans="1:16">
      <c r="A440" s="97">
        <v>129</v>
      </c>
      <c r="B440" s="103">
        <v>3881608</v>
      </c>
      <c r="C440" s="103">
        <v>1</v>
      </c>
      <c r="D440" s="103">
        <v>4</v>
      </c>
      <c r="E440" s="103" t="s">
        <v>252</v>
      </c>
      <c r="F440" s="104">
        <v>46274</v>
      </c>
      <c r="G440" s="105">
        <v>523.91441099999997</v>
      </c>
      <c r="H440" s="104">
        <v>46280</v>
      </c>
      <c r="N440" s="2"/>
      <c r="P440" s="2"/>
    </row>
    <row r="441" spans="1:16">
      <c r="A441" s="97">
        <v>130</v>
      </c>
      <c r="B441" s="103">
        <v>3881608</v>
      </c>
      <c r="C441" s="103">
        <v>1</v>
      </c>
      <c r="D441" s="103">
        <v>4</v>
      </c>
      <c r="E441" s="103" t="s">
        <v>252</v>
      </c>
      <c r="F441" s="104">
        <v>46304</v>
      </c>
      <c r="G441" s="105">
        <v>518.424082</v>
      </c>
      <c r="H441" s="104">
        <v>46310</v>
      </c>
      <c r="N441" s="2"/>
      <c r="P441" s="2"/>
    </row>
    <row r="442" spans="1:16">
      <c r="A442" s="97">
        <v>131</v>
      </c>
      <c r="B442" s="103">
        <v>3881608</v>
      </c>
      <c r="C442" s="103">
        <v>1</v>
      </c>
      <c r="D442" s="103">
        <v>4</v>
      </c>
      <c r="E442" s="103" t="s">
        <v>252</v>
      </c>
      <c r="F442" s="104">
        <v>46336</v>
      </c>
      <c r="G442" s="105">
        <v>513.00678800000003</v>
      </c>
      <c r="H442" s="104">
        <v>46342</v>
      </c>
      <c r="N442" s="2"/>
      <c r="P442" s="2"/>
    </row>
    <row r="443" spans="1:16">
      <c r="A443" s="97">
        <v>132</v>
      </c>
      <c r="B443" s="103">
        <v>3881608</v>
      </c>
      <c r="C443" s="103">
        <v>1</v>
      </c>
      <c r="D443" s="103">
        <v>4</v>
      </c>
      <c r="E443" s="103" t="s">
        <v>252</v>
      </c>
      <c r="F443" s="104">
        <v>46364</v>
      </c>
      <c r="G443" s="105">
        <v>508.60724699999997</v>
      </c>
      <c r="H443" s="104">
        <v>46370</v>
      </c>
      <c r="N443" s="2"/>
      <c r="P443" s="2"/>
    </row>
    <row r="444" spans="1:16">
      <c r="A444" s="97">
        <v>133</v>
      </c>
      <c r="B444" s="103">
        <v>3881608</v>
      </c>
      <c r="C444" s="103">
        <v>1</v>
      </c>
      <c r="D444" s="103">
        <v>4</v>
      </c>
      <c r="E444" s="103" t="s">
        <v>252</v>
      </c>
      <c r="F444" s="104">
        <v>46398</v>
      </c>
      <c r="G444" s="105">
        <v>545.64950399999998</v>
      </c>
      <c r="H444" s="104">
        <v>46402</v>
      </c>
      <c r="N444" s="2"/>
      <c r="P444" s="2"/>
    </row>
    <row r="445" spans="1:16">
      <c r="A445" s="97">
        <v>134</v>
      </c>
      <c r="B445" s="103">
        <v>3881608</v>
      </c>
      <c r="C445" s="103">
        <v>1</v>
      </c>
      <c r="D445" s="103">
        <v>4</v>
      </c>
      <c r="E445" s="103" t="s">
        <v>252</v>
      </c>
      <c r="F445" s="104">
        <v>46428</v>
      </c>
      <c r="G445" s="105">
        <v>541.47578499999997</v>
      </c>
      <c r="H445" s="104">
        <v>46434</v>
      </c>
      <c r="N445" s="2"/>
      <c r="P445" s="2"/>
    </row>
    <row r="446" spans="1:16">
      <c r="A446" s="97">
        <v>135</v>
      </c>
      <c r="B446" s="103">
        <v>3881608</v>
      </c>
      <c r="C446" s="103">
        <v>1</v>
      </c>
      <c r="D446" s="103">
        <v>4</v>
      </c>
      <c r="E446" s="103" t="s">
        <v>252</v>
      </c>
      <c r="F446" s="104">
        <v>46454</v>
      </c>
      <c r="G446" s="105">
        <v>537.68147399999998</v>
      </c>
      <c r="H446" s="104">
        <v>46458</v>
      </c>
      <c r="N446" s="2"/>
      <c r="P446" s="2"/>
    </row>
    <row r="447" spans="1:16">
      <c r="A447" s="97">
        <v>136</v>
      </c>
      <c r="B447" s="103">
        <v>3881608</v>
      </c>
      <c r="C447" s="103">
        <v>1</v>
      </c>
      <c r="D447" s="103">
        <v>4</v>
      </c>
      <c r="E447" s="103" t="s">
        <v>252</v>
      </c>
      <c r="F447" s="104">
        <v>46485</v>
      </c>
      <c r="G447" s="105">
        <v>529.65606100000002</v>
      </c>
      <c r="H447" s="104">
        <v>46491</v>
      </c>
      <c r="N447" s="2"/>
      <c r="P447" s="2"/>
    </row>
    <row r="448" spans="1:16">
      <c r="A448" s="97">
        <v>137</v>
      </c>
      <c r="B448" s="103">
        <v>3881608</v>
      </c>
      <c r="C448" s="103">
        <v>1</v>
      </c>
      <c r="D448" s="103">
        <v>4</v>
      </c>
      <c r="E448" s="103" t="s">
        <v>252</v>
      </c>
      <c r="F448" s="104">
        <v>46517</v>
      </c>
      <c r="G448" s="105">
        <v>524.46169099999997</v>
      </c>
      <c r="H448" s="104">
        <v>46521</v>
      </c>
      <c r="N448" s="2"/>
      <c r="P448" s="2"/>
    </row>
    <row r="449" spans="1:16">
      <c r="A449" s="97">
        <v>138</v>
      </c>
      <c r="B449" s="103">
        <v>3881608</v>
      </c>
      <c r="C449" s="103">
        <v>1</v>
      </c>
      <c r="D449" s="103">
        <v>4</v>
      </c>
      <c r="E449" s="103" t="s">
        <v>252</v>
      </c>
      <c r="F449" s="104">
        <v>46546</v>
      </c>
      <c r="G449" s="105">
        <v>519.67655300000001</v>
      </c>
      <c r="H449" s="104">
        <v>46552</v>
      </c>
      <c r="N449" s="2"/>
      <c r="P449" s="2"/>
    </row>
    <row r="450" spans="1:16">
      <c r="A450" s="97">
        <v>139</v>
      </c>
      <c r="B450" s="103">
        <v>3881608</v>
      </c>
      <c r="C450" s="103">
        <v>1</v>
      </c>
      <c r="D450" s="103">
        <v>4</v>
      </c>
      <c r="E450" s="103" t="s">
        <v>252</v>
      </c>
      <c r="F450" s="104">
        <v>46576</v>
      </c>
      <c r="G450" s="105">
        <v>513.43173000000002</v>
      </c>
      <c r="H450" s="104">
        <v>46582</v>
      </c>
      <c r="N450" s="2"/>
      <c r="P450" s="2"/>
    </row>
    <row r="451" spans="1:16">
      <c r="A451" s="97">
        <v>140</v>
      </c>
      <c r="B451" s="103">
        <v>3881608</v>
      </c>
      <c r="C451" s="103">
        <v>1</v>
      </c>
      <c r="D451" s="103">
        <v>4</v>
      </c>
      <c r="E451" s="103" t="s">
        <v>252</v>
      </c>
      <c r="F451" s="104">
        <v>46608</v>
      </c>
      <c r="G451" s="105">
        <v>507.920546</v>
      </c>
      <c r="H451" s="104">
        <v>46612</v>
      </c>
      <c r="N451" s="2"/>
      <c r="P451" s="2"/>
    </row>
    <row r="452" spans="1:16">
      <c r="A452" s="97">
        <v>141</v>
      </c>
      <c r="B452" s="103">
        <v>3881608</v>
      </c>
      <c r="C452" s="103">
        <v>1</v>
      </c>
      <c r="D452" s="103">
        <v>4</v>
      </c>
      <c r="E452" s="103" t="s">
        <v>252</v>
      </c>
      <c r="F452" s="104">
        <v>46639</v>
      </c>
      <c r="G452" s="105">
        <v>502.48084299999999</v>
      </c>
      <c r="H452" s="104">
        <v>46645</v>
      </c>
      <c r="N452" s="2"/>
      <c r="P452" s="2"/>
    </row>
    <row r="453" spans="1:16">
      <c r="A453" s="97">
        <v>142</v>
      </c>
      <c r="B453" s="103">
        <v>3881608</v>
      </c>
      <c r="C453" s="103">
        <v>1</v>
      </c>
      <c r="D453" s="103">
        <v>4</v>
      </c>
      <c r="E453" s="103" t="s">
        <v>252</v>
      </c>
      <c r="F453" s="104">
        <v>46671</v>
      </c>
      <c r="G453" s="105">
        <v>497.554643</v>
      </c>
      <c r="H453" s="104">
        <v>46675</v>
      </c>
      <c r="N453" s="2"/>
      <c r="P453" s="2"/>
    </row>
    <row r="454" spans="1:16">
      <c r="A454" s="97">
        <v>143</v>
      </c>
      <c r="B454" s="103">
        <v>3881608</v>
      </c>
      <c r="C454" s="103">
        <v>1</v>
      </c>
      <c r="D454" s="103">
        <v>4</v>
      </c>
      <c r="E454" s="103" t="s">
        <v>252</v>
      </c>
      <c r="F454" s="104">
        <v>46701</v>
      </c>
      <c r="G454" s="105">
        <v>492.88306</v>
      </c>
      <c r="H454" s="104">
        <v>46707</v>
      </c>
      <c r="N454" s="2"/>
      <c r="P454" s="2"/>
    </row>
    <row r="455" spans="1:16">
      <c r="A455" s="97">
        <v>144</v>
      </c>
      <c r="B455" s="103">
        <v>3881608</v>
      </c>
      <c r="C455" s="103">
        <v>1</v>
      </c>
      <c r="D455" s="103">
        <v>4</v>
      </c>
      <c r="E455" s="103" t="s">
        <v>252</v>
      </c>
      <c r="F455" s="104">
        <v>46729</v>
      </c>
      <c r="G455" s="105">
        <v>488.11345599999999</v>
      </c>
      <c r="H455" s="104">
        <v>46735</v>
      </c>
      <c r="N455" s="2"/>
      <c r="P455" s="2"/>
    </row>
    <row r="456" spans="1:16">
      <c r="A456" s="97"/>
      <c r="B456" s="97"/>
      <c r="C456" s="97"/>
      <c r="D456" s="97"/>
      <c r="E456" s="97"/>
      <c r="F456" s="98"/>
      <c r="G456" s="99"/>
      <c r="H456" s="98"/>
      <c r="N456" s="2"/>
      <c r="P456" s="2"/>
    </row>
    <row r="457" spans="1:16">
      <c r="A457" s="97"/>
      <c r="B457" s="97"/>
      <c r="C457" s="97"/>
      <c r="D457" s="97"/>
      <c r="E457" s="97"/>
      <c r="F457" s="98"/>
      <c r="G457" s="99"/>
      <c r="H457" s="98"/>
      <c r="N457" s="2"/>
      <c r="P457" s="2"/>
    </row>
    <row r="458" spans="1:16">
      <c r="A458" s="97"/>
      <c r="B458" s="97"/>
      <c r="C458" s="97"/>
      <c r="D458" s="97"/>
      <c r="E458" s="97"/>
      <c r="F458" s="98"/>
      <c r="G458" s="99"/>
      <c r="H458" s="98"/>
      <c r="N458" s="2"/>
      <c r="P458" s="2"/>
    </row>
    <row r="459" spans="1:16">
      <c r="A459" s="97"/>
      <c r="B459" s="97"/>
      <c r="C459" s="97"/>
      <c r="D459" s="97"/>
      <c r="E459" s="97"/>
      <c r="F459" s="98"/>
      <c r="G459" s="99"/>
      <c r="H459" s="98"/>
      <c r="N459" s="2"/>
      <c r="P459" s="2"/>
    </row>
    <row r="460" spans="1:16">
      <c r="A460" s="97"/>
      <c r="B460" s="97"/>
      <c r="C460" s="97"/>
      <c r="D460" s="97"/>
      <c r="E460" s="97"/>
      <c r="F460" s="98"/>
      <c r="G460" s="99"/>
      <c r="H460" s="98"/>
      <c r="N460" s="2"/>
      <c r="P460" s="2"/>
    </row>
    <row r="461" spans="1:16">
      <c r="A461" s="97"/>
      <c r="B461" s="97"/>
      <c r="C461" s="97"/>
      <c r="D461" s="97"/>
      <c r="E461" s="97"/>
      <c r="F461" s="98"/>
      <c r="G461" s="99"/>
      <c r="H461" s="98"/>
      <c r="N461" s="2"/>
      <c r="P461" s="2"/>
    </row>
    <row r="462" spans="1:16">
      <c r="A462" s="97"/>
      <c r="B462" s="97"/>
      <c r="C462" s="97"/>
      <c r="D462" s="97"/>
      <c r="E462" s="97"/>
      <c r="F462" s="98"/>
      <c r="G462" s="99"/>
      <c r="H462" s="98"/>
      <c r="N462" s="2"/>
      <c r="P462" s="2"/>
    </row>
    <row r="463" spans="1:16">
      <c r="A463" s="97"/>
      <c r="B463" s="97"/>
      <c r="C463" s="97"/>
      <c r="D463" s="97"/>
      <c r="E463" s="97"/>
      <c r="F463" s="98"/>
      <c r="G463" s="99"/>
      <c r="H463" s="98"/>
      <c r="N463" s="2"/>
      <c r="P463" s="2"/>
    </row>
    <row r="464" spans="1:16">
      <c r="A464" s="97"/>
      <c r="B464" s="97"/>
      <c r="C464" s="97"/>
      <c r="D464" s="97"/>
      <c r="E464" s="97"/>
      <c r="F464" s="98"/>
      <c r="G464" s="99"/>
      <c r="H464" s="98"/>
      <c r="N464" s="2"/>
      <c r="P464" s="2"/>
    </row>
    <row r="465" spans="1:16">
      <c r="A465" s="97"/>
      <c r="B465" s="97"/>
      <c r="C465" s="97"/>
      <c r="D465" s="97"/>
      <c r="E465" s="97"/>
      <c r="F465" s="98"/>
      <c r="G465" s="99"/>
      <c r="H465" s="98"/>
      <c r="N465" s="2"/>
      <c r="P465" s="2"/>
    </row>
    <row r="466" spans="1:16">
      <c r="A466" s="97"/>
      <c r="B466" s="97"/>
      <c r="C466" s="97"/>
      <c r="D466" s="97"/>
      <c r="E466" s="97"/>
      <c r="F466" s="98"/>
      <c r="G466" s="99"/>
      <c r="H466" s="98"/>
      <c r="N466" s="2"/>
      <c r="P466" s="2"/>
    </row>
    <row r="467" spans="1:16">
      <c r="A467" s="97"/>
      <c r="B467" s="97"/>
      <c r="C467" s="97"/>
      <c r="D467" s="97"/>
      <c r="E467" s="97"/>
      <c r="F467" s="98"/>
      <c r="G467" s="99"/>
      <c r="H467" s="98"/>
      <c r="N467" s="2"/>
      <c r="P467" s="2"/>
    </row>
    <row r="468" spans="1:16">
      <c r="A468" s="80"/>
      <c r="F468" s="2"/>
      <c r="G468" s="3"/>
      <c r="H468" s="2"/>
      <c r="N468" s="2"/>
      <c r="P468" s="2"/>
    </row>
    <row r="469" spans="1:16">
      <c r="A469" s="97"/>
      <c r="B469" s="97"/>
      <c r="C469" s="97"/>
      <c r="D469" s="97"/>
      <c r="E469" s="97"/>
      <c r="F469" s="98"/>
      <c r="G469" s="99"/>
      <c r="H469" s="98"/>
      <c r="N469" s="2"/>
      <c r="P469" s="2"/>
    </row>
    <row r="470" spans="1:16">
      <c r="A470" s="97"/>
      <c r="B470" s="97"/>
      <c r="C470" s="97"/>
      <c r="D470" s="97"/>
      <c r="E470" s="97"/>
      <c r="F470" s="98"/>
      <c r="G470" s="99"/>
      <c r="H470" s="98"/>
      <c r="N470" s="2"/>
      <c r="P470" s="2"/>
    </row>
    <row r="471" spans="1:16">
      <c r="A471" s="97"/>
      <c r="B471" s="97"/>
      <c r="C471" s="97"/>
      <c r="D471" s="97"/>
      <c r="E471" s="97"/>
      <c r="F471" s="98"/>
      <c r="G471" s="99"/>
      <c r="H471" s="98"/>
      <c r="N471" s="2"/>
      <c r="P471" s="2"/>
    </row>
    <row r="472" spans="1:16">
      <c r="A472" s="97"/>
      <c r="B472" s="97"/>
      <c r="C472" s="97"/>
      <c r="D472" s="97"/>
      <c r="E472" s="97"/>
      <c r="F472" s="98"/>
      <c r="G472" s="99"/>
      <c r="H472" s="98"/>
      <c r="N472" s="2"/>
      <c r="P472" s="2"/>
    </row>
    <row r="473" spans="1:16">
      <c r="A473" s="97"/>
      <c r="B473" s="97"/>
      <c r="C473" s="97"/>
      <c r="D473" s="97"/>
      <c r="E473" s="97"/>
      <c r="F473" s="98"/>
      <c r="G473" s="99"/>
      <c r="H473" s="98"/>
      <c r="N473" s="2"/>
      <c r="P473" s="2"/>
    </row>
    <row r="474" spans="1:16">
      <c r="A474" s="97"/>
      <c r="B474" s="97"/>
      <c r="C474" s="97"/>
      <c r="D474" s="97"/>
      <c r="E474" s="97"/>
      <c r="F474" s="98"/>
      <c r="G474" s="99"/>
      <c r="H474" s="98"/>
      <c r="N474" s="2"/>
      <c r="P474" s="2"/>
    </row>
    <row r="475" spans="1:16">
      <c r="A475" s="97"/>
      <c r="B475" s="97"/>
      <c r="C475" s="97"/>
      <c r="D475" s="97"/>
      <c r="E475" s="97"/>
      <c r="F475" s="98"/>
      <c r="G475" s="99"/>
      <c r="H475" s="98"/>
      <c r="N475" s="2"/>
      <c r="P475" s="2"/>
    </row>
    <row r="476" spans="1:16">
      <c r="A476" s="97"/>
      <c r="B476" s="97"/>
      <c r="C476" s="97"/>
      <c r="D476" s="97"/>
      <c r="E476" s="97"/>
      <c r="F476" s="98"/>
      <c r="G476" s="99"/>
      <c r="H476" s="98"/>
      <c r="N476" s="2"/>
      <c r="P476" s="2"/>
    </row>
    <row r="477" spans="1:16">
      <c r="A477" s="97"/>
      <c r="B477" s="97"/>
      <c r="C477" s="97"/>
      <c r="D477" s="97"/>
      <c r="E477" s="97"/>
      <c r="F477" s="98"/>
      <c r="G477" s="99"/>
      <c r="H477" s="98"/>
      <c r="N477" s="2"/>
      <c r="P477" s="2"/>
    </row>
    <row r="478" spans="1:16">
      <c r="A478" s="97"/>
      <c r="B478" s="97"/>
      <c r="C478" s="97"/>
      <c r="D478" s="97"/>
      <c r="E478" s="97"/>
      <c r="F478" s="98"/>
      <c r="G478" s="99"/>
      <c r="H478" s="98"/>
      <c r="N478" s="2"/>
      <c r="P478" s="2"/>
    </row>
    <row r="479" spans="1:16">
      <c r="A479" s="97"/>
      <c r="B479" s="97"/>
      <c r="C479" s="97"/>
      <c r="D479" s="97"/>
      <c r="E479" s="97"/>
      <c r="F479" s="98"/>
      <c r="G479" s="99"/>
      <c r="H479" s="98"/>
      <c r="N479" s="2"/>
      <c r="P479" s="2"/>
    </row>
    <row r="480" spans="1:16">
      <c r="A480" s="97"/>
      <c r="B480" s="97"/>
      <c r="C480" s="97"/>
      <c r="D480" s="97"/>
      <c r="E480" s="97"/>
      <c r="F480" s="98"/>
      <c r="G480" s="99"/>
      <c r="H480" s="98"/>
      <c r="N480" s="2"/>
      <c r="P480" s="2"/>
    </row>
    <row r="481" spans="1:16">
      <c r="A481" s="97"/>
      <c r="B481" s="97"/>
      <c r="C481" s="97"/>
      <c r="D481" s="97"/>
      <c r="E481" s="97"/>
      <c r="F481" s="98"/>
      <c r="G481" s="99"/>
      <c r="H481" s="98"/>
      <c r="N481" s="2"/>
      <c r="P481" s="2"/>
    </row>
    <row r="482" spans="1:16">
      <c r="A482" s="97"/>
      <c r="B482" s="97"/>
      <c r="C482" s="97"/>
      <c r="D482" s="97"/>
      <c r="E482" s="97"/>
      <c r="F482" s="98"/>
      <c r="G482" s="99"/>
      <c r="H482" s="98"/>
      <c r="N482" s="2"/>
      <c r="P482" s="2"/>
    </row>
    <row r="483" spans="1:16">
      <c r="A483" s="97"/>
      <c r="B483" s="97"/>
      <c r="C483" s="97"/>
      <c r="D483" s="97"/>
      <c r="E483" s="97"/>
      <c r="F483" s="98"/>
      <c r="G483" s="99"/>
      <c r="H483" s="98"/>
      <c r="N483" s="2"/>
      <c r="P483" s="2"/>
    </row>
    <row r="484" spans="1:16">
      <c r="A484" s="97"/>
      <c r="B484" s="97"/>
      <c r="C484" s="97"/>
      <c r="D484" s="97"/>
      <c r="E484" s="97"/>
      <c r="F484" s="98"/>
      <c r="G484" s="99"/>
      <c r="H484" s="98"/>
      <c r="N484" s="2"/>
      <c r="P484" s="2"/>
    </row>
    <row r="485" spans="1:16">
      <c r="A485" s="97"/>
      <c r="B485" s="97"/>
      <c r="C485" s="97"/>
      <c r="D485" s="97"/>
      <c r="E485" s="97"/>
      <c r="F485" s="98"/>
      <c r="G485" s="99"/>
      <c r="H485" s="98"/>
      <c r="N485" s="2"/>
      <c r="P485" s="2"/>
    </row>
    <row r="486" spans="1:16">
      <c r="A486" s="97"/>
      <c r="B486" s="97"/>
      <c r="C486" s="97"/>
      <c r="D486" s="97"/>
      <c r="E486" s="97"/>
      <c r="F486" s="98"/>
      <c r="G486" s="99"/>
      <c r="H486" s="98"/>
      <c r="N486" s="2"/>
      <c r="P486" s="2"/>
    </row>
    <row r="487" spans="1:16">
      <c r="A487" s="97"/>
      <c r="B487" s="97"/>
      <c r="C487" s="97"/>
      <c r="D487" s="97"/>
      <c r="E487" s="97"/>
      <c r="F487" s="98"/>
      <c r="G487" s="99"/>
      <c r="H487" s="98"/>
      <c r="N487" s="2"/>
      <c r="P487" s="2"/>
    </row>
    <row r="488" spans="1:16">
      <c r="A488" s="97"/>
      <c r="B488" s="97"/>
      <c r="C488" s="97"/>
      <c r="D488" s="97"/>
      <c r="E488" s="97"/>
      <c r="F488" s="98"/>
      <c r="G488" s="99"/>
      <c r="H488" s="98"/>
      <c r="N488" s="2"/>
      <c r="P488" s="2"/>
    </row>
    <row r="489" spans="1:16">
      <c r="A489" s="97"/>
      <c r="B489" s="97"/>
      <c r="C489" s="97"/>
      <c r="D489" s="97"/>
      <c r="E489" s="97"/>
      <c r="F489" s="98"/>
      <c r="G489" s="99"/>
      <c r="H489" s="98"/>
      <c r="N489" s="2"/>
      <c r="P489" s="2"/>
    </row>
    <row r="490" spans="1:16">
      <c r="A490" s="97"/>
      <c r="B490" s="97"/>
      <c r="C490" s="97"/>
      <c r="D490" s="97"/>
      <c r="E490" s="97"/>
      <c r="F490" s="98"/>
      <c r="G490" s="99"/>
      <c r="H490" s="98"/>
      <c r="N490" s="2"/>
      <c r="P490" s="2"/>
    </row>
    <row r="491" spans="1:16">
      <c r="A491" s="97"/>
      <c r="B491" s="97"/>
      <c r="C491" s="97"/>
      <c r="D491" s="97"/>
      <c r="E491" s="97"/>
      <c r="F491" s="98"/>
      <c r="G491" s="99"/>
      <c r="H491" s="98"/>
      <c r="N491" s="2"/>
      <c r="P491" s="2"/>
    </row>
    <row r="492" spans="1:16">
      <c r="A492" s="97"/>
      <c r="B492" s="97"/>
      <c r="C492" s="97"/>
      <c r="D492" s="97"/>
      <c r="E492" s="97"/>
      <c r="F492" s="98"/>
      <c r="G492" s="99"/>
      <c r="H492" s="98"/>
      <c r="N492" s="2"/>
      <c r="P492" s="2"/>
    </row>
    <row r="493" spans="1:16">
      <c r="A493" s="97"/>
      <c r="B493" s="97"/>
      <c r="C493" s="97"/>
      <c r="D493" s="97"/>
      <c r="E493" s="97"/>
      <c r="F493" s="98"/>
      <c r="G493" s="99"/>
      <c r="H493" s="98"/>
      <c r="N493" s="2"/>
      <c r="P493" s="2"/>
    </row>
    <row r="494" spans="1:16">
      <c r="A494" s="97"/>
      <c r="B494" s="97"/>
      <c r="C494" s="97"/>
      <c r="D494" s="97"/>
      <c r="E494" s="97"/>
      <c r="F494" s="98"/>
      <c r="G494" s="99"/>
      <c r="H494" s="98"/>
      <c r="N494" s="2"/>
      <c r="P494" s="2"/>
    </row>
    <row r="495" spans="1:16">
      <c r="A495" s="97"/>
      <c r="B495" s="97"/>
      <c r="C495" s="97"/>
      <c r="D495" s="97"/>
      <c r="E495" s="97"/>
      <c r="F495" s="98"/>
      <c r="G495" s="99"/>
      <c r="H495" s="98"/>
      <c r="N495" s="2"/>
      <c r="P495" s="2"/>
    </row>
    <row r="496" spans="1:16">
      <c r="A496" s="97"/>
      <c r="B496" s="97"/>
      <c r="C496" s="97"/>
      <c r="D496" s="97"/>
      <c r="E496" s="97"/>
      <c r="F496" s="98"/>
      <c r="G496" s="99"/>
      <c r="H496" s="98"/>
      <c r="N496" s="2"/>
      <c r="P496" s="2"/>
    </row>
    <row r="497" spans="1:16">
      <c r="A497" s="97"/>
      <c r="B497" s="97"/>
      <c r="C497" s="97"/>
      <c r="D497" s="97"/>
      <c r="E497" s="97"/>
      <c r="F497" s="98"/>
      <c r="G497" s="99"/>
      <c r="H497" s="98"/>
      <c r="N497" s="2"/>
      <c r="P497" s="2"/>
    </row>
    <row r="498" spans="1:16">
      <c r="A498" s="97"/>
      <c r="B498" s="97"/>
      <c r="C498" s="97"/>
      <c r="D498" s="97"/>
      <c r="E498" s="97"/>
      <c r="F498" s="98"/>
      <c r="G498" s="99"/>
      <c r="H498" s="98"/>
      <c r="N498" s="2"/>
      <c r="P498" s="2"/>
    </row>
    <row r="499" spans="1:16">
      <c r="A499" s="97"/>
      <c r="B499" s="97"/>
      <c r="C499" s="97"/>
      <c r="D499" s="97"/>
      <c r="E499" s="97"/>
      <c r="F499" s="98"/>
      <c r="G499" s="99"/>
      <c r="H499" s="98"/>
      <c r="N499" s="2"/>
      <c r="P499" s="2"/>
    </row>
    <row r="500" spans="1:16">
      <c r="A500" s="97"/>
      <c r="B500" s="97"/>
      <c r="C500" s="97"/>
      <c r="D500" s="97"/>
      <c r="E500" s="97"/>
      <c r="F500" s="98"/>
      <c r="G500" s="99"/>
      <c r="H500" s="98"/>
      <c r="N500" s="2"/>
      <c r="P500" s="2"/>
    </row>
    <row r="501" spans="1:16">
      <c r="A501" s="97"/>
      <c r="B501" s="97"/>
      <c r="C501" s="97"/>
      <c r="D501" s="97"/>
      <c r="E501" s="97"/>
      <c r="F501" s="98"/>
      <c r="G501" s="99"/>
      <c r="H501" s="98"/>
      <c r="N501" s="2"/>
      <c r="P501" s="2"/>
    </row>
    <row r="502" spans="1:16">
      <c r="A502" s="97"/>
      <c r="B502" s="97"/>
      <c r="C502" s="97"/>
      <c r="D502" s="97"/>
      <c r="E502" s="97"/>
      <c r="F502" s="98"/>
      <c r="G502" s="99"/>
      <c r="H502" s="98"/>
      <c r="N502" s="2"/>
      <c r="P502" s="2"/>
    </row>
    <row r="503" spans="1:16">
      <c r="A503" s="97"/>
      <c r="B503" s="97"/>
      <c r="C503" s="97"/>
      <c r="D503" s="97"/>
      <c r="E503" s="97"/>
      <c r="F503" s="98"/>
      <c r="G503" s="99"/>
      <c r="H503" s="98"/>
      <c r="N503" s="2"/>
      <c r="P503" s="2"/>
    </row>
    <row r="504" spans="1:16">
      <c r="A504" s="97"/>
      <c r="B504" s="97"/>
      <c r="C504" s="97"/>
      <c r="D504" s="97"/>
      <c r="E504" s="97"/>
      <c r="F504" s="98"/>
      <c r="G504" s="99"/>
      <c r="H504" s="98"/>
      <c r="N504" s="2"/>
      <c r="P504" s="2"/>
    </row>
    <row r="505" spans="1:16">
      <c r="A505" s="97"/>
      <c r="B505" s="97"/>
      <c r="C505" s="97"/>
      <c r="D505" s="97"/>
      <c r="E505" s="97"/>
      <c r="F505" s="98"/>
      <c r="G505" s="99"/>
      <c r="H505" s="98"/>
      <c r="N505" s="2"/>
      <c r="P505" s="2"/>
    </row>
    <row r="506" spans="1:16">
      <c r="A506" s="97"/>
      <c r="B506" s="97"/>
      <c r="C506" s="97"/>
      <c r="D506" s="97"/>
      <c r="E506" s="97"/>
      <c r="F506" s="98"/>
      <c r="G506" s="99"/>
      <c r="H506" s="98"/>
      <c r="N506" s="2"/>
      <c r="P506" s="2"/>
    </row>
    <row r="507" spans="1:16">
      <c r="A507" s="97"/>
      <c r="B507" s="97"/>
      <c r="C507" s="97"/>
      <c r="D507" s="97"/>
      <c r="E507" s="97"/>
      <c r="F507" s="98"/>
      <c r="G507" s="99"/>
      <c r="H507" s="98"/>
      <c r="N507" s="2"/>
      <c r="P507" s="2"/>
    </row>
    <row r="508" spans="1:16">
      <c r="A508" s="97"/>
      <c r="B508" s="97"/>
      <c r="C508" s="97"/>
      <c r="D508" s="97"/>
      <c r="E508" s="97"/>
      <c r="F508" s="98"/>
      <c r="G508" s="99"/>
      <c r="H508" s="98"/>
      <c r="N508" s="2"/>
      <c r="P508" s="2"/>
    </row>
    <row r="509" spans="1:16">
      <c r="A509" s="97"/>
      <c r="B509" s="97"/>
      <c r="C509" s="97"/>
      <c r="D509" s="97"/>
      <c r="E509" s="97"/>
      <c r="F509" s="98"/>
      <c r="G509" s="99"/>
      <c r="H509" s="98"/>
      <c r="N509" s="2"/>
      <c r="P509" s="2"/>
    </row>
    <row r="510" spans="1:16">
      <c r="A510" s="97"/>
      <c r="B510" s="97"/>
      <c r="C510" s="97"/>
      <c r="D510" s="97"/>
      <c r="E510" s="97"/>
      <c r="F510" s="98"/>
      <c r="G510" s="99"/>
      <c r="H510" s="98"/>
      <c r="N510" s="2"/>
      <c r="P510" s="2"/>
    </row>
    <row r="511" spans="1:16">
      <c r="A511" s="97"/>
      <c r="B511" s="97"/>
      <c r="C511" s="97"/>
      <c r="D511" s="97"/>
      <c r="E511" s="97"/>
      <c r="F511" s="98"/>
      <c r="G511" s="99"/>
      <c r="H511" s="98"/>
      <c r="N511" s="2"/>
      <c r="P511" s="2"/>
    </row>
    <row r="512" spans="1:16">
      <c r="A512" s="97"/>
      <c r="B512" s="97"/>
      <c r="C512" s="97"/>
      <c r="D512" s="97"/>
      <c r="E512" s="97"/>
      <c r="F512" s="98"/>
      <c r="G512" s="99"/>
      <c r="H512" s="98"/>
      <c r="N512" s="2"/>
      <c r="P512" s="2"/>
    </row>
    <row r="513" spans="1:16">
      <c r="A513" s="97"/>
      <c r="B513" s="97"/>
      <c r="C513" s="97"/>
      <c r="D513" s="97"/>
      <c r="E513" s="97"/>
      <c r="F513" s="98"/>
      <c r="G513" s="99"/>
      <c r="H513" s="98"/>
      <c r="N513" s="2"/>
      <c r="P513" s="2"/>
    </row>
    <row r="514" spans="1:16">
      <c r="A514" s="97"/>
      <c r="B514" s="97"/>
      <c r="C514" s="97"/>
      <c r="D514" s="97"/>
      <c r="E514" s="97"/>
      <c r="F514" s="98"/>
      <c r="G514" s="99"/>
      <c r="H514" s="98"/>
      <c r="N514" s="2"/>
      <c r="P514" s="2"/>
    </row>
    <row r="515" spans="1:16">
      <c r="A515" s="97"/>
      <c r="B515" s="97"/>
      <c r="C515" s="97"/>
      <c r="D515" s="97"/>
      <c r="E515" s="97"/>
      <c r="F515" s="98"/>
      <c r="G515" s="99"/>
      <c r="H515" s="98"/>
      <c r="N515" s="2"/>
      <c r="P515" s="2"/>
    </row>
    <row r="516" spans="1:16">
      <c r="A516" s="97"/>
      <c r="B516" s="97"/>
      <c r="C516" s="97"/>
      <c r="D516" s="97"/>
      <c r="E516" s="97"/>
      <c r="F516" s="98"/>
      <c r="G516" s="99"/>
      <c r="H516" s="98"/>
      <c r="N516" s="2"/>
      <c r="P516" s="2"/>
    </row>
    <row r="517" spans="1:16">
      <c r="A517" s="97"/>
      <c r="B517" s="97"/>
      <c r="C517" s="97"/>
      <c r="D517" s="97"/>
      <c r="E517" s="97"/>
      <c r="F517" s="98"/>
      <c r="G517" s="99"/>
      <c r="H517" s="98"/>
      <c r="N517" s="2"/>
      <c r="P517" s="2"/>
    </row>
    <row r="518" spans="1:16">
      <c r="A518" s="97"/>
      <c r="B518" s="97"/>
      <c r="C518" s="97"/>
      <c r="D518" s="97"/>
      <c r="E518" s="97"/>
      <c r="F518" s="98"/>
      <c r="G518" s="99"/>
      <c r="H518" s="98"/>
      <c r="N518" s="2"/>
      <c r="P518" s="2"/>
    </row>
    <row r="519" spans="1:16">
      <c r="A519" s="97"/>
      <c r="B519" s="97"/>
      <c r="C519" s="97"/>
      <c r="D519" s="97"/>
      <c r="E519" s="97"/>
      <c r="F519" s="98"/>
      <c r="G519" s="99"/>
      <c r="H519" s="98"/>
      <c r="N519" s="2"/>
      <c r="P519" s="2"/>
    </row>
    <row r="520" spans="1:16">
      <c r="A520" s="97"/>
      <c r="B520" s="97"/>
      <c r="C520" s="97"/>
      <c r="D520" s="97"/>
      <c r="E520" s="97"/>
      <c r="F520" s="98"/>
      <c r="G520" s="99"/>
      <c r="H520" s="98"/>
      <c r="N520" s="2"/>
      <c r="P520" s="2"/>
    </row>
    <row r="521" spans="1:16">
      <c r="A521" s="97"/>
      <c r="B521" s="97"/>
      <c r="C521" s="97"/>
      <c r="D521" s="97"/>
      <c r="E521" s="97"/>
      <c r="F521" s="98"/>
      <c r="G521" s="99"/>
      <c r="H521" s="98"/>
      <c r="N521" s="2"/>
      <c r="P521" s="2"/>
    </row>
    <row r="522" spans="1:16">
      <c r="A522" s="97"/>
      <c r="B522" s="97"/>
      <c r="C522" s="97"/>
      <c r="D522" s="97"/>
      <c r="E522" s="97"/>
      <c r="F522" s="98"/>
      <c r="G522" s="99"/>
      <c r="H522" s="98"/>
      <c r="N522" s="2"/>
      <c r="P522" s="2"/>
    </row>
    <row r="523" spans="1:16">
      <c r="A523" s="97"/>
      <c r="B523" s="97"/>
      <c r="C523" s="97"/>
      <c r="D523" s="97"/>
      <c r="E523" s="97"/>
      <c r="F523" s="98"/>
      <c r="G523" s="99"/>
      <c r="H523" s="98"/>
      <c r="N523" s="2"/>
      <c r="P523" s="2"/>
    </row>
    <row r="524" spans="1:16">
      <c r="A524" s="97"/>
      <c r="B524" s="97"/>
      <c r="C524" s="97"/>
      <c r="D524" s="97"/>
      <c r="E524" s="97"/>
      <c r="F524" s="98"/>
      <c r="G524" s="99"/>
      <c r="H524" s="98"/>
      <c r="N524" s="2"/>
      <c r="P524" s="2"/>
    </row>
    <row r="525" spans="1:16">
      <c r="A525" s="97"/>
      <c r="B525" s="97"/>
      <c r="C525" s="97"/>
      <c r="D525" s="97"/>
      <c r="E525" s="97"/>
      <c r="F525" s="98"/>
      <c r="G525" s="99"/>
      <c r="H525" s="98"/>
      <c r="N525" s="2"/>
      <c r="P525" s="2"/>
    </row>
    <row r="526" spans="1:16">
      <c r="A526" s="97"/>
      <c r="B526" s="97"/>
      <c r="C526" s="97"/>
      <c r="D526" s="97"/>
      <c r="E526" s="97"/>
      <c r="F526" s="98"/>
      <c r="G526" s="99"/>
      <c r="H526" s="98"/>
      <c r="N526" s="2"/>
      <c r="P526" s="2"/>
    </row>
    <row r="527" spans="1:16">
      <c r="A527" s="97"/>
      <c r="B527" s="97"/>
      <c r="C527" s="97"/>
      <c r="D527" s="97"/>
      <c r="E527" s="97"/>
      <c r="F527" s="98"/>
      <c r="G527" s="99"/>
      <c r="H527" s="98"/>
      <c r="N527" s="2"/>
      <c r="P527" s="2"/>
    </row>
    <row r="528" spans="1:16">
      <c r="A528" s="97"/>
      <c r="B528" s="97"/>
      <c r="C528" s="97"/>
      <c r="D528" s="97"/>
      <c r="E528" s="97"/>
      <c r="F528" s="98"/>
      <c r="G528" s="99"/>
      <c r="H528" s="98"/>
      <c r="N528" s="2"/>
      <c r="P528" s="2"/>
    </row>
    <row r="529" spans="1:16">
      <c r="A529" s="97"/>
      <c r="B529" s="97"/>
      <c r="C529" s="97"/>
      <c r="D529" s="97"/>
      <c r="E529" s="97"/>
      <c r="F529" s="98"/>
      <c r="G529" s="99"/>
      <c r="H529" s="98"/>
      <c r="N529" s="2"/>
      <c r="P529" s="2"/>
    </row>
    <row r="530" spans="1:16">
      <c r="A530" s="97"/>
      <c r="B530" s="97"/>
      <c r="C530" s="97"/>
      <c r="D530" s="97"/>
      <c r="E530" s="97"/>
      <c r="F530" s="98"/>
      <c r="G530" s="99"/>
      <c r="H530" s="98"/>
      <c r="N530" s="2"/>
      <c r="P530" s="2"/>
    </row>
    <row r="531" spans="1:16">
      <c r="A531" s="97"/>
      <c r="B531" s="97"/>
      <c r="C531" s="97"/>
      <c r="D531" s="97"/>
      <c r="E531" s="97"/>
      <c r="F531" s="98"/>
      <c r="G531" s="99"/>
      <c r="H531" s="98"/>
      <c r="N531" s="2"/>
      <c r="P531" s="2"/>
    </row>
    <row r="532" spans="1:16">
      <c r="A532" s="97"/>
      <c r="B532" s="97"/>
      <c r="C532" s="97"/>
      <c r="D532" s="97"/>
      <c r="E532" s="97"/>
      <c r="F532" s="98"/>
      <c r="G532" s="99"/>
      <c r="H532" s="98"/>
      <c r="N532" s="2"/>
      <c r="P532" s="2"/>
    </row>
    <row r="533" spans="1:16">
      <c r="A533" s="97"/>
      <c r="B533" s="97"/>
      <c r="C533" s="97"/>
      <c r="D533" s="97"/>
      <c r="E533" s="97"/>
      <c r="F533" s="98"/>
      <c r="G533" s="99"/>
      <c r="H533" s="98"/>
      <c r="N533" s="2"/>
      <c r="P533" s="2"/>
    </row>
    <row r="534" spans="1:16">
      <c r="A534" s="97"/>
      <c r="B534" s="97"/>
      <c r="C534" s="97"/>
      <c r="D534" s="97"/>
      <c r="E534" s="97"/>
      <c r="F534" s="98"/>
      <c r="G534" s="99"/>
      <c r="H534" s="98"/>
      <c r="N534" s="2"/>
      <c r="P534" s="2"/>
    </row>
    <row r="535" spans="1:16">
      <c r="A535" s="97"/>
      <c r="B535" s="97"/>
      <c r="C535" s="97"/>
      <c r="D535" s="97"/>
      <c r="E535" s="97"/>
      <c r="F535" s="98"/>
      <c r="G535" s="99"/>
      <c r="H535" s="98"/>
      <c r="N535" s="2"/>
      <c r="P535" s="2"/>
    </row>
    <row r="536" spans="1:16">
      <c r="A536" s="97"/>
      <c r="B536" s="97"/>
      <c r="C536" s="97"/>
      <c r="D536" s="97"/>
      <c r="E536" s="97"/>
      <c r="F536" s="98"/>
      <c r="G536" s="99"/>
      <c r="H536" s="98"/>
      <c r="N536" s="2"/>
      <c r="P536" s="2"/>
    </row>
    <row r="537" spans="1:16">
      <c r="A537" s="97"/>
      <c r="B537" s="97"/>
      <c r="C537" s="97"/>
      <c r="D537" s="97"/>
      <c r="E537" s="97"/>
      <c r="F537" s="98"/>
      <c r="G537" s="99"/>
      <c r="H537" s="98"/>
      <c r="N537" s="2"/>
      <c r="P537" s="2"/>
    </row>
    <row r="538" spans="1:16">
      <c r="A538" s="97"/>
      <c r="B538" s="97"/>
      <c r="C538" s="97"/>
      <c r="D538" s="97"/>
      <c r="E538" s="97"/>
      <c r="F538" s="98"/>
      <c r="G538" s="99"/>
      <c r="H538" s="98"/>
      <c r="N538" s="2"/>
      <c r="P538" s="2"/>
    </row>
    <row r="539" spans="1:16">
      <c r="A539" s="97"/>
      <c r="B539" s="97"/>
      <c r="C539" s="97"/>
      <c r="D539" s="97"/>
      <c r="E539" s="97"/>
      <c r="F539" s="98"/>
      <c r="G539" s="99"/>
      <c r="H539" s="98"/>
      <c r="N539" s="2"/>
      <c r="P539" s="2"/>
    </row>
    <row r="540" spans="1:16">
      <c r="A540" s="97"/>
      <c r="B540" s="97"/>
      <c r="C540" s="97"/>
      <c r="D540" s="97"/>
      <c r="E540" s="97"/>
      <c r="F540" s="98"/>
      <c r="G540" s="99"/>
      <c r="H540" s="98"/>
      <c r="N540" s="2"/>
      <c r="P540" s="2"/>
    </row>
    <row r="541" spans="1:16">
      <c r="A541" s="97"/>
      <c r="B541" s="97"/>
      <c r="C541" s="97"/>
      <c r="D541" s="97"/>
      <c r="E541" s="97"/>
      <c r="F541" s="98"/>
      <c r="G541" s="99"/>
      <c r="H541" s="98"/>
      <c r="N541" s="2"/>
      <c r="P541" s="2"/>
    </row>
    <row r="542" spans="1:16">
      <c r="A542" s="97"/>
      <c r="B542" s="97"/>
      <c r="C542" s="97"/>
      <c r="D542" s="97"/>
      <c r="E542" s="97"/>
      <c r="F542" s="98"/>
      <c r="G542" s="99"/>
      <c r="H542" s="98"/>
      <c r="N542" s="2"/>
      <c r="P542" s="2"/>
    </row>
    <row r="543" spans="1:16">
      <c r="A543" s="97"/>
      <c r="B543" s="97"/>
      <c r="C543" s="97"/>
      <c r="D543" s="97"/>
      <c r="E543" s="97"/>
      <c r="F543" s="98"/>
      <c r="G543" s="99"/>
      <c r="H543" s="98"/>
      <c r="N543" s="2"/>
      <c r="P543" s="2"/>
    </row>
    <row r="544" spans="1:16">
      <c r="A544" s="97"/>
      <c r="B544" s="97"/>
      <c r="C544" s="97"/>
      <c r="D544" s="97"/>
      <c r="E544" s="97"/>
      <c r="F544" s="98"/>
      <c r="G544" s="99"/>
      <c r="H544" s="98"/>
      <c r="N544" s="2"/>
      <c r="P544" s="2"/>
    </row>
    <row r="545" spans="1:16">
      <c r="A545" s="97"/>
      <c r="B545" s="97"/>
      <c r="C545" s="97"/>
      <c r="D545" s="97"/>
      <c r="E545" s="97"/>
      <c r="F545" s="98"/>
      <c r="G545" s="99"/>
      <c r="H545" s="98"/>
      <c r="N545" s="2"/>
      <c r="P545" s="2"/>
    </row>
    <row r="546" spans="1:16">
      <c r="A546" s="97"/>
      <c r="B546" s="97"/>
      <c r="C546" s="97"/>
      <c r="D546" s="97"/>
      <c r="E546" s="97"/>
      <c r="F546" s="98"/>
      <c r="G546" s="99"/>
      <c r="H546" s="98"/>
      <c r="N546" s="2"/>
      <c r="P546" s="2"/>
    </row>
    <row r="547" spans="1:16">
      <c r="A547" s="97"/>
      <c r="B547" s="97"/>
      <c r="C547" s="97"/>
      <c r="D547" s="97"/>
      <c r="E547" s="97"/>
      <c r="F547" s="98"/>
      <c r="G547" s="99"/>
      <c r="H547" s="98"/>
      <c r="N547" s="2"/>
      <c r="P547" s="2"/>
    </row>
    <row r="548" spans="1:16">
      <c r="A548" s="97"/>
      <c r="B548" s="97"/>
      <c r="C548" s="97"/>
      <c r="D548" s="97"/>
      <c r="E548" s="97"/>
      <c r="F548" s="98"/>
      <c r="G548" s="99"/>
      <c r="H548" s="98"/>
      <c r="N548" s="2"/>
      <c r="P548" s="2"/>
    </row>
    <row r="549" spans="1:16">
      <c r="A549" s="97"/>
      <c r="B549" s="97"/>
      <c r="C549" s="97"/>
      <c r="D549" s="97"/>
      <c r="E549" s="97"/>
      <c r="F549" s="98"/>
      <c r="G549" s="99"/>
      <c r="H549" s="98"/>
      <c r="N549" s="2"/>
      <c r="P549" s="2"/>
    </row>
    <row r="550" spans="1:16">
      <c r="A550" s="97"/>
      <c r="B550" s="97"/>
      <c r="C550" s="97"/>
      <c r="D550" s="97"/>
      <c r="E550" s="97"/>
      <c r="F550" s="98"/>
      <c r="G550" s="99"/>
      <c r="H550" s="98"/>
      <c r="N550" s="2"/>
      <c r="P550" s="2"/>
    </row>
    <row r="551" spans="1:16">
      <c r="A551" s="97"/>
      <c r="B551" s="97"/>
      <c r="C551" s="97"/>
      <c r="D551" s="97"/>
      <c r="E551" s="97"/>
      <c r="F551" s="98"/>
      <c r="G551" s="99"/>
      <c r="H551" s="98"/>
      <c r="N551" s="2"/>
      <c r="P551" s="2"/>
    </row>
    <row r="552" spans="1:16">
      <c r="A552" s="97"/>
      <c r="B552" s="97"/>
      <c r="C552" s="97"/>
      <c r="D552" s="97"/>
      <c r="E552" s="97"/>
      <c r="F552" s="98"/>
      <c r="G552" s="99"/>
      <c r="H552" s="98"/>
      <c r="N552" s="2"/>
      <c r="P552" s="2"/>
    </row>
    <row r="553" spans="1:16">
      <c r="A553" s="97"/>
      <c r="B553" s="97"/>
      <c r="C553" s="97"/>
      <c r="D553" s="97"/>
      <c r="E553" s="97"/>
      <c r="F553" s="98"/>
      <c r="G553" s="99"/>
      <c r="H553" s="98"/>
      <c r="N553" s="2"/>
      <c r="P553" s="2"/>
    </row>
    <row r="554" spans="1:16">
      <c r="A554" s="97"/>
      <c r="B554" s="97"/>
      <c r="C554" s="97"/>
      <c r="D554" s="97"/>
      <c r="E554" s="97"/>
      <c r="F554" s="98"/>
      <c r="G554" s="99"/>
      <c r="H554" s="98"/>
      <c r="N554" s="2"/>
      <c r="P554" s="2"/>
    </row>
    <row r="555" spans="1:16">
      <c r="A555" s="97"/>
      <c r="B555" s="97"/>
      <c r="C555" s="97"/>
      <c r="D555" s="97"/>
      <c r="E555" s="97"/>
      <c r="F555" s="98"/>
      <c r="G555" s="99"/>
      <c r="H555" s="98"/>
      <c r="N555" s="2"/>
      <c r="P555" s="2"/>
    </row>
    <row r="556" spans="1:16">
      <c r="A556" s="97"/>
      <c r="B556" s="97"/>
      <c r="C556" s="97"/>
      <c r="D556" s="97"/>
      <c r="E556" s="97"/>
      <c r="F556" s="98"/>
      <c r="G556" s="99"/>
      <c r="H556" s="98"/>
      <c r="N556" s="2"/>
      <c r="P556" s="2"/>
    </row>
    <row r="557" spans="1:16">
      <c r="A557" s="97"/>
      <c r="B557" s="97"/>
      <c r="C557" s="97"/>
      <c r="D557" s="97"/>
      <c r="E557" s="97"/>
      <c r="F557" s="98"/>
      <c r="G557" s="99"/>
      <c r="H557" s="98"/>
      <c r="N557" s="2"/>
      <c r="P557" s="2"/>
    </row>
    <row r="558" spans="1:16">
      <c r="A558" s="97"/>
      <c r="B558" s="97"/>
      <c r="C558" s="97"/>
      <c r="D558" s="97"/>
      <c r="E558" s="97"/>
      <c r="F558" s="98"/>
      <c r="G558" s="99"/>
      <c r="H558" s="98"/>
      <c r="N558" s="2"/>
      <c r="P558" s="2"/>
    </row>
    <row r="559" spans="1:16">
      <c r="A559" s="97"/>
      <c r="B559" s="97"/>
      <c r="C559" s="97"/>
      <c r="D559" s="97"/>
      <c r="E559" s="97"/>
      <c r="F559" s="98"/>
      <c r="G559" s="99"/>
      <c r="H559" s="98"/>
      <c r="N559" s="2"/>
      <c r="P559" s="2"/>
    </row>
    <row r="560" spans="1:16">
      <c r="A560" s="97"/>
      <c r="B560" s="97"/>
      <c r="C560" s="97"/>
      <c r="D560" s="97"/>
      <c r="E560" s="97"/>
      <c r="F560" s="98"/>
      <c r="G560" s="99"/>
      <c r="H560" s="98"/>
      <c r="N560" s="2"/>
      <c r="P560" s="2"/>
    </row>
    <row r="561" spans="1:16">
      <c r="A561" s="97"/>
      <c r="B561" s="97"/>
      <c r="C561" s="97"/>
      <c r="D561" s="97"/>
      <c r="E561" s="97"/>
      <c r="F561" s="98"/>
      <c r="G561" s="99"/>
      <c r="H561" s="98"/>
      <c r="N561" s="2"/>
      <c r="P561" s="2"/>
    </row>
    <row r="562" spans="1:16">
      <c r="A562" s="97"/>
      <c r="B562" s="97"/>
      <c r="C562" s="97"/>
      <c r="D562" s="97"/>
      <c r="E562" s="97"/>
      <c r="F562" s="98"/>
      <c r="G562" s="99"/>
      <c r="H562" s="98"/>
      <c r="N562" s="2"/>
      <c r="P562" s="2"/>
    </row>
    <row r="563" spans="1:16">
      <c r="A563" s="97"/>
      <c r="B563" s="97"/>
      <c r="C563" s="97"/>
      <c r="D563" s="97"/>
      <c r="E563" s="97"/>
      <c r="F563" s="98"/>
      <c r="G563" s="99"/>
      <c r="H563" s="98"/>
      <c r="N563" s="2"/>
      <c r="P563" s="2"/>
    </row>
    <row r="564" spans="1:16">
      <c r="A564" s="97"/>
      <c r="B564" s="97"/>
      <c r="C564" s="97"/>
      <c r="D564" s="97"/>
      <c r="E564" s="97"/>
      <c r="F564" s="98"/>
      <c r="G564" s="99"/>
      <c r="H564" s="98"/>
      <c r="N564" s="2"/>
      <c r="P564" s="2"/>
    </row>
    <row r="565" spans="1:16">
      <c r="A565" s="97"/>
      <c r="B565" s="97"/>
      <c r="C565" s="97"/>
      <c r="D565" s="97"/>
      <c r="E565" s="97"/>
      <c r="F565" s="98"/>
      <c r="G565" s="99"/>
      <c r="H565" s="98"/>
      <c r="N565" s="2"/>
      <c r="P565" s="2"/>
    </row>
    <row r="566" spans="1:16">
      <c r="A566" s="97"/>
      <c r="B566" s="97"/>
      <c r="C566" s="97"/>
      <c r="D566" s="97"/>
      <c r="E566" s="97"/>
      <c r="F566" s="98"/>
      <c r="G566" s="99"/>
      <c r="H566" s="98"/>
      <c r="N566" s="2"/>
      <c r="P566" s="2"/>
    </row>
    <row r="567" spans="1:16">
      <c r="A567" s="97"/>
      <c r="B567" s="97"/>
      <c r="C567" s="97"/>
      <c r="D567" s="97"/>
      <c r="E567" s="97"/>
      <c r="F567" s="98"/>
      <c r="G567" s="99"/>
      <c r="H567" s="98"/>
      <c r="N567" s="2"/>
      <c r="P567" s="2"/>
    </row>
    <row r="568" spans="1:16">
      <c r="A568" s="97"/>
      <c r="B568" s="97"/>
      <c r="C568" s="97"/>
      <c r="D568" s="97"/>
      <c r="E568" s="97"/>
      <c r="F568" s="98"/>
      <c r="G568" s="99"/>
      <c r="H568" s="98"/>
      <c r="N568" s="2"/>
      <c r="P568" s="2"/>
    </row>
    <row r="569" spans="1:16">
      <c r="A569" s="97"/>
      <c r="B569" s="97"/>
      <c r="C569" s="97"/>
      <c r="D569" s="97"/>
      <c r="E569" s="97"/>
      <c r="F569" s="98"/>
      <c r="G569" s="99"/>
      <c r="H569" s="98"/>
      <c r="N569" s="2"/>
      <c r="P569" s="2"/>
    </row>
    <row r="570" spans="1:16">
      <c r="A570" s="97"/>
      <c r="B570" s="97"/>
      <c r="C570" s="97"/>
      <c r="D570" s="97"/>
      <c r="E570" s="97"/>
      <c r="F570" s="98"/>
      <c r="G570" s="99"/>
      <c r="H570" s="98"/>
      <c r="N570" s="2"/>
      <c r="P570" s="2"/>
    </row>
    <row r="571" spans="1:16">
      <c r="A571" s="97"/>
      <c r="B571" s="97"/>
      <c r="C571" s="97"/>
      <c r="D571" s="97"/>
      <c r="E571" s="97"/>
      <c r="F571" s="98"/>
      <c r="G571" s="99"/>
      <c r="H571" s="98"/>
      <c r="N571" s="2"/>
      <c r="P571" s="2"/>
    </row>
    <row r="572" spans="1:16">
      <c r="A572" s="97"/>
      <c r="B572" s="97"/>
      <c r="C572" s="97"/>
      <c r="D572" s="97"/>
      <c r="E572" s="97"/>
      <c r="F572" s="98"/>
      <c r="G572" s="99"/>
      <c r="H572" s="98"/>
      <c r="N572" s="2"/>
      <c r="P572" s="2"/>
    </row>
    <row r="573" spans="1:16">
      <c r="A573" s="97"/>
      <c r="B573" s="97"/>
      <c r="C573" s="97"/>
      <c r="D573" s="97"/>
      <c r="E573" s="97"/>
      <c r="F573" s="98"/>
      <c r="G573" s="99"/>
      <c r="H573" s="98"/>
      <c r="N573" s="2"/>
      <c r="P573" s="2"/>
    </row>
    <row r="574" spans="1:16">
      <c r="A574" s="97"/>
      <c r="B574" s="97"/>
      <c r="C574" s="97"/>
      <c r="D574" s="97"/>
      <c r="E574" s="97"/>
      <c r="F574" s="98"/>
      <c r="G574" s="99"/>
      <c r="H574" s="98"/>
      <c r="N574" s="2"/>
      <c r="P574" s="2"/>
    </row>
    <row r="575" spans="1:16">
      <c r="A575" s="97"/>
      <c r="B575" s="97"/>
      <c r="C575" s="97"/>
      <c r="D575" s="97"/>
      <c r="E575" s="97"/>
      <c r="F575" s="98"/>
      <c r="G575" s="99"/>
      <c r="H575" s="98"/>
      <c r="N575" s="2"/>
      <c r="P575" s="2"/>
    </row>
    <row r="576" spans="1:16">
      <c r="A576" s="97"/>
      <c r="B576" s="97"/>
      <c r="C576" s="97"/>
      <c r="D576" s="97"/>
      <c r="E576" s="97"/>
      <c r="F576" s="98"/>
      <c r="G576" s="99"/>
      <c r="H576" s="98"/>
      <c r="N576" s="2"/>
      <c r="P576" s="2"/>
    </row>
    <row r="577" spans="1:16">
      <c r="A577" s="97"/>
      <c r="B577" s="97"/>
      <c r="C577" s="97"/>
      <c r="D577" s="97"/>
      <c r="E577" s="97"/>
      <c r="F577" s="98"/>
      <c r="G577" s="99"/>
      <c r="H577" s="98"/>
      <c r="N577" s="2"/>
      <c r="P577" s="2"/>
    </row>
    <row r="578" spans="1:16">
      <c r="A578" s="97"/>
      <c r="B578" s="97"/>
      <c r="C578" s="97"/>
      <c r="D578" s="97"/>
      <c r="E578" s="97"/>
      <c r="F578" s="98"/>
      <c r="G578" s="99"/>
      <c r="H578" s="98"/>
      <c r="N578" s="2"/>
      <c r="P578" s="2"/>
    </row>
    <row r="579" spans="1:16">
      <c r="A579" s="97"/>
      <c r="B579" s="97"/>
      <c r="C579" s="97"/>
      <c r="D579" s="97"/>
      <c r="E579" s="97"/>
      <c r="F579" s="98"/>
      <c r="G579" s="99"/>
      <c r="H579" s="98"/>
      <c r="N579" s="2"/>
      <c r="P579" s="2"/>
    </row>
    <row r="580" spans="1:16">
      <c r="A580" s="97"/>
      <c r="B580" s="97"/>
      <c r="C580" s="97"/>
      <c r="D580" s="97"/>
      <c r="E580" s="97"/>
      <c r="F580" s="98"/>
      <c r="G580" s="99"/>
      <c r="H580" s="98"/>
      <c r="N580" s="2"/>
      <c r="P580" s="2"/>
    </row>
    <row r="581" spans="1:16">
      <c r="A581" s="97"/>
      <c r="B581" s="97"/>
      <c r="C581" s="97"/>
      <c r="D581" s="97"/>
      <c r="E581" s="97"/>
      <c r="F581" s="98"/>
      <c r="G581" s="99"/>
      <c r="H581" s="98"/>
      <c r="N581" s="2"/>
      <c r="P581" s="2"/>
    </row>
    <row r="582" spans="1:16">
      <c r="A582" s="97"/>
      <c r="B582" s="97"/>
      <c r="C582" s="97"/>
      <c r="D582" s="97"/>
      <c r="E582" s="97"/>
      <c r="F582" s="98"/>
      <c r="G582" s="99"/>
      <c r="H582" s="98"/>
      <c r="N582" s="2"/>
      <c r="P582" s="2"/>
    </row>
    <row r="583" spans="1:16">
      <c r="A583" s="97"/>
      <c r="B583" s="97"/>
      <c r="C583" s="97"/>
      <c r="D583" s="97"/>
      <c r="E583" s="97"/>
      <c r="F583" s="98"/>
      <c r="G583" s="99"/>
      <c r="H583" s="98"/>
      <c r="N583" s="2"/>
      <c r="P583" s="2"/>
    </row>
    <row r="584" spans="1:16">
      <c r="A584" s="97"/>
      <c r="B584" s="97"/>
      <c r="C584" s="97"/>
      <c r="D584" s="97"/>
      <c r="E584" s="97"/>
      <c r="F584" s="98"/>
      <c r="G584" s="99"/>
      <c r="H584" s="98"/>
      <c r="N584" s="2"/>
      <c r="P584" s="2"/>
    </row>
    <row r="585" spans="1:16">
      <c r="A585" s="97"/>
      <c r="B585" s="97"/>
      <c r="C585" s="97"/>
      <c r="D585" s="97"/>
      <c r="E585" s="97"/>
      <c r="F585" s="98"/>
      <c r="G585" s="99"/>
      <c r="H585" s="98"/>
      <c r="N585" s="2"/>
      <c r="P585" s="2"/>
    </row>
    <row r="586" spans="1:16">
      <c r="A586" s="97"/>
      <c r="B586" s="97"/>
      <c r="C586" s="97"/>
      <c r="D586" s="97"/>
      <c r="E586" s="97"/>
      <c r="F586" s="98"/>
      <c r="G586" s="99"/>
      <c r="H586" s="98"/>
      <c r="N586" s="2"/>
      <c r="P586" s="2"/>
    </row>
    <row r="587" spans="1:16">
      <c r="A587" s="97"/>
      <c r="B587" s="97"/>
      <c r="C587" s="97"/>
      <c r="D587" s="97"/>
      <c r="E587" s="97"/>
      <c r="F587" s="98"/>
      <c r="G587" s="99"/>
      <c r="H587" s="98"/>
      <c r="N587" s="2"/>
      <c r="P587" s="2"/>
    </row>
    <row r="588" spans="1:16">
      <c r="A588" s="97"/>
      <c r="B588" s="97"/>
      <c r="C588" s="97"/>
      <c r="D588" s="97"/>
      <c r="E588" s="97"/>
      <c r="F588" s="98"/>
      <c r="G588" s="99"/>
      <c r="H588" s="98"/>
      <c r="N588" s="2"/>
      <c r="P588" s="2"/>
    </row>
    <row r="589" spans="1:16">
      <c r="A589" s="97"/>
      <c r="B589" s="97"/>
      <c r="C589" s="97"/>
      <c r="D589" s="97"/>
      <c r="E589" s="97"/>
      <c r="F589" s="98"/>
      <c r="G589" s="99"/>
      <c r="H589" s="98"/>
      <c r="N589" s="2"/>
      <c r="P589" s="2"/>
    </row>
    <row r="590" spans="1:16">
      <c r="A590" s="97"/>
      <c r="B590" s="97"/>
      <c r="C590" s="97"/>
      <c r="D590" s="97"/>
      <c r="E590" s="97"/>
      <c r="F590" s="98"/>
      <c r="G590" s="99"/>
      <c r="H590" s="98"/>
      <c r="N590" s="2"/>
      <c r="P590" s="2"/>
    </row>
    <row r="591" spans="1:16">
      <c r="A591" s="97"/>
      <c r="B591" s="97"/>
      <c r="C591" s="97"/>
      <c r="D591" s="97"/>
      <c r="E591" s="97"/>
      <c r="F591" s="98"/>
      <c r="G591" s="99"/>
      <c r="H591" s="98"/>
      <c r="N591" s="2"/>
      <c r="P591" s="2"/>
    </row>
    <row r="592" spans="1:16">
      <c r="A592" s="97"/>
      <c r="B592" s="97"/>
      <c r="C592" s="97"/>
      <c r="D592" s="97"/>
      <c r="E592" s="97"/>
      <c r="F592" s="98"/>
      <c r="G592" s="99"/>
      <c r="H592" s="98"/>
      <c r="N592" s="2"/>
      <c r="P592" s="2"/>
    </row>
    <row r="593" spans="1:16">
      <c r="A593" s="97"/>
      <c r="B593" s="97"/>
      <c r="C593" s="97"/>
      <c r="D593" s="97"/>
      <c r="E593" s="97"/>
      <c r="F593" s="98"/>
      <c r="G593" s="99"/>
      <c r="H593" s="98"/>
      <c r="N593" s="2"/>
      <c r="P593" s="2"/>
    </row>
    <row r="594" spans="1:16">
      <c r="A594" s="97"/>
      <c r="B594" s="97"/>
      <c r="C594" s="97"/>
      <c r="D594" s="97"/>
      <c r="E594" s="97"/>
      <c r="F594" s="98"/>
      <c r="G594" s="99"/>
      <c r="H594" s="98"/>
      <c r="N594" s="2"/>
      <c r="P594" s="2"/>
    </row>
    <row r="595" spans="1:16">
      <c r="A595" s="97"/>
      <c r="B595" s="97"/>
      <c r="C595" s="97"/>
      <c r="D595" s="97"/>
      <c r="E595" s="97"/>
      <c r="F595" s="98"/>
      <c r="G595" s="99"/>
      <c r="H595" s="98"/>
      <c r="N595" s="2"/>
      <c r="P595" s="2"/>
    </row>
    <row r="596" spans="1:16">
      <c r="A596" s="97"/>
      <c r="B596" s="97"/>
      <c r="C596" s="97"/>
      <c r="D596" s="97"/>
      <c r="E596" s="97"/>
      <c r="F596" s="98"/>
      <c r="G596" s="99"/>
      <c r="H596" s="98"/>
      <c r="N596" s="2"/>
      <c r="P596" s="2"/>
    </row>
    <row r="597" spans="1:16">
      <c r="A597" s="97"/>
      <c r="B597" s="97"/>
      <c r="C597" s="97"/>
      <c r="D597" s="97"/>
      <c r="E597" s="97"/>
      <c r="F597" s="98"/>
      <c r="G597" s="99"/>
      <c r="H597" s="98"/>
      <c r="N597" s="2"/>
      <c r="P597" s="2"/>
    </row>
    <row r="598" spans="1:16">
      <c r="A598" s="97"/>
      <c r="B598" s="97"/>
      <c r="C598" s="97"/>
      <c r="D598" s="97"/>
      <c r="E598" s="97"/>
      <c r="F598" s="98"/>
      <c r="G598" s="99"/>
      <c r="H598" s="98"/>
      <c r="N598" s="2"/>
      <c r="P598" s="2"/>
    </row>
    <row r="599" spans="1:16">
      <c r="A599" s="97"/>
      <c r="B599" s="97"/>
      <c r="C599" s="97"/>
      <c r="D599" s="97"/>
      <c r="E599" s="97"/>
      <c r="F599" s="98"/>
      <c r="G599" s="99"/>
      <c r="H599" s="98"/>
      <c r="N599" s="2"/>
      <c r="P599" s="2"/>
    </row>
    <row r="600" spans="1:16">
      <c r="A600" s="97"/>
      <c r="B600" s="97"/>
      <c r="C600" s="97"/>
      <c r="D600" s="97"/>
      <c r="E600" s="97"/>
      <c r="F600" s="98"/>
      <c r="G600" s="99"/>
      <c r="H600" s="98"/>
      <c r="N600" s="2"/>
      <c r="P600" s="2"/>
    </row>
    <row r="601" spans="1:16">
      <c r="A601" s="97"/>
      <c r="B601" s="97"/>
      <c r="C601" s="97"/>
      <c r="D601" s="97"/>
      <c r="E601" s="97"/>
      <c r="F601" s="98"/>
      <c r="G601" s="99"/>
      <c r="H601" s="98"/>
      <c r="N601" s="2"/>
      <c r="P601" s="2"/>
    </row>
    <row r="602" spans="1:16">
      <c r="A602" s="97"/>
      <c r="B602" s="97"/>
      <c r="C602" s="97"/>
      <c r="D602" s="97"/>
      <c r="E602" s="97"/>
      <c r="F602" s="98"/>
      <c r="G602" s="99"/>
      <c r="H602" s="98"/>
      <c r="N602" s="2"/>
      <c r="P602" s="2"/>
    </row>
    <row r="603" spans="1:16">
      <c r="A603" s="97"/>
      <c r="B603" s="97"/>
      <c r="C603" s="97"/>
      <c r="D603" s="97"/>
      <c r="E603" s="97"/>
      <c r="F603" s="98"/>
      <c r="G603" s="99"/>
      <c r="H603" s="98"/>
      <c r="N603" s="2"/>
      <c r="P603" s="2"/>
    </row>
    <row r="604" spans="1:16">
      <c r="A604" s="97"/>
      <c r="B604" s="97"/>
      <c r="C604" s="97"/>
      <c r="D604" s="97"/>
      <c r="E604" s="97"/>
      <c r="F604" s="98"/>
      <c r="G604" s="99"/>
      <c r="H604" s="98"/>
      <c r="N604" s="2"/>
      <c r="P604" s="2"/>
    </row>
    <row r="605" spans="1:16">
      <c r="A605" s="97"/>
      <c r="B605" s="97"/>
      <c r="C605" s="97"/>
      <c r="D605" s="97"/>
      <c r="E605" s="97"/>
      <c r="F605" s="98"/>
      <c r="G605" s="99"/>
      <c r="H605" s="98"/>
      <c r="N605" s="2"/>
      <c r="P605" s="2"/>
    </row>
    <row r="606" spans="1:16">
      <c r="A606" s="97"/>
      <c r="B606" s="97"/>
      <c r="C606" s="97"/>
      <c r="D606" s="97"/>
      <c r="E606" s="97"/>
      <c r="F606" s="98"/>
      <c r="G606" s="99"/>
      <c r="H606" s="98"/>
      <c r="N606" s="2"/>
      <c r="P606" s="2"/>
    </row>
    <row r="607" spans="1:16">
      <c r="A607" s="97"/>
      <c r="B607" s="97"/>
      <c r="C607" s="97"/>
      <c r="D607" s="97"/>
      <c r="E607" s="97"/>
      <c r="F607" s="98"/>
      <c r="G607" s="99"/>
      <c r="H607" s="98"/>
      <c r="N607" s="2"/>
      <c r="P607" s="2"/>
    </row>
    <row r="608" spans="1:16">
      <c r="A608" s="97"/>
      <c r="B608" s="97"/>
      <c r="C608" s="97"/>
      <c r="D608" s="97"/>
      <c r="E608" s="97"/>
      <c r="F608" s="98"/>
      <c r="G608" s="99"/>
      <c r="H608" s="98"/>
      <c r="N608" s="2"/>
      <c r="P608" s="2"/>
    </row>
    <row r="609" spans="1:16">
      <c r="A609" s="97"/>
      <c r="B609" s="97"/>
      <c r="C609" s="97"/>
      <c r="D609" s="97"/>
      <c r="E609" s="97"/>
      <c r="F609" s="98"/>
      <c r="G609" s="99"/>
      <c r="H609" s="98"/>
      <c r="N609" s="2"/>
      <c r="P609" s="2"/>
    </row>
    <row r="610" spans="1:16">
      <c r="A610" s="97"/>
      <c r="B610" s="97"/>
      <c r="C610" s="97"/>
      <c r="D610" s="97"/>
      <c r="E610" s="97"/>
      <c r="F610" s="98"/>
      <c r="G610" s="99"/>
      <c r="H610" s="98"/>
      <c r="N610" s="2"/>
      <c r="P610" s="2"/>
    </row>
    <row r="611" spans="1:16">
      <c r="A611" s="97"/>
      <c r="B611" s="97"/>
      <c r="C611" s="97"/>
      <c r="D611" s="97"/>
      <c r="E611" s="97"/>
      <c r="F611" s="98"/>
      <c r="G611" s="99"/>
      <c r="H611" s="98"/>
      <c r="N611" s="2"/>
      <c r="P611" s="2"/>
    </row>
    <row r="612" spans="1:16">
      <c r="A612" s="97"/>
      <c r="B612" s="97"/>
      <c r="C612" s="97"/>
      <c r="D612" s="97"/>
      <c r="E612" s="97"/>
      <c r="F612" s="98"/>
      <c r="G612" s="99"/>
      <c r="H612" s="98"/>
      <c r="N612" s="2"/>
      <c r="P612" s="2"/>
    </row>
    <row r="613" spans="1:16">
      <c r="A613" s="97"/>
      <c r="B613" s="97"/>
      <c r="C613" s="97"/>
      <c r="D613" s="97"/>
      <c r="E613" s="97"/>
      <c r="F613" s="98"/>
      <c r="G613" s="99"/>
      <c r="H613" s="98"/>
      <c r="N613" s="2"/>
      <c r="P613" s="2"/>
    </row>
    <row r="614" spans="1:16">
      <c r="A614" s="97"/>
      <c r="B614" s="97"/>
      <c r="C614" s="97"/>
      <c r="D614" s="97"/>
      <c r="E614" s="97"/>
      <c r="F614" s="98"/>
      <c r="G614" s="99"/>
      <c r="H614" s="98"/>
      <c r="N614" s="2"/>
      <c r="P614" s="2"/>
    </row>
    <row r="615" spans="1:16">
      <c r="A615" s="97"/>
      <c r="B615" s="97"/>
      <c r="C615" s="97"/>
      <c r="D615" s="97"/>
      <c r="E615" s="97"/>
      <c r="F615" s="98"/>
      <c r="G615" s="99"/>
      <c r="H615" s="98"/>
      <c r="N615" s="2"/>
      <c r="P615" s="2"/>
    </row>
    <row r="616" spans="1:16">
      <c r="A616" s="97"/>
      <c r="B616" s="97"/>
      <c r="C616" s="97"/>
      <c r="D616" s="97"/>
      <c r="E616" s="97"/>
      <c r="F616" s="98"/>
      <c r="G616" s="99"/>
      <c r="H616" s="98"/>
      <c r="N616" s="2"/>
      <c r="P616" s="2"/>
    </row>
    <row r="617" spans="1:16">
      <c r="A617" s="97"/>
      <c r="B617" s="97"/>
      <c r="C617" s="97"/>
      <c r="D617" s="97"/>
      <c r="E617" s="97"/>
      <c r="F617" s="98"/>
      <c r="G617" s="99"/>
      <c r="H617" s="98"/>
      <c r="N617" s="2"/>
      <c r="P617" s="2"/>
    </row>
    <row r="618" spans="1:16">
      <c r="A618" s="97"/>
      <c r="B618" s="97"/>
      <c r="C618" s="97"/>
      <c r="D618" s="97"/>
      <c r="E618" s="97"/>
      <c r="F618" s="98"/>
      <c r="G618" s="99"/>
      <c r="H618" s="98"/>
      <c r="N618" s="2"/>
      <c r="P618" s="2"/>
    </row>
    <row r="619" spans="1:16">
      <c r="A619" s="97"/>
      <c r="B619" s="97"/>
      <c r="C619" s="97"/>
      <c r="D619" s="97"/>
      <c r="E619" s="97"/>
      <c r="F619" s="98"/>
      <c r="G619" s="99"/>
      <c r="H619" s="98"/>
      <c r="N619" s="2"/>
      <c r="P619" s="2"/>
    </row>
    <row r="620" spans="1:16">
      <c r="A620" s="97"/>
      <c r="B620" s="97"/>
      <c r="C620" s="97"/>
      <c r="D620" s="97"/>
      <c r="E620" s="97"/>
      <c r="F620" s="98"/>
      <c r="G620" s="99"/>
      <c r="H620" s="98"/>
      <c r="N620" s="2"/>
      <c r="P620" s="2"/>
    </row>
    <row r="621" spans="1:16">
      <c r="A621" s="97"/>
      <c r="B621" s="97"/>
      <c r="C621" s="97"/>
      <c r="D621" s="97"/>
      <c r="E621" s="97"/>
      <c r="F621" s="98"/>
      <c r="G621" s="99"/>
      <c r="H621" s="98"/>
      <c r="N621" s="2"/>
      <c r="P621" s="2"/>
    </row>
    <row r="622" spans="1:16">
      <c r="A622" s="97"/>
      <c r="B622" s="97"/>
      <c r="C622" s="97"/>
      <c r="D622" s="97"/>
      <c r="E622" s="97"/>
      <c r="F622" s="98"/>
      <c r="G622" s="99"/>
      <c r="H622" s="98"/>
      <c r="N622" s="2"/>
      <c r="P622" s="2"/>
    </row>
    <row r="623" spans="1:16">
      <c r="A623" s="97"/>
      <c r="B623" s="97"/>
      <c r="C623" s="97"/>
      <c r="D623" s="97"/>
      <c r="E623" s="97"/>
      <c r="F623" s="98"/>
      <c r="G623" s="99"/>
      <c r="H623" s="98"/>
      <c r="N623" s="2"/>
      <c r="P623" s="2"/>
    </row>
    <row r="624" spans="1:16">
      <c r="A624" s="97"/>
      <c r="B624" s="97"/>
      <c r="C624" s="97"/>
      <c r="D624" s="97"/>
      <c r="E624" s="97"/>
      <c r="F624" s="98"/>
      <c r="G624" s="99"/>
      <c r="H624" s="98"/>
      <c r="N624" s="2"/>
      <c r="P624" s="2"/>
    </row>
    <row r="625" spans="1:16">
      <c r="A625" s="97"/>
      <c r="B625" s="97"/>
      <c r="C625" s="97"/>
      <c r="D625" s="97"/>
      <c r="E625" s="97"/>
      <c r="F625" s="98"/>
      <c r="G625" s="99"/>
      <c r="H625" s="98"/>
      <c r="N625" s="2"/>
      <c r="P625" s="2"/>
    </row>
    <row r="626" spans="1:16">
      <c r="A626" s="97"/>
      <c r="B626" s="97"/>
      <c r="C626" s="97"/>
      <c r="D626" s="97"/>
      <c r="E626" s="97"/>
      <c r="F626" s="98"/>
      <c r="G626" s="99"/>
      <c r="H626" s="98"/>
      <c r="N626" s="2"/>
      <c r="P626" s="2"/>
    </row>
    <row r="627" spans="1:16">
      <c r="A627" s="97"/>
      <c r="B627" s="97"/>
      <c r="C627" s="97"/>
      <c r="D627" s="97"/>
      <c r="E627" s="97"/>
      <c r="F627" s="98"/>
      <c r="G627" s="99"/>
      <c r="H627" s="98"/>
      <c r="N627" s="2"/>
      <c r="P627" s="2"/>
    </row>
    <row r="628" spans="1:16">
      <c r="A628" s="97"/>
      <c r="B628" s="97"/>
      <c r="C628" s="97"/>
      <c r="D628" s="97"/>
      <c r="E628" s="97"/>
      <c r="F628" s="98"/>
      <c r="G628" s="99"/>
      <c r="H628" s="98"/>
      <c r="N628" s="2"/>
      <c r="P628" s="2"/>
    </row>
    <row r="629" spans="1:16">
      <c r="A629" s="97"/>
      <c r="B629" s="97"/>
      <c r="C629" s="97"/>
      <c r="D629" s="97"/>
      <c r="E629" s="97"/>
      <c r="F629" s="98"/>
      <c r="G629" s="99"/>
      <c r="H629" s="98"/>
      <c r="N629" s="2"/>
      <c r="P629" s="2"/>
    </row>
    <row r="630" spans="1:16">
      <c r="A630" s="97"/>
      <c r="B630" s="97"/>
      <c r="C630" s="97"/>
      <c r="D630" s="97"/>
      <c r="E630" s="97"/>
      <c r="F630" s="98"/>
      <c r="G630" s="99"/>
      <c r="H630" s="98"/>
      <c r="N630" s="2"/>
      <c r="P630" s="2"/>
    </row>
    <row r="631" spans="1:16">
      <c r="A631" s="97"/>
      <c r="B631" s="97"/>
      <c r="C631" s="97"/>
      <c r="D631" s="97"/>
      <c r="E631" s="97"/>
      <c r="F631" s="98"/>
      <c r="G631" s="99"/>
      <c r="H631" s="98"/>
      <c r="N631" s="2"/>
      <c r="P631" s="2"/>
    </row>
    <row r="632" spans="1:16">
      <c r="A632" s="97"/>
      <c r="B632" s="97"/>
      <c r="C632" s="97"/>
      <c r="D632" s="97"/>
      <c r="E632" s="97"/>
      <c r="F632" s="98"/>
      <c r="G632" s="99"/>
      <c r="H632" s="98"/>
      <c r="N632" s="2"/>
      <c r="P632" s="2"/>
    </row>
    <row r="633" spans="1:16">
      <c r="A633" s="97"/>
      <c r="B633" s="97"/>
      <c r="C633" s="97"/>
      <c r="D633" s="97"/>
      <c r="E633" s="97"/>
      <c r="F633" s="98"/>
      <c r="G633" s="99"/>
      <c r="H633" s="98"/>
      <c r="N633" s="2"/>
      <c r="P633" s="2"/>
    </row>
    <row r="634" spans="1:16">
      <c r="A634" s="97"/>
      <c r="B634" s="97"/>
      <c r="C634" s="97"/>
      <c r="D634" s="97"/>
      <c r="E634" s="97"/>
      <c r="F634" s="98"/>
      <c r="G634" s="99"/>
      <c r="H634" s="98"/>
      <c r="N634" s="2"/>
      <c r="P634" s="2"/>
    </row>
    <row r="635" spans="1:16">
      <c r="A635" s="97"/>
      <c r="B635" s="97"/>
      <c r="C635" s="97"/>
      <c r="D635" s="97"/>
      <c r="E635" s="97"/>
      <c r="F635" s="98"/>
      <c r="G635" s="99"/>
      <c r="H635" s="98"/>
      <c r="N635" s="2"/>
      <c r="P635" s="2"/>
    </row>
    <row r="636" spans="1:16">
      <c r="A636" s="97"/>
      <c r="B636" s="97"/>
      <c r="C636" s="97"/>
      <c r="D636" s="97"/>
      <c r="E636" s="97"/>
      <c r="F636" s="98"/>
      <c r="G636" s="99"/>
      <c r="H636" s="98"/>
      <c r="N636" s="2"/>
      <c r="P636" s="2"/>
    </row>
    <row r="637" spans="1:16">
      <c r="A637" s="97"/>
      <c r="B637" s="97"/>
      <c r="C637" s="97"/>
      <c r="D637" s="97"/>
      <c r="E637" s="97"/>
      <c r="F637" s="98"/>
      <c r="G637" s="99"/>
      <c r="H637" s="98"/>
      <c r="N637" s="2"/>
      <c r="P637" s="2"/>
    </row>
    <row r="638" spans="1:16">
      <c r="A638" s="97"/>
      <c r="B638" s="97"/>
      <c r="C638" s="97"/>
      <c r="D638" s="97"/>
      <c r="E638" s="97"/>
      <c r="F638" s="98"/>
      <c r="G638" s="99"/>
      <c r="H638" s="98"/>
      <c r="N638" s="2"/>
      <c r="P638" s="2"/>
    </row>
    <row r="639" spans="1:16">
      <c r="A639" s="97"/>
      <c r="B639" s="97"/>
      <c r="C639" s="97"/>
      <c r="D639" s="97"/>
      <c r="E639" s="97"/>
      <c r="F639" s="98"/>
      <c r="G639" s="99"/>
      <c r="H639" s="98"/>
      <c r="N639" s="2"/>
      <c r="P639" s="2"/>
    </row>
    <row r="640" spans="1:16">
      <c r="A640" s="97"/>
      <c r="B640" s="97"/>
      <c r="C640" s="97"/>
      <c r="D640" s="97"/>
      <c r="E640" s="97"/>
      <c r="F640" s="98"/>
      <c r="G640" s="99"/>
      <c r="H640" s="98"/>
      <c r="N640" s="2"/>
      <c r="P640" s="2"/>
    </row>
    <row r="641" spans="1:16">
      <c r="A641" s="97"/>
      <c r="B641" s="97"/>
      <c r="C641" s="97"/>
      <c r="D641" s="97"/>
      <c r="E641" s="97"/>
      <c r="F641" s="98"/>
      <c r="G641" s="99"/>
      <c r="H641" s="98"/>
      <c r="N641" s="2"/>
      <c r="P641" s="2"/>
    </row>
    <row r="642" spans="1:16">
      <c r="A642" s="97"/>
      <c r="B642" s="97"/>
      <c r="C642" s="97"/>
      <c r="D642" s="97"/>
      <c r="E642" s="97"/>
      <c r="F642" s="98"/>
      <c r="G642" s="99"/>
      <c r="H642" s="98"/>
      <c r="N642" s="2"/>
      <c r="P642" s="2"/>
    </row>
    <row r="643" spans="1:16">
      <c r="A643" s="97"/>
      <c r="B643" s="97"/>
      <c r="C643" s="97"/>
      <c r="D643" s="97"/>
      <c r="E643" s="97"/>
      <c r="F643" s="98"/>
      <c r="G643" s="99"/>
      <c r="H643" s="98"/>
      <c r="N643" s="2"/>
      <c r="P643" s="2"/>
    </row>
    <row r="644" spans="1:16">
      <c r="A644" s="97"/>
      <c r="B644" s="97"/>
      <c r="C644" s="97"/>
      <c r="D644" s="97"/>
      <c r="E644" s="97"/>
      <c r="F644" s="98"/>
      <c r="G644" s="99"/>
      <c r="H644" s="98"/>
      <c r="N644" s="2"/>
      <c r="P644" s="2"/>
    </row>
    <row r="645" spans="1:16">
      <c r="A645" s="97"/>
      <c r="B645" s="97"/>
      <c r="C645" s="97"/>
      <c r="D645" s="97"/>
      <c r="E645" s="97"/>
      <c r="F645" s="98"/>
      <c r="G645" s="99"/>
      <c r="H645" s="98"/>
      <c r="N645" s="2"/>
      <c r="P645" s="2"/>
    </row>
    <row r="646" spans="1:16">
      <c r="A646" s="97"/>
      <c r="B646" s="97"/>
      <c r="C646" s="97"/>
      <c r="D646" s="97"/>
      <c r="E646" s="97"/>
      <c r="F646" s="98"/>
      <c r="G646" s="99"/>
      <c r="H646" s="98"/>
      <c r="N646" s="2"/>
      <c r="P646" s="2"/>
    </row>
    <row r="647" spans="1:16">
      <c r="A647" s="97"/>
      <c r="B647" s="97"/>
      <c r="C647" s="97"/>
      <c r="D647" s="97"/>
      <c r="E647" s="97"/>
      <c r="F647" s="98"/>
      <c r="G647" s="99"/>
      <c r="H647" s="98"/>
      <c r="N647" s="2"/>
      <c r="P647" s="2"/>
    </row>
    <row r="648" spans="1:16">
      <c r="A648" s="97"/>
      <c r="B648" s="97"/>
      <c r="C648" s="97"/>
      <c r="D648" s="97"/>
      <c r="E648" s="97"/>
      <c r="F648" s="98"/>
      <c r="G648" s="99"/>
      <c r="H648" s="98"/>
      <c r="N648" s="2"/>
      <c r="P648" s="2"/>
    </row>
    <row r="649" spans="1:16">
      <c r="A649" s="97"/>
      <c r="B649" s="97"/>
      <c r="C649" s="97"/>
      <c r="D649" s="97"/>
      <c r="E649" s="97"/>
      <c r="F649" s="98"/>
      <c r="G649" s="99"/>
      <c r="H649" s="98"/>
      <c r="N649" s="2"/>
      <c r="P649" s="2"/>
    </row>
    <row r="650" spans="1:16">
      <c r="A650" s="97"/>
      <c r="B650" s="97"/>
      <c r="C650" s="97"/>
      <c r="D650" s="97"/>
      <c r="E650" s="97"/>
      <c r="F650" s="98"/>
      <c r="G650" s="99"/>
      <c r="H650" s="98"/>
      <c r="N650" s="2"/>
      <c r="P650" s="2"/>
    </row>
    <row r="651" spans="1:16">
      <c r="A651" s="97"/>
      <c r="B651" s="97"/>
      <c r="C651" s="97"/>
      <c r="D651" s="97"/>
      <c r="E651" s="97"/>
      <c r="F651" s="98"/>
      <c r="G651" s="99"/>
      <c r="H651" s="98"/>
      <c r="N651" s="2"/>
      <c r="P651" s="2"/>
    </row>
    <row r="652" spans="1:16">
      <c r="A652" s="97"/>
      <c r="B652" s="97"/>
      <c r="C652" s="97"/>
      <c r="D652" s="97"/>
      <c r="E652" s="97"/>
      <c r="F652" s="98"/>
      <c r="G652" s="99"/>
      <c r="H652" s="98"/>
      <c r="N652" s="2"/>
      <c r="P652" s="2"/>
    </row>
    <row r="653" spans="1:16">
      <c r="A653" s="97"/>
      <c r="B653" s="97"/>
      <c r="C653" s="97"/>
      <c r="D653" s="97"/>
      <c r="E653" s="97"/>
      <c r="F653" s="98"/>
      <c r="G653" s="99"/>
      <c r="H653" s="98"/>
      <c r="N653" s="2"/>
      <c r="P653" s="2"/>
    </row>
    <row r="654" spans="1:16">
      <c r="A654" s="97"/>
      <c r="B654" s="97"/>
      <c r="C654" s="97"/>
      <c r="D654" s="97"/>
      <c r="E654" s="97"/>
      <c r="F654" s="98"/>
      <c r="G654" s="99"/>
      <c r="H654" s="98"/>
      <c r="N654" s="2"/>
      <c r="P654" s="2"/>
    </row>
    <row r="655" spans="1:16">
      <c r="A655" s="97"/>
      <c r="B655" s="97"/>
      <c r="C655" s="97"/>
      <c r="D655" s="97"/>
      <c r="E655" s="97"/>
      <c r="F655" s="98"/>
      <c r="G655" s="99"/>
      <c r="H655" s="98"/>
      <c r="N655" s="2"/>
      <c r="P655" s="2"/>
    </row>
    <row r="656" spans="1:16">
      <c r="A656" s="97"/>
      <c r="B656" s="97"/>
      <c r="C656" s="97"/>
      <c r="D656" s="97"/>
      <c r="E656" s="97"/>
      <c r="F656" s="98"/>
      <c r="G656" s="99"/>
      <c r="H656" s="98"/>
      <c r="N656" s="2"/>
      <c r="P656" s="2"/>
    </row>
    <row r="657" spans="1:16">
      <c r="A657" s="97"/>
      <c r="B657" s="97"/>
      <c r="C657" s="97"/>
      <c r="D657" s="97"/>
      <c r="E657" s="97"/>
      <c r="F657" s="98"/>
      <c r="G657" s="99"/>
      <c r="H657" s="98"/>
      <c r="N657" s="2"/>
      <c r="P657" s="2"/>
    </row>
    <row r="658" spans="1:16">
      <c r="A658" s="97"/>
      <c r="B658" s="97"/>
      <c r="C658" s="97"/>
      <c r="D658" s="97"/>
      <c r="E658" s="97"/>
      <c r="F658" s="98"/>
      <c r="G658" s="99"/>
      <c r="H658" s="98"/>
      <c r="N658" s="2"/>
      <c r="P658" s="2"/>
    </row>
    <row r="659" spans="1:16">
      <c r="A659" s="97"/>
      <c r="B659" s="97"/>
      <c r="C659" s="97"/>
      <c r="D659" s="97"/>
      <c r="E659" s="97"/>
      <c r="F659" s="98"/>
      <c r="G659" s="99"/>
      <c r="H659" s="98"/>
      <c r="N659" s="2"/>
      <c r="P659" s="2"/>
    </row>
    <row r="660" spans="1:16">
      <c r="A660" s="97"/>
      <c r="B660" s="97"/>
      <c r="C660" s="97"/>
      <c r="D660" s="97"/>
      <c r="E660" s="97"/>
      <c r="F660" s="98"/>
      <c r="G660" s="99"/>
      <c r="H660" s="98"/>
      <c r="N660" s="2"/>
      <c r="P660" s="2"/>
    </row>
    <row r="661" spans="1:16">
      <c r="A661" s="97"/>
      <c r="B661" s="97"/>
      <c r="C661" s="97"/>
      <c r="D661" s="97"/>
      <c r="E661" s="97"/>
      <c r="F661" s="98"/>
      <c r="G661" s="99"/>
      <c r="H661" s="98"/>
      <c r="N661" s="2"/>
      <c r="P661" s="2"/>
    </row>
    <row r="662" spans="1:16">
      <c r="A662" s="97"/>
      <c r="B662" s="97"/>
      <c r="C662" s="97"/>
      <c r="D662" s="97"/>
      <c r="E662" s="97"/>
      <c r="F662" s="98"/>
      <c r="G662" s="99"/>
      <c r="H662" s="98"/>
      <c r="N662" s="2"/>
      <c r="P662" s="2"/>
    </row>
    <row r="663" spans="1:16">
      <c r="A663" s="97"/>
      <c r="B663" s="97"/>
      <c r="C663" s="97"/>
      <c r="D663" s="97"/>
      <c r="E663" s="97"/>
      <c r="F663" s="98"/>
      <c r="G663" s="99"/>
      <c r="H663" s="98"/>
      <c r="N663" s="2"/>
      <c r="P663" s="2"/>
    </row>
    <row r="664" spans="1:16">
      <c r="A664" s="97"/>
      <c r="B664" s="97"/>
      <c r="C664" s="97"/>
      <c r="D664" s="97"/>
      <c r="E664" s="97"/>
      <c r="F664" s="98"/>
      <c r="G664" s="99"/>
      <c r="H664" s="98"/>
      <c r="N664" s="2"/>
      <c r="P664" s="2"/>
    </row>
    <row r="665" spans="1:16">
      <c r="A665" s="97"/>
      <c r="B665" s="97"/>
      <c r="C665" s="97"/>
      <c r="D665" s="97"/>
      <c r="E665" s="97"/>
      <c r="F665" s="98"/>
      <c r="G665" s="99"/>
      <c r="H665" s="98"/>
      <c r="N665" s="2"/>
      <c r="P665" s="2"/>
    </row>
    <row r="666" spans="1:16">
      <c r="A666" s="97"/>
      <c r="B666" s="97"/>
      <c r="C666" s="97"/>
      <c r="D666" s="97"/>
      <c r="E666" s="97"/>
      <c r="F666" s="98"/>
      <c r="G666" s="99"/>
      <c r="H666" s="98"/>
      <c r="N666" s="2"/>
      <c r="P666" s="2"/>
    </row>
    <row r="667" spans="1:16">
      <c r="A667" s="97"/>
      <c r="B667" s="97"/>
      <c r="C667" s="97"/>
      <c r="D667" s="97"/>
      <c r="E667" s="97"/>
      <c r="F667" s="98"/>
      <c r="G667" s="99"/>
      <c r="H667" s="98"/>
      <c r="N667" s="2"/>
      <c r="P667" s="2"/>
    </row>
    <row r="668" spans="1:16">
      <c r="A668" s="97"/>
      <c r="B668" s="97"/>
      <c r="C668" s="97"/>
      <c r="D668" s="97"/>
      <c r="E668" s="97"/>
      <c r="F668" s="98"/>
      <c r="G668" s="99"/>
      <c r="H668" s="98"/>
      <c r="N668" s="2"/>
      <c r="P668" s="2"/>
    </row>
    <row r="669" spans="1:16">
      <c r="A669" s="97"/>
      <c r="B669" s="97"/>
      <c r="C669" s="97"/>
      <c r="D669" s="97"/>
      <c r="E669" s="97"/>
      <c r="F669" s="98"/>
      <c r="G669" s="99"/>
      <c r="H669" s="98"/>
      <c r="N669" s="2"/>
      <c r="P669" s="2"/>
    </row>
    <row r="670" spans="1:16">
      <c r="A670" s="97"/>
      <c r="B670" s="97"/>
      <c r="C670" s="97"/>
      <c r="D670" s="97"/>
      <c r="E670" s="97"/>
      <c r="F670" s="98"/>
      <c r="G670" s="99"/>
      <c r="H670" s="98"/>
      <c r="N670" s="2"/>
      <c r="P670" s="2"/>
    </row>
    <row r="671" spans="1:16">
      <c r="A671" s="97"/>
      <c r="B671" s="97"/>
      <c r="C671" s="97"/>
      <c r="D671" s="97"/>
      <c r="E671" s="97"/>
      <c r="F671" s="98"/>
      <c r="G671" s="99"/>
      <c r="H671" s="98"/>
      <c r="N671" s="2"/>
      <c r="P671" s="2"/>
    </row>
    <row r="672" spans="1:16">
      <c r="A672" s="97"/>
      <c r="B672" s="97"/>
      <c r="C672" s="97"/>
      <c r="D672" s="97"/>
      <c r="E672" s="97"/>
      <c r="F672" s="98"/>
      <c r="G672" s="99"/>
      <c r="H672" s="98"/>
      <c r="N672" s="2"/>
      <c r="P672" s="2"/>
    </row>
    <row r="673" spans="1:16">
      <c r="A673" s="97"/>
      <c r="B673" s="97"/>
      <c r="C673" s="97"/>
      <c r="D673" s="97"/>
      <c r="E673" s="97"/>
      <c r="F673" s="98"/>
      <c r="G673" s="99"/>
      <c r="H673" s="98"/>
      <c r="N673" s="2"/>
      <c r="P673" s="2"/>
    </row>
    <row r="674" spans="1:16">
      <c r="A674" s="97"/>
      <c r="B674" s="97"/>
      <c r="C674" s="97"/>
      <c r="D674" s="97"/>
      <c r="E674" s="97"/>
      <c r="F674" s="98"/>
      <c r="G674" s="99"/>
      <c r="H674" s="98"/>
      <c r="N674" s="2"/>
      <c r="P674" s="2"/>
    </row>
    <row r="675" spans="1:16">
      <c r="A675" s="97"/>
      <c r="B675" s="97"/>
      <c r="C675" s="97"/>
      <c r="D675" s="97"/>
      <c r="E675" s="97"/>
      <c r="F675" s="98"/>
      <c r="G675" s="99"/>
      <c r="H675" s="98"/>
      <c r="N675" s="2"/>
      <c r="P675" s="2"/>
    </row>
    <row r="676" spans="1:16">
      <c r="A676" s="97"/>
      <c r="B676" s="97"/>
      <c r="C676" s="97"/>
      <c r="D676" s="97"/>
      <c r="E676" s="97"/>
      <c r="F676" s="98"/>
      <c r="G676" s="99"/>
      <c r="H676" s="98"/>
      <c r="N676" s="2"/>
      <c r="P676" s="2"/>
    </row>
    <row r="677" spans="1:16">
      <c r="A677" s="97"/>
      <c r="B677" s="97"/>
      <c r="C677" s="97"/>
      <c r="D677" s="97"/>
      <c r="E677" s="97"/>
      <c r="F677" s="98"/>
      <c r="G677" s="99"/>
      <c r="H677" s="98"/>
      <c r="N677" s="2"/>
      <c r="P677" s="2"/>
    </row>
    <row r="678" spans="1:16">
      <c r="A678" s="97"/>
      <c r="B678" s="97"/>
      <c r="C678" s="97"/>
      <c r="D678" s="97"/>
      <c r="E678" s="97"/>
      <c r="F678" s="98"/>
      <c r="G678" s="99"/>
      <c r="H678" s="98"/>
      <c r="N678" s="2"/>
      <c r="P678" s="2"/>
    </row>
    <row r="679" spans="1:16">
      <c r="A679" s="97"/>
      <c r="B679" s="97"/>
      <c r="C679" s="97"/>
      <c r="D679" s="97"/>
      <c r="E679" s="97"/>
      <c r="F679" s="98"/>
      <c r="G679" s="99"/>
      <c r="H679" s="98"/>
      <c r="N679" s="2"/>
      <c r="P679" s="2"/>
    </row>
    <row r="680" spans="1:16">
      <c r="A680" s="97"/>
      <c r="B680" s="97"/>
      <c r="C680" s="97"/>
      <c r="D680" s="97"/>
      <c r="E680" s="97"/>
      <c r="F680" s="98"/>
      <c r="G680" s="99"/>
      <c r="H680" s="98"/>
      <c r="N680" s="2"/>
      <c r="P680" s="2"/>
    </row>
    <row r="681" spans="1:16">
      <c r="A681" s="97"/>
      <c r="B681" s="97"/>
      <c r="C681" s="97"/>
      <c r="D681" s="97"/>
      <c r="E681" s="97"/>
      <c r="F681" s="98"/>
      <c r="G681" s="99"/>
      <c r="H681" s="98"/>
      <c r="N681" s="2"/>
      <c r="P681" s="2"/>
    </row>
    <row r="682" spans="1:16">
      <c r="A682" s="97"/>
      <c r="B682" s="97"/>
      <c r="C682" s="97"/>
      <c r="D682" s="97"/>
      <c r="E682" s="97"/>
      <c r="F682" s="98"/>
      <c r="G682" s="99"/>
      <c r="H682" s="98"/>
      <c r="N682" s="2"/>
      <c r="P682" s="2"/>
    </row>
    <row r="683" spans="1:16">
      <c r="A683" s="97"/>
      <c r="B683" s="97"/>
      <c r="C683" s="97"/>
      <c r="D683" s="97"/>
      <c r="E683" s="97"/>
      <c r="F683" s="98"/>
      <c r="G683" s="99"/>
      <c r="H683" s="98"/>
      <c r="N683" s="2"/>
      <c r="P683" s="2"/>
    </row>
    <row r="684" spans="1:16">
      <c r="A684" s="97"/>
      <c r="B684" s="97"/>
      <c r="C684" s="97"/>
      <c r="D684" s="97"/>
      <c r="E684" s="97"/>
      <c r="F684" s="98"/>
      <c r="G684" s="99"/>
      <c r="H684" s="98"/>
      <c r="N684" s="2"/>
      <c r="P684" s="2"/>
    </row>
    <row r="685" spans="1:16">
      <c r="A685" s="97"/>
      <c r="B685" s="97"/>
      <c r="C685" s="97"/>
      <c r="D685" s="97"/>
      <c r="E685" s="97"/>
      <c r="F685" s="98"/>
      <c r="G685" s="99"/>
      <c r="H685" s="98"/>
      <c r="N685" s="2"/>
      <c r="P685" s="2"/>
    </row>
    <row r="686" spans="1:16">
      <c r="A686" s="97"/>
      <c r="B686" s="97"/>
      <c r="C686" s="97"/>
      <c r="D686" s="97"/>
      <c r="E686" s="97"/>
      <c r="F686" s="98"/>
      <c r="G686" s="99"/>
      <c r="H686" s="98"/>
      <c r="N686" s="2"/>
      <c r="P686" s="2"/>
    </row>
    <row r="687" spans="1:16">
      <c r="A687" s="97"/>
      <c r="B687" s="97"/>
      <c r="C687" s="97"/>
      <c r="D687" s="97"/>
      <c r="E687" s="97"/>
      <c r="F687" s="98"/>
      <c r="G687" s="99"/>
      <c r="H687" s="98"/>
      <c r="N687" s="2"/>
      <c r="P687" s="2"/>
    </row>
    <row r="688" spans="1:16">
      <c r="A688" s="97"/>
      <c r="B688" s="97"/>
      <c r="C688" s="97"/>
      <c r="D688" s="97"/>
      <c r="E688" s="97"/>
      <c r="F688" s="98"/>
      <c r="G688" s="99"/>
      <c r="H688" s="98"/>
      <c r="N688" s="2"/>
      <c r="P688" s="2"/>
    </row>
    <row r="689" spans="1:16">
      <c r="A689" s="97"/>
      <c r="B689" s="97"/>
      <c r="C689" s="97"/>
      <c r="D689" s="97"/>
      <c r="E689" s="97"/>
      <c r="F689" s="98"/>
      <c r="G689" s="99"/>
      <c r="H689" s="98"/>
      <c r="N689" s="2"/>
      <c r="P689" s="2"/>
    </row>
    <row r="690" spans="1:16">
      <c r="A690" s="97"/>
      <c r="B690" s="97"/>
      <c r="C690" s="97"/>
      <c r="D690" s="97"/>
      <c r="E690" s="97"/>
      <c r="F690" s="98"/>
      <c r="G690" s="99"/>
      <c r="H690" s="98"/>
      <c r="N690" s="2"/>
      <c r="P690" s="2"/>
    </row>
    <row r="691" spans="1:16">
      <c r="A691" s="97"/>
      <c r="B691" s="97"/>
      <c r="C691" s="97"/>
      <c r="D691" s="97"/>
      <c r="E691" s="97"/>
      <c r="F691" s="98"/>
      <c r="G691" s="99"/>
      <c r="H691" s="98"/>
      <c r="N691" s="2"/>
      <c r="P691" s="2"/>
    </row>
    <row r="692" spans="1:16">
      <c r="A692" s="97"/>
      <c r="B692" s="97"/>
      <c r="C692" s="97"/>
      <c r="D692" s="97"/>
      <c r="E692" s="97"/>
      <c r="F692" s="98"/>
      <c r="G692" s="99"/>
      <c r="H692" s="98"/>
      <c r="N692" s="2"/>
      <c r="P692" s="2"/>
    </row>
    <row r="693" spans="1:16">
      <c r="A693" s="97"/>
      <c r="B693" s="97"/>
      <c r="C693" s="97"/>
      <c r="D693" s="97"/>
      <c r="E693" s="97"/>
      <c r="F693" s="98"/>
      <c r="G693" s="99"/>
      <c r="H693" s="98"/>
      <c r="N693" s="2"/>
      <c r="P693" s="2"/>
    </row>
    <row r="694" spans="1:16">
      <c r="A694" s="97"/>
      <c r="B694" s="97"/>
      <c r="C694" s="97"/>
      <c r="D694" s="97"/>
      <c r="E694" s="97"/>
      <c r="F694" s="98"/>
      <c r="G694" s="99"/>
      <c r="H694" s="98"/>
      <c r="N694" s="2"/>
      <c r="P694" s="2"/>
    </row>
    <row r="695" spans="1:16">
      <c r="A695" s="97"/>
      <c r="B695" s="97"/>
      <c r="C695" s="97"/>
      <c r="D695" s="97"/>
      <c r="E695" s="97"/>
      <c r="F695" s="98"/>
      <c r="G695" s="99"/>
      <c r="H695" s="98"/>
      <c r="N695" s="2"/>
      <c r="P695" s="2"/>
    </row>
    <row r="696" spans="1:16">
      <c r="A696" s="97"/>
      <c r="B696" s="97"/>
      <c r="C696" s="97"/>
      <c r="D696" s="97"/>
      <c r="E696" s="97"/>
      <c r="F696" s="98"/>
      <c r="G696" s="99"/>
      <c r="H696" s="98"/>
      <c r="N696" s="2"/>
      <c r="P696" s="2"/>
    </row>
    <row r="697" spans="1:16">
      <c r="A697" s="97"/>
      <c r="B697" s="97"/>
      <c r="C697" s="97"/>
      <c r="D697" s="97"/>
      <c r="E697" s="97"/>
      <c r="F697" s="98"/>
      <c r="G697" s="99"/>
      <c r="H697" s="98"/>
      <c r="N697" s="2"/>
      <c r="P697" s="2"/>
    </row>
    <row r="698" spans="1:16">
      <c r="A698" s="97"/>
      <c r="B698" s="97"/>
      <c r="C698" s="97"/>
      <c r="D698" s="97"/>
      <c r="E698" s="97"/>
      <c r="F698" s="98"/>
      <c r="G698" s="99"/>
      <c r="H698" s="98"/>
      <c r="N698" s="2"/>
      <c r="P698" s="2"/>
    </row>
    <row r="699" spans="1:16">
      <c r="A699" s="97"/>
      <c r="B699" s="97"/>
      <c r="C699" s="97"/>
      <c r="D699" s="97"/>
      <c r="E699" s="97"/>
      <c r="F699" s="98"/>
      <c r="G699" s="99"/>
      <c r="H699" s="98"/>
      <c r="N699" s="2"/>
      <c r="P699" s="2"/>
    </row>
    <row r="700" spans="1:16">
      <c r="A700" s="97"/>
      <c r="B700" s="97"/>
      <c r="C700" s="97"/>
      <c r="D700" s="97"/>
      <c r="E700" s="97"/>
      <c r="F700" s="98"/>
      <c r="G700" s="99"/>
      <c r="H700" s="98"/>
      <c r="N700" s="2"/>
      <c r="P700" s="2"/>
    </row>
    <row r="701" spans="1:16">
      <c r="A701" s="97"/>
      <c r="B701" s="97"/>
      <c r="C701" s="97"/>
      <c r="D701" s="97"/>
      <c r="E701" s="97"/>
      <c r="F701" s="98"/>
      <c r="G701" s="99"/>
      <c r="H701" s="98"/>
      <c r="N701" s="2"/>
      <c r="P701" s="2"/>
    </row>
    <row r="702" spans="1:16">
      <c r="A702" s="97"/>
      <c r="B702" s="97"/>
      <c r="C702" s="97"/>
      <c r="D702" s="97"/>
      <c r="E702" s="97"/>
      <c r="F702" s="98"/>
      <c r="G702" s="99"/>
      <c r="H702" s="98"/>
      <c r="N702" s="2"/>
      <c r="P702" s="2"/>
    </row>
    <row r="703" spans="1:16">
      <c r="A703" s="97"/>
      <c r="B703" s="97"/>
      <c r="C703" s="97"/>
      <c r="D703" s="97"/>
      <c r="E703" s="97"/>
      <c r="F703" s="98"/>
      <c r="G703" s="99"/>
      <c r="H703" s="98"/>
      <c r="N703" s="2"/>
      <c r="P703" s="2"/>
    </row>
    <row r="704" spans="1:16">
      <c r="A704" s="97"/>
      <c r="B704" s="97"/>
      <c r="C704" s="97"/>
      <c r="D704" s="97"/>
      <c r="E704" s="97"/>
      <c r="F704" s="98"/>
      <c r="G704" s="99"/>
      <c r="H704" s="98"/>
      <c r="N704" s="2"/>
      <c r="P704" s="2"/>
    </row>
    <row r="705" spans="1:16">
      <c r="A705" s="97"/>
      <c r="B705" s="97"/>
      <c r="C705" s="97"/>
      <c r="D705" s="97"/>
      <c r="E705" s="97"/>
      <c r="F705" s="98"/>
      <c r="G705" s="99"/>
      <c r="H705" s="98"/>
      <c r="N705" s="2"/>
      <c r="P705" s="2"/>
    </row>
    <row r="706" spans="1:16">
      <c r="A706" s="97"/>
      <c r="B706" s="97"/>
      <c r="C706" s="97"/>
      <c r="D706" s="97"/>
      <c r="E706" s="97"/>
      <c r="F706" s="98"/>
      <c r="G706" s="99"/>
      <c r="H706" s="98"/>
      <c r="N706" s="2"/>
      <c r="P706" s="2"/>
    </row>
    <row r="707" spans="1:16">
      <c r="A707" s="97"/>
      <c r="B707" s="97"/>
      <c r="C707" s="97"/>
      <c r="D707" s="97"/>
      <c r="E707" s="97"/>
      <c r="F707" s="98"/>
      <c r="G707" s="99"/>
      <c r="H707" s="98"/>
      <c r="N707" s="2"/>
      <c r="P707" s="2"/>
    </row>
    <row r="708" spans="1:16">
      <c r="A708" s="97"/>
      <c r="B708" s="97"/>
      <c r="C708" s="97"/>
      <c r="D708" s="97"/>
      <c r="E708" s="97"/>
      <c r="F708" s="98"/>
      <c r="G708" s="99"/>
      <c r="H708" s="98"/>
      <c r="N708" s="2"/>
      <c r="P708" s="2"/>
    </row>
    <row r="709" spans="1:16">
      <c r="A709" s="97"/>
      <c r="B709" s="97"/>
      <c r="C709" s="97"/>
      <c r="D709" s="97"/>
      <c r="E709" s="97"/>
      <c r="F709" s="98"/>
      <c r="G709" s="99"/>
      <c r="H709" s="98"/>
      <c r="N709" s="2"/>
      <c r="P709" s="2"/>
    </row>
    <row r="710" spans="1:16">
      <c r="A710" s="97"/>
      <c r="B710" s="97"/>
      <c r="C710" s="97"/>
      <c r="D710" s="97"/>
      <c r="E710" s="97"/>
      <c r="F710" s="98"/>
      <c r="G710" s="99"/>
      <c r="H710" s="98"/>
      <c r="N710" s="2"/>
      <c r="P710" s="2"/>
    </row>
    <row r="711" spans="1:16">
      <c r="A711" s="97"/>
      <c r="B711" s="97"/>
      <c r="C711" s="97"/>
      <c r="D711" s="97"/>
      <c r="E711" s="97"/>
      <c r="F711" s="98"/>
      <c r="G711" s="99"/>
      <c r="H711" s="98"/>
      <c r="N711" s="2"/>
      <c r="P711" s="2"/>
    </row>
    <row r="712" spans="1:16">
      <c r="A712" s="97"/>
      <c r="B712" s="97"/>
      <c r="C712" s="97"/>
      <c r="D712" s="97"/>
      <c r="E712" s="97"/>
      <c r="F712" s="98"/>
      <c r="G712" s="99"/>
      <c r="H712" s="98"/>
      <c r="N712" s="2"/>
      <c r="P712" s="2"/>
    </row>
    <row r="713" spans="1:16">
      <c r="A713" s="97"/>
      <c r="B713" s="97"/>
      <c r="C713" s="97"/>
      <c r="D713" s="97"/>
      <c r="E713" s="97"/>
      <c r="F713" s="98"/>
      <c r="G713" s="99"/>
      <c r="H713" s="98"/>
      <c r="N713" s="2"/>
      <c r="P713" s="2"/>
    </row>
    <row r="714" spans="1:16">
      <c r="A714" s="97"/>
      <c r="B714" s="97"/>
      <c r="C714" s="97"/>
      <c r="D714" s="97"/>
      <c r="E714" s="97"/>
      <c r="F714" s="98"/>
      <c r="G714" s="99"/>
      <c r="H714" s="98"/>
      <c r="N714" s="2"/>
      <c r="P714" s="2"/>
    </row>
    <row r="715" spans="1:16">
      <c r="A715" s="97"/>
      <c r="B715" s="97"/>
      <c r="C715" s="97"/>
      <c r="D715" s="97"/>
      <c r="E715" s="97"/>
      <c r="F715" s="98"/>
      <c r="G715" s="99"/>
      <c r="H715" s="98"/>
      <c r="N715" s="2"/>
      <c r="P715" s="2"/>
    </row>
    <row r="716" spans="1:16">
      <c r="A716" s="97"/>
      <c r="B716" s="97"/>
      <c r="C716" s="97"/>
      <c r="D716" s="97"/>
      <c r="E716" s="97"/>
      <c r="F716" s="98"/>
      <c r="G716" s="99"/>
      <c r="H716" s="98"/>
      <c r="N716" s="2"/>
      <c r="P716" s="2"/>
    </row>
    <row r="717" spans="1:16">
      <c r="A717" s="97"/>
      <c r="B717" s="97"/>
      <c r="C717" s="97"/>
      <c r="D717" s="97"/>
      <c r="E717" s="97"/>
      <c r="F717" s="98"/>
      <c r="G717" s="99"/>
      <c r="H717" s="98"/>
      <c r="N717" s="2"/>
      <c r="P717" s="2"/>
    </row>
    <row r="718" spans="1:16">
      <c r="A718" s="97"/>
      <c r="B718" s="97"/>
      <c r="C718" s="97"/>
      <c r="D718" s="97"/>
      <c r="E718" s="97"/>
      <c r="F718" s="98"/>
      <c r="G718" s="99"/>
      <c r="H718" s="98"/>
      <c r="N718" s="2"/>
      <c r="P718" s="2"/>
    </row>
    <row r="719" spans="1:16">
      <c r="A719" s="97"/>
      <c r="B719" s="97"/>
      <c r="C719" s="97"/>
      <c r="D719" s="97"/>
      <c r="E719" s="97"/>
      <c r="F719" s="98"/>
      <c r="G719" s="99"/>
      <c r="H719" s="98"/>
      <c r="N719" s="2"/>
      <c r="P719" s="2"/>
    </row>
    <row r="720" spans="1:16">
      <c r="A720" s="97"/>
      <c r="B720" s="97"/>
      <c r="C720" s="97"/>
      <c r="D720" s="97"/>
      <c r="E720" s="97"/>
      <c r="F720" s="98"/>
      <c r="G720" s="99"/>
      <c r="H720" s="98"/>
      <c r="N720" s="2"/>
      <c r="P720" s="2"/>
    </row>
    <row r="721" spans="1:16">
      <c r="A721" s="97"/>
      <c r="B721" s="97"/>
      <c r="C721" s="97"/>
      <c r="D721" s="97"/>
      <c r="E721" s="97"/>
      <c r="F721" s="98"/>
      <c r="G721" s="99"/>
      <c r="H721" s="98"/>
      <c r="N721" s="2"/>
      <c r="P721" s="2"/>
    </row>
    <row r="722" spans="1:16">
      <c r="A722" s="97"/>
      <c r="B722" s="97"/>
      <c r="C722" s="97"/>
      <c r="D722" s="97"/>
      <c r="E722" s="97"/>
      <c r="F722" s="98"/>
      <c r="G722" s="99"/>
      <c r="H722" s="98"/>
      <c r="N722" s="2"/>
      <c r="P722" s="2"/>
    </row>
    <row r="723" spans="1:16">
      <c r="A723" s="97"/>
      <c r="B723" s="97"/>
      <c r="C723" s="97"/>
      <c r="D723" s="97"/>
      <c r="E723" s="97"/>
      <c r="F723" s="98"/>
      <c r="G723" s="99"/>
      <c r="H723" s="98"/>
      <c r="N723" s="2"/>
      <c r="P723" s="2"/>
    </row>
    <row r="724" spans="1:16">
      <c r="A724" s="97"/>
      <c r="B724" s="97"/>
      <c r="C724" s="97"/>
      <c r="D724" s="97"/>
      <c r="E724" s="97"/>
      <c r="F724" s="98"/>
      <c r="G724" s="99"/>
      <c r="H724" s="98"/>
      <c r="N724" s="2"/>
      <c r="P724" s="2"/>
    </row>
    <row r="725" spans="1:16">
      <c r="A725" s="97"/>
      <c r="B725" s="97"/>
      <c r="C725" s="97"/>
      <c r="D725" s="97"/>
      <c r="E725" s="97"/>
      <c r="F725" s="98"/>
      <c r="G725" s="99"/>
      <c r="H725" s="98"/>
      <c r="N725" s="2"/>
      <c r="P725" s="2"/>
    </row>
    <row r="726" spans="1:16">
      <c r="A726" s="97"/>
      <c r="B726" s="97"/>
      <c r="C726" s="97"/>
      <c r="D726" s="97"/>
      <c r="E726" s="97"/>
      <c r="F726" s="98"/>
      <c r="G726" s="99"/>
      <c r="H726" s="98"/>
      <c r="N726" s="2"/>
      <c r="P726" s="2"/>
    </row>
    <row r="727" spans="1:16">
      <c r="A727" s="97"/>
      <c r="B727" s="97"/>
      <c r="C727" s="97"/>
      <c r="D727" s="97"/>
      <c r="E727" s="97"/>
      <c r="F727" s="98"/>
      <c r="G727" s="99"/>
      <c r="H727" s="98"/>
      <c r="N727" s="2"/>
      <c r="P727" s="2"/>
    </row>
    <row r="728" spans="1:16">
      <c r="A728" s="97"/>
      <c r="B728" s="97"/>
      <c r="C728" s="97"/>
      <c r="D728" s="97"/>
      <c r="E728" s="97"/>
      <c r="F728" s="98"/>
      <c r="G728" s="99"/>
      <c r="H728" s="98"/>
      <c r="N728" s="2"/>
      <c r="P728" s="2"/>
    </row>
    <row r="729" spans="1:16">
      <c r="A729" s="97"/>
      <c r="B729" s="97"/>
      <c r="C729" s="97"/>
      <c r="D729" s="97"/>
      <c r="E729" s="97"/>
      <c r="F729" s="98"/>
      <c r="G729" s="99"/>
      <c r="H729" s="98"/>
      <c r="N729" s="2"/>
      <c r="P729" s="2"/>
    </row>
    <row r="730" spans="1:16">
      <c r="A730" s="97"/>
      <c r="B730" s="97"/>
      <c r="C730" s="97"/>
      <c r="D730" s="97"/>
      <c r="E730" s="97"/>
      <c r="F730" s="98"/>
      <c r="G730" s="99"/>
      <c r="H730" s="98"/>
      <c r="N730" s="2"/>
      <c r="P730" s="2"/>
    </row>
    <row r="731" spans="1:16">
      <c r="A731" s="97"/>
      <c r="B731" s="97"/>
      <c r="C731" s="97"/>
      <c r="D731" s="97"/>
      <c r="E731" s="97"/>
      <c r="F731" s="98"/>
      <c r="G731" s="99"/>
      <c r="H731" s="98"/>
      <c r="N731" s="2"/>
      <c r="P731" s="2"/>
    </row>
    <row r="732" spans="1:16">
      <c r="A732" s="97"/>
      <c r="B732" s="97"/>
      <c r="C732" s="97"/>
      <c r="D732" s="97"/>
      <c r="E732" s="97"/>
      <c r="F732" s="98"/>
      <c r="G732" s="99"/>
      <c r="H732" s="98"/>
      <c r="N732" s="2"/>
      <c r="P732" s="2"/>
    </row>
    <row r="733" spans="1:16">
      <c r="A733" s="97"/>
      <c r="B733" s="97"/>
      <c r="C733" s="97"/>
      <c r="D733" s="97"/>
      <c r="E733" s="97"/>
      <c r="F733" s="98"/>
      <c r="G733" s="99"/>
      <c r="H733" s="98"/>
      <c r="N733" s="2"/>
      <c r="P733" s="2"/>
    </row>
    <row r="734" spans="1:16">
      <c r="A734" s="97"/>
      <c r="B734" s="97"/>
      <c r="C734" s="97"/>
      <c r="D734" s="97"/>
      <c r="E734" s="97"/>
      <c r="F734" s="98"/>
      <c r="G734" s="99"/>
      <c r="H734" s="98"/>
      <c r="N734" s="2"/>
      <c r="P734" s="2"/>
    </row>
    <row r="735" spans="1:16">
      <c r="A735" s="97"/>
      <c r="B735" s="97"/>
      <c r="C735" s="97"/>
      <c r="D735" s="97"/>
      <c r="E735" s="97"/>
      <c r="F735" s="98"/>
      <c r="G735" s="99"/>
      <c r="H735" s="98"/>
      <c r="N735" s="2"/>
      <c r="P735" s="2"/>
    </row>
    <row r="736" spans="1:16">
      <c r="A736" s="97"/>
      <c r="B736" s="97"/>
      <c r="C736" s="97"/>
      <c r="D736" s="97"/>
      <c r="E736" s="97"/>
      <c r="F736" s="98"/>
      <c r="G736" s="99"/>
      <c r="H736" s="98"/>
      <c r="N736" s="2"/>
      <c r="P736" s="2"/>
    </row>
    <row r="737" spans="1:16">
      <c r="A737" s="97"/>
      <c r="B737" s="97"/>
      <c r="C737" s="97"/>
      <c r="D737" s="97"/>
      <c r="E737" s="97"/>
      <c r="F737" s="98"/>
      <c r="G737" s="99"/>
      <c r="H737" s="98"/>
      <c r="N737" s="2"/>
      <c r="P737" s="2"/>
    </row>
    <row r="738" spans="1:16">
      <c r="A738" s="97"/>
      <c r="B738" s="97"/>
      <c r="C738" s="97"/>
      <c r="D738" s="97"/>
      <c r="E738" s="97"/>
      <c r="F738" s="98"/>
      <c r="G738" s="99"/>
      <c r="H738" s="98"/>
      <c r="N738" s="2"/>
      <c r="P738" s="2"/>
    </row>
    <row r="739" spans="1:16">
      <c r="A739" s="97"/>
      <c r="B739" s="97"/>
      <c r="C739" s="97"/>
      <c r="D739" s="97"/>
      <c r="E739" s="97"/>
      <c r="F739" s="98"/>
      <c r="G739" s="99"/>
      <c r="H739" s="98"/>
      <c r="N739" s="2"/>
      <c r="P739" s="2"/>
    </row>
    <row r="740" spans="1:16">
      <c r="A740" s="97"/>
      <c r="B740" s="97"/>
      <c r="C740" s="97"/>
      <c r="D740" s="97"/>
      <c r="E740" s="97"/>
      <c r="F740" s="98"/>
      <c r="G740" s="99"/>
      <c r="H740" s="98"/>
      <c r="N740" s="2"/>
      <c r="P740" s="2"/>
    </row>
    <row r="741" spans="1:16">
      <c r="A741" s="97"/>
      <c r="B741" s="97"/>
      <c r="C741" s="97"/>
      <c r="D741" s="97"/>
      <c r="E741" s="97"/>
      <c r="F741" s="98"/>
      <c r="G741" s="99"/>
      <c r="H741" s="98"/>
      <c r="N741" s="2"/>
      <c r="P741" s="2"/>
    </row>
    <row r="742" spans="1:16">
      <c r="A742" s="97"/>
      <c r="B742" s="97"/>
      <c r="C742" s="97"/>
      <c r="D742" s="97"/>
      <c r="E742" s="97"/>
      <c r="F742" s="98"/>
      <c r="G742" s="99"/>
      <c r="H742" s="98"/>
      <c r="N742" s="2"/>
      <c r="P742" s="2"/>
    </row>
    <row r="743" spans="1:16">
      <c r="A743" s="97"/>
      <c r="B743" s="97"/>
      <c r="C743" s="97"/>
      <c r="D743" s="97"/>
      <c r="E743" s="97"/>
      <c r="F743" s="98"/>
      <c r="G743" s="99"/>
      <c r="H743" s="98"/>
      <c r="N743" s="2"/>
      <c r="P743" s="2"/>
    </row>
    <row r="744" spans="1:16">
      <c r="A744" s="97"/>
      <c r="B744" s="97"/>
      <c r="C744" s="97"/>
      <c r="D744" s="97"/>
      <c r="E744" s="97"/>
      <c r="F744" s="98"/>
      <c r="G744" s="99"/>
      <c r="H744" s="98"/>
      <c r="N744" s="2"/>
      <c r="P744" s="2"/>
    </row>
    <row r="745" spans="1:16">
      <c r="A745" s="97"/>
      <c r="B745" s="97"/>
      <c r="C745" s="97"/>
      <c r="D745" s="97"/>
      <c r="E745" s="97"/>
      <c r="F745" s="98"/>
      <c r="G745" s="99"/>
      <c r="H745" s="98"/>
      <c r="N745" s="2"/>
      <c r="P745" s="2"/>
    </row>
    <row r="746" spans="1:16">
      <c r="A746" s="97"/>
      <c r="B746" s="97"/>
      <c r="C746" s="97"/>
      <c r="D746" s="97"/>
      <c r="E746" s="97"/>
      <c r="F746" s="98"/>
      <c r="G746" s="99"/>
      <c r="H746" s="98"/>
      <c r="N746" s="2"/>
      <c r="P746" s="2"/>
    </row>
    <row r="747" spans="1:16">
      <c r="A747" s="97"/>
      <c r="B747" s="97"/>
      <c r="C747" s="97"/>
      <c r="D747" s="97"/>
      <c r="E747" s="97"/>
      <c r="F747" s="98"/>
      <c r="G747" s="99"/>
      <c r="H747" s="98"/>
      <c r="N747" s="2"/>
      <c r="P747" s="2"/>
    </row>
    <row r="748" spans="1:16">
      <c r="A748" s="97"/>
      <c r="B748" s="97"/>
      <c r="C748" s="97"/>
      <c r="D748" s="97"/>
      <c r="E748" s="97"/>
      <c r="F748" s="98"/>
      <c r="G748" s="99"/>
      <c r="H748" s="98"/>
      <c r="N748" s="2"/>
      <c r="P748" s="2"/>
    </row>
    <row r="749" spans="1:16">
      <c r="A749" s="97"/>
      <c r="B749" s="97"/>
      <c r="C749" s="97"/>
      <c r="D749" s="97"/>
      <c r="E749" s="97"/>
      <c r="F749" s="98"/>
      <c r="G749" s="99"/>
      <c r="H749" s="98"/>
      <c r="N749" s="2"/>
      <c r="P749" s="2"/>
    </row>
    <row r="750" spans="1:16">
      <c r="A750" s="97"/>
      <c r="B750" s="97"/>
      <c r="C750" s="97"/>
      <c r="D750" s="97"/>
      <c r="E750" s="97"/>
      <c r="F750" s="98"/>
      <c r="G750" s="99"/>
      <c r="H750" s="98"/>
      <c r="N750" s="2"/>
      <c r="P750" s="2"/>
    </row>
    <row r="751" spans="1:16">
      <c r="A751" s="97"/>
      <c r="B751" s="97"/>
      <c r="C751" s="97"/>
      <c r="D751" s="97"/>
      <c r="E751" s="97"/>
      <c r="F751" s="98"/>
      <c r="G751" s="99"/>
      <c r="H751" s="98"/>
      <c r="N751" s="2"/>
      <c r="P751" s="2"/>
    </row>
    <row r="752" spans="1:16">
      <c r="A752" s="97"/>
      <c r="B752" s="97"/>
      <c r="C752" s="97"/>
      <c r="D752" s="97"/>
      <c r="E752" s="97"/>
      <c r="F752" s="98"/>
      <c r="G752" s="99"/>
      <c r="H752" s="98"/>
      <c r="N752" s="2"/>
      <c r="P752" s="2"/>
    </row>
    <row r="753" spans="1:16">
      <c r="A753" s="97"/>
      <c r="B753" s="97"/>
      <c r="C753" s="97"/>
      <c r="D753" s="97"/>
      <c r="E753" s="97"/>
      <c r="F753" s="98"/>
      <c r="G753" s="99"/>
      <c r="H753" s="98"/>
      <c r="N753" s="2"/>
      <c r="P753" s="2"/>
    </row>
    <row r="754" spans="1:16">
      <c r="A754" s="97"/>
      <c r="B754" s="97"/>
      <c r="C754" s="97"/>
      <c r="D754" s="97"/>
      <c r="E754" s="97"/>
      <c r="F754" s="98"/>
      <c r="G754" s="99"/>
      <c r="H754" s="98"/>
      <c r="N754" s="2"/>
      <c r="P754" s="2"/>
    </row>
    <row r="755" spans="1:16">
      <c r="A755" s="97"/>
      <c r="B755" s="97"/>
      <c r="C755" s="97"/>
      <c r="D755" s="97"/>
      <c r="E755" s="97"/>
      <c r="F755" s="98"/>
      <c r="G755" s="99"/>
      <c r="H755" s="98"/>
      <c r="N755" s="2"/>
      <c r="P755" s="2"/>
    </row>
    <row r="756" spans="1:16">
      <c r="A756" s="97"/>
      <c r="B756" s="97"/>
      <c r="C756" s="97"/>
      <c r="D756" s="97"/>
      <c r="E756" s="97"/>
      <c r="F756" s="98"/>
      <c r="G756" s="99"/>
      <c r="H756" s="98"/>
      <c r="N756" s="2"/>
      <c r="P756" s="2"/>
    </row>
    <row r="757" spans="1:16">
      <c r="A757" s="97"/>
      <c r="B757" s="97"/>
      <c r="C757" s="97"/>
      <c r="D757" s="97"/>
      <c r="E757" s="97"/>
      <c r="F757" s="98"/>
      <c r="G757" s="99"/>
      <c r="H757" s="98"/>
      <c r="N757" s="2"/>
      <c r="P757" s="2"/>
    </row>
    <row r="758" spans="1:16">
      <c r="A758" s="97"/>
      <c r="B758" s="97"/>
      <c r="C758" s="97"/>
      <c r="D758" s="97"/>
      <c r="E758" s="97"/>
      <c r="F758" s="98"/>
      <c r="G758" s="99"/>
      <c r="H758" s="98"/>
      <c r="N758" s="2"/>
      <c r="P758" s="2"/>
    </row>
    <row r="759" spans="1:16">
      <c r="A759" s="97"/>
      <c r="B759" s="97"/>
      <c r="C759" s="97"/>
      <c r="D759" s="97"/>
      <c r="E759" s="97"/>
      <c r="F759" s="98"/>
      <c r="G759" s="99"/>
      <c r="H759" s="98"/>
      <c r="N759" s="2"/>
      <c r="P759" s="2"/>
    </row>
    <row r="760" spans="1:16">
      <c r="A760" s="80"/>
      <c r="F760" s="2"/>
      <c r="G760" s="3"/>
      <c r="H760" s="2"/>
      <c r="N760" s="2"/>
      <c r="P760" s="2"/>
    </row>
    <row r="761" spans="1:16">
      <c r="A761" s="80"/>
      <c r="F761" s="2"/>
      <c r="G761" s="3"/>
      <c r="H761" s="2"/>
      <c r="N761" s="2"/>
      <c r="P761" s="2"/>
    </row>
    <row r="762" spans="1:16">
      <c r="N762" s="2"/>
      <c r="P762" s="2"/>
    </row>
    <row r="763" spans="1:16">
      <c r="N763" s="2"/>
      <c r="P763" s="2"/>
    </row>
    <row r="764" spans="1:16">
      <c r="N764" s="2"/>
      <c r="P764" s="2"/>
    </row>
    <row r="765" spans="1:16">
      <c r="N765" s="2"/>
      <c r="P765" s="2"/>
    </row>
    <row r="766" spans="1:16">
      <c r="N766" s="2"/>
      <c r="P766" s="2"/>
    </row>
    <row r="767" spans="1:16">
      <c r="N767" s="2"/>
      <c r="P767" s="2"/>
    </row>
    <row r="768" spans="1:16">
      <c r="N768" s="2"/>
      <c r="P768" s="2"/>
    </row>
    <row r="769" spans="14:16">
      <c r="N769" s="2"/>
      <c r="P769" s="2"/>
    </row>
    <row r="770" spans="14:16">
      <c r="N770" s="2"/>
      <c r="P770" s="2"/>
    </row>
    <row r="771" spans="14:16">
      <c r="N771" s="2"/>
      <c r="P771" s="2"/>
    </row>
    <row r="772" spans="14:16">
      <c r="N772" s="2"/>
      <c r="P772" s="2"/>
    </row>
    <row r="773" spans="14:16">
      <c r="N773" s="2"/>
      <c r="P773" s="2"/>
    </row>
    <row r="774" spans="14:16">
      <c r="N774" s="2"/>
      <c r="P774" s="2"/>
    </row>
    <row r="775" spans="14:16">
      <c r="N775" s="2"/>
      <c r="P775" s="2"/>
    </row>
    <row r="776" spans="14:16">
      <c r="N776" s="2"/>
      <c r="P776" s="2"/>
    </row>
    <row r="777" spans="14:16">
      <c r="N777" s="2"/>
      <c r="P777" s="2"/>
    </row>
    <row r="778" spans="14:16">
      <c r="N778" s="2"/>
      <c r="P778" s="2"/>
    </row>
    <row r="779" spans="14:16">
      <c r="N779" s="2"/>
      <c r="P779" s="2"/>
    </row>
    <row r="780" spans="14:16">
      <c r="N780" s="2"/>
      <c r="P780" s="2"/>
    </row>
    <row r="781" spans="14:16">
      <c r="N781" s="2"/>
      <c r="P781" s="2"/>
    </row>
    <row r="782" spans="14:16">
      <c r="N782" s="2"/>
      <c r="P782" s="2"/>
    </row>
    <row r="783" spans="14:16">
      <c r="N783" s="2"/>
      <c r="P783" s="2"/>
    </row>
    <row r="784" spans="14:16">
      <c r="N784" s="2"/>
      <c r="P784" s="2"/>
    </row>
    <row r="785" spans="14:16">
      <c r="N785" s="2"/>
      <c r="P785" s="2"/>
    </row>
    <row r="786" spans="14:16">
      <c r="N786" s="2"/>
      <c r="P786" s="2"/>
    </row>
    <row r="787" spans="14:16">
      <c r="N787" s="2"/>
      <c r="P787" s="2"/>
    </row>
    <row r="788" spans="14:16">
      <c r="N788" s="2"/>
      <c r="P788" s="2"/>
    </row>
    <row r="789" spans="14:16">
      <c r="N789" s="2"/>
      <c r="P789" s="2"/>
    </row>
    <row r="790" spans="14:16">
      <c r="N790" s="2"/>
      <c r="P790" s="2"/>
    </row>
    <row r="791" spans="14:16">
      <c r="N791" s="2"/>
      <c r="P791" s="2"/>
    </row>
    <row r="792" spans="14:16">
      <c r="N792" s="2"/>
      <c r="P792" s="2"/>
    </row>
    <row r="793" spans="14:16">
      <c r="N793" s="2"/>
      <c r="P793" s="2"/>
    </row>
    <row r="794" spans="14:16">
      <c r="N794" s="2"/>
      <c r="P794" s="2"/>
    </row>
    <row r="795" spans="14:16">
      <c r="N795" s="2"/>
      <c r="P795" s="2"/>
    </row>
    <row r="796" spans="14:16">
      <c r="N796" s="2"/>
      <c r="P796" s="2"/>
    </row>
    <row r="797" spans="14:16">
      <c r="N797" s="2"/>
      <c r="P797" s="2"/>
    </row>
    <row r="798" spans="14:16">
      <c r="N798" s="2"/>
      <c r="P798" s="2"/>
    </row>
    <row r="799" spans="14:16">
      <c r="N799" s="2"/>
      <c r="P799" s="2"/>
    </row>
    <row r="800" spans="14:16">
      <c r="N800" s="2"/>
      <c r="P800" s="2"/>
    </row>
    <row r="801" spans="14:16">
      <c r="N801" s="2"/>
      <c r="P801" s="2"/>
    </row>
    <row r="802" spans="14:16">
      <c r="N802" s="2"/>
      <c r="P802" s="2"/>
    </row>
    <row r="803" spans="14:16">
      <c r="N803" s="2"/>
      <c r="P803" s="2"/>
    </row>
    <row r="804" spans="14:16">
      <c r="N804" s="2"/>
      <c r="P804" s="2"/>
    </row>
    <row r="805" spans="14:16">
      <c r="N805" s="2"/>
      <c r="P805" s="2"/>
    </row>
    <row r="806" spans="14:16">
      <c r="N806" s="2"/>
      <c r="P806" s="2"/>
    </row>
    <row r="807" spans="14:16">
      <c r="N807" s="2"/>
      <c r="P807" s="2"/>
    </row>
    <row r="808" spans="14:16">
      <c r="N808" s="2"/>
      <c r="P808" s="2"/>
    </row>
    <row r="809" spans="14:16">
      <c r="N809" s="2"/>
      <c r="P809" s="2"/>
    </row>
    <row r="810" spans="14:16">
      <c r="N810" s="2"/>
      <c r="P810" s="2"/>
    </row>
    <row r="811" spans="14:16">
      <c r="N811" s="2"/>
      <c r="P811" s="2"/>
    </row>
    <row r="812" spans="14:16">
      <c r="N812" s="2"/>
      <c r="P812" s="2"/>
    </row>
    <row r="813" spans="14:16">
      <c r="N813" s="2"/>
      <c r="P813" s="2"/>
    </row>
    <row r="814" spans="14:16">
      <c r="N814" s="2"/>
      <c r="P814" s="2"/>
    </row>
    <row r="815" spans="14:16">
      <c r="N815" s="2"/>
      <c r="P815" s="2"/>
    </row>
    <row r="816" spans="14:16">
      <c r="N816" s="2"/>
      <c r="P816" s="2"/>
    </row>
    <row r="817" spans="14:16">
      <c r="N817" s="2"/>
      <c r="P817" s="2"/>
    </row>
    <row r="846" spans="14:16">
      <c r="N846" s="2"/>
      <c r="P846" s="2"/>
    </row>
  </sheetData>
  <mergeCells count="5">
    <mergeCell ref="A2:D2"/>
    <mergeCell ref="A7:D7"/>
    <mergeCell ref="A13:D13"/>
    <mergeCell ref="A162:D162"/>
    <mergeCell ref="A310:D310"/>
  </mergeCells>
  <pageMargins left="0.511811024" right="0.511811024" top="0.78740157499999996" bottom="0.78740157499999996" header="0.31496062000000002" footer="0.31496062000000002"/>
  <pageSetup paperSize="9" orientation="portrait" r:id="rId1"/>
  <tableParts count="5">
    <tablePart r:id="rId2"/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7"/>
  <sheetViews>
    <sheetView workbookViewId="0">
      <selection activeCell="B3" sqref="B3"/>
    </sheetView>
  </sheetViews>
  <sheetFormatPr defaultColWidth="2.7109375" defaultRowHeight="11.25"/>
  <cols>
    <col min="1" max="1" width="28.7109375" style="1" customWidth="1"/>
    <col min="2" max="2" width="9.140625" style="1" bestFit="1" customWidth="1"/>
    <col min="3" max="3" width="2.7109375" style="1"/>
    <col min="4" max="4" width="28.5703125" style="1" bestFit="1" customWidth="1"/>
    <col min="5" max="5" width="9.140625" style="1" bestFit="1" customWidth="1"/>
    <col min="6" max="6" width="2.7109375" style="1"/>
    <col min="7" max="7" width="29.140625" style="1" bestFit="1" customWidth="1"/>
    <col min="8" max="8" width="9.140625" style="1" bestFit="1" customWidth="1"/>
    <col min="9" max="9" width="2.7109375" style="1"/>
    <col min="10" max="10" width="29" style="1" bestFit="1" customWidth="1"/>
    <col min="11" max="11" width="9.140625" style="1" bestFit="1" customWidth="1"/>
    <col min="12" max="12" width="2.7109375" style="1"/>
    <col min="13" max="13" width="25.5703125" style="1" bestFit="1" customWidth="1"/>
    <col min="14" max="14" width="11.7109375" style="1" bestFit="1" customWidth="1"/>
    <col min="15" max="16384" width="2.7109375" style="1"/>
  </cols>
  <sheetData>
    <row r="1" spans="1:14">
      <c r="A1" s="132" t="s">
        <v>259</v>
      </c>
      <c r="D1" s="132" t="s">
        <v>259</v>
      </c>
      <c r="G1" s="132" t="s">
        <v>259</v>
      </c>
      <c r="J1" s="132" t="s">
        <v>259</v>
      </c>
      <c r="M1" s="132" t="s">
        <v>260</v>
      </c>
    </row>
    <row r="2" spans="1:14">
      <c r="A2" s="94" t="s">
        <v>236</v>
      </c>
      <c r="B2" s="1" t="s">
        <v>108</v>
      </c>
      <c r="D2" s="94" t="s">
        <v>239</v>
      </c>
      <c r="E2" s="1" t="s">
        <v>108</v>
      </c>
      <c r="G2" s="94" t="s">
        <v>238</v>
      </c>
      <c r="H2" s="1" t="s">
        <v>108</v>
      </c>
      <c r="J2" s="160" t="s">
        <v>237</v>
      </c>
      <c r="K2" s="1" t="s">
        <v>108</v>
      </c>
      <c r="M2" s="94" t="s">
        <v>92</v>
      </c>
      <c r="N2" s="1" t="s">
        <v>108</v>
      </c>
    </row>
    <row r="3" spans="1:14">
      <c r="A3" s="103" t="s">
        <v>267</v>
      </c>
      <c r="B3" s="108">
        <v>1.0049322999999999</v>
      </c>
      <c r="C3" s="4"/>
      <c r="D3" s="103" t="s">
        <v>378</v>
      </c>
      <c r="E3" s="4">
        <v>1</v>
      </c>
      <c r="G3" s="79" t="s">
        <v>489</v>
      </c>
      <c r="H3" s="4">
        <v>1.0049322999999999</v>
      </c>
      <c r="I3" s="4"/>
      <c r="J3" s="79" t="s">
        <v>600</v>
      </c>
      <c r="K3" s="4">
        <v>1.0034471199999999</v>
      </c>
      <c r="M3" s="106" t="s">
        <v>711</v>
      </c>
      <c r="N3" s="107">
        <v>6.4093013499999998</v>
      </c>
    </row>
    <row r="4" spans="1:14">
      <c r="A4" s="103" t="s">
        <v>268</v>
      </c>
      <c r="B4" s="108">
        <v>1.00549095</v>
      </c>
      <c r="C4" s="100"/>
      <c r="D4" s="103" t="s">
        <v>379</v>
      </c>
      <c r="E4" s="100">
        <v>1</v>
      </c>
      <c r="G4" s="97" t="s">
        <v>490</v>
      </c>
      <c r="H4" s="100">
        <v>1.00549095</v>
      </c>
      <c r="I4" s="100"/>
      <c r="J4" s="97" t="s">
        <v>601</v>
      </c>
      <c r="K4" s="100">
        <v>1</v>
      </c>
      <c r="M4" s="106" t="s">
        <v>712</v>
      </c>
      <c r="N4" s="107">
        <v>6.4770543900000002</v>
      </c>
    </row>
    <row r="5" spans="1:14">
      <c r="A5" s="103" t="s">
        <v>269</v>
      </c>
      <c r="B5" s="108">
        <v>1.0048597399999999</v>
      </c>
      <c r="C5" s="100"/>
      <c r="D5" s="103" t="s">
        <v>380</v>
      </c>
      <c r="E5" s="100">
        <v>1</v>
      </c>
      <c r="G5" s="97" t="s">
        <v>491</v>
      </c>
      <c r="H5" s="100">
        <v>1.0048597399999999</v>
      </c>
      <c r="I5" s="100"/>
      <c r="J5" s="97" t="s">
        <v>602</v>
      </c>
      <c r="K5" s="100">
        <v>1</v>
      </c>
      <c r="M5" s="106" t="s">
        <v>713</v>
      </c>
      <c r="N5" s="107">
        <v>6.5524133500000001</v>
      </c>
    </row>
    <row r="6" spans="1:14">
      <c r="A6" s="103" t="s">
        <v>270</v>
      </c>
      <c r="B6" s="108">
        <v>1.00548948</v>
      </c>
      <c r="C6" s="100"/>
      <c r="D6" s="103" t="s">
        <v>381</v>
      </c>
      <c r="E6" s="100">
        <v>1</v>
      </c>
      <c r="G6" s="103" t="s">
        <v>492</v>
      </c>
      <c r="H6" s="108">
        <v>1.00548948</v>
      </c>
      <c r="I6" s="4"/>
      <c r="J6" s="103" t="s">
        <v>603</v>
      </c>
      <c r="K6" s="108">
        <v>1</v>
      </c>
      <c r="M6" s="106" t="s">
        <v>714</v>
      </c>
      <c r="N6" s="107">
        <v>6.7463818599999996</v>
      </c>
    </row>
    <row r="7" spans="1:14">
      <c r="A7" s="103" t="s">
        <v>271</v>
      </c>
      <c r="B7" s="108">
        <v>1.0062223299999999</v>
      </c>
      <c r="C7" s="100"/>
      <c r="D7" s="103" t="s">
        <v>382</v>
      </c>
      <c r="E7" s="100">
        <v>1</v>
      </c>
      <c r="G7" s="103" t="s">
        <v>493</v>
      </c>
      <c r="H7" s="108">
        <v>1.0062223299999999</v>
      </c>
      <c r="I7" s="4"/>
      <c r="J7" s="103" t="s">
        <v>604</v>
      </c>
      <c r="K7" s="108">
        <v>1</v>
      </c>
      <c r="M7" s="106" t="s">
        <v>715</v>
      </c>
      <c r="N7" s="107">
        <v>6.9064629499999999</v>
      </c>
    </row>
    <row r="8" spans="1:14">
      <c r="A8" s="103" t="s">
        <v>272</v>
      </c>
      <c r="B8" s="108">
        <v>1.0058465000000001</v>
      </c>
      <c r="C8" s="100"/>
      <c r="D8" s="103" t="s">
        <v>383</v>
      </c>
      <c r="E8" s="100">
        <v>1</v>
      </c>
      <c r="G8" s="103" t="s">
        <v>494</v>
      </c>
      <c r="H8" s="108">
        <v>1.0058465000000001</v>
      </c>
      <c r="I8" s="4"/>
      <c r="J8" s="103" t="s">
        <v>605</v>
      </c>
      <c r="K8" s="108">
        <v>1</v>
      </c>
      <c r="M8" s="106" t="s">
        <v>716</v>
      </c>
      <c r="N8" s="107">
        <v>7.03252173</v>
      </c>
    </row>
    <row r="9" spans="1:14">
      <c r="A9" s="103" t="s">
        <v>273</v>
      </c>
      <c r="B9" s="108">
        <v>1.00563593</v>
      </c>
      <c r="C9" s="100"/>
      <c r="D9" s="103" t="s">
        <v>384</v>
      </c>
      <c r="E9" s="100">
        <v>1</v>
      </c>
      <c r="G9" s="103" t="s">
        <v>495</v>
      </c>
      <c r="H9" s="108">
        <v>1.00563593</v>
      </c>
      <c r="I9" s="4"/>
      <c r="J9" s="103" t="s">
        <v>606</v>
      </c>
      <c r="K9" s="108">
        <v>1</v>
      </c>
      <c r="M9" s="106" t="s">
        <v>717</v>
      </c>
      <c r="N9" s="107">
        <v>7.1477692099999999</v>
      </c>
    </row>
    <row r="10" spans="1:14">
      <c r="A10" s="103" t="s">
        <v>274</v>
      </c>
      <c r="B10" s="108">
        <v>1.0065639799999999</v>
      </c>
      <c r="C10" s="100"/>
      <c r="D10" s="103" t="s">
        <v>385</v>
      </c>
      <c r="E10" s="100">
        <v>1</v>
      </c>
      <c r="G10" s="103" t="s">
        <v>496</v>
      </c>
      <c r="H10" s="108">
        <v>1.0065639799999999</v>
      </c>
      <c r="I10" s="4"/>
      <c r="J10" s="103" t="s">
        <v>607</v>
      </c>
      <c r="K10" s="108">
        <v>1</v>
      </c>
      <c r="M10" s="106" t="s">
        <v>718</v>
      </c>
      <c r="N10" s="107">
        <v>7.2968737499999996</v>
      </c>
    </row>
    <row r="11" spans="1:14">
      <c r="A11" s="103" t="s">
        <v>275</v>
      </c>
      <c r="B11" s="108">
        <v>1.0071168699999999</v>
      </c>
      <c r="C11" s="4"/>
      <c r="D11" s="103" t="s">
        <v>386</v>
      </c>
      <c r="E11" s="108">
        <v>1</v>
      </c>
      <c r="G11" s="103" t="s">
        <v>497</v>
      </c>
      <c r="H11" s="108">
        <v>1.0071168699999999</v>
      </c>
      <c r="I11" s="4"/>
      <c r="J11" s="103" t="s">
        <v>608</v>
      </c>
      <c r="K11" s="108">
        <v>1</v>
      </c>
      <c r="M11" s="106" t="s">
        <v>719</v>
      </c>
      <c r="N11" s="107">
        <v>7.4435703000000002</v>
      </c>
    </row>
    <row r="12" spans="1:14">
      <c r="A12" s="103" t="s">
        <v>276</v>
      </c>
      <c r="B12" s="108">
        <v>1.00623953</v>
      </c>
      <c r="C12" s="4"/>
      <c r="D12" s="103" t="s">
        <v>387</v>
      </c>
      <c r="E12" s="108">
        <v>1</v>
      </c>
      <c r="G12" s="103" t="s">
        <v>498</v>
      </c>
      <c r="H12" s="108">
        <v>1.00623953</v>
      </c>
      <c r="I12" s="4"/>
      <c r="J12" s="103" t="s">
        <v>609</v>
      </c>
      <c r="K12" s="108">
        <v>1</v>
      </c>
      <c r="M12" s="106" t="s">
        <v>720</v>
      </c>
      <c r="N12" s="107">
        <v>7.5645874900000001</v>
      </c>
    </row>
    <row r="13" spans="1:14">
      <c r="A13" s="103" t="s">
        <v>277</v>
      </c>
      <c r="B13" s="108">
        <v>1.0078172000000001</v>
      </c>
      <c r="C13" s="95"/>
      <c r="D13" s="103" t="s">
        <v>388</v>
      </c>
      <c r="E13" s="108">
        <v>1</v>
      </c>
      <c r="G13" s="103" t="s">
        <v>499</v>
      </c>
      <c r="H13" s="108">
        <v>1.0078172000000001</v>
      </c>
      <c r="J13" s="103" t="s">
        <v>610</v>
      </c>
      <c r="K13" s="108">
        <v>1</v>
      </c>
      <c r="M13" s="106" t="s">
        <v>721</v>
      </c>
      <c r="N13" s="107">
        <v>7.7064506599999998</v>
      </c>
    </row>
    <row r="14" spans="1:14">
      <c r="A14" s="103" t="s">
        <v>278</v>
      </c>
      <c r="B14" s="108">
        <v>1.0075122400000001</v>
      </c>
      <c r="D14" s="103" t="s">
        <v>389</v>
      </c>
      <c r="E14" s="108">
        <v>1</v>
      </c>
      <c r="G14" s="103" t="s">
        <v>500</v>
      </c>
      <c r="H14" s="108">
        <v>1.0075122400000001</v>
      </c>
      <c r="J14" s="103" t="s">
        <v>611</v>
      </c>
      <c r="K14" s="108">
        <v>1</v>
      </c>
      <c r="M14" s="106" t="s">
        <v>722</v>
      </c>
      <c r="N14" s="107">
        <v>7.8222491300000003</v>
      </c>
    </row>
    <row r="15" spans="1:14">
      <c r="A15" s="103" t="s">
        <v>279</v>
      </c>
      <c r="B15" s="108">
        <v>1.0073501499999999</v>
      </c>
      <c r="D15" s="103" t="s">
        <v>390</v>
      </c>
      <c r="E15" s="108">
        <v>1</v>
      </c>
      <c r="G15" s="103" t="s">
        <v>501</v>
      </c>
      <c r="H15" s="108">
        <v>1.0073501499999999</v>
      </c>
      <c r="J15" s="103" t="s">
        <v>612</v>
      </c>
      <c r="K15" s="108">
        <v>1</v>
      </c>
      <c r="M15" s="106" t="s">
        <v>723</v>
      </c>
      <c r="N15" s="107">
        <v>7.9412523999999998</v>
      </c>
    </row>
    <row r="16" spans="1:14">
      <c r="A16" s="103" t="s">
        <v>280</v>
      </c>
      <c r="B16" s="108">
        <v>1.00845487</v>
      </c>
      <c r="C16" s="4"/>
      <c r="D16" s="103" t="s">
        <v>391</v>
      </c>
      <c r="E16" s="108">
        <v>1</v>
      </c>
      <c r="G16" s="103" t="s">
        <v>502</v>
      </c>
      <c r="H16" s="108">
        <v>1.00845487</v>
      </c>
      <c r="I16" s="4"/>
      <c r="J16" s="103" t="s">
        <v>613</v>
      </c>
      <c r="K16" s="108">
        <v>1</v>
      </c>
      <c r="M16" s="106" t="s">
        <v>724</v>
      </c>
      <c r="N16" s="107">
        <v>8.0802090999999994</v>
      </c>
    </row>
    <row r="17" spans="1:14">
      <c r="A17" s="103" t="s">
        <v>281</v>
      </c>
      <c r="B17" s="108">
        <v>1.00734802</v>
      </c>
      <c r="C17" s="100"/>
      <c r="D17" s="103" t="s">
        <v>392</v>
      </c>
      <c r="E17" s="108">
        <v>1</v>
      </c>
      <c r="G17" s="103" t="s">
        <v>503</v>
      </c>
      <c r="H17" s="108">
        <v>1.00734802</v>
      </c>
      <c r="I17" s="100"/>
      <c r="J17" s="103" t="s">
        <v>614</v>
      </c>
      <c r="K17" s="108">
        <v>1</v>
      </c>
      <c r="M17" s="106" t="s">
        <v>725</v>
      </c>
      <c r="N17" s="107">
        <v>8.1840097800000002</v>
      </c>
    </row>
    <row r="18" spans="1:14">
      <c r="A18" s="103" t="s">
        <v>282</v>
      </c>
      <c r="B18" s="108">
        <v>1.0078144899999999</v>
      </c>
      <c r="C18" s="100"/>
      <c r="D18" s="103" t="s">
        <v>393</v>
      </c>
      <c r="E18" s="108">
        <v>1</v>
      </c>
      <c r="G18" s="103" t="s">
        <v>504</v>
      </c>
      <c r="H18" s="108">
        <v>1.0078144899999999</v>
      </c>
      <c r="I18" s="100"/>
      <c r="J18" s="103" t="s">
        <v>615</v>
      </c>
      <c r="K18" s="108">
        <v>1</v>
      </c>
      <c r="M18" s="106" t="s">
        <v>726</v>
      </c>
      <c r="N18" s="107">
        <v>8.2939875900000004</v>
      </c>
    </row>
    <row r="19" spans="1:14">
      <c r="A19" s="103" t="s">
        <v>283</v>
      </c>
      <c r="B19" s="108">
        <v>1.0085157199999999</v>
      </c>
      <c r="C19" s="100"/>
      <c r="D19" s="103" t="s">
        <v>394</v>
      </c>
      <c r="E19" s="108">
        <v>1</v>
      </c>
      <c r="G19" s="103" t="s">
        <v>505</v>
      </c>
      <c r="H19" s="108">
        <v>1.0085157199999999</v>
      </c>
      <c r="J19" s="103" t="s">
        <v>616</v>
      </c>
      <c r="K19" s="108">
        <v>1</v>
      </c>
      <c r="M19" s="106" t="s">
        <v>727</v>
      </c>
      <c r="N19" s="107">
        <v>8.4142196899999995</v>
      </c>
    </row>
    <row r="20" spans="1:14">
      <c r="A20" s="103" t="s">
        <v>284</v>
      </c>
      <c r="B20" s="108">
        <v>1.00696203</v>
      </c>
      <c r="C20" s="100"/>
      <c r="D20" s="103" t="s">
        <v>395</v>
      </c>
      <c r="E20" s="108">
        <v>1</v>
      </c>
      <c r="G20" s="103" t="s">
        <v>506</v>
      </c>
      <c r="H20" s="108">
        <v>1.00696203</v>
      </c>
      <c r="J20" s="103" t="s">
        <v>617</v>
      </c>
      <c r="K20" s="108">
        <v>1</v>
      </c>
      <c r="M20" s="106" t="s">
        <v>728</v>
      </c>
      <c r="N20" s="107">
        <v>8.5018653400000002</v>
      </c>
    </row>
    <row r="21" spans="1:14">
      <c r="A21" s="103" t="s">
        <v>285</v>
      </c>
      <c r="B21" s="108">
        <v>1.0090677800000001</v>
      </c>
      <c r="C21" s="100"/>
      <c r="D21" s="103" t="s">
        <v>396</v>
      </c>
      <c r="E21" s="108">
        <v>1</v>
      </c>
      <c r="G21" s="103" t="s">
        <v>507</v>
      </c>
      <c r="H21" s="108">
        <v>1.0090677800000001</v>
      </c>
      <c r="J21" s="103" t="s">
        <v>618</v>
      </c>
      <c r="K21" s="108">
        <v>1</v>
      </c>
      <c r="M21" s="106" t="s">
        <v>729</v>
      </c>
      <c r="N21" s="107">
        <v>8.6151774900000007</v>
      </c>
    </row>
    <row r="22" spans="1:14">
      <c r="A22" s="103" t="s">
        <v>286</v>
      </c>
      <c r="B22" s="108">
        <v>1.0078665200000001</v>
      </c>
      <c r="C22" s="100"/>
      <c r="D22" s="103" t="s">
        <v>397</v>
      </c>
      <c r="E22" s="108">
        <v>1</v>
      </c>
      <c r="G22" s="103" t="s">
        <v>508</v>
      </c>
      <c r="H22" s="108">
        <v>1.0078665200000001</v>
      </c>
      <c r="J22" s="103" t="s">
        <v>619</v>
      </c>
      <c r="K22" s="108">
        <v>1</v>
      </c>
      <c r="M22" s="106" t="s">
        <v>730</v>
      </c>
      <c r="N22" s="107">
        <v>8.7291265300000003</v>
      </c>
    </row>
    <row r="23" spans="1:14">
      <c r="A23" s="103" t="s">
        <v>287</v>
      </c>
      <c r="B23" s="108">
        <v>1.00869816</v>
      </c>
      <c r="C23" s="100"/>
      <c r="D23" s="103" t="s">
        <v>398</v>
      </c>
      <c r="E23" s="108">
        <v>1</v>
      </c>
      <c r="G23" s="103" t="s">
        <v>509</v>
      </c>
      <c r="H23" s="108">
        <v>1.00869816</v>
      </c>
      <c r="J23" s="103" t="s">
        <v>620</v>
      </c>
      <c r="K23" s="108">
        <v>1</v>
      </c>
      <c r="M23" s="106" t="s">
        <v>731</v>
      </c>
      <c r="N23" s="107">
        <v>8.8324793600000007</v>
      </c>
    </row>
    <row r="24" spans="1:14">
      <c r="A24" s="103" t="s">
        <v>288</v>
      </c>
      <c r="B24" s="108">
        <v>1.00836126</v>
      </c>
      <c r="D24" s="103" t="s">
        <v>399</v>
      </c>
      <c r="E24" s="108">
        <v>1</v>
      </c>
      <c r="G24" s="103" t="s">
        <v>510</v>
      </c>
      <c r="H24" s="108">
        <v>1.00836126</v>
      </c>
      <c r="J24" s="103" t="s">
        <v>621</v>
      </c>
      <c r="K24" s="108">
        <v>1</v>
      </c>
      <c r="M24" s="106" t="s">
        <v>732</v>
      </c>
      <c r="N24" s="107">
        <v>8.9397988999999995</v>
      </c>
    </row>
    <row r="25" spans="1:14">
      <c r="A25" s="103" t="s">
        <v>289</v>
      </c>
      <c r="B25" s="108">
        <v>1.00989442</v>
      </c>
      <c r="D25" s="103" t="s">
        <v>400</v>
      </c>
      <c r="E25" s="108">
        <v>1</v>
      </c>
      <c r="G25" s="103" t="s">
        <v>511</v>
      </c>
      <c r="H25" s="108">
        <v>1.00989442</v>
      </c>
      <c r="J25" s="103" t="s">
        <v>622</v>
      </c>
      <c r="K25" s="108">
        <v>1</v>
      </c>
      <c r="M25" s="106" t="s">
        <v>733</v>
      </c>
      <c r="N25" s="107">
        <v>9.0584824899999994</v>
      </c>
    </row>
    <row r="26" spans="1:14">
      <c r="A26" s="103" t="s">
        <v>290</v>
      </c>
      <c r="B26" s="108">
        <v>1.00903016</v>
      </c>
      <c r="D26" s="103" t="s">
        <v>401</v>
      </c>
      <c r="E26" s="108">
        <v>1</v>
      </c>
      <c r="G26" s="103" t="s">
        <v>512</v>
      </c>
      <c r="H26" s="108">
        <v>1.00903016</v>
      </c>
      <c r="J26" s="103" t="s">
        <v>623</v>
      </c>
      <c r="K26" s="108">
        <v>1</v>
      </c>
      <c r="M26" s="106" t="s">
        <v>734</v>
      </c>
      <c r="N26" s="107">
        <v>9.1572334000000009</v>
      </c>
    </row>
    <row r="27" spans="1:14">
      <c r="A27" s="103" t="s">
        <v>291</v>
      </c>
      <c r="B27" s="108">
        <v>1.00959903</v>
      </c>
      <c r="D27" s="103" t="s">
        <v>402</v>
      </c>
      <c r="E27" s="108">
        <v>1</v>
      </c>
      <c r="G27" s="103" t="s">
        <v>513</v>
      </c>
      <c r="H27" s="108">
        <v>1.00959903</v>
      </c>
      <c r="J27" s="103" t="s">
        <v>624</v>
      </c>
      <c r="K27" s="108">
        <v>1</v>
      </c>
      <c r="M27" s="106" t="s">
        <v>735</v>
      </c>
      <c r="N27" s="107">
        <v>9.2588952399999993</v>
      </c>
    </row>
    <row r="28" spans="1:14">
      <c r="A28" s="103" t="s">
        <v>292</v>
      </c>
      <c r="B28" s="108">
        <v>1.0090541099999999</v>
      </c>
      <c r="D28" s="103" t="s">
        <v>403</v>
      </c>
      <c r="E28" s="108">
        <v>1</v>
      </c>
      <c r="G28" s="103" t="s">
        <v>514</v>
      </c>
      <c r="H28" s="108">
        <v>1.0090541099999999</v>
      </c>
      <c r="J28" s="103" t="s">
        <v>625</v>
      </c>
      <c r="K28" s="108">
        <v>1</v>
      </c>
      <c r="M28" s="106" t="s">
        <v>736</v>
      </c>
      <c r="N28" s="107">
        <v>9.3666464400000002</v>
      </c>
    </row>
    <row r="29" spans="1:14">
      <c r="A29" s="103" t="s">
        <v>293</v>
      </c>
      <c r="B29" s="108">
        <v>1.0090541099999999</v>
      </c>
      <c r="D29" s="103" t="s">
        <v>404</v>
      </c>
      <c r="E29" s="108">
        <v>1</v>
      </c>
      <c r="G29" s="103" t="s">
        <v>515</v>
      </c>
      <c r="H29" s="108">
        <v>1.0090541099999999</v>
      </c>
      <c r="J29" s="103" t="s">
        <v>626</v>
      </c>
      <c r="K29" s="108">
        <v>1</v>
      </c>
      <c r="M29" s="106" t="s">
        <v>737</v>
      </c>
      <c r="N29" s="107">
        <v>9.4617464200000008</v>
      </c>
    </row>
    <row r="30" spans="1:14">
      <c r="A30" s="103" t="s">
        <v>294</v>
      </c>
      <c r="B30" s="108">
        <v>1.01000829</v>
      </c>
      <c r="D30" s="103" t="s">
        <v>405</v>
      </c>
      <c r="E30" s="108">
        <v>1</v>
      </c>
      <c r="G30" s="103" t="s">
        <v>516</v>
      </c>
      <c r="H30" s="108">
        <v>1.01000829</v>
      </c>
      <c r="J30" s="103" t="s">
        <v>627</v>
      </c>
      <c r="K30" s="108">
        <v>1</v>
      </c>
      <c r="M30" s="106" t="s">
        <v>738</v>
      </c>
      <c r="N30" s="107">
        <v>9.5625896000000008</v>
      </c>
    </row>
    <row r="31" spans="1:14">
      <c r="A31" s="103" t="s">
        <v>295</v>
      </c>
      <c r="B31" s="108">
        <v>1.00923107</v>
      </c>
      <c r="D31" s="103" t="s">
        <v>406</v>
      </c>
      <c r="E31" s="108">
        <v>1</v>
      </c>
      <c r="G31" s="103" t="s">
        <v>517</v>
      </c>
      <c r="H31" s="108">
        <v>1.00923107</v>
      </c>
      <c r="J31" s="103" t="s">
        <v>628</v>
      </c>
      <c r="K31" s="108">
        <v>1</v>
      </c>
      <c r="M31" s="106" t="s">
        <v>739</v>
      </c>
      <c r="N31" s="107">
        <v>9.65267871</v>
      </c>
    </row>
    <row r="32" spans="1:14">
      <c r="A32" s="103" t="s">
        <v>296</v>
      </c>
      <c r="B32" s="108">
        <v>1.0083041399999999</v>
      </c>
      <c r="D32" s="103" t="s">
        <v>407</v>
      </c>
      <c r="E32" s="108">
        <v>1</v>
      </c>
      <c r="G32" s="103" t="s">
        <v>518</v>
      </c>
      <c r="H32" s="108">
        <v>1.0083041399999999</v>
      </c>
      <c r="J32" s="103" t="s">
        <v>629</v>
      </c>
      <c r="K32" s="108">
        <v>1</v>
      </c>
      <c r="M32" s="106" t="s">
        <v>740</v>
      </c>
      <c r="N32" s="107">
        <v>9.7287903999999994</v>
      </c>
    </row>
    <row r="33" spans="1:14">
      <c r="A33" s="103" t="s">
        <v>297</v>
      </c>
      <c r="B33" s="108">
        <v>1.0106296400000001</v>
      </c>
      <c r="D33" s="103" t="s">
        <v>408</v>
      </c>
      <c r="E33" s="108">
        <v>1</v>
      </c>
      <c r="G33" s="103" t="s">
        <v>519</v>
      </c>
      <c r="H33" s="108">
        <v>1.0106296400000001</v>
      </c>
      <c r="J33" s="103" t="s">
        <v>630</v>
      </c>
      <c r="K33" s="108">
        <v>1</v>
      </c>
      <c r="M33" s="106" t="s">
        <v>741</v>
      </c>
      <c r="N33" s="107">
        <v>9.8203533099999998</v>
      </c>
    </row>
    <row r="34" spans="1:14">
      <c r="A34" s="103" t="s">
        <v>298</v>
      </c>
      <c r="B34" s="108">
        <v>1.0092573199999999</v>
      </c>
      <c r="D34" s="103" t="s">
        <v>409</v>
      </c>
      <c r="E34" s="108">
        <v>1</v>
      </c>
      <c r="G34" s="103" t="s">
        <v>520</v>
      </c>
      <c r="H34" s="108">
        <v>1.0092573199999999</v>
      </c>
      <c r="J34" s="103" t="s">
        <v>631</v>
      </c>
      <c r="K34" s="108">
        <v>1</v>
      </c>
      <c r="M34" s="106" t="s">
        <v>742</v>
      </c>
      <c r="N34" s="107">
        <v>9.8954788300000001</v>
      </c>
    </row>
    <row r="35" spans="1:14">
      <c r="A35" s="103" t="s">
        <v>299</v>
      </c>
      <c r="B35" s="108">
        <v>1.0097224300000001</v>
      </c>
      <c r="D35" s="103" t="s">
        <v>410</v>
      </c>
      <c r="E35" s="108">
        <v>1</v>
      </c>
      <c r="G35" s="103" t="s">
        <v>521</v>
      </c>
      <c r="H35" s="108">
        <v>1.0097224300000001</v>
      </c>
      <c r="J35" s="103" t="s">
        <v>632</v>
      </c>
      <c r="K35" s="108">
        <v>1</v>
      </c>
      <c r="M35" s="106" t="s">
        <v>743</v>
      </c>
      <c r="N35" s="107">
        <v>9.9696338000000004</v>
      </c>
    </row>
    <row r="36" spans="1:14">
      <c r="A36" s="103" t="s">
        <v>300</v>
      </c>
      <c r="B36" s="108">
        <v>1.0097930100000001</v>
      </c>
      <c r="D36" s="103" t="s">
        <v>411</v>
      </c>
      <c r="E36" s="108">
        <v>1</v>
      </c>
      <c r="G36" s="103" t="s">
        <v>522</v>
      </c>
      <c r="H36" s="108">
        <v>1.0097930100000001</v>
      </c>
      <c r="J36" s="103" t="s">
        <v>633</v>
      </c>
      <c r="K36" s="108">
        <v>1</v>
      </c>
      <c r="M36" s="106" t="s">
        <v>744</v>
      </c>
      <c r="N36" s="107">
        <v>10.04437046</v>
      </c>
    </row>
    <row r="37" spans="1:14">
      <c r="A37" s="103" t="s">
        <v>301</v>
      </c>
      <c r="B37" s="108">
        <v>1.01049846</v>
      </c>
      <c r="D37" s="103" t="s">
        <v>412</v>
      </c>
      <c r="E37" s="108">
        <v>1</v>
      </c>
      <c r="G37" s="103" t="s">
        <v>523</v>
      </c>
      <c r="H37" s="108">
        <v>1.01049846</v>
      </c>
      <c r="J37" s="103" t="s">
        <v>634</v>
      </c>
      <c r="K37" s="108">
        <v>1</v>
      </c>
      <c r="M37" s="106" t="s">
        <v>745</v>
      </c>
      <c r="N37" s="107">
        <v>10.124812759999999</v>
      </c>
    </row>
    <row r="38" spans="1:14">
      <c r="A38" s="103" t="s">
        <v>302</v>
      </c>
      <c r="B38" s="108">
        <v>1.01049846</v>
      </c>
      <c r="D38" s="103" t="s">
        <v>413</v>
      </c>
      <c r="E38" s="108">
        <v>1</v>
      </c>
      <c r="G38" s="103" t="s">
        <v>524</v>
      </c>
      <c r="H38" s="108">
        <v>1.01049846</v>
      </c>
      <c r="J38" s="103" t="s">
        <v>635</v>
      </c>
      <c r="K38" s="108">
        <v>1</v>
      </c>
      <c r="M38" s="106" t="s">
        <v>746</v>
      </c>
      <c r="N38" s="107">
        <v>10.20053858</v>
      </c>
    </row>
    <row r="39" spans="1:14">
      <c r="A39" s="103" t="s">
        <v>303</v>
      </c>
      <c r="B39" s="108">
        <v>1.0105313600000001</v>
      </c>
      <c r="D39" s="103" t="s">
        <v>414</v>
      </c>
      <c r="E39" s="108">
        <v>1</v>
      </c>
      <c r="G39" s="103" t="s">
        <v>525</v>
      </c>
      <c r="H39" s="108">
        <v>1.0105313600000001</v>
      </c>
      <c r="J39" s="103" t="s">
        <v>636</v>
      </c>
      <c r="K39" s="108">
        <v>1</v>
      </c>
      <c r="M39" s="106" t="s">
        <v>747</v>
      </c>
      <c r="N39" s="107">
        <v>10.270571739999999</v>
      </c>
    </row>
    <row r="40" spans="1:14">
      <c r="A40" s="103" t="s">
        <v>304</v>
      </c>
      <c r="B40" s="108">
        <v>1.00964908</v>
      </c>
      <c r="D40" s="103" t="s">
        <v>415</v>
      </c>
      <c r="E40" s="108">
        <v>1</v>
      </c>
      <c r="G40" s="103" t="s">
        <v>526</v>
      </c>
      <c r="H40" s="108">
        <v>1.00964908</v>
      </c>
      <c r="J40" s="103" t="s">
        <v>637</v>
      </c>
      <c r="K40" s="108">
        <v>1</v>
      </c>
      <c r="M40" s="106" t="s">
        <v>748</v>
      </c>
      <c r="N40" s="107">
        <v>10.336017760000001</v>
      </c>
    </row>
    <row r="41" spans="1:14">
      <c r="A41" s="103" t="s">
        <v>305</v>
      </c>
      <c r="B41" s="108">
        <v>1.0091644200000001</v>
      </c>
      <c r="D41" s="103" t="s">
        <v>416</v>
      </c>
      <c r="E41" s="108">
        <v>1</v>
      </c>
      <c r="G41" s="103" t="s">
        <v>527</v>
      </c>
      <c r="H41" s="108">
        <v>1.0091644200000001</v>
      </c>
      <c r="J41" s="103" t="s">
        <v>638</v>
      </c>
      <c r="K41" s="108">
        <v>1</v>
      </c>
      <c r="M41" s="106" t="s">
        <v>749</v>
      </c>
      <c r="N41" s="107">
        <v>10.39823969</v>
      </c>
    </row>
    <row r="42" spans="1:14">
      <c r="A42" s="103" t="s">
        <v>306</v>
      </c>
      <c r="B42" s="108">
        <v>1.01108357</v>
      </c>
      <c r="D42" s="103" t="s">
        <v>417</v>
      </c>
      <c r="E42" s="108">
        <v>1</v>
      </c>
      <c r="G42" s="103" t="s">
        <v>528</v>
      </c>
      <c r="H42" s="108">
        <v>1.01108357</v>
      </c>
      <c r="J42" s="103" t="s">
        <v>639</v>
      </c>
      <c r="K42" s="108">
        <v>1</v>
      </c>
      <c r="M42" s="106" t="s">
        <v>750</v>
      </c>
      <c r="N42" s="107">
        <v>10.46485669</v>
      </c>
    </row>
    <row r="43" spans="1:14">
      <c r="A43" s="103" t="s">
        <v>307</v>
      </c>
      <c r="B43" s="108">
        <v>1.01004633</v>
      </c>
      <c r="D43" s="103" t="s">
        <v>418</v>
      </c>
      <c r="E43" s="108">
        <v>1</v>
      </c>
      <c r="G43" s="103" t="s">
        <v>529</v>
      </c>
      <c r="H43" s="108">
        <v>1.01004633</v>
      </c>
      <c r="J43" s="103" t="s">
        <v>640</v>
      </c>
      <c r="K43" s="108">
        <v>1</v>
      </c>
      <c r="M43" s="106" t="s">
        <v>751</v>
      </c>
      <c r="N43" s="107">
        <v>10.52081707</v>
      </c>
    </row>
    <row r="44" spans="1:14">
      <c r="A44" s="103" t="s">
        <v>308</v>
      </c>
      <c r="B44" s="108">
        <v>1.0090852100000001</v>
      </c>
      <c r="D44" s="103" t="s">
        <v>419</v>
      </c>
      <c r="E44" s="108">
        <v>1</v>
      </c>
      <c r="G44" s="103" t="s">
        <v>530</v>
      </c>
      <c r="H44" s="108">
        <v>1.0090852100000001</v>
      </c>
      <c r="J44" s="103" t="s">
        <v>641</v>
      </c>
      <c r="K44" s="108">
        <v>1</v>
      </c>
      <c r="M44" s="106" t="s">
        <v>752</v>
      </c>
      <c r="N44" s="107">
        <v>10.56913207</v>
      </c>
    </row>
    <row r="45" spans="1:14">
      <c r="A45" s="103" t="s">
        <v>309</v>
      </c>
      <c r="B45" s="108">
        <v>1.0106070199999999</v>
      </c>
      <c r="D45" s="103" t="s">
        <v>420</v>
      </c>
      <c r="E45" s="108">
        <v>1</v>
      </c>
      <c r="G45" s="103" t="s">
        <v>531</v>
      </c>
      <c r="H45" s="108">
        <v>1.0106070199999999</v>
      </c>
      <c r="J45" s="103" t="s">
        <v>642</v>
      </c>
      <c r="K45" s="108">
        <v>1</v>
      </c>
      <c r="M45" s="106" t="s">
        <v>753</v>
      </c>
      <c r="N45" s="107">
        <v>10.62697811</v>
      </c>
    </row>
    <row r="46" spans="1:14">
      <c r="A46" s="103" t="s">
        <v>310</v>
      </c>
      <c r="B46" s="108">
        <v>1.00938795</v>
      </c>
      <c r="D46" s="103" t="s">
        <v>421</v>
      </c>
      <c r="E46" s="108">
        <v>1</v>
      </c>
      <c r="G46" s="103" t="s">
        <v>532</v>
      </c>
      <c r="H46" s="108">
        <v>1.00938795</v>
      </c>
      <c r="J46" s="103" t="s">
        <v>643</v>
      </c>
      <c r="K46" s="108">
        <v>1</v>
      </c>
      <c r="M46" s="106" t="s">
        <v>754</v>
      </c>
      <c r="N46" s="107">
        <v>10.68015128</v>
      </c>
    </row>
    <row r="47" spans="1:14">
      <c r="A47" s="103" t="s">
        <v>311</v>
      </c>
      <c r="B47" s="108">
        <v>1.0108782999999999</v>
      </c>
      <c r="D47" s="103" t="s">
        <v>422</v>
      </c>
      <c r="E47" s="108">
        <v>1</v>
      </c>
      <c r="G47" s="103" t="s">
        <v>533</v>
      </c>
      <c r="H47" s="108">
        <v>1.0108782999999999</v>
      </c>
      <c r="J47" s="103" t="s">
        <v>644</v>
      </c>
      <c r="K47" s="108">
        <v>1</v>
      </c>
      <c r="M47" s="106" t="s">
        <v>755</v>
      </c>
      <c r="N47" s="107">
        <v>10.739032760000001</v>
      </c>
    </row>
    <row r="48" spans="1:14">
      <c r="A48" s="103" t="s">
        <v>312</v>
      </c>
      <c r="B48" s="108">
        <v>1.0102832500000001</v>
      </c>
      <c r="D48" s="103" t="s">
        <v>423</v>
      </c>
      <c r="E48" s="108">
        <v>1</v>
      </c>
      <c r="G48" s="103" t="s">
        <v>534</v>
      </c>
      <c r="H48" s="108">
        <v>1.0102832500000001</v>
      </c>
      <c r="J48" s="103" t="s">
        <v>645</v>
      </c>
      <c r="K48" s="108">
        <v>1</v>
      </c>
      <c r="M48" s="106" t="s">
        <v>756</v>
      </c>
      <c r="N48" s="107">
        <v>10.78758859</v>
      </c>
    </row>
    <row r="49" spans="1:14">
      <c r="A49" s="103" t="s">
        <v>313</v>
      </c>
      <c r="B49" s="108">
        <v>1.0099696300000001</v>
      </c>
      <c r="D49" s="103" t="s">
        <v>424</v>
      </c>
      <c r="E49" s="108">
        <v>1</v>
      </c>
      <c r="G49" s="103" t="s">
        <v>535</v>
      </c>
      <c r="H49" s="108">
        <v>1.0099696300000001</v>
      </c>
      <c r="J49" s="103" t="s">
        <v>646</v>
      </c>
      <c r="K49" s="108">
        <v>1</v>
      </c>
      <c r="M49" s="106" t="s">
        <v>757</v>
      </c>
      <c r="N49" s="107">
        <v>10.827366339999999</v>
      </c>
    </row>
    <row r="50" spans="1:14">
      <c r="A50" s="103" t="s">
        <v>314</v>
      </c>
      <c r="B50" s="108">
        <v>1.01092428</v>
      </c>
      <c r="D50" s="103" t="s">
        <v>425</v>
      </c>
      <c r="E50" s="108">
        <v>1</v>
      </c>
      <c r="G50" s="103" t="s">
        <v>536</v>
      </c>
      <c r="H50" s="108">
        <v>1.01092428</v>
      </c>
      <c r="J50" s="103" t="s">
        <v>647</v>
      </c>
      <c r="K50" s="108">
        <v>1</v>
      </c>
      <c r="M50" s="106" t="s">
        <v>758</v>
      </c>
      <c r="N50" s="107">
        <v>10.86901926</v>
      </c>
    </row>
    <row r="51" spans="1:14">
      <c r="A51" s="103" t="s">
        <v>315</v>
      </c>
      <c r="B51" s="108">
        <v>1.0105553</v>
      </c>
      <c r="D51" s="103" t="s">
        <v>426</v>
      </c>
      <c r="E51" s="108">
        <v>1</v>
      </c>
      <c r="G51" s="103" t="s">
        <v>537</v>
      </c>
      <c r="H51" s="108">
        <v>1.0105553</v>
      </c>
      <c r="J51" s="103" t="s">
        <v>648</v>
      </c>
      <c r="K51" s="108">
        <v>1</v>
      </c>
      <c r="M51" s="106" t="s">
        <v>759</v>
      </c>
      <c r="N51" s="107">
        <v>10.909847449999999</v>
      </c>
    </row>
    <row r="52" spans="1:14">
      <c r="A52" s="103" t="s">
        <v>316</v>
      </c>
      <c r="B52" s="108">
        <v>1.00985386</v>
      </c>
      <c r="D52" s="103" t="s">
        <v>427</v>
      </c>
      <c r="E52" s="108">
        <v>1</v>
      </c>
      <c r="G52" s="103" t="s">
        <v>538</v>
      </c>
      <c r="H52" s="108">
        <v>1.00985386</v>
      </c>
      <c r="J52" s="103" t="s">
        <v>649</v>
      </c>
      <c r="K52" s="108">
        <v>1</v>
      </c>
      <c r="M52" s="106" t="s">
        <v>760</v>
      </c>
      <c r="N52" s="107">
        <v>10.95272692</v>
      </c>
    </row>
    <row r="53" spans="1:14">
      <c r="A53" s="103" t="s">
        <v>317</v>
      </c>
      <c r="B53" s="108">
        <v>1.00935887</v>
      </c>
      <c r="D53" s="103" t="s">
        <v>428</v>
      </c>
      <c r="E53" s="108">
        <v>1</v>
      </c>
      <c r="G53" s="103" t="s">
        <v>539</v>
      </c>
      <c r="H53" s="108">
        <v>1.00935887</v>
      </c>
      <c r="J53" s="103" t="s">
        <v>650</v>
      </c>
      <c r="K53" s="108">
        <v>1</v>
      </c>
      <c r="M53" s="106" t="s">
        <v>761</v>
      </c>
      <c r="N53" s="107">
        <v>10.99399627</v>
      </c>
    </row>
    <row r="54" spans="1:14">
      <c r="A54" s="103" t="s">
        <v>318</v>
      </c>
      <c r="B54" s="108">
        <v>1.01086198</v>
      </c>
      <c r="D54" s="103" t="s">
        <v>429</v>
      </c>
      <c r="E54" s="108">
        <v>1</v>
      </c>
      <c r="G54" s="103" t="s">
        <v>540</v>
      </c>
      <c r="H54" s="108">
        <v>1.01086198</v>
      </c>
      <c r="J54" s="103" t="s">
        <v>651</v>
      </c>
      <c r="K54" s="108">
        <v>1</v>
      </c>
      <c r="M54" s="106" t="s">
        <v>762</v>
      </c>
      <c r="N54" s="107">
        <v>11.03844404</v>
      </c>
    </row>
    <row r="55" spans="1:14">
      <c r="A55" s="103" t="s">
        <v>319</v>
      </c>
      <c r="B55" s="108">
        <v>1.0109211499999999</v>
      </c>
      <c r="D55" s="103" t="s">
        <v>430</v>
      </c>
      <c r="E55" s="108">
        <v>1</v>
      </c>
      <c r="G55" s="103" t="s">
        <v>541</v>
      </c>
      <c r="H55" s="108">
        <v>1.0109211499999999</v>
      </c>
      <c r="J55" s="103" t="s">
        <v>652</v>
      </c>
      <c r="K55" s="108">
        <v>1</v>
      </c>
      <c r="M55" s="106" t="s">
        <v>763</v>
      </c>
      <c r="N55" s="107">
        <v>11.08226915</v>
      </c>
    </row>
    <row r="56" spans="1:14">
      <c r="A56" s="103" t="s">
        <v>320</v>
      </c>
      <c r="B56" s="108">
        <v>1.00892665</v>
      </c>
      <c r="D56" s="103" t="s">
        <v>431</v>
      </c>
      <c r="E56" s="108">
        <v>1</v>
      </c>
      <c r="G56" s="103" t="s">
        <v>542</v>
      </c>
      <c r="H56" s="108">
        <v>1.00892665</v>
      </c>
      <c r="J56" s="103" t="s">
        <v>653</v>
      </c>
      <c r="K56" s="108">
        <v>1</v>
      </c>
      <c r="M56" s="106" t="s">
        <v>764</v>
      </c>
      <c r="N56" s="107">
        <v>11.11685422</v>
      </c>
    </row>
    <row r="57" spans="1:14">
      <c r="A57" s="103" t="s">
        <v>321</v>
      </c>
      <c r="B57" s="108">
        <v>1.0113329099999999</v>
      </c>
      <c r="D57" s="103" t="s">
        <v>432</v>
      </c>
      <c r="E57" s="108">
        <v>1</v>
      </c>
      <c r="G57" s="103" t="s">
        <v>543</v>
      </c>
      <c r="H57" s="108">
        <v>1.0113329099999999</v>
      </c>
      <c r="J57" s="103" t="s">
        <v>654</v>
      </c>
      <c r="K57" s="108">
        <v>1</v>
      </c>
      <c r="M57" s="106" t="s">
        <v>765</v>
      </c>
      <c r="N57" s="107">
        <v>11.15564636</v>
      </c>
    </row>
    <row r="58" spans="1:14">
      <c r="A58" s="103" t="s">
        <v>322</v>
      </c>
      <c r="B58" s="108">
        <v>1.00861256</v>
      </c>
      <c r="D58" s="103" t="s">
        <v>433</v>
      </c>
      <c r="E58" s="108">
        <v>1</v>
      </c>
      <c r="G58" s="103" t="s">
        <v>544</v>
      </c>
      <c r="H58" s="108">
        <v>1.00861256</v>
      </c>
      <c r="J58" s="103" t="s">
        <v>655</v>
      </c>
      <c r="K58" s="108">
        <v>1</v>
      </c>
      <c r="M58" s="106" t="s">
        <v>766</v>
      </c>
      <c r="N58" s="107">
        <v>11.18035394</v>
      </c>
    </row>
    <row r="59" spans="1:14">
      <c r="A59" s="103" t="s">
        <v>323</v>
      </c>
      <c r="B59" s="108">
        <v>1.0105365100000001</v>
      </c>
      <c r="D59" s="103" t="s">
        <v>434</v>
      </c>
      <c r="E59" s="108">
        <v>1</v>
      </c>
      <c r="G59" s="103" t="s">
        <v>545</v>
      </c>
      <c r="H59" s="108">
        <v>1.0105365100000001</v>
      </c>
      <c r="J59" s="103" t="s">
        <v>656</v>
      </c>
      <c r="K59" s="108">
        <v>1</v>
      </c>
      <c r="M59" s="106" t="s">
        <v>767</v>
      </c>
      <c r="N59" s="107">
        <v>11.20953549</v>
      </c>
    </row>
    <row r="60" spans="1:14">
      <c r="A60" s="103" t="s">
        <v>324</v>
      </c>
      <c r="B60" s="108">
        <v>1.0100957100000001</v>
      </c>
      <c r="D60" s="103" t="s">
        <v>435</v>
      </c>
      <c r="E60" s="108">
        <v>1</v>
      </c>
      <c r="G60" s="103" t="s">
        <v>546</v>
      </c>
      <c r="H60" s="108">
        <v>1.0100957100000001</v>
      </c>
      <c r="J60" s="103" t="s">
        <v>657</v>
      </c>
      <c r="K60" s="108">
        <v>1</v>
      </c>
      <c r="M60" s="106" t="s">
        <v>768</v>
      </c>
      <c r="N60" s="107">
        <v>11.23808577</v>
      </c>
    </row>
    <row r="61" spans="1:14">
      <c r="A61" s="103" t="s">
        <v>325</v>
      </c>
      <c r="B61" s="108">
        <v>1.0102254100000001</v>
      </c>
      <c r="D61" s="103" t="s">
        <v>436</v>
      </c>
      <c r="E61" s="108">
        <v>1</v>
      </c>
      <c r="G61" s="103" t="s">
        <v>547</v>
      </c>
      <c r="H61" s="108">
        <v>1.0102254100000001</v>
      </c>
      <c r="J61" s="103" t="s">
        <v>658</v>
      </c>
      <c r="K61" s="108">
        <v>1</v>
      </c>
      <c r="M61" s="106" t="s">
        <v>769</v>
      </c>
      <c r="N61" s="107">
        <v>11.26787131</v>
      </c>
    </row>
    <row r="62" spans="1:14">
      <c r="A62" s="103" t="s">
        <v>326</v>
      </c>
      <c r="B62" s="108">
        <v>1.01120469</v>
      </c>
      <c r="D62" s="103" t="s">
        <v>437</v>
      </c>
      <c r="E62" s="108">
        <v>1</v>
      </c>
      <c r="G62" s="103" t="s">
        <v>548</v>
      </c>
      <c r="H62" s="108">
        <v>1.01120469</v>
      </c>
      <c r="J62" s="103" t="s">
        <v>659</v>
      </c>
      <c r="K62" s="108">
        <v>1</v>
      </c>
      <c r="M62" s="106" t="s">
        <v>770</v>
      </c>
      <c r="N62" s="107">
        <v>11.29934931</v>
      </c>
    </row>
    <row r="63" spans="1:14">
      <c r="A63" s="103" t="s">
        <v>327</v>
      </c>
      <c r="B63" s="108">
        <v>1.0102215400000001</v>
      </c>
      <c r="D63" s="103" t="s">
        <v>438</v>
      </c>
      <c r="E63" s="108">
        <v>1</v>
      </c>
      <c r="G63" s="103" t="s">
        <v>549</v>
      </c>
      <c r="H63" s="108">
        <v>1.0102215400000001</v>
      </c>
      <c r="J63" s="103" t="s">
        <v>660</v>
      </c>
      <c r="K63" s="108">
        <v>1</v>
      </c>
      <c r="M63" s="106" t="s">
        <v>771</v>
      </c>
      <c r="N63" s="107">
        <v>11.32567046</v>
      </c>
    </row>
    <row r="64" spans="1:14">
      <c r="A64" s="103" t="s">
        <v>328</v>
      </c>
      <c r="B64" s="108">
        <v>1.0102118600000001</v>
      </c>
      <c r="D64" s="103" t="s">
        <v>439</v>
      </c>
      <c r="E64" s="108">
        <v>1</v>
      </c>
      <c r="G64" s="103" t="s">
        <v>550</v>
      </c>
      <c r="H64" s="108">
        <v>1.0102118600000001</v>
      </c>
      <c r="J64" s="103" t="s">
        <v>661</v>
      </c>
      <c r="K64" s="108">
        <v>1</v>
      </c>
      <c r="M64" s="106" t="s">
        <v>772</v>
      </c>
      <c r="N64" s="107">
        <v>11.352271979999999</v>
      </c>
    </row>
    <row r="65" spans="1:14">
      <c r="A65" s="103" t="s">
        <v>329</v>
      </c>
      <c r="B65" s="108">
        <v>1.00923483</v>
      </c>
      <c r="D65" s="103" t="s">
        <v>440</v>
      </c>
      <c r="E65" s="108">
        <v>1</v>
      </c>
      <c r="G65" s="103" t="s">
        <v>551</v>
      </c>
      <c r="H65" s="108">
        <v>1.00923483</v>
      </c>
      <c r="J65" s="103" t="s">
        <v>662</v>
      </c>
      <c r="K65" s="108">
        <v>1</v>
      </c>
      <c r="M65" s="106" t="s">
        <v>773</v>
      </c>
      <c r="N65" s="107">
        <v>11.376817040000001</v>
      </c>
    </row>
    <row r="66" spans="1:14">
      <c r="A66" s="103" t="s">
        <v>330</v>
      </c>
      <c r="B66" s="108">
        <v>1.0097132200000001</v>
      </c>
      <c r="D66" s="103" t="s">
        <v>441</v>
      </c>
      <c r="E66" s="108">
        <v>1</v>
      </c>
      <c r="G66" s="103" t="s">
        <v>552</v>
      </c>
      <c r="H66" s="108">
        <v>1.0097132200000001</v>
      </c>
      <c r="J66" s="103" t="s">
        <v>663</v>
      </c>
      <c r="K66" s="108">
        <v>1</v>
      </c>
      <c r="M66" s="106" t="s">
        <v>774</v>
      </c>
      <c r="N66" s="107">
        <v>11.40024942</v>
      </c>
    </row>
    <row r="67" spans="1:14">
      <c r="A67" s="103" t="s">
        <v>331</v>
      </c>
      <c r="B67" s="108">
        <v>1.0116310900000001</v>
      </c>
      <c r="D67" s="103" t="s">
        <v>442</v>
      </c>
      <c r="E67" s="108">
        <v>1</v>
      </c>
      <c r="G67" s="103" t="s">
        <v>553</v>
      </c>
      <c r="H67" s="108">
        <v>1.0116310900000001</v>
      </c>
      <c r="J67" s="103" t="s">
        <v>664</v>
      </c>
      <c r="K67" s="108">
        <v>1</v>
      </c>
      <c r="M67" s="106" t="s">
        <v>775</v>
      </c>
      <c r="N67" s="107">
        <v>11.424728099999999</v>
      </c>
    </row>
    <row r="68" spans="1:14">
      <c r="A68" s="103" t="s">
        <v>332</v>
      </c>
      <c r="B68" s="108">
        <v>1.0082247799999999</v>
      </c>
      <c r="D68" s="103" t="s">
        <v>443</v>
      </c>
      <c r="E68" s="108">
        <v>1</v>
      </c>
      <c r="G68" s="103" t="s">
        <v>554</v>
      </c>
      <c r="H68" s="108">
        <v>1.0082247799999999</v>
      </c>
      <c r="J68" s="103" t="s">
        <v>665</v>
      </c>
      <c r="K68" s="108">
        <v>1</v>
      </c>
      <c r="M68" s="106" t="s">
        <v>776</v>
      </c>
      <c r="N68" s="107">
        <v>11.445238850000001</v>
      </c>
    </row>
    <row r="69" spans="1:14">
      <c r="A69" s="103" t="s">
        <v>333</v>
      </c>
      <c r="B69" s="108">
        <v>1.0096832200000001</v>
      </c>
      <c r="D69" s="103" t="s">
        <v>444</v>
      </c>
      <c r="E69" s="108">
        <v>1</v>
      </c>
      <c r="G69" s="103" t="s">
        <v>555</v>
      </c>
      <c r="H69" s="108">
        <v>1.0096832200000001</v>
      </c>
      <c r="J69" s="103" t="s">
        <v>666</v>
      </c>
      <c r="K69" s="108">
        <v>1</v>
      </c>
      <c r="M69" s="106" t="s">
        <v>777</v>
      </c>
      <c r="N69" s="107">
        <v>11.466225939999999</v>
      </c>
    </row>
    <row r="70" spans="1:14">
      <c r="A70" s="103" t="s">
        <v>334</v>
      </c>
      <c r="B70" s="108">
        <v>1.01065669</v>
      </c>
      <c r="D70" s="103" t="s">
        <v>445</v>
      </c>
      <c r="E70" s="108">
        <v>1</v>
      </c>
      <c r="G70" s="103" t="s">
        <v>556</v>
      </c>
      <c r="H70" s="108">
        <v>1.01065669</v>
      </c>
      <c r="J70" s="103" t="s">
        <v>667</v>
      </c>
      <c r="K70" s="108">
        <v>1</v>
      </c>
      <c r="M70" s="106" t="s">
        <v>778</v>
      </c>
      <c r="N70" s="107">
        <v>11.48862795</v>
      </c>
    </row>
    <row r="71" spans="1:14">
      <c r="A71" s="103" t="s">
        <v>335</v>
      </c>
      <c r="B71" s="108">
        <v>1.0101698400000001</v>
      </c>
      <c r="D71" s="103" t="s">
        <v>446</v>
      </c>
      <c r="E71" s="108">
        <v>1</v>
      </c>
      <c r="G71" s="103" t="s">
        <v>557</v>
      </c>
      <c r="H71" s="108">
        <v>1.0101698400000001</v>
      </c>
      <c r="J71" s="103" t="s">
        <v>668</v>
      </c>
      <c r="K71" s="108">
        <v>1</v>
      </c>
      <c r="M71" s="106" t="s">
        <v>779</v>
      </c>
      <c r="N71" s="107">
        <v>11.5093727</v>
      </c>
    </row>
    <row r="72" spans="1:14">
      <c r="A72" s="103" t="s">
        <v>336</v>
      </c>
      <c r="B72" s="108">
        <v>1.00971711</v>
      </c>
      <c r="D72" s="103" t="s">
        <v>447</v>
      </c>
      <c r="E72" s="108">
        <v>1</v>
      </c>
      <c r="G72" s="103" t="s">
        <v>558</v>
      </c>
      <c r="H72" s="108">
        <v>1.00971711</v>
      </c>
      <c r="J72" s="103" t="s">
        <v>669</v>
      </c>
      <c r="K72" s="108">
        <v>1</v>
      </c>
      <c r="M72" s="106" t="s">
        <v>780</v>
      </c>
      <c r="N72" s="107">
        <v>11.529745139999999</v>
      </c>
    </row>
    <row r="73" spans="1:14">
      <c r="A73" s="103" t="s">
        <v>337</v>
      </c>
      <c r="B73" s="108">
        <v>1.0112998600000001</v>
      </c>
      <c r="D73" s="103" t="s">
        <v>448</v>
      </c>
      <c r="E73" s="108">
        <v>1</v>
      </c>
      <c r="G73" s="103" t="s">
        <v>559</v>
      </c>
      <c r="H73" s="108">
        <v>1.0112998600000001</v>
      </c>
      <c r="J73" s="103" t="s">
        <v>670</v>
      </c>
      <c r="K73" s="108">
        <v>1</v>
      </c>
      <c r="M73" s="106" t="s">
        <v>781</v>
      </c>
      <c r="N73" s="107">
        <v>11.55411415</v>
      </c>
    </row>
    <row r="74" spans="1:14">
      <c r="A74" s="103" t="s">
        <v>338</v>
      </c>
      <c r="B74" s="108">
        <v>1.0108059199999999</v>
      </c>
      <c r="D74" s="103" t="s">
        <v>449</v>
      </c>
      <c r="E74" s="108">
        <v>1</v>
      </c>
      <c r="G74" s="103" t="s">
        <v>560</v>
      </c>
      <c r="H74" s="108">
        <v>1.0108059199999999</v>
      </c>
      <c r="J74" s="103" t="s">
        <v>671</v>
      </c>
      <c r="K74" s="108">
        <v>1</v>
      </c>
      <c r="M74" s="106" t="s">
        <v>782</v>
      </c>
      <c r="N74" s="107">
        <v>11.57672676</v>
      </c>
    </row>
    <row r="75" spans="1:14">
      <c r="A75" s="103" t="s">
        <v>339</v>
      </c>
      <c r="B75" s="108">
        <v>1.0103122200000001</v>
      </c>
      <c r="D75" s="103" t="s">
        <v>450</v>
      </c>
      <c r="E75" s="108">
        <v>1</v>
      </c>
      <c r="G75" s="103" t="s">
        <v>561</v>
      </c>
      <c r="H75" s="108">
        <v>1.0103122200000001</v>
      </c>
      <c r="J75" s="103" t="s">
        <v>672</v>
      </c>
      <c r="K75" s="108">
        <v>1</v>
      </c>
      <c r="M75" s="106" t="s">
        <v>783</v>
      </c>
      <c r="N75" s="107">
        <v>11.5977034</v>
      </c>
    </row>
    <row r="76" spans="1:14">
      <c r="A76" s="103" t="s">
        <v>340</v>
      </c>
      <c r="B76" s="108">
        <v>1.0112998600000001</v>
      </c>
      <c r="D76" s="103" t="s">
        <v>451</v>
      </c>
      <c r="E76" s="108">
        <v>1</v>
      </c>
      <c r="G76" s="103" t="s">
        <v>562</v>
      </c>
      <c r="H76" s="108">
        <v>1.0112998600000001</v>
      </c>
      <c r="J76" s="103" t="s">
        <v>673</v>
      </c>
      <c r="K76" s="108">
        <v>1</v>
      </c>
      <c r="M76" s="106" t="s">
        <v>784</v>
      </c>
      <c r="N76" s="107">
        <v>11.6200253</v>
      </c>
    </row>
    <row r="77" spans="1:14">
      <c r="A77" s="103" t="s">
        <v>341</v>
      </c>
      <c r="B77" s="108">
        <v>1.0098187599999999</v>
      </c>
      <c r="D77" s="103" t="s">
        <v>452</v>
      </c>
      <c r="E77" s="108">
        <v>1</v>
      </c>
      <c r="G77" s="103" t="s">
        <v>563</v>
      </c>
      <c r="H77" s="108">
        <v>1.0098187599999999</v>
      </c>
      <c r="J77" s="103" t="s">
        <v>674</v>
      </c>
      <c r="K77" s="108">
        <v>1</v>
      </c>
      <c r="M77" s="106" t="s">
        <v>785</v>
      </c>
      <c r="N77" s="107">
        <v>11.63890376</v>
      </c>
    </row>
    <row r="78" spans="1:14">
      <c r="A78" s="103" t="s">
        <v>342</v>
      </c>
      <c r="B78" s="108">
        <v>1.01028246</v>
      </c>
      <c r="D78" s="103" t="s">
        <v>453</v>
      </c>
      <c r="E78" s="108">
        <v>1</v>
      </c>
      <c r="G78" s="103" t="s">
        <v>564</v>
      </c>
      <c r="H78" s="108">
        <v>1.01028246</v>
      </c>
      <c r="J78" s="103" t="s">
        <v>675</v>
      </c>
      <c r="K78" s="108">
        <v>1</v>
      </c>
      <c r="M78" s="106" t="s">
        <v>786</v>
      </c>
      <c r="N78" s="107">
        <v>11.65727103</v>
      </c>
    </row>
    <row r="79" spans="1:14">
      <c r="A79" s="103" t="s">
        <v>343</v>
      </c>
      <c r="B79" s="108">
        <v>1.0106749500000001</v>
      </c>
      <c r="D79" s="103" t="s">
        <v>454</v>
      </c>
      <c r="E79" s="108">
        <v>1</v>
      </c>
      <c r="G79" s="103" t="s">
        <v>565</v>
      </c>
      <c r="H79" s="108">
        <v>1.0106749500000001</v>
      </c>
      <c r="J79" s="103" t="s">
        <v>676</v>
      </c>
      <c r="K79" s="108">
        <v>1</v>
      </c>
      <c r="M79" s="106" t="s">
        <v>787</v>
      </c>
      <c r="N79" s="107">
        <v>11.674698810000001</v>
      </c>
    </row>
    <row r="80" spans="1:14">
      <c r="A80" s="103" t="s">
        <v>344</v>
      </c>
      <c r="B80" s="108">
        <v>1.0096998100000001</v>
      </c>
      <c r="D80" s="103" t="s">
        <v>455</v>
      </c>
      <c r="E80" s="108">
        <v>1</v>
      </c>
      <c r="G80" s="103" t="s">
        <v>566</v>
      </c>
      <c r="H80" s="108">
        <v>1.0096998100000001</v>
      </c>
      <c r="J80" s="103" t="s">
        <v>677</v>
      </c>
      <c r="K80" s="108">
        <v>1</v>
      </c>
      <c r="M80" s="106" t="s">
        <v>788</v>
      </c>
      <c r="N80" s="107">
        <v>11.690134260000001</v>
      </c>
    </row>
    <row r="81" spans="1:14">
      <c r="A81" s="103" t="s">
        <v>345</v>
      </c>
      <c r="B81" s="108">
        <v>1.00921259</v>
      </c>
      <c r="D81" s="103" t="s">
        <v>456</v>
      </c>
      <c r="E81" s="108">
        <v>1</v>
      </c>
      <c r="G81" s="103" t="s">
        <v>567</v>
      </c>
      <c r="H81" s="108">
        <v>1.00921259</v>
      </c>
      <c r="J81" s="103" t="s">
        <v>678</v>
      </c>
      <c r="K81" s="108">
        <v>1</v>
      </c>
      <c r="M81" s="106" t="s">
        <v>789</v>
      </c>
      <c r="N81" s="107">
        <v>11.704451349999999</v>
      </c>
    </row>
    <row r="82" spans="1:14">
      <c r="A82" s="103" t="s">
        <v>346</v>
      </c>
      <c r="B82" s="108">
        <v>1.0096998100000001</v>
      </c>
      <c r="D82" s="103" t="s">
        <v>457</v>
      </c>
      <c r="E82" s="108">
        <v>1</v>
      </c>
      <c r="G82" s="103" t="s">
        <v>568</v>
      </c>
      <c r="H82" s="108">
        <v>1.0096998100000001</v>
      </c>
      <c r="J82" s="103" t="s">
        <v>679</v>
      </c>
      <c r="K82" s="108">
        <v>1</v>
      </c>
      <c r="M82" s="106" t="s">
        <v>790</v>
      </c>
      <c r="N82" s="107">
        <v>11.719170030000001</v>
      </c>
    </row>
    <row r="83" spans="1:14">
      <c r="A83" s="103" t="s">
        <v>347</v>
      </c>
      <c r="B83" s="108">
        <v>1.0101872599999999</v>
      </c>
      <c r="D83" s="103" t="s">
        <v>458</v>
      </c>
      <c r="E83" s="108">
        <v>1</v>
      </c>
      <c r="G83" s="103" t="s">
        <v>569</v>
      </c>
      <c r="H83" s="108">
        <v>1.0101872599999999</v>
      </c>
      <c r="J83" s="103" t="s">
        <v>680</v>
      </c>
      <c r="K83" s="108">
        <v>1</v>
      </c>
      <c r="M83" s="106" t="s">
        <v>791</v>
      </c>
      <c r="N83" s="107">
        <v>11.73424994</v>
      </c>
    </row>
    <row r="84" spans="1:14">
      <c r="A84" s="103" t="s">
        <v>348</v>
      </c>
      <c r="B84" s="108">
        <v>1.00964455</v>
      </c>
      <c r="D84" s="103" t="s">
        <v>459</v>
      </c>
      <c r="E84" s="108">
        <v>1</v>
      </c>
      <c r="G84" s="103" t="s">
        <v>570</v>
      </c>
      <c r="H84" s="108">
        <v>1.00964455</v>
      </c>
      <c r="J84" s="103" t="s">
        <v>681</v>
      </c>
      <c r="K84" s="108">
        <v>1</v>
      </c>
      <c r="M84" s="106" t="s">
        <v>792</v>
      </c>
      <c r="N84" s="107">
        <v>11.74663778</v>
      </c>
    </row>
    <row r="85" spans="1:14">
      <c r="A85" s="103" t="s">
        <v>349</v>
      </c>
      <c r="B85" s="108">
        <v>1.01090835</v>
      </c>
      <c r="D85" s="103" t="s">
        <v>460</v>
      </c>
      <c r="E85" s="108">
        <v>1</v>
      </c>
      <c r="G85" s="103" t="s">
        <v>571</v>
      </c>
      <c r="H85" s="108">
        <v>1.01090835</v>
      </c>
      <c r="J85" s="103" t="s">
        <v>682</v>
      </c>
      <c r="K85" s="108">
        <v>1</v>
      </c>
      <c r="M85" s="106" t="s">
        <v>793</v>
      </c>
      <c r="N85" s="107">
        <v>11.758269800000001</v>
      </c>
    </row>
    <row r="86" spans="1:14">
      <c r="A86" s="103" t="s">
        <v>350</v>
      </c>
      <c r="B86" s="108">
        <v>1.0099551</v>
      </c>
      <c r="D86" s="103" t="s">
        <v>461</v>
      </c>
      <c r="E86" s="108">
        <v>1</v>
      </c>
      <c r="G86" s="103" t="s">
        <v>572</v>
      </c>
      <c r="H86" s="108">
        <v>1.0099551</v>
      </c>
      <c r="J86" s="103" t="s">
        <v>683</v>
      </c>
      <c r="K86" s="108">
        <v>1</v>
      </c>
      <c r="M86" s="106" t="s">
        <v>794</v>
      </c>
      <c r="N86" s="107">
        <v>11.768623720000001</v>
      </c>
    </row>
    <row r="87" spans="1:14">
      <c r="A87" s="103" t="s">
        <v>351</v>
      </c>
      <c r="B87" s="108">
        <v>1.0104316099999999</v>
      </c>
      <c r="D87" s="103" t="s">
        <v>462</v>
      </c>
      <c r="E87" s="108">
        <v>1</v>
      </c>
      <c r="G87" s="103" t="s">
        <v>573</v>
      </c>
      <c r="H87" s="108">
        <v>1.0104316099999999</v>
      </c>
      <c r="J87" s="103" t="s">
        <v>684</v>
      </c>
      <c r="K87" s="108">
        <v>1</v>
      </c>
      <c r="M87" s="106" t="s">
        <v>795</v>
      </c>
      <c r="N87" s="107">
        <v>11.77920786</v>
      </c>
    </row>
    <row r="88" spans="1:14">
      <c r="A88" s="103" t="s">
        <v>352</v>
      </c>
      <c r="B88" s="108">
        <v>1.01090835</v>
      </c>
      <c r="D88" s="103" t="s">
        <v>463</v>
      </c>
      <c r="E88" s="108">
        <v>1</v>
      </c>
      <c r="G88" s="103" t="s">
        <v>574</v>
      </c>
      <c r="H88" s="108">
        <v>1.01090835</v>
      </c>
      <c r="J88" s="103" t="s">
        <v>685</v>
      </c>
      <c r="K88" s="108">
        <v>1</v>
      </c>
      <c r="M88" s="106" t="s">
        <v>796</v>
      </c>
      <c r="N88" s="107">
        <v>11.7899961</v>
      </c>
    </row>
    <row r="89" spans="1:14">
      <c r="A89" s="103" t="s">
        <v>353</v>
      </c>
      <c r="B89" s="108">
        <v>1.0094787999999999</v>
      </c>
      <c r="D89" s="103" t="s">
        <v>464</v>
      </c>
      <c r="E89" s="108">
        <v>1</v>
      </c>
      <c r="G89" s="103" t="s">
        <v>575</v>
      </c>
      <c r="H89" s="108">
        <v>1.0094787999999999</v>
      </c>
      <c r="J89" s="103" t="s">
        <v>686</v>
      </c>
      <c r="K89" s="108">
        <v>1</v>
      </c>
      <c r="M89" s="106" t="s">
        <v>797</v>
      </c>
      <c r="N89" s="107">
        <v>11.799155259999999</v>
      </c>
    </row>
    <row r="90" spans="1:14">
      <c r="A90" s="103" t="s">
        <v>354</v>
      </c>
      <c r="B90" s="108">
        <v>1.0105314599999999</v>
      </c>
      <c r="D90" s="103" t="s">
        <v>465</v>
      </c>
      <c r="E90" s="108">
        <v>1</v>
      </c>
      <c r="G90" s="103" t="s">
        <v>576</v>
      </c>
      <c r="H90" s="108">
        <v>1.0105314599999999</v>
      </c>
      <c r="J90" s="103" t="s">
        <v>687</v>
      </c>
      <c r="K90" s="108">
        <v>1</v>
      </c>
      <c r="M90" s="106" t="s">
        <v>798</v>
      </c>
      <c r="N90" s="107">
        <v>11.811734360000001</v>
      </c>
    </row>
    <row r="91" spans="1:14">
      <c r="A91" s="103" t="s">
        <v>355</v>
      </c>
      <c r="B91" s="108">
        <v>1.0103743300000001</v>
      </c>
      <c r="D91" s="103" t="s">
        <v>466</v>
      </c>
      <c r="E91" s="108">
        <v>1</v>
      </c>
      <c r="G91" s="103" t="s">
        <v>577</v>
      </c>
      <c r="H91" s="108">
        <v>1.0103743300000001</v>
      </c>
      <c r="J91" s="103" t="s">
        <v>688</v>
      </c>
      <c r="K91" s="108">
        <v>1</v>
      </c>
      <c r="M91" s="106" t="s">
        <v>799</v>
      </c>
      <c r="N91" s="107">
        <v>11.82719195</v>
      </c>
    </row>
    <row r="92" spans="1:14">
      <c r="A92" s="103" t="s">
        <v>356</v>
      </c>
      <c r="B92" s="108">
        <v>1.0088857200000001</v>
      </c>
      <c r="D92" s="103" t="s">
        <v>467</v>
      </c>
      <c r="E92" s="108">
        <v>1</v>
      </c>
      <c r="G92" s="103" t="s">
        <v>578</v>
      </c>
      <c r="H92" s="108">
        <v>1.0088857200000001</v>
      </c>
      <c r="J92" s="103" t="s">
        <v>689</v>
      </c>
      <c r="K92" s="108">
        <v>1</v>
      </c>
      <c r="M92" s="106" t="s">
        <v>800</v>
      </c>
      <c r="N92" s="107">
        <v>11.84016692</v>
      </c>
    </row>
    <row r="93" spans="1:14">
      <c r="A93" s="103" t="s">
        <v>357</v>
      </c>
      <c r="B93" s="108">
        <v>1.01087102</v>
      </c>
      <c r="D93" s="103" t="s">
        <v>468</v>
      </c>
      <c r="E93" s="108">
        <v>1</v>
      </c>
      <c r="G93" s="103" t="s">
        <v>579</v>
      </c>
      <c r="H93" s="108">
        <v>1.01087102</v>
      </c>
      <c r="J93" s="103" t="s">
        <v>690</v>
      </c>
      <c r="K93" s="108">
        <v>1</v>
      </c>
      <c r="M93" s="106" t="s">
        <v>801</v>
      </c>
      <c r="N93" s="107">
        <v>11.85569229</v>
      </c>
    </row>
    <row r="94" spans="1:14">
      <c r="A94" s="103" t="s">
        <v>358</v>
      </c>
      <c r="B94" s="108">
        <v>1.0098778799999999</v>
      </c>
      <c r="D94" s="103" t="s">
        <v>469</v>
      </c>
      <c r="E94" s="108">
        <v>1</v>
      </c>
      <c r="G94" s="103" t="s">
        <v>580</v>
      </c>
      <c r="H94" s="108">
        <v>1.0098778799999999</v>
      </c>
      <c r="J94" s="103" t="s">
        <v>691</v>
      </c>
      <c r="K94" s="108">
        <v>1</v>
      </c>
      <c r="M94" s="106" t="s">
        <v>802</v>
      </c>
      <c r="N94" s="107">
        <v>11.86949836</v>
      </c>
    </row>
    <row r="95" spans="1:14">
      <c r="A95" s="103" t="s">
        <v>359</v>
      </c>
      <c r="B95" s="108">
        <v>1.0098778799999999</v>
      </c>
      <c r="D95" s="103" t="s">
        <v>470</v>
      </c>
      <c r="E95" s="108">
        <v>1</v>
      </c>
      <c r="G95" s="103" t="s">
        <v>581</v>
      </c>
      <c r="H95" s="108">
        <v>1.0098778799999999</v>
      </c>
      <c r="J95" s="103" t="s">
        <v>692</v>
      </c>
      <c r="K95" s="108">
        <v>1</v>
      </c>
      <c r="M95" s="106" t="s">
        <v>803</v>
      </c>
      <c r="N95" s="107">
        <v>11.88302054</v>
      </c>
    </row>
    <row r="96" spans="1:14">
      <c r="A96" s="103" t="s">
        <v>360</v>
      </c>
      <c r="B96" s="108">
        <v>1.0103151100000001</v>
      </c>
      <c r="D96" s="103" t="s">
        <v>471</v>
      </c>
      <c r="E96" s="108">
        <v>1</v>
      </c>
      <c r="G96" s="103" t="s">
        <v>582</v>
      </c>
      <c r="H96" s="108">
        <v>1.0103151100000001</v>
      </c>
      <c r="J96" s="103" t="s">
        <v>693</v>
      </c>
      <c r="K96" s="108">
        <v>1</v>
      </c>
      <c r="M96" s="106" t="s">
        <v>804</v>
      </c>
      <c r="N96" s="107">
        <v>11.89540105</v>
      </c>
    </row>
    <row r="97" spans="1:14">
      <c r="A97" s="103" t="s">
        <v>361</v>
      </c>
      <c r="B97" s="108">
        <v>1.01109531</v>
      </c>
      <c r="D97" s="103" t="s">
        <v>472</v>
      </c>
      <c r="E97" s="108">
        <v>1</v>
      </c>
      <c r="G97" s="103" t="s">
        <v>583</v>
      </c>
      <c r="H97" s="108">
        <v>1.01109531</v>
      </c>
      <c r="J97" s="103" t="s">
        <v>694</v>
      </c>
      <c r="K97" s="108">
        <v>1</v>
      </c>
      <c r="M97" s="106" t="s">
        <v>805</v>
      </c>
      <c r="N97" s="107">
        <v>11.90646398</v>
      </c>
    </row>
    <row r="98" spans="1:14">
      <c r="A98" s="103" t="s">
        <v>362</v>
      </c>
      <c r="B98" s="108">
        <v>1.0101256300000001</v>
      </c>
      <c r="D98" s="103" t="s">
        <v>473</v>
      </c>
      <c r="E98" s="108">
        <v>1</v>
      </c>
      <c r="G98" s="103" t="s">
        <v>584</v>
      </c>
      <c r="H98" s="108">
        <v>1.0101256300000001</v>
      </c>
      <c r="J98" s="103" t="s">
        <v>695</v>
      </c>
      <c r="K98" s="108">
        <v>1</v>
      </c>
      <c r="M98" s="106" t="s">
        <v>806</v>
      </c>
      <c r="N98" s="107">
        <v>11.916343510000001</v>
      </c>
    </row>
    <row r="99" spans="1:14">
      <c r="A99" s="103" t="s">
        <v>363</v>
      </c>
      <c r="B99" s="108">
        <v>1.01061036</v>
      </c>
      <c r="D99" s="103" t="s">
        <v>474</v>
      </c>
      <c r="E99" s="108">
        <v>1</v>
      </c>
      <c r="G99" s="103" t="s">
        <v>585</v>
      </c>
      <c r="H99" s="108">
        <v>1.01061036</v>
      </c>
      <c r="J99" s="103" t="s">
        <v>696</v>
      </c>
      <c r="K99" s="108">
        <v>1</v>
      </c>
      <c r="M99" s="106" t="s">
        <v>807</v>
      </c>
      <c r="N99" s="107">
        <v>11.926018470000001</v>
      </c>
    </row>
    <row r="100" spans="1:14">
      <c r="A100" s="103" t="s">
        <v>364</v>
      </c>
      <c r="B100" s="108">
        <v>1.00964114</v>
      </c>
      <c r="D100" s="103" t="s">
        <v>475</v>
      </c>
      <c r="E100" s="108">
        <v>1</v>
      </c>
      <c r="G100" s="103" t="s">
        <v>586</v>
      </c>
      <c r="H100" s="108">
        <v>1.00964114</v>
      </c>
      <c r="J100" s="103" t="s">
        <v>697</v>
      </c>
      <c r="K100" s="108">
        <v>1</v>
      </c>
      <c r="M100" s="106" t="s">
        <v>808</v>
      </c>
      <c r="N100" s="107">
        <v>11.935495149999999</v>
      </c>
    </row>
    <row r="101" spans="1:14">
      <c r="A101" s="103" t="s">
        <v>365</v>
      </c>
      <c r="B101" s="108">
        <v>1.00964114</v>
      </c>
      <c r="D101" s="103" t="s">
        <v>476</v>
      </c>
      <c r="E101" s="108">
        <v>1</v>
      </c>
      <c r="G101" s="103" t="s">
        <v>587</v>
      </c>
      <c r="H101" s="108">
        <v>1.00964114</v>
      </c>
      <c r="J101" s="103" t="s">
        <v>698</v>
      </c>
      <c r="K101" s="108">
        <v>1</v>
      </c>
      <c r="M101" s="106" t="s">
        <v>809</v>
      </c>
      <c r="N101" s="107">
        <v>11.94434174</v>
      </c>
    </row>
    <row r="102" spans="1:14">
      <c r="A102" s="103" t="s">
        <v>366</v>
      </c>
      <c r="B102" s="108">
        <v>1.0106154899999999</v>
      </c>
      <c r="D102" s="103" t="s">
        <v>477</v>
      </c>
      <c r="E102" s="108">
        <v>1</v>
      </c>
      <c r="G102" s="103" t="s">
        <v>588</v>
      </c>
      <c r="H102" s="108">
        <v>1.0106154899999999</v>
      </c>
      <c r="J102" s="103" t="s">
        <v>699</v>
      </c>
      <c r="K102" s="108">
        <v>1</v>
      </c>
      <c r="M102" s="106" t="s">
        <v>810</v>
      </c>
      <c r="N102" s="107">
        <v>11.95400132</v>
      </c>
    </row>
    <row r="103" spans="1:14">
      <c r="A103" s="103" t="s">
        <v>367</v>
      </c>
      <c r="B103" s="108">
        <v>1.00966165</v>
      </c>
      <c r="D103" s="103" t="s">
        <v>478</v>
      </c>
      <c r="E103" s="108">
        <v>1</v>
      </c>
      <c r="G103" s="103" t="s">
        <v>589</v>
      </c>
      <c r="H103" s="108">
        <v>1.00966165</v>
      </c>
      <c r="J103" s="103" t="s">
        <v>700</v>
      </c>
      <c r="K103" s="108">
        <v>1</v>
      </c>
      <c r="M103" s="106" t="s">
        <v>811</v>
      </c>
      <c r="N103" s="107">
        <v>11.962769079999999</v>
      </c>
    </row>
    <row r="104" spans="1:14">
      <c r="A104" s="103" t="s">
        <v>368</v>
      </c>
      <c r="B104" s="108">
        <v>1.0086913</v>
      </c>
      <c r="D104" s="103" t="s">
        <v>479</v>
      </c>
      <c r="E104" s="108">
        <v>1</v>
      </c>
      <c r="G104" s="103" t="s">
        <v>590</v>
      </c>
      <c r="H104" s="108">
        <v>1.0086913</v>
      </c>
      <c r="J104" s="103" t="s">
        <v>701</v>
      </c>
      <c r="K104" s="108">
        <v>1</v>
      </c>
      <c r="M104" s="106" t="s">
        <v>812</v>
      </c>
      <c r="N104" s="107">
        <v>11.97051926</v>
      </c>
    </row>
    <row r="105" spans="1:14">
      <c r="A105" s="103" t="s">
        <v>369</v>
      </c>
      <c r="B105" s="108">
        <v>1.0106329300000001</v>
      </c>
      <c r="D105" s="103" t="s">
        <v>480</v>
      </c>
      <c r="E105" s="108">
        <v>1</v>
      </c>
      <c r="G105" s="103" t="s">
        <v>591</v>
      </c>
      <c r="H105" s="108">
        <v>1.0106329300000001</v>
      </c>
      <c r="J105" s="103" t="s">
        <v>702</v>
      </c>
      <c r="K105" s="108">
        <v>1</v>
      </c>
      <c r="M105" s="106" t="s">
        <v>813</v>
      </c>
      <c r="N105" s="107">
        <v>11.9798156</v>
      </c>
    </row>
    <row r="106" spans="1:14">
      <c r="A106" s="103" t="s">
        <v>370</v>
      </c>
      <c r="B106" s="108">
        <v>1.01014717</v>
      </c>
      <c r="D106" s="103" t="s">
        <v>481</v>
      </c>
      <c r="E106" s="108">
        <v>1</v>
      </c>
      <c r="G106" s="103" t="s">
        <v>592</v>
      </c>
      <c r="H106" s="108">
        <v>1.01014717</v>
      </c>
      <c r="J106" s="103" t="s">
        <v>703</v>
      </c>
      <c r="K106" s="108">
        <v>1</v>
      </c>
      <c r="M106" s="106" t="s">
        <v>814</v>
      </c>
      <c r="N106" s="107">
        <v>11.988513749999999</v>
      </c>
    </row>
    <row r="107" spans="1:14">
      <c r="A107" s="103" t="s">
        <v>371</v>
      </c>
      <c r="B107" s="108">
        <v>1.00966165</v>
      </c>
      <c r="D107" s="103" t="s">
        <v>482</v>
      </c>
      <c r="E107" s="108">
        <v>1</v>
      </c>
      <c r="G107" s="103" t="s">
        <v>593</v>
      </c>
      <c r="H107" s="108">
        <v>1.00966165</v>
      </c>
      <c r="J107" s="103" t="s">
        <v>704</v>
      </c>
      <c r="K107" s="108">
        <v>1</v>
      </c>
      <c r="M107" s="106" t="s">
        <v>815</v>
      </c>
      <c r="N107" s="107">
        <v>11.9966428</v>
      </c>
    </row>
    <row r="108" spans="1:14">
      <c r="A108" s="103" t="s">
        <v>372</v>
      </c>
      <c r="B108" s="108">
        <v>1.0106329300000001</v>
      </c>
      <c r="D108" s="103" t="s">
        <v>483</v>
      </c>
      <c r="E108" s="108">
        <v>1</v>
      </c>
      <c r="G108" s="103" t="s">
        <v>594</v>
      </c>
      <c r="H108" s="108">
        <v>1.0106329300000001</v>
      </c>
      <c r="J108" s="103" t="s">
        <v>705</v>
      </c>
      <c r="K108" s="108">
        <v>1</v>
      </c>
      <c r="M108" s="106" t="s">
        <v>816</v>
      </c>
      <c r="N108" s="107">
        <v>12.005415169999999</v>
      </c>
    </row>
    <row r="109" spans="1:14">
      <c r="A109" s="103" t="s">
        <v>373</v>
      </c>
      <c r="B109" s="108">
        <v>1.0106329300000001</v>
      </c>
      <c r="D109" s="103" t="s">
        <v>484</v>
      </c>
      <c r="E109" s="108">
        <v>1</v>
      </c>
      <c r="G109" s="103" t="s">
        <v>595</v>
      </c>
      <c r="H109" s="108">
        <v>1.0106329300000001</v>
      </c>
      <c r="J109" s="103" t="s">
        <v>706</v>
      </c>
      <c r="K109" s="108">
        <v>1</v>
      </c>
      <c r="M109" s="106" t="s">
        <v>817</v>
      </c>
      <c r="N109" s="107">
        <v>12.014014960000001</v>
      </c>
    </row>
    <row r="110" spans="1:14">
      <c r="A110" s="103" t="s">
        <v>374</v>
      </c>
      <c r="B110" s="108">
        <v>1.0106329300000001</v>
      </c>
      <c r="D110" s="103" t="s">
        <v>485</v>
      </c>
      <c r="E110" s="108">
        <v>1</v>
      </c>
      <c r="G110" s="103" t="s">
        <v>596</v>
      </c>
      <c r="H110" s="108">
        <v>1.0106329300000001</v>
      </c>
      <c r="J110" s="103" t="s">
        <v>707</v>
      </c>
      <c r="K110" s="108">
        <v>1</v>
      </c>
      <c r="M110" s="106" t="s">
        <v>818</v>
      </c>
      <c r="N110" s="107">
        <v>12.022447229999999</v>
      </c>
    </row>
    <row r="111" spans="1:14">
      <c r="A111" s="103" t="s">
        <v>375</v>
      </c>
      <c r="B111" s="108">
        <v>1.0106329300000001</v>
      </c>
      <c r="D111" s="103" t="s">
        <v>486</v>
      </c>
      <c r="E111" s="108">
        <v>1</v>
      </c>
      <c r="G111" s="103" t="s">
        <v>597</v>
      </c>
      <c r="H111" s="108">
        <v>1.0106329300000001</v>
      </c>
      <c r="J111" s="103" t="s">
        <v>708</v>
      </c>
      <c r="K111" s="108">
        <v>1</v>
      </c>
      <c r="M111" s="106" t="s">
        <v>819</v>
      </c>
      <c r="N111" s="107">
        <v>12.030344380000001</v>
      </c>
    </row>
    <row r="112" spans="1:14">
      <c r="A112" s="103" t="s">
        <v>376</v>
      </c>
      <c r="B112" s="108">
        <v>1.00966165</v>
      </c>
      <c r="D112" s="103" t="s">
        <v>487</v>
      </c>
      <c r="E112" s="108">
        <v>1</v>
      </c>
      <c r="G112" s="103" t="s">
        <v>598</v>
      </c>
      <c r="H112" s="108">
        <v>1.00966165</v>
      </c>
      <c r="J112" s="103" t="s">
        <v>709</v>
      </c>
      <c r="K112" s="108">
        <v>1</v>
      </c>
      <c r="M112" s="106" t="s">
        <v>820</v>
      </c>
      <c r="N112" s="107">
        <v>12.03773138</v>
      </c>
    </row>
    <row r="113" spans="1:14">
      <c r="A113" s="103" t="s">
        <v>377</v>
      </c>
      <c r="B113" s="108">
        <v>1.0091763499999999</v>
      </c>
      <c r="D113" s="103" t="s">
        <v>488</v>
      </c>
      <c r="E113" s="108">
        <v>1</v>
      </c>
      <c r="G113" s="103" t="s">
        <v>599</v>
      </c>
      <c r="H113" s="108">
        <v>1.0091763499999999</v>
      </c>
      <c r="J113" s="103" t="s">
        <v>710</v>
      </c>
      <c r="K113" s="108">
        <v>1</v>
      </c>
      <c r="M113" s="106" t="s">
        <v>821</v>
      </c>
      <c r="N113" s="107">
        <v>12.044991</v>
      </c>
    </row>
    <row r="114" spans="1:14" s="183" customFormat="1">
      <c r="A114" s="181" t="s">
        <v>965</v>
      </c>
      <c r="B114" s="182">
        <v>1.01058859</v>
      </c>
      <c r="D114" s="181" t="s">
        <v>1109</v>
      </c>
      <c r="E114" s="182">
        <v>1</v>
      </c>
      <c r="G114" s="181" t="s">
        <v>1253</v>
      </c>
      <c r="H114" s="182">
        <v>1.01058859</v>
      </c>
      <c r="J114" s="181" t="s">
        <v>1397</v>
      </c>
      <c r="K114" s="182">
        <v>1.00578974</v>
      </c>
      <c r="M114" s="184" t="s">
        <v>1541</v>
      </c>
      <c r="N114" s="185">
        <v>14.271121239999999</v>
      </c>
    </row>
    <row r="115" spans="1:14">
      <c r="A115" s="103" t="s">
        <v>966</v>
      </c>
      <c r="B115" s="108">
        <v>1.0107509699999999</v>
      </c>
      <c r="D115" s="103" t="s">
        <v>1110</v>
      </c>
      <c r="E115" s="108">
        <v>1</v>
      </c>
      <c r="G115" s="103" t="s">
        <v>1254</v>
      </c>
      <c r="H115" s="108">
        <v>1.0107509699999999</v>
      </c>
      <c r="J115" s="103" t="s">
        <v>1398</v>
      </c>
      <c r="K115" s="108">
        <v>1</v>
      </c>
      <c r="M115" s="106" t="s">
        <v>1542</v>
      </c>
      <c r="N115" s="107">
        <v>14.408799999999999</v>
      </c>
    </row>
    <row r="116" spans="1:14">
      <c r="A116" s="103" t="s">
        <v>967</v>
      </c>
      <c r="B116" s="108">
        <v>1.0104201900000001</v>
      </c>
      <c r="D116" s="103" t="s">
        <v>1111</v>
      </c>
      <c r="E116" s="108">
        <v>1</v>
      </c>
      <c r="G116" s="103" t="s">
        <v>1255</v>
      </c>
      <c r="H116" s="108">
        <v>1.0104201900000001</v>
      </c>
      <c r="J116" s="103" t="s">
        <v>1399</v>
      </c>
      <c r="K116" s="108">
        <v>1</v>
      </c>
      <c r="M116" s="106" t="s">
        <v>1543</v>
      </c>
      <c r="N116" s="107">
        <v>14.592700000000001</v>
      </c>
    </row>
    <row r="117" spans="1:14">
      <c r="A117" s="103" t="s">
        <v>968</v>
      </c>
      <c r="B117" s="108">
        <v>1.0124769199999999</v>
      </c>
      <c r="D117" s="103" t="s">
        <v>1112</v>
      </c>
      <c r="E117" s="108">
        <v>1</v>
      </c>
      <c r="G117" s="103" t="s">
        <v>1256</v>
      </c>
      <c r="H117" s="108">
        <v>1.0124769199999999</v>
      </c>
      <c r="J117" s="103" t="s">
        <v>1400</v>
      </c>
      <c r="K117" s="108">
        <v>1</v>
      </c>
      <c r="M117" s="106" t="s">
        <v>1544</v>
      </c>
      <c r="N117" s="107">
        <v>14.805999999999999</v>
      </c>
    </row>
    <row r="118" spans="1:14">
      <c r="A118" s="103" t="s">
        <v>969</v>
      </c>
      <c r="B118" s="108">
        <v>1.01145901</v>
      </c>
      <c r="D118" s="103" t="s">
        <v>1113</v>
      </c>
      <c r="E118" s="108">
        <v>1</v>
      </c>
      <c r="G118" s="103" t="s">
        <v>1257</v>
      </c>
      <c r="H118" s="108">
        <v>1.01145901</v>
      </c>
      <c r="J118" s="103" t="s">
        <v>1401</v>
      </c>
      <c r="K118" s="108">
        <v>1</v>
      </c>
      <c r="M118" s="106" t="s">
        <v>1545</v>
      </c>
      <c r="N118" s="107">
        <v>14.962899999999999</v>
      </c>
    </row>
    <row r="119" spans="1:14">
      <c r="A119" s="103" t="s">
        <v>970</v>
      </c>
      <c r="B119" s="108">
        <v>1.01224172</v>
      </c>
      <c r="D119" s="103" t="s">
        <v>1114</v>
      </c>
      <c r="E119" s="108">
        <v>1</v>
      </c>
      <c r="G119" s="103" t="s">
        <v>1258</v>
      </c>
      <c r="H119" s="108">
        <v>1.01224172</v>
      </c>
      <c r="J119" s="103" t="s">
        <v>1402</v>
      </c>
      <c r="K119" s="108">
        <v>1</v>
      </c>
      <c r="M119" s="106" t="s">
        <v>1546</v>
      </c>
      <c r="N119" s="107">
        <v>15.119300000000001</v>
      </c>
    </row>
    <row r="120" spans="1:14">
      <c r="A120" s="103" t="s">
        <v>971</v>
      </c>
      <c r="B120" s="108">
        <v>1.0129370200000001</v>
      </c>
      <c r="D120" s="103" t="s">
        <v>1115</v>
      </c>
      <c r="E120" s="108">
        <v>1</v>
      </c>
      <c r="G120" s="103" t="s">
        <v>1259</v>
      </c>
      <c r="H120" s="108">
        <v>1.0129370200000001</v>
      </c>
      <c r="J120" s="103" t="s">
        <v>1403</v>
      </c>
      <c r="K120" s="108">
        <v>1</v>
      </c>
      <c r="M120" s="106" t="s">
        <v>1547</v>
      </c>
      <c r="N120" s="107">
        <v>15.2698</v>
      </c>
    </row>
    <row r="121" spans="1:14">
      <c r="A121" s="103" t="s">
        <v>972</v>
      </c>
      <c r="B121" s="108">
        <v>1.0126990300000001</v>
      </c>
      <c r="D121" s="103" t="s">
        <v>1116</v>
      </c>
      <c r="E121" s="108">
        <v>1</v>
      </c>
      <c r="G121" s="103" t="s">
        <v>1260</v>
      </c>
      <c r="H121" s="108">
        <v>1.0126990300000001</v>
      </c>
      <c r="J121" s="103" t="s">
        <v>1404</v>
      </c>
      <c r="K121" s="108">
        <v>1</v>
      </c>
      <c r="M121" s="106" t="s">
        <v>1548</v>
      </c>
      <c r="N121" s="107">
        <v>15.4056</v>
      </c>
    </row>
    <row r="122" spans="1:14">
      <c r="A122" s="103" t="s">
        <v>973</v>
      </c>
      <c r="B122" s="108">
        <v>1.0139181799999999</v>
      </c>
      <c r="D122" s="103" t="s">
        <v>1117</v>
      </c>
      <c r="E122" s="108">
        <v>1</v>
      </c>
      <c r="G122" s="103" t="s">
        <v>1261</v>
      </c>
      <c r="H122" s="108">
        <v>1.0139181799999999</v>
      </c>
      <c r="J122" s="103" t="s">
        <v>1405</v>
      </c>
      <c r="K122" s="108">
        <v>1</v>
      </c>
      <c r="M122" s="106" t="s">
        <v>1549</v>
      </c>
      <c r="N122" s="107">
        <v>15.546200000000001</v>
      </c>
    </row>
    <row r="123" spans="1:14">
      <c r="A123" s="103" t="s">
        <v>974</v>
      </c>
      <c r="B123" s="108">
        <v>1.0133826699999999</v>
      </c>
      <c r="D123" s="103" t="s">
        <v>1118</v>
      </c>
      <c r="E123" s="108">
        <v>1</v>
      </c>
      <c r="G123" s="103" t="s">
        <v>1262</v>
      </c>
      <c r="H123" s="108">
        <v>1.0133826699999999</v>
      </c>
      <c r="J123" s="103" t="s">
        <v>1406</v>
      </c>
      <c r="K123" s="108">
        <v>1</v>
      </c>
      <c r="M123" s="106" t="s">
        <v>1550</v>
      </c>
      <c r="N123" s="107">
        <v>15.672599999999999</v>
      </c>
    </row>
    <row r="124" spans="1:14">
      <c r="A124" s="103" t="s">
        <v>975</v>
      </c>
      <c r="B124" s="108">
        <v>1.0123268700000001</v>
      </c>
      <c r="D124" s="103" t="s">
        <v>1119</v>
      </c>
      <c r="E124" s="108">
        <v>1</v>
      </c>
      <c r="G124" s="103" t="s">
        <v>1263</v>
      </c>
      <c r="H124" s="108">
        <v>1.0123268700000001</v>
      </c>
      <c r="J124" s="103" t="s">
        <v>1407</v>
      </c>
      <c r="K124" s="108">
        <v>1</v>
      </c>
      <c r="M124" s="106" t="s">
        <v>1551</v>
      </c>
      <c r="N124" s="107">
        <v>15.7506</v>
      </c>
    </row>
    <row r="125" spans="1:14">
      <c r="A125" s="103" t="s">
        <v>976</v>
      </c>
      <c r="B125" s="108">
        <v>1.01159081</v>
      </c>
      <c r="D125" s="103" t="s">
        <v>1120</v>
      </c>
      <c r="E125" s="108">
        <v>1</v>
      </c>
      <c r="G125" s="103" t="s">
        <v>1264</v>
      </c>
      <c r="H125" s="108">
        <v>1.01159081</v>
      </c>
      <c r="J125" s="103" t="s">
        <v>1408</v>
      </c>
      <c r="K125" s="108">
        <v>1</v>
      </c>
      <c r="M125" s="106" t="s">
        <v>1552</v>
      </c>
      <c r="N125" s="107">
        <v>15.8056</v>
      </c>
    </row>
    <row r="126" spans="1:14">
      <c r="A126" s="103" t="s">
        <v>977</v>
      </c>
      <c r="B126" s="108">
        <v>1.0132758900000001</v>
      </c>
      <c r="D126" s="103" t="s">
        <v>1121</v>
      </c>
      <c r="E126" s="108">
        <v>1</v>
      </c>
      <c r="G126" s="103" t="s">
        <v>1265</v>
      </c>
      <c r="H126" s="108">
        <v>1.0132758900000001</v>
      </c>
      <c r="J126" s="103" t="s">
        <v>1409</v>
      </c>
      <c r="K126" s="108">
        <v>1</v>
      </c>
      <c r="M126" s="106" t="s">
        <v>1553</v>
      </c>
      <c r="N126" s="107">
        <v>15.8864</v>
      </c>
    </row>
    <row r="127" spans="1:14">
      <c r="A127" s="103" t="s">
        <v>978</v>
      </c>
      <c r="B127" s="108">
        <v>1.01398418</v>
      </c>
      <c r="D127" s="103" t="s">
        <v>1122</v>
      </c>
      <c r="E127" s="108">
        <v>1</v>
      </c>
      <c r="G127" s="103" t="s">
        <v>1266</v>
      </c>
      <c r="H127" s="108">
        <v>1.01398418</v>
      </c>
      <c r="J127" s="103" t="s">
        <v>1410</v>
      </c>
      <c r="K127" s="108">
        <v>1</v>
      </c>
      <c r="M127" s="106" t="s">
        <v>1554</v>
      </c>
      <c r="N127" s="107">
        <v>15.9948</v>
      </c>
    </row>
    <row r="128" spans="1:14">
      <c r="A128" s="103" t="s">
        <v>979</v>
      </c>
      <c r="B128" s="108">
        <v>1.0114307600000001</v>
      </c>
      <c r="D128" s="103" t="s">
        <v>1123</v>
      </c>
      <c r="E128" s="108">
        <v>1</v>
      </c>
      <c r="G128" s="103" t="s">
        <v>1267</v>
      </c>
      <c r="H128" s="108">
        <v>1.0114307600000001</v>
      </c>
      <c r="J128" s="103" t="s">
        <v>1411</v>
      </c>
      <c r="K128" s="108">
        <v>1</v>
      </c>
      <c r="M128" s="106" t="s">
        <v>1555</v>
      </c>
      <c r="N128" s="107">
        <v>16.071999999999999</v>
      </c>
    </row>
    <row r="129" spans="1:14">
      <c r="A129" s="103" t="s">
        <v>980</v>
      </c>
      <c r="B129" s="108">
        <v>1.01526038</v>
      </c>
      <c r="D129" s="103" t="s">
        <v>1124</v>
      </c>
      <c r="E129" s="108">
        <v>1</v>
      </c>
      <c r="G129" s="103" t="s">
        <v>1268</v>
      </c>
      <c r="H129" s="108">
        <v>1.01526038</v>
      </c>
      <c r="J129" s="103" t="s">
        <v>1412</v>
      </c>
      <c r="K129" s="108">
        <v>1</v>
      </c>
      <c r="M129" s="106" t="s">
        <v>1556</v>
      </c>
      <c r="N129" s="107">
        <v>16.1586</v>
      </c>
    </row>
    <row r="130" spans="1:14">
      <c r="A130" s="103" t="s">
        <v>981</v>
      </c>
      <c r="B130" s="108">
        <v>1.0107907300000001</v>
      </c>
      <c r="D130" s="103" t="s">
        <v>1125</v>
      </c>
      <c r="E130" s="108">
        <v>1</v>
      </c>
      <c r="G130" s="103" t="s">
        <v>1269</v>
      </c>
      <c r="H130" s="108">
        <v>1.0107907300000001</v>
      </c>
      <c r="J130" s="103" t="s">
        <v>1413</v>
      </c>
      <c r="K130" s="108">
        <v>1</v>
      </c>
      <c r="M130" s="106" t="s">
        <v>1557</v>
      </c>
      <c r="N130" s="107">
        <v>16.218299999999999</v>
      </c>
    </row>
    <row r="131" spans="1:14">
      <c r="A131" s="103" t="s">
        <v>982</v>
      </c>
      <c r="B131" s="108">
        <v>1.0139865800000001</v>
      </c>
      <c r="D131" s="103" t="s">
        <v>1126</v>
      </c>
      <c r="E131" s="108">
        <v>1</v>
      </c>
      <c r="G131" s="103" t="s">
        <v>1270</v>
      </c>
      <c r="H131" s="108">
        <v>1.0139865800000001</v>
      </c>
      <c r="J131" s="103" t="s">
        <v>1414</v>
      </c>
      <c r="K131" s="108">
        <v>1</v>
      </c>
      <c r="M131" s="106" t="s">
        <v>1558</v>
      </c>
      <c r="N131" s="107">
        <v>16.2834</v>
      </c>
    </row>
    <row r="132" spans="1:14">
      <c r="A132" s="103" t="s">
        <v>983</v>
      </c>
      <c r="B132" s="108">
        <v>1.0133008100000001</v>
      </c>
      <c r="D132" s="103" t="s">
        <v>1127</v>
      </c>
      <c r="E132" s="108">
        <v>1</v>
      </c>
      <c r="G132" s="103" t="s">
        <v>1271</v>
      </c>
      <c r="H132" s="108">
        <v>1.0133008100000001</v>
      </c>
      <c r="J132" s="103" t="s">
        <v>1415</v>
      </c>
      <c r="K132" s="108">
        <v>1</v>
      </c>
      <c r="M132" s="106" t="s">
        <v>1559</v>
      </c>
      <c r="N132" s="107">
        <v>16.336500000000001</v>
      </c>
    </row>
    <row r="133" spans="1:14">
      <c r="A133" s="103" t="s">
        <v>984</v>
      </c>
      <c r="B133" s="108">
        <v>1.01315428</v>
      </c>
      <c r="D133" s="103" t="s">
        <v>1128</v>
      </c>
      <c r="E133" s="108">
        <v>1</v>
      </c>
      <c r="G133" s="103" t="s">
        <v>1272</v>
      </c>
      <c r="H133" s="108">
        <v>1.01315428</v>
      </c>
      <c r="J133" s="103" t="s">
        <v>1416</v>
      </c>
      <c r="K133" s="108">
        <v>1</v>
      </c>
      <c r="M133" s="106" t="s">
        <v>1560</v>
      </c>
      <c r="N133" s="107">
        <v>16.381499999999999</v>
      </c>
    </row>
    <row r="134" spans="1:14">
      <c r="A134" s="103" t="s">
        <v>985</v>
      </c>
      <c r="B134" s="108">
        <v>1.0144160499999999</v>
      </c>
      <c r="D134" s="103" t="s">
        <v>1129</v>
      </c>
      <c r="E134" s="108">
        <v>1</v>
      </c>
      <c r="G134" s="103" t="s">
        <v>1273</v>
      </c>
      <c r="H134" s="108">
        <v>1.0144160499999999</v>
      </c>
      <c r="J134" s="103" t="s">
        <v>1417</v>
      </c>
      <c r="K134" s="108">
        <v>1</v>
      </c>
      <c r="M134" s="106" t="s">
        <v>1561</v>
      </c>
      <c r="N134" s="107">
        <v>16.425699999999999</v>
      </c>
    </row>
    <row r="135" spans="1:14">
      <c r="A135" s="103" t="s">
        <v>986</v>
      </c>
      <c r="B135" s="108">
        <v>1.0131537399999999</v>
      </c>
      <c r="D135" s="103" t="s">
        <v>1130</v>
      </c>
      <c r="E135" s="108">
        <v>1</v>
      </c>
      <c r="G135" s="103" t="s">
        <v>1274</v>
      </c>
      <c r="H135" s="108">
        <v>1.0131537399999999</v>
      </c>
      <c r="J135" s="103" t="s">
        <v>1418</v>
      </c>
      <c r="K135" s="108">
        <v>1</v>
      </c>
      <c r="M135" s="106" t="s">
        <v>1562</v>
      </c>
      <c r="N135" s="107">
        <v>16.454999999999998</v>
      </c>
    </row>
    <row r="136" spans="1:14">
      <c r="A136" s="103" t="s">
        <v>987</v>
      </c>
      <c r="B136" s="108">
        <v>1.01315238</v>
      </c>
      <c r="D136" s="103" t="s">
        <v>1131</v>
      </c>
      <c r="E136" s="108">
        <v>1</v>
      </c>
      <c r="G136" s="103" t="s">
        <v>1275</v>
      </c>
      <c r="H136" s="108">
        <v>1.01315238</v>
      </c>
      <c r="J136" s="103" t="s">
        <v>1419</v>
      </c>
      <c r="K136" s="108">
        <v>1</v>
      </c>
      <c r="M136" s="106" t="s">
        <v>1563</v>
      </c>
      <c r="N136" s="107">
        <v>16.476400000000002</v>
      </c>
    </row>
    <row r="137" spans="1:14">
      <c r="A137" s="103" t="s">
        <v>988</v>
      </c>
      <c r="B137" s="108">
        <v>1.01189236</v>
      </c>
      <c r="D137" s="103" t="s">
        <v>1132</v>
      </c>
      <c r="E137" s="108">
        <v>1</v>
      </c>
      <c r="G137" s="103" t="s">
        <v>1276</v>
      </c>
      <c r="H137" s="108">
        <v>1.01189236</v>
      </c>
      <c r="J137" s="103" t="s">
        <v>1420</v>
      </c>
      <c r="K137" s="108">
        <v>1</v>
      </c>
      <c r="M137" s="106" t="s">
        <v>1564</v>
      </c>
      <c r="N137" s="107">
        <v>16.495100000000001</v>
      </c>
    </row>
    <row r="138" spans="1:14">
      <c r="A138" s="103" t="s">
        <v>989</v>
      </c>
      <c r="B138" s="108">
        <v>1.0125591599999999</v>
      </c>
      <c r="D138" s="103" t="s">
        <v>1133</v>
      </c>
      <c r="E138" s="108">
        <v>1</v>
      </c>
      <c r="G138" s="103" t="s">
        <v>1277</v>
      </c>
      <c r="H138" s="108">
        <v>1.0125591599999999</v>
      </c>
      <c r="J138" s="103" t="s">
        <v>1421</v>
      </c>
      <c r="K138" s="108">
        <v>1</v>
      </c>
      <c r="M138" s="106" t="s">
        <v>1565</v>
      </c>
      <c r="N138" s="107">
        <v>16.518799999999999</v>
      </c>
    </row>
    <row r="139" spans="1:14">
      <c r="A139" s="103" t="s">
        <v>990</v>
      </c>
      <c r="B139" s="108">
        <v>1.01522336</v>
      </c>
      <c r="D139" s="103" t="s">
        <v>1134</v>
      </c>
      <c r="E139" s="108">
        <v>1</v>
      </c>
      <c r="G139" s="103" t="s">
        <v>1278</v>
      </c>
      <c r="H139" s="108">
        <v>1.01522336</v>
      </c>
      <c r="J139" s="103" t="s">
        <v>1422</v>
      </c>
      <c r="K139" s="108">
        <v>1</v>
      </c>
      <c r="M139" s="106" t="s">
        <v>1566</v>
      </c>
      <c r="N139" s="107">
        <v>16.551200000000001</v>
      </c>
    </row>
    <row r="140" spans="1:14">
      <c r="A140" s="103" t="s">
        <v>991</v>
      </c>
      <c r="B140" s="108">
        <v>1.0101233300000001</v>
      </c>
      <c r="D140" s="103" t="s">
        <v>1135</v>
      </c>
      <c r="E140" s="108">
        <v>1</v>
      </c>
      <c r="G140" s="103" t="s">
        <v>1279</v>
      </c>
      <c r="H140" s="108">
        <v>1.0101233300000001</v>
      </c>
      <c r="J140" s="103" t="s">
        <v>1423</v>
      </c>
      <c r="K140" s="108">
        <v>1</v>
      </c>
      <c r="M140" s="106" t="s">
        <v>1567</v>
      </c>
      <c r="N140" s="107">
        <v>16.575800000000001</v>
      </c>
    </row>
    <row r="141" spans="1:14">
      <c r="A141" s="103" t="s">
        <v>992</v>
      </c>
      <c r="B141" s="108">
        <v>1.01330783</v>
      </c>
      <c r="D141" s="103" t="s">
        <v>1136</v>
      </c>
      <c r="E141" s="108">
        <v>1</v>
      </c>
      <c r="G141" s="103" t="s">
        <v>1280</v>
      </c>
      <c r="H141" s="108">
        <v>1.01330783</v>
      </c>
      <c r="J141" s="103" t="s">
        <v>1424</v>
      </c>
      <c r="K141" s="108">
        <v>1</v>
      </c>
      <c r="M141" s="106" t="s">
        <v>1568</v>
      </c>
      <c r="N141" s="107">
        <v>16.602699999999999</v>
      </c>
    </row>
    <row r="142" spans="1:14">
      <c r="A142" s="103" t="s">
        <v>993</v>
      </c>
      <c r="B142" s="108">
        <v>1.01330779</v>
      </c>
      <c r="D142" s="103" t="s">
        <v>1137</v>
      </c>
      <c r="E142" s="108">
        <v>1</v>
      </c>
      <c r="G142" s="103" t="s">
        <v>1281</v>
      </c>
      <c r="H142" s="108">
        <v>1.01330779</v>
      </c>
      <c r="J142" s="103" t="s">
        <v>1425</v>
      </c>
      <c r="K142" s="108">
        <v>1</v>
      </c>
      <c r="M142" s="106" t="s">
        <v>1569</v>
      </c>
      <c r="N142" s="107">
        <v>16.6279</v>
      </c>
    </row>
    <row r="143" spans="1:14">
      <c r="A143" s="103" t="s">
        <v>994</v>
      </c>
      <c r="B143" s="108">
        <v>1.01330779</v>
      </c>
      <c r="D143" s="103" t="s">
        <v>1138</v>
      </c>
      <c r="E143" s="108">
        <v>1</v>
      </c>
      <c r="G143" s="103" t="s">
        <v>1282</v>
      </c>
      <c r="H143" s="108">
        <v>1.01330779</v>
      </c>
      <c r="J143" s="103" t="s">
        <v>1426</v>
      </c>
      <c r="K143" s="108">
        <v>1</v>
      </c>
      <c r="M143" s="106" t="s">
        <v>1570</v>
      </c>
      <c r="N143" s="107">
        <v>16.651399999999999</v>
      </c>
    </row>
    <row r="144" spans="1:14">
      <c r="A144" s="103" t="s">
        <v>995</v>
      </c>
      <c r="B144" s="108">
        <v>1.0132958000000001</v>
      </c>
      <c r="D144" s="103" t="s">
        <v>1139</v>
      </c>
      <c r="E144" s="108">
        <v>1</v>
      </c>
      <c r="G144" s="103" t="s">
        <v>1283</v>
      </c>
      <c r="H144" s="108">
        <v>1.0132958000000001</v>
      </c>
      <c r="J144" s="103" t="s">
        <v>1427</v>
      </c>
      <c r="K144" s="108">
        <v>1</v>
      </c>
      <c r="M144" s="106" t="s">
        <v>1571</v>
      </c>
      <c r="N144" s="107">
        <v>16.662500000000001</v>
      </c>
    </row>
    <row r="145" spans="1:14">
      <c r="A145" s="103" t="s">
        <v>996</v>
      </c>
      <c r="B145" s="108">
        <v>1.0138931099999999</v>
      </c>
      <c r="D145" s="103" t="s">
        <v>1140</v>
      </c>
      <c r="E145" s="108">
        <v>1</v>
      </c>
      <c r="G145" s="103" t="s">
        <v>1284</v>
      </c>
      <c r="H145" s="108">
        <v>1.0138931099999999</v>
      </c>
      <c r="J145" s="103" t="s">
        <v>1428</v>
      </c>
      <c r="K145" s="108">
        <v>1</v>
      </c>
      <c r="M145" s="106" t="s">
        <v>1572</v>
      </c>
      <c r="N145" s="107">
        <v>16.658799999999999</v>
      </c>
    </row>
    <row r="146" spans="1:14">
      <c r="A146" s="103" t="s">
        <v>997</v>
      </c>
      <c r="B146" s="108">
        <v>1.01452918</v>
      </c>
      <c r="D146" s="103" t="s">
        <v>1141</v>
      </c>
      <c r="E146" s="108">
        <v>1</v>
      </c>
      <c r="G146" s="103" t="s">
        <v>1285</v>
      </c>
      <c r="H146" s="108">
        <v>1.01452918</v>
      </c>
      <c r="J146" s="103" t="s">
        <v>1429</v>
      </c>
      <c r="K146" s="108">
        <v>1</v>
      </c>
      <c r="M146" s="106" t="s">
        <v>1573</v>
      </c>
      <c r="N146" s="107">
        <v>16.655200000000001</v>
      </c>
    </row>
    <row r="147" spans="1:14">
      <c r="A147" s="177" t="s">
        <v>998</v>
      </c>
      <c r="B147" s="178">
        <v>1.01262126</v>
      </c>
      <c r="D147" s="177" t="s">
        <v>1142</v>
      </c>
      <c r="E147" s="178">
        <v>1</v>
      </c>
      <c r="G147" s="177" t="s">
        <v>1286</v>
      </c>
      <c r="H147" s="178">
        <v>1.01262126</v>
      </c>
      <c r="J147" s="177" t="s">
        <v>1430</v>
      </c>
      <c r="K147" s="178">
        <v>1</v>
      </c>
      <c r="M147" s="179" t="s">
        <v>1574</v>
      </c>
      <c r="N147" s="180">
        <v>16.653600000000001</v>
      </c>
    </row>
    <row r="148" spans="1:14">
      <c r="A148" s="177" t="s">
        <v>999</v>
      </c>
      <c r="B148" s="178">
        <v>1.0138897899999999</v>
      </c>
      <c r="D148" s="177" t="s">
        <v>1143</v>
      </c>
      <c r="E148" s="178">
        <v>1</v>
      </c>
      <c r="G148" s="177" t="s">
        <v>1287</v>
      </c>
      <c r="H148" s="178">
        <v>1.0138897899999999</v>
      </c>
      <c r="J148" s="177" t="s">
        <v>1431</v>
      </c>
      <c r="K148" s="178">
        <v>1</v>
      </c>
      <c r="M148" s="179" t="s">
        <v>1575</v>
      </c>
      <c r="N148" s="180">
        <v>16.653500000000001</v>
      </c>
    </row>
    <row r="149" spans="1:14">
      <c r="A149" s="177" t="s">
        <v>1000</v>
      </c>
      <c r="B149" s="178">
        <v>1.01198443</v>
      </c>
      <c r="D149" s="177" t="s">
        <v>1144</v>
      </c>
      <c r="E149" s="178">
        <v>1</v>
      </c>
      <c r="G149" s="177" t="s">
        <v>1288</v>
      </c>
      <c r="H149" s="178">
        <v>1.01198443</v>
      </c>
      <c r="J149" s="177" t="s">
        <v>1432</v>
      </c>
      <c r="K149" s="178">
        <v>1</v>
      </c>
      <c r="M149" s="179" t="s">
        <v>1576</v>
      </c>
      <c r="N149" s="180">
        <v>16.653400000000001</v>
      </c>
    </row>
    <row r="150" spans="1:14">
      <c r="A150" s="177" t="s">
        <v>1001</v>
      </c>
      <c r="B150" s="178">
        <v>1.01251695</v>
      </c>
      <c r="D150" s="177" t="s">
        <v>1145</v>
      </c>
      <c r="E150" s="178">
        <v>1</v>
      </c>
      <c r="G150" s="177" t="s">
        <v>1289</v>
      </c>
      <c r="H150" s="178">
        <v>1.01251695</v>
      </c>
      <c r="J150" s="177" t="s">
        <v>1433</v>
      </c>
      <c r="K150" s="178">
        <v>1</v>
      </c>
      <c r="M150" s="179" t="s">
        <v>1577</v>
      </c>
      <c r="N150" s="180">
        <v>16.655100000000001</v>
      </c>
    </row>
    <row r="151" spans="1:14">
      <c r="A151" s="177" t="s">
        <v>1002</v>
      </c>
      <c r="B151" s="178">
        <v>1.01343962</v>
      </c>
      <c r="D151" s="177" t="s">
        <v>1146</v>
      </c>
      <c r="E151" s="178">
        <v>1</v>
      </c>
      <c r="G151" s="177" t="s">
        <v>1290</v>
      </c>
      <c r="H151" s="178">
        <v>1.01343962</v>
      </c>
      <c r="J151" s="177" t="s">
        <v>1434</v>
      </c>
      <c r="K151" s="178">
        <v>1</v>
      </c>
      <c r="M151" s="179" t="s">
        <v>1578</v>
      </c>
      <c r="N151" s="180">
        <v>16.658999999999999</v>
      </c>
    </row>
    <row r="152" spans="1:14">
      <c r="A152" s="177" t="s">
        <v>1003</v>
      </c>
      <c r="B152" s="178">
        <v>1.01221041</v>
      </c>
      <c r="D152" s="177" t="s">
        <v>1147</v>
      </c>
      <c r="E152" s="178">
        <v>1</v>
      </c>
      <c r="G152" s="177" t="s">
        <v>1291</v>
      </c>
      <c r="H152" s="178">
        <v>1.01221041</v>
      </c>
      <c r="J152" s="177" t="s">
        <v>1435</v>
      </c>
      <c r="K152" s="178">
        <v>1</v>
      </c>
      <c r="M152" s="179" t="s">
        <v>1579</v>
      </c>
      <c r="N152" s="180">
        <v>16.662500000000001</v>
      </c>
    </row>
    <row r="153" spans="1:14">
      <c r="A153" s="177" t="s">
        <v>1004</v>
      </c>
      <c r="B153" s="178">
        <v>1.01159785</v>
      </c>
      <c r="D153" s="177" t="s">
        <v>1148</v>
      </c>
      <c r="E153" s="178">
        <v>1</v>
      </c>
      <c r="G153" s="177" t="s">
        <v>1292</v>
      </c>
      <c r="H153" s="178">
        <v>1.01159785</v>
      </c>
      <c r="J153" s="177" t="s">
        <v>1436</v>
      </c>
      <c r="K153" s="178">
        <v>1</v>
      </c>
      <c r="M153" s="179" t="s">
        <v>1580</v>
      </c>
      <c r="N153" s="180">
        <v>16.665500000000002</v>
      </c>
    </row>
    <row r="154" spans="1:14">
      <c r="A154" s="177" t="s">
        <v>1005</v>
      </c>
      <c r="B154" s="178">
        <v>1.0128310899999999</v>
      </c>
      <c r="D154" s="177" t="s">
        <v>1149</v>
      </c>
      <c r="E154" s="178">
        <v>1</v>
      </c>
      <c r="G154" s="177" t="s">
        <v>1293</v>
      </c>
      <c r="H154" s="178">
        <v>1.0128310899999999</v>
      </c>
      <c r="J154" s="177" t="s">
        <v>1437</v>
      </c>
      <c r="K154" s="178">
        <v>1</v>
      </c>
      <c r="M154" s="179" t="s">
        <v>1581</v>
      </c>
      <c r="N154" s="180">
        <v>16.668500000000002</v>
      </c>
    </row>
    <row r="155" spans="1:14">
      <c r="A155" s="177" t="s">
        <v>1006</v>
      </c>
      <c r="B155" s="178">
        <v>1.0134461800000001</v>
      </c>
      <c r="D155" s="177" t="s">
        <v>1150</v>
      </c>
      <c r="E155" s="178">
        <v>1</v>
      </c>
      <c r="G155" s="177" t="s">
        <v>1294</v>
      </c>
      <c r="H155" s="178">
        <v>1.0134461800000001</v>
      </c>
      <c r="J155" s="177" t="s">
        <v>1438</v>
      </c>
      <c r="K155" s="178">
        <v>1</v>
      </c>
      <c r="M155" s="179" t="s">
        <v>1582</v>
      </c>
      <c r="N155" s="180">
        <v>16.671600000000002</v>
      </c>
    </row>
    <row r="156" spans="1:14">
      <c r="A156" s="177" t="s">
        <v>1007</v>
      </c>
      <c r="B156" s="178">
        <v>1.0115682800000001</v>
      </c>
      <c r="D156" s="177" t="s">
        <v>1151</v>
      </c>
      <c r="E156" s="178">
        <v>1</v>
      </c>
      <c r="G156" s="177" t="s">
        <v>1295</v>
      </c>
      <c r="H156" s="178">
        <v>1.0115682800000001</v>
      </c>
      <c r="J156" s="177" t="s">
        <v>1439</v>
      </c>
      <c r="K156" s="178">
        <v>1</v>
      </c>
      <c r="M156" s="179" t="s">
        <v>1583</v>
      </c>
      <c r="N156" s="180">
        <v>16.667400000000001</v>
      </c>
    </row>
    <row r="157" spans="1:14">
      <c r="A157" s="177" t="s">
        <v>1008</v>
      </c>
      <c r="B157" s="178">
        <v>1.0139060799999999</v>
      </c>
      <c r="D157" s="177" t="s">
        <v>1152</v>
      </c>
      <c r="E157" s="178">
        <v>1</v>
      </c>
      <c r="G157" s="177" t="s">
        <v>1296</v>
      </c>
      <c r="H157" s="178">
        <v>1.0139060799999999</v>
      </c>
      <c r="J157" s="177" t="s">
        <v>1440</v>
      </c>
      <c r="K157" s="178">
        <v>1</v>
      </c>
      <c r="M157" s="179" t="s">
        <v>1584</v>
      </c>
      <c r="N157" s="180">
        <v>16.653700000000001</v>
      </c>
    </row>
    <row r="158" spans="1:14">
      <c r="A158" s="177" t="s">
        <v>1009</v>
      </c>
      <c r="B158" s="178">
        <v>1.01329746</v>
      </c>
      <c r="D158" s="177" t="s">
        <v>1153</v>
      </c>
      <c r="E158" s="178">
        <v>1</v>
      </c>
      <c r="G158" s="177" t="s">
        <v>1297</v>
      </c>
      <c r="H158" s="178">
        <v>1.01329746</v>
      </c>
      <c r="J158" s="177" t="s">
        <v>1441</v>
      </c>
      <c r="K158" s="178">
        <v>1</v>
      </c>
      <c r="M158" s="179" t="s">
        <v>1585</v>
      </c>
      <c r="N158" s="180">
        <v>16.641200000000001</v>
      </c>
    </row>
    <row r="159" spans="1:14">
      <c r="A159" s="177" t="s">
        <v>1010</v>
      </c>
      <c r="B159" s="178">
        <v>1.01269078</v>
      </c>
      <c r="D159" s="177" t="s">
        <v>1154</v>
      </c>
      <c r="E159" s="178">
        <v>1</v>
      </c>
      <c r="G159" s="177" t="s">
        <v>1298</v>
      </c>
      <c r="H159" s="178">
        <v>1.01269078</v>
      </c>
      <c r="J159" s="177" t="s">
        <v>1442</v>
      </c>
      <c r="K159" s="178">
        <v>1</v>
      </c>
      <c r="M159" s="179" t="s">
        <v>1586</v>
      </c>
      <c r="N159" s="180">
        <v>16.629899999999999</v>
      </c>
    </row>
    <row r="160" spans="1:14">
      <c r="A160" s="177" t="s">
        <v>1011</v>
      </c>
      <c r="B160" s="178">
        <v>1.0139132799999999</v>
      </c>
      <c r="D160" s="177" t="s">
        <v>1155</v>
      </c>
      <c r="E160" s="178">
        <v>1</v>
      </c>
      <c r="G160" s="177" t="s">
        <v>1299</v>
      </c>
      <c r="H160" s="178">
        <v>1.0139132799999999</v>
      </c>
      <c r="J160" s="177" t="s">
        <v>1443</v>
      </c>
      <c r="K160" s="178">
        <v>1</v>
      </c>
      <c r="M160" s="179" t="s">
        <v>1587</v>
      </c>
      <c r="N160" s="180">
        <v>16.617999999999999</v>
      </c>
    </row>
    <row r="161" spans="1:14">
      <c r="A161" s="177" t="s">
        <v>1012</v>
      </c>
      <c r="B161" s="178">
        <v>1.0120875899999999</v>
      </c>
      <c r="D161" s="177" t="s">
        <v>1156</v>
      </c>
      <c r="E161" s="178">
        <v>1</v>
      </c>
      <c r="G161" s="177" t="s">
        <v>1300</v>
      </c>
      <c r="H161" s="178">
        <v>1.0120875899999999</v>
      </c>
      <c r="J161" s="177" t="s">
        <v>1444</v>
      </c>
      <c r="K161" s="178">
        <v>1</v>
      </c>
      <c r="M161" s="179" t="s">
        <v>1588</v>
      </c>
      <c r="N161" s="180">
        <v>16.6082</v>
      </c>
    </row>
    <row r="162" spans="1:14">
      <c r="A162" s="177" t="s">
        <v>1013</v>
      </c>
      <c r="B162" s="178">
        <v>1.0126463999999999</v>
      </c>
      <c r="D162" s="177" t="s">
        <v>1157</v>
      </c>
      <c r="E162" s="178">
        <v>1</v>
      </c>
      <c r="G162" s="177" t="s">
        <v>1301</v>
      </c>
      <c r="H162" s="178">
        <v>1.0126463999999999</v>
      </c>
      <c r="J162" s="177" t="s">
        <v>1445</v>
      </c>
      <c r="K162" s="178">
        <v>1</v>
      </c>
      <c r="M162" s="179" t="s">
        <v>1589</v>
      </c>
      <c r="N162" s="180">
        <v>16.5974</v>
      </c>
    </row>
    <row r="163" spans="1:14">
      <c r="A163" s="177" t="s">
        <v>1014</v>
      </c>
      <c r="B163" s="178">
        <v>1.0130869499999999</v>
      </c>
      <c r="D163" s="177" t="s">
        <v>1158</v>
      </c>
      <c r="E163" s="178">
        <v>1</v>
      </c>
      <c r="G163" s="177" t="s">
        <v>1302</v>
      </c>
      <c r="H163" s="178">
        <v>1.0130869499999999</v>
      </c>
      <c r="J163" s="177" t="s">
        <v>1446</v>
      </c>
      <c r="K163" s="178">
        <v>1</v>
      </c>
      <c r="M163" s="179" t="s">
        <v>1590</v>
      </c>
      <c r="N163" s="180">
        <v>16.5854</v>
      </c>
    </row>
    <row r="164" spans="1:14">
      <c r="A164" s="177" t="s">
        <v>1015</v>
      </c>
      <c r="B164" s="178">
        <v>1.01069483</v>
      </c>
      <c r="D164" s="177" t="s">
        <v>1159</v>
      </c>
      <c r="E164" s="178">
        <v>1</v>
      </c>
      <c r="G164" s="177" t="s">
        <v>1303</v>
      </c>
      <c r="H164" s="178">
        <v>1.01069483</v>
      </c>
      <c r="J164" s="177" t="s">
        <v>1447</v>
      </c>
      <c r="K164" s="178">
        <v>1</v>
      </c>
      <c r="M164" s="179" t="s">
        <v>1591</v>
      </c>
      <c r="N164" s="180">
        <v>16.575900000000001</v>
      </c>
    </row>
    <row r="165" spans="1:14">
      <c r="A165" s="177" t="s">
        <v>1016</v>
      </c>
      <c r="B165" s="178">
        <v>1.0136860700000001</v>
      </c>
      <c r="D165" s="177" t="s">
        <v>1160</v>
      </c>
      <c r="E165" s="178">
        <v>1</v>
      </c>
      <c r="G165" s="177" t="s">
        <v>1304</v>
      </c>
      <c r="H165" s="178">
        <v>1.0136860700000001</v>
      </c>
      <c r="J165" s="177" t="s">
        <v>1448</v>
      </c>
      <c r="K165" s="178">
        <v>1</v>
      </c>
      <c r="M165" s="179" t="s">
        <v>1592</v>
      </c>
      <c r="N165" s="180">
        <v>16.564800000000002</v>
      </c>
    </row>
    <row r="166" spans="1:14">
      <c r="A166" s="177" t="s">
        <v>1017</v>
      </c>
      <c r="B166" s="178">
        <v>1.01129297</v>
      </c>
      <c r="D166" s="177" t="s">
        <v>1161</v>
      </c>
      <c r="E166" s="178">
        <v>1</v>
      </c>
      <c r="G166" s="177" t="s">
        <v>1305</v>
      </c>
      <c r="H166" s="178">
        <v>1.01129297</v>
      </c>
      <c r="J166" s="177" t="s">
        <v>1449</v>
      </c>
      <c r="K166" s="178">
        <v>1</v>
      </c>
      <c r="M166" s="179" t="s">
        <v>1593</v>
      </c>
      <c r="N166" s="180">
        <v>16.555</v>
      </c>
    </row>
    <row r="167" spans="1:14">
      <c r="A167" s="177" t="s">
        <v>1018</v>
      </c>
      <c r="B167" s="178">
        <v>1.0124891</v>
      </c>
      <c r="D167" s="177" t="s">
        <v>1162</v>
      </c>
      <c r="E167" s="178">
        <v>1</v>
      </c>
      <c r="G167" s="177" t="s">
        <v>1306</v>
      </c>
      <c r="H167" s="178">
        <v>1.0124891</v>
      </c>
      <c r="J167" s="177" t="s">
        <v>1450</v>
      </c>
      <c r="K167" s="178">
        <v>1</v>
      </c>
      <c r="M167" s="179" t="s">
        <v>1594</v>
      </c>
      <c r="N167" s="180">
        <v>16.5456</v>
      </c>
    </row>
    <row r="168" spans="1:14">
      <c r="A168" s="177" t="s">
        <v>1019</v>
      </c>
      <c r="B168" s="178">
        <v>1.01188985</v>
      </c>
      <c r="D168" s="177" t="s">
        <v>1163</v>
      </c>
      <c r="E168" s="178">
        <v>1</v>
      </c>
      <c r="G168" s="177" t="s">
        <v>1307</v>
      </c>
      <c r="H168" s="178">
        <v>1.01188985</v>
      </c>
      <c r="J168" s="177" t="s">
        <v>1451</v>
      </c>
      <c r="K168" s="178">
        <v>1</v>
      </c>
      <c r="M168" s="179" t="s">
        <v>1595</v>
      </c>
      <c r="N168" s="180">
        <v>16.536100000000001</v>
      </c>
    </row>
    <row r="169" spans="1:14">
      <c r="A169" s="177" t="s">
        <v>1020</v>
      </c>
      <c r="B169" s="178">
        <v>1.01368196</v>
      </c>
      <c r="D169" s="177" t="s">
        <v>1164</v>
      </c>
      <c r="E169" s="178">
        <v>1</v>
      </c>
      <c r="G169" s="177" t="s">
        <v>1308</v>
      </c>
      <c r="H169" s="178">
        <v>1.01368196</v>
      </c>
      <c r="J169" s="177" t="s">
        <v>1452</v>
      </c>
      <c r="K169" s="178">
        <v>1</v>
      </c>
      <c r="M169" s="179" t="s">
        <v>1596</v>
      </c>
      <c r="N169" s="180">
        <v>16.5259</v>
      </c>
    </row>
    <row r="170" spans="1:14">
      <c r="A170" s="177" t="s">
        <v>1021</v>
      </c>
      <c r="B170" s="178">
        <v>1.01248483</v>
      </c>
      <c r="D170" s="177" t="s">
        <v>1165</v>
      </c>
      <c r="E170" s="178">
        <v>1</v>
      </c>
      <c r="G170" s="177" t="s">
        <v>1309</v>
      </c>
      <c r="H170" s="178">
        <v>1.01248483</v>
      </c>
      <c r="J170" s="177" t="s">
        <v>1453</v>
      </c>
      <c r="K170" s="178">
        <v>1</v>
      </c>
      <c r="M170" s="179" t="s">
        <v>1597</v>
      </c>
      <c r="N170" s="180">
        <v>16.516999999999999</v>
      </c>
    </row>
    <row r="171" spans="1:14">
      <c r="A171" s="177" t="s">
        <v>1022</v>
      </c>
      <c r="B171" s="178">
        <v>1.01308529</v>
      </c>
      <c r="D171" s="177" t="s">
        <v>1166</v>
      </c>
      <c r="E171" s="178">
        <v>1</v>
      </c>
      <c r="G171" s="177" t="s">
        <v>1310</v>
      </c>
      <c r="H171" s="178">
        <v>1.01308529</v>
      </c>
      <c r="J171" s="177" t="s">
        <v>1454</v>
      </c>
      <c r="K171" s="178">
        <v>1</v>
      </c>
      <c r="M171" s="179" t="s">
        <v>1598</v>
      </c>
      <c r="N171" s="180">
        <v>16.5075</v>
      </c>
    </row>
    <row r="172" spans="1:14">
      <c r="A172" s="177" t="s">
        <v>1023</v>
      </c>
      <c r="B172" s="178">
        <v>1.01189368</v>
      </c>
      <c r="D172" s="177" t="s">
        <v>1167</v>
      </c>
      <c r="E172" s="178">
        <v>1</v>
      </c>
      <c r="G172" s="177" t="s">
        <v>1311</v>
      </c>
      <c r="H172" s="178">
        <v>1.01189368</v>
      </c>
      <c r="J172" s="177" t="s">
        <v>1455</v>
      </c>
      <c r="K172" s="178">
        <v>1</v>
      </c>
      <c r="M172" s="179" t="s">
        <v>1599</v>
      </c>
      <c r="N172" s="180">
        <v>16.497299999999999</v>
      </c>
    </row>
    <row r="173" spans="1:14">
      <c r="A173" s="177" t="s">
        <v>1024</v>
      </c>
      <c r="B173" s="178">
        <v>1.01189368</v>
      </c>
      <c r="D173" s="177" t="s">
        <v>1168</v>
      </c>
      <c r="E173" s="178">
        <v>1</v>
      </c>
      <c r="G173" s="177" t="s">
        <v>1312</v>
      </c>
      <c r="H173" s="178">
        <v>1.01189368</v>
      </c>
      <c r="J173" s="177" t="s">
        <v>1456</v>
      </c>
      <c r="K173" s="178">
        <v>1</v>
      </c>
      <c r="M173" s="179" t="s">
        <v>1600</v>
      </c>
      <c r="N173" s="180">
        <v>16.4878</v>
      </c>
    </row>
    <row r="174" spans="1:14">
      <c r="A174" s="177" t="s">
        <v>1025</v>
      </c>
      <c r="B174" s="178">
        <v>1.01311759</v>
      </c>
      <c r="D174" s="177" t="s">
        <v>1169</v>
      </c>
      <c r="E174" s="178">
        <v>1</v>
      </c>
      <c r="G174" s="177" t="s">
        <v>1313</v>
      </c>
      <c r="H174" s="178">
        <v>1.01311759</v>
      </c>
      <c r="J174" s="177" t="s">
        <v>1457</v>
      </c>
      <c r="K174" s="178">
        <v>1</v>
      </c>
      <c r="M174" s="179" t="s">
        <v>1601</v>
      </c>
      <c r="N174" s="180">
        <v>16.479900000000001</v>
      </c>
    </row>
    <row r="175" spans="1:14">
      <c r="A175" s="177" t="s">
        <v>1026</v>
      </c>
      <c r="B175" s="178">
        <v>1.0120006800000001</v>
      </c>
      <c r="D175" s="177" t="s">
        <v>1170</v>
      </c>
      <c r="E175" s="178">
        <v>1</v>
      </c>
      <c r="G175" s="177" t="s">
        <v>1314</v>
      </c>
      <c r="H175" s="178">
        <v>1.0120006800000001</v>
      </c>
      <c r="J175" s="177" t="s">
        <v>1458</v>
      </c>
      <c r="K175" s="178">
        <v>1</v>
      </c>
      <c r="M175" s="179" t="s">
        <v>1602</v>
      </c>
      <c r="N175" s="180">
        <v>16.4755</v>
      </c>
    </row>
    <row r="176" spans="1:14">
      <c r="A176" s="177" t="s">
        <v>1027</v>
      </c>
      <c r="B176" s="178">
        <v>1.0107941600000001</v>
      </c>
      <c r="D176" s="177" t="s">
        <v>1171</v>
      </c>
      <c r="E176" s="178">
        <v>1</v>
      </c>
      <c r="G176" s="177" t="s">
        <v>1315</v>
      </c>
      <c r="H176" s="178">
        <v>1.0107941600000001</v>
      </c>
      <c r="J176" s="177" t="s">
        <v>1459</v>
      </c>
      <c r="K176" s="178">
        <v>1</v>
      </c>
      <c r="M176" s="179" t="s">
        <v>1603</v>
      </c>
      <c r="N176" s="180">
        <v>16.471699999999998</v>
      </c>
    </row>
    <row r="177" spans="1:14">
      <c r="A177" s="177" t="s">
        <v>1028</v>
      </c>
      <c r="B177" s="178">
        <v>1.0138132900000001</v>
      </c>
      <c r="D177" s="177" t="s">
        <v>1172</v>
      </c>
      <c r="E177" s="178">
        <v>1</v>
      </c>
      <c r="G177" s="177" t="s">
        <v>1316</v>
      </c>
      <c r="H177" s="178">
        <v>1.0138132900000001</v>
      </c>
      <c r="J177" s="177" t="s">
        <v>1460</v>
      </c>
      <c r="K177" s="178">
        <v>1</v>
      </c>
      <c r="M177" s="179" t="s">
        <v>1604</v>
      </c>
      <c r="N177" s="180">
        <v>16.466999999999999</v>
      </c>
    </row>
    <row r="178" spans="1:14">
      <c r="A178" s="177" t="s">
        <v>1029</v>
      </c>
      <c r="B178" s="178">
        <v>1.01200117</v>
      </c>
      <c r="D178" s="177" t="s">
        <v>1173</v>
      </c>
      <c r="E178" s="178">
        <v>1</v>
      </c>
      <c r="G178" s="177" t="s">
        <v>1317</v>
      </c>
      <c r="H178" s="178">
        <v>1.01200117</v>
      </c>
      <c r="J178" s="177" t="s">
        <v>1461</v>
      </c>
      <c r="K178" s="178">
        <v>1</v>
      </c>
      <c r="M178" s="179" t="s">
        <v>1605</v>
      </c>
      <c r="N178" s="180">
        <v>16.463000000000001</v>
      </c>
    </row>
    <row r="179" spans="1:14">
      <c r="A179" s="177" t="s">
        <v>1030</v>
      </c>
      <c r="B179" s="178">
        <v>1.012605</v>
      </c>
      <c r="D179" s="177" t="s">
        <v>1174</v>
      </c>
      <c r="E179" s="178">
        <v>1</v>
      </c>
      <c r="G179" s="177" t="s">
        <v>1318</v>
      </c>
      <c r="H179" s="178">
        <v>1.012605</v>
      </c>
      <c r="J179" s="177" t="s">
        <v>1462</v>
      </c>
      <c r="K179" s="178">
        <v>1</v>
      </c>
      <c r="M179" s="179" t="s">
        <v>1606</v>
      </c>
      <c r="N179" s="180">
        <v>16.4589</v>
      </c>
    </row>
    <row r="180" spans="1:14">
      <c r="A180" s="177" t="s">
        <v>1031</v>
      </c>
      <c r="B180" s="178">
        <v>1.01260682</v>
      </c>
      <c r="D180" s="177" t="s">
        <v>1175</v>
      </c>
      <c r="E180" s="178">
        <v>1</v>
      </c>
      <c r="G180" s="177" t="s">
        <v>1319</v>
      </c>
      <c r="H180" s="178">
        <v>1.01260682</v>
      </c>
      <c r="J180" s="177" t="s">
        <v>1463</v>
      </c>
      <c r="K180" s="178">
        <v>1</v>
      </c>
      <c r="M180" s="179" t="s">
        <v>1607</v>
      </c>
      <c r="N180" s="180">
        <v>16.455100000000002</v>
      </c>
    </row>
    <row r="181" spans="1:14">
      <c r="A181" s="177" t="s">
        <v>1032</v>
      </c>
      <c r="B181" s="178">
        <v>1.01321719</v>
      </c>
      <c r="D181" s="177" t="s">
        <v>1176</v>
      </c>
      <c r="E181" s="178">
        <v>1</v>
      </c>
      <c r="G181" s="177" t="s">
        <v>1320</v>
      </c>
      <c r="H181" s="178">
        <v>1.01321719</v>
      </c>
      <c r="J181" s="177" t="s">
        <v>1464</v>
      </c>
      <c r="K181" s="178">
        <v>1</v>
      </c>
      <c r="M181" s="179" t="s">
        <v>1608</v>
      </c>
      <c r="N181" s="180">
        <v>16.4513</v>
      </c>
    </row>
    <row r="182" spans="1:14">
      <c r="A182" s="177" t="s">
        <v>1033</v>
      </c>
      <c r="B182" s="178">
        <v>1.01321719</v>
      </c>
      <c r="D182" s="177" t="s">
        <v>1177</v>
      </c>
      <c r="E182" s="178">
        <v>1</v>
      </c>
      <c r="G182" s="177" t="s">
        <v>1321</v>
      </c>
      <c r="H182" s="178">
        <v>1.01321719</v>
      </c>
      <c r="J182" s="177" t="s">
        <v>1465</v>
      </c>
      <c r="K182" s="178">
        <v>1</v>
      </c>
      <c r="M182" s="179" t="s">
        <v>1609</v>
      </c>
      <c r="N182" s="180">
        <v>16.447600000000001</v>
      </c>
    </row>
    <row r="183" spans="1:14">
      <c r="A183" s="177" t="s">
        <v>1034</v>
      </c>
      <c r="B183" s="178">
        <v>1.0132110299999999</v>
      </c>
      <c r="D183" s="177" t="s">
        <v>1178</v>
      </c>
      <c r="E183" s="178">
        <v>1</v>
      </c>
      <c r="G183" s="177" t="s">
        <v>1322</v>
      </c>
      <c r="H183" s="178">
        <v>1.0132110299999999</v>
      </c>
      <c r="J183" s="177" t="s">
        <v>1466</v>
      </c>
      <c r="K183" s="178">
        <v>1</v>
      </c>
      <c r="M183" s="179" t="s">
        <v>1610</v>
      </c>
      <c r="N183" s="180">
        <v>16.443999999999999</v>
      </c>
    </row>
    <row r="184" spans="1:14">
      <c r="A184" s="177" t="s">
        <v>1035</v>
      </c>
      <c r="B184" s="178">
        <v>1.01198791</v>
      </c>
      <c r="D184" s="177" t="s">
        <v>1179</v>
      </c>
      <c r="E184" s="178">
        <v>1</v>
      </c>
      <c r="G184" s="177" t="s">
        <v>1323</v>
      </c>
      <c r="H184" s="178">
        <v>1.01198791</v>
      </c>
      <c r="J184" s="177" t="s">
        <v>1467</v>
      </c>
      <c r="K184" s="178">
        <v>1</v>
      </c>
      <c r="M184" s="179" t="s">
        <v>1611</v>
      </c>
      <c r="N184" s="180">
        <v>16.4404</v>
      </c>
    </row>
    <row r="185" spans="1:14">
      <c r="A185" s="177" t="s">
        <v>1036</v>
      </c>
      <c r="B185" s="178">
        <v>1.0113851199999999</v>
      </c>
      <c r="D185" s="177" t="s">
        <v>1180</v>
      </c>
      <c r="E185" s="178">
        <v>1</v>
      </c>
      <c r="G185" s="177" t="s">
        <v>1324</v>
      </c>
      <c r="H185" s="178">
        <v>1.0113851199999999</v>
      </c>
      <c r="J185" s="177" t="s">
        <v>1468</v>
      </c>
      <c r="K185" s="178">
        <v>1</v>
      </c>
      <c r="M185" s="179" t="s">
        <v>1612</v>
      </c>
      <c r="N185" s="180">
        <v>16.436900000000001</v>
      </c>
    </row>
    <row r="186" spans="1:14">
      <c r="A186" s="177" t="s">
        <v>1037</v>
      </c>
      <c r="B186" s="178">
        <v>1.0138033900000001</v>
      </c>
      <c r="D186" s="177" t="s">
        <v>1181</v>
      </c>
      <c r="E186" s="178">
        <v>1</v>
      </c>
      <c r="G186" s="177" t="s">
        <v>1325</v>
      </c>
      <c r="H186" s="178">
        <v>1.0138033900000001</v>
      </c>
      <c r="J186" s="177" t="s">
        <v>1469</v>
      </c>
      <c r="K186" s="178">
        <v>1</v>
      </c>
      <c r="M186" s="179" t="s">
        <v>1613</v>
      </c>
      <c r="N186" s="180">
        <v>16.433199999999999</v>
      </c>
    </row>
    <row r="187" spans="1:14">
      <c r="A187" s="177" t="s">
        <v>1038</v>
      </c>
      <c r="B187" s="178">
        <v>1.0126117699999999</v>
      </c>
      <c r="D187" s="177" t="s">
        <v>1182</v>
      </c>
      <c r="E187" s="178">
        <v>1</v>
      </c>
      <c r="G187" s="177" t="s">
        <v>1326</v>
      </c>
      <c r="H187" s="178">
        <v>1.0126117699999999</v>
      </c>
      <c r="J187" s="177" t="s">
        <v>1470</v>
      </c>
      <c r="K187" s="178">
        <v>1</v>
      </c>
      <c r="M187" s="179" t="s">
        <v>1614</v>
      </c>
      <c r="N187" s="180">
        <v>16.430099999999999</v>
      </c>
    </row>
    <row r="188" spans="1:14">
      <c r="A188" s="177" t="s">
        <v>1039</v>
      </c>
      <c r="B188" s="178">
        <v>1.0114038299999999</v>
      </c>
      <c r="D188" s="177" t="s">
        <v>1183</v>
      </c>
      <c r="E188" s="178">
        <v>1</v>
      </c>
      <c r="G188" s="177" t="s">
        <v>1327</v>
      </c>
      <c r="H188" s="178">
        <v>1.0114038299999999</v>
      </c>
      <c r="J188" s="177" t="s">
        <v>1471</v>
      </c>
      <c r="K188" s="178">
        <v>1</v>
      </c>
      <c r="M188" s="179" t="s">
        <v>1615</v>
      </c>
      <c r="N188" s="180">
        <v>16.427399999999999</v>
      </c>
    </row>
    <row r="189" spans="1:14">
      <c r="A189" s="177" t="s">
        <v>1040</v>
      </c>
      <c r="B189" s="178">
        <v>1.01321628</v>
      </c>
      <c r="D189" s="177" t="s">
        <v>1184</v>
      </c>
      <c r="E189" s="178">
        <v>1</v>
      </c>
      <c r="G189" s="177" t="s">
        <v>1328</v>
      </c>
      <c r="H189" s="178">
        <v>1.01321628</v>
      </c>
      <c r="J189" s="177" t="s">
        <v>1472</v>
      </c>
      <c r="K189" s="178">
        <v>1</v>
      </c>
      <c r="M189" s="179" t="s">
        <v>1616</v>
      </c>
      <c r="N189" s="180">
        <v>16.424399999999999</v>
      </c>
    </row>
    <row r="190" spans="1:14">
      <c r="A190" s="177" t="s">
        <v>1041</v>
      </c>
      <c r="B190" s="178">
        <v>1.0114038299999999</v>
      </c>
      <c r="D190" s="177" t="s">
        <v>1185</v>
      </c>
      <c r="E190" s="178">
        <v>1</v>
      </c>
      <c r="G190" s="177" t="s">
        <v>1329</v>
      </c>
      <c r="H190" s="178">
        <v>1.0114038299999999</v>
      </c>
      <c r="J190" s="177" t="s">
        <v>1473</v>
      </c>
      <c r="K190" s="178">
        <v>1</v>
      </c>
      <c r="M190" s="179" t="s">
        <v>1617</v>
      </c>
      <c r="N190" s="180">
        <v>16.421800000000001</v>
      </c>
    </row>
    <row r="191" spans="1:14">
      <c r="A191" s="177" t="s">
        <v>1042</v>
      </c>
      <c r="B191" s="178">
        <v>1.01321628</v>
      </c>
      <c r="D191" s="177" t="s">
        <v>1186</v>
      </c>
      <c r="E191" s="178">
        <v>1</v>
      </c>
      <c r="G191" s="177" t="s">
        <v>1330</v>
      </c>
      <c r="H191" s="178">
        <v>1.01321628</v>
      </c>
      <c r="J191" s="177" t="s">
        <v>1474</v>
      </c>
      <c r="K191" s="178">
        <v>1</v>
      </c>
      <c r="M191" s="179" t="s">
        <v>1618</v>
      </c>
      <c r="N191" s="180">
        <v>16.419</v>
      </c>
    </row>
    <row r="192" spans="1:14">
      <c r="A192" s="177" t="s">
        <v>1043</v>
      </c>
      <c r="B192" s="178">
        <v>1.0126092099999999</v>
      </c>
      <c r="D192" s="177" t="s">
        <v>1187</v>
      </c>
      <c r="E192" s="178">
        <v>1</v>
      </c>
      <c r="G192" s="177" t="s">
        <v>1331</v>
      </c>
      <c r="H192" s="178">
        <v>1.0126092099999999</v>
      </c>
      <c r="J192" s="177" t="s">
        <v>1475</v>
      </c>
      <c r="K192" s="178">
        <v>1</v>
      </c>
      <c r="M192" s="179" t="s">
        <v>1619</v>
      </c>
      <c r="N192" s="180">
        <v>16.4162</v>
      </c>
    </row>
    <row r="193" spans="1:14">
      <c r="A193" s="177" t="s">
        <v>1044</v>
      </c>
      <c r="B193" s="178">
        <v>1.01260101</v>
      </c>
      <c r="D193" s="177" t="s">
        <v>1188</v>
      </c>
      <c r="E193" s="178">
        <v>1</v>
      </c>
      <c r="G193" s="177" t="s">
        <v>1332</v>
      </c>
      <c r="H193" s="178">
        <v>1.01260101</v>
      </c>
      <c r="J193" s="177" t="s">
        <v>1476</v>
      </c>
      <c r="K193" s="178">
        <v>1</v>
      </c>
      <c r="M193" s="179" t="s">
        <v>1620</v>
      </c>
      <c r="N193" s="180">
        <v>16.413399999999999</v>
      </c>
    </row>
    <row r="194" spans="1:14">
      <c r="A194" s="177" t="s">
        <v>1045</v>
      </c>
      <c r="B194" s="178">
        <v>1.0138093500000001</v>
      </c>
      <c r="D194" s="177" t="s">
        <v>1189</v>
      </c>
      <c r="E194" s="178">
        <v>1</v>
      </c>
      <c r="G194" s="177" t="s">
        <v>1333</v>
      </c>
      <c r="H194" s="178">
        <v>1.0138093500000001</v>
      </c>
      <c r="J194" s="177" t="s">
        <v>1477</v>
      </c>
      <c r="K194" s="178">
        <v>1</v>
      </c>
      <c r="M194" s="179" t="s">
        <v>1621</v>
      </c>
      <c r="N194" s="180">
        <v>16.410399999999999</v>
      </c>
    </row>
    <row r="195" spans="1:14">
      <c r="A195" s="177" t="s">
        <v>1046</v>
      </c>
      <c r="B195" s="178">
        <v>1.0132049999999999</v>
      </c>
      <c r="D195" s="177" t="s">
        <v>1190</v>
      </c>
      <c r="E195" s="178">
        <v>1</v>
      </c>
      <c r="G195" s="177" t="s">
        <v>1334</v>
      </c>
      <c r="H195" s="178">
        <v>1.0132049999999999</v>
      </c>
      <c r="J195" s="177" t="s">
        <v>1478</v>
      </c>
      <c r="K195" s="178">
        <v>1</v>
      </c>
      <c r="M195" s="179" t="s">
        <v>1622</v>
      </c>
      <c r="N195" s="180">
        <v>16.407699999999998</v>
      </c>
    </row>
    <row r="196" spans="1:14">
      <c r="A196" s="177" t="s">
        <v>1047</v>
      </c>
      <c r="B196" s="178">
        <v>1.01199737</v>
      </c>
      <c r="D196" s="177" t="s">
        <v>1191</v>
      </c>
      <c r="E196" s="178">
        <v>1</v>
      </c>
      <c r="G196" s="177" t="s">
        <v>1335</v>
      </c>
      <c r="H196" s="178">
        <v>1.01199737</v>
      </c>
      <c r="J196" s="177" t="s">
        <v>1479</v>
      </c>
      <c r="K196" s="178">
        <v>1</v>
      </c>
      <c r="M196" s="179" t="s">
        <v>1623</v>
      </c>
      <c r="N196" s="180">
        <v>16.4053</v>
      </c>
    </row>
    <row r="197" spans="1:14">
      <c r="A197" s="177" t="s">
        <v>1048</v>
      </c>
      <c r="B197" s="178">
        <v>1.0113941</v>
      </c>
      <c r="D197" s="177" t="s">
        <v>1192</v>
      </c>
      <c r="E197" s="178">
        <v>1</v>
      </c>
      <c r="G197" s="177" t="s">
        <v>1336</v>
      </c>
      <c r="H197" s="178">
        <v>1.0113941</v>
      </c>
      <c r="J197" s="177" t="s">
        <v>1480</v>
      </c>
      <c r="K197" s="178">
        <v>1</v>
      </c>
      <c r="M197" s="179" t="s">
        <v>1624</v>
      </c>
      <c r="N197" s="180">
        <v>16.402799999999999</v>
      </c>
    </row>
    <row r="198" spans="1:14">
      <c r="A198" s="177" t="s">
        <v>1049</v>
      </c>
      <c r="B198" s="178">
        <v>1.01326413</v>
      </c>
      <c r="D198" s="177" t="s">
        <v>1193</v>
      </c>
      <c r="E198" s="178">
        <v>1</v>
      </c>
      <c r="G198" s="177" t="s">
        <v>1337</v>
      </c>
      <c r="H198" s="178">
        <v>1.01326413</v>
      </c>
      <c r="J198" s="177" t="s">
        <v>1481</v>
      </c>
      <c r="K198" s="178">
        <v>1</v>
      </c>
      <c r="M198" s="179" t="s">
        <v>1625</v>
      </c>
      <c r="N198" s="180">
        <v>16.400600000000001</v>
      </c>
    </row>
    <row r="199" spans="1:14">
      <c r="A199" s="177" t="s">
        <v>1050</v>
      </c>
      <c r="B199" s="178">
        <v>1.0134652</v>
      </c>
      <c r="D199" s="177" t="s">
        <v>1194</v>
      </c>
      <c r="E199" s="178">
        <v>1</v>
      </c>
      <c r="G199" s="177" t="s">
        <v>1338</v>
      </c>
      <c r="H199" s="178">
        <v>1.0134652</v>
      </c>
      <c r="J199" s="177" t="s">
        <v>1482</v>
      </c>
      <c r="K199" s="178">
        <v>1</v>
      </c>
      <c r="M199" s="179" t="s">
        <v>1626</v>
      </c>
      <c r="N199" s="180">
        <v>16.398900000000001</v>
      </c>
    </row>
    <row r="200" spans="1:14">
      <c r="A200" s="177" t="s">
        <v>1051</v>
      </c>
      <c r="B200" s="178">
        <v>1.01100357</v>
      </c>
      <c r="D200" s="177" t="s">
        <v>1195</v>
      </c>
      <c r="E200" s="178">
        <v>1</v>
      </c>
      <c r="G200" s="177" t="s">
        <v>1339</v>
      </c>
      <c r="H200" s="178">
        <v>1.01100357</v>
      </c>
      <c r="J200" s="177" t="s">
        <v>1483</v>
      </c>
      <c r="K200" s="178">
        <v>1</v>
      </c>
      <c r="M200" s="179" t="s">
        <v>1627</v>
      </c>
      <c r="N200" s="180">
        <v>16.397600000000001</v>
      </c>
    </row>
    <row r="201" spans="1:14">
      <c r="A201" s="177" t="s">
        <v>1052</v>
      </c>
      <c r="B201" s="178">
        <v>1.01408155</v>
      </c>
      <c r="D201" s="177" t="s">
        <v>1196</v>
      </c>
      <c r="E201" s="178">
        <v>1</v>
      </c>
      <c r="G201" s="177" t="s">
        <v>1340</v>
      </c>
      <c r="H201" s="178">
        <v>1.01408155</v>
      </c>
      <c r="J201" s="177" t="s">
        <v>1484</v>
      </c>
      <c r="K201" s="178">
        <v>1</v>
      </c>
      <c r="M201" s="179" t="s">
        <v>1628</v>
      </c>
      <c r="N201" s="180">
        <v>16.395900000000001</v>
      </c>
    </row>
    <row r="202" spans="1:14">
      <c r="A202" s="177" t="s">
        <v>1053</v>
      </c>
      <c r="B202" s="178">
        <v>1.01100357</v>
      </c>
      <c r="D202" s="177" t="s">
        <v>1197</v>
      </c>
      <c r="E202" s="178">
        <v>1</v>
      </c>
      <c r="G202" s="177" t="s">
        <v>1341</v>
      </c>
      <c r="H202" s="178">
        <v>1.01100357</v>
      </c>
      <c r="J202" s="177" t="s">
        <v>1485</v>
      </c>
      <c r="K202" s="178">
        <v>1</v>
      </c>
      <c r="M202" s="179" t="s">
        <v>1629</v>
      </c>
      <c r="N202" s="180">
        <v>16.394600000000001</v>
      </c>
    </row>
    <row r="203" spans="1:14">
      <c r="A203" s="177" t="s">
        <v>1054</v>
      </c>
      <c r="B203" s="178">
        <v>1.0134652</v>
      </c>
      <c r="D203" s="177" t="s">
        <v>1198</v>
      </c>
      <c r="E203" s="178">
        <v>1</v>
      </c>
      <c r="G203" s="177" t="s">
        <v>1342</v>
      </c>
      <c r="H203" s="178">
        <v>1.0134652</v>
      </c>
      <c r="J203" s="177" t="s">
        <v>1486</v>
      </c>
      <c r="K203" s="178">
        <v>1</v>
      </c>
      <c r="M203" s="179" t="s">
        <v>1630</v>
      </c>
      <c r="N203" s="180">
        <v>16.393000000000001</v>
      </c>
    </row>
    <row r="204" spans="1:14">
      <c r="A204" s="177" t="s">
        <v>1055</v>
      </c>
      <c r="B204" s="178">
        <v>1.0128493700000001</v>
      </c>
      <c r="D204" s="177" t="s">
        <v>1199</v>
      </c>
      <c r="E204" s="178">
        <v>1</v>
      </c>
      <c r="G204" s="177" t="s">
        <v>1343</v>
      </c>
      <c r="H204" s="178">
        <v>1.0128493700000001</v>
      </c>
      <c r="J204" s="177" t="s">
        <v>1487</v>
      </c>
      <c r="K204" s="178">
        <v>1</v>
      </c>
      <c r="M204" s="179" t="s">
        <v>1631</v>
      </c>
      <c r="N204" s="180">
        <v>16.3916</v>
      </c>
    </row>
    <row r="205" spans="1:14">
      <c r="A205" s="177" t="s">
        <v>1056</v>
      </c>
      <c r="B205" s="178">
        <v>1.01284982</v>
      </c>
      <c r="D205" s="177" t="s">
        <v>1200</v>
      </c>
      <c r="E205" s="178">
        <v>1</v>
      </c>
      <c r="G205" s="177" t="s">
        <v>1344</v>
      </c>
      <c r="H205" s="178">
        <v>1.01284982</v>
      </c>
      <c r="J205" s="177" t="s">
        <v>1488</v>
      </c>
      <c r="K205" s="178">
        <v>1</v>
      </c>
      <c r="M205" s="179" t="s">
        <v>1632</v>
      </c>
      <c r="N205" s="180">
        <v>16.3902</v>
      </c>
    </row>
    <row r="206" spans="1:14">
      <c r="A206" s="177" t="s">
        <v>1057</v>
      </c>
      <c r="B206" s="178">
        <v>1.0140821900000001</v>
      </c>
      <c r="D206" s="177" t="s">
        <v>1201</v>
      </c>
      <c r="E206" s="178">
        <v>1</v>
      </c>
      <c r="G206" s="177" t="s">
        <v>1345</v>
      </c>
      <c r="H206" s="178">
        <v>1.0140821900000001</v>
      </c>
      <c r="J206" s="177" t="s">
        <v>1489</v>
      </c>
      <c r="K206" s="178">
        <v>1</v>
      </c>
      <c r="M206" s="179" t="s">
        <v>1633</v>
      </c>
      <c r="N206" s="180">
        <v>16.3887</v>
      </c>
    </row>
    <row r="207" spans="1:14">
      <c r="A207" s="177" t="s">
        <v>1058</v>
      </c>
      <c r="B207" s="178">
        <v>1.01284982</v>
      </c>
      <c r="D207" s="177" t="s">
        <v>1202</v>
      </c>
      <c r="E207" s="178">
        <v>1</v>
      </c>
      <c r="G207" s="177" t="s">
        <v>1346</v>
      </c>
      <c r="H207" s="178">
        <v>1.01284982</v>
      </c>
      <c r="J207" s="177" t="s">
        <v>1490</v>
      </c>
      <c r="K207" s="178">
        <v>1</v>
      </c>
      <c r="M207" s="179" t="s">
        <v>1634</v>
      </c>
      <c r="N207" s="180">
        <v>16.3874</v>
      </c>
    </row>
    <row r="208" spans="1:14">
      <c r="A208" s="177" t="s">
        <v>1059</v>
      </c>
      <c r="B208" s="178">
        <v>1.01284982</v>
      </c>
      <c r="D208" s="177" t="s">
        <v>1203</v>
      </c>
      <c r="E208" s="178">
        <v>1</v>
      </c>
      <c r="G208" s="177" t="s">
        <v>1347</v>
      </c>
      <c r="H208" s="178">
        <v>1.01284982</v>
      </c>
      <c r="J208" s="177" t="s">
        <v>1491</v>
      </c>
      <c r="K208" s="178">
        <v>1</v>
      </c>
      <c r="M208" s="179" t="s">
        <v>1635</v>
      </c>
      <c r="N208" s="180">
        <v>16.385999999999999</v>
      </c>
    </row>
    <row r="209" spans="1:14">
      <c r="A209" s="177" t="s">
        <v>1060</v>
      </c>
      <c r="B209" s="178">
        <v>1.01161894</v>
      </c>
      <c r="D209" s="177" t="s">
        <v>1204</v>
      </c>
      <c r="E209" s="178">
        <v>1</v>
      </c>
      <c r="G209" s="177" t="s">
        <v>1348</v>
      </c>
      <c r="H209" s="178">
        <v>1.01161894</v>
      </c>
      <c r="J209" s="177" t="s">
        <v>1492</v>
      </c>
      <c r="K209" s="178">
        <v>1</v>
      </c>
      <c r="M209" s="179" t="s">
        <v>1636</v>
      </c>
      <c r="N209" s="180">
        <v>16.384799999999998</v>
      </c>
    </row>
    <row r="210" spans="1:14">
      <c r="A210" s="177" t="s">
        <v>1061</v>
      </c>
      <c r="B210" s="178">
        <v>1.0122341699999999</v>
      </c>
      <c r="D210" s="177" t="s">
        <v>1205</v>
      </c>
      <c r="E210" s="178">
        <v>1</v>
      </c>
      <c r="G210" s="177" t="s">
        <v>1349</v>
      </c>
      <c r="H210" s="178">
        <v>1.0122341699999999</v>
      </c>
      <c r="J210" s="177" t="s">
        <v>1493</v>
      </c>
      <c r="K210" s="178">
        <v>1</v>
      </c>
      <c r="M210" s="179" t="s">
        <v>1637</v>
      </c>
      <c r="N210" s="180">
        <v>16.383600000000001</v>
      </c>
    </row>
    <row r="211" spans="1:14">
      <c r="A211" s="177" t="s">
        <v>1062</v>
      </c>
      <c r="B211" s="178">
        <v>1.0146988100000001</v>
      </c>
      <c r="D211" s="177" t="s">
        <v>1206</v>
      </c>
      <c r="E211" s="178">
        <v>1</v>
      </c>
      <c r="G211" s="177" t="s">
        <v>1350</v>
      </c>
      <c r="H211" s="178">
        <v>1.0146988100000001</v>
      </c>
      <c r="J211" s="177" t="s">
        <v>1494</v>
      </c>
      <c r="K211" s="178">
        <v>1</v>
      </c>
      <c r="M211" s="179" t="s">
        <v>1638</v>
      </c>
      <c r="N211" s="180">
        <v>16.382300000000001</v>
      </c>
    </row>
    <row r="212" spans="1:14">
      <c r="A212" s="177" t="s">
        <v>1063</v>
      </c>
      <c r="B212" s="178">
        <v>1.01038948</v>
      </c>
      <c r="D212" s="177" t="s">
        <v>1207</v>
      </c>
      <c r="E212" s="178">
        <v>1</v>
      </c>
      <c r="G212" s="177" t="s">
        <v>1351</v>
      </c>
      <c r="H212" s="178">
        <v>1.01038948</v>
      </c>
      <c r="J212" s="177" t="s">
        <v>1495</v>
      </c>
      <c r="K212" s="178">
        <v>1</v>
      </c>
      <c r="M212" s="179" t="s">
        <v>1639</v>
      </c>
      <c r="N212" s="180">
        <v>16.3812</v>
      </c>
    </row>
    <row r="213" spans="1:14">
      <c r="A213" s="177" t="s">
        <v>1064</v>
      </c>
      <c r="B213" s="178">
        <v>1.01223409</v>
      </c>
      <c r="D213" s="177" t="s">
        <v>1208</v>
      </c>
      <c r="E213" s="178">
        <v>1</v>
      </c>
      <c r="G213" s="177" t="s">
        <v>1352</v>
      </c>
      <c r="H213" s="178">
        <v>1.01223409</v>
      </c>
      <c r="J213" s="177" t="s">
        <v>1496</v>
      </c>
      <c r="K213" s="178">
        <v>1</v>
      </c>
      <c r="M213" s="179" t="s">
        <v>1640</v>
      </c>
      <c r="N213" s="180">
        <v>16.38</v>
      </c>
    </row>
    <row r="214" spans="1:14">
      <c r="A214" s="177" t="s">
        <v>1065</v>
      </c>
      <c r="B214" s="178">
        <v>1.0134657</v>
      </c>
      <c r="D214" s="177" t="s">
        <v>1209</v>
      </c>
      <c r="E214" s="178">
        <v>1</v>
      </c>
      <c r="G214" s="177" t="s">
        <v>1353</v>
      </c>
      <c r="H214" s="178">
        <v>1.0134657</v>
      </c>
      <c r="J214" s="177" t="s">
        <v>1497</v>
      </c>
      <c r="K214" s="178">
        <v>1</v>
      </c>
      <c r="M214" s="179" t="s">
        <v>1641</v>
      </c>
      <c r="N214" s="180">
        <v>16.378799999999998</v>
      </c>
    </row>
    <row r="215" spans="1:14">
      <c r="A215" s="177" t="s">
        <v>1066</v>
      </c>
      <c r="B215" s="178">
        <v>1.01284971</v>
      </c>
      <c r="D215" s="177" t="s">
        <v>1210</v>
      </c>
      <c r="E215" s="178">
        <v>1</v>
      </c>
      <c r="G215" s="177" t="s">
        <v>1354</v>
      </c>
      <c r="H215" s="178">
        <v>1.01284971</v>
      </c>
      <c r="J215" s="177" t="s">
        <v>1498</v>
      </c>
      <c r="K215" s="178">
        <v>1</v>
      </c>
      <c r="M215" s="179" t="s">
        <v>1642</v>
      </c>
      <c r="N215" s="180">
        <v>16.377700000000001</v>
      </c>
    </row>
    <row r="216" spans="1:14">
      <c r="A216" s="177" t="s">
        <v>1067</v>
      </c>
      <c r="B216" s="178">
        <v>1.0122325400000001</v>
      </c>
      <c r="D216" s="177" t="s">
        <v>1211</v>
      </c>
      <c r="E216" s="178">
        <v>1</v>
      </c>
      <c r="G216" s="177" t="s">
        <v>1355</v>
      </c>
      <c r="H216" s="178">
        <v>1.0122325400000001</v>
      </c>
      <c r="J216" s="177" t="s">
        <v>1499</v>
      </c>
      <c r="K216" s="178">
        <v>1</v>
      </c>
      <c r="M216" s="179" t="s">
        <v>1643</v>
      </c>
      <c r="N216" s="180">
        <v>16.3766</v>
      </c>
    </row>
    <row r="217" spans="1:14">
      <c r="A217" s="177" t="s">
        <v>1068</v>
      </c>
      <c r="B217" s="178">
        <v>1.01407493</v>
      </c>
      <c r="D217" s="177" t="s">
        <v>1212</v>
      </c>
      <c r="E217" s="178">
        <v>1</v>
      </c>
      <c r="G217" s="177" t="s">
        <v>1356</v>
      </c>
      <c r="H217" s="178">
        <v>1.01407493</v>
      </c>
      <c r="J217" s="177" t="s">
        <v>1500</v>
      </c>
      <c r="K217" s="178">
        <v>1</v>
      </c>
      <c r="M217" s="179" t="s">
        <v>1644</v>
      </c>
      <c r="N217" s="180">
        <v>16.375499999999999</v>
      </c>
    </row>
    <row r="218" spans="1:14">
      <c r="A218" s="177" t="s">
        <v>1069</v>
      </c>
      <c r="B218" s="178">
        <v>1.01345888</v>
      </c>
      <c r="D218" s="177" t="s">
        <v>1213</v>
      </c>
      <c r="E218" s="178">
        <v>1</v>
      </c>
      <c r="G218" s="177" t="s">
        <v>1357</v>
      </c>
      <c r="H218" s="178">
        <v>1.01345888</v>
      </c>
      <c r="J218" s="177" t="s">
        <v>1501</v>
      </c>
      <c r="K218" s="178">
        <v>1</v>
      </c>
      <c r="M218" s="179" t="s">
        <v>1645</v>
      </c>
      <c r="N218" s="180">
        <v>16.374500000000001</v>
      </c>
    </row>
    <row r="219" spans="1:14">
      <c r="A219" s="177" t="s">
        <v>1070</v>
      </c>
      <c r="B219" s="178">
        <v>1.0128432000000001</v>
      </c>
      <c r="D219" s="177" t="s">
        <v>1214</v>
      </c>
      <c r="E219" s="178">
        <v>1</v>
      </c>
      <c r="G219" s="177" t="s">
        <v>1358</v>
      </c>
      <c r="H219" s="178">
        <v>1.0128432000000001</v>
      </c>
      <c r="J219" s="177" t="s">
        <v>1502</v>
      </c>
      <c r="K219" s="178">
        <v>1</v>
      </c>
      <c r="M219" s="179" t="s">
        <v>1646</v>
      </c>
      <c r="N219" s="180">
        <v>16.3735</v>
      </c>
    </row>
    <row r="220" spans="1:14">
      <c r="A220" s="177" t="s">
        <v>1071</v>
      </c>
      <c r="B220" s="178">
        <v>1.01407493</v>
      </c>
      <c r="D220" s="177" t="s">
        <v>1215</v>
      </c>
      <c r="E220" s="178">
        <v>1</v>
      </c>
      <c r="G220" s="177" t="s">
        <v>1359</v>
      </c>
      <c r="H220" s="178">
        <v>1.01407493</v>
      </c>
      <c r="J220" s="177" t="s">
        <v>1503</v>
      </c>
      <c r="K220" s="178">
        <v>1</v>
      </c>
      <c r="M220" s="179" t="s">
        <v>1647</v>
      </c>
      <c r="N220" s="180">
        <v>16.372399999999999</v>
      </c>
    </row>
    <row r="221" spans="1:14">
      <c r="A221" s="177" t="s">
        <v>1072</v>
      </c>
      <c r="B221" s="178">
        <v>1.0122278899999999</v>
      </c>
      <c r="D221" s="177" t="s">
        <v>1216</v>
      </c>
      <c r="E221" s="178">
        <v>1</v>
      </c>
      <c r="G221" s="177" t="s">
        <v>1360</v>
      </c>
      <c r="H221" s="178">
        <v>1.0122278899999999</v>
      </c>
      <c r="J221" s="177" t="s">
        <v>1504</v>
      </c>
      <c r="K221" s="178">
        <v>1</v>
      </c>
      <c r="M221" s="179" t="s">
        <v>1648</v>
      </c>
      <c r="N221" s="180">
        <v>16.371500000000001</v>
      </c>
    </row>
    <row r="222" spans="1:14">
      <c r="A222" s="177" t="s">
        <v>1073</v>
      </c>
      <c r="B222" s="178">
        <v>1.01274039</v>
      </c>
      <c r="D222" s="177" t="s">
        <v>1217</v>
      </c>
      <c r="E222" s="178">
        <v>1</v>
      </c>
      <c r="G222" s="177" t="s">
        <v>1361</v>
      </c>
      <c r="H222" s="178">
        <v>1.01274039</v>
      </c>
      <c r="J222" s="177" t="s">
        <v>1505</v>
      </c>
      <c r="K222" s="178">
        <v>1</v>
      </c>
      <c r="M222" s="179" t="s">
        <v>1649</v>
      </c>
      <c r="N222" s="180">
        <v>16.369</v>
      </c>
    </row>
    <row r="223" spans="1:14">
      <c r="A223" s="177" t="s">
        <v>1074</v>
      </c>
      <c r="B223" s="178">
        <v>1.01300634</v>
      </c>
      <c r="D223" s="177" t="s">
        <v>1218</v>
      </c>
      <c r="E223" s="178">
        <v>1</v>
      </c>
      <c r="G223" s="177" t="s">
        <v>1362</v>
      </c>
      <c r="H223" s="178">
        <v>1.01300634</v>
      </c>
      <c r="J223" s="177" t="s">
        <v>1506</v>
      </c>
      <c r="K223" s="178">
        <v>1</v>
      </c>
      <c r="M223" s="179" t="s">
        <v>1650</v>
      </c>
      <c r="N223" s="180">
        <v>16.3643</v>
      </c>
    </row>
    <row r="224" spans="1:14">
      <c r="A224" s="177" t="s">
        <v>1075</v>
      </c>
      <c r="B224" s="178">
        <v>1.0118169800000001</v>
      </c>
      <c r="D224" s="177" t="s">
        <v>1219</v>
      </c>
      <c r="E224" s="178">
        <v>1</v>
      </c>
      <c r="G224" s="177" t="s">
        <v>1363</v>
      </c>
      <c r="H224" s="178">
        <v>1.0118169800000001</v>
      </c>
      <c r="J224" s="177" t="s">
        <v>1507</v>
      </c>
      <c r="K224" s="178">
        <v>1</v>
      </c>
      <c r="M224" s="179" t="s">
        <v>1651</v>
      </c>
      <c r="N224" s="180">
        <v>16.36</v>
      </c>
    </row>
    <row r="225" spans="1:14">
      <c r="A225" s="177" t="s">
        <v>1076</v>
      </c>
      <c r="B225" s="178">
        <v>1.0112228299999999</v>
      </c>
      <c r="D225" s="177" t="s">
        <v>1220</v>
      </c>
      <c r="E225" s="178">
        <v>1</v>
      </c>
      <c r="G225" s="177" t="s">
        <v>1364</v>
      </c>
      <c r="H225" s="178">
        <v>1.0112228299999999</v>
      </c>
      <c r="J225" s="177" t="s">
        <v>1508</v>
      </c>
      <c r="K225" s="178">
        <v>1</v>
      </c>
      <c r="M225" s="179" t="s">
        <v>1652</v>
      </c>
      <c r="N225" s="180">
        <v>16.356000000000002</v>
      </c>
    </row>
    <row r="226" spans="1:14">
      <c r="A226" s="177" t="s">
        <v>1077</v>
      </c>
      <c r="B226" s="178">
        <v>1.0118169800000001</v>
      </c>
      <c r="D226" s="177" t="s">
        <v>1221</v>
      </c>
      <c r="E226" s="178">
        <v>1</v>
      </c>
      <c r="G226" s="177" t="s">
        <v>1365</v>
      </c>
      <c r="H226" s="178">
        <v>1.0118169800000001</v>
      </c>
      <c r="J226" s="177" t="s">
        <v>1509</v>
      </c>
      <c r="K226" s="178">
        <v>1</v>
      </c>
      <c r="M226" s="179" t="s">
        <v>1653</v>
      </c>
      <c r="N226" s="180">
        <v>16.351900000000001</v>
      </c>
    </row>
    <row r="227" spans="1:14">
      <c r="A227" s="177" t="s">
        <v>1078</v>
      </c>
      <c r="B227" s="178">
        <v>1.0124114900000001</v>
      </c>
      <c r="D227" s="177" t="s">
        <v>1222</v>
      </c>
      <c r="E227" s="178">
        <v>1</v>
      </c>
      <c r="G227" s="177" t="s">
        <v>1366</v>
      </c>
      <c r="H227" s="178">
        <v>1.0124114900000001</v>
      </c>
      <c r="J227" s="177" t="s">
        <v>1510</v>
      </c>
      <c r="K227" s="178">
        <v>1</v>
      </c>
      <c r="M227" s="179" t="s">
        <v>1654</v>
      </c>
      <c r="N227" s="180">
        <v>16.3477</v>
      </c>
    </row>
    <row r="228" spans="1:14">
      <c r="A228" s="177" t="s">
        <v>1079</v>
      </c>
      <c r="B228" s="178">
        <v>1.0118169800000001</v>
      </c>
      <c r="D228" s="177" t="s">
        <v>1223</v>
      </c>
      <c r="E228" s="178">
        <v>1</v>
      </c>
      <c r="G228" s="177" t="s">
        <v>1367</v>
      </c>
      <c r="H228" s="178">
        <v>1.0118169800000001</v>
      </c>
      <c r="J228" s="177" t="s">
        <v>1511</v>
      </c>
      <c r="K228" s="178">
        <v>1</v>
      </c>
      <c r="M228" s="179" t="s">
        <v>1655</v>
      </c>
      <c r="N228" s="180">
        <v>16.343699999999998</v>
      </c>
    </row>
    <row r="229" spans="1:14">
      <c r="A229" s="177" t="s">
        <v>1080</v>
      </c>
      <c r="B229" s="178">
        <v>1.01360154</v>
      </c>
      <c r="D229" s="177" t="s">
        <v>1224</v>
      </c>
      <c r="E229" s="178">
        <v>1</v>
      </c>
      <c r="G229" s="177" t="s">
        <v>1368</v>
      </c>
      <c r="H229" s="178">
        <v>1.01360154</v>
      </c>
      <c r="J229" s="177" t="s">
        <v>1512</v>
      </c>
      <c r="K229" s="178">
        <v>1</v>
      </c>
      <c r="M229" s="179" t="s">
        <v>1656</v>
      </c>
      <c r="N229" s="180">
        <v>16.339200000000002</v>
      </c>
    </row>
    <row r="230" spans="1:14">
      <c r="A230" s="177" t="s">
        <v>1081</v>
      </c>
      <c r="B230" s="178">
        <v>1.0124114799999999</v>
      </c>
      <c r="D230" s="177" t="s">
        <v>1225</v>
      </c>
      <c r="E230" s="178">
        <v>1</v>
      </c>
      <c r="G230" s="177" t="s">
        <v>1369</v>
      </c>
      <c r="H230" s="178">
        <v>1.0124114799999999</v>
      </c>
      <c r="J230" s="177" t="s">
        <v>1513</v>
      </c>
      <c r="K230" s="178">
        <v>1</v>
      </c>
      <c r="M230" s="179" t="s">
        <v>1657</v>
      </c>
      <c r="N230" s="180">
        <v>16.3352</v>
      </c>
    </row>
    <row r="231" spans="1:14">
      <c r="A231" s="177" t="s">
        <v>1082</v>
      </c>
      <c r="B231" s="178">
        <v>1.01300634</v>
      </c>
      <c r="D231" s="177" t="s">
        <v>1226</v>
      </c>
      <c r="E231" s="178">
        <v>1</v>
      </c>
      <c r="G231" s="177" t="s">
        <v>1370</v>
      </c>
      <c r="H231" s="178">
        <v>1.01300634</v>
      </c>
      <c r="J231" s="177" t="s">
        <v>1514</v>
      </c>
      <c r="K231" s="178">
        <v>1</v>
      </c>
      <c r="M231" s="179" t="s">
        <v>1658</v>
      </c>
      <c r="N231" s="180">
        <v>16.331099999999999</v>
      </c>
    </row>
    <row r="232" spans="1:14">
      <c r="A232" s="177" t="s">
        <v>1083</v>
      </c>
      <c r="B232" s="178">
        <v>1.01360154</v>
      </c>
      <c r="D232" s="177" t="s">
        <v>1227</v>
      </c>
      <c r="E232" s="178">
        <v>1</v>
      </c>
      <c r="G232" s="177" t="s">
        <v>1371</v>
      </c>
      <c r="H232" s="178">
        <v>1.01360154</v>
      </c>
      <c r="J232" s="177" t="s">
        <v>1515</v>
      </c>
      <c r="K232" s="178">
        <v>1</v>
      </c>
      <c r="M232" s="179" t="s">
        <v>1659</v>
      </c>
      <c r="N232" s="180">
        <v>16.326799999999999</v>
      </c>
    </row>
    <row r="233" spans="1:14">
      <c r="A233" s="177" t="s">
        <v>1084</v>
      </c>
      <c r="B233" s="178">
        <v>1.0118169800000001</v>
      </c>
      <c r="D233" s="177" t="s">
        <v>1228</v>
      </c>
      <c r="E233" s="178">
        <v>1</v>
      </c>
      <c r="G233" s="177" t="s">
        <v>1372</v>
      </c>
      <c r="H233" s="178">
        <v>1.0118169800000001</v>
      </c>
      <c r="J233" s="177" t="s">
        <v>1516</v>
      </c>
      <c r="K233" s="178">
        <v>1</v>
      </c>
      <c r="M233" s="179" t="s">
        <v>1660</v>
      </c>
      <c r="N233" s="180">
        <v>16.3232</v>
      </c>
    </row>
    <row r="234" spans="1:14">
      <c r="A234" s="177" t="s">
        <v>1085</v>
      </c>
      <c r="B234" s="178">
        <v>1.01314086</v>
      </c>
      <c r="D234" s="177" t="s">
        <v>1229</v>
      </c>
      <c r="E234" s="178">
        <v>1</v>
      </c>
      <c r="G234" s="177" t="s">
        <v>1373</v>
      </c>
      <c r="H234" s="178">
        <v>1.01314086</v>
      </c>
      <c r="J234" s="177" t="s">
        <v>1517</v>
      </c>
      <c r="K234" s="178">
        <v>1</v>
      </c>
      <c r="M234" s="179" t="s">
        <v>1661</v>
      </c>
      <c r="N234" s="180">
        <v>16.321300000000001</v>
      </c>
    </row>
    <row r="235" spans="1:14">
      <c r="A235" s="177" t="s">
        <v>1086</v>
      </c>
      <c r="B235" s="178">
        <v>1.0129762499999999</v>
      </c>
      <c r="D235" s="177" t="s">
        <v>1230</v>
      </c>
      <c r="E235" s="178">
        <v>1</v>
      </c>
      <c r="G235" s="177" t="s">
        <v>1374</v>
      </c>
      <c r="H235" s="178">
        <v>1.0129762499999999</v>
      </c>
      <c r="J235" s="177" t="s">
        <v>1518</v>
      </c>
      <c r="K235" s="178">
        <v>1</v>
      </c>
      <c r="M235" s="179" t="s">
        <v>1662</v>
      </c>
      <c r="N235" s="180">
        <v>16.322399999999998</v>
      </c>
    </row>
    <row r="236" spans="1:14">
      <c r="A236" s="177" t="s">
        <v>1087</v>
      </c>
      <c r="B236" s="178">
        <v>1.0111122400000001</v>
      </c>
      <c r="D236" s="177" t="s">
        <v>1231</v>
      </c>
      <c r="E236" s="178">
        <v>1</v>
      </c>
      <c r="G236" s="177" t="s">
        <v>1375</v>
      </c>
      <c r="H236" s="178">
        <v>1.0111122400000001</v>
      </c>
      <c r="J236" s="177" t="s">
        <v>1519</v>
      </c>
      <c r="K236" s="178">
        <v>1</v>
      </c>
      <c r="M236" s="179" t="s">
        <v>1663</v>
      </c>
      <c r="N236" s="180">
        <v>16.3233</v>
      </c>
    </row>
    <row r="237" spans="1:14">
      <c r="A237" s="177" t="s">
        <v>1088</v>
      </c>
      <c r="B237" s="178">
        <v>1.0135983500000001</v>
      </c>
      <c r="D237" s="177" t="s">
        <v>1232</v>
      </c>
      <c r="E237" s="178">
        <v>1</v>
      </c>
      <c r="G237" s="177" t="s">
        <v>1376</v>
      </c>
      <c r="H237" s="178">
        <v>1.0135983500000001</v>
      </c>
      <c r="J237" s="177" t="s">
        <v>1520</v>
      </c>
      <c r="K237" s="178">
        <v>1</v>
      </c>
      <c r="M237" s="179" t="s">
        <v>1664</v>
      </c>
      <c r="N237" s="180">
        <v>16.324400000000001</v>
      </c>
    </row>
    <row r="238" spans="1:14">
      <c r="A238" s="177" t="s">
        <v>1089</v>
      </c>
      <c r="B238" s="178">
        <v>1.01235454</v>
      </c>
      <c r="D238" s="177" t="s">
        <v>1233</v>
      </c>
      <c r="E238" s="178">
        <v>1</v>
      </c>
      <c r="G238" s="177" t="s">
        <v>1377</v>
      </c>
      <c r="H238" s="178">
        <v>1.01235454</v>
      </c>
      <c r="J238" s="177" t="s">
        <v>1521</v>
      </c>
      <c r="K238" s="178">
        <v>1</v>
      </c>
      <c r="M238" s="179" t="s">
        <v>1665</v>
      </c>
      <c r="N238" s="180">
        <v>16.325399999999998</v>
      </c>
    </row>
    <row r="239" spans="1:14">
      <c r="A239" s="177" t="s">
        <v>1090</v>
      </c>
      <c r="B239" s="178">
        <v>1.01235454</v>
      </c>
      <c r="D239" s="177" t="s">
        <v>1234</v>
      </c>
      <c r="E239" s="178">
        <v>1</v>
      </c>
      <c r="G239" s="177" t="s">
        <v>1378</v>
      </c>
      <c r="H239" s="178">
        <v>1.01235454</v>
      </c>
      <c r="J239" s="177" t="s">
        <v>1522</v>
      </c>
      <c r="K239" s="178">
        <v>1</v>
      </c>
      <c r="M239" s="179" t="s">
        <v>1666</v>
      </c>
      <c r="N239" s="180">
        <v>16.3263</v>
      </c>
    </row>
    <row r="240" spans="1:14">
      <c r="A240" s="177" t="s">
        <v>1091</v>
      </c>
      <c r="B240" s="178">
        <v>1.0129762499999999</v>
      </c>
      <c r="D240" s="177" t="s">
        <v>1235</v>
      </c>
      <c r="E240" s="178">
        <v>1</v>
      </c>
      <c r="G240" s="177" t="s">
        <v>1379</v>
      </c>
      <c r="H240" s="178">
        <v>1.0129762499999999</v>
      </c>
      <c r="J240" s="177" t="s">
        <v>1523</v>
      </c>
      <c r="K240" s="178">
        <v>1</v>
      </c>
      <c r="M240" s="179" t="s">
        <v>1667</v>
      </c>
      <c r="N240" s="180">
        <v>16.327300000000001</v>
      </c>
    </row>
    <row r="241" spans="1:14">
      <c r="A241" s="177" t="s">
        <v>1092</v>
      </c>
      <c r="B241" s="178">
        <v>1.0142208399999999</v>
      </c>
      <c r="D241" s="177" t="s">
        <v>1236</v>
      </c>
      <c r="E241" s="178">
        <v>1</v>
      </c>
      <c r="G241" s="177" t="s">
        <v>1380</v>
      </c>
      <c r="H241" s="178">
        <v>1.0142208399999999</v>
      </c>
      <c r="J241" s="177" t="s">
        <v>1524</v>
      </c>
      <c r="K241" s="178">
        <v>1</v>
      </c>
      <c r="M241" s="179" t="s">
        <v>1668</v>
      </c>
      <c r="N241" s="180">
        <v>16.328399999999998</v>
      </c>
    </row>
    <row r="242" spans="1:14">
      <c r="A242" s="177" t="s">
        <v>1093</v>
      </c>
      <c r="B242" s="178">
        <v>1.0129762499999999</v>
      </c>
      <c r="D242" s="177" t="s">
        <v>1237</v>
      </c>
      <c r="E242" s="178">
        <v>1</v>
      </c>
      <c r="G242" s="177" t="s">
        <v>1381</v>
      </c>
      <c r="H242" s="178">
        <v>1.0129762499999999</v>
      </c>
      <c r="J242" s="177" t="s">
        <v>1525</v>
      </c>
      <c r="K242" s="178">
        <v>1</v>
      </c>
      <c r="M242" s="179" t="s">
        <v>1669</v>
      </c>
      <c r="N242" s="180">
        <v>16.3293</v>
      </c>
    </row>
    <row r="243" spans="1:14">
      <c r="A243" s="177" t="s">
        <v>1094</v>
      </c>
      <c r="B243" s="178">
        <v>1.0135983500000001</v>
      </c>
      <c r="D243" s="177" t="s">
        <v>1238</v>
      </c>
      <c r="E243" s="178">
        <v>1</v>
      </c>
      <c r="G243" s="177" t="s">
        <v>1382</v>
      </c>
      <c r="H243" s="178">
        <v>1.0135983500000001</v>
      </c>
      <c r="J243" s="177" t="s">
        <v>1526</v>
      </c>
      <c r="K243" s="178">
        <v>1</v>
      </c>
      <c r="M243" s="179" t="s">
        <v>1670</v>
      </c>
      <c r="N243" s="180">
        <v>16.330300000000001</v>
      </c>
    </row>
    <row r="244" spans="1:14">
      <c r="A244" s="177" t="s">
        <v>1095</v>
      </c>
      <c r="B244" s="178">
        <v>1.01235454</v>
      </c>
      <c r="D244" s="177" t="s">
        <v>1239</v>
      </c>
      <c r="E244" s="178">
        <v>1</v>
      </c>
      <c r="G244" s="177" t="s">
        <v>1383</v>
      </c>
      <c r="H244" s="178">
        <v>1.01235454</v>
      </c>
      <c r="J244" s="177" t="s">
        <v>1527</v>
      </c>
      <c r="K244" s="178">
        <v>1</v>
      </c>
      <c r="M244" s="179" t="s">
        <v>1671</v>
      </c>
      <c r="N244" s="180">
        <v>16.331199999999999</v>
      </c>
    </row>
    <row r="245" spans="1:14">
      <c r="A245" s="177" t="s">
        <v>1096</v>
      </c>
      <c r="B245" s="178">
        <v>1.01235454</v>
      </c>
      <c r="D245" s="177" t="s">
        <v>1240</v>
      </c>
      <c r="E245" s="178">
        <v>1</v>
      </c>
      <c r="G245" s="177" t="s">
        <v>1384</v>
      </c>
      <c r="H245" s="178">
        <v>1.01235454</v>
      </c>
      <c r="J245" s="177" t="s">
        <v>1528</v>
      </c>
      <c r="K245" s="178">
        <v>1</v>
      </c>
      <c r="M245" s="179" t="s">
        <v>1672</v>
      </c>
      <c r="N245" s="180">
        <v>16.332000000000001</v>
      </c>
    </row>
    <row r="246" spans="1:14">
      <c r="A246" s="177" t="s">
        <v>1097</v>
      </c>
      <c r="B246" s="178">
        <v>1.0135462</v>
      </c>
      <c r="D246" s="177" t="s">
        <v>1241</v>
      </c>
      <c r="E246" s="178">
        <v>1</v>
      </c>
      <c r="G246" s="177" t="s">
        <v>1385</v>
      </c>
      <c r="H246" s="178">
        <v>1.0135462</v>
      </c>
      <c r="J246" s="177" t="s">
        <v>1529</v>
      </c>
      <c r="K246" s="178">
        <v>1</v>
      </c>
      <c r="M246" s="179" t="s">
        <v>1673</v>
      </c>
      <c r="N246" s="180">
        <v>16.332999999999998</v>
      </c>
    </row>
    <row r="247" spans="1:14">
      <c r="A247" s="177" t="s">
        <v>1098</v>
      </c>
      <c r="B247" s="178">
        <v>1.01214618</v>
      </c>
      <c r="D247" s="177" t="s">
        <v>1242</v>
      </c>
      <c r="E247" s="178">
        <v>1</v>
      </c>
      <c r="G247" s="177" t="s">
        <v>1386</v>
      </c>
      <c r="H247" s="178">
        <v>1.01214618</v>
      </c>
      <c r="J247" s="177" t="s">
        <v>1530</v>
      </c>
      <c r="K247" s="178">
        <v>1</v>
      </c>
      <c r="M247" s="179" t="s">
        <v>1674</v>
      </c>
      <c r="N247" s="180">
        <v>16.3338</v>
      </c>
    </row>
    <row r="248" spans="1:14">
      <c r="A248" s="177" t="s">
        <v>1099</v>
      </c>
      <c r="B248" s="178">
        <v>1.0109249499999999</v>
      </c>
      <c r="D248" s="177" t="s">
        <v>1243</v>
      </c>
      <c r="E248" s="178">
        <v>1</v>
      </c>
      <c r="G248" s="177" t="s">
        <v>1387</v>
      </c>
      <c r="H248" s="178">
        <v>1.0109249499999999</v>
      </c>
      <c r="J248" s="177" t="s">
        <v>1531</v>
      </c>
      <c r="K248" s="178">
        <v>1</v>
      </c>
      <c r="M248" s="179" t="s">
        <v>1675</v>
      </c>
      <c r="N248" s="180">
        <v>16.334599999999998</v>
      </c>
    </row>
    <row r="249" spans="1:14">
      <c r="A249" s="177" t="s">
        <v>1100</v>
      </c>
      <c r="B249" s="178">
        <v>1.01336888</v>
      </c>
      <c r="D249" s="177" t="s">
        <v>1244</v>
      </c>
      <c r="E249" s="178">
        <v>1</v>
      </c>
      <c r="G249" s="177" t="s">
        <v>1388</v>
      </c>
      <c r="H249" s="178">
        <v>1.01336888</v>
      </c>
      <c r="J249" s="177" t="s">
        <v>1532</v>
      </c>
      <c r="K249" s="178">
        <v>1</v>
      </c>
      <c r="M249" s="179" t="s">
        <v>1676</v>
      </c>
      <c r="N249" s="180">
        <v>16.3355</v>
      </c>
    </row>
    <row r="250" spans="1:14">
      <c r="A250" s="177" t="s">
        <v>1101</v>
      </c>
      <c r="B250" s="178">
        <v>1.0127573400000001</v>
      </c>
      <c r="D250" s="177" t="s">
        <v>1245</v>
      </c>
      <c r="E250" s="178">
        <v>1</v>
      </c>
      <c r="G250" s="177" t="s">
        <v>1389</v>
      </c>
      <c r="H250" s="178">
        <v>1.0127573400000001</v>
      </c>
      <c r="J250" s="177" t="s">
        <v>1533</v>
      </c>
      <c r="K250" s="178">
        <v>1</v>
      </c>
      <c r="M250" s="179" t="s">
        <v>1677</v>
      </c>
      <c r="N250" s="180">
        <v>16.336300000000001</v>
      </c>
    </row>
    <row r="251" spans="1:14">
      <c r="A251" s="177" t="s">
        <v>1102</v>
      </c>
      <c r="B251" s="178">
        <v>1.01214618</v>
      </c>
      <c r="D251" s="177" t="s">
        <v>1246</v>
      </c>
      <c r="E251" s="178">
        <v>1</v>
      </c>
      <c r="G251" s="177" t="s">
        <v>1390</v>
      </c>
      <c r="H251" s="178">
        <v>1.01214618</v>
      </c>
      <c r="J251" s="177" t="s">
        <v>1534</v>
      </c>
      <c r="K251" s="178">
        <v>1</v>
      </c>
      <c r="M251" s="179" t="s">
        <v>1678</v>
      </c>
      <c r="N251" s="180">
        <v>16.3371</v>
      </c>
    </row>
    <row r="252" spans="1:14">
      <c r="A252" s="177" t="s">
        <v>1103</v>
      </c>
      <c r="B252" s="178">
        <v>1.01336888</v>
      </c>
      <c r="D252" s="177" t="s">
        <v>1247</v>
      </c>
      <c r="E252" s="178">
        <v>1</v>
      </c>
      <c r="G252" s="177" t="s">
        <v>1391</v>
      </c>
      <c r="H252" s="178">
        <v>1.01336888</v>
      </c>
      <c r="J252" s="177" t="s">
        <v>1535</v>
      </c>
      <c r="K252" s="178">
        <v>1</v>
      </c>
      <c r="M252" s="179" t="s">
        <v>1679</v>
      </c>
      <c r="N252" s="180">
        <v>16.338000000000001</v>
      </c>
    </row>
    <row r="253" spans="1:14">
      <c r="A253" s="177" t="s">
        <v>1104</v>
      </c>
      <c r="B253" s="178">
        <v>1.01336888</v>
      </c>
      <c r="D253" s="177" t="s">
        <v>1248</v>
      </c>
      <c r="E253" s="178">
        <v>1</v>
      </c>
      <c r="G253" s="177" t="s">
        <v>1392</v>
      </c>
      <c r="H253" s="178">
        <v>1.01336888</v>
      </c>
      <c r="J253" s="177" t="s">
        <v>1536</v>
      </c>
      <c r="K253" s="178">
        <v>1</v>
      </c>
      <c r="M253" s="179" t="s">
        <v>1680</v>
      </c>
      <c r="N253" s="180">
        <v>16.338799999999999</v>
      </c>
    </row>
    <row r="254" spans="1:14">
      <c r="A254" s="177" t="s">
        <v>1105</v>
      </c>
      <c r="B254" s="178">
        <v>1.01336888</v>
      </c>
      <c r="D254" s="177" t="s">
        <v>1249</v>
      </c>
      <c r="E254" s="178">
        <v>1</v>
      </c>
      <c r="G254" s="177" t="s">
        <v>1393</v>
      </c>
      <c r="H254" s="178">
        <v>1.01336888</v>
      </c>
      <c r="J254" s="177" t="s">
        <v>1537</v>
      </c>
      <c r="K254" s="178">
        <v>1</v>
      </c>
      <c r="M254" s="179" t="s">
        <v>1681</v>
      </c>
      <c r="N254" s="180">
        <v>16.339700000000001</v>
      </c>
    </row>
    <row r="255" spans="1:14">
      <c r="A255" s="177" t="s">
        <v>1106</v>
      </c>
      <c r="B255" s="178">
        <v>1.01336888</v>
      </c>
      <c r="D255" s="177" t="s">
        <v>1250</v>
      </c>
      <c r="E255" s="178">
        <v>1</v>
      </c>
      <c r="G255" s="177" t="s">
        <v>1394</v>
      </c>
      <c r="H255" s="178">
        <v>1.01336888</v>
      </c>
      <c r="J255" s="177" t="s">
        <v>1538</v>
      </c>
      <c r="K255" s="178">
        <v>1</v>
      </c>
      <c r="M255" s="179" t="s">
        <v>1682</v>
      </c>
      <c r="N255" s="180">
        <v>16.340499999999999</v>
      </c>
    </row>
    <row r="256" spans="1:14">
      <c r="A256" s="177" t="s">
        <v>1107</v>
      </c>
      <c r="B256" s="178">
        <v>1.01214618</v>
      </c>
      <c r="D256" s="177" t="s">
        <v>1251</v>
      </c>
      <c r="E256" s="178">
        <v>1</v>
      </c>
      <c r="G256" s="177" t="s">
        <v>1395</v>
      </c>
      <c r="H256" s="178">
        <v>1.01214618</v>
      </c>
      <c r="J256" s="177" t="s">
        <v>1539</v>
      </c>
      <c r="K256" s="178">
        <v>1</v>
      </c>
      <c r="M256" s="179" t="s">
        <v>1683</v>
      </c>
      <c r="N256" s="180">
        <v>16.341200000000001</v>
      </c>
    </row>
    <row r="257" spans="1:14">
      <c r="A257" s="177" t="s">
        <v>1108</v>
      </c>
      <c r="B257" s="178">
        <v>1.01153538</v>
      </c>
      <c r="D257" s="177" t="s">
        <v>1252</v>
      </c>
      <c r="E257" s="178">
        <v>1</v>
      </c>
      <c r="G257" s="177" t="s">
        <v>1396</v>
      </c>
      <c r="H257" s="178">
        <v>1.01153538</v>
      </c>
      <c r="J257" s="177" t="s">
        <v>1540</v>
      </c>
      <c r="K257" s="178">
        <v>1</v>
      </c>
      <c r="M257" s="179" t="s">
        <v>1684</v>
      </c>
      <c r="N257" s="180">
        <v>16.341899999999999</v>
      </c>
    </row>
  </sheetData>
  <pageMargins left="0.511811024" right="0.511811024" top="0.78740157499999996" bottom="0.78740157499999996" header="0.31496062000000002" footer="0.31496062000000002"/>
  <tableParts count="5">
    <tablePart r:id="rId1"/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I3" sqref="I3"/>
    </sheetView>
  </sheetViews>
  <sheetFormatPr defaultRowHeight="11.25"/>
  <cols>
    <col min="1" max="1" width="8.140625" style="132" bestFit="1" customWidth="1"/>
    <col min="2" max="2" width="13.42578125" style="132" bestFit="1" customWidth="1"/>
    <col min="3" max="3" width="14" style="132" bestFit="1" customWidth="1"/>
    <col min="4" max="4" width="15.140625" style="132" bestFit="1" customWidth="1"/>
    <col min="5" max="5" width="19.28515625" style="132" bestFit="1" customWidth="1"/>
    <col min="6" max="6" width="10" style="132" bestFit="1" customWidth="1"/>
    <col min="7" max="7" width="14" style="132" bestFit="1" customWidth="1"/>
    <col min="8" max="8" width="14.7109375" style="132" customWidth="1"/>
    <col min="9" max="9" width="68.85546875" style="132" bestFit="1" customWidth="1"/>
    <col min="10" max="16384" width="9.140625" style="132"/>
  </cols>
  <sheetData>
    <row r="1" spans="1:9">
      <c r="A1" s="133" t="s">
        <v>261</v>
      </c>
      <c r="B1" s="135" t="s">
        <v>113</v>
      </c>
      <c r="C1" s="133" t="s">
        <v>114</v>
      </c>
      <c r="D1" s="135" t="s">
        <v>115</v>
      </c>
      <c r="E1" s="133" t="s">
        <v>87</v>
      </c>
      <c r="F1" s="133" t="s">
        <v>88</v>
      </c>
      <c r="G1" s="133" t="s">
        <v>132</v>
      </c>
      <c r="H1" s="133" t="s">
        <v>133</v>
      </c>
      <c r="I1" s="133" t="s">
        <v>262</v>
      </c>
    </row>
    <row r="2" spans="1:9">
      <c r="A2" s="138">
        <v>1</v>
      </c>
      <c r="B2" s="139">
        <v>42366</v>
      </c>
      <c r="C2" s="128">
        <v>100436.91</v>
      </c>
      <c r="D2" s="139">
        <v>42366</v>
      </c>
      <c r="E2" s="128">
        <v>2.500272593</v>
      </c>
      <c r="F2" s="224">
        <v>2.452418625</v>
      </c>
      <c r="G2" s="223">
        <v>100436.91</v>
      </c>
      <c r="H2" s="223">
        <v>100686.49</v>
      </c>
      <c r="I2" s="128" t="str">
        <f>"EXEC SANPS_RF_CALCULADORA_TITULO " &amp; CAD_TITULO[TITULO_ID] &amp; ", " &amp; TEXT(TAB_TESTES[[#This Row],[Data Compra]], "'AAAA-MM-DD'") &amp; ", " &amp; SUBSTITUTE( TAB_TESTES[[#This Row],[PU Compra]], ",", ".") &amp; ", " &amp; TEXT(TAB_TESTES[[#This Row],[Data do Cálculo]], "'AAAA-MM-DD'") &amp; ", " &amp; TEXT(TAB_TESTES[[#This Row],[Data do Cálculo]], "'AAAA-MM-DD'")</f>
        <v>EXEC SANPS_RF_CALCULADORA_TITULO 3881608, '2015-12-28', 100436.91, '2015-12-28', '2015-12-28'</v>
      </c>
    </row>
    <row r="3" spans="1:9">
      <c r="A3" s="138">
        <v>2</v>
      </c>
      <c r="B3" s="139">
        <v>42366</v>
      </c>
      <c r="C3" s="128">
        <v>100436.91</v>
      </c>
      <c r="D3" s="139">
        <v>43374</v>
      </c>
      <c r="E3" s="128">
        <v>2.500272593</v>
      </c>
      <c r="F3" s="224">
        <v>2.452418625</v>
      </c>
      <c r="G3" s="223">
        <v>70848.429999999993</v>
      </c>
      <c r="H3" s="223">
        <v>70993.919999999998</v>
      </c>
      <c r="I3" s="128" t="str">
        <f>"EXEC SANPS_RF_CALCULADORA_TITULO " &amp; CAD_TITULO[TITULO_ID] &amp; ", " &amp; TEXT(TAB_TESTES[[#This Row],[Data Compra]], "'AAAA-MM-DD'") &amp; ", " &amp; SUBSTITUTE( TAB_TESTES[[#This Row],[PU Compra]], ",", ".") &amp; ", " &amp; TEXT(TAB_TESTES[[#This Row],[Data do Cálculo]], "'AAAA-MM-DD'") &amp; ", " &amp; TEXT(TAB_TESTES[[#This Row],[Data do Cálculo]], "'AAAA-MM-DD'")</f>
        <v>EXEC SANPS_RF_CALCULADORA_TITULO 3881608, '2015-12-28', 100436.91, '2018-10-01', '2018-10-01'</v>
      </c>
    </row>
    <row r="4" spans="1:9">
      <c r="A4" s="138"/>
      <c r="B4" s="139"/>
      <c r="C4" s="128"/>
      <c r="D4" s="139"/>
      <c r="E4" s="128"/>
      <c r="F4" s="128"/>
      <c r="G4" s="128"/>
      <c r="H4" s="128"/>
      <c r="I4" s="128"/>
    </row>
    <row r="5" spans="1:9">
      <c r="A5" s="138"/>
      <c r="B5" s="139"/>
      <c r="C5" s="128"/>
      <c r="D5" s="139"/>
      <c r="E5" s="128"/>
      <c r="F5" s="128"/>
      <c r="G5" s="128"/>
      <c r="H5" s="128"/>
      <c r="I5" s="128"/>
    </row>
    <row r="6" spans="1:9">
      <c r="A6" s="138"/>
      <c r="B6" s="139"/>
      <c r="C6" s="128"/>
      <c r="D6" s="139"/>
      <c r="E6" s="128"/>
      <c r="F6" s="128"/>
      <c r="G6" s="128"/>
      <c r="H6" s="128"/>
      <c r="I6" s="128"/>
    </row>
    <row r="7" spans="1:9">
      <c r="A7" s="138"/>
      <c r="B7" s="139"/>
      <c r="C7" s="128"/>
      <c r="D7" s="139"/>
      <c r="E7" s="128"/>
      <c r="F7" s="128"/>
      <c r="G7" s="128"/>
      <c r="H7" s="128"/>
      <c r="I7" s="128"/>
    </row>
    <row r="8" spans="1:9">
      <c r="A8" s="138"/>
      <c r="B8" s="139"/>
      <c r="C8" s="128"/>
      <c r="D8" s="139"/>
      <c r="E8" s="128"/>
      <c r="F8" s="128"/>
      <c r="G8" s="128"/>
      <c r="H8" s="128"/>
      <c r="I8" s="128"/>
    </row>
    <row r="9" spans="1:9">
      <c r="A9" s="138"/>
      <c r="B9" s="139"/>
      <c r="C9" s="128"/>
      <c r="D9" s="139"/>
      <c r="E9" s="128"/>
      <c r="F9" s="128"/>
      <c r="G9" s="128"/>
      <c r="H9" s="128"/>
      <c r="I9" s="128"/>
    </row>
    <row r="10" spans="1:9">
      <c r="A10" s="138"/>
      <c r="B10" s="139"/>
      <c r="C10" s="128"/>
      <c r="D10" s="139"/>
      <c r="E10" s="128"/>
      <c r="F10" s="128"/>
      <c r="G10" s="128"/>
      <c r="H10" s="128"/>
      <c r="I10" s="128"/>
    </row>
    <row r="16" spans="1:9">
      <c r="C16" s="222"/>
      <c r="D16" s="222"/>
    </row>
    <row r="19" spans="3:4">
      <c r="C19" s="222"/>
      <c r="D19" s="222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4768"/>
  <sheetViews>
    <sheetView showGridLines="0" topLeftCell="A2004" workbookViewId="0">
      <selection activeCell="B19" sqref="B19:B3009"/>
    </sheetView>
  </sheetViews>
  <sheetFormatPr defaultRowHeight="11.25"/>
  <cols>
    <col min="1" max="1" width="4.42578125" style="1" bestFit="1" customWidth="1"/>
    <col min="2" max="2" width="16.7109375" style="1" customWidth="1"/>
    <col min="3" max="3" width="8.85546875" style="1" bestFit="1" customWidth="1"/>
    <col min="4" max="4" width="24.42578125" style="1" bestFit="1" customWidth="1"/>
    <col min="5" max="5" width="19.42578125" style="1" bestFit="1" customWidth="1"/>
    <col min="6" max="6" width="19.140625" style="1" bestFit="1" customWidth="1"/>
    <col min="7" max="7" width="11" style="1" bestFit="1" customWidth="1"/>
    <col min="8" max="8" width="14.7109375" style="1" bestFit="1" customWidth="1"/>
    <col min="9" max="9" width="8.85546875" style="1" bestFit="1" customWidth="1"/>
    <col min="10" max="10" width="16.5703125" style="1" bestFit="1" customWidth="1"/>
    <col min="11" max="11" width="17.28515625" style="1" bestFit="1" customWidth="1"/>
    <col min="12" max="12" width="16.85546875" style="1" bestFit="1" customWidth="1"/>
    <col min="13" max="13" width="9.140625" style="1"/>
    <col min="14" max="14" width="12" style="1" bestFit="1" customWidth="1"/>
    <col min="15" max="17" width="9.140625" style="1"/>
    <col min="18" max="18" width="14" style="1" customWidth="1"/>
    <col min="19" max="16384" width="9.140625" style="1"/>
  </cols>
  <sheetData>
    <row r="1" spans="1:14" ht="12" thickBot="1">
      <c r="C1" s="248" t="s">
        <v>101</v>
      </c>
      <c r="D1" s="249"/>
      <c r="E1" s="7"/>
      <c r="F1" s="7"/>
      <c r="I1" s="248" t="s">
        <v>141</v>
      </c>
      <c r="J1" s="249"/>
    </row>
    <row r="2" spans="1:14">
      <c r="C2" s="8" t="s">
        <v>102</v>
      </c>
      <c r="D2" s="9">
        <f>IRR(B6:B4768,0)</f>
        <v>9.8001913108713978E-5</v>
      </c>
      <c r="E2" s="7"/>
      <c r="F2" s="7"/>
      <c r="I2" s="8" t="s">
        <v>102</v>
      </c>
      <c r="J2" s="9">
        <f>IRR(H6:H4768,0)</f>
        <v>6.7623149299089746E-5</v>
      </c>
    </row>
    <row r="3" spans="1:14" ht="12" thickBot="1">
      <c r="C3" s="10" t="s">
        <v>103</v>
      </c>
      <c r="D3" s="73">
        <f>(((D2+1)^252)-1) * 100</f>
        <v>2.5002725930499237</v>
      </c>
      <c r="E3" s="205">
        <v>2.5086609728065801E-2</v>
      </c>
      <c r="F3" s="7"/>
      <c r="I3" s="10" t="s">
        <v>103</v>
      </c>
      <c r="J3" s="73">
        <f>(((J2+1)^360)-1) * 100</f>
        <v>2.4642232978208556</v>
      </c>
      <c r="K3" s="72"/>
    </row>
    <row r="4" spans="1:14">
      <c r="A4" s="11"/>
      <c r="B4" s="12"/>
      <c r="C4" s="6"/>
      <c r="D4" s="7"/>
      <c r="E4" s="7"/>
      <c r="F4" s="7"/>
    </row>
    <row r="5" spans="1:14">
      <c r="A5" s="11"/>
      <c r="B5" s="12"/>
      <c r="C5" s="13">
        <f>SUM(B7:B4768)</f>
        <v>108528.56424431968</v>
      </c>
      <c r="D5" s="14">
        <f>MATCH(D6, TAB_JUROS_U[[#Headers],[Q_DIAS_U_PARC_TIR]:[V_FUT_U_JURS CENARIO]],0)</f>
        <v>10</v>
      </c>
      <c r="E5" s="14">
        <f>MATCH(E6,TAB_CORRECAO_U[[#Headers],[Q_DIAS_U_PARC_TIR]:[V_FUT_U_CORC-02]],0)</f>
        <v>10</v>
      </c>
      <c r="F5" s="14">
        <f>MATCH(F6,TAB_AMORTIZACAO_U[[#Headers],[Q_DIAS_U_PARC_TIR]:[V_FUT_U_PCPL-02]],0)</f>
        <v>10</v>
      </c>
      <c r="H5" s="12"/>
      <c r="I5" s="13">
        <f>SUM(H7:H4768)</f>
        <v>108528.56424431968</v>
      </c>
      <c r="J5" s="14">
        <v>7</v>
      </c>
      <c r="K5" s="14">
        <v>7</v>
      </c>
      <c r="L5" s="14">
        <v>7</v>
      </c>
    </row>
    <row r="6" spans="1:14">
      <c r="A6" s="15">
        <v>0</v>
      </c>
      <c r="B6" s="16">
        <f>-PU_COMPRA</f>
        <v>-100436.91</v>
      </c>
      <c r="C6" s="17" t="s">
        <v>104</v>
      </c>
      <c r="D6" s="18" t="str">
        <f>TAB_JUROS_U[[#Headers],[V_FUT_U_JURS CENARIO]]</f>
        <v>V_FUT_U_JURS CENARIO</v>
      </c>
      <c r="E6" s="18" t="str">
        <f>TAB_CORRECAO_U[[#Headers],[V_FUT_U_CORC-02]]</f>
        <v>V_FUT_U_CORC-02</v>
      </c>
      <c r="F6" s="18" t="str">
        <f>TAB_AMORTIZACAO_U[[#Headers],[V_FUT_U_PCPL-02]]</f>
        <v>V_FUT_U_PCPL-02</v>
      </c>
      <c r="H6" s="16">
        <f>-PU_COMPRA</f>
        <v>-100436.91</v>
      </c>
      <c r="I6" s="17" t="s">
        <v>104</v>
      </c>
      <c r="J6" s="18" t="str">
        <f>TAB_JUROS_C[[#Headers],[V_FUT_C_JURS]]</f>
        <v>V_FUT_C_JURS</v>
      </c>
      <c r="K6" s="18" t="str">
        <f>TAB_CORRECAO_C[[#Headers],[V_FUT_C_CORC]]</f>
        <v>V_FUT_C_CORC</v>
      </c>
      <c r="L6" s="18" t="str">
        <f>TAB_AMORTIZACAO_C[[#Headers],[V_FUT_C_PCPL]]</f>
        <v>V_FUT_C_PCPL</v>
      </c>
      <c r="N6" s="175">
        <f>H6</f>
        <v>-100436.91</v>
      </c>
    </row>
    <row r="7" spans="1:14" hidden="1">
      <c r="A7" s="19">
        <f t="shared" ref="A7:A9" si="0">A6+1</f>
        <v>1</v>
      </c>
      <c r="B7" s="20">
        <f>IF(ISERROR(C7), 0, C7)</f>
        <v>0</v>
      </c>
      <c r="C7" s="21">
        <f>SUMIF(D7:F7, "&gt;0", D7:F7)</f>
        <v>0</v>
      </c>
      <c r="D7" s="22" t="e">
        <f>VLOOKUP($A7, TAB_JUROS_U[[Q_DIAS_U_PARC_TIR]:[V_FUT_U_JURS CENARIO]], D$5, FALSE)</f>
        <v>#N/A</v>
      </c>
      <c r="E7" s="22" t="e">
        <f>VLOOKUP($A7,TAB_CORRECAO_U[[Q_DIAS_U_PARC_TIR]:[V_FUT_U_CORC-02]],E$5, FALSE)</f>
        <v>#N/A</v>
      </c>
      <c r="F7" s="22" t="e">
        <f>VLOOKUP($A7,TAB_AMORTIZACAO_U[[Q_DIAS_U_PARC_TIR]:[V_FUT_U_PCPL-02]], F$5, FALSE)</f>
        <v>#N/A</v>
      </c>
      <c r="H7" s="20">
        <f>IF(ISERROR(I7), 0, I7)</f>
        <v>0</v>
      </c>
      <c r="I7" s="21">
        <f>SUMIF(J7:L7, "&gt;0", J7:L7)</f>
        <v>0</v>
      </c>
      <c r="J7" s="22" t="e">
        <f>VLOOKUP($A7, TAB_JUROS_C[[DIAS_CORRIDOS]:[V_FUT_UTEIS]], J$5, FALSE)</f>
        <v>#N/A</v>
      </c>
      <c r="K7" s="22" t="e">
        <f>VLOOKUP($A7, TAB_CORRECAO_C[[DIAS_CORRIDOS]:[V_FUT_UTEIS]],K$5, FALSE)</f>
        <v>#N/A</v>
      </c>
      <c r="L7" s="22" t="e">
        <f>VLOOKUP($A7, TAB_AMORTIZACAO_C[[DIAS_CORRIDOS]:[V_FUT_UTEIS]], L$5, FALSE)</f>
        <v>#N/A</v>
      </c>
      <c r="N7" s="1">
        <f>SUM('Cálculo PU'!U334:U462)</f>
        <v>37793.426310032613</v>
      </c>
    </row>
    <row r="8" spans="1:14" hidden="1">
      <c r="A8" s="19">
        <f t="shared" si="0"/>
        <v>2</v>
      </c>
      <c r="B8" s="20">
        <f t="shared" ref="B8" si="1">IF(ISERROR(C8), 0, C8)</f>
        <v>0</v>
      </c>
      <c r="C8" s="21">
        <f t="shared" ref="C8" si="2">SUMIF(D8:F8, "&gt;0", D8:F8)</f>
        <v>0</v>
      </c>
      <c r="D8" s="22" t="e">
        <f>VLOOKUP($A8, TAB_JUROS_U[[Q_DIAS_U_PARC_TIR]:[V_FUT_U_JURS CENARIO]], D$5, FALSE)</f>
        <v>#N/A</v>
      </c>
      <c r="E8" s="22" t="e">
        <f>VLOOKUP($A8,TAB_CORRECAO_U[[Q_DIAS_U_PARC_TIR]:[V_FUT_U_CORC-02]],E$5, FALSE)</f>
        <v>#N/A</v>
      </c>
      <c r="F8" s="22" t="e">
        <f>VLOOKUP($A8,TAB_AMORTIZACAO_U[[Q_DIAS_U_PARC_TIR]:[V_FUT_U_PCPL-02]], F$5, FALSE)</f>
        <v>#N/A</v>
      </c>
      <c r="H8" s="20">
        <f t="shared" ref="H8" si="3">IF(ISERROR(I8), 0, I8)</f>
        <v>0</v>
      </c>
      <c r="I8" s="21">
        <f t="shared" ref="I8" si="4">SUMIF(J8:L8, "&gt;0", J8:L8)</f>
        <v>0</v>
      </c>
      <c r="J8" s="22" t="e">
        <f>VLOOKUP($A8, TAB_JUROS_C[[DIAS_CORRIDOS]:[V_FUT_UTEIS]], J$5, FALSE)</f>
        <v>#N/A</v>
      </c>
      <c r="K8" s="22" t="e">
        <f>VLOOKUP($A8, TAB_CORRECAO_C[[DIAS_CORRIDOS]:[V_FUT_UTEIS]],K$5, FALSE)</f>
        <v>#N/A</v>
      </c>
      <c r="L8" s="22" t="e">
        <f>VLOOKUP($A8, TAB_AMORTIZACAO_C[[DIAS_CORRIDOS]:[V_FUT_UTEIS]], L$5, FALSE)</f>
        <v>#N/A</v>
      </c>
      <c r="N8" s="1">
        <f>SUM('Cálculo PU'!U58:U168)</f>
        <v>3317.6183854901738</v>
      </c>
    </row>
    <row r="9" spans="1:14" hidden="1">
      <c r="A9" s="19">
        <f t="shared" si="0"/>
        <v>3</v>
      </c>
      <c r="B9" s="20">
        <f t="shared" ref="B9:B72" si="5">IF(ISERROR(C9), 0, C9)</f>
        <v>0</v>
      </c>
      <c r="C9" s="21">
        <f t="shared" ref="C9:C72" si="6">SUMIF(D9:F9, "&gt;0", D9:F9)</f>
        <v>0</v>
      </c>
      <c r="D9" s="22" t="e">
        <f>VLOOKUP($A9, TAB_JUROS_U[[Q_DIAS_U_PARC_TIR]:[V_FUT_U_JURS CENARIO]], D$5, FALSE)</f>
        <v>#N/A</v>
      </c>
      <c r="E9" s="22" t="e">
        <f>VLOOKUP($A9,TAB_CORRECAO_U[[Q_DIAS_U_PARC_TIR]:[V_FUT_U_CORC-02]],E$5, FALSE)</f>
        <v>#N/A</v>
      </c>
      <c r="F9" s="22" t="e">
        <f>VLOOKUP($A9,TAB_AMORTIZACAO_U[[Q_DIAS_U_PARC_TIR]:[V_FUT_U_PCPL-02]], F$5, FALSE)</f>
        <v>#N/A</v>
      </c>
      <c r="H9" s="20">
        <f t="shared" ref="H9:H72" si="7">IF(ISERROR(I9), 0, I9)</f>
        <v>0</v>
      </c>
      <c r="I9" s="21">
        <f t="shared" ref="I9:I72" si="8">SUMIF(J9:L9, "&gt;0", J9:L9)</f>
        <v>0</v>
      </c>
      <c r="J9" s="22" t="e">
        <f>VLOOKUP($A9, TAB_JUROS_C[[DIAS_CORRIDOS]:[V_FUT_UTEIS]], J$5, FALSE)</f>
        <v>#N/A</v>
      </c>
      <c r="K9" s="22" t="e">
        <f>VLOOKUP($A9, TAB_CORRECAO_C[[DIAS_CORRIDOS]:[V_FUT_UTEIS]],K$5, FALSE)</f>
        <v>#N/A</v>
      </c>
      <c r="L9" s="22" t="e">
        <f>VLOOKUP($A9, TAB_AMORTIZACAO_C[[DIAS_CORRIDOS]:[V_FUT_UTEIS]], L$5, FALSE)</f>
        <v>#N/A</v>
      </c>
      <c r="N9" s="1">
        <f>SUM(TAB_CORRECAO_U[V_FUT_U_CORC-02])</f>
        <v>49757.888476762855</v>
      </c>
    </row>
    <row r="10" spans="1:14" hidden="1">
      <c r="A10" s="19">
        <f t="shared" ref="A10:A73" si="9">A9+1</f>
        <v>4</v>
      </c>
      <c r="B10" s="20">
        <f t="shared" si="5"/>
        <v>0</v>
      </c>
      <c r="C10" s="21">
        <f t="shared" si="6"/>
        <v>0</v>
      </c>
      <c r="D10" s="22" t="e">
        <f>VLOOKUP($A10, TAB_JUROS_U[[Q_DIAS_U_PARC_TIR]:[V_FUT_U_JURS CENARIO]], D$5, FALSE)</f>
        <v>#N/A</v>
      </c>
      <c r="E10" s="22" t="e">
        <f>VLOOKUP($A10,TAB_CORRECAO_U[[Q_DIAS_U_PARC_TIR]:[V_FUT_U_CORC-02]],E$5, FALSE)</f>
        <v>#N/A</v>
      </c>
      <c r="F10" s="22" t="e">
        <f>VLOOKUP($A10,TAB_AMORTIZACAO_U[[Q_DIAS_U_PARC_TIR]:[V_FUT_U_PCPL-02]], F$5, FALSE)</f>
        <v>#N/A</v>
      </c>
      <c r="H10" s="20">
        <f t="shared" si="7"/>
        <v>0</v>
      </c>
      <c r="I10" s="21">
        <f t="shared" si="8"/>
        <v>0</v>
      </c>
      <c r="J10" s="22" t="e">
        <f>VLOOKUP($A10, TAB_JUROS_C[[DIAS_CORRIDOS]:[V_FUT_UTEIS]], J$5, FALSE)</f>
        <v>#N/A</v>
      </c>
      <c r="K10" s="22" t="e">
        <f>VLOOKUP($A10, TAB_CORRECAO_C[[DIAS_CORRIDOS]:[V_FUT_UTEIS]],K$5, FALSE)</f>
        <v>#N/A</v>
      </c>
      <c r="L10" s="22" t="e">
        <f>VLOOKUP($A10, TAB_AMORTIZACAO_C[[DIAS_CORRIDOS]:[V_FUT_UTEIS]], L$5, FALSE)</f>
        <v>#N/A</v>
      </c>
    </row>
    <row r="11" spans="1:14" hidden="1">
      <c r="A11" s="19">
        <f t="shared" si="9"/>
        <v>5</v>
      </c>
      <c r="B11" s="20">
        <f t="shared" si="5"/>
        <v>0</v>
      </c>
      <c r="C11" s="21">
        <f t="shared" si="6"/>
        <v>0</v>
      </c>
      <c r="D11" s="22" t="e">
        <f>VLOOKUP($A11, TAB_JUROS_U[[Q_DIAS_U_PARC_TIR]:[V_FUT_U_JURS CENARIO]], D$5, FALSE)</f>
        <v>#N/A</v>
      </c>
      <c r="E11" s="22" t="e">
        <f>VLOOKUP($A11,TAB_CORRECAO_U[[Q_DIAS_U_PARC_TIR]:[V_FUT_U_CORC-02]],E$5, FALSE)</f>
        <v>#N/A</v>
      </c>
      <c r="F11" s="22" t="e">
        <f>VLOOKUP($A11,TAB_AMORTIZACAO_U[[Q_DIAS_U_PARC_TIR]:[V_FUT_U_PCPL-02]], F$5, FALSE)</f>
        <v>#N/A</v>
      </c>
      <c r="H11" s="20">
        <f t="shared" si="7"/>
        <v>0</v>
      </c>
      <c r="I11" s="21">
        <f t="shared" si="8"/>
        <v>0</v>
      </c>
      <c r="J11" s="22" t="e">
        <f>VLOOKUP($A11, TAB_JUROS_C[[DIAS_CORRIDOS]:[V_FUT_UTEIS]], J$5, FALSE)</f>
        <v>#N/A</v>
      </c>
      <c r="K11" s="22" t="e">
        <f>VLOOKUP($A11, TAB_CORRECAO_C[[DIAS_CORRIDOS]:[V_FUT_UTEIS]],K$5, FALSE)</f>
        <v>#N/A</v>
      </c>
      <c r="L11" s="22" t="e">
        <f>VLOOKUP($A11, TAB_AMORTIZACAO_C[[DIAS_CORRIDOS]:[V_FUT_UTEIS]], L$5, FALSE)</f>
        <v>#N/A</v>
      </c>
      <c r="N11" s="1">
        <f>SUM(N7:N9)</f>
        <v>90868.933172285644</v>
      </c>
    </row>
    <row r="12" spans="1:14" hidden="1">
      <c r="A12" s="19">
        <f t="shared" si="9"/>
        <v>6</v>
      </c>
      <c r="B12" s="20">
        <f t="shared" si="5"/>
        <v>0</v>
      </c>
      <c r="C12" s="21">
        <f t="shared" si="6"/>
        <v>0</v>
      </c>
      <c r="D12" s="22" t="e">
        <f>VLOOKUP($A12, TAB_JUROS_U[[Q_DIAS_U_PARC_TIR]:[V_FUT_U_JURS CENARIO]], D$5, FALSE)</f>
        <v>#N/A</v>
      </c>
      <c r="E12" s="22" t="e">
        <f>VLOOKUP($A12,TAB_CORRECAO_U[[Q_DIAS_U_PARC_TIR]:[V_FUT_U_CORC-02]],E$5, FALSE)</f>
        <v>#N/A</v>
      </c>
      <c r="F12" s="22" t="e">
        <f>VLOOKUP($A12,TAB_AMORTIZACAO_U[[Q_DIAS_U_PARC_TIR]:[V_FUT_U_PCPL-02]], F$5, FALSE)</f>
        <v>#N/A</v>
      </c>
      <c r="H12" s="20">
        <f t="shared" si="7"/>
        <v>0</v>
      </c>
      <c r="I12" s="21">
        <f t="shared" si="8"/>
        <v>0</v>
      </c>
      <c r="J12" s="22" t="e">
        <f>VLOOKUP($A12, TAB_JUROS_C[[DIAS_CORRIDOS]:[V_FUT_UTEIS]], J$5, FALSE)</f>
        <v>#N/A</v>
      </c>
      <c r="K12" s="22" t="e">
        <f>VLOOKUP($A12, TAB_CORRECAO_C[[DIAS_CORRIDOS]:[V_FUT_UTEIS]],K$5, FALSE)</f>
        <v>#N/A</v>
      </c>
      <c r="L12" s="22" t="e">
        <f>VLOOKUP($A12, TAB_AMORTIZACAO_C[[DIAS_CORRIDOS]:[V_FUT_UTEIS]], L$5, FALSE)</f>
        <v>#N/A</v>
      </c>
      <c r="N12" s="174">
        <f>IRR(N6:N9,0)</f>
        <v>-4.5422529242980847E-2</v>
      </c>
    </row>
    <row r="13" spans="1:14" hidden="1">
      <c r="A13" s="19">
        <f t="shared" si="9"/>
        <v>7</v>
      </c>
      <c r="B13" s="20">
        <f t="shared" si="5"/>
        <v>0</v>
      </c>
      <c r="C13" s="21">
        <f t="shared" si="6"/>
        <v>0</v>
      </c>
      <c r="D13" s="22" t="e">
        <f>VLOOKUP($A13, TAB_JUROS_U[[Q_DIAS_U_PARC_TIR]:[V_FUT_U_JURS CENARIO]], D$5, FALSE)</f>
        <v>#N/A</v>
      </c>
      <c r="E13" s="22" t="e">
        <f>VLOOKUP($A13,TAB_CORRECAO_U[[Q_DIAS_U_PARC_TIR]:[V_FUT_U_CORC-02]],E$5, FALSE)</f>
        <v>#N/A</v>
      </c>
      <c r="F13" s="22" t="e">
        <f>VLOOKUP($A13,TAB_AMORTIZACAO_U[[Q_DIAS_U_PARC_TIR]:[V_FUT_U_PCPL-02]], F$5, FALSE)</f>
        <v>#N/A</v>
      </c>
      <c r="H13" s="20">
        <f t="shared" si="7"/>
        <v>0</v>
      </c>
      <c r="I13" s="21">
        <f t="shared" si="8"/>
        <v>0</v>
      </c>
      <c r="J13" s="22" t="e">
        <f>VLOOKUP($A13, TAB_JUROS_C[[DIAS_CORRIDOS]:[V_FUT_UTEIS]], J$5, FALSE)</f>
        <v>#N/A</v>
      </c>
      <c r="K13" s="22" t="e">
        <f>VLOOKUP($A13, TAB_CORRECAO_C[[DIAS_CORRIDOS]:[V_FUT_UTEIS]],K$5, FALSE)</f>
        <v>#N/A</v>
      </c>
      <c r="L13" s="22" t="e">
        <f>VLOOKUP($A13, TAB_AMORTIZACAO_C[[DIAS_CORRIDOS]:[V_FUT_UTEIS]], L$5, FALSE)</f>
        <v>#N/A</v>
      </c>
    </row>
    <row r="14" spans="1:14" hidden="1">
      <c r="A14" s="19">
        <f t="shared" si="9"/>
        <v>8</v>
      </c>
      <c r="B14" s="20">
        <f t="shared" si="5"/>
        <v>0</v>
      </c>
      <c r="C14" s="21">
        <f t="shared" si="6"/>
        <v>0</v>
      </c>
      <c r="D14" s="22" t="e">
        <f>VLOOKUP($A14, TAB_JUROS_U[[Q_DIAS_U_PARC_TIR]:[V_FUT_U_JURS CENARIO]], D$5, FALSE)</f>
        <v>#N/A</v>
      </c>
      <c r="E14" s="22" t="e">
        <f>VLOOKUP($A14,TAB_CORRECAO_U[[Q_DIAS_U_PARC_TIR]:[V_FUT_U_CORC-02]],E$5, FALSE)</f>
        <v>#N/A</v>
      </c>
      <c r="F14" s="22" t="e">
        <f>VLOOKUP($A14,TAB_AMORTIZACAO_U[[Q_DIAS_U_PARC_TIR]:[V_FUT_U_PCPL-02]], F$5, FALSE)</f>
        <v>#N/A</v>
      </c>
      <c r="H14" s="20">
        <f t="shared" si="7"/>
        <v>0</v>
      </c>
      <c r="I14" s="21">
        <f t="shared" si="8"/>
        <v>0</v>
      </c>
      <c r="J14" s="22" t="e">
        <f>VLOOKUP($A14, TAB_JUROS_C[[DIAS_CORRIDOS]:[V_FUT_UTEIS]], J$5, FALSE)</f>
        <v>#N/A</v>
      </c>
      <c r="K14" s="22" t="e">
        <f>VLOOKUP($A14, TAB_CORRECAO_C[[DIAS_CORRIDOS]:[V_FUT_UTEIS]],K$5, FALSE)</f>
        <v>#N/A</v>
      </c>
      <c r="L14" s="22" t="e">
        <f>VLOOKUP($A14, TAB_AMORTIZACAO_C[[DIAS_CORRIDOS]:[V_FUT_UTEIS]], L$5, FALSE)</f>
        <v>#N/A</v>
      </c>
    </row>
    <row r="15" spans="1:14" hidden="1">
      <c r="A15" s="19">
        <f t="shared" si="9"/>
        <v>9</v>
      </c>
      <c r="B15" s="20">
        <f t="shared" si="5"/>
        <v>0</v>
      </c>
      <c r="C15" s="21">
        <f t="shared" si="6"/>
        <v>0</v>
      </c>
      <c r="D15" s="22" t="e">
        <f>VLOOKUP($A15, TAB_JUROS_U[[Q_DIAS_U_PARC_TIR]:[V_FUT_U_JURS CENARIO]], D$5, FALSE)</f>
        <v>#N/A</v>
      </c>
      <c r="E15" s="22" t="e">
        <f>VLOOKUP($A15,TAB_CORRECAO_U[[Q_DIAS_U_PARC_TIR]:[V_FUT_U_CORC-02]],E$5, FALSE)</f>
        <v>#N/A</v>
      </c>
      <c r="F15" s="22" t="e">
        <f>VLOOKUP($A15,TAB_AMORTIZACAO_U[[Q_DIAS_U_PARC_TIR]:[V_FUT_U_PCPL-02]], F$5, FALSE)</f>
        <v>#N/A</v>
      </c>
      <c r="H15" s="20">
        <f t="shared" si="7"/>
        <v>0</v>
      </c>
      <c r="I15" s="21">
        <f t="shared" si="8"/>
        <v>0</v>
      </c>
      <c r="J15" s="22" t="e">
        <f>VLOOKUP($A15, TAB_JUROS_C[[DIAS_CORRIDOS]:[V_FUT_UTEIS]], J$5, FALSE)</f>
        <v>#N/A</v>
      </c>
      <c r="K15" s="22" t="e">
        <f>VLOOKUP($A15, TAB_CORRECAO_C[[DIAS_CORRIDOS]:[V_FUT_UTEIS]],K$5, FALSE)</f>
        <v>#N/A</v>
      </c>
      <c r="L15" s="22" t="e">
        <f>VLOOKUP($A15, TAB_AMORTIZACAO_C[[DIAS_CORRIDOS]:[V_FUT_UTEIS]], L$5, FALSE)</f>
        <v>#N/A</v>
      </c>
    </row>
    <row r="16" spans="1:14" hidden="1">
      <c r="A16" s="19">
        <f t="shared" si="9"/>
        <v>10</v>
      </c>
      <c r="B16" s="20">
        <f t="shared" si="5"/>
        <v>0</v>
      </c>
      <c r="C16" s="21">
        <f t="shared" si="6"/>
        <v>0</v>
      </c>
      <c r="D16" s="22" t="e">
        <f>VLOOKUP($A16, TAB_JUROS_U[[Q_DIAS_U_PARC_TIR]:[V_FUT_U_JURS CENARIO]], D$5, FALSE)</f>
        <v>#N/A</v>
      </c>
      <c r="E16" s="22" t="e">
        <f>VLOOKUP($A16,TAB_CORRECAO_U[[Q_DIAS_U_PARC_TIR]:[V_FUT_U_CORC-02]],E$5, FALSE)</f>
        <v>#N/A</v>
      </c>
      <c r="F16" s="22" t="e">
        <f>VLOOKUP($A16,TAB_AMORTIZACAO_U[[Q_DIAS_U_PARC_TIR]:[V_FUT_U_PCPL-02]], F$5, FALSE)</f>
        <v>#N/A</v>
      </c>
      <c r="H16" s="20">
        <f t="shared" si="7"/>
        <v>0</v>
      </c>
      <c r="I16" s="21">
        <f t="shared" si="8"/>
        <v>0</v>
      </c>
      <c r="J16" s="22" t="e">
        <f>VLOOKUP($A16, TAB_JUROS_C[[DIAS_CORRIDOS]:[V_FUT_UTEIS]], J$5, FALSE)</f>
        <v>#N/A</v>
      </c>
      <c r="K16" s="22" t="e">
        <f>VLOOKUP($A16, TAB_CORRECAO_C[[DIAS_CORRIDOS]:[V_FUT_UTEIS]],K$5, FALSE)</f>
        <v>#N/A</v>
      </c>
      <c r="L16" s="22" t="e">
        <f>VLOOKUP($A16, TAB_AMORTIZACAO_C[[DIAS_CORRIDOS]:[V_FUT_UTEIS]], L$5, FALSE)</f>
        <v>#N/A</v>
      </c>
    </row>
    <row r="17" spans="1:18" hidden="1">
      <c r="A17" s="19">
        <f t="shared" si="9"/>
        <v>11</v>
      </c>
      <c r="B17" s="20">
        <f t="shared" si="5"/>
        <v>0</v>
      </c>
      <c r="C17" s="21">
        <f t="shared" si="6"/>
        <v>0</v>
      </c>
      <c r="D17" s="22" t="e">
        <f>VLOOKUP($A17, TAB_JUROS_U[[Q_DIAS_U_PARC_TIR]:[V_FUT_U_JURS CENARIO]], D$5, FALSE)</f>
        <v>#N/A</v>
      </c>
      <c r="E17" s="22" t="e">
        <f>VLOOKUP($A17,TAB_CORRECAO_U[[Q_DIAS_U_PARC_TIR]:[V_FUT_U_CORC-02]],E$5, FALSE)</f>
        <v>#N/A</v>
      </c>
      <c r="F17" s="22" t="e">
        <f>VLOOKUP($A17,TAB_AMORTIZACAO_U[[Q_DIAS_U_PARC_TIR]:[V_FUT_U_PCPL-02]], F$5, FALSE)</f>
        <v>#N/A</v>
      </c>
      <c r="H17" s="20">
        <f t="shared" si="7"/>
        <v>0</v>
      </c>
      <c r="I17" s="21">
        <f t="shared" si="8"/>
        <v>0</v>
      </c>
      <c r="J17" s="22" t="e">
        <f>VLOOKUP($A17, TAB_JUROS_C[[DIAS_CORRIDOS]:[V_FUT_UTEIS]], J$5, FALSE)</f>
        <v>#N/A</v>
      </c>
      <c r="K17" s="22" t="e">
        <f>VLOOKUP($A17, TAB_CORRECAO_C[[DIAS_CORRIDOS]:[V_FUT_UTEIS]],K$5, FALSE)</f>
        <v>#N/A</v>
      </c>
      <c r="L17" s="22" t="e">
        <f>VLOOKUP($A17, TAB_AMORTIZACAO_C[[DIAS_CORRIDOS]:[V_FUT_UTEIS]], L$5, FALSE)</f>
        <v>#N/A</v>
      </c>
    </row>
    <row r="18" spans="1:18" hidden="1">
      <c r="A18" s="19">
        <f t="shared" si="9"/>
        <v>12</v>
      </c>
      <c r="B18" s="20">
        <f t="shared" si="5"/>
        <v>0</v>
      </c>
      <c r="C18" s="21">
        <f t="shared" si="6"/>
        <v>0</v>
      </c>
      <c r="D18" s="22" t="e">
        <f>VLOOKUP($A18, TAB_JUROS_U[[Q_DIAS_U_PARC_TIR]:[V_FUT_U_JURS CENARIO]], D$5, FALSE)</f>
        <v>#N/A</v>
      </c>
      <c r="E18" s="22" t="e">
        <f>VLOOKUP($A18,TAB_CORRECAO_U[[Q_DIAS_U_PARC_TIR]:[V_FUT_U_CORC-02]],E$5, FALSE)</f>
        <v>#N/A</v>
      </c>
      <c r="F18" s="22" t="e">
        <f>VLOOKUP($A18,TAB_AMORTIZACAO_U[[Q_DIAS_U_PARC_TIR]:[V_FUT_U_PCPL-02]], F$5, FALSE)</f>
        <v>#N/A</v>
      </c>
      <c r="H18" s="20">
        <f t="shared" si="7"/>
        <v>0</v>
      </c>
      <c r="I18" s="21">
        <f t="shared" si="8"/>
        <v>0</v>
      </c>
      <c r="J18" s="22" t="e">
        <f>VLOOKUP($A18, TAB_JUROS_C[[DIAS_CORRIDOS]:[V_FUT_UTEIS]], J$5, FALSE)</f>
        <v>#N/A</v>
      </c>
      <c r="K18" s="22" t="e">
        <f>VLOOKUP($A18, TAB_CORRECAO_C[[DIAS_CORRIDOS]:[V_FUT_UTEIS]],K$5, FALSE)</f>
        <v>#N/A</v>
      </c>
      <c r="L18" s="22" t="e">
        <f>VLOOKUP($A18, TAB_AMORTIZACAO_C[[DIAS_CORRIDOS]:[V_FUT_UTEIS]], L$5, FALSE)</f>
        <v>#N/A</v>
      </c>
    </row>
    <row r="19" spans="1:18">
      <c r="A19" s="19">
        <f t="shared" si="9"/>
        <v>13</v>
      </c>
      <c r="B19" s="20">
        <f t="shared" si="5"/>
        <v>2249.1693572439808</v>
      </c>
      <c r="C19" s="21">
        <f t="shared" si="6"/>
        <v>2249.1693572439808</v>
      </c>
      <c r="D19" s="22">
        <f>VLOOKUP($A19, TAB_JUROS_U[[Q_DIAS_U_PARC_TIR]:[V_FUT_U_JURS CENARIO]], D$5, FALSE)</f>
        <v>196.88277442581261</v>
      </c>
      <c r="E19" s="22">
        <f>VLOOKUP($A19,TAB_CORRECAO_U[[Q_DIAS_U_PARC_TIR]:[V_FUT_U_CORC-02]],E$5, FALSE)</f>
        <v>1051.5970163435441</v>
      </c>
      <c r="F19" s="22">
        <f>VLOOKUP($A19,TAB_AMORTIZACAO_U[[Q_DIAS_U_PARC_TIR]:[V_FUT_U_PCPL-02]], F$5, FALSE)</f>
        <v>1000.6895664746243</v>
      </c>
      <c r="H19" s="20">
        <f t="shared" si="7"/>
        <v>0</v>
      </c>
      <c r="I19" s="21">
        <f t="shared" si="8"/>
        <v>0</v>
      </c>
      <c r="J19" s="22" t="e">
        <f>VLOOKUP($A19, TAB_JUROS_C[[DIAS_CORRIDOS]:[V_FUT_UTEIS]], J$5, FALSE)</f>
        <v>#N/A</v>
      </c>
      <c r="K19" s="22" t="e">
        <f>VLOOKUP($A19, TAB_CORRECAO_C[[DIAS_CORRIDOS]:[V_FUT_UTEIS]],K$5, FALSE)</f>
        <v>#N/A</v>
      </c>
      <c r="L19" s="22" t="e">
        <f>VLOOKUP($A19, TAB_AMORTIZACAO_C[[DIAS_CORRIDOS]:[V_FUT_UTEIS]], L$5, FALSE)</f>
        <v>#N/A</v>
      </c>
    </row>
    <row r="20" spans="1:18" hidden="1">
      <c r="A20" s="19">
        <f t="shared" si="9"/>
        <v>14</v>
      </c>
      <c r="B20" s="20">
        <f t="shared" si="5"/>
        <v>0</v>
      </c>
      <c r="C20" s="21">
        <f t="shared" si="6"/>
        <v>0</v>
      </c>
      <c r="D20" s="22" t="e">
        <f>VLOOKUP($A20, TAB_JUROS_U[[Q_DIAS_U_PARC_TIR]:[V_FUT_U_JURS CENARIO]], D$5, FALSE)</f>
        <v>#N/A</v>
      </c>
      <c r="E20" s="22" t="e">
        <f>VLOOKUP($A20,TAB_CORRECAO_U[[Q_DIAS_U_PARC_TIR]:[V_FUT_U_CORC-02]],E$5, FALSE)</f>
        <v>#N/A</v>
      </c>
      <c r="F20" s="22" t="e">
        <f>VLOOKUP($A20,TAB_AMORTIZACAO_U[[Q_DIAS_U_PARC_TIR]:[V_FUT_U_PCPL-02]], F$5, FALSE)</f>
        <v>#N/A</v>
      </c>
      <c r="H20" s="20">
        <f t="shared" si="7"/>
        <v>2249.1693572439808</v>
      </c>
      <c r="I20" s="21">
        <f t="shared" si="8"/>
        <v>2249.1693572439808</v>
      </c>
      <c r="J20" s="22">
        <f>VLOOKUP($A20, TAB_JUROS_C[[DIAS_CORRIDOS]:[V_FUT_UTEIS]], J$5, FALSE)</f>
        <v>196.88277442581261</v>
      </c>
      <c r="K20" s="22">
        <f>VLOOKUP($A20, TAB_CORRECAO_C[[DIAS_CORRIDOS]:[V_FUT_UTEIS]],K$5, FALSE)</f>
        <v>1051.5970163435441</v>
      </c>
      <c r="L20" s="22">
        <f>VLOOKUP($A20, TAB_AMORTIZACAO_C[[DIAS_CORRIDOS]:[V_FUT_UTEIS]], L$5, FALSE)</f>
        <v>1000.6895664746243</v>
      </c>
    </row>
    <row r="21" spans="1:18" hidden="1">
      <c r="A21" s="19">
        <f t="shared" si="9"/>
        <v>15</v>
      </c>
      <c r="B21" s="20">
        <f t="shared" si="5"/>
        <v>0</v>
      </c>
      <c r="C21" s="21">
        <f t="shared" si="6"/>
        <v>0</v>
      </c>
      <c r="D21" s="22" t="e">
        <f>VLOOKUP($A21, TAB_JUROS_U[[Q_DIAS_U_PARC_TIR]:[V_FUT_U_JURS CENARIO]], D$5, FALSE)</f>
        <v>#N/A</v>
      </c>
      <c r="E21" s="22" t="e">
        <f>VLOOKUP($A21,TAB_CORRECAO_U[[Q_DIAS_U_PARC_TIR]:[V_FUT_U_CORC-02]],E$5, FALSE)</f>
        <v>#N/A</v>
      </c>
      <c r="F21" s="22" t="e">
        <f>VLOOKUP($A21,TAB_AMORTIZACAO_U[[Q_DIAS_U_PARC_TIR]:[V_FUT_U_PCPL-02]], F$5, FALSE)</f>
        <v>#N/A</v>
      </c>
      <c r="H21" s="20">
        <f t="shared" si="7"/>
        <v>0</v>
      </c>
      <c r="I21" s="21">
        <f t="shared" si="8"/>
        <v>0</v>
      </c>
      <c r="J21" s="22" t="e">
        <f>VLOOKUP($A21, TAB_JUROS_C[[DIAS_CORRIDOS]:[V_FUT_UTEIS]], J$5, FALSE)</f>
        <v>#N/A</v>
      </c>
      <c r="K21" s="22" t="e">
        <f>VLOOKUP($A21, TAB_CORRECAO_C[[DIAS_CORRIDOS]:[V_FUT_UTEIS]],K$5, FALSE)</f>
        <v>#N/A</v>
      </c>
      <c r="L21" s="22" t="e">
        <f>VLOOKUP($A21, TAB_AMORTIZACAO_C[[DIAS_CORRIDOS]:[V_FUT_UTEIS]], L$5, FALSE)</f>
        <v>#N/A</v>
      </c>
      <c r="R21" s="176"/>
    </row>
    <row r="22" spans="1:18" hidden="1">
      <c r="A22" s="19">
        <f t="shared" si="9"/>
        <v>16</v>
      </c>
      <c r="B22" s="20">
        <f t="shared" si="5"/>
        <v>0</v>
      </c>
      <c r="C22" s="21">
        <f t="shared" si="6"/>
        <v>0</v>
      </c>
      <c r="D22" s="22" t="e">
        <f>VLOOKUP($A22, TAB_JUROS_U[[Q_DIAS_U_PARC_TIR]:[V_FUT_U_JURS CENARIO]], D$5, FALSE)</f>
        <v>#N/A</v>
      </c>
      <c r="E22" s="22" t="e">
        <f>VLOOKUP($A22,TAB_CORRECAO_U[[Q_DIAS_U_PARC_TIR]:[V_FUT_U_CORC-02]],E$5, FALSE)</f>
        <v>#N/A</v>
      </c>
      <c r="F22" s="22" t="e">
        <f>VLOOKUP($A22,TAB_AMORTIZACAO_U[[Q_DIAS_U_PARC_TIR]:[V_FUT_U_PCPL-02]], F$5, FALSE)</f>
        <v>#N/A</v>
      </c>
      <c r="H22" s="20">
        <f t="shared" si="7"/>
        <v>0</v>
      </c>
      <c r="I22" s="21">
        <f t="shared" si="8"/>
        <v>0</v>
      </c>
      <c r="J22" s="22" t="e">
        <f>VLOOKUP($A22, TAB_JUROS_C[[DIAS_CORRIDOS]:[V_FUT_UTEIS]], J$5, FALSE)</f>
        <v>#N/A</v>
      </c>
      <c r="K22" s="22" t="e">
        <f>VLOOKUP($A22, TAB_CORRECAO_C[[DIAS_CORRIDOS]:[V_FUT_UTEIS]],K$5, FALSE)</f>
        <v>#N/A</v>
      </c>
      <c r="L22" s="22" t="e">
        <f>VLOOKUP($A22, TAB_AMORTIZACAO_C[[DIAS_CORRIDOS]:[V_FUT_UTEIS]], L$5, FALSE)</f>
        <v>#N/A</v>
      </c>
      <c r="R22" s="175"/>
    </row>
    <row r="23" spans="1:18" hidden="1">
      <c r="A23" s="19">
        <f t="shared" si="9"/>
        <v>17</v>
      </c>
      <c r="B23" s="20">
        <f t="shared" si="5"/>
        <v>0</v>
      </c>
      <c r="C23" s="21">
        <f t="shared" si="6"/>
        <v>0</v>
      </c>
      <c r="D23" s="22" t="e">
        <f>VLOOKUP($A23, TAB_JUROS_U[[Q_DIAS_U_PARC_TIR]:[V_FUT_U_JURS CENARIO]], D$5, FALSE)</f>
        <v>#N/A</v>
      </c>
      <c r="E23" s="22" t="e">
        <f>VLOOKUP($A23,TAB_CORRECAO_U[[Q_DIAS_U_PARC_TIR]:[V_FUT_U_CORC-02]],E$5, FALSE)</f>
        <v>#N/A</v>
      </c>
      <c r="F23" s="22" t="e">
        <f>VLOOKUP($A23,TAB_AMORTIZACAO_U[[Q_DIAS_U_PARC_TIR]:[V_FUT_U_PCPL-02]], F$5, FALSE)</f>
        <v>#N/A</v>
      </c>
      <c r="H23" s="20">
        <f t="shared" si="7"/>
        <v>0</v>
      </c>
      <c r="I23" s="21">
        <f t="shared" si="8"/>
        <v>0</v>
      </c>
      <c r="J23" s="22" t="e">
        <f>VLOOKUP($A23, TAB_JUROS_C[[DIAS_CORRIDOS]:[V_FUT_UTEIS]], J$5, FALSE)</f>
        <v>#N/A</v>
      </c>
      <c r="K23" s="22" t="e">
        <f>VLOOKUP($A23, TAB_CORRECAO_C[[DIAS_CORRIDOS]:[V_FUT_UTEIS]],K$5, FALSE)</f>
        <v>#N/A</v>
      </c>
      <c r="L23" s="22" t="e">
        <f>VLOOKUP($A23, TAB_AMORTIZACAO_C[[DIAS_CORRIDOS]:[V_FUT_UTEIS]], L$5, FALSE)</f>
        <v>#N/A</v>
      </c>
    </row>
    <row r="24" spans="1:18" hidden="1">
      <c r="A24" s="19">
        <f t="shared" si="9"/>
        <v>18</v>
      </c>
      <c r="B24" s="20">
        <f t="shared" si="5"/>
        <v>0</v>
      </c>
      <c r="C24" s="21">
        <f t="shared" si="6"/>
        <v>0</v>
      </c>
      <c r="D24" s="22" t="e">
        <f>VLOOKUP($A24, TAB_JUROS_U[[Q_DIAS_U_PARC_TIR]:[V_FUT_U_JURS CENARIO]], D$5, FALSE)</f>
        <v>#N/A</v>
      </c>
      <c r="E24" s="22" t="e">
        <f>VLOOKUP($A24,TAB_CORRECAO_U[[Q_DIAS_U_PARC_TIR]:[V_FUT_U_CORC-02]],E$5, FALSE)</f>
        <v>#N/A</v>
      </c>
      <c r="F24" s="22" t="e">
        <f>VLOOKUP($A24,TAB_AMORTIZACAO_U[[Q_DIAS_U_PARC_TIR]:[V_FUT_U_PCPL-02]], F$5, FALSE)</f>
        <v>#N/A</v>
      </c>
      <c r="H24" s="20">
        <f t="shared" si="7"/>
        <v>0</v>
      </c>
      <c r="I24" s="21">
        <f t="shared" si="8"/>
        <v>0</v>
      </c>
      <c r="J24" s="22" t="e">
        <f>VLOOKUP($A24, TAB_JUROS_C[[DIAS_CORRIDOS]:[V_FUT_UTEIS]], J$5, FALSE)</f>
        <v>#N/A</v>
      </c>
      <c r="K24" s="22" t="e">
        <f>VLOOKUP($A24, TAB_CORRECAO_C[[DIAS_CORRIDOS]:[V_FUT_UTEIS]],K$5, FALSE)</f>
        <v>#N/A</v>
      </c>
      <c r="L24" s="22" t="e">
        <f>VLOOKUP($A24, TAB_AMORTIZACAO_C[[DIAS_CORRIDOS]:[V_FUT_UTEIS]], L$5, FALSE)</f>
        <v>#N/A</v>
      </c>
    </row>
    <row r="25" spans="1:18" hidden="1">
      <c r="A25" s="19">
        <f t="shared" si="9"/>
        <v>19</v>
      </c>
      <c r="B25" s="20">
        <f t="shared" si="5"/>
        <v>0</v>
      </c>
      <c r="C25" s="21">
        <f t="shared" si="6"/>
        <v>0</v>
      </c>
      <c r="D25" s="22" t="e">
        <f>VLOOKUP($A25, TAB_JUROS_U[[Q_DIAS_U_PARC_TIR]:[V_FUT_U_JURS CENARIO]], D$5, FALSE)</f>
        <v>#N/A</v>
      </c>
      <c r="E25" s="22" t="e">
        <f>VLOOKUP($A25,TAB_CORRECAO_U[[Q_DIAS_U_PARC_TIR]:[V_FUT_U_CORC-02]],E$5, FALSE)</f>
        <v>#N/A</v>
      </c>
      <c r="F25" s="22" t="e">
        <f>VLOOKUP($A25,TAB_AMORTIZACAO_U[[Q_DIAS_U_PARC_TIR]:[V_FUT_U_PCPL-02]], F$5, FALSE)</f>
        <v>#N/A</v>
      </c>
      <c r="H25" s="20">
        <f t="shared" si="7"/>
        <v>0</v>
      </c>
      <c r="I25" s="21">
        <f t="shared" si="8"/>
        <v>0</v>
      </c>
      <c r="J25" s="22" t="e">
        <f>VLOOKUP($A25, TAB_JUROS_C[[DIAS_CORRIDOS]:[V_FUT_UTEIS]], J$5, FALSE)</f>
        <v>#N/A</v>
      </c>
      <c r="K25" s="22" t="e">
        <f>VLOOKUP($A25, TAB_CORRECAO_C[[DIAS_CORRIDOS]:[V_FUT_UTEIS]],K$5, FALSE)</f>
        <v>#N/A</v>
      </c>
      <c r="L25" s="22" t="e">
        <f>VLOOKUP($A25, TAB_AMORTIZACAO_C[[DIAS_CORRIDOS]:[V_FUT_UTEIS]], L$5, FALSE)</f>
        <v>#N/A</v>
      </c>
    </row>
    <row r="26" spans="1:18" hidden="1">
      <c r="A26" s="19">
        <f t="shared" si="9"/>
        <v>20</v>
      </c>
      <c r="B26" s="20">
        <f t="shared" si="5"/>
        <v>0</v>
      </c>
      <c r="C26" s="21">
        <f t="shared" si="6"/>
        <v>0</v>
      </c>
      <c r="D26" s="22" t="e">
        <f>VLOOKUP($A26, TAB_JUROS_U[[Q_DIAS_U_PARC_TIR]:[V_FUT_U_JURS CENARIO]], D$5, FALSE)</f>
        <v>#N/A</v>
      </c>
      <c r="E26" s="22" t="e">
        <f>VLOOKUP($A26,TAB_CORRECAO_U[[Q_DIAS_U_PARC_TIR]:[V_FUT_U_CORC-02]],E$5, FALSE)</f>
        <v>#N/A</v>
      </c>
      <c r="F26" s="22" t="e">
        <f>VLOOKUP($A26,TAB_AMORTIZACAO_U[[Q_DIAS_U_PARC_TIR]:[V_FUT_U_PCPL-02]], F$5, FALSE)</f>
        <v>#N/A</v>
      </c>
      <c r="H26" s="20">
        <f t="shared" si="7"/>
        <v>0</v>
      </c>
      <c r="I26" s="21">
        <f t="shared" si="8"/>
        <v>0</v>
      </c>
      <c r="J26" s="22" t="e">
        <f>VLOOKUP($A26, TAB_JUROS_C[[DIAS_CORRIDOS]:[V_FUT_UTEIS]], J$5, FALSE)</f>
        <v>#N/A</v>
      </c>
      <c r="K26" s="22" t="e">
        <f>VLOOKUP($A26, TAB_CORRECAO_C[[DIAS_CORRIDOS]:[V_FUT_UTEIS]],K$5, FALSE)</f>
        <v>#N/A</v>
      </c>
      <c r="L26" s="22" t="e">
        <f>VLOOKUP($A26, TAB_AMORTIZACAO_C[[DIAS_CORRIDOS]:[V_FUT_UTEIS]], L$5, FALSE)</f>
        <v>#N/A</v>
      </c>
    </row>
    <row r="27" spans="1:18" hidden="1">
      <c r="A27" s="19">
        <f t="shared" si="9"/>
        <v>21</v>
      </c>
      <c r="B27" s="20">
        <f t="shared" si="5"/>
        <v>0</v>
      </c>
      <c r="C27" s="21">
        <f t="shared" si="6"/>
        <v>0</v>
      </c>
      <c r="D27" s="22" t="e">
        <f>VLOOKUP($A27, TAB_JUROS_U[[Q_DIAS_U_PARC_TIR]:[V_FUT_U_JURS CENARIO]], D$5, FALSE)</f>
        <v>#N/A</v>
      </c>
      <c r="E27" s="22" t="e">
        <f>VLOOKUP($A27,TAB_CORRECAO_U[[Q_DIAS_U_PARC_TIR]:[V_FUT_U_CORC-02]],E$5, FALSE)</f>
        <v>#N/A</v>
      </c>
      <c r="F27" s="22" t="e">
        <f>VLOOKUP($A27,TAB_AMORTIZACAO_U[[Q_DIAS_U_PARC_TIR]:[V_FUT_U_PCPL-02]], F$5, FALSE)</f>
        <v>#N/A</v>
      </c>
      <c r="H27" s="20">
        <f t="shared" si="7"/>
        <v>0</v>
      </c>
      <c r="I27" s="21">
        <f t="shared" si="8"/>
        <v>0</v>
      </c>
      <c r="J27" s="22" t="e">
        <f>VLOOKUP($A27, TAB_JUROS_C[[DIAS_CORRIDOS]:[V_FUT_UTEIS]], J$5, FALSE)</f>
        <v>#N/A</v>
      </c>
      <c r="K27" s="22" t="e">
        <f>VLOOKUP($A27, TAB_CORRECAO_C[[DIAS_CORRIDOS]:[V_FUT_UTEIS]],K$5, FALSE)</f>
        <v>#N/A</v>
      </c>
      <c r="L27" s="22" t="e">
        <f>VLOOKUP($A27, TAB_AMORTIZACAO_C[[DIAS_CORRIDOS]:[V_FUT_UTEIS]], L$5, FALSE)</f>
        <v>#N/A</v>
      </c>
    </row>
    <row r="28" spans="1:18" hidden="1">
      <c r="A28" s="19">
        <f t="shared" si="9"/>
        <v>22</v>
      </c>
      <c r="B28" s="20">
        <f t="shared" si="5"/>
        <v>0</v>
      </c>
      <c r="C28" s="21">
        <f t="shared" si="6"/>
        <v>0</v>
      </c>
      <c r="D28" s="22" t="e">
        <f>VLOOKUP($A28, TAB_JUROS_U[[Q_DIAS_U_PARC_TIR]:[V_FUT_U_JURS CENARIO]], D$5, FALSE)</f>
        <v>#N/A</v>
      </c>
      <c r="E28" s="22" t="e">
        <f>VLOOKUP($A28,TAB_CORRECAO_U[[Q_DIAS_U_PARC_TIR]:[V_FUT_U_CORC-02]],E$5, FALSE)</f>
        <v>#N/A</v>
      </c>
      <c r="F28" s="22" t="e">
        <f>VLOOKUP($A28,TAB_AMORTIZACAO_U[[Q_DIAS_U_PARC_TIR]:[V_FUT_U_PCPL-02]], F$5, FALSE)</f>
        <v>#N/A</v>
      </c>
      <c r="H28" s="20">
        <f t="shared" si="7"/>
        <v>0</v>
      </c>
      <c r="I28" s="21">
        <f t="shared" si="8"/>
        <v>0</v>
      </c>
      <c r="J28" s="22" t="e">
        <f>VLOOKUP($A28, TAB_JUROS_C[[DIAS_CORRIDOS]:[V_FUT_UTEIS]], J$5, FALSE)</f>
        <v>#N/A</v>
      </c>
      <c r="K28" s="22" t="e">
        <f>VLOOKUP($A28, TAB_CORRECAO_C[[DIAS_CORRIDOS]:[V_FUT_UTEIS]],K$5, FALSE)</f>
        <v>#N/A</v>
      </c>
      <c r="L28" s="22" t="e">
        <f>VLOOKUP($A28, TAB_AMORTIZACAO_C[[DIAS_CORRIDOS]:[V_FUT_UTEIS]], L$5, FALSE)</f>
        <v>#N/A</v>
      </c>
    </row>
    <row r="29" spans="1:18" hidden="1">
      <c r="A29" s="19">
        <f t="shared" si="9"/>
        <v>23</v>
      </c>
      <c r="B29" s="20">
        <f t="shared" si="5"/>
        <v>0</v>
      </c>
      <c r="C29" s="21">
        <f t="shared" si="6"/>
        <v>0</v>
      </c>
      <c r="D29" s="22" t="e">
        <f>VLOOKUP($A29, TAB_JUROS_U[[Q_DIAS_U_PARC_TIR]:[V_FUT_U_JURS CENARIO]], D$5, FALSE)</f>
        <v>#N/A</v>
      </c>
      <c r="E29" s="22" t="e">
        <f>VLOOKUP($A29,TAB_CORRECAO_U[[Q_DIAS_U_PARC_TIR]:[V_FUT_U_CORC-02]],E$5, FALSE)</f>
        <v>#N/A</v>
      </c>
      <c r="F29" s="22" t="e">
        <f>VLOOKUP($A29,TAB_AMORTIZACAO_U[[Q_DIAS_U_PARC_TIR]:[V_FUT_U_PCPL-02]], F$5, FALSE)</f>
        <v>#N/A</v>
      </c>
      <c r="H29" s="20">
        <f t="shared" si="7"/>
        <v>0</v>
      </c>
      <c r="I29" s="21">
        <f t="shared" si="8"/>
        <v>0</v>
      </c>
      <c r="J29" s="22" t="e">
        <f>VLOOKUP($A29, TAB_JUROS_C[[DIAS_CORRIDOS]:[V_FUT_UTEIS]], J$5, FALSE)</f>
        <v>#N/A</v>
      </c>
      <c r="K29" s="22" t="e">
        <f>VLOOKUP($A29, TAB_CORRECAO_C[[DIAS_CORRIDOS]:[V_FUT_UTEIS]],K$5, FALSE)</f>
        <v>#N/A</v>
      </c>
      <c r="L29" s="22" t="e">
        <f>VLOOKUP($A29, TAB_AMORTIZACAO_C[[DIAS_CORRIDOS]:[V_FUT_UTEIS]], L$5, FALSE)</f>
        <v>#N/A</v>
      </c>
    </row>
    <row r="30" spans="1:18" hidden="1">
      <c r="A30" s="19">
        <f t="shared" si="9"/>
        <v>24</v>
      </c>
      <c r="B30" s="20">
        <f t="shared" si="5"/>
        <v>0</v>
      </c>
      <c r="C30" s="21">
        <f t="shared" si="6"/>
        <v>0</v>
      </c>
      <c r="D30" s="22" t="e">
        <f>VLOOKUP($A30, TAB_JUROS_U[[Q_DIAS_U_PARC_TIR]:[V_FUT_U_JURS CENARIO]], D$5, FALSE)</f>
        <v>#N/A</v>
      </c>
      <c r="E30" s="22" t="e">
        <f>VLOOKUP($A30,TAB_CORRECAO_U[[Q_DIAS_U_PARC_TIR]:[V_FUT_U_CORC-02]],E$5, FALSE)</f>
        <v>#N/A</v>
      </c>
      <c r="F30" s="22" t="e">
        <f>VLOOKUP($A30,TAB_AMORTIZACAO_U[[Q_DIAS_U_PARC_TIR]:[V_FUT_U_PCPL-02]], F$5, FALSE)</f>
        <v>#N/A</v>
      </c>
      <c r="H30" s="20">
        <f t="shared" si="7"/>
        <v>0</v>
      </c>
      <c r="I30" s="21">
        <f t="shared" si="8"/>
        <v>0</v>
      </c>
      <c r="J30" s="22" t="e">
        <f>VLOOKUP($A30, TAB_JUROS_C[[DIAS_CORRIDOS]:[V_FUT_UTEIS]], J$5, FALSE)</f>
        <v>#N/A</v>
      </c>
      <c r="K30" s="22" t="e">
        <f>VLOOKUP($A30, TAB_CORRECAO_C[[DIAS_CORRIDOS]:[V_FUT_UTEIS]],K$5, FALSE)</f>
        <v>#N/A</v>
      </c>
      <c r="L30" s="22" t="e">
        <f>VLOOKUP($A30, TAB_AMORTIZACAO_C[[DIAS_CORRIDOS]:[V_FUT_UTEIS]], L$5, FALSE)</f>
        <v>#N/A</v>
      </c>
    </row>
    <row r="31" spans="1:18" hidden="1">
      <c r="A31" s="19">
        <f t="shared" si="9"/>
        <v>25</v>
      </c>
      <c r="B31" s="20">
        <f t="shared" si="5"/>
        <v>0</v>
      </c>
      <c r="C31" s="21">
        <f t="shared" si="6"/>
        <v>0</v>
      </c>
      <c r="D31" s="22" t="e">
        <f>VLOOKUP($A31, TAB_JUROS_U[[Q_DIAS_U_PARC_TIR]:[V_FUT_U_JURS CENARIO]], D$5, FALSE)</f>
        <v>#N/A</v>
      </c>
      <c r="E31" s="22" t="e">
        <f>VLOOKUP($A31,TAB_CORRECAO_U[[Q_DIAS_U_PARC_TIR]:[V_FUT_U_CORC-02]],E$5, FALSE)</f>
        <v>#N/A</v>
      </c>
      <c r="F31" s="22" t="e">
        <f>VLOOKUP($A31,TAB_AMORTIZACAO_U[[Q_DIAS_U_PARC_TIR]:[V_FUT_U_PCPL-02]], F$5, FALSE)</f>
        <v>#N/A</v>
      </c>
      <c r="H31" s="20">
        <f t="shared" si="7"/>
        <v>0</v>
      </c>
      <c r="I31" s="21">
        <f t="shared" si="8"/>
        <v>0</v>
      </c>
      <c r="J31" s="22" t="e">
        <f>VLOOKUP($A31, TAB_JUROS_C[[DIAS_CORRIDOS]:[V_FUT_UTEIS]], J$5, FALSE)</f>
        <v>#N/A</v>
      </c>
      <c r="K31" s="22" t="e">
        <f>VLOOKUP($A31, TAB_CORRECAO_C[[DIAS_CORRIDOS]:[V_FUT_UTEIS]],K$5, FALSE)</f>
        <v>#N/A</v>
      </c>
      <c r="L31" s="22" t="e">
        <f>VLOOKUP($A31, TAB_AMORTIZACAO_C[[DIAS_CORRIDOS]:[V_FUT_UTEIS]], L$5, FALSE)</f>
        <v>#N/A</v>
      </c>
    </row>
    <row r="32" spans="1:18" hidden="1">
      <c r="A32" s="19">
        <f t="shared" si="9"/>
        <v>26</v>
      </c>
      <c r="B32" s="20">
        <f t="shared" si="5"/>
        <v>0</v>
      </c>
      <c r="C32" s="21">
        <f t="shared" si="6"/>
        <v>0</v>
      </c>
      <c r="D32" s="22" t="e">
        <f>VLOOKUP($A32, TAB_JUROS_U[[Q_DIAS_U_PARC_TIR]:[V_FUT_U_JURS CENARIO]], D$5, FALSE)</f>
        <v>#N/A</v>
      </c>
      <c r="E32" s="22" t="e">
        <f>VLOOKUP($A32,TAB_CORRECAO_U[[Q_DIAS_U_PARC_TIR]:[V_FUT_U_CORC-02]],E$5, FALSE)</f>
        <v>#N/A</v>
      </c>
      <c r="F32" s="22" t="e">
        <f>VLOOKUP($A32,TAB_AMORTIZACAO_U[[Q_DIAS_U_PARC_TIR]:[V_FUT_U_PCPL-02]], F$5, FALSE)</f>
        <v>#N/A</v>
      </c>
      <c r="H32" s="20">
        <f t="shared" si="7"/>
        <v>0</v>
      </c>
      <c r="I32" s="21">
        <f t="shared" si="8"/>
        <v>0</v>
      </c>
      <c r="J32" s="22" t="e">
        <f>VLOOKUP($A32, TAB_JUROS_C[[DIAS_CORRIDOS]:[V_FUT_UTEIS]], J$5, FALSE)</f>
        <v>#N/A</v>
      </c>
      <c r="K32" s="22" t="e">
        <f>VLOOKUP($A32, TAB_CORRECAO_C[[DIAS_CORRIDOS]:[V_FUT_UTEIS]],K$5, FALSE)</f>
        <v>#N/A</v>
      </c>
      <c r="L32" s="22" t="e">
        <f>VLOOKUP($A32, TAB_AMORTIZACAO_C[[DIAS_CORRIDOS]:[V_FUT_UTEIS]], L$5, FALSE)</f>
        <v>#N/A</v>
      </c>
    </row>
    <row r="33" spans="1:12" hidden="1">
      <c r="A33" s="19">
        <f t="shared" si="9"/>
        <v>27</v>
      </c>
      <c r="B33" s="20">
        <f t="shared" si="5"/>
        <v>0</v>
      </c>
      <c r="C33" s="21">
        <f t="shared" si="6"/>
        <v>0</v>
      </c>
      <c r="D33" s="22" t="e">
        <f>VLOOKUP($A33, TAB_JUROS_U[[Q_DIAS_U_PARC_TIR]:[V_FUT_U_JURS CENARIO]], D$5, FALSE)</f>
        <v>#N/A</v>
      </c>
      <c r="E33" s="22" t="e">
        <f>VLOOKUP($A33,TAB_CORRECAO_U[[Q_DIAS_U_PARC_TIR]:[V_FUT_U_CORC-02]],E$5, FALSE)</f>
        <v>#N/A</v>
      </c>
      <c r="F33" s="22" t="e">
        <f>VLOOKUP($A33,TAB_AMORTIZACAO_U[[Q_DIAS_U_PARC_TIR]:[V_FUT_U_PCPL-02]], F$5, FALSE)</f>
        <v>#N/A</v>
      </c>
      <c r="H33" s="20">
        <f t="shared" si="7"/>
        <v>0</v>
      </c>
      <c r="I33" s="21">
        <f t="shared" si="8"/>
        <v>0</v>
      </c>
      <c r="J33" s="22" t="e">
        <f>VLOOKUP($A33, TAB_JUROS_C[[DIAS_CORRIDOS]:[V_FUT_UTEIS]], J$5, FALSE)</f>
        <v>#N/A</v>
      </c>
      <c r="K33" s="22" t="e">
        <f>VLOOKUP($A33, TAB_CORRECAO_C[[DIAS_CORRIDOS]:[V_FUT_UTEIS]],K$5, FALSE)</f>
        <v>#N/A</v>
      </c>
      <c r="L33" s="22" t="e">
        <f>VLOOKUP($A33, TAB_AMORTIZACAO_C[[DIAS_CORRIDOS]:[V_FUT_UTEIS]], L$5, FALSE)</f>
        <v>#N/A</v>
      </c>
    </row>
    <row r="34" spans="1:12" hidden="1">
      <c r="A34" s="19">
        <f t="shared" si="9"/>
        <v>28</v>
      </c>
      <c r="B34" s="20">
        <f t="shared" si="5"/>
        <v>0</v>
      </c>
      <c r="C34" s="21">
        <f t="shared" si="6"/>
        <v>0</v>
      </c>
      <c r="D34" s="22" t="e">
        <f>VLOOKUP($A34, TAB_JUROS_U[[Q_DIAS_U_PARC_TIR]:[V_FUT_U_JURS CENARIO]], D$5, FALSE)</f>
        <v>#N/A</v>
      </c>
      <c r="E34" s="22" t="e">
        <f>VLOOKUP($A34,TAB_CORRECAO_U[[Q_DIAS_U_PARC_TIR]:[V_FUT_U_CORC-02]],E$5, FALSE)</f>
        <v>#N/A</v>
      </c>
      <c r="F34" s="22" t="e">
        <f>VLOOKUP($A34,TAB_AMORTIZACAO_U[[Q_DIAS_U_PARC_TIR]:[V_FUT_U_PCPL-02]], F$5, FALSE)</f>
        <v>#N/A</v>
      </c>
      <c r="H34" s="20">
        <f t="shared" si="7"/>
        <v>0</v>
      </c>
      <c r="I34" s="21">
        <f t="shared" si="8"/>
        <v>0</v>
      </c>
      <c r="J34" s="22" t="e">
        <f>VLOOKUP($A34, TAB_JUROS_C[[DIAS_CORRIDOS]:[V_FUT_UTEIS]], J$5, FALSE)</f>
        <v>#N/A</v>
      </c>
      <c r="K34" s="22" t="e">
        <f>VLOOKUP($A34, TAB_CORRECAO_C[[DIAS_CORRIDOS]:[V_FUT_UTEIS]],K$5, FALSE)</f>
        <v>#N/A</v>
      </c>
      <c r="L34" s="22" t="e">
        <f>VLOOKUP($A34, TAB_AMORTIZACAO_C[[DIAS_CORRIDOS]:[V_FUT_UTEIS]], L$5, FALSE)</f>
        <v>#N/A</v>
      </c>
    </row>
    <row r="35" spans="1:12" hidden="1">
      <c r="A35" s="19">
        <f t="shared" si="9"/>
        <v>29</v>
      </c>
      <c r="B35" s="20">
        <f t="shared" si="5"/>
        <v>0</v>
      </c>
      <c r="C35" s="21">
        <f t="shared" si="6"/>
        <v>0</v>
      </c>
      <c r="D35" s="22" t="e">
        <f>VLOOKUP($A35, TAB_JUROS_U[[Q_DIAS_U_PARC_TIR]:[V_FUT_U_JURS CENARIO]], D$5, FALSE)</f>
        <v>#N/A</v>
      </c>
      <c r="E35" s="22" t="e">
        <f>VLOOKUP($A35,TAB_CORRECAO_U[[Q_DIAS_U_PARC_TIR]:[V_FUT_U_CORC-02]],E$5, FALSE)</f>
        <v>#N/A</v>
      </c>
      <c r="F35" s="22" t="e">
        <f>VLOOKUP($A35,TAB_AMORTIZACAO_U[[Q_DIAS_U_PARC_TIR]:[V_FUT_U_PCPL-02]], F$5, FALSE)</f>
        <v>#N/A</v>
      </c>
      <c r="H35" s="20">
        <f t="shared" si="7"/>
        <v>0</v>
      </c>
      <c r="I35" s="21">
        <f t="shared" si="8"/>
        <v>0</v>
      </c>
      <c r="J35" s="22" t="e">
        <f>VLOOKUP($A35, TAB_JUROS_C[[DIAS_CORRIDOS]:[V_FUT_UTEIS]], J$5, FALSE)</f>
        <v>#N/A</v>
      </c>
      <c r="K35" s="22" t="e">
        <f>VLOOKUP($A35, TAB_CORRECAO_C[[DIAS_CORRIDOS]:[V_FUT_UTEIS]],K$5, FALSE)</f>
        <v>#N/A</v>
      </c>
      <c r="L35" s="22" t="e">
        <f>VLOOKUP($A35, TAB_AMORTIZACAO_C[[DIAS_CORRIDOS]:[V_FUT_UTEIS]], L$5, FALSE)</f>
        <v>#N/A</v>
      </c>
    </row>
    <row r="36" spans="1:12" hidden="1">
      <c r="A36" s="19">
        <f t="shared" si="9"/>
        <v>30</v>
      </c>
      <c r="B36" s="20">
        <f t="shared" si="5"/>
        <v>0</v>
      </c>
      <c r="C36" s="21">
        <f t="shared" si="6"/>
        <v>0</v>
      </c>
      <c r="D36" s="22" t="e">
        <f>VLOOKUP($A36, TAB_JUROS_U[[Q_DIAS_U_PARC_TIR]:[V_FUT_U_JURS CENARIO]], D$5, FALSE)</f>
        <v>#N/A</v>
      </c>
      <c r="E36" s="22" t="e">
        <f>VLOOKUP($A36,TAB_CORRECAO_U[[Q_DIAS_U_PARC_TIR]:[V_FUT_U_CORC-02]],E$5, FALSE)</f>
        <v>#N/A</v>
      </c>
      <c r="F36" s="22" t="e">
        <f>VLOOKUP($A36,TAB_AMORTIZACAO_U[[Q_DIAS_U_PARC_TIR]:[V_FUT_U_PCPL-02]], F$5, FALSE)</f>
        <v>#N/A</v>
      </c>
      <c r="H36" s="20">
        <f t="shared" si="7"/>
        <v>0</v>
      </c>
      <c r="I36" s="21">
        <f t="shared" si="8"/>
        <v>0</v>
      </c>
      <c r="J36" s="22" t="e">
        <f>VLOOKUP($A36, TAB_JUROS_C[[DIAS_CORRIDOS]:[V_FUT_UTEIS]], J$5, FALSE)</f>
        <v>#N/A</v>
      </c>
      <c r="K36" s="22" t="e">
        <f>VLOOKUP($A36, TAB_CORRECAO_C[[DIAS_CORRIDOS]:[V_FUT_UTEIS]],K$5, FALSE)</f>
        <v>#N/A</v>
      </c>
      <c r="L36" s="22" t="e">
        <f>VLOOKUP($A36, TAB_AMORTIZACAO_C[[DIAS_CORRIDOS]:[V_FUT_UTEIS]], L$5, FALSE)</f>
        <v>#N/A</v>
      </c>
    </row>
    <row r="37" spans="1:12" hidden="1">
      <c r="A37" s="19">
        <f t="shared" si="9"/>
        <v>31</v>
      </c>
      <c r="B37" s="20">
        <f t="shared" si="5"/>
        <v>0</v>
      </c>
      <c r="C37" s="21">
        <f t="shared" si="6"/>
        <v>0</v>
      </c>
      <c r="D37" s="22" t="e">
        <f>VLOOKUP($A37, TAB_JUROS_U[[Q_DIAS_U_PARC_TIR]:[V_FUT_U_JURS CENARIO]], D$5, FALSE)</f>
        <v>#N/A</v>
      </c>
      <c r="E37" s="22" t="e">
        <f>VLOOKUP($A37,TAB_CORRECAO_U[[Q_DIAS_U_PARC_TIR]:[V_FUT_U_CORC-02]],E$5, FALSE)</f>
        <v>#N/A</v>
      </c>
      <c r="F37" s="22" t="e">
        <f>VLOOKUP($A37,TAB_AMORTIZACAO_U[[Q_DIAS_U_PARC_TIR]:[V_FUT_U_PCPL-02]], F$5, FALSE)</f>
        <v>#N/A</v>
      </c>
      <c r="H37" s="20">
        <f t="shared" si="7"/>
        <v>0</v>
      </c>
      <c r="I37" s="21">
        <f t="shared" si="8"/>
        <v>0</v>
      </c>
      <c r="J37" s="22" t="e">
        <f>VLOOKUP($A37, TAB_JUROS_C[[DIAS_CORRIDOS]:[V_FUT_UTEIS]], J$5, FALSE)</f>
        <v>#N/A</v>
      </c>
      <c r="K37" s="22" t="e">
        <f>VLOOKUP($A37, TAB_CORRECAO_C[[DIAS_CORRIDOS]:[V_FUT_UTEIS]],K$5, FALSE)</f>
        <v>#N/A</v>
      </c>
      <c r="L37" s="22" t="e">
        <f>VLOOKUP($A37, TAB_AMORTIZACAO_C[[DIAS_CORRIDOS]:[V_FUT_UTEIS]], L$5, FALSE)</f>
        <v>#N/A</v>
      </c>
    </row>
    <row r="38" spans="1:12" hidden="1">
      <c r="A38" s="19">
        <f t="shared" si="9"/>
        <v>32</v>
      </c>
      <c r="B38" s="20">
        <f t="shared" si="5"/>
        <v>0</v>
      </c>
      <c r="C38" s="21">
        <f t="shared" si="6"/>
        <v>0</v>
      </c>
      <c r="D38" s="22" t="e">
        <f>VLOOKUP($A38, TAB_JUROS_U[[Q_DIAS_U_PARC_TIR]:[V_FUT_U_JURS CENARIO]], D$5, FALSE)</f>
        <v>#N/A</v>
      </c>
      <c r="E38" s="22" t="e">
        <f>VLOOKUP($A38,TAB_CORRECAO_U[[Q_DIAS_U_PARC_TIR]:[V_FUT_U_CORC-02]],E$5, FALSE)</f>
        <v>#N/A</v>
      </c>
      <c r="F38" s="22" t="e">
        <f>VLOOKUP($A38,TAB_AMORTIZACAO_U[[Q_DIAS_U_PARC_TIR]:[V_FUT_U_PCPL-02]], F$5, FALSE)</f>
        <v>#N/A</v>
      </c>
      <c r="H38" s="20">
        <f t="shared" si="7"/>
        <v>0</v>
      </c>
      <c r="I38" s="21">
        <f t="shared" si="8"/>
        <v>0</v>
      </c>
      <c r="J38" s="22" t="e">
        <f>VLOOKUP($A38, TAB_JUROS_C[[DIAS_CORRIDOS]:[V_FUT_UTEIS]], J$5, FALSE)</f>
        <v>#N/A</v>
      </c>
      <c r="K38" s="22" t="e">
        <f>VLOOKUP($A38, TAB_CORRECAO_C[[DIAS_CORRIDOS]:[V_FUT_UTEIS]],K$5, FALSE)</f>
        <v>#N/A</v>
      </c>
      <c r="L38" s="22" t="e">
        <f>VLOOKUP($A38, TAB_AMORTIZACAO_C[[DIAS_CORRIDOS]:[V_FUT_UTEIS]], L$5, FALSE)</f>
        <v>#N/A</v>
      </c>
    </row>
    <row r="39" spans="1:12">
      <c r="A39" s="19">
        <f t="shared" si="9"/>
        <v>33</v>
      </c>
      <c r="B39" s="20">
        <f t="shared" si="5"/>
        <v>2217.8540372319294</v>
      </c>
      <c r="C39" s="21">
        <f t="shared" si="6"/>
        <v>2217.8540372319294</v>
      </c>
      <c r="D39" s="22">
        <f>VLOOKUP($A39, TAB_JUROS_U[[Q_DIAS_U_PARC_TIR]:[V_FUT_U_JURS CENARIO]], D$5, FALSE)</f>
        <v>192.84693285980023</v>
      </c>
      <c r="E39" s="22">
        <f>VLOOKUP($A39,TAB_CORRECAO_U[[Q_DIAS_U_PARC_TIR]:[V_FUT_U_CORC-02]],E$5, FALSE)</f>
        <v>1045.6686842118129</v>
      </c>
      <c r="F39" s="22">
        <f>VLOOKUP($A39,TAB_AMORTIZACAO_U[[Q_DIAS_U_PARC_TIR]:[V_FUT_U_PCPL-02]], F$5, FALSE)</f>
        <v>979.33842016031622</v>
      </c>
      <c r="H39" s="20">
        <f t="shared" si="7"/>
        <v>0</v>
      </c>
      <c r="I39" s="21">
        <f t="shared" si="8"/>
        <v>0</v>
      </c>
      <c r="J39" s="22" t="e">
        <f>VLOOKUP($A39, TAB_JUROS_C[[DIAS_CORRIDOS]:[V_FUT_UTEIS]], J$5, FALSE)</f>
        <v>#N/A</v>
      </c>
      <c r="K39" s="22" t="e">
        <f>VLOOKUP($A39, TAB_CORRECAO_C[[DIAS_CORRIDOS]:[V_FUT_UTEIS]],K$5, FALSE)</f>
        <v>#N/A</v>
      </c>
      <c r="L39" s="22" t="e">
        <f>VLOOKUP($A39, TAB_AMORTIZACAO_C[[DIAS_CORRIDOS]:[V_FUT_UTEIS]], L$5, FALSE)</f>
        <v>#N/A</v>
      </c>
    </row>
    <row r="40" spans="1:12" hidden="1">
      <c r="A40" s="19">
        <f t="shared" si="9"/>
        <v>34</v>
      </c>
      <c r="B40" s="20">
        <f t="shared" si="5"/>
        <v>0</v>
      </c>
      <c r="C40" s="21">
        <f t="shared" si="6"/>
        <v>0</v>
      </c>
      <c r="D40" s="22" t="e">
        <f>VLOOKUP($A40, TAB_JUROS_U[[Q_DIAS_U_PARC_TIR]:[V_FUT_U_JURS CENARIO]], D$5, FALSE)</f>
        <v>#N/A</v>
      </c>
      <c r="E40" s="22" t="e">
        <f>VLOOKUP($A40,TAB_CORRECAO_U[[Q_DIAS_U_PARC_TIR]:[V_FUT_U_CORC-02]],E$5, FALSE)</f>
        <v>#N/A</v>
      </c>
      <c r="F40" s="22" t="e">
        <f>VLOOKUP($A40,TAB_AMORTIZACAO_U[[Q_DIAS_U_PARC_TIR]:[V_FUT_U_PCPL-02]], F$5, FALSE)</f>
        <v>#N/A</v>
      </c>
      <c r="H40" s="20">
        <f t="shared" si="7"/>
        <v>0</v>
      </c>
      <c r="I40" s="21">
        <f t="shared" si="8"/>
        <v>0</v>
      </c>
      <c r="J40" s="22" t="e">
        <f>VLOOKUP($A40, TAB_JUROS_C[[DIAS_CORRIDOS]:[V_FUT_UTEIS]], J$5, FALSE)</f>
        <v>#N/A</v>
      </c>
      <c r="K40" s="22" t="e">
        <f>VLOOKUP($A40, TAB_CORRECAO_C[[DIAS_CORRIDOS]:[V_FUT_UTEIS]],K$5, FALSE)</f>
        <v>#N/A</v>
      </c>
      <c r="L40" s="22" t="e">
        <f>VLOOKUP($A40, TAB_AMORTIZACAO_C[[DIAS_CORRIDOS]:[V_FUT_UTEIS]], L$5, FALSE)</f>
        <v>#N/A</v>
      </c>
    </row>
    <row r="41" spans="1:12" hidden="1">
      <c r="A41" s="19">
        <f t="shared" si="9"/>
        <v>35</v>
      </c>
      <c r="B41" s="20">
        <f t="shared" si="5"/>
        <v>0</v>
      </c>
      <c r="C41" s="21">
        <f t="shared" si="6"/>
        <v>0</v>
      </c>
      <c r="D41" s="22" t="e">
        <f>VLOOKUP($A41, TAB_JUROS_U[[Q_DIAS_U_PARC_TIR]:[V_FUT_U_JURS CENARIO]], D$5, FALSE)</f>
        <v>#N/A</v>
      </c>
      <c r="E41" s="22" t="e">
        <f>VLOOKUP($A41,TAB_CORRECAO_U[[Q_DIAS_U_PARC_TIR]:[V_FUT_U_CORC-02]],E$5, FALSE)</f>
        <v>#N/A</v>
      </c>
      <c r="F41" s="22" t="e">
        <f>VLOOKUP($A41,TAB_AMORTIZACAO_U[[Q_DIAS_U_PARC_TIR]:[V_FUT_U_PCPL-02]], F$5, FALSE)</f>
        <v>#N/A</v>
      </c>
      <c r="H41" s="20">
        <f t="shared" si="7"/>
        <v>0</v>
      </c>
      <c r="I41" s="21">
        <f t="shared" si="8"/>
        <v>0</v>
      </c>
      <c r="J41" s="22" t="e">
        <f>VLOOKUP($A41, TAB_JUROS_C[[DIAS_CORRIDOS]:[V_FUT_UTEIS]], J$5, FALSE)</f>
        <v>#N/A</v>
      </c>
      <c r="K41" s="22" t="e">
        <f>VLOOKUP($A41, TAB_CORRECAO_C[[DIAS_CORRIDOS]:[V_FUT_UTEIS]],K$5, FALSE)</f>
        <v>#N/A</v>
      </c>
      <c r="L41" s="22" t="e">
        <f>VLOOKUP($A41, TAB_AMORTIZACAO_C[[DIAS_CORRIDOS]:[V_FUT_UTEIS]], L$5, FALSE)</f>
        <v>#N/A</v>
      </c>
    </row>
    <row r="42" spans="1:12" hidden="1">
      <c r="A42" s="19">
        <f t="shared" si="9"/>
        <v>36</v>
      </c>
      <c r="B42" s="20">
        <f t="shared" si="5"/>
        <v>0</v>
      </c>
      <c r="C42" s="21">
        <f t="shared" si="6"/>
        <v>0</v>
      </c>
      <c r="D42" s="22" t="e">
        <f>VLOOKUP($A42, TAB_JUROS_U[[Q_DIAS_U_PARC_TIR]:[V_FUT_U_JURS CENARIO]], D$5, FALSE)</f>
        <v>#N/A</v>
      </c>
      <c r="E42" s="22" t="e">
        <f>VLOOKUP($A42,TAB_CORRECAO_U[[Q_DIAS_U_PARC_TIR]:[V_FUT_U_CORC-02]],E$5, FALSE)</f>
        <v>#N/A</v>
      </c>
      <c r="F42" s="22" t="e">
        <f>VLOOKUP($A42,TAB_AMORTIZACAO_U[[Q_DIAS_U_PARC_TIR]:[V_FUT_U_PCPL-02]], F$5, FALSE)</f>
        <v>#N/A</v>
      </c>
      <c r="H42" s="20">
        <f t="shared" si="7"/>
        <v>0</v>
      </c>
      <c r="I42" s="21">
        <f t="shared" si="8"/>
        <v>0</v>
      </c>
      <c r="J42" s="22" t="e">
        <f>VLOOKUP($A42, TAB_JUROS_C[[DIAS_CORRIDOS]:[V_FUT_UTEIS]], J$5, FALSE)</f>
        <v>#N/A</v>
      </c>
      <c r="K42" s="22" t="e">
        <f>VLOOKUP($A42, TAB_CORRECAO_C[[DIAS_CORRIDOS]:[V_FUT_UTEIS]],K$5, FALSE)</f>
        <v>#N/A</v>
      </c>
      <c r="L42" s="22" t="e">
        <f>VLOOKUP($A42, TAB_AMORTIZACAO_C[[DIAS_CORRIDOS]:[V_FUT_UTEIS]], L$5, FALSE)</f>
        <v>#N/A</v>
      </c>
    </row>
    <row r="43" spans="1:12" hidden="1">
      <c r="A43" s="19">
        <f t="shared" si="9"/>
        <v>37</v>
      </c>
      <c r="B43" s="20">
        <f t="shared" si="5"/>
        <v>0</v>
      </c>
      <c r="C43" s="21">
        <f t="shared" si="6"/>
        <v>0</v>
      </c>
      <c r="D43" s="22" t="e">
        <f>VLOOKUP($A43, TAB_JUROS_U[[Q_DIAS_U_PARC_TIR]:[V_FUT_U_JURS CENARIO]], D$5, FALSE)</f>
        <v>#N/A</v>
      </c>
      <c r="E43" s="22" t="e">
        <f>VLOOKUP($A43,TAB_CORRECAO_U[[Q_DIAS_U_PARC_TIR]:[V_FUT_U_CORC-02]],E$5, FALSE)</f>
        <v>#N/A</v>
      </c>
      <c r="F43" s="22" t="e">
        <f>VLOOKUP($A43,TAB_AMORTIZACAO_U[[Q_DIAS_U_PARC_TIR]:[V_FUT_U_PCPL-02]], F$5, FALSE)</f>
        <v>#N/A</v>
      </c>
      <c r="H43" s="20">
        <f t="shared" si="7"/>
        <v>0</v>
      </c>
      <c r="I43" s="21">
        <f t="shared" si="8"/>
        <v>0</v>
      </c>
      <c r="J43" s="22" t="e">
        <f>VLOOKUP($A43, TAB_JUROS_C[[DIAS_CORRIDOS]:[V_FUT_UTEIS]], J$5, FALSE)</f>
        <v>#N/A</v>
      </c>
      <c r="K43" s="22" t="e">
        <f>VLOOKUP($A43, TAB_CORRECAO_C[[DIAS_CORRIDOS]:[V_FUT_UTEIS]],K$5, FALSE)</f>
        <v>#N/A</v>
      </c>
      <c r="L43" s="22" t="e">
        <f>VLOOKUP($A43, TAB_AMORTIZACAO_C[[DIAS_CORRIDOS]:[V_FUT_UTEIS]], L$5, FALSE)</f>
        <v>#N/A</v>
      </c>
    </row>
    <row r="44" spans="1:12" hidden="1">
      <c r="A44" s="19">
        <f t="shared" si="9"/>
        <v>38</v>
      </c>
      <c r="B44" s="20">
        <f t="shared" si="5"/>
        <v>0</v>
      </c>
      <c r="C44" s="21">
        <f t="shared" si="6"/>
        <v>0</v>
      </c>
      <c r="D44" s="22" t="e">
        <f>VLOOKUP($A44, TAB_JUROS_U[[Q_DIAS_U_PARC_TIR]:[V_FUT_U_JURS CENARIO]], D$5, FALSE)</f>
        <v>#N/A</v>
      </c>
      <c r="E44" s="22" t="e">
        <f>VLOOKUP($A44,TAB_CORRECAO_U[[Q_DIAS_U_PARC_TIR]:[V_FUT_U_CORC-02]],E$5, FALSE)</f>
        <v>#N/A</v>
      </c>
      <c r="F44" s="22" t="e">
        <f>VLOOKUP($A44,TAB_AMORTIZACAO_U[[Q_DIAS_U_PARC_TIR]:[V_FUT_U_PCPL-02]], F$5, FALSE)</f>
        <v>#N/A</v>
      </c>
      <c r="H44" s="20">
        <f t="shared" si="7"/>
        <v>0</v>
      </c>
      <c r="I44" s="21">
        <f t="shared" si="8"/>
        <v>0</v>
      </c>
      <c r="J44" s="22" t="e">
        <f>VLOOKUP($A44, TAB_JUROS_C[[DIAS_CORRIDOS]:[V_FUT_UTEIS]], J$5, FALSE)</f>
        <v>#N/A</v>
      </c>
      <c r="K44" s="22" t="e">
        <f>VLOOKUP($A44, TAB_CORRECAO_C[[DIAS_CORRIDOS]:[V_FUT_UTEIS]],K$5, FALSE)</f>
        <v>#N/A</v>
      </c>
      <c r="L44" s="22" t="e">
        <f>VLOOKUP($A44, TAB_AMORTIZACAO_C[[DIAS_CORRIDOS]:[V_FUT_UTEIS]], L$5, FALSE)</f>
        <v>#N/A</v>
      </c>
    </row>
    <row r="45" spans="1:12" hidden="1">
      <c r="A45" s="19">
        <f t="shared" si="9"/>
        <v>39</v>
      </c>
      <c r="B45" s="20">
        <f t="shared" si="5"/>
        <v>0</v>
      </c>
      <c r="C45" s="21">
        <f t="shared" si="6"/>
        <v>0</v>
      </c>
      <c r="D45" s="22" t="e">
        <f>VLOOKUP($A45, TAB_JUROS_U[[Q_DIAS_U_PARC_TIR]:[V_FUT_U_JURS CENARIO]], D$5, FALSE)</f>
        <v>#N/A</v>
      </c>
      <c r="E45" s="22" t="e">
        <f>VLOOKUP($A45,TAB_CORRECAO_U[[Q_DIAS_U_PARC_TIR]:[V_FUT_U_CORC-02]],E$5, FALSE)</f>
        <v>#N/A</v>
      </c>
      <c r="F45" s="22" t="e">
        <f>VLOOKUP($A45,TAB_AMORTIZACAO_U[[Q_DIAS_U_PARC_TIR]:[V_FUT_U_PCPL-02]], F$5, FALSE)</f>
        <v>#N/A</v>
      </c>
      <c r="H45" s="20">
        <f t="shared" si="7"/>
        <v>0</v>
      </c>
      <c r="I45" s="21">
        <f t="shared" si="8"/>
        <v>0</v>
      </c>
      <c r="J45" s="22" t="e">
        <f>VLOOKUP($A45, TAB_JUROS_C[[DIAS_CORRIDOS]:[V_FUT_UTEIS]], J$5, FALSE)</f>
        <v>#N/A</v>
      </c>
      <c r="K45" s="22" t="e">
        <f>VLOOKUP($A45, TAB_CORRECAO_C[[DIAS_CORRIDOS]:[V_FUT_UTEIS]],K$5, FALSE)</f>
        <v>#N/A</v>
      </c>
      <c r="L45" s="22" t="e">
        <f>VLOOKUP($A45, TAB_AMORTIZACAO_C[[DIAS_CORRIDOS]:[V_FUT_UTEIS]], L$5, FALSE)</f>
        <v>#N/A</v>
      </c>
    </row>
    <row r="46" spans="1:12" hidden="1">
      <c r="A46" s="19">
        <f t="shared" si="9"/>
        <v>40</v>
      </c>
      <c r="B46" s="20">
        <f t="shared" si="5"/>
        <v>0</v>
      </c>
      <c r="C46" s="21">
        <f t="shared" si="6"/>
        <v>0</v>
      </c>
      <c r="D46" s="22" t="e">
        <f>VLOOKUP($A46, TAB_JUROS_U[[Q_DIAS_U_PARC_TIR]:[V_FUT_U_JURS CENARIO]], D$5, FALSE)</f>
        <v>#N/A</v>
      </c>
      <c r="E46" s="22" t="e">
        <f>VLOOKUP($A46,TAB_CORRECAO_U[[Q_DIAS_U_PARC_TIR]:[V_FUT_U_CORC-02]],E$5, FALSE)</f>
        <v>#N/A</v>
      </c>
      <c r="F46" s="22" t="e">
        <f>VLOOKUP($A46,TAB_AMORTIZACAO_U[[Q_DIAS_U_PARC_TIR]:[V_FUT_U_PCPL-02]], F$5, FALSE)</f>
        <v>#N/A</v>
      </c>
      <c r="H46" s="20">
        <f t="shared" si="7"/>
        <v>0</v>
      </c>
      <c r="I46" s="21">
        <f t="shared" si="8"/>
        <v>0</v>
      </c>
      <c r="J46" s="22" t="e">
        <f>VLOOKUP($A46, TAB_JUROS_C[[DIAS_CORRIDOS]:[V_FUT_UTEIS]], J$5, FALSE)</f>
        <v>#N/A</v>
      </c>
      <c r="K46" s="22" t="e">
        <f>VLOOKUP($A46, TAB_CORRECAO_C[[DIAS_CORRIDOS]:[V_FUT_UTEIS]],K$5, FALSE)</f>
        <v>#N/A</v>
      </c>
      <c r="L46" s="22" t="e">
        <f>VLOOKUP($A46, TAB_AMORTIZACAO_C[[DIAS_CORRIDOS]:[V_FUT_UTEIS]], L$5, FALSE)</f>
        <v>#N/A</v>
      </c>
    </row>
    <row r="47" spans="1:12" hidden="1">
      <c r="A47" s="19">
        <f t="shared" si="9"/>
        <v>41</v>
      </c>
      <c r="B47" s="20">
        <f t="shared" si="5"/>
        <v>0</v>
      </c>
      <c r="C47" s="21">
        <f t="shared" si="6"/>
        <v>0</v>
      </c>
      <c r="D47" s="22" t="e">
        <f>VLOOKUP($A47, TAB_JUROS_U[[Q_DIAS_U_PARC_TIR]:[V_FUT_U_JURS CENARIO]], D$5, FALSE)</f>
        <v>#N/A</v>
      </c>
      <c r="E47" s="22" t="e">
        <f>VLOOKUP($A47,TAB_CORRECAO_U[[Q_DIAS_U_PARC_TIR]:[V_FUT_U_CORC-02]],E$5, FALSE)</f>
        <v>#N/A</v>
      </c>
      <c r="F47" s="22" t="e">
        <f>VLOOKUP($A47,TAB_AMORTIZACAO_U[[Q_DIAS_U_PARC_TIR]:[V_FUT_U_PCPL-02]], F$5, FALSE)</f>
        <v>#N/A</v>
      </c>
      <c r="H47" s="20">
        <f t="shared" si="7"/>
        <v>0</v>
      </c>
      <c r="I47" s="21">
        <f t="shared" si="8"/>
        <v>0</v>
      </c>
      <c r="J47" s="22" t="e">
        <f>VLOOKUP($A47, TAB_JUROS_C[[DIAS_CORRIDOS]:[V_FUT_UTEIS]], J$5, FALSE)</f>
        <v>#N/A</v>
      </c>
      <c r="K47" s="22" t="e">
        <f>VLOOKUP($A47, TAB_CORRECAO_C[[DIAS_CORRIDOS]:[V_FUT_UTEIS]],K$5, FALSE)</f>
        <v>#N/A</v>
      </c>
      <c r="L47" s="22" t="e">
        <f>VLOOKUP($A47, TAB_AMORTIZACAO_C[[DIAS_CORRIDOS]:[V_FUT_UTEIS]], L$5, FALSE)</f>
        <v>#N/A</v>
      </c>
    </row>
    <row r="48" spans="1:12" hidden="1">
      <c r="A48" s="19">
        <f t="shared" si="9"/>
        <v>42</v>
      </c>
      <c r="B48" s="20">
        <f t="shared" si="5"/>
        <v>0</v>
      </c>
      <c r="C48" s="21">
        <f t="shared" si="6"/>
        <v>0</v>
      </c>
      <c r="D48" s="22" t="e">
        <f>VLOOKUP($A48, TAB_JUROS_U[[Q_DIAS_U_PARC_TIR]:[V_FUT_U_JURS CENARIO]], D$5, FALSE)</f>
        <v>#N/A</v>
      </c>
      <c r="E48" s="22" t="e">
        <f>VLOOKUP($A48,TAB_CORRECAO_U[[Q_DIAS_U_PARC_TIR]:[V_FUT_U_CORC-02]],E$5, FALSE)</f>
        <v>#N/A</v>
      </c>
      <c r="F48" s="22" t="e">
        <f>VLOOKUP($A48,TAB_AMORTIZACAO_U[[Q_DIAS_U_PARC_TIR]:[V_FUT_U_PCPL-02]], F$5, FALSE)</f>
        <v>#N/A</v>
      </c>
      <c r="H48" s="20">
        <f t="shared" si="7"/>
        <v>0</v>
      </c>
      <c r="I48" s="21">
        <f t="shared" si="8"/>
        <v>0</v>
      </c>
      <c r="J48" s="22" t="e">
        <f>VLOOKUP($A48, TAB_JUROS_C[[DIAS_CORRIDOS]:[V_FUT_UTEIS]], J$5, FALSE)</f>
        <v>#N/A</v>
      </c>
      <c r="K48" s="22" t="e">
        <f>VLOOKUP($A48, TAB_CORRECAO_C[[DIAS_CORRIDOS]:[V_FUT_UTEIS]],K$5, FALSE)</f>
        <v>#N/A</v>
      </c>
      <c r="L48" s="22" t="e">
        <f>VLOOKUP($A48, TAB_AMORTIZACAO_C[[DIAS_CORRIDOS]:[V_FUT_UTEIS]], L$5, FALSE)</f>
        <v>#N/A</v>
      </c>
    </row>
    <row r="49" spans="1:12" hidden="1">
      <c r="A49" s="19">
        <f t="shared" si="9"/>
        <v>43</v>
      </c>
      <c r="B49" s="20">
        <f t="shared" si="5"/>
        <v>0</v>
      </c>
      <c r="C49" s="21">
        <f t="shared" si="6"/>
        <v>0</v>
      </c>
      <c r="D49" s="22" t="e">
        <f>VLOOKUP($A49, TAB_JUROS_U[[Q_DIAS_U_PARC_TIR]:[V_FUT_U_JURS CENARIO]], D$5, FALSE)</f>
        <v>#N/A</v>
      </c>
      <c r="E49" s="22" t="e">
        <f>VLOOKUP($A49,TAB_CORRECAO_U[[Q_DIAS_U_PARC_TIR]:[V_FUT_U_CORC-02]],E$5, FALSE)</f>
        <v>#N/A</v>
      </c>
      <c r="F49" s="22" t="e">
        <f>VLOOKUP($A49,TAB_AMORTIZACAO_U[[Q_DIAS_U_PARC_TIR]:[V_FUT_U_PCPL-02]], F$5, FALSE)</f>
        <v>#N/A</v>
      </c>
      <c r="H49" s="20">
        <f t="shared" si="7"/>
        <v>0</v>
      </c>
      <c r="I49" s="21">
        <f t="shared" si="8"/>
        <v>0</v>
      </c>
      <c r="J49" s="22" t="e">
        <f>VLOOKUP($A49, TAB_JUROS_C[[DIAS_CORRIDOS]:[V_FUT_UTEIS]], J$5, FALSE)</f>
        <v>#N/A</v>
      </c>
      <c r="K49" s="22" t="e">
        <f>VLOOKUP($A49, TAB_CORRECAO_C[[DIAS_CORRIDOS]:[V_FUT_UTEIS]],K$5, FALSE)</f>
        <v>#N/A</v>
      </c>
      <c r="L49" s="22" t="e">
        <f>VLOOKUP($A49, TAB_AMORTIZACAO_C[[DIAS_CORRIDOS]:[V_FUT_UTEIS]], L$5, FALSE)</f>
        <v>#N/A</v>
      </c>
    </row>
    <row r="50" spans="1:12" hidden="1">
      <c r="A50" s="19">
        <f t="shared" si="9"/>
        <v>44</v>
      </c>
      <c r="B50" s="20">
        <f t="shared" si="5"/>
        <v>0</v>
      </c>
      <c r="C50" s="21">
        <f t="shared" si="6"/>
        <v>0</v>
      </c>
      <c r="D50" s="22" t="e">
        <f>VLOOKUP($A50, TAB_JUROS_U[[Q_DIAS_U_PARC_TIR]:[V_FUT_U_JURS CENARIO]], D$5, FALSE)</f>
        <v>#N/A</v>
      </c>
      <c r="E50" s="22" t="e">
        <f>VLOOKUP($A50,TAB_CORRECAO_U[[Q_DIAS_U_PARC_TIR]:[V_FUT_U_CORC-02]],E$5, FALSE)</f>
        <v>#N/A</v>
      </c>
      <c r="F50" s="22" t="e">
        <f>VLOOKUP($A50,TAB_AMORTIZACAO_U[[Q_DIAS_U_PARC_TIR]:[V_FUT_U_PCPL-02]], F$5, FALSE)</f>
        <v>#N/A</v>
      </c>
      <c r="H50" s="20">
        <f t="shared" si="7"/>
        <v>2217.8540372319294</v>
      </c>
      <c r="I50" s="21">
        <f t="shared" si="8"/>
        <v>2217.8540372319294</v>
      </c>
      <c r="J50" s="22">
        <f>VLOOKUP($A50, TAB_JUROS_C[[DIAS_CORRIDOS]:[V_FUT_UTEIS]], J$5, FALSE)</f>
        <v>192.84693285980023</v>
      </c>
      <c r="K50" s="22">
        <f>VLOOKUP($A50, TAB_CORRECAO_C[[DIAS_CORRIDOS]:[V_FUT_UTEIS]],K$5, FALSE)</f>
        <v>1045.6686842118129</v>
      </c>
      <c r="L50" s="22">
        <f>VLOOKUP($A50, TAB_AMORTIZACAO_C[[DIAS_CORRIDOS]:[V_FUT_UTEIS]], L$5, FALSE)</f>
        <v>979.33842016031622</v>
      </c>
    </row>
    <row r="51" spans="1:12" hidden="1">
      <c r="A51" s="19">
        <f t="shared" si="9"/>
        <v>45</v>
      </c>
      <c r="B51" s="20">
        <f t="shared" si="5"/>
        <v>0</v>
      </c>
      <c r="C51" s="21">
        <f t="shared" si="6"/>
        <v>0</v>
      </c>
      <c r="D51" s="22" t="e">
        <f>VLOOKUP($A51, TAB_JUROS_U[[Q_DIAS_U_PARC_TIR]:[V_FUT_U_JURS CENARIO]], D$5, FALSE)</f>
        <v>#N/A</v>
      </c>
      <c r="E51" s="22" t="e">
        <f>VLOOKUP($A51,TAB_CORRECAO_U[[Q_DIAS_U_PARC_TIR]:[V_FUT_U_CORC-02]],E$5, FALSE)</f>
        <v>#N/A</v>
      </c>
      <c r="F51" s="22" t="e">
        <f>VLOOKUP($A51,TAB_AMORTIZACAO_U[[Q_DIAS_U_PARC_TIR]:[V_FUT_U_PCPL-02]], F$5, FALSE)</f>
        <v>#N/A</v>
      </c>
      <c r="H51" s="20">
        <f t="shared" si="7"/>
        <v>0</v>
      </c>
      <c r="I51" s="21">
        <f t="shared" si="8"/>
        <v>0</v>
      </c>
      <c r="J51" s="22" t="e">
        <f>VLOOKUP($A51, TAB_JUROS_C[[DIAS_CORRIDOS]:[V_FUT_UTEIS]], J$5, FALSE)</f>
        <v>#N/A</v>
      </c>
      <c r="K51" s="22" t="e">
        <f>VLOOKUP($A51, TAB_CORRECAO_C[[DIAS_CORRIDOS]:[V_FUT_UTEIS]],K$5, FALSE)</f>
        <v>#N/A</v>
      </c>
      <c r="L51" s="22" t="e">
        <f>VLOOKUP($A51, TAB_AMORTIZACAO_C[[DIAS_CORRIDOS]:[V_FUT_UTEIS]], L$5, FALSE)</f>
        <v>#N/A</v>
      </c>
    </row>
    <row r="52" spans="1:12" hidden="1">
      <c r="A52" s="19">
        <f t="shared" si="9"/>
        <v>46</v>
      </c>
      <c r="B52" s="20">
        <f t="shared" si="5"/>
        <v>0</v>
      </c>
      <c r="C52" s="21">
        <f t="shared" si="6"/>
        <v>0</v>
      </c>
      <c r="D52" s="22" t="e">
        <f>VLOOKUP($A52, TAB_JUROS_U[[Q_DIAS_U_PARC_TIR]:[V_FUT_U_JURS CENARIO]], D$5, FALSE)</f>
        <v>#N/A</v>
      </c>
      <c r="E52" s="22" t="e">
        <f>VLOOKUP($A52,TAB_CORRECAO_U[[Q_DIAS_U_PARC_TIR]:[V_FUT_U_CORC-02]],E$5, FALSE)</f>
        <v>#N/A</v>
      </c>
      <c r="F52" s="22" t="e">
        <f>VLOOKUP($A52,TAB_AMORTIZACAO_U[[Q_DIAS_U_PARC_TIR]:[V_FUT_U_PCPL-02]], F$5, FALSE)</f>
        <v>#N/A</v>
      </c>
      <c r="H52" s="20">
        <f t="shared" si="7"/>
        <v>0</v>
      </c>
      <c r="I52" s="21">
        <f t="shared" si="8"/>
        <v>0</v>
      </c>
      <c r="J52" s="22" t="e">
        <f>VLOOKUP($A52, TAB_JUROS_C[[DIAS_CORRIDOS]:[V_FUT_UTEIS]], J$5, FALSE)</f>
        <v>#N/A</v>
      </c>
      <c r="K52" s="22" t="e">
        <f>VLOOKUP($A52, TAB_CORRECAO_C[[DIAS_CORRIDOS]:[V_FUT_UTEIS]],K$5, FALSE)</f>
        <v>#N/A</v>
      </c>
      <c r="L52" s="22" t="e">
        <f>VLOOKUP($A52, TAB_AMORTIZACAO_C[[DIAS_CORRIDOS]:[V_FUT_UTEIS]], L$5, FALSE)</f>
        <v>#N/A</v>
      </c>
    </row>
    <row r="53" spans="1:12" hidden="1">
      <c r="A53" s="19">
        <f t="shared" si="9"/>
        <v>47</v>
      </c>
      <c r="B53" s="20">
        <f t="shared" si="5"/>
        <v>0</v>
      </c>
      <c r="C53" s="21">
        <f t="shared" si="6"/>
        <v>0</v>
      </c>
      <c r="D53" s="22" t="e">
        <f>VLOOKUP($A53, TAB_JUROS_U[[Q_DIAS_U_PARC_TIR]:[V_FUT_U_JURS CENARIO]], D$5, FALSE)</f>
        <v>#N/A</v>
      </c>
      <c r="E53" s="22" t="e">
        <f>VLOOKUP($A53,TAB_CORRECAO_U[[Q_DIAS_U_PARC_TIR]:[V_FUT_U_CORC-02]],E$5, FALSE)</f>
        <v>#N/A</v>
      </c>
      <c r="F53" s="22" t="e">
        <f>VLOOKUP($A53,TAB_AMORTIZACAO_U[[Q_DIAS_U_PARC_TIR]:[V_FUT_U_PCPL-02]], F$5, FALSE)</f>
        <v>#N/A</v>
      </c>
      <c r="H53" s="20">
        <f t="shared" si="7"/>
        <v>0</v>
      </c>
      <c r="I53" s="21">
        <f t="shared" si="8"/>
        <v>0</v>
      </c>
      <c r="J53" s="22" t="e">
        <f>VLOOKUP($A53, TAB_JUROS_C[[DIAS_CORRIDOS]:[V_FUT_UTEIS]], J$5, FALSE)</f>
        <v>#N/A</v>
      </c>
      <c r="K53" s="22" t="e">
        <f>VLOOKUP($A53, TAB_CORRECAO_C[[DIAS_CORRIDOS]:[V_FUT_UTEIS]],K$5, FALSE)</f>
        <v>#N/A</v>
      </c>
      <c r="L53" s="22" t="e">
        <f>VLOOKUP($A53, TAB_AMORTIZACAO_C[[DIAS_CORRIDOS]:[V_FUT_UTEIS]], L$5, FALSE)</f>
        <v>#N/A</v>
      </c>
    </row>
    <row r="54" spans="1:12" hidden="1">
      <c r="A54" s="19">
        <f t="shared" si="9"/>
        <v>48</v>
      </c>
      <c r="B54" s="20">
        <f t="shared" si="5"/>
        <v>0</v>
      </c>
      <c r="C54" s="21">
        <f t="shared" si="6"/>
        <v>0</v>
      </c>
      <c r="D54" s="22" t="e">
        <f>VLOOKUP($A54, TAB_JUROS_U[[Q_DIAS_U_PARC_TIR]:[V_FUT_U_JURS CENARIO]], D$5, FALSE)</f>
        <v>#N/A</v>
      </c>
      <c r="E54" s="22" t="e">
        <f>VLOOKUP($A54,TAB_CORRECAO_U[[Q_DIAS_U_PARC_TIR]:[V_FUT_U_CORC-02]],E$5, FALSE)</f>
        <v>#N/A</v>
      </c>
      <c r="F54" s="22" t="e">
        <f>VLOOKUP($A54,TAB_AMORTIZACAO_U[[Q_DIAS_U_PARC_TIR]:[V_FUT_U_PCPL-02]], F$5, FALSE)</f>
        <v>#N/A</v>
      </c>
      <c r="H54" s="20">
        <f t="shared" si="7"/>
        <v>0</v>
      </c>
      <c r="I54" s="21">
        <f t="shared" si="8"/>
        <v>0</v>
      </c>
      <c r="J54" s="22" t="e">
        <f>VLOOKUP($A54, TAB_JUROS_C[[DIAS_CORRIDOS]:[V_FUT_UTEIS]], J$5, FALSE)</f>
        <v>#N/A</v>
      </c>
      <c r="K54" s="22" t="e">
        <f>VLOOKUP($A54, TAB_CORRECAO_C[[DIAS_CORRIDOS]:[V_FUT_UTEIS]],K$5, FALSE)</f>
        <v>#N/A</v>
      </c>
      <c r="L54" s="22" t="e">
        <f>VLOOKUP($A54, TAB_AMORTIZACAO_C[[DIAS_CORRIDOS]:[V_FUT_UTEIS]], L$5, FALSE)</f>
        <v>#N/A</v>
      </c>
    </row>
    <row r="55" spans="1:12" hidden="1">
      <c r="A55" s="19">
        <f t="shared" si="9"/>
        <v>49</v>
      </c>
      <c r="B55" s="20">
        <f t="shared" si="5"/>
        <v>0</v>
      </c>
      <c r="C55" s="21">
        <f t="shared" si="6"/>
        <v>0</v>
      </c>
      <c r="D55" s="22" t="e">
        <f>VLOOKUP($A55, TAB_JUROS_U[[Q_DIAS_U_PARC_TIR]:[V_FUT_U_JURS CENARIO]], D$5, FALSE)</f>
        <v>#N/A</v>
      </c>
      <c r="E55" s="22" t="e">
        <f>VLOOKUP($A55,TAB_CORRECAO_U[[Q_DIAS_U_PARC_TIR]:[V_FUT_U_CORC-02]],E$5, FALSE)</f>
        <v>#N/A</v>
      </c>
      <c r="F55" s="22" t="e">
        <f>VLOOKUP($A55,TAB_AMORTIZACAO_U[[Q_DIAS_U_PARC_TIR]:[V_FUT_U_PCPL-02]], F$5, FALSE)</f>
        <v>#N/A</v>
      </c>
      <c r="H55" s="20">
        <f t="shared" si="7"/>
        <v>0</v>
      </c>
      <c r="I55" s="21">
        <f t="shared" si="8"/>
        <v>0</v>
      </c>
      <c r="J55" s="22" t="e">
        <f>VLOOKUP($A55, TAB_JUROS_C[[DIAS_CORRIDOS]:[V_FUT_UTEIS]], J$5, FALSE)</f>
        <v>#N/A</v>
      </c>
      <c r="K55" s="22" t="e">
        <f>VLOOKUP($A55, TAB_CORRECAO_C[[DIAS_CORRIDOS]:[V_FUT_UTEIS]],K$5, FALSE)</f>
        <v>#N/A</v>
      </c>
      <c r="L55" s="22" t="e">
        <f>VLOOKUP($A55, TAB_AMORTIZACAO_C[[DIAS_CORRIDOS]:[V_FUT_UTEIS]], L$5, FALSE)</f>
        <v>#N/A</v>
      </c>
    </row>
    <row r="56" spans="1:12" hidden="1">
      <c r="A56" s="19">
        <f t="shared" si="9"/>
        <v>50</v>
      </c>
      <c r="B56" s="20">
        <f t="shared" si="5"/>
        <v>0</v>
      </c>
      <c r="C56" s="21">
        <f t="shared" si="6"/>
        <v>0</v>
      </c>
      <c r="D56" s="22" t="e">
        <f>VLOOKUP($A56, TAB_JUROS_U[[Q_DIAS_U_PARC_TIR]:[V_FUT_U_JURS CENARIO]], D$5, FALSE)</f>
        <v>#N/A</v>
      </c>
      <c r="E56" s="22" t="e">
        <f>VLOOKUP($A56,TAB_CORRECAO_U[[Q_DIAS_U_PARC_TIR]:[V_FUT_U_CORC-02]],E$5, FALSE)</f>
        <v>#N/A</v>
      </c>
      <c r="F56" s="22" t="e">
        <f>VLOOKUP($A56,TAB_AMORTIZACAO_U[[Q_DIAS_U_PARC_TIR]:[V_FUT_U_PCPL-02]], F$5, FALSE)</f>
        <v>#N/A</v>
      </c>
      <c r="H56" s="20">
        <f t="shared" si="7"/>
        <v>0</v>
      </c>
      <c r="I56" s="21">
        <f t="shared" si="8"/>
        <v>0</v>
      </c>
      <c r="J56" s="22" t="e">
        <f>VLOOKUP($A56, TAB_JUROS_C[[DIAS_CORRIDOS]:[V_FUT_UTEIS]], J$5, FALSE)</f>
        <v>#N/A</v>
      </c>
      <c r="K56" s="22" t="e">
        <f>VLOOKUP($A56, TAB_CORRECAO_C[[DIAS_CORRIDOS]:[V_FUT_UTEIS]],K$5, FALSE)</f>
        <v>#N/A</v>
      </c>
      <c r="L56" s="22" t="e">
        <f>VLOOKUP($A56, TAB_AMORTIZACAO_C[[DIAS_CORRIDOS]:[V_FUT_UTEIS]], L$5, FALSE)</f>
        <v>#N/A</v>
      </c>
    </row>
    <row r="57" spans="1:12" hidden="1">
      <c r="A57" s="19">
        <f t="shared" si="9"/>
        <v>51</v>
      </c>
      <c r="B57" s="20">
        <f t="shared" si="5"/>
        <v>0</v>
      </c>
      <c r="C57" s="21">
        <f t="shared" si="6"/>
        <v>0</v>
      </c>
      <c r="D57" s="22" t="e">
        <f>VLOOKUP($A57, TAB_JUROS_U[[Q_DIAS_U_PARC_TIR]:[V_FUT_U_JURS CENARIO]], D$5, FALSE)</f>
        <v>#N/A</v>
      </c>
      <c r="E57" s="22" t="e">
        <f>VLOOKUP($A57,TAB_CORRECAO_U[[Q_DIAS_U_PARC_TIR]:[V_FUT_U_CORC-02]],E$5, FALSE)</f>
        <v>#N/A</v>
      </c>
      <c r="F57" s="22" t="e">
        <f>VLOOKUP($A57,TAB_AMORTIZACAO_U[[Q_DIAS_U_PARC_TIR]:[V_FUT_U_PCPL-02]], F$5, FALSE)</f>
        <v>#N/A</v>
      </c>
      <c r="H57" s="20">
        <f t="shared" si="7"/>
        <v>0</v>
      </c>
      <c r="I57" s="21">
        <f t="shared" si="8"/>
        <v>0</v>
      </c>
      <c r="J57" s="22" t="e">
        <f>VLOOKUP($A57, TAB_JUROS_C[[DIAS_CORRIDOS]:[V_FUT_UTEIS]], J$5, FALSE)</f>
        <v>#N/A</v>
      </c>
      <c r="K57" s="22" t="e">
        <f>VLOOKUP($A57, TAB_CORRECAO_C[[DIAS_CORRIDOS]:[V_FUT_UTEIS]],K$5, FALSE)</f>
        <v>#N/A</v>
      </c>
      <c r="L57" s="22" t="e">
        <f>VLOOKUP($A57, TAB_AMORTIZACAO_C[[DIAS_CORRIDOS]:[V_FUT_UTEIS]], L$5, FALSE)</f>
        <v>#N/A</v>
      </c>
    </row>
    <row r="58" spans="1:12">
      <c r="A58" s="19">
        <f t="shared" si="9"/>
        <v>52</v>
      </c>
      <c r="B58" s="20">
        <f t="shared" si="5"/>
        <v>2140.6543403310989</v>
      </c>
      <c r="C58" s="21">
        <f t="shared" si="6"/>
        <v>2140.6543403310989</v>
      </c>
      <c r="D58" s="22">
        <f>VLOOKUP($A58, TAB_JUROS_U[[Q_DIAS_U_PARC_TIR]:[V_FUT_U_JURS CENARIO]], D$5, FALSE)</f>
        <v>179.40157101158496</v>
      </c>
      <c r="E58" s="22">
        <f>VLOOKUP($A58,TAB_CORRECAO_U[[Q_DIAS_U_PARC_TIR]:[V_FUT_U_CORC-02]],E$5, FALSE)</f>
        <v>992.83122121938288</v>
      </c>
      <c r="F58" s="22">
        <f>VLOOKUP($A58,TAB_AMORTIZACAO_U[[Q_DIAS_U_PARC_TIR]:[V_FUT_U_PCPL-02]], F$5, FALSE)</f>
        <v>968.42154810013108</v>
      </c>
      <c r="H58" s="20">
        <f t="shared" si="7"/>
        <v>0</v>
      </c>
      <c r="I58" s="21">
        <f t="shared" si="8"/>
        <v>0</v>
      </c>
      <c r="J58" s="22" t="e">
        <f>VLOOKUP($A58, TAB_JUROS_C[[DIAS_CORRIDOS]:[V_FUT_UTEIS]], J$5, FALSE)</f>
        <v>#N/A</v>
      </c>
      <c r="K58" s="22" t="e">
        <f>VLOOKUP($A58, TAB_CORRECAO_C[[DIAS_CORRIDOS]:[V_FUT_UTEIS]],K$5, FALSE)</f>
        <v>#N/A</v>
      </c>
      <c r="L58" s="22" t="e">
        <f>VLOOKUP($A58, TAB_AMORTIZACAO_C[[DIAS_CORRIDOS]:[V_FUT_UTEIS]], L$5, FALSE)</f>
        <v>#N/A</v>
      </c>
    </row>
    <row r="59" spans="1:12" hidden="1">
      <c r="A59" s="19">
        <f t="shared" si="9"/>
        <v>53</v>
      </c>
      <c r="B59" s="20">
        <f t="shared" si="5"/>
        <v>0</v>
      </c>
      <c r="C59" s="21">
        <f t="shared" si="6"/>
        <v>0</v>
      </c>
      <c r="D59" s="22" t="e">
        <f>VLOOKUP($A59, TAB_JUROS_U[[Q_DIAS_U_PARC_TIR]:[V_FUT_U_JURS CENARIO]], D$5, FALSE)</f>
        <v>#N/A</v>
      </c>
      <c r="E59" s="22" t="e">
        <f>VLOOKUP($A59,TAB_CORRECAO_U[[Q_DIAS_U_PARC_TIR]:[V_FUT_U_CORC-02]],E$5, FALSE)</f>
        <v>#N/A</v>
      </c>
      <c r="F59" s="22" t="e">
        <f>VLOOKUP($A59,TAB_AMORTIZACAO_U[[Q_DIAS_U_PARC_TIR]:[V_FUT_U_PCPL-02]], F$5, FALSE)</f>
        <v>#N/A</v>
      </c>
      <c r="H59" s="20">
        <f t="shared" si="7"/>
        <v>0</v>
      </c>
      <c r="I59" s="21">
        <f t="shared" si="8"/>
        <v>0</v>
      </c>
      <c r="J59" s="22" t="e">
        <f>VLOOKUP($A59, TAB_JUROS_C[[DIAS_CORRIDOS]:[V_FUT_UTEIS]], J$5, FALSE)</f>
        <v>#N/A</v>
      </c>
      <c r="K59" s="22" t="e">
        <f>VLOOKUP($A59, TAB_CORRECAO_C[[DIAS_CORRIDOS]:[V_FUT_UTEIS]],K$5, FALSE)</f>
        <v>#N/A</v>
      </c>
      <c r="L59" s="22" t="e">
        <f>VLOOKUP($A59, TAB_AMORTIZACAO_C[[DIAS_CORRIDOS]:[V_FUT_UTEIS]], L$5, FALSE)</f>
        <v>#N/A</v>
      </c>
    </row>
    <row r="60" spans="1:12" hidden="1">
      <c r="A60" s="19">
        <f t="shared" si="9"/>
        <v>54</v>
      </c>
      <c r="B60" s="20">
        <f t="shared" si="5"/>
        <v>0</v>
      </c>
      <c r="C60" s="21">
        <f t="shared" si="6"/>
        <v>0</v>
      </c>
      <c r="D60" s="22" t="e">
        <f>VLOOKUP($A60, TAB_JUROS_U[[Q_DIAS_U_PARC_TIR]:[V_FUT_U_JURS CENARIO]], D$5, FALSE)</f>
        <v>#N/A</v>
      </c>
      <c r="E60" s="22" t="e">
        <f>VLOOKUP($A60,TAB_CORRECAO_U[[Q_DIAS_U_PARC_TIR]:[V_FUT_U_CORC-02]],E$5, FALSE)</f>
        <v>#N/A</v>
      </c>
      <c r="F60" s="22" t="e">
        <f>VLOOKUP($A60,TAB_AMORTIZACAO_U[[Q_DIAS_U_PARC_TIR]:[V_FUT_U_PCPL-02]], F$5, FALSE)</f>
        <v>#N/A</v>
      </c>
      <c r="H60" s="20">
        <f t="shared" si="7"/>
        <v>0</v>
      </c>
      <c r="I60" s="21">
        <f t="shared" si="8"/>
        <v>0</v>
      </c>
      <c r="J60" s="22" t="e">
        <f>VLOOKUP($A60, TAB_JUROS_C[[DIAS_CORRIDOS]:[V_FUT_UTEIS]], J$5, FALSE)</f>
        <v>#N/A</v>
      </c>
      <c r="K60" s="22" t="e">
        <f>VLOOKUP($A60, TAB_CORRECAO_C[[DIAS_CORRIDOS]:[V_FUT_UTEIS]],K$5, FALSE)</f>
        <v>#N/A</v>
      </c>
      <c r="L60" s="22" t="e">
        <f>VLOOKUP($A60, TAB_AMORTIZACAO_C[[DIAS_CORRIDOS]:[V_FUT_UTEIS]], L$5, FALSE)</f>
        <v>#N/A</v>
      </c>
    </row>
    <row r="61" spans="1:12" hidden="1">
      <c r="A61" s="19">
        <f t="shared" si="9"/>
        <v>55</v>
      </c>
      <c r="B61" s="20">
        <f t="shared" si="5"/>
        <v>0</v>
      </c>
      <c r="C61" s="21">
        <f t="shared" si="6"/>
        <v>0</v>
      </c>
      <c r="D61" s="22" t="e">
        <f>VLOOKUP($A61, TAB_JUROS_U[[Q_DIAS_U_PARC_TIR]:[V_FUT_U_JURS CENARIO]], D$5, FALSE)</f>
        <v>#N/A</v>
      </c>
      <c r="E61" s="22" t="e">
        <f>VLOOKUP($A61,TAB_CORRECAO_U[[Q_DIAS_U_PARC_TIR]:[V_FUT_U_CORC-02]],E$5, FALSE)</f>
        <v>#N/A</v>
      </c>
      <c r="F61" s="22" t="e">
        <f>VLOOKUP($A61,TAB_AMORTIZACAO_U[[Q_DIAS_U_PARC_TIR]:[V_FUT_U_PCPL-02]], F$5, FALSE)</f>
        <v>#N/A</v>
      </c>
      <c r="H61" s="20">
        <f t="shared" si="7"/>
        <v>0</v>
      </c>
      <c r="I61" s="21">
        <f t="shared" si="8"/>
        <v>0</v>
      </c>
      <c r="J61" s="22" t="e">
        <f>VLOOKUP($A61, TAB_JUROS_C[[DIAS_CORRIDOS]:[V_FUT_UTEIS]], J$5, FALSE)</f>
        <v>#N/A</v>
      </c>
      <c r="K61" s="22" t="e">
        <f>VLOOKUP($A61, TAB_CORRECAO_C[[DIAS_CORRIDOS]:[V_FUT_UTEIS]],K$5, FALSE)</f>
        <v>#N/A</v>
      </c>
      <c r="L61" s="22" t="e">
        <f>VLOOKUP($A61, TAB_AMORTIZACAO_C[[DIAS_CORRIDOS]:[V_FUT_UTEIS]], L$5, FALSE)</f>
        <v>#N/A</v>
      </c>
    </row>
    <row r="62" spans="1:12" hidden="1">
      <c r="A62" s="19">
        <f t="shared" si="9"/>
        <v>56</v>
      </c>
      <c r="B62" s="20">
        <f t="shared" si="5"/>
        <v>0</v>
      </c>
      <c r="C62" s="21">
        <f t="shared" si="6"/>
        <v>0</v>
      </c>
      <c r="D62" s="22" t="e">
        <f>VLOOKUP($A62, TAB_JUROS_U[[Q_DIAS_U_PARC_TIR]:[V_FUT_U_JURS CENARIO]], D$5, FALSE)</f>
        <v>#N/A</v>
      </c>
      <c r="E62" s="22" t="e">
        <f>VLOOKUP($A62,TAB_CORRECAO_U[[Q_DIAS_U_PARC_TIR]:[V_FUT_U_CORC-02]],E$5, FALSE)</f>
        <v>#N/A</v>
      </c>
      <c r="F62" s="22" t="e">
        <f>VLOOKUP($A62,TAB_AMORTIZACAO_U[[Q_DIAS_U_PARC_TIR]:[V_FUT_U_PCPL-02]], F$5, FALSE)</f>
        <v>#N/A</v>
      </c>
      <c r="H62" s="20">
        <f t="shared" si="7"/>
        <v>0</v>
      </c>
      <c r="I62" s="21">
        <f t="shared" si="8"/>
        <v>0</v>
      </c>
      <c r="J62" s="22" t="e">
        <f>VLOOKUP($A62, TAB_JUROS_C[[DIAS_CORRIDOS]:[V_FUT_UTEIS]], J$5, FALSE)</f>
        <v>#N/A</v>
      </c>
      <c r="K62" s="22" t="e">
        <f>VLOOKUP($A62, TAB_CORRECAO_C[[DIAS_CORRIDOS]:[V_FUT_UTEIS]],K$5, FALSE)</f>
        <v>#N/A</v>
      </c>
      <c r="L62" s="22" t="e">
        <f>VLOOKUP($A62, TAB_AMORTIZACAO_C[[DIAS_CORRIDOS]:[V_FUT_UTEIS]], L$5, FALSE)</f>
        <v>#N/A</v>
      </c>
    </row>
    <row r="63" spans="1:12" hidden="1">
      <c r="A63" s="19">
        <f t="shared" si="9"/>
        <v>57</v>
      </c>
      <c r="B63" s="20">
        <f t="shared" si="5"/>
        <v>0</v>
      </c>
      <c r="C63" s="21">
        <f t="shared" si="6"/>
        <v>0</v>
      </c>
      <c r="D63" s="22" t="e">
        <f>VLOOKUP($A63, TAB_JUROS_U[[Q_DIAS_U_PARC_TIR]:[V_FUT_U_JURS CENARIO]], D$5, FALSE)</f>
        <v>#N/A</v>
      </c>
      <c r="E63" s="22" t="e">
        <f>VLOOKUP($A63,TAB_CORRECAO_U[[Q_DIAS_U_PARC_TIR]:[V_FUT_U_CORC-02]],E$5, FALSE)</f>
        <v>#N/A</v>
      </c>
      <c r="F63" s="22" t="e">
        <f>VLOOKUP($A63,TAB_AMORTIZACAO_U[[Q_DIAS_U_PARC_TIR]:[V_FUT_U_PCPL-02]], F$5, FALSE)</f>
        <v>#N/A</v>
      </c>
      <c r="H63" s="20">
        <f t="shared" si="7"/>
        <v>0</v>
      </c>
      <c r="I63" s="21">
        <f t="shared" si="8"/>
        <v>0</v>
      </c>
      <c r="J63" s="22" t="e">
        <f>VLOOKUP($A63, TAB_JUROS_C[[DIAS_CORRIDOS]:[V_FUT_UTEIS]], J$5, FALSE)</f>
        <v>#N/A</v>
      </c>
      <c r="K63" s="22" t="e">
        <f>VLOOKUP($A63, TAB_CORRECAO_C[[DIAS_CORRIDOS]:[V_FUT_UTEIS]],K$5, FALSE)</f>
        <v>#N/A</v>
      </c>
      <c r="L63" s="22" t="e">
        <f>VLOOKUP($A63, TAB_AMORTIZACAO_C[[DIAS_CORRIDOS]:[V_FUT_UTEIS]], L$5, FALSE)</f>
        <v>#N/A</v>
      </c>
    </row>
    <row r="64" spans="1:12" hidden="1">
      <c r="A64" s="19">
        <f t="shared" si="9"/>
        <v>58</v>
      </c>
      <c r="B64" s="20">
        <f t="shared" si="5"/>
        <v>0</v>
      </c>
      <c r="C64" s="21">
        <f t="shared" si="6"/>
        <v>0</v>
      </c>
      <c r="D64" s="22" t="e">
        <f>VLOOKUP($A64, TAB_JUROS_U[[Q_DIAS_U_PARC_TIR]:[V_FUT_U_JURS CENARIO]], D$5, FALSE)</f>
        <v>#N/A</v>
      </c>
      <c r="E64" s="22" t="e">
        <f>VLOOKUP($A64,TAB_CORRECAO_U[[Q_DIAS_U_PARC_TIR]:[V_FUT_U_CORC-02]],E$5, FALSE)</f>
        <v>#N/A</v>
      </c>
      <c r="F64" s="22" t="e">
        <f>VLOOKUP($A64,TAB_AMORTIZACAO_U[[Q_DIAS_U_PARC_TIR]:[V_FUT_U_PCPL-02]], F$5, FALSE)</f>
        <v>#N/A</v>
      </c>
      <c r="H64" s="20">
        <f t="shared" si="7"/>
        <v>0</v>
      </c>
      <c r="I64" s="21">
        <f t="shared" si="8"/>
        <v>0</v>
      </c>
      <c r="J64" s="22" t="e">
        <f>VLOOKUP($A64, TAB_JUROS_C[[DIAS_CORRIDOS]:[V_FUT_UTEIS]], J$5, FALSE)</f>
        <v>#N/A</v>
      </c>
      <c r="K64" s="22" t="e">
        <f>VLOOKUP($A64, TAB_CORRECAO_C[[DIAS_CORRIDOS]:[V_FUT_UTEIS]],K$5, FALSE)</f>
        <v>#N/A</v>
      </c>
      <c r="L64" s="22" t="e">
        <f>VLOOKUP($A64, TAB_AMORTIZACAO_C[[DIAS_CORRIDOS]:[V_FUT_UTEIS]], L$5, FALSE)</f>
        <v>#N/A</v>
      </c>
    </row>
    <row r="65" spans="1:12" hidden="1">
      <c r="A65" s="19">
        <f t="shared" si="9"/>
        <v>59</v>
      </c>
      <c r="B65" s="20">
        <f t="shared" si="5"/>
        <v>0</v>
      </c>
      <c r="C65" s="21">
        <f t="shared" si="6"/>
        <v>0</v>
      </c>
      <c r="D65" s="22" t="e">
        <f>VLOOKUP($A65, TAB_JUROS_U[[Q_DIAS_U_PARC_TIR]:[V_FUT_U_JURS CENARIO]], D$5, FALSE)</f>
        <v>#N/A</v>
      </c>
      <c r="E65" s="22" t="e">
        <f>VLOOKUP($A65,TAB_CORRECAO_U[[Q_DIAS_U_PARC_TIR]:[V_FUT_U_CORC-02]],E$5, FALSE)</f>
        <v>#N/A</v>
      </c>
      <c r="F65" s="22" t="e">
        <f>VLOOKUP($A65,TAB_AMORTIZACAO_U[[Q_DIAS_U_PARC_TIR]:[V_FUT_U_PCPL-02]], F$5, FALSE)</f>
        <v>#N/A</v>
      </c>
      <c r="H65" s="20">
        <f t="shared" si="7"/>
        <v>0</v>
      </c>
      <c r="I65" s="21">
        <f t="shared" si="8"/>
        <v>0</v>
      </c>
      <c r="J65" s="22" t="e">
        <f>VLOOKUP($A65, TAB_JUROS_C[[DIAS_CORRIDOS]:[V_FUT_UTEIS]], J$5, FALSE)</f>
        <v>#N/A</v>
      </c>
      <c r="K65" s="22" t="e">
        <f>VLOOKUP($A65, TAB_CORRECAO_C[[DIAS_CORRIDOS]:[V_FUT_UTEIS]],K$5, FALSE)</f>
        <v>#N/A</v>
      </c>
      <c r="L65" s="22" t="e">
        <f>VLOOKUP($A65, TAB_AMORTIZACAO_C[[DIAS_CORRIDOS]:[V_FUT_UTEIS]], L$5, FALSE)</f>
        <v>#N/A</v>
      </c>
    </row>
    <row r="66" spans="1:12" hidden="1">
      <c r="A66" s="19">
        <f t="shared" si="9"/>
        <v>60</v>
      </c>
      <c r="B66" s="20">
        <f t="shared" si="5"/>
        <v>0</v>
      </c>
      <c r="C66" s="21">
        <f t="shared" si="6"/>
        <v>0</v>
      </c>
      <c r="D66" s="22" t="e">
        <f>VLOOKUP($A66, TAB_JUROS_U[[Q_DIAS_U_PARC_TIR]:[V_FUT_U_JURS CENARIO]], D$5, FALSE)</f>
        <v>#N/A</v>
      </c>
      <c r="E66" s="22" t="e">
        <f>VLOOKUP($A66,TAB_CORRECAO_U[[Q_DIAS_U_PARC_TIR]:[V_FUT_U_CORC-02]],E$5, FALSE)</f>
        <v>#N/A</v>
      </c>
      <c r="F66" s="22" t="e">
        <f>VLOOKUP($A66,TAB_AMORTIZACAO_U[[Q_DIAS_U_PARC_TIR]:[V_FUT_U_PCPL-02]], F$5, FALSE)</f>
        <v>#N/A</v>
      </c>
      <c r="H66" s="20">
        <f t="shared" si="7"/>
        <v>0</v>
      </c>
      <c r="I66" s="21">
        <f t="shared" si="8"/>
        <v>0</v>
      </c>
      <c r="J66" s="22" t="e">
        <f>VLOOKUP($A66, TAB_JUROS_C[[DIAS_CORRIDOS]:[V_FUT_UTEIS]], J$5, FALSE)</f>
        <v>#N/A</v>
      </c>
      <c r="K66" s="22" t="e">
        <f>VLOOKUP($A66, TAB_CORRECAO_C[[DIAS_CORRIDOS]:[V_FUT_UTEIS]],K$5, FALSE)</f>
        <v>#N/A</v>
      </c>
      <c r="L66" s="22" t="e">
        <f>VLOOKUP($A66, TAB_AMORTIZACAO_C[[DIAS_CORRIDOS]:[V_FUT_UTEIS]], L$5, FALSE)</f>
        <v>#N/A</v>
      </c>
    </row>
    <row r="67" spans="1:12" hidden="1">
      <c r="A67" s="19">
        <f t="shared" si="9"/>
        <v>61</v>
      </c>
      <c r="B67" s="20">
        <f t="shared" si="5"/>
        <v>0</v>
      </c>
      <c r="C67" s="21">
        <f t="shared" si="6"/>
        <v>0</v>
      </c>
      <c r="D67" s="22" t="e">
        <f>VLOOKUP($A67, TAB_JUROS_U[[Q_DIAS_U_PARC_TIR]:[V_FUT_U_JURS CENARIO]], D$5, FALSE)</f>
        <v>#N/A</v>
      </c>
      <c r="E67" s="22" t="e">
        <f>VLOOKUP($A67,TAB_CORRECAO_U[[Q_DIAS_U_PARC_TIR]:[V_FUT_U_CORC-02]],E$5, FALSE)</f>
        <v>#N/A</v>
      </c>
      <c r="F67" s="22" t="e">
        <f>VLOOKUP($A67,TAB_AMORTIZACAO_U[[Q_DIAS_U_PARC_TIR]:[V_FUT_U_PCPL-02]], F$5, FALSE)</f>
        <v>#N/A</v>
      </c>
      <c r="H67" s="20">
        <f t="shared" si="7"/>
        <v>0</v>
      </c>
      <c r="I67" s="21">
        <f t="shared" si="8"/>
        <v>0</v>
      </c>
      <c r="J67" s="22" t="e">
        <f>VLOOKUP($A67, TAB_JUROS_C[[DIAS_CORRIDOS]:[V_FUT_UTEIS]], J$5, FALSE)</f>
        <v>#N/A</v>
      </c>
      <c r="K67" s="22" t="e">
        <f>VLOOKUP($A67, TAB_CORRECAO_C[[DIAS_CORRIDOS]:[V_FUT_UTEIS]],K$5, FALSE)</f>
        <v>#N/A</v>
      </c>
      <c r="L67" s="22" t="e">
        <f>VLOOKUP($A67, TAB_AMORTIZACAO_C[[DIAS_CORRIDOS]:[V_FUT_UTEIS]], L$5, FALSE)</f>
        <v>#N/A</v>
      </c>
    </row>
    <row r="68" spans="1:12" hidden="1">
      <c r="A68" s="19">
        <f t="shared" si="9"/>
        <v>62</v>
      </c>
      <c r="B68" s="20">
        <f t="shared" si="5"/>
        <v>0</v>
      </c>
      <c r="C68" s="21">
        <f t="shared" si="6"/>
        <v>0</v>
      </c>
      <c r="D68" s="22" t="e">
        <f>VLOOKUP($A68, TAB_JUROS_U[[Q_DIAS_U_PARC_TIR]:[V_FUT_U_JURS CENARIO]], D$5, FALSE)</f>
        <v>#N/A</v>
      </c>
      <c r="E68" s="22" t="e">
        <f>VLOOKUP($A68,TAB_CORRECAO_U[[Q_DIAS_U_PARC_TIR]:[V_FUT_U_CORC-02]],E$5, FALSE)</f>
        <v>#N/A</v>
      </c>
      <c r="F68" s="22" t="e">
        <f>VLOOKUP($A68,TAB_AMORTIZACAO_U[[Q_DIAS_U_PARC_TIR]:[V_FUT_U_PCPL-02]], F$5, FALSE)</f>
        <v>#N/A</v>
      </c>
      <c r="H68" s="20">
        <f t="shared" si="7"/>
        <v>0</v>
      </c>
      <c r="I68" s="21">
        <f t="shared" si="8"/>
        <v>0</v>
      </c>
      <c r="J68" s="22" t="e">
        <f>VLOOKUP($A68, TAB_JUROS_C[[DIAS_CORRIDOS]:[V_FUT_UTEIS]], J$5, FALSE)</f>
        <v>#N/A</v>
      </c>
      <c r="K68" s="22" t="e">
        <f>VLOOKUP($A68, TAB_CORRECAO_C[[DIAS_CORRIDOS]:[V_FUT_UTEIS]],K$5, FALSE)</f>
        <v>#N/A</v>
      </c>
      <c r="L68" s="22" t="e">
        <f>VLOOKUP($A68, TAB_AMORTIZACAO_C[[DIAS_CORRIDOS]:[V_FUT_UTEIS]], L$5, FALSE)</f>
        <v>#N/A</v>
      </c>
    </row>
    <row r="69" spans="1:12" hidden="1">
      <c r="A69" s="19">
        <f t="shared" si="9"/>
        <v>63</v>
      </c>
      <c r="B69" s="20">
        <f t="shared" si="5"/>
        <v>0</v>
      </c>
      <c r="C69" s="21">
        <f t="shared" si="6"/>
        <v>0</v>
      </c>
      <c r="D69" s="22" t="e">
        <f>VLOOKUP($A69, TAB_JUROS_U[[Q_DIAS_U_PARC_TIR]:[V_FUT_U_JURS CENARIO]], D$5, FALSE)</f>
        <v>#N/A</v>
      </c>
      <c r="E69" s="22" t="e">
        <f>VLOOKUP($A69,TAB_CORRECAO_U[[Q_DIAS_U_PARC_TIR]:[V_FUT_U_CORC-02]],E$5, FALSE)</f>
        <v>#N/A</v>
      </c>
      <c r="F69" s="22" t="e">
        <f>VLOOKUP($A69,TAB_AMORTIZACAO_U[[Q_DIAS_U_PARC_TIR]:[V_FUT_U_PCPL-02]], F$5, FALSE)</f>
        <v>#N/A</v>
      </c>
      <c r="H69" s="20">
        <f t="shared" si="7"/>
        <v>0</v>
      </c>
      <c r="I69" s="21">
        <f t="shared" si="8"/>
        <v>0</v>
      </c>
      <c r="J69" s="22" t="e">
        <f>VLOOKUP($A69, TAB_JUROS_C[[DIAS_CORRIDOS]:[V_FUT_UTEIS]], J$5, FALSE)</f>
        <v>#N/A</v>
      </c>
      <c r="K69" s="22" t="e">
        <f>VLOOKUP($A69, TAB_CORRECAO_C[[DIAS_CORRIDOS]:[V_FUT_UTEIS]],K$5, FALSE)</f>
        <v>#N/A</v>
      </c>
      <c r="L69" s="22" t="e">
        <f>VLOOKUP($A69, TAB_AMORTIZACAO_C[[DIAS_CORRIDOS]:[V_FUT_UTEIS]], L$5, FALSE)</f>
        <v>#N/A</v>
      </c>
    </row>
    <row r="70" spans="1:12" hidden="1">
      <c r="A70" s="19">
        <f t="shared" si="9"/>
        <v>64</v>
      </c>
      <c r="B70" s="20">
        <f t="shared" si="5"/>
        <v>0</v>
      </c>
      <c r="C70" s="21">
        <f t="shared" si="6"/>
        <v>0</v>
      </c>
      <c r="D70" s="22" t="e">
        <f>VLOOKUP($A70, TAB_JUROS_U[[Q_DIAS_U_PARC_TIR]:[V_FUT_U_JURS CENARIO]], D$5, FALSE)</f>
        <v>#N/A</v>
      </c>
      <c r="E70" s="22" t="e">
        <f>VLOOKUP($A70,TAB_CORRECAO_U[[Q_DIAS_U_PARC_TIR]:[V_FUT_U_CORC-02]],E$5, FALSE)</f>
        <v>#N/A</v>
      </c>
      <c r="F70" s="22" t="e">
        <f>VLOOKUP($A70,TAB_AMORTIZACAO_U[[Q_DIAS_U_PARC_TIR]:[V_FUT_U_PCPL-02]], F$5, FALSE)</f>
        <v>#N/A</v>
      </c>
      <c r="H70" s="20">
        <f t="shared" si="7"/>
        <v>0</v>
      </c>
      <c r="I70" s="21">
        <f t="shared" si="8"/>
        <v>0</v>
      </c>
      <c r="J70" s="22" t="e">
        <f>VLOOKUP($A70, TAB_JUROS_C[[DIAS_CORRIDOS]:[V_FUT_UTEIS]], J$5, FALSE)</f>
        <v>#N/A</v>
      </c>
      <c r="K70" s="22" t="e">
        <f>VLOOKUP($A70, TAB_CORRECAO_C[[DIAS_CORRIDOS]:[V_FUT_UTEIS]],K$5, FALSE)</f>
        <v>#N/A</v>
      </c>
      <c r="L70" s="22" t="e">
        <f>VLOOKUP($A70, TAB_AMORTIZACAO_C[[DIAS_CORRIDOS]:[V_FUT_UTEIS]], L$5, FALSE)</f>
        <v>#N/A</v>
      </c>
    </row>
    <row r="71" spans="1:12" hidden="1">
      <c r="A71" s="19">
        <f t="shared" si="9"/>
        <v>65</v>
      </c>
      <c r="B71" s="20">
        <f t="shared" si="5"/>
        <v>0</v>
      </c>
      <c r="C71" s="21">
        <f t="shared" si="6"/>
        <v>0</v>
      </c>
      <c r="D71" s="22" t="e">
        <f>VLOOKUP($A71, TAB_JUROS_U[[Q_DIAS_U_PARC_TIR]:[V_FUT_U_JURS CENARIO]], D$5, FALSE)</f>
        <v>#N/A</v>
      </c>
      <c r="E71" s="22" t="e">
        <f>VLOOKUP($A71,TAB_CORRECAO_U[[Q_DIAS_U_PARC_TIR]:[V_FUT_U_CORC-02]],E$5, FALSE)</f>
        <v>#N/A</v>
      </c>
      <c r="F71" s="22" t="e">
        <f>VLOOKUP($A71,TAB_AMORTIZACAO_U[[Q_DIAS_U_PARC_TIR]:[V_FUT_U_PCPL-02]], F$5, FALSE)</f>
        <v>#N/A</v>
      </c>
      <c r="H71" s="20">
        <f t="shared" si="7"/>
        <v>0</v>
      </c>
      <c r="I71" s="21">
        <f t="shared" si="8"/>
        <v>0</v>
      </c>
      <c r="J71" s="22" t="e">
        <f>VLOOKUP($A71, TAB_JUROS_C[[DIAS_CORRIDOS]:[V_FUT_UTEIS]], J$5, FALSE)</f>
        <v>#N/A</v>
      </c>
      <c r="K71" s="22" t="e">
        <f>VLOOKUP($A71, TAB_CORRECAO_C[[DIAS_CORRIDOS]:[V_FUT_UTEIS]],K$5, FALSE)</f>
        <v>#N/A</v>
      </c>
      <c r="L71" s="22" t="e">
        <f>VLOOKUP($A71, TAB_AMORTIZACAO_C[[DIAS_CORRIDOS]:[V_FUT_UTEIS]], L$5, FALSE)</f>
        <v>#N/A</v>
      </c>
    </row>
    <row r="72" spans="1:12" hidden="1">
      <c r="A72" s="19">
        <f t="shared" si="9"/>
        <v>66</v>
      </c>
      <c r="B72" s="20">
        <f t="shared" si="5"/>
        <v>0</v>
      </c>
      <c r="C72" s="21">
        <f t="shared" si="6"/>
        <v>0</v>
      </c>
      <c r="D72" s="22" t="e">
        <f>VLOOKUP($A72, TAB_JUROS_U[[Q_DIAS_U_PARC_TIR]:[V_FUT_U_JURS CENARIO]], D$5, FALSE)</f>
        <v>#N/A</v>
      </c>
      <c r="E72" s="22" t="e">
        <f>VLOOKUP($A72,TAB_CORRECAO_U[[Q_DIAS_U_PARC_TIR]:[V_FUT_U_CORC-02]],E$5, FALSE)</f>
        <v>#N/A</v>
      </c>
      <c r="F72" s="22" t="e">
        <f>VLOOKUP($A72,TAB_AMORTIZACAO_U[[Q_DIAS_U_PARC_TIR]:[V_FUT_U_PCPL-02]], F$5, FALSE)</f>
        <v>#N/A</v>
      </c>
      <c r="H72" s="20">
        <f t="shared" si="7"/>
        <v>0</v>
      </c>
      <c r="I72" s="21">
        <f t="shared" si="8"/>
        <v>0</v>
      </c>
      <c r="J72" s="22" t="e">
        <f>VLOOKUP($A72, TAB_JUROS_C[[DIAS_CORRIDOS]:[V_FUT_UTEIS]], J$5, FALSE)</f>
        <v>#N/A</v>
      </c>
      <c r="K72" s="22" t="e">
        <f>VLOOKUP($A72, TAB_CORRECAO_C[[DIAS_CORRIDOS]:[V_FUT_UTEIS]],K$5, FALSE)</f>
        <v>#N/A</v>
      </c>
      <c r="L72" s="22" t="e">
        <f>VLOOKUP($A72, TAB_AMORTIZACAO_C[[DIAS_CORRIDOS]:[V_FUT_UTEIS]], L$5, FALSE)</f>
        <v>#N/A</v>
      </c>
    </row>
    <row r="73" spans="1:12" hidden="1">
      <c r="A73" s="19">
        <f t="shared" si="9"/>
        <v>67</v>
      </c>
      <c r="B73" s="20">
        <f t="shared" ref="B73:B136" si="10">IF(ISERROR(C73), 0, C73)</f>
        <v>0</v>
      </c>
      <c r="C73" s="21">
        <f t="shared" ref="C73:C136" si="11">SUMIF(D73:F73, "&gt;0", D73:F73)</f>
        <v>0</v>
      </c>
      <c r="D73" s="22" t="e">
        <f>VLOOKUP($A73, TAB_JUROS_U[[Q_DIAS_U_PARC_TIR]:[V_FUT_U_JURS CENARIO]], D$5, FALSE)</f>
        <v>#N/A</v>
      </c>
      <c r="E73" s="22" t="e">
        <f>VLOOKUP($A73,TAB_CORRECAO_U[[Q_DIAS_U_PARC_TIR]:[V_FUT_U_CORC-02]],E$5, FALSE)</f>
        <v>#N/A</v>
      </c>
      <c r="F73" s="22" t="e">
        <f>VLOOKUP($A73,TAB_AMORTIZACAO_U[[Q_DIAS_U_PARC_TIR]:[V_FUT_U_PCPL-02]], F$5, FALSE)</f>
        <v>#N/A</v>
      </c>
      <c r="H73" s="20">
        <f t="shared" ref="H73:H136" si="12">IF(ISERROR(I73), 0, I73)</f>
        <v>0</v>
      </c>
      <c r="I73" s="21">
        <f t="shared" ref="I73:I136" si="13">SUMIF(J73:L73, "&gt;0", J73:L73)</f>
        <v>0</v>
      </c>
      <c r="J73" s="22" t="e">
        <f>VLOOKUP($A73, TAB_JUROS_C[[DIAS_CORRIDOS]:[V_FUT_UTEIS]], J$5, FALSE)</f>
        <v>#N/A</v>
      </c>
      <c r="K73" s="22" t="e">
        <f>VLOOKUP($A73, TAB_CORRECAO_C[[DIAS_CORRIDOS]:[V_FUT_UTEIS]],K$5, FALSE)</f>
        <v>#N/A</v>
      </c>
      <c r="L73" s="22" t="e">
        <f>VLOOKUP($A73, TAB_AMORTIZACAO_C[[DIAS_CORRIDOS]:[V_FUT_UTEIS]], L$5, FALSE)</f>
        <v>#N/A</v>
      </c>
    </row>
    <row r="74" spans="1:12" hidden="1">
      <c r="A74" s="19">
        <f t="shared" ref="A74:A137" si="14">A73+1</f>
        <v>68</v>
      </c>
      <c r="B74" s="20">
        <f t="shared" si="10"/>
        <v>0</v>
      </c>
      <c r="C74" s="21">
        <f t="shared" si="11"/>
        <v>0</v>
      </c>
      <c r="D74" s="22" t="e">
        <f>VLOOKUP($A74, TAB_JUROS_U[[Q_DIAS_U_PARC_TIR]:[V_FUT_U_JURS CENARIO]], D$5, FALSE)</f>
        <v>#N/A</v>
      </c>
      <c r="E74" s="22" t="e">
        <f>VLOOKUP($A74,TAB_CORRECAO_U[[Q_DIAS_U_PARC_TIR]:[V_FUT_U_CORC-02]],E$5, FALSE)</f>
        <v>#N/A</v>
      </c>
      <c r="F74" s="22" t="e">
        <f>VLOOKUP($A74,TAB_AMORTIZACAO_U[[Q_DIAS_U_PARC_TIR]:[V_FUT_U_PCPL-02]], F$5, FALSE)</f>
        <v>#N/A</v>
      </c>
      <c r="H74" s="20">
        <f t="shared" si="12"/>
        <v>0</v>
      </c>
      <c r="I74" s="21">
        <f t="shared" si="13"/>
        <v>0</v>
      </c>
      <c r="J74" s="22" t="e">
        <f>VLOOKUP($A74, TAB_JUROS_C[[DIAS_CORRIDOS]:[V_FUT_UTEIS]], J$5, FALSE)</f>
        <v>#N/A</v>
      </c>
      <c r="K74" s="22" t="e">
        <f>VLOOKUP($A74, TAB_CORRECAO_C[[DIAS_CORRIDOS]:[V_FUT_UTEIS]],K$5, FALSE)</f>
        <v>#N/A</v>
      </c>
      <c r="L74" s="22" t="e">
        <f>VLOOKUP($A74, TAB_AMORTIZACAO_C[[DIAS_CORRIDOS]:[V_FUT_UTEIS]], L$5, FALSE)</f>
        <v>#N/A</v>
      </c>
    </row>
    <row r="75" spans="1:12" hidden="1">
      <c r="A75" s="19">
        <f t="shared" si="14"/>
        <v>69</v>
      </c>
      <c r="B75" s="20">
        <f t="shared" si="10"/>
        <v>0</v>
      </c>
      <c r="C75" s="21">
        <f t="shared" si="11"/>
        <v>0</v>
      </c>
      <c r="D75" s="22" t="e">
        <f>VLOOKUP($A75, TAB_JUROS_U[[Q_DIAS_U_PARC_TIR]:[V_FUT_U_JURS CENARIO]], D$5, FALSE)</f>
        <v>#N/A</v>
      </c>
      <c r="E75" s="22" t="e">
        <f>VLOOKUP($A75,TAB_CORRECAO_U[[Q_DIAS_U_PARC_TIR]:[V_FUT_U_CORC-02]],E$5, FALSE)</f>
        <v>#N/A</v>
      </c>
      <c r="F75" s="22" t="e">
        <f>VLOOKUP($A75,TAB_AMORTIZACAO_U[[Q_DIAS_U_PARC_TIR]:[V_FUT_U_PCPL-02]], F$5, FALSE)</f>
        <v>#N/A</v>
      </c>
      <c r="H75" s="20">
        <f t="shared" si="12"/>
        <v>0</v>
      </c>
      <c r="I75" s="21">
        <f t="shared" si="13"/>
        <v>0</v>
      </c>
      <c r="J75" s="22" t="e">
        <f>VLOOKUP($A75, TAB_JUROS_C[[DIAS_CORRIDOS]:[V_FUT_UTEIS]], J$5, FALSE)</f>
        <v>#N/A</v>
      </c>
      <c r="K75" s="22" t="e">
        <f>VLOOKUP($A75, TAB_CORRECAO_C[[DIAS_CORRIDOS]:[V_FUT_UTEIS]],K$5, FALSE)</f>
        <v>#N/A</v>
      </c>
      <c r="L75" s="22" t="e">
        <f>VLOOKUP($A75, TAB_AMORTIZACAO_C[[DIAS_CORRIDOS]:[V_FUT_UTEIS]], L$5, FALSE)</f>
        <v>#N/A</v>
      </c>
    </row>
    <row r="76" spans="1:12" hidden="1">
      <c r="A76" s="19">
        <f t="shared" si="14"/>
        <v>70</v>
      </c>
      <c r="B76" s="20">
        <f t="shared" si="10"/>
        <v>0</v>
      </c>
      <c r="C76" s="21">
        <f t="shared" si="11"/>
        <v>0</v>
      </c>
      <c r="D76" s="22" t="e">
        <f>VLOOKUP($A76, TAB_JUROS_U[[Q_DIAS_U_PARC_TIR]:[V_FUT_U_JURS CENARIO]], D$5, FALSE)</f>
        <v>#N/A</v>
      </c>
      <c r="E76" s="22" t="e">
        <f>VLOOKUP($A76,TAB_CORRECAO_U[[Q_DIAS_U_PARC_TIR]:[V_FUT_U_CORC-02]],E$5, FALSE)</f>
        <v>#N/A</v>
      </c>
      <c r="F76" s="22" t="e">
        <f>VLOOKUP($A76,TAB_AMORTIZACAO_U[[Q_DIAS_U_PARC_TIR]:[V_FUT_U_PCPL-02]], F$5, FALSE)</f>
        <v>#N/A</v>
      </c>
      <c r="H76" s="20">
        <f t="shared" si="12"/>
        <v>0</v>
      </c>
      <c r="I76" s="21">
        <f t="shared" si="13"/>
        <v>0</v>
      </c>
      <c r="J76" s="22" t="e">
        <f>VLOOKUP($A76, TAB_JUROS_C[[DIAS_CORRIDOS]:[V_FUT_UTEIS]], J$5, FALSE)</f>
        <v>#N/A</v>
      </c>
      <c r="K76" s="22" t="e">
        <f>VLOOKUP($A76, TAB_CORRECAO_C[[DIAS_CORRIDOS]:[V_FUT_UTEIS]],K$5, FALSE)</f>
        <v>#N/A</v>
      </c>
      <c r="L76" s="22" t="e">
        <f>VLOOKUP($A76, TAB_AMORTIZACAO_C[[DIAS_CORRIDOS]:[V_FUT_UTEIS]], L$5, FALSE)</f>
        <v>#N/A</v>
      </c>
    </row>
    <row r="77" spans="1:12" hidden="1">
      <c r="A77" s="19">
        <f t="shared" si="14"/>
        <v>71</v>
      </c>
      <c r="B77" s="20">
        <f t="shared" si="10"/>
        <v>0</v>
      </c>
      <c r="C77" s="21">
        <f t="shared" si="11"/>
        <v>0</v>
      </c>
      <c r="D77" s="22" t="e">
        <f>VLOOKUP($A77, TAB_JUROS_U[[Q_DIAS_U_PARC_TIR]:[V_FUT_U_JURS CENARIO]], D$5, FALSE)</f>
        <v>#N/A</v>
      </c>
      <c r="E77" s="22" t="e">
        <f>VLOOKUP($A77,TAB_CORRECAO_U[[Q_DIAS_U_PARC_TIR]:[V_FUT_U_CORC-02]],E$5, FALSE)</f>
        <v>#N/A</v>
      </c>
      <c r="F77" s="22" t="e">
        <f>VLOOKUP($A77,TAB_AMORTIZACAO_U[[Q_DIAS_U_PARC_TIR]:[V_FUT_U_PCPL-02]], F$5, FALSE)</f>
        <v>#N/A</v>
      </c>
      <c r="H77" s="20">
        <f t="shared" si="12"/>
        <v>2140.6543403310989</v>
      </c>
      <c r="I77" s="21">
        <f t="shared" si="13"/>
        <v>2140.6543403310989</v>
      </c>
      <c r="J77" s="22">
        <f>VLOOKUP($A77, TAB_JUROS_C[[DIAS_CORRIDOS]:[V_FUT_UTEIS]], J$5, FALSE)</f>
        <v>179.40157101158496</v>
      </c>
      <c r="K77" s="22">
        <f>VLOOKUP($A77, TAB_CORRECAO_C[[DIAS_CORRIDOS]:[V_FUT_UTEIS]],K$5, FALSE)</f>
        <v>992.83122121938288</v>
      </c>
      <c r="L77" s="22">
        <f>VLOOKUP($A77, TAB_AMORTIZACAO_C[[DIAS_CORRIDOS]:[V_FUT_UTEIS]], L$5, FALSE)</f>
        <v>968.42154810013108</v>
      </c>
    </row>
    <row r="78" spans="1:12" hidden="1">
      <c r="A78" s="19">
        <f t="shared" si="14"/>
        <v>72</v>
      </c>
      <c r="B78" s="20">
        <f t="shared" si="10"/>
        <v>0</v>
      </c>
      <c r="C78" s="21">
        <f t="shared" si="11"/>
        <v>0</v>
      </c>
      <c r="D78" s="22" t="e">
        <f>VLOOKUP($A78, TAB_JUROS_U[[Q_DIAS_U_PARC_TIR]:[V_FUT_U_JURS CENARIO]], D$5, FALSE)</f>
        <v>#N/A</v>
      </c>
      <c r="E78" s="22" t="e">
        <f>VLOOKUP($A78,TAB_CORRECAO_U[[Q_DIAS_U_PARC_TIR]:[V_FUT_U_CORC-02]],E$5, FALSE)</f>
        <v>#N/A</v>
      </c>
      <c r="F78" s="22" t="e">
        <f>VLOOKUP($A78,TAB_AMORTIZACAO_U[[Q_DIAS_U_PARC_TIR]:[V_FUT_U_PCPL-02]], F$5, FALSE)</f>
        <v>#N/A</v>
      </c>
      <c r="H78" s="20">
        <f t="shared" si="12"/>
        <v>0</v>
      </c>
      <c r="I78" s="21">
        <f t="shared" si="13"/>
        <v>0</v>
      </c>
      <c r="J78" s="22" t="e">
        <f>VLOOKUP($A78, TAB_JUROS_C[[DIAS_CORRIDOS]:[V_FUT_UTEIS]], J$5, FALSE)</f>
        <v>#N/A</v>
      </c>
      <c r="K78" s="22" t="e">
        <f>VLOOKUP($A78, TAB_CORRECAO_C[[DIAS_CORRIDOS]:[V_FUT_UTEIS]],K$5, FALSE)</f>
        <v>#N/A</v>
      </c>
      <c r="L78" s="22" t="e">
        <f>VLOOKUP($A78, TAB_AMORTIZACAO_C[[DIAS_CORRIDOS]:[V_FUT_UTEIS]], L$5, FALSE)</f>
        <v>#N/A</v>
      </c>
    </row>
    <row r="79" spans="1:12" hidden="1">
      <c r="A79" s="19">
        <f t="shared" si="14"/>
        <v>73</v>
      </c>
      <c r="B79" s="20">
        <f t="shared" si="10"/>
        <v>0</v>
      </c>
      <c r="C79" s="21">
        <f t="shared" si="11"/>
        <v>0</v>
      </c>
      <c r="D79" s="22" t="e">
        <f>VLOOKUP($A79, TAB_JUROS_U[[Q_DIAS_U_PARC_TIR]:[V_FUT_U_JURS CENARIO]], D$5, FALSE)</f>
        <v>#N/A</v>
      </c>
      <c r="E79" s="22" t="e">
        <f>VLOOKUP($A79,TAB_CORRECAO_U[[Q_DIAS_U_PARC_TIR]:[V_FUT_U_CORC-02]],E$5, FALSE)</f>
        <v>#N/A</v>
      </c>
      <c r="F79" s="22" t="e">
        <f>VLOOKUP($A79,TAB_AMORTIZACAO_U[[Q_DIAS_U_PARC_TIR]:[V_FUT_U_PCPL-02]], F$5, FALSE)</f>
        <v>#N/A</v>
      </c>
      <c r="H79" s="20">
        <f t="shared" si="12"/>
        <v>0</v>
      </c>
      <c r="I79" s="21">
        <f t="shared" si="13"/>
        <v>0</v>
      </c>
      <c r="J79" s="22" t="e">
        <f>VLOOKUP($A79, TAB_JUROS_C[[DIAS_CORRIDOS]:[V_FUT_UTEIS]], J$5, FALSE)</f>
        <v>#N/A</v>
      </c>
      <c r="K79" s="22" t="e">
        <f>VLOOKUP($A79, TAB_CORRECAO_C[[DIAS_CORRIDOS]:[V_FUT_UTEIS]],K$5, FALSE)</f>
        <v>#N/A</v>
      </c>
      <c r="L79" s="22" t="e">
        <f>VLOOKUP($A79, TAB_AMORTIZACAO_C[[DIAS_CORRIDOS]:[V_FUT_UTEIS]], L$5, FALSE)</f>
        <v>#N/A</v>
      </c>
    </row>
    <row r="80" spans="1:12">
      <c r="A80" s="19">
        <f t="shared" si="14"/>
        <v>74</v>
      </c>
      <c r="B80" s="20">
        <f t="shared" si="10"/>
        <v>2282.5161903791336</v>
      </c>
      <c r="C80" s="21">
        <f t="shared" si="11"/>
        <v>2282.5161903791336</v>
      </c>
      <c r="D80" s="22">
        <f>VLOOKUP($A80, TAB_JUROS_U[[Q_DIAS_U_PARC_TIR]:[V_FUT_U_JURS CENARIO]], D$5, FALSE)</f>
        <v>203.51849332265758</v>
      </c>
      <c r="E80" s="22">
        <f>VLOOKUP($A80,TAB_CORRECAO_U[[Q_DIAS_U_PARC_TIR]:[V_FUT_U_CORC-02]],E$5, FALSE)</f>
        <v>1162.1676043873256</v>
      </c>
      <c r="F80" s="22">
        <f>VLOOKUP($A80,TAB_AMORTIZACAO_U[[Q_DIAS_U_PARC_TIR]:[V_FUT_U_PCPL-02]], F$5, FALSE)</f>
        <v>916.83009266915053</v>
      </c>
      <c r="H80" s="20">
        <f t="shared" si="12"/>
        <v>0</v>
      </c>
      <c r="I80" s="21">
        <f t="shared" si="13"/>
        <v>0</v>
      </c>
      <c r="J80" s="22" t="e">
        <f>VLOOKUP($A80, TAB_JUROS_C[[DIAS_CORRIDOS]:[V_FUT_UTEIS]], J$5, FALSE)</f>
        <v>#N/A</v>
      </c>
      <c r="K80" s="22" t="e">
        <f>VLOOKUP($A80, TAB_CORRECAO_C[[DIAS_CORRIDOS]:[V_FUT_UTEIS]],K$5, FALSE)</f>
        <v>#N/A</v>
      </c>
      <c r="L80" s="22" t="e">
        <f>VLOOKUP($A80, TAB_AMORTIZACAO_C[[DIAS_CORRIDOS]:[V_FUT_UTEIS]], L$5, FALSE)</f>
        <v>#N/A</v>
      </c>
    </row>
    <row r="81" spans="1:12" hidden="1">
      <c r="A81" s="19">
        <f t="shared" si="14"/>
        <v>75</v>
      </c>
      <c r="B81" s="20">
        <f t="shared" si="10"/>
        <v>0</v>
      </c>
      <c r="C81" s="21">
        <f t="shared" si="11"/>
        <v>0</v>
      </c>
      <c r="D81" s="22" t="e">
        <f>VLOOKUP($A81, TAB_JUROS_U[[Q_DIAS_U_PARC_TIR]:[V_FUT_U_JURS CENARIO]], D$5, FALSE)</f>
        <v>#N/A</v>
      </c>
      <c r="E81" s="22" t="e">
        <f>VLOOKUP($A81,TAB_CORRECAO_U[[Q_DIAS_U_PARC_TIR]:[V_FUT_U_CORC-02]],E$5, FALSE)</f>
        <v>#N/A</v>
      </c>
      <c r="F81" s="22" t="e">
        <f>VLOOKUP($A81,TAB_AMORTIZACAO_U[[Q_DIAS_U_PARC_TIR]:[V_FUT_U_PCPL-02]], F$5, FALSE)</f>
        <v>#N/A</v>
      </c>
      <c r="H81" s="20">
        <f t="shared" si="12"/>
        <v>0</v>
      </c>
      <c r="I81" s="21">
        <f t="shared" si="13"/>
        <v>0</v>
      </c>
      <c r="J81" s="22" t="e">
        <f>VLOOKUP($A81, TAB_JUROS_C[[DIAS_CORRIDOS]:[V_FUT_UTEIS]], J$5, FALSE)</f>
        <v>#N/A</v>
      </c>
      <c r="K81" s="22" t="e">
        <f>VLOOKUP($A81, TAB_CORRECAO_C[[DIAS_CORRIDOS]:[V_FUT_UTEIS]],K$5, FALSE)</f>
        <v>#N/A</v>
      </c>
      <c r="L81" s="22" t="e">
        <f>VLOOKUP($A81, TAB_AMORTIZACAO_C[[DIAS_CORRIDOS]:[V_FUT_UTEIS]], L$5, FALSE)</f>
        <v>#N/A</v>
      </c>
    </row>
    <row r="82" spans="1:12" hidden="1">
      <c r="A82" s="19">
        <f t="shared" si="14"/>
        <v>76</v>
      </c>
      <c r="B82" s="20">
        <f t="shared" si="10"/>
        <v>0</v>
      </c>
      <c r="C82" s="21">
        <f t="shared" si="11"/>
        <v>0</v>
      </c>
      <c r="D82" s="22" t="e">
        <f>VLOOKUP($A82, TAB_JUROS_U[[Q_DIAS_U_PARC_TIR]:[V_FUT_U_JURS CENARIO]], D$5, FALSE)</f>
        <v>#N/A</v>
      </c>
      <c r="E82" s="22" t="e">
        <f>VLOOKUP($A82,TAB_CORRECAO_U[[Q_DIAS_U_PARC_TIR]:[V_FUT_U_CORC-02]],E$5, FALSE)</f>
        <v>#N/A</v>
      </c>
      <c r="F82" s="22" t="e">
        <f>VLOOKUP($A82,TAB_AMORTIZACAO_U[[Q_DIAS_U_PARC_TIR]:[V_FUT_U_PCPL-02]], F$5, FALSE)</f>
        <v>#N/A</v>
      </c>
      <c r="H82" s="20">
        <f t="shared" si="12"/>
        <v>0</v>
      </c>
      <c r="I82" s="21">
        <f t="shared" si="13"/>
        <v>0</v>
      </c>
      <c r="J82" s="22" t="e">
        <f>VLOOKUP($A82, TAB_JUROS_C[[DIAS_CORRIDOS]:[V_FUT_UTEIS]], J$5, FALSE)</f>
        <v>#N/A</v>
      </c>
      <c r="K82" s="22" t="e">
        <f>VLOOKUP($A82, TAB_CORRECAO_C[[DIAS_CORRIDOS]:[V_FUT_UTEIS]],K$5, FALSE)</f>
        <v>#N/A</v>
      </c>
      <c r="L82" s="22" t="e">
        <f>VLOOKUP($A82, TAB_AMORTIZACAO_C[[DIAS_CORRIDOS]:[V_FUT_UTEIS]], L$5, FALSE)</f>
        <v>#N/A</v>
      </c>
    </row>
    <row r="83" spans="1:12" hidden="1">
      <c r="A83" s="19">
        <f t="shared" si="14"/>
        <v>77</v>
      </c>
      <c r="B83" s="20">
        <f t="shared" si="10"/>
        <v>0</v>
      </c>
      <c r="C83" s="21">
        <f t="shared" si="11"/>
        <v>0</v>
      </c>
      <c r="D83" s="22" t="e">
        <f>VLOOKUP($A83, TAB_JUROS_U[[Q_DIAS_U_PARC_TIR]:[V_FUT_U_JURS CENARIO]], D$5, FALSE)</f>
        <v>#N/A</v>
      </c>
      <c r="E83" s="22" t="e">
        <f>VLOOKUP($A83,TAB_CORRECAO_U[[Q_DIAS_U_PARC_TIR]:[V_FUT_U_CORC-02]],E$5, FALSE)</f>
        <v>#N/A</v>
      </c>
      <c r="F83" s="22" t="e">
        <f>VLOOKUP($A83,TAB_AMORTIZACAO_U[[Q_DIAS_U_PARC_TIR]:[V_FUT_U_PCPL-02]], F$5, FALSE)</f>
        <v>#N/A</v>
      </c>
      <c r="H83" s="20">
        <f t="shared" si="12"/>
        <v>0</v>
      </c>
      <c r="I83" s="21">
        <f t="shared" si="13"/>
        <v>0</v>
      </c>
      <c r="J83" s="22" t="e">
        <f>VLOOKUP($A83, TAB_JUROS_C[[DIAS_CORRIDOS]:[V_FUT_UTEIS]], J$5, FALSE)</f>
        <v>#N/A</v>
      </c>
      <c r="K83" s="22" t="e">
        <f>VLOOKUP($A83, TAB_CORRECAO_C[[DIAS_CORRIDOS]:[V_FUT_UTEIS]],K$5, FALSE)</f>
        <v>#N/A</v>
      </c>
      <c r="L83" s="22" t="e">
        <f>VLOOKUP($A83, TAB_AMORTIZACAO_C[[DIAS_CORRIDOS]:[V_FUT_UTEIS]], L$5, FALSE)</f>
        <v>#N/A</v>
      </c>
    </row>
    <row r="84" spans="1:12" hidden="1">
      <c r="A84" s="19">
        <f t="shared" si="14"/>
        <v>78</v>
      </c>
      <c r="B84" s="20">
        <f t="shared" si="10"/>
        <v>0</v>
      </c>
      <c r="C84" s="21">
        <f t="shared" si="11"/>
        <v>0</v>
      </c>
      <c r="D84" s="22" t="e">
        <f>VLOOKUP($A84, TAB_JUROS_U[[Q_DIAS_U_PARC_TIR]:[V_FUT_U_JURS CENARIO]], D$5, FALSE)</f>
        <v>#N/A</v>
      </c>
      <c r="E84" s="22" t="e">
        <f>VLOOKUP($A84,TAB_CORRECAO_U[[Q_DIAS_U_PARC_TIR]:[V_FUT_U_CORC-02]],E$5, FALSE)</f>
        <v>#N/A</v>
      </c>
      <c r="F84" s="22" t="e">
        <f>VLOOKUP($A84,TAB_AMORTIZACAO_U[[Q_DIAS_U_PARC_TIR]:[V_FUT_U_PCPL-02]], F$5, FALSE)</f>
        <v>#N/A</v>
      </c>
      <c r="H84" s="20">
        <f t="shared" si="12"/>
        <v>0</v>
      </c>
      <c r="I84" s="21">
        <f t="shared" si="13"/>
        <v>0</v>
      </c>
      <c r="J84" s="22" t="e">
        <f>VLOOKUP($A84, TAB_JUROS_C[[DIAS_CORRIDOS]:[V_FUT_UTEIS]], J$5, FALSE)</f>
        <v>#N/A</v>
      </c>
      <c r="K84" s="22" t="e">
        <f>VLOOKUP($A84, TAB_CORRECAO_C[[DIAS_CORRIDOS]:[V_FUT_UTEIS]],K$5, FALSE)</f>
        <v>#N/A</v>
      </c>
      <c r="L84" s="22" t="e">
        <f>VLOOKUP($A84, TAB_AMORTIZACAO_C[[DIAS_CORRIDOS]:[V_FUT_UTEIS]], L$5, FALSE)</f>
        <v>#N/A</v>
      </c>
    </row>
    <row r="85" spans="1:12" hidden="1">
      <c r="A85" s="19">
        <f t="shared" si="14"/>
        <v>79</v>
      </c>
      <c r="B85" s="20">
        <f t="shared" si="10"/>
        <v>0</v>
      </c>
      <c r="C85" s="21">
        <f t="shared" si="11"/>
        <v>0</v>
      </c>
      <c r="D85" s="22" t="e">
        <f>VLOOKUP($A85, TAB_JUROS_U[[Q_DIAS_U_PARC_TIR]:[V_FUT_U_JURS CENARIO]], D$5, FALSE)</f>
        <v>#N/A</v>
      </c>
      <c r="E85" s="22" t="e">
        <f>VLOOKUP($A85,TAB_CORRECAO_U[[Q_DIAS_U_PARC_TIR]:[V_FUT_U_CORC-02]],E$5, FALSE)</f>
        <v>#N/A</v>
      </c>
      <c r="F85" s="22" t="e">
        <f>VLOOKUP($A85,TAB_AMORTIZACAO_U[[Q_DIAS_U_PARC_TIR]:[V_FUT_U_PCPL-02]], F$5, FALSE)</f>
        <v>#N/A</v>
      </c>
      <c r="H85" s="20">
        <f t="shared" si="12"/>
        <v>0</v>
      </c>
      <c r="I85" s="21">
        <f t="shared" si="13"/>
        <v>0</v>
      </c>
      <c r="J85" s="22" t="e">
        <f>VLOOKUP($A85, TAB_JUROS_C[[DIAS_CORRIDOS]:[V_FUT_UTEIS]], J$5, FALSE)</f>
        <v>#N/A</v>
      </c>
      <c r="K85" s="22" t="e">
        <f>VLOOKUP($A85, TAB_CORRECAO_C[[DIAS_CORRIDOS]:[V_FUT_UTEIS]],K$5, FALSE)</f>
        <v>#N/A</v>
      </c>
      <c r="L85" s="22" t="e">
        <f>VLOOKUP($A85, TAB_AMORTIZACAO_C[[DIAS_CORRIDOS]:[V_FUT_UTEIS]], L$5, FALSE)</f>
        <v>#N/A</v>
      </c>
    </row>
    <row r="86" spans="1:12" hidden="1">
      <c r="A86" s="19">
        <f t="shared" si="14"/>
        <v>80</v>
      </c>
      <c r="B86" s="20">
        <f t="shared" si="10"/>
        <v>0</v>
      </c>
      <c r="C86" s="21">
        <f t="shared" si="11"/>
        <v>0</v>
      </c>
      <c r="D86" s="22" t="e">
        <f>VLOOKUP($A86, TAB_JUROS_U[[Q_DIAS_U_PARC_TIR]:[V_FUT_U_JURS CENARIO]], D$5, FALSE)</f>
        <v>#N/A</v>
      </c>
      <c r="E86" s="22" t="e">
        <f>VLOOKUP($A86,TAB_CORRECAO_U[[Q_DIAS_U_PARC_TIR]:[V_FUT_U_CORC-02]],E$5, FALSE)</f>
        <v>#N/A</v>
      </c>
      <c r="F86" s="22" t="e">
        <f>VLOOKUP($A86,TAB_AMORTIZACAO_U[[Q_DIAS_U_PARC_TIR]:[V_FUT_U_PCPL-02]], F$5, FALSE)</f>
        <v>#N/A</v>
      </c>
      <c r="H86" s="20">
        <f t="shared" si="12"/>
        <v>0</v>
      </c>
      <c r="I86" s="21">
        <f t="shared" si="13"/>
        <v>0</v>
      </c>
      <c r="J86" s="22" t="e">
        <f>VLOOKUP($A86, TAB_JUROS_C[[DIAS_CORRIDOS]:[V_FUT_UTEIS]], J$5, FALSE)</f>
        <v>#N/A</v>
      </c>
      <c r="K86" s="22" t="e">
        <f>VLOOKUP($A86, TAB_CORRECAO_C[[DIAS_CORRIDOS]:[V_FUT_UTEIS]],K$5, FALSE)</f>
        <v>#N/A</v>
      </c>
      <c r="L86" s="22" t="e">
        <f>VLOOKUP($A86, TAB_AMORTIZACAO_C[[DIAS_CORRIDOS]:[V_FUT_UTEIS]], L$5, FALSE)</f>
        <v>#N/A</v>
      </c>
    </row>
    <row r="87" spans="1:12" hidden="1">
      <c r="A87" s="19">
        <f t="shared" si="14"/>
        <v>81</v>
      </c>
      <c r="B87" s="20">
        <f t="shared" si="10"/>
        <v>0</v>
      </c>
      <c r="C87" s="21">
        <f t="shared" si="11"/>
        <v>0</v>
      </c>
      <c r="D87" s="22" t="e">
        <f>VLOOKUP($A87, TAB_JUROS_U[[Q_DIAS_U_PARC_TIR]:[V_FUT_U_JURS CENARIO]], D$5, FALSE)</f>
        <v>#N/A</v>
      </c>
      <c r="E87" s="22" t="e">
        <f>VLOOKUP($A87,TAB_CORRECAO_U[[Q_DIAS_U_PARC_TIR]:[V_FUT_U_CORC-02]],E$5, FALSE)</f>
        <v>#N/A</v>
      </c>
      <c r="F87" s="22" t="e">
        <f>VLOOKUP($A87,TAB_AMORTIZACAO_U[[Q_DIAS_U_PARC_TIR]:[V_FUT_U_PCPL-02]], F$5, FALSE)</f>
        <v>#N/A</v>
      </c>
      <c r="H87" s="20">
        <f t="shared" si="12"/>
        <v>0</v>
      </c>
      <c r="I87" s="21">
        <f t="shared" si="13"/>
        <v>0</v>
      </c>
      <c r="J87" s="22" t="e">
        <f>VLOOKUP($A87, TAB_JUROS_C[[DIAS_CORRIDOS]:[V_FUT_UTEIS]], J$5, FALSE)</f>
        <v>#N/A</v>
      </c>
      <c r="K87" s="22" t="e">
        <f>VLOOKUP($A87, TAB_CORRECAO_C[[DIAS_CORRIDOS]:[V_FUT_UTEIS]],K$5, FALSE)</f>
        <v>#N/A</v>
      </c>
      <c r="L87" s="22" t="e">
        <f>VLOOKUP($A87, TAB_AMORTIZACAO_C[[DIAS_CORRIDOS]:[V_FUT_UTEIS]], L$5, FALSE)</f>
        <v>#N/A</v>
      </c>
    </row>
    <row r="88" spans="1:12" hidden="1">
      <c r="A88" s="19">
        <f t="shared" si="14"/>
        <v>82</v>
      </c>
      <c r="B88" s="20">
        <f t="shared" si="10"/>
        <v>0</v>
      </c>
      <c r="C88" s="21">
        <f t="shared" si="11"/>
        <v>0</v>
      </c>
      <c r="D88" s="22" t="e">
        <f>VLOOKUP($A88, TAB_JUROS_U[[Q_DIAS_U_PARC_TIR]:[V_FUT_U_JURS CENARIO]], D$5, FALSE)</f>
        <v>#N/A</v>
      </c>
      <c r="E88" s="22" t="e">
        <f>VLOOKUP($A88,TAB_CORRECAO_U[[Q_DIAS_U_PARC_TIR]:[V_FUT_U_CORC-02]],E$5, FALSE)</f>
        <v>#N/A</v>
      </c>
      <c r="F88" s="22" t="e">
        <f>VLOOKUP($A88,TAB_AMORTIZACAO_U[[Q_DIAS_U_PARC_TIR]:[V_FUT_U_PCPL-02]], F$5, FALSE)</f>
        <v>#N/A</v>
      </c>
      <c r="H88" s="20">
        <f t="shared" si="12"/>
        <v>0</v>
      </c>
      <c r="I88" s="21">
        <f t="shared" si="13"/>
        <v>0</v>
      </c>
      <c r="J88" s="22" t="e">
        <f>VLOOKUP($A88, TAB_JUROS_C[[DIAS_CORRIDOS]:[V_FUT_UTEIS]], J$5, FALSE)</f>
        <v>#N/A</v>
      </c>
      <c r="K88" s="22" t="e">
        <f>VLOOKUP($A88, TAB_CORRECAO_C[[DIAS_CORRIDOS]:[V_FUT_UTEIS]],K$5, FALSE)</f>
        <v>#N/A</v>
      </c>
      <c r="L88" s="22" t="e">
        <f>VLOOKUP($A88, TAB_AMORTIZACAO_C[[DIAS_CORRIDOS]:[V_FUT_UTEIS]], L$5, FALSE)</f>
        <v>#N/A</v>
      </c>
    </row>
    <row r="89" spans="1:12" hidden="1">
      <c r="A89" s="19">
        <f t="shared" si="14"/>
        <v>83</v>
      </c>
      <c r="B89" s="20">
        <f t="shared" si="10"/>
        <v>0</v>
      </c>
      <c r="C89" s="21">
        <f t="shared" si="11"/>
        <v>0</v>
      </c>
      <c r="D89" s="22" t="e">
        <f>VLOOKUP($A89, TAB_JUROS_U[[Q_DIAS_U_PARC_TIR]:[V_FUT_U_JURS CENARIO]], D$5, FALSE)</f>
        <v>#N/A</v>
      </c>
      <c r="E89" s="22" t="e">
        <f>VLOOKUP($A89,TAB_CORRECAO_U[[Q_DIAS_U_PARC_TIR]:[V_FUT_U_CORC-02]],E$5, FALSE)</f>
        <v>#N/A</v>
      </c>
      <c r="F89" s="22" t="e">
        <f>VLOOKUP($A89,TAB_AMORTIZACAO_U[[Q_DIAS_U_PARC_TIR]:[V_FUT_U_PCPL-02]], F$5, FALSE)</f>
        <v>#N/A</v>
      </c>
      <c r="H89" s="20">
        <f t="shared" si="12"/>
        <v>0</v>
      </c>
      <c r="I89" s="21">
        <f t="shared" si="13"/>
        <v>0</v>
      </c>
      <c r="J89" s="22" t="e">
        <f>VLOOKUP($A89, TAB_JUROS_C[[DIAS_CORRIDOS]:[V_FUT_UTEIS]], J$5, FALSE)</f>
        <v>#N/A</v>
      </c>
      <c r="K89" s="22" t="e">
        <f>VLOOKUP($A89, TAB_CORRECAO_C[[DIAS_CORRIDOS]:[V_FUT_UTEIS]],K$5, FALSE)</f>
        <v>#N/A</v>
      </c>
      <c r="L89" s="22" t="e">
        <f>VLOOKUP($A89, TAB_AMORTIZACAO_C[[DIAS_CORRIDOS]:[V_FUT_UTEIS]], L$5, FALSE)</f>
        <v>#N/A</v>
      </c>
    </row>
    <row r="90" spans="1:12" hidden="1">
      <c r="A90" s="19">
        <f t="shared" si="14"/>
        <v>84</v>
      </c>
      <c r="B90" s="20">
        <f t="shared" si="10"/>
        <v>0</v>
      </c>
      <c r="C90" s="21">
        <f t="shared" si="11"/>
        <v>0</v>
      </c>
      <c r="D90" s="22" t="e">
        <f>VLOOKUP($A90, TAB_JUROS_U[[Q_DIAS_U_PARC_TIR]:[V_FUT_U_JURS CENARIO]], D$5, FALSE)</f>
        <v>#N/A</v>
      </c>
      <c r="E90" s="22" t="e">
        <f>VLOOKUP($A90,TAB_CORRECAO_U[[Q_DIAS_U_PARC_TIR]:[V_FUT_U_CORC-02]],E$5, FALSE)</f>
        <v>#N/A</v>
      </c>
      <c r="F90" s="22" t="e">
        <f>VLOOKUP($A90,TAB_AMORTIZACAO_U[[Q_DIAS_U_PARC_TIR]:[V_FUT_U_PCPL-02]], F$5, FALSE)</f>
        <v>#N/A</v>
      </c>
      <c r="H90" s="20">
        <f t="shared" si="12"/>
        <v>0</v>
      </c>
      <c r="I90" s="21">
        <f t="shared" si="13"/>
        <v>0</v>
      </c>
      <c r="J90" s="22" t="e">
        <f>VLOOKUP($A90, TAB_JUROS_C[[DIAS_CORRIDOS]:[V_FUT_UTEIS]], J$5, FALSE)</f>
        <v>#N/A</v>
      </c>
      <c r="K90" s="22" t="e">
        <f>VLOOKUP($A90, TAB_CORRECAO_C[[DIAS_CORRIDOS]:[V_FUT_UTEIS]],K$5, FALSE)</f>
        <v>#N/A</v>
      </c>
      <c r="L90" s="22" t="e">
        <f>VLOOKUP($A90, TAB_AMORTIZACAO_C[[DIAS_CORRIDOS]:[V_FUT_UTEIS]], L$5, FALSE)</f>
        <v>#N/A</v>
      </c>
    </row>
    <row r="91" spans="1:12" hidden="1">
      <c r="A91" s="19">
        <f t="shared" si="14"/>
        <v>85</v>
      </c>
      <c r="B91" s="20">
        <f t="shared" si="10"/>
        <v>0</v>
      </c>
      <c r="C91" s="21">
        <f t="shared" si="11"/>
        <v>0</v>
      </c>
      <c r="D91" s="22" t="e">
        <f>VLOOKUP($A91, TAB_JUROS_U[[Q_DIAS_U_PARC_TIR]:[V_FUT_U_JURS CENARIO]], D$5, FALSE)</f>
        <v>#N/A</v>
      </c>
      <c r="E91" s="22" t="e">
        <f>VLOOKUP($A91,TAB_CORRECAO_U[[Q_DIAS_U_PARC_TIR]:[V_FUT_U_CORC-02]],E$5, FALSE)</f>
        <v>#N/A</v>
      </c>
      <c r="F91" s="22" t="e">
        <f>VLOOKUP($A91,TAB_AMORTIZACAO_U[[Q_DIAS_U_PARC_TIR]:[V_FUT_U_PCPL-02]], F$5, FALSE)</f>
        <v>#N/A</v>
      </c>
      <c r="H91" s="20">
        <f t="shared" si="12"/>
        <v>0</v>
      </c>
      <c r="I91" s="21">
        <f t="shared" si="13"/>
        <v>0</v>
      </c>
      <c r="J91" s="22" t="e">
        <f>VLOOKUP($A91, TAB_JUROS_C[[DIAS_CORRIDOS]:[V_FUT_UTEIS]], J$5, FALSE)</f>
        <v>#N/A</v>
      </c>
      <c r="K91" s="22" t="e">
        <f>VLOOKUP($A91, TAB_CORRECAO_C[[DIAS_CORRIDOS]:[V_FUT_UTEIS]],K$5, FALSE)</f>
        <v>#N/A</v>
      </c>
      <c r="L91" s="22" t="e">
        <f>VLOOKUP($A91, TAB_AMORTIZACAO_C[[DIAS_CORRIDOS]:[V_FUT_UTEIS]], L$5, FALSE)</f>
        <v>#N/A</v>
      </c>
    </row>
    <row r="92" spans="1:12" hidden="1">
      <c r="A92" s="19">
        <f t="shared" si="14"/>
        <v>86</v>
      </c>
      <c r="B92" s="20">
        <f t="shared" si="10"/>
        <v>0</v>
      </c>
      <c r="C92" s="21">
        <f t="shared" si="11"/>
        <v>0</v>
      </c>
      <c r="D92" s="22" t="e">
        <f>VLOOKUP($A92, TAB_JUROS_U[[Q_DIAS_U_PARC_TIR]:[V_FUT_U_JURS CENARIO]], D$5, FALSE)</f>
        <v>#N/A</v>
      </c>
      <c r="E92" s="22" t="e">
        <f>VLOOKUP($A92,TAB_CORRECAO_U[[Q_DIAS_U_PARC_TIR]:[V_FUT_U_CORC-02]],E$5, FALSE)</f>
        <v>#N/A</v>
      </c>
      <c r="F92" s="22" t="e">
        <f>VLOOKUP($A92,TAB_AMORTIZACAO_U[[Q_DIAS_U_PARC_TIR]:[V_FUT_U_PCPL-02]], F$5, FALSE)</f>
        <v>#N/A</v>
      </c>
      <c r="H92" s="20">
        <f t="shared" si="12"/>
        <v>0</v>
      </c>
      <c r="I92" s="21">
        <f t="shared" si="13"/>
        <v>0</v>
      </c>
      <c r="J92" s="22" t="e">
        <f>VLOOKUP($A92, TAB_JUROS_C[[DIAS_CORRIDOS]:[V_FUT_UTEIS]], J$5, FALSE)</f>
        <v>#N/A</v>
      </c>
      <c r="K92" s="22" t="e">
        <f>VLOOKUP($A92, TAB_CORRECAO_C[[DIAS_CORRIDOS]:[V_FUT_UTEIS]],K$5, FALSE)</f>
        <v>#N/A</v>
      </c>
      <c r="L92" s="22" t="e">
        <f>VLOOKUP($A92, TAB_AMORTIZACAO_C[[DIAS_CORRIDOS]:[V_FUT_UTEIS]], L$5, FALSE)</f>
        <v>#N/A</v>
      </c>
    </row>
    <row r="93" spans="1:12" hidden="1">
      <c r="A93" s="19">
        <f t="shared" si="14"/>
        <v>87</v>
      </c>
      <c r="B93" s="20">
        <f t="shared" si="10"/>
        <v>0</v>
      </c>
      <c r="C93" s="21">
        <f t="shared" si="11"/>
        <v>0</v>
      </c>
      <c r="D93" s="22" t="e">
        <f>VLOOKUP($A93, TAB_JUROS_U[[Q_DIAS_U_PARC_TIR]:[V_FUT_U_JURS CENARIO]], D$5, FALSE)</f>
        <v>#N/A</v>
      </c>
      <c r="E93" s="22" t="e">
        <f>VLOOKUP($A93,TAB_CORRECAO_U[[Q_DIAS_U_PARC_TIR]:[V_FUT_U_CORC-02]],E$5, FALSE)</f>
        <v>#N/A</v>
      </c>
      <c r="F93" s="22" t="e">
        <f>VLOOKUP($A93,TAB_AMORTIZACAO_U[[Q_DIAS_U_PARC_TIR]:[V_FUT_U_PCPL-02]], F$5, FALSE)</f>
        <v>#N/A</v>
      </c>
      <c r="H93" s="20">
        <f t="shared" si="12"/>
        <v>0</v>
      </c>
      <c r="I93" s="21">
        <f t="shared" si="13"/>
        <v>0</v>
      </c>
      <c r="J93" s="22" t="e">
        <f>VLOOKUP($A93, TAB_JUROS_C[[DIAS_CORRIDOS]:[V_FUT_UTEIS]], J$5, FALSE)</f>
        <v>#N/A</v>
      </c>
      <c r="K93" s="22" t="e">
        <f>VLOOKUP($A93, TAB_CORRECAO_C[[DIAS_CORRIDOS]:[V_FUT_UTEIS]],K$5, FALSE)</f>
        <v>#N/A</v>
      </c>
      <c r="L93" s="22" t="e">
        <f>VLOOKUP($A93, TAB_AMORTIZACAO_C[[DIAS_CORRIDOS]:[V_FUT_UTEIS]], L$5, FALSE)</f>
        <v>#N/A</v>
      </c>
    </row>
    <row r="94" spans="1:12" hidden="1">
      <c r="A94" s="19">
        <f t="shared" si="14"/>
        <v>88</v>
      </c>
      <c r="B94" s="20">
        <f t="shared" si="10"/>
        <v>0</v>
      </c>
      <c r="C94" s="21">
        <f t="shared" si="11"/>
        <v>0</v>
      </c>
      <c r="D94" s="22" t="e">
        <f>VLOOKUP($A94, TAB_JUROS_U[[Q_DIAS_U_PARC_TIR]:[V_FUT_U_JURS CENARIO]], D$5, FALSE)</f>
        <v>#N/A</v>
      </c>
      <c r="E94" s="22" t="e">
        <f>VLOOKUP($A94,TAB_CORRECAO_U[[Q_DIAS_U_PARC_TIR]:[V_FUT_U_CORC-02]],E$5, FALSE)</f>
        <v>#N/A</v>
      </c>
      <c r="F94" s="22" t="e">
        <f>VLOOKUP($A94,TAB_AMORTIZACAO_U[[Q_DIAS_U_PARC_TIR]:[V_FUT_U_PCPL-02]], F$5, FALSE)</f>
        <v>#N/A</v>
      </c>
      <c r="H94" s="20">
        <f t="shared" si="12"/>
        <v>0</v>
      </c>
      <c r="I94" s="21">
        <f t="shared" si="13"/>
        <v>0</v>
      </c>
      <c r="J94" s="22" t="e">
        <f>VLOOKUP($A94, TAB_JUROS_C[[DIAS_CORRIDOS]:[V_FUT_UTEIS]], J$5, FALSE)</f>
        <v>#N/A</v>
      </c>
      <c r="K94" s="22" t="e">
        <f>VLOOKUP($A94, TAB_CORRECAO_C[[DIAS_CORRIDOS]:[V_FUT_UTEIS]],K$5, FALSE)</f>
        <v>#N/A</v>
      </c>
      <c r="L94" s="22" t="e">
        <f>VLOOKUP($A94, TAB_AMORTIZACAO_C[[DIAS_CORRIDOS]:[V_FUT_UTEIS]], L$5, FALSE)</f>
        <v>#N/A</v>
      </c>
    </row>
    <row r="95" spans="1:12" hidden="1">
      <c r="A95" s="19">
        <f t="shared" si="14"/>
        <v>89</v>
      </c>
      <c r="B95" s="20">
        <f t="shared" si="10"/>
        <v>0</v>
      </c>
      <c r="C95" s="21">
        <f t="shared" si="11"/>
        <v>0</v>
      </c>
      <c r="D95" s="22" t="e">
        <f>VLOOKUP($A95, TAB_JUROS_U[[Q_DIAS_U_PARC_TIR]:[V_FUT_U_JURS CENARIO]], D$5, FALSE)</f>
        <v>#N/A</v>
      </c>
      <c r="E95" s="22" t="e">
        <f>VLOOKUP($A95,TAB_CORRECAO_U[[Q_DIAS_U_PARC_TIR]:[V_FUT_U_CORC-02]],E$5, FALSE)</f>
        <v>#N/A</v>
      </c>
      <c r="F95" s="22" t="e">
        <f>VLOOKUP($A95,TAB_AMORTIZACAO_U[[Q_DIAS_U_PARC_TIR]:[V_FUT_U_PCPL-02]], F$5, FALSE)</f>
        <v>#N/A</v>
      </c>
      <c r="H95" s="20">
        <f t="shared" si="12"/>
        <v>0</v>
      </c>
      <c r="I95" s="21">
        <f t="shared" si="13"/>
        <v>0</v>
      </c>
      <c r="J95" s="22" t="e">
        <f>VLOOKUP($A95, TAB_JUROS_C[[DIAS_CORRIDOS]:[V_FUT_UTEIS]], J$5, FALSE)</f>
        <v>#N/A</v>
      </c>
      <c r="K95" s="22" t="e">
        <f>VLOOKUP($A95, TAB_CORRECAO_C[[DIAS_CORRIDOS]:[V_FUT_UTEIS]],K$5, FALSE)</f>
        <v>#N/A</v>
      </c>
      <c r="L95" s="22" t="e">
        <f>VLOOKUP($A95, TAB_AMORTIZACAO_C[[DIAS_CORRIDOS]:[V_FUT_UTEIS]], L$5, FALSE)</f>
        <v>#N/A</v>
      </c>
    </row>
    <row r="96" spans="1:12" hidden="1">
      <c r="A96" s="19">
        <f t="shared" si="14"/>
        <v>90</v>
      </c>
      <c r="B96" s="20">
        <f t="shared" si="10"/>
        <v>0</v>
      </c>
      <c r="C96" s="21">
        <f t="shared" si="11"/>
        <v>0</v>
      </c>
      <c r="D96" s="22" t="e">
        <f>VLOOKUP($A96, TAB_JUROS_U[[Q_DIAS_U_PARC_TIR]:[V_FUT_U_JURS CENARIO]], D$5, FALSE)</f>
        <v>#N/A</v>
      </c>
      <c r="E96" s="22" t="e">
        <f>VLOOKUP($A96,TAB_CORRECAO_U[[Q_DIAS_U_PARC_TIR]:[V_FUT_U_CORC-02]],E$5, FALSE)</f>
        <v>#N/A</v>
      </c>
      <c r="F96" s="22" t="e">
        <f>VLOOKUP($A96,TAB_AMORTIZACAO_U[[Q_DIAS_U_PARC_TIR]:[V_FUT_U_PCPL-02]], F$5, FALSE)</f>
        <v>#N/A</v>
      </c>
      <c r="H96" s="20">
        <f t="shared" si="12"/>
        <v>0</v>
      </c>
      <c r="I96" s="21">
        <f t="shared" si="13"/>
        <v>0</v>
      </c>
      <c r="J96" s="22" t="e">
        <f>VLOOKUP($A96, TAB_JUROS_C[[DIAS_CORRIDOS]:[V_FUT_UTEIS]], J$5, FALSE)</f>
        <v>#N/A</v>
      </c>
      <c r="K96" s="22" t="e">
        <f>VLOOKUP($A96, TAB_CORRECAO_C[[DIAS_CORRIDOS]:[V_FUT_UTEIS]],K$5, FALSE)</f>
        <v>#N/A</v>
      </c>
      <c r="L96" s="22" t="e">
        <f>VLOOKUP($A96, TAB_AMORTIZACAO_C[[DIAS_CORRIDOS]:[V_FUT_UTEIS]], L$5, FALSE)</f>
        <v>#N/A</v>
      </c>
    </row>
    <row r="97" spans="1:12" hidden="1">
      <c r="A97" s="19">
        <f t="shared" si="14"/>
        <v>91</v>
      </c>
      <c r="B97" s="20">
        <f t="shared" si="10"/>
        <v>0</v>
      </c>
      <c r="C97" s="21">
        <f t="shared" si="11"/>
        <v>0</v>
      </c>
      <c r="D97" s="22" t="e">
        <f>VLOOKUP($A97, TAB_JUROS_U[[Q_DIAS_U_PARC_TIR]:[V_FUT_U_JURS CENARIO]], D$5, FALSE)</f>
        <v>#N/A</v>
      </c>
      <c r="E97" s="22" t="e">
        <f>VLOOKUP($A97,TAB_CORRECAO_U[[Q_DIAS_U_PARC_TIR]:[V_FUT_U_CORC-02]],E$5, FALSE)</f>
        <v>#N/A</v>
      </c>
      <c r="F97" s="22" t="e">
        <f>VLOOKUP($A97,TAB_AMORTIZACAO_U[[Q_DIAS_U_PARC_TIR]:[V_FUT_U_PCPL-02]], F$5, FALSE)</f>
        <v>#N/A</v>
      </c>
      <c r="H97" s="20">
        <f t="shared" si="12"/>
        <v>0</v>
      </c>
      <c r="I97" s="21">
        <f t="shared" si="13"/>
        <v>0</v>
      </c>
      <c r="J97" s="22" t="e">
        <f>VLOOKUP($A97, TAB_JUROS_C[[DIAS_CORRIDOS]:[V_FUT_UTEIS]], J$5, FALSE)</f>
        <v>#N/A</v>
      </c>
      <c r="K97" s="22" t="e">
        <f>VLOOKUP($A97, TAB_CORRECAO_C[[DIAS_CORRIDOS]:[V_FUT_UTEIS]],K$5, FALSE)</f>
        <v>#N/A</v>
      </c>
      <c r="L97" s="22" t="e">
        <f>VLOOKUP($A97, TAB_AMORTIZACAO_C[[DIAS_CORRIDOS]:[V_FUT_UTEIS]], L$5, FALSE)</f>
        <v>#N/A</v>
      </c>
    </row>
    <row r="98" spans="1:12" hidden="1">
      <c r="A98" s="19">
        <f t="shared" si="14"/>
        <v>92</v>
      </c>
      <c r="B98" s="20">
        <f t="shared" si="10"/>
        <v>0</v>
      </c>
      <c r="C98" s="21">
        <f t="shared" si="11"/>
        <v>0</v>
      </c>
      <c r="D98" s="22" t="e">
        <f>VLOOKUP($A98, TAB_JUROS_U[[Q_DIAS_U_PARC_TIR]:[V_FUT_U_JURS CENARIO]], D$5, FALSE)</f>
        <v>#N/A</v>
      </c>
      <c r="E98" s="22" t="e">
        <f>VLOOKUP($A98,TAB_CORRECAO_U[[Q_DIAS_U_PARC_TIR]:[V_FUT_U_CORC-02]],E$5, FALSE)</f>
        <v>#N/A</v>
      </c>
      <c r="F98" s="22" t="e">
        <f>VLOOKUP($A98,TAB_AMORTIZACAO_U[[Q_DIAS_U_PARC_TIR]:[V_FUT_U_PCPL-02]], F$5, FALSE)</f>
        <v>#N/A</v>
      </c>
      <c r="H98" s="20">
        <f t="shared" si="12"/>
        <v>0</v>
      </c>
      <c r="I98" s="21">
        <f t="shared" si="13"/>
        <v>0</v>
      </c>
      <c r="J98" s="22" t="e">
        <f>VLOOKUP($A98, TAB_JUROS_C[[DIAS_CORRIDOS]:[V_FUT_UTEIS]], J$5, FALSE)</f>
        <v>#N/A</v>
      </c>
      <c r="K98" s="22" t="e">
        <f>VLOOKUP($A98, TAB_CORRECAO_C[[DIAS_CORRIDOS]:[V_FUT_UTEIS]],K$5, FALSE)</f>
        <v>#N/A</v>
      </c>
      <c r="L98" s="22" t="e">
        <f>VLOOKUP($A98, TAB_AMORTIZACAO_C[[DIAS_CORRIDOS]:[V_FUT_UTEIS]], L$5, FALSE)</f>
        <v>#N/A</v>
      </c>
    </row>
    <row r="99" spans="1:12" hidden="1">
      <c r="A99" s="19">
        <f t="shared" si="14"/>
        <v>93</v>
      </c>
      <c r="B99" s="20">
        <f t="shared" si="10"/>
        <v>0</v>
      </c>
      <c r="C99" s="21">
        <f t="shared" si="11"/>
        <v>0</v>
      </c>
      <c r="D99" s="22" t="e">
        <f>VLOOKUP($A99, TAB_JUROS_U[[Q_DIAS_U_PARC_TIR]:[V_FUT_U_JURS CENARIO]], D$5, FALSE)</f>
        <v>#N/A</v>
      </c>
      <c r="E99" s="22" t="e">
        <f>VLOOKUP($A99,TAB_CORRECAO_U[[Q_DIAS_U_PARC_TIR]:[V_FUT_U_CORC-02]],E$5, FALSE)</f>
        <v>#N/A</v>
      </c>
      <c r="F99" s="22" t="e">
        <f>VLOOKUP($A99,TAB_AMORTIZACAO_U[[Q_DIAS_U_PARC_TIR]:[V_FUT_U_PCPL-02]], F$5, FALSE)</f>
        <v>#N/A</v>
      </c>
      <c r="H99" s="20">
        <f t="shared" si="12"/>
        <v>0</v>
      </c>
      <c r="I99" s="21">
        <f t="shared" si="13"/>
        <v>0</v>
      </c>
      <c r="J99" s="22" t="e">
        <f>VLOOKUP($A99, TAB_JUROS_C[[DIAS_CORRIDOS]:[V_FUT_UTEIS]], J$5, FALSE)</f>
        <v>#N/A</v>
      </c>
      <c r="K99" s="22" t="e">
        <f>VLOOKUP($A99, TAB_CORRECAO_C[[DIAS_CORRIDOS]:[V_FUT_UTEIS]],K$5, FALSE)</f>
        <v>#N/A</v>
      </c>
      <c r="L99" s="22" t="e">
        <f>VLOOKUP($A99, TAB_AMORTIZACAO_C[[DIAS_CORRIDOS]:[V_FUT_UTEIS]], L$5, FALSE)</f>
        <v>#N/A</v>
      </c>
    </row>
    <row r="100" spans="1:12">
      <c r="A100" s="19">
        <f t="shared" si="14"/>
        <v>94</v>
      </c>
      <c r="B100" s="20">
        <f t="shared" si="10"/>
        <v>2139.3890209168699</v>
      </c>
      <c r="C100" s="21">
        <f t="shared" si="11"/>
        <v>2139.3890209168699</v>
      </c>
      <c r="D100" s="22">
        <f>VLOOKUP($A100, TAB_JUROS_U[[Q_DIAS_U_PARC_TIR]:[V_FUT_U_JURS CENARIO]], D$5, FALSE)</f>
        <v>180.90705447002384</v>
      </c>
      <c r="E100" s="22">
        <f>VLOOKUP($A100,TAB_CORRECAO_U[[Q_DIAS_U_PARC_TIR]:[V_FUT_U_CORC-02]],E$5, FALSE)</f>
        <v>1044.7976719722246</v>
      </c>
      <c r="F100" s="22">
        <f>VLOOKUP($A100,TAB_AMORTIZACAO_U[[Q_DIAS_U_PARC_TIR]:[V_FUT_U_PCPL-02]], F$5, FALSE)</f>
        <v>913.68429447462142</v>
      </c>
      <c r="H100" s="20">
        <f t="shared" si="12"/>
        <v>0</v>
      </c>
      <c r="I100" s="21">
        <f t="shared" si="13"/>
        <v>0</v>
      </c>
      <c r="J100" s="22" t="e">
        <f>VLOOKUP($A100, TAB_JUROS_C[[DIAS_CORRIDOS]:[V_FUT_UTEIS]], J$5, FALSE)</f>
        <v>#N/A</v>
      </c>
      <c r="K100" s="22" t="e">
        <f>VLOOKUP($A100, TAB_CORRECAO_C[[DIAS_CORRIDOS]:[V_FUT_UTEIS]],K$5, FALSE)</f>
        <v>#N/A</v>
      </c>
      <c r="L100" s="22" t="e">
        <f>VLOOKUP($A100, TAB_AMORTIZACAO_C[[DIAS_CORRIDOS]:[V_FUT_UTEIS]], L$5, FALSE)</f>
        <v>#N/A</v>
      </c>
    </row>
    <row r="101" spans="1:12" hidden="1">
      <c r="A101" s="19">
        <f t="shared" si="14"/>
        <v>95</v>
      </c>
      <c r="B101" s="20">
        <f t="shared" si="10"/>
        <v>0</v>
      </c>
      <c r="C101" s="21">
        <f t="shared" si="11"/>
        <v>0</v>
      </c>
      <c r="D101" s="22" t="e">
        <f>VLOOKUP($A101, TAB_JUROS_U[[Q_DIAS_U_PARC_TIR]:[V_FUT_U_JURS CENARIO]], D$5, FALSE)</f>
        <v>#N/A</v>
      </c>
      <c r="E101" s="22" t="e">
        <f>VLOOKUP($A101,TAB_CORRECAO_U[[Q_DIAS_U_PARC_TIR]:[V_FUT_U_CORC-02]],E$5, FALSE)</f>
        <v>#N/A</v>
      </c>
      <c r="F101" s="22" t="e">
        <f>VLOOKUP($A101,TAB_AMORTIZACAO_U[[Q_DIAS_U_PARC_TIR]:[V_FUT_U_PCPL-02]], F$5, FALSE)</f>
        <v>#N/A</v>
      </c>
      <c r="H101" s="20">
        <f t="shared" si="12"/>
        <v>0</v>
      </c>
      <c r="I101" s="21">
        <f t="shared" si="13"/>
        <v>0</v>
      </c>
      <c r="J101" s="22" t="e">
        <f>VLOOKUP($A101, TAB_JUROS_C[[DIAS_CORRIDOS]:[V_FUT_UTEIS]], J$5, FALSE)</f>
        <v>#N/A</v>
      </c>
      <c r="K101" s="22" t="e">
        <f>VLOOKUP($A101, TAB_CORRECAO_C[[DIAS_CORRIDOS]:[V_FUT_UTEIS]],K$5, FALSE)</f>
        <v>#N/A</v>
      </c>
      <c r="L101" s="22" t="e">
        <f>VLOOKUP($A101, TAB_AMORTIZACAO_C[[DIAS_CORRIDOS]:[V_FUT_UTEIS]], L$5, FALSE)</f>
        <v>#N/A</v>
      </c>
    </row>
    <row r="102" spans="1:12" hidden="1">
      <c r="A102" s="19">
        <f t="shared" si="14"/>
        <v>96</v>
      </c>
      <c r="B102" s="20">
        <f t="shared" si="10"/>
        <v>0</v>
      </c>
      <c r="C102" s="21">
        <f t="shared" si="11"/>
        <v>0</v>
      </c>
      <c r="D102" s="22" t="e">
        <f>VLOOKUP($A102, TAB_JUROS_U[[Q_DIAS_U_PARC_TIR]:[V_FUT_U_JURS CENARIO]], D$5, FALSE)</f>
        <v>#N/A</v>
      </c>
      <c r="E102" s="22" t="e">
        <f>VLOOKUP($A102,TAB_CORRECAO_U[[Q_DIAS_U_PARC_TIR]:[V_FUT_U_CORC-02]],E$5, FALSE)</f>
        <v>#N/A</v>
      </c>
      <c r="F102" s="22" t="e">
        <f>VLOOKUP($A102,TAB_AMORTIZACAO_U[[Q_DIAS_U_PARC_TIR]:[V_FUT_U_PCPL-02]], F$5, FALSE)</f>
        <v>#N/A</v>
      </c>
      <c r="H102" s="20">
        <f t="shared" si="12"/>
        <v>0</v>
      </c>
      <c r="I102" s="21">
        <f t="shared" si="13"/>
        <v>0</v>
      </c>
      <c r="J102" s="22" t="e">
        <f>VLOOKUP($A102, TAB_JUROS_C[[DIAS_CORRIDOS]:[V_FUT_UTEIS]], J$5, FALSE)</f>
        <v>#N/A</v>
      </c>
      <c r="K102" s="22" t="e">
        <f>VLOOKUP($A102, TAB_CORRECAO_C[[DIAS_CORRIDOS]:[V_FUT_UTEIS]],K$5, FALSE)</f>
        <v>#N/A</v>
      </c>
      <c r="L102" s="22" t="e">
        <f>VLOOKUP($A102, TAB_AMORTIZACAO_C[[DIAS_CORRIDOS]:[V_FUT_UTEIS]], L$5, FALSE)</f>
        <v>#N/A</v>
      </c>
    </row>
    <row r="103" spans="1:12" hidden="1">
      <c r="A103" s="19">
        <f t="shared" si="14"/>
        <v>97</v>
      </c>
      <c r="B103" s="20">
        <f t="shared" si="10"/>
        <v>0</v>
      </c>
      <c r="C103" s="21">
        <f t="shared" si="11"/>
        <v>0</v>
      </c>
      <c r="D103" s="22" t="e">
        <f>VLOOKUP($A103, TAB_JUROS_U[[Q_DIAS_U_PARC_TIR]:[V_FUT_U_JURS CENARIO]], D$5, FALSE)</f>
        <v>#N/A</v>
      </c>
      <c r="E103" s="22" t="e">
        <f>VLOOKUP($A103,TAB_CORRECAO_U[[Q_DIAS_U_PARC_TIR]:[V_FUT_U_CORC-02]],E$5, FALSE)</f>
        <v>#N/A</v>
      </c>
      <c r="F103" s="22" t="e">
        <f>VLOOKUP($A103,TAB_AMORTIZACAO_U[[Q_DIAS_U_PARC_TIR]:[V_FUT_U_PCPL-02]], F$5, FALSE)</f>
        <v>#N/A</v>
      </c>
      <c r="H103" s="20">
        <f t="shared" si="12"/>
        <v>0</v>
      </c>
      <c r="I103" s="21">
        <f t="shared" si="13"/>
        <v>0</v>
      </c>
      <c r="J103" s="22" t="e">
        <f>VLOOKUP($A103, TAB_JUROS_C[[DIAS_CORRIDOS]:[V_FUT_UTEIS]], J$5, FALSE)</f>
        <v>#N/A</v>
      </c>
      <c r="K103" s="22" t="e">
        <f>VLOOKUP($A103, TAB_CORRECAO_C[[DIAS_CORRIDOS]:[V_FUT_UTEIS]],K$5, FALSE)</f>
        <v>#N/A</v>
      </c>
      <c r="L103" s="22" t="e">
        <f>VLOOKUP($A103, TAB_AMORTIZACAO_C[[DIAS_CORRIDOS]:[V_FUT_UTEIS]], L$5, FALSE)</f>
        <v>#N/A</v>
      </c>
    </row>
    <row r="104" spans="1:12" hidden="1">
      <c r="A104" s="19">
        <f t="shared" si="14"/>
        <v>98</v>
      </c>
      <c r="B104" s="20">
        <f t="shared" si="10"/>
        <v>0</v>
      </c>
      <c r="C104" s="21">
        <f t="shared" si="11"/>
        <v>0</v>
      </c>
      <c r="D104" s="22" t="e">
        <f>VLOOKUP($A104, TAB_JUROS_U[[Q_DIAS_U_PARC_TIR]:[V_FUT_U_JURS CENARIO]], D$5, FALSE)</f>
        <v>#N/A</v>
      </c>
      <c r="E104" s="22" t="e">
        <f>VLOOKUP($A104,TAB_CORRECAO_U[[Q_DIAS_U_PARC_TIR]:[V_FUT_U_CORC-02]],E$5, FALSE)</f>
        <v>#N/A</v>
      </c>
      <c r="F104" s="22" t="e">
        <f>VLOOKUP($A104,TAB_AMORTIZACAO_U[[Q_DIAS_U_PARC_TIR]:[V_FUT_U_PCPL-02]], F$5, FALSE)</f>
        <v>#N/A</v>
      </c>
      <c r="H104" s="20">
        <f t="shared" si="12"/>
        <v>0</v>
      </c>
      <c r="I104" s="21">
        <f t="shared" si="13"/>
        <v>0</v>
      </c>
      <c r="J104" s="22" t="e">
        <f>VLOOKUP($A104, TAB_JUROS_C[[DIAS_CORRIDOS]:[V_FUT_UTEIS]], J$5, FALSE)</f>
        <v>#N/A</v>
      </c>
      <c r="K104" s="22" t="e">
        <f>VLOOKUP($A104, TAB_CORRECAO_C[[DIAS_CORRIDOS]:[V_FUT_UTEIS]],K$5, FALSE)</f>
        <v>#N/A</v>
      </c>
      <c r="L104" s="22" t="e">
        <f>VLOOKUP($A104, TAB_AMORTIZACAO_C[[DIAS_CORRIDOS]:[V_FUT_UTEIS]], L$5, FALSE)</f>
        <v>#N/A</v>
      </c>
    </row>
    <row r="105" spans="1:12" hidden="1">
      <c r="A105" s="19">
        <f t="shared" si="14"/>
        <v>99</v>
      </c>
      <c r="B105" s="20">
        <f t="shared" si="10"/>
        <v>0</v>
      </c>
      <c r="C105" s="21">
        <f t="shared" si="11"/>
        <v>0</v>
      </c>
      <c r="D105" s="22" t="e">
        <f>VLOOKUP($A105, TAB_JUROS_U[[Q_DIAS_U_PARC_TIR]:[V_FUT_U_JURS CENARIO]], D$5, FALSE)</f>
        <v>#N/A</v>
      </c>
      <c r="E105" s="22" t="e">
        <f>VLOOKUP($A105,TAB_CORRECAO_U[[Q_DIAS_U_PARC_TIR]:[V_FUT_U_CORC-02]],E$5, FALSE)</f>
        <v>#N/A</v>
      </c>
      <c r="F105" s="22" t="e">
        <f>VLOOKUP($A105,TAB_AMORTIZACAO_U[[Q_DIAS_U_PARC_TIR]:[V_FUT_U_PCPL-02]], F$5, FALSE)</f>
        <v>#N/A</v>
      </c>
      <c r="H105" s="20">
        <f t="shared" si="12"/>
        <v>0</v>
      </c>
      <c r="I105" s="21">
        <f t="shared" si="13"/>
        <v>0</v>
      </c>
      <c r="J105" s="22" t="e">
        <f>VLOOKUP($A105, TAB_JUROS_C[[DIAS_CORRIDOS]:[V_FUT_UTEIS]], J$5, FALSE)</f>
        <v>#N/A</v>
      </c>
      <c r="K105" s="22" t="e">
        <f>VLOOKUP($A105, TAB_CORRECAO_C[[DIAS_CORRIDOS]:[V_FUT_UTEIS]],K$5, FALSE)</f>
        <v>#N/A</v>
      </c>
      <c r="L105" s="22" t="e">
        <f>VLOOKUP($A105, TAB_AMORTIZACAO_C[[DIAS_CORRIDOS]:[V_FUT_UTEIS]], L$5, FALSE)</f>
        <v>#N/A</v>
      </c>
    </row>
    <row r="106" spans="1:12" hidden="1">
      <c r="A106" s="19">
        <f t="shared" si="14"/>
        <v>100</v>
      </c>
      <c r="B106" s="20">
        <f t="shared" si="10"/>
        <v>0</v>
      </c>
      <c r="C106" s="21">
        <f t="shared" si="11"/>
        <v>0</v>
      </c>
      <c r="D106" s="22" t="e">
        <f>VLOOKUP($A106, TAB_JUROS_U[[Q_DIAS_U_PARC_TIR]:[V_FUT_U_JURS CENARIO]], D$5, FALSE)</f>
        <v>#N/A</v>
      </c>
      <c r="E106" s="22" t="e">
        <f>VLOOKUP($A106,TAB_CORRECAO_U[[Q_DIAS_U_PARC_TIR]:[V_FUT_U_CORC-02]],E$5, FALSE)</f>
        <v>#N/A</v>
      </c>
      <c r="F106" s="22" t="e">
        <f>VLOOKUP($A106,TAB_AMORTIZACAO_U[[Q_DIAS_U_PARC_TIR]:[V_FUT_U_PCPL-02]], F$5, FALSE)</f>
        <v>#N/A</v>
      </c>
      <c r="H106" s="20">
        <f t="shared" si="12"/>
        <v>0</v>
      </c>
      <c r="I106" s="21">
        <f t="shared" si="13"/>
        <v>0</v>
      </c>
      <c r="J106" s="22" t="e">
        <f>VLOOKUP($A106, TAB_JUROS_C[[DIAS_CORRIDOS]:[V_FUT_UTEIS]], J$5, FALSE)</f>
        <v>#N/A</v>
      </c>
      <c r="K106" s="22" t="e">
        <f>VLOOKUP($A106, TAB_CORRECAO_C[[DIAS_CORRIDOS]:[V_FUT_UTEIS]],K$5, FALSE)</f>
        <v>#N/A</v>
      </c>
      <c r="L106" s="22" t="e">
        <f>VLOOKUP($A106, TAB_AMORTIZACAO_C[[DIAS_CORRIDOS]:[V_FUT_UTEIS]], L$5, FALSE)</f>
        <v>#N/A</v>
      </c>
    </row>
    <row r="107" spans="1:12" hidden="1">
      <c r="A107" s="19">
        <f t="shared" si="14"/>
        <v>101</v>
      </c>
      <c r="B107" s="20">
        <f t="shared" si="10"/>
        <v>0</v>
      </c>
      <c r="C107" s="21">
        <f t="shared" si="11"/>
        <v>0</v>
      </c>
      <c r="D107" s="22" t="e">
        <f>VLOOKUP($A107, TAB_JUROS_U[[Q_DIAS_U_PARC_TIR]:[V_FUT_U_JURS CENARIO]], D$5, FALSE)</f>
        <v>#N/A</v>
      </c>
      <c r="E107" s="22" t="e">
        <f>VLOOKUP($A107,TAB_CORRECAO_U[[Q_DIAS_U_PARC_TIR]:[V_FUT_U_CORC-02]],E$5, FALSE)</f>
        <v>#N/A</v>
      </c>
      <c r="F107" s="22" t="e">
        <f>VLOOKUP($A107,TAB_AMORTIZACAO_U[[Q_DIAS_U_PARC_TIR]:[V_FUT_U_PCPL-02]], F$5, FALSE)</f>
        <v>#N/A</v>
      </c>
      <c r="H107" s="20">
        <f t="shared" si="12"/>
        <v>0</v>
      </c>
      <c r="I107" s="21">
        <f t="shared" si="13"/>
        <v>0</v>
      </c>
      <c r="J107" s="22" t="e">
        <f>VLOOKUP($A107, TAB_JUROS_C[[DIAS_CORRIDOS]:[V_FUT_UTEIS]], J$5, FALSE)</f>
        <v>#N/A</v>
      </c>
      <c r="K107" s="22" t="e">
        <f>VLOOKUP($A107, TAB_CORRECAO_C[[DIAS_CORRIDOS]:[V_FUT_UTEIS]],K$5, FALSE)</f>
        <v>#N/A</v>
      </c>
      <c r="L107" s="22" t="e">
        <f>VLOOKUP($A107, TAB_AMORTIZACAO_C[[DIAS_CORRIDOS]:[V_FUT_UTEIS]], L$5, FALSE)</f>
        <v>#N/A</v>
      </c>
    </row>
    <row r="108" spans="1:12" hidden="1">
      <c r="A108" s="19">
        <f t="shared" si="14"/>
        <v>102</v>
      </c>
      <c r="B108" s="20">
        <f t="shared" si="10"/>
        <v>0</v>
      </c>
      <c r="C108" s="21">
        <f t="shared" si="11"/>
        <v>0</v>
      </c>
      <c r="D108" s="22" t="e">
        <f>VLOOKUP($A108, TAB_JUROS_U[[Q_DIAS_U_PARC_TIR]:[V_FUT_U_JURS CENARIO]], D$5, FALSE)</f>
        <v>#N/A</v>
      </c>
      <c r="E108" s="22" t="e">
        <f>VLOOKUP($A108,TAB_CORRECAO_U[[Q_DIAS_U_PARC_TIR]:[V_FUT_U_CORC-02]],E$5, FALSE)</f>
        <v>#N/A</v>
      </c>
      <c r="F108" s="22" t="e">
        <f>VLOOKUP($A108,TAB_AMORTIZACAO_U[[Q_DIAS_U_PARC_TIR]:[V_FUT_U_PCPL-02]], F$5, FALSE)</f>
        <v>#N/A</v>
      </c>
      <c r="H108" s="20">
        <f t="shared" si="12"/>
        <v>2282.5161903791336</v>
      </c>
      <c r="I108" s="21">
        <f t="shared" si="13"/>
        <v>2282.5161903791336</v>
      </c>
      <c r="J108" s="22">
        <f>VLOOKUP($A108, TAB_JUROS_C[[DIAS_CORRIDOS]:[V_FUT_UTEIS]], J$5, FALSE)</f>
        <v>203.51849332265758</v>
      </c>
      <c r="K108" s="22">
        <f>VLOOKUP($A108, TAB_CORRECAO_C[[DIAS_CORRIDOS]:[V_FUT_UTEIS]],K$5, FALSE)</f>
        <v>1162.1676043873256</v>
      </c>
      <c r="L108" s="22">
        <f>VLOOKUP($A108, TAB_AMORTIZACAO_C[[DIAS_CORRIDOS]:[V_FUT_UTEIS]], L$5, FALSE)</f>
        <v>916.83009266915053</v>
      </c>
    </row>
    <row r="109" spans="1:12" hidden="1">
      <c r="A109" s="19">
        <f t="shared" si="14"/>
        <v>103</v>
      </c>
      <c r="B109" s="20">
        <f t="shared" si="10"/>
        <v>0</v>
      </c>
      <c r="C109" s="21">
        <f t="shared" si="11"/>
        <v>0</v>
      </c>
      <c r="D109" s="22" t="e">
        <f>VLOOKUP($A109, TAB_JUROS_U[[Q_DIAS_U_PARC_TIR]:[V_FUT_U_JURS CENARIO]], D$5, FALSE)</f>
        <v>#N/A</v>
      </c>
      <c r="E109" s="22" t="e">
        <f>VLOOKUP($A109,TAB_CORRECAO_U[[Q_DIAS_U_PARC_TIR]:[V_FUT_U_CORC-02]],E$5, FALSE)</f>
        <v>#N/A</v>
      </c>
      <c r="F109" s="22" t="e">
        <f>VLOOKUP($A109,TAB_AMORTIZACAO_U[[Q_DIAS_U_PARC_TIR]:[V_FUT_U_PCPL-02]], F$5, FALSE)</f>
        <v>#N/A</v>
      </c>
      <c r="H109" s="20">
        <f t="shared" si="12"/>
        <v>0</v>
      </c>
      <c r="I109" s="21">
        <f t="shared" si="13"/>
        <v>0</v>
      </c>
      <c r="J109" s="22" t="e">
        <f>VLOOKUP($A109, TAB_JUROS_C[[DIAS_CORRIDOS]:[V_FUT_UTEIS]], J$5, FALSE)</f>
        <v>#N/A</v>
      </c>
      <c r="K109" s="22" t="e">
        <f>VLOOKUP($A109, TAB_CORRECAO_C[[DIAS_CORRIDOS]:[V_FUT_UTEIS]],K$5, FALSE)</f>
        <v>#N/A</v>
      </c>
      <c r="L109" s="22" t="e">
        <f>VLOOKUP($A109, TAB_AMORTIZACAO_C[[DIAS_CORRIDOS]:[V_FUT_UTEIS]], L$5, FALSE)</f>
        <v>#N/A</v>
      </c>
    </row>
    <row r="110" spans="1:12" hidden="1">
      <c r="A110" s="19">
        <f t="shared" si="14"/>
        <v>104</v>
      </c>
      <c r="B110" s="20">
        <f t="shared" si="10"/>
        <v>0</v>
      </c>
      <c r="C110" s="21">
        <f t="shared" si="11"/>
        <v>0</v>
      </c>
      <c r="D110" s="22" t="e">
        <f>VLOOKUP($A110, TAB_JUROS_U[[Q_DIAS_U_PARC_TIR]:[V_FUT_U_JURS CENARIO]], D$5, FALSE)</f>
        <v>#N/A</v>
      </c>
      <c r="E110" s="22" t="e">
        <f>VLOOKUP($A110,TAB_CORRECAO_U[[Q_DIAS_U_PARC_TIR]:[V_FUT_U_CORC-02]],E$5, FALSE)</f>
        <v>#N/A</v>
      </c>
      <c r="F110" s="22" t="e">
        <f>VLOOKUP($A110,TAB_AMORTIZACAO_U[[Q_DIAS_U_PARC_TIR]:[V_FUT_U_PCPL-02]], F$5, FALSE)</f>
        <v>#N/A</v>
      </c>
      <c r="H110" s="20">
        <f t="shared" si="12"/>
        <v>0</v>
      </c>
      <c r="I110" s="21">
        <f t="shared" si="13"/>
        <v>0</v>
      </c>
      <c r="J110" s="22" t="e">
        <f>VLOOKUP($A110, TAB_JUROS_C[[DIAS_CORRIDOS]:[V_FUT_UTEIS]], J$5, FALSE)</f>
        <v>#N/A</v>
      </c>
      <c r="K110" s="22" t="e">
        <f>VLOOKUP($A110, TAB_CORRECAO_C[[DIAS_CORRIDOS]:[V_FUT_UTEIS]],K$5, FALSE)</f>
        <v>#N/A</v>
      </c>
      <c r="L110" s="22" t="e">
        <f>VLOOKUP($A110, TAB_AMORTIZACAO_C[[DIAS_CORRIDOS]:[V_FUT_UTEIS]], L$5, FALSE)</f>
        <v>#N/A</v>
      </c>
    </row>
    <row r="111" spans="1:12" hidden="1">
      <c r="A111" s="19">
        <f t="shared" si="14"/>
        <v>105</v>
      </c>
      <c r="B111" s="20">
        <f t="shared" si="10"/>
        <v>0</v>
      </c>
      <c r="C111" s="21">
        <f t="shared" si="11"/>
        <v>0</v>
      </c>
      <c r="D111" s="22" t="e">
        <f>VLOOKUP($A111, TAB_JUROS_U[[Q_DIAS_U_PARC_TIR]:[V_FUT_U_JURS CENARIO]], D$5, FALSE)</f>
        <v>#N/A</v>
      </c>
      <c r="E111" s="22" t="e">
        <f>VLOOKUP($A111,TAB_CORRECAO_U[[Q_DIAS_U_PARC_TIR]:[V_FUT_U_CORC-02]],E$5, FALSE)</f>
        <v>#N/A</v>
      </c>
      <c r="F111" s="22" t="e">
        <f>VLOOKUP($A111,TAB_AMORTIZACAO_U[[Q_DIAS_U_PARC_TIR]:[V_FUT_U_PCPL-02]], F$5, FALSE)</f>
        <v>#N/A</v>
      </c>
      <c r="H111" s="20">
        <f t="shared" si="12"/>
        <v>0</v>
      </c>
      <c r="I111" s="21">
        <f t="shared" si="13"/>
        <v>0</v>
      </c>
      <c r="J111" s="22" t="e">
        <f>VLOOKUP($A111, TAB_JUROS_C[[DIAS_CORRIDOS]:[V_FUT_UTEIS]], J$5, FALSE)</f>
        <v>#N/A</v>
      </c>
      <c r="K111" s="22" t="e">
        <f>VLOOKUP($A111, TAB_CORRECAO_C[[DIAS_CORRIDOS]:[V_FUT_UTEIS]],K$5, FALSE)</f>
        <v>#N/A</v>
      </c>
      <c r="L111" s="22" t="e">
        <f>VLOOKUP($A111, TAB_AMORTIZACAO_C[[DIAS_CORRIDOS]:[V_FUT_UTEIS]], L$5, FALSE)</f>
        <v>#N/A</v>
      </c>
    </row>
    <row r="112" spans="1:12" hidden="1">
      <c r="A112" s="19">
        <f t="shared" si="14"/>
        <v>106</v>
      </c>
      <c r="B112" s="20">
        <f t="shared" si="10"/>
        <v>0</v>
      </c>
      <c r="C112" s="21">
        <f t="shared" si="11"/>
        <v>0</v>
      </c>
      <c r="D112" s="22" t="e">
        <f>VLOOKUP($A112, TAB_JUROS_U[[Q_DIAS_U_PARC_TIR]:[V_FUT_U_JURS CENARIO]], D$5, FALSE)</f>
        <v>#N/A</v>
      </c>
      <c r="E112" s="22" t="e">
        <f>VLOOKUP($A112,TAB_CORRECAO_U[[Q_DIAS_U_PARC_TIR]:[V_FUT_U_CORC-02]],E$5, FALSE)</f>
        <v>#N/A</v>
      </c>
      <c r="F112" s="22" t="e">
        <f>VLOOKUP($A112,TAB_AMORTIZACAO_U[[Q_DIAS_U_PARC_TIR]:[V_FUT_U_PCPL-02]], F$5, FALSE)</f>
        <v>#N/A</v>
      </c>
      <c r="H112" s="20">
        <f t="shared" si="12"/>
        <v>0</v>
      </c>
      <c r="I112" s="21">
        <f t="shared" si="13"/>
        <v>0</v>
      </c>
      <c r="J112" s="22" t="e">
        <f>VLOOKUP($A112, TAB_JUROS_C[[DIAS_CORRIDOS]:[V_FUT_UTEIS]], J$5, FALSE)</f>
        <v>#N/A</v>
      </c>
      <c r="K112" s="22" t="e">
        <f>VLOOKUP($A112, TAB_CORRECAO_C[[DIAS_CORRIDOS]:[V_FUT_UTEIS]],K$5, FALSE)</f>
        <v>#N/A</v>
      </c>
      <c r="L112" s="22" t="e">
        <f>VLOOKUP($A112, TAB_AMORTIZACAO_C[[DIAS_CORRIDOS]:[V_FUT_UTEIS]], L$5, FALSE)</f>
        <v>#N/A</v>
      </c>
    </row>
    <row r="113" spans="1:12" hidden="1">
      <c r="A113" s="19">
        <f t="shared" si="14"/>
        <v>107</v>
      </c>
      <c r="B113" s="20">
        <f t="shared" si="10"/>
        <v>0</v>
      </c>
      <c r="C113" s="21">
        <f t="shared" si="11"/>
        <v>0</v>
      </c>
      <c r="D113" s="22" t="e">
        <f>VLOOKUP($A113, TAB_JUROS_U[[Q_DIAS_U_PARC_TIR]:[V_FUT_U_JURS CENARIO]], D$5, FALSE)</f>
        <v>#N/A</v>
      </c>
      <c r="E113" s="22" t="e">
        <f>VLOOKUP($A113,TAB_CORRECAO_U[[Q_DIAS_U_PARC_TIR]:[V_FUT_U_CORC-02]],E$5, FALSE)</f>
        <v>#N/A</v>
      </c>
      <c r="F113" s="22" t="e">
        <f>VLOOKUP($A113,TAB_AMORTIZACAO_U[[Q_DIAS_U_PARC_TIR]:[V_FUT_U_PCPL-02]], F$5, FALSE)</f>
        <v>#N/A</v>
      </c>
      <c r="H113" s="20">
        <f t="shared" si="12"/>
        <v>0</v>
      </c>
      <c r="I113" s="21">
        <f t="shared" si="13"/>
        <v>0</v>
      </c>
      <c r="J113" s="22" t="e">
        <f>VLOOKUP($A113, TAB_JUROS_C[[DIAS_CORRIDOS]:[V_FUT_UTEIS]], J$5, FALSE)</f>
        <v>#N/A</v>
      </c>
      <c r="K113" s="22" t="e">
        <f>VLOOKUP($A113, TAB_CORRECAO_C[[DIAS_CORRIDOS]:[V_FUT_UTEIS]],K$5, FALSE)</f>
        <v>#N/A</v>
      </c>
      <c r="L113" s="22" t="e">
        <f>VLOOKUP($A113, TAB_AMORTIZACAO_C[[DIAS_CORRIDOS]:[V_FUT_UTEIS]], L$5, FALSE)</f>
        <v>#N/A</v>
      </c>
    </row>
    <row r="114" spans="1:12" hidden="1">
      <c r="A114" s="19">
        <f t="shared" si="14"/>
        <v>108</v>
      </c>
      <c r="B114" s="20">
        <f t="shared" si="10"/>
        <v>0</v>
      </c>
      <c r="C114" s="21">
        <f t="shared" si="11"/>
        <v>0</v>
      </c>
      <c r="D114" s="22" t="e">
        <f>VLOOKUP($A114, TAB_JUROS_U[[Q_DIAS_U_PARC_TIR]:[V_FUT_U_JURS CENARIO]], D$5, FALSE)</f>
        <v>#N/A</v>
      </c>
      <c r="E114" s="22" t="e">
        <f>VLOOKUP($A114,TAB_CORRECAO_U[[Q_DIAS_U_PARC_TIR]:[V_FUT_U_CORC-02]],E$5, FALSE)</f>
        <v>#N/A</v>
      </c>
      <c r="F114" s="22" t="e">
        <f>VLOOKUP($A114,TAB_AMORTIZACAO_U[[Q_DIAS_U_PARC_TIR]:[V_FUT_U_PCPL-02]], F$5, FALSE)</f>
        <v>#N/A</v>
      </c>
      <c r="H114" s="20">
        <f t="shared" si="12"/>
        <v>0</v>
      </c>
      <c r="I114" s="21">
        <f t="shared" si="13"/>
        <v>0</v>
      </c>
      <c r="J114" s="22" t="e">
        <f>VLOOKUP($A114, TAB_JUROS_C[[DIAS_CORRIDOS]:[V_FUT_UTEIS]], J$5, FALSE)</f>
        <v>#N/A</v>
      </c>
      <c r="K114" s="22" t="e">
        <f>VLOOKUP($A114, TAB_CORRECAO_C[[DIAS_CORRIDOS]:[V_FUT_UTEIS]],K$5, FALSE)</f>
        <v>#N/A</v>
      </c>
      <c r="L114" s="22" t="e">
        <f>VLOOKUP($A114, TAB_AMORTIZACAO_C[[DIAS_CORRIDOS]:[V_FUT_UTEIS]], L$5, FALSE)</f>
        <v>#N/A</v>
      </c>
    </row>
    <row r="115" spans="1:12" hidden="1">
      <c r="A115" s="19">
        <f t="shared" si="14"/>
        <v>109</v>
      </c>
      <c r="B115" s="20">
        <f t="shared" si="10"/>
        <v>0</v>
      </c>
      <c r="C115" s="21">
        <f t="shared" si="11"/>
        <v>0</v>
      </c>
      <c r="D115" s="22" t="e">
        <f>VLOOKUP($A115, TAB_JUROS_U[[Q_DIAS_U_PARC_TIR]:[V_FUT_U_JURS CENARIO]], D$5, FALSE)</f>
        <v>#N/A</v>
      </c>
      <c r="E115" s="22" t="e">
        <f>VLOOKUP($A115,TAB_CORRECAO_U[[Q_DIAS_U_PARC_TIR]:[V_FUT_U_CORC-02]],E$5, FALSE)</f>
        <v>#N/A</v>
      </c>
      <c r="F115" s="22" t="e">
        <f>VLOOKUP($A115,TAB_AMORTIZACAO_U[[Q_DIAS_U_PARC_TIR]:[V_FUT_U_PCPL-02]], F$5, FALSE)</f>
        <v>#N/A</v>
      </c>
      <c r="H115" s="20">
        <f t="shared" si="12"/>
        <v>0</v>
      </c>
      <c r="I115" s="21">
        <f t="shared" si="13"/>
        <v>0</v>
      </c>
      <c r="J115" s="22" t="e">
        <f>VLOOKUP($A115, TAB_JUROS_C[[DIAS_CORRIDOS]:[V_FUT_UTEIS]], J$5, FALSE)</f>
        <v>#N/A</v>
      </c>
      <c r="K115" s="22" t="e">
        <f>VLOOKUP($A115, TAB_CORRECAO_C[[DIAS_CORRIDOS]:[V_FUT_UTEIS]],K$5, FALSE)</f>
        <v>#N/A</v>
      </c>
      <c r="L115" s="22" t="e">
        <f>VLOOKUP($A115, TAB_AMORTIZACAO_C[[DIAS_CORRIDOS]:[V_FUT_UTEIS]], L$5, FALSE)</f>
        <v>#N/A</v>
      </c>
    </row>
    <row r="116" spans="1:12" hidden="1">
      <c r="A116" s="19">
        <f t="shared" si="14"/>
        <v>110</v>
      </c>
      <c r="B116" s="20">
        <f t="shared" si="10"/>
        <v>0</v>
      </c>
      <c r="C116" s="21">
        <f t="shared" si="11"/>
        <v>0</v>
      </c>
      <c r="D116" s="22" t="e">
        <f>VLOOKUP($A116, TAB_JUROS_U[[Q_DIAS_U_PARC_TIR]:[V_FUT_U_JURS CENARIO]], D$5, FALSE)</f>
        <v>#N/A</v>
      </c>
      <c r="E116" s="22" t="e">
        <f>VLOOKUP($A116,TAB_CORRECAO_U[[Q_DIAS_U_PARC_TIR]:[V_FUT_U_CORC-02]],E$5, FALSE)</f>
        <v>#N/A</v>
      </c>
      <c r="F116" s="22" t="e">
        <f>VLOOKUP($A116,TAB_AMORTIZACAO_U[[Q_DIAS_U_PARC_TIR]:[V_FUT_U_PCPL-02]], F$5, FALSE)</f>
        <v>#N/A</v>
      </c>
      <c r="H116" s="20">
        <f t="shared" si="12"/>
        <v>0</v>
      </c>
      <c r="I116" s="21">
        <f t="shared" si="13"/>
        <v>0</v>
      </c>
      <c r="J116" s="22" t="e">
        <f>VLOOKUP($A116, TAB_JUROS_C[[DIAS_CORRIDOS]:[V_FUT_UTEIS]], J$5, FALSE)</f>
        <v>#N/A</v>
      </c>
      <c r="K116" s="22" t="e">
        <f>VLOOKUP($A116, TAB_CORRECAO_C[[DIAS_CORRIDOS]:[V_FUT_UTEIS]],K$5, FALSE)</f>
        <v>#N/A</v>
      </c>
      <c r="L116" s="22" t="e">
        <f>VLOOKUP($A116, TAB_AMORTIZACAO_C[[DIAS_CORRIDOS]:[V_FUT_UTEIS]], L$5, FALSE)</f>
        <v>#N/A</v>
      </c>
    </row>
    <row r="117" spans="1:12" hidden="1">
      <c r="A117" s="19">
        <f t="shared" si="14"/>
        <v>111</v>
      </c>
      <c r="B117" s="20">
        <f t="shared" si="10"/>
        <v>0</v>
      </c>
      <c r="C117" s="21">
        <f t="shared" si="11"/>
        <v>0</v>
      </c>
      <c r="D117" s="22" t="e">
        <f>VLOOKUP($A117, TAB_JUROS_U[[Q_DIAS_U_PARC_TIR]:[V_FUT_U_JURS CENARIO]], D$5, FALSE)</f>
        <v>#N/A</v>
      </c>
      <c r="E117" s="22" t="e">
        <f>VLOOKUP($A117,TAB_CORRECAO_U[[Q_DIAS_U_PARC_TIR]:[V_FUT_U_CORC-02]],E$5, FALSE)</f>
        <v>#N/A</v>
      </c>
      <c r="F117" s="22" t="e">
        <f>VLOOKUP($A117,TAB_AMORTIZACAO_U[[Q_DIAS_U_PARC_TIR]:[V_FUT_U_PCPL-02]], F$5, FALSE)</f>
        <v>#N/A</v>
      </c>
      <c r="H117" s="20">
        <f t="shared" si="12"/>
        <v>0</v>
      </c>
      <c r="I117" s="21">
        <f t="shared" si="13"/>
        <v>0</v>
      </c>
      <c r="J117" s="22" t="e">
        <f>VLOOKUP($A117, TAB_JUROS_C[[DIAS_CORRIDOS]:[V_FUT_UTEIS]], J$5, FALSE)</f>
        <v>#N/A</v>
      </c>
      <c r="K117" s="22" t="e">
        <f>VLOOKUP($A117, TAB_CORRECAO_C[[DIAS_CORRIDOS]:[V_FUT_UTEIS]],K$5, FALSE)</f>
        <v>#N/A</v>
      </c>
      <c r="L117" s="22" t="e">
        <f>VLOOKUP($A117, TAB_AMORTIZACAO_C[[DIAS_CORRIDOS]:[V_FUT_UTEIS]], L$5, FALSE)</f>
        <v>#N/A</v>
      </c>
    </row>
    <row r="118" spans="1:12" hidden="1">
      <c r="A118" s="19">
        <f t="shared" si="14"/>
        <v>112</v>
      </c>
      <c r="B118" s="20">
        <f t="shared" si="10"/>
        <v>0</v>
      </c>
      <c r="C118" s="21">
        <f t="shared" si="11"/>
        <v>0</v>
      </c>
      <c r="D118" s="22" t="e">
        <f>VLOOKUP($A118, TAB_JUROS_U[[Q_DIAS_U_PARC_TIR]:[V_FUT_U_JURS CENARIO]], D$5, FALSE)</f>
        <v>#N/A</v>
      </c>
      <c r="E118" s="22" t="e">
        <f>VLOOKUP($A118,TAB_CORRECAO_U[[Q_DIAS_U_PARC_TIR]:[V_FUT_U_CORC-02]],E$5, FALSE)</f>
        <v>#N/A</v>
      </c>
      <c r="F118" s="22" t="e">
        <f>VLOOKUP($A118,TAB_AMORTIZACAO_U[[Q_DIAS_U_PARC_TIR]:[V_FUT_U_PCPL-02]], F$5, FALSE)</f>
        <v>#N/A</v>
      </c>
      <c r="H118" s="20">
        <f t="shared" si="12"/>
        <v>0</v>
      </c>
      <c r="I118" s="21">
        <f t="shared" si="13"/>
        <v>0</v>
      </c>
      <c r="J118" s="22" t="e">
        <f>VLOOKUP($A118, TAB_JUROS_C[[DIAS_CORRIDOS]:[V_FUT_UTEIS]], J$5, FALSE)</f>
        <v>#N/A</v>
      </c>
      <c r="K118" s="22" t="e">
        <f>VLOOKUP($A118, TAB_CORRECAO_C[[DIAS_CORRIDOS]:[V_FUT_UTEIS]],K$5, FALSE)</f>
        <v>#N/A</v>
      </c>
      <c r="L118" s="22" t="e">
        <f>VLOOKUP($A118, TAB_AMORTIZACAO_C[[DIAS_CORRIDOS]:[V_FUT_UTEIS]], L$5, FALSE)</f>
        <v>#N/A</v>
      </c>
    </row>
    <row r="119" spans="1:12" hidden="1">
      <c r="A119" s="19">
        <f t="shared" si="14"/>
        <v>113</v>
      </c>
      <c r="B119" s="20">
        <f t="shared" si="10"/>
        <v>0</v>
      </c>
      <c r="C119" s="21">
        <f t="shared" si="11"/>
        <v>0</v>
      </c>
      <c r="D119" s="22" t="e">
        <f>VLOOKUP($A119, TAB_JUROS_U[[Q_DIAS_U_PARC_TIR]:[V_FUT_U_JURS CENARIO]], D$5, FALSE)</f>
        <v>#N/A</v>
      </c>
      <c r="E119" s="22" t="e">
        <f>VLOOKUP($A119,TAB_CORRECAO_U[[Q_DIAS_U_PARC_TIR]:[V_FUT_U_CORC-02]],E$5, FALSE)</f>
        <v>#N/A</v>
      </c>
      <c r="F119" s="22" t="e">
        <f>VLOOKUP($A119,TAB_AMORTIZACAO_U[[Q_DIAS_U_PARC_TIR]:[V_FUT_U_PCPL-02]], F$5, FALSE)</f>
        <v>#N/A</v>
      </c>
      <c r="H119" s="20">
        <f t="shared" si="12"/>
        <v>0</v>
      </c>
      <c r="I119" s="21">
        <f t="shared" si="13"/>
        <v>0</v>
      </c>
      <c r="J119" s="22" t="e">
        <f>VLOOKUP($A119, TAB_JUROS_C[[DIAS_CORRIDOS]:[V_FUT_UTEIS]], J$5, FALSE)</f>
        <v>#N/A</v>
      </c>
      <c r="K119" s="22" t="e">
        <f>VLOOKUP($A119, TAB_CORRECAO_C[[DIAS_CORRIDOS]:[V_FUT_UTEIS]],K$5, FALSE)</f>
        <v>#N/A</v>
      </c>
      <c r="L119" s="22" t="e">
        <f>VLOOKUP($A119, TAB_AMORTIZACAO_C[[DIAS_CORRIDOS]:[V_FUT_UTEIS]], L$5, FALSE)</f>
        <v>#N/A</v>
      </c>
    </row>
    <row r="120" spans="1:12" hidden="1">
      <c r="A120" s="19">
        <f t="shared" si="14"/>
        <v>114</v>
      </c>
      <c r="B120" s="20">
        <f t="shared" si="10"/>
        <v>0</v>
      </c>
      <c r="C120" s="21">
        <f t="shared" si="11"/>
        <v>0</v>
      </c>
      <c r="D120" s="22" t="e">
        <f>VLOOKUP($A120, TAB_JUROS_U[[Q_DIAS_U_PARC_TIR]:[V_FUT_U_JURS CENARIO]], D$5, FALSE)</f>
        <v>#N/A</v>
      </c>
      <c r="E120" s="22" t="e">
        <f>VLOOKUP($A120,TAB_CORRECAO_U[[Q_DIAS_U_PARC_TIR]:[V_FUT_U_CORC-02]],E$5, FALSE)</f>
        <v>#N/A</v>
      </c>
      <c r="F120" s="22" t="e">
        <f>VLOOKUP($A120,TAB_AMORTIZACAO_U[[Q_DIAS_U_PARC_TIR]:[V_FUT_U_PCPL-02]], F$5, FALSE)</f>
        <v>#N/A</v>
      </c>
      <c r="H120" s="20">
        <f t="shared" si="12"/>
        <v>0</v>
      </c>
      <c r="I120" s="21">
        <f t="shared" si="13"/>
        <v>0</v>
      </c>
      <c r="J120" s="22" t="e">
        <f>VLOOKUP($A120, TAB_JUROS_C[[DIAS_CORRIDOS]:[V_FUT_UTEIS]], J$5, FALSE)</f>
        <v>#N/A</v>
      </c>
      <c r="K120" s="22" t="e">
        <f>VLOOKUP($A120, TAB_CORRECAO_C[[DIAS_CORRIDOS]:[V_FUT_UTEIS]],K$5, FALSE)</f>
        <v>#N/A</v>
      </c>
      <c r="L120" s="22" t="e">
        <f>VLOOKUP($A120, TAB_AMORTIZACAO_C[[DIAS_CORRIDOS]:[V_FUT_UTEIS]], L$5, FALSE)</f>
        <v>#N/A</v>
      </c>
    </row>
    <row r="121" spans="1:12">
      <c r="A121" s="19">
        <f t="shared" si="14"/>
        <v>115</v>
      </c>
      <c r="B121" s="20">
        <f t="shared" si="10"/>
        <v>2159.648874185586</v>
      </c>
      <c r="C121" s="21">
        <f t="shared" si="11"/>
        <v>2159.648874185586</v>
      </c>
      <c r="D121" s="22">
        <f>VLOOKUP($A121, TAB_JUROS_U[[Q_DIAS_U_PARC_TIR]:[V_FUT_U_JURS CENARIO]], D$5, FALSE)</f>
        <v>185.9140004577701</v>
      </c>
      <c r="E121" s="22">
        <f>VLOOKUP($A121,TAB_CORRECAO_U[[Q_DIAS_U_PARC_TIR]:[V_FUT_U_CORC-02]],E$5, FALSE)</f>
        <v>1091.534844155545</v>
      </c>
      <c r="F121" s="22">
        <f>VLOOKUP($A121,TAB_AMORTIZACAO_U[[Q_DIAS_U_PARC_TIR]:[V_FUT_U_PCPL-02]], F$5, FALSE)</f>
        <v>882.20002957227098</v>
      </c>
      <c r="H121" s="20">
        <f t="shared" si="12"/>
        <v>0</v>
      </c>
      <c r="I121" s="21">
        <f t="shared" si="13"/>
        <v>0</v>
      </c>
      <c r="J121" s="22" t="e">
        <f>VLOOKUP($A121, TAB_JUROS_C[[DIAS_CORRIDOS]:[V_FUT_UTEIS]], J$5, FALSE)</f>
        <v>#N/A</v>
      </c>
      <c r="K121" s="22" t="e">
        <f>VLOOKUP($A121, TAB_CORRECAO_C[[DIAS_CORRIDOS]:[V_FUT_UTEIS]],K$5, FALSE)</f>
        <v>#N/A</v>
      </c>
      <c r="L121" s="22" t="e">
        <f>VLOOKUP($A121, TAB_AMORTIZACAO_C[[DIAS_CORRIDOS]:[V_FUT_UTEIS]], L$5, FALSE)</f>
        <v>#N/A</v>
      </c>
    </row>
    <row r="122" spans="1:12" hidden="1">
      <c r="A122" s="19">
        <f t="shared" si="14"/>
        <v>116</v>
      </c>
      <c r="B122" s="20">
        <f t="shared" si="10"/>
        <v>0</v>
      </c>
      <c r="C122" s="21">
        <f t="shared" si="11"/>
        <v>0</v>
      </c>
      <c r="D122" s="22" t="e">
        <f>VLOOKUP($A122, TAB_JUROS_U[[Q_DIAS_U_PARC_TIR]:[V_FUT_U_JURS CENARIO]], D$5, FALSE)</f>
        <v>#N/A</v>
      </c>
      <c r="E122" s="22" t="e">
        <f>VLOOKUP($A122,TAB_CORRECAO_U[[Q_DIAS_U_PARC_TIR]:[V_FUT_U_CORC-02]],E$5, FALSE)</f>
        <v>#N/A</v>
      </c>
      <c r="F122" s="22" t="e">
        <f>VLOOKUP($A122,TAB_AMORTIZACAO_U[[Q_DIAS_U_PARC_TIR]:[V_FUT_U_PCPL-02]], F$5, FALSE)</f>
        <v>#N/A</v>
      </c>
      <c r="H122" s="20">
        <f t="shared" si="12"/>
        <v>0</v>
      </c>
      <c r="I122" s="21">
        <f t="shared" si="13"/>
        <v>0</v>
      </c>
      <c r="J122" s="22" t="e">
        <f>VLOOKUP($A122, TAB_JUROS_C[[DIAS_CORRIDOS]:[V_FUT_UTEIS]], J$5, FALSE)</f>
        <v>#N/A</v>
      </c>
      <c r="K122" s="22" t="e">
        <f>VLOOKUP($A122, TAB_CORRECAO_C[[DIAS_CORRIDOS]:[V_FUT_UTEIS]],K$5, FALSE)</f>
        <v>#N/A</v>
      </c>
      <c r="L122" s="22" t="e">
        <f>VLOOKUP($A122, TAB_AMORTIZACAO_C[[DIAS_CORRIDOS]:[V_FUT_UTEIS]], L$5, FALSE)</f>
        <v>#N/A</v>
      </c>
    </row>
    <row r="123" spans="1:12" hidden="1">
      <c r="A123" s="19">
        <f t="shared" si="14"/>
        <v>117</v>
      </c>
      <c r="B123" s="20">
        <f t="shared" si="10"/>
        <v>0</v>
      </c>
      <c r="C123" s="21">
        <f t="shared" si="11"/>
        <v>0</v>
      </c>
      <c r="D123" s="22" t="e">
        <f>VLOOKUP($A123, TAB_JUROS_U[[Q_DIAS_U_PARC_TIR]:[V_FUT_U_JURS CENARIO]], D$5, FALSE)</f>
        <v>#N/A</v>
      </c>
      <c r="E123" s="22" t="e">
        <f>VLOOKUP($A123,TAB_CORRECAO_U[[Q_DIAS_U_PARC_TIR]:[V_FUT_U_CORC-02]],E$5, FALSE)</f>
        <v>#N/A</v>
      </c>
      <c r="F123" s="22" t="e">
        <f>VLOOKUP($A123,TAB_AMORTIZACAO_U[[Q_DIAS_U_PARC_TIR]:[V_FUT_U_PCPL-02]], F$5, FALSE)</f>
        <v>#N/A</v>
      </c>
      <c r="H123" s="20">
        <f t="shared" si="12"/>
        <v>0</v>
      </c>
      <c r="I123" s="21">
        <f t="shared" si="13"/>
        <v>0</v>
      </c>
      <c r="J123" s="22" t="e">
        <f>VLOOKUP($A123, TAB_JUROS_C[[DIAS_CORRIDOS]:[V_FUT_UTEIS]], J$5, FALSE)</f>
        <v>#N/A</v>
      </c>
      <c r="K123" s="22" t="e">
        <f>VLOOKUP($A123, TAB_CORRECAO_C[[DIAS_CORRIDOS]:[V_FUT_UTEIS]],K$5, FALSE)</f>
        <v>#N/A</v>
      </c>
      <c r="L123" s="22" t="e">
        <f>VLOOKUP($A123, TAB_AMORTIZACAO_C[[DIAS_CORRIDOS]:[V_FUT_UTEIS]], L$5, FALSE)</f>
        <v>#N/A</v>
      </c>
    </row>
    <row r="124" spans="1:12" hidden="1">
      <c r="A124" s="19">
        <f t="shared" si="14"/>
        <v>118</v>
      </c>
      <c r="B124" s="20">
        <f t="shared" si="10"/>
        <v>0</v>
      </c>
      <c r="C124" s="21">
        <f t="shared" si="11"/>
        <v>0</v>
      </c>
      <c r="D124" s="22" t="e">
        <f>VLOOKUP($A124, TAB_JUROS_U[[Q_DIAS_U_PARC_TIR]:[V_FUT_U_JURS CENARIO]], D$5, FALSE)</f>
        <v>#N/A</v>
      </c>
      <c r="E124" s="22" t="e">
        <f>VLOOKUP($A124,TAB_CORRECAO_U[[Q_DIAS_U_PARC_TIR]:[V_FUT_U_CORC-02]],E$5, FALSE)</f>
        <v>#N/A</v>
      </c>
      <c r="F124" s="22" t="e">
        <f>VLOOKUP($A124,TAB_AMORTIZACAO_U[[Q_DIAS_U_PARC_TIR]:[V_FUT_U_PCPL-02]], F$5, FALSE)</f>
        <v>#N/A</v>
      </c>
      <c r="H124" s="20">
        <f t="shared" si="12"/>
        <v>0</v>
      </c>
      <c r="I124" s="21">
        <f t="shared" si="13"/>
        <v>0</v>
      </c>
      <c r="J124" s="22" t="e">
        <f>VLOOKUP($A124, TAB_JUROS_C[[DIAS_CORRIDOS]:[V_FUT_UTEIS]], J$5, FALSE)</f>
        <v>#N/A</v>
      </c>
      <c r="K124" s="22" t="e">
        <f>VLOOKUP($A124, TAB_CORRECAO_C[[DIAS_CORRIDOS]:[V_FUT_UTEIS]],K$5, FALSE)</f>
        <v>#N/A</v>
      </c>
      <c r="L124" s="22" t="e">
        <f>VLOOKUP($A124, TAB_AMORTIZACAO_C[[DIAS_CORRIDOS]:[V_FUT_UTEIS]], L$5, FALSE)</f>
        <v>#N/A</v>
      </c>
    </row>
    <row r="125" spans="1:12" hidden="1">
      <c r="A125" s="19">
        <f t="shared" si="14"/>
        <v>119</v>
      </c>
      <c r="B125" s="20">
        <f t="shared" si="10"/>
        <v>0</v>
      </c>
      <c r="C125" s="21">
        <f t="shared" si="11"/>
        <v>0</v>
      </c>
      <c r="D125" s="22" t="e">
        <f>VLOOKUP($A125, TAB_JUROS_U[[Q_DIAS_U_PARC_TIR]:[V_FUT_U_JURS CENARIO]], D$5, FALSE)</f>
        <v>#N/A</v>
      </c>
      <c r="E125" s="22" t="e">
        <f>VLOOKUP($A125,TAB_CORRECAO_U[[Q_DIAS_U_PARC_TIR]:[V_FUT_U_CORC-02]],E$5, FALSE)</f>
        <v>#N/A</v>
      </c>
      <c r="F125" s="22" t="e">
        <f>VLOOKUP($A125,TAB_AMORTIZACAO_U[[Q_DIAS_U_PARC_TIR]:[V_FUT_U_PCPL-02]], F$5, FALSE)</f>
        <v>#N/A</v>
      </c>
      <c r="H125" s="20">
        <f t="shared" si="12"/>
        <v>0</v>
      </c>
      <c r="I125" s="21">
        <f t="shared" si="13"/>
        <v>0</v>
      </c>
      <c r="J125" s="22" t="e">
        <f>VLOOKUP($A125, TAB_JUROS_C[[DIAS_CORRIDOS]:[V_FUT_UTEIS]], J$5, FALSE)</f>
        <v>#N/A</v>
      </c>
      <c r="K125" s="22" t="e">
        <f>VLOOKUP($A125, TAB_CORRECAO_C[[DIAS_CORRIDOS]:[V_FUT_UTEIS]],K$5, FALSE)</f>
        <v>#N/A</v>
      </c>
      <c r="L125" s="22" t="e">
        <f>VLOOKUP($A125, TAB_AMORTIZACAO_C[[DIAS_CORRIDOS]:[V_FUT_UTEIS]], L$5, FALSE)</f>
        <v>#N/A</v>
      </c>
    </row>
    <row r="126" spans="1:12" hidden="1">
      <c r="A126" s="19">
        <f t="shared" si="14"/>
        <v>120</v>
      </c>
      <c r="B126" s="20">
        <f t="shared" si="10"/>
        <v>0</v>
      </c>
      <c r="C126" s="21">
        <f t="shared" si="11"/>
        <v>0</v>
      </c>
      <c r="D126" s="22" t="e">
        <f>VLOOKUP($A126, TAB_JUROS_U[[Q_DIAS_U_PARC_TIR]:[V_FUT_U_JURS CENARIO]], D$5, FALSE)</f>
        <v>#N/A</v>
      </c>
      <c r="E126" s="22" t="e">
        <f>VLOOKUP($A126,TAB_CORRECAO_U[[Q_DIAS_U_PARC_TIR]:[V_FUT_U_CORC-02]],E$5, FALSE)</f>
        <v>#N/A</v>
      </c>
      <c r="F126" s="22" t="e">
        <f>VLOOKUP($A126,TAB_AMORTIZACAO_U[[Q_DIAS_U_PARC_TIR]:[V_FUT_U_PCPL-02]], F$5, FALSE)</f>
        <v>#N/A</v>
      </c>
      <c r="H126" s="20">
        <f t="shared" si="12"/>
        <v>0</v>
      </c>
      <c r="I126" s="21">
        <f t="shared" si="13"/>
        <v>0</v>
      </c>
      <c r="J126" s="22" t="e">
        <f>VLOOKUP($A126, TAB_JUROS_C[[DIAS_CORRIDOS]:[V_FUT_UTEIS]], J$5, FALSE)</f>
        <v>#N/A</v>
      </c>
      <c r="K126" s="22" t="e">
        <f>VLOOKUP($A126, TAB_CORRECAO_C[[DIAS_CORRIDOS]:[V_FUT_UTEIS]],K$5, FALSE)</f>
        <v>#N/A</v>
      </c>
      <c r="L126" s="22" t="e">
        <f>VLOOKUP($A126, TAB_AMORTIZACAO_C[[DIAS_CORRIDOS]:[V_FUT_UTEIS]], L$5, FALSE)</f>
        <v>#N/A</v>
      </c>
    </row>
    <row r="127" spans="1:12" hidden="1">
      <c r="A127" s="19">
        <f t="shared" si="14"/>
        <v>121</v>
      </c>
      <c r="B127" s="20">
        <f t="shared" si="10"/>
        <v>0</v>
      </c>
      <c r="C127" s="21">
        <f t="shared" si="11"/>
        <v>0</v>
      </c>
      <c r="D127" s="22" t="e">
        <f>VLOOKUP($A127, TAB_JUROS_U[[Q_DIAS_U_PARC_TIR]:[V_FUT_U_JURS CENARIO]], D$5, FALSE)</f>
        <v>#N/A</v>
      </c>
      <c r="E127" s="22" t="e">
        <f>VLOOKUP($A127,TAB_CORRECAO_U[[Q_DIAS_U_PARC_TIR]:[V_FUT_U_CORC-02]],E$5, FALSE)</f>
        <v>#N/A</v>
      </c>
      <c r="F127" s="22" t="e">
        <f>VLOOKUP($A127,TAB_AMORTIZACAO_U[[Q_DIAS_U_PARC_TIR]:[V_FUT_U_PCPL-02]], F$5, FALSE)</f>
        <v>#N/A</v>
      </c>
      <c r="H127" s="20">
        <f t="shared" si="12"/>
        <v>0</v>
      </c>
      <c r="I127" s="21">
        <f t="shared" si="13"/>
        <v>0</v>
      </c>
      <c r="J127" s="22" t="e">
        <f>VLOOKUP($A127, TAB_JUROS_C[[DIAS_CORRIDOS]:[V_FUT_UTEIS]], J$5, FALSE)</f>
        <v>#N/A</v>
      </c>
      <c r="K127" s="22" t="e">
        <f>VLOOKUP($A127, TAB_CORRECAO_C[[DIAS_CORRIDOS]:[V_FUT_UTEIS]],K$5, FALSE)</f>
        <v>#N/A</v>
      </c>
      <c r="L127" s="22" t="e">
        <f>VLOOKUP($A127, TAB_AMORTIZACAO_C[[DIAS_CORRIDOS]:[V_FUT_UTEIS]], L$5, FALSE)</f>
        <v>#N/A</v>
      </c>
    </row>
    <row r="128" spans="1:12" hidden="1">
      <c r="A128" s="19">
        <f t="shared" si="14"/>
        <v>122</v>
      </c>
      <c r="B128" s="20">
        <f t="shared" si="10"/>
        <v>0</v>
      </c>
      <c r="C128" s="21">
        <f t="shared" si="11"/>
        <v>0</v>
      </c>
      <c r="D128" s="22" t="e">
        <f>VLOOKUP($A128, TAB_JUROS_U[[Q_DIAS_U_PARC_TIR]:[V_FUT_U_JURS CENARIO]], D$5, FALSE)</f>
        <v>#N/A</v>
      </c>
      <c r="E128" s="22" t="e">
        <f>VLOOKUP($A128,TAB_CORRECAO_U[[Q_DIAS_U_PARC_TIR]:[V_FUT_U_CORC-02]],E$5, FALSE)</f>
        <v>#N/A</v>
      </c>
      <c r="F128" s="22" t="e">
        <f>VLOOKUP($A128,TAB_AMORTIZACAO_U[[Q_DIAS_U_PARC_TIR]:[V_FUT_U_PCPL-02]], F$5, FALSE)</f>
        <v>#N/A</v>
      </c>
      <c r="H128" s="20">
        <f t="shared" si="12"/>
        <v>0</v>
      </c>
      <c r="I128" s="21">
        <f t="shared" si="13"/>
        <v>0</v>
      </c>
      <c r="J128" s="22" t="e">
        <f>VLOOKUP($A128, TAB_JUROS_C[[DIAS_CORRIDOS]:[V_FUT_UTEIS]], J$5, FALSE)</f>
        <v>#N/A</v>
      </c>
      <c r="K128" s="22" t="e">
        <f>VLOOKUP($A128, TAB_CORRECAO_C[[DIAS_CORRIDOS]:[V_FUT_UTEIS]],K$5, FALSE)</f>
        <v>#N/A</v>
      </c>
      <c r="L128" s="22" t="e">
        <f>VLOOKUP($A128, TAB_AMORTIZACAO_C[[DIAS_CORRIDOS]:[V_FUT_UTEIS]], L$5, FALSE)</f>
        <v>#N/A</v>
      </c>
    </row>
    <row r="129" spans="1:12" hidden="1">
      <c r="A129" s="19">
        <f t="shared" si="14"/>
        <v>123</v>
      </c>
      <c r="B129" s="20">
        <f t="shared" si="10"/>
        <v>0</v>
      </c>
      <c r="C129" s="21">
        <f t="shared" si="11"/>
        <v>0</v>
      </c>
      <c r="D129" s="22" t="e">
        <f>VLOOKUP($A129, TAB_JUROS_U[[Q_DIAS_U_PARC_TIR]:[V_FUT_U_JURS CENARIO]], D$5, FALSE)</f>
        <v>#N/A</v>
      </c>
      <c r="E129" s="22" t="e">
        <f>VLOOKUP($A129,TAB_CORRECAO_U[[Q_DIAS_U_PARC_TIR]:[V_FUT_U_CORC-02]],E$5, FALSE)</f>
        <v>#N/A</v>
      </c>
      <c r="F129" s="22" t="e">
        <f>VLOOKUP($A129,TAB_AMORTIZACAO_U[[Q_DIAS_U_PARC_TIR]:[V_FUT_U_PCPL-02]], F$5, FALSE)</f>
        <v>#N/A</v>
      </c>
      <c r="H129" s="20">
        <f t="shared" si="12"/>
        <v>0</v>
      </c>
      <c r="I129" s="21">
        <f t="shared" si="13"/>
        <v>0</v>
      </c>
      <c r="J129" s="22" t="e">
        <f>VLOOKUP($A129, TAB_JUROS_C[[DIAS_CORRIDOS]:[V_FUT_UTEIS]], J$5, FALSE)</f>
        <v>#N/A</v>
      </c>
      <c r="K129" s="22" t="e">
        <f>VLOOKUP($A129, TAB_CORRECAO_C[[DIAS_CORRIDOS]:[V_FUT_UTEIS]],K$5, FALSE)</f>
        <v>#N/A</v>
      </c>
      <c r="L129" s="22" t="e">
        <f>VLOOKUP($A129, TAB_AMORTIZACAO_C[[DIAS_CORRIDOS]:[V_FUT_UTEIS]], L$5, FALSE)</f>
        <v>#N/A</v>
      </c>
    </row>
    <row r="130" spans="1:12" hidden="1">
      <c r="A130" s="19">
        <f t="shared" si="14"/>
        <v>124</v>
      </c>
      <c r="B130" s="20">
        <f t="shared" si="10"/>
        <v>0</v>
      </c>
      <c r="C130" s="21">
        <f t="shared" si="11"/>
        <v>0</v>
      </c>
      <c r="D130" s="22" t="e">
        <f>VLOOKUP($A130, TAB_JUROS_U[[Q_DIAS_U_PARC_TIR]:[V_FUT_U_JURS CENARIO]], D$5, FALSE)</f>
        <v>#N/A</v>
      </c>
      <c r="E130" s="22" t="e">
        <f>VLOOKUP($A130,TAB_CORRECAO_U[[Q_DIAS_U_PARC_TIR]:[V_FUT_U_CORC-02]],E$5, FALSE)</f>
        <v>#N/A</v>
      </c>
      <c r="F130" s="22" t="e">
        <f>VLOOKUP($A130,TAB_AMORTIZACAO_U[[Q_DIAS_U_PARC_TIR]:[V_FUT_U_PCPL-02]], F$5, FALSE)</f>
        <v>#N/A</v>
      </c>
      <c r="H130" s="20">
        <f t="shared" si="12"/>
        <v>0</v>
      </c>
      <c r="I130" s="21">
        <f t="shared" si="13"/>
        <v>0</v>
      </c>
      <c r="J130" s="22" t="e">
        <f>VLOOKUP($A130, TAB_JUROS_C[[DIAS_CORRIDOS]:[V_FUT_UTEIS]], J$5, FALSE)</f>
        <v>#N/A</v>
      </c>
      <c r="K130" s="22" t="e">
        <f>VLOOKUP($A130, TAB_CORRECAO_C[[DIAS_CORRIDOS]:[V_FUT_UTEIS]],K$5, FALSE)</f>
        <v>#N/A</v>
      </c>
      <c r="L130" s="22" t="e">
        <f>VLOOKUP($A130, TAB_AMORTIZACAO_C[[DIAS_CORRIDOS]:[V_FUT_UTEIS]], L$5, FALSE)</f>
        <v>#N/A</v>
      </c>
    </row>
    <row r="131" spans="1:12" hidden="1">
      <c r="A131" s="19">
        <f t="shared" si="14"/>
        <v>125</v>
      </c>
      <c r="B131" s="20">
        <f t="shared" si="10"/>
        <v>0</v>
      </c>
      <c r="C131" s="21">
        <f t="shared" si="11"/>
        <v>0</v>
      </c>
      <c r="D131" s="22" t="e">
        <f>VLOOKUP($A131, TAB_JUROS_U[[Q_DIAS_U_PARC_TIR]:[V_FUT_U_JURS CENARIO]], D$5, FALSE)</f>
        <v>#N/A</v>
      </c>
      <c r="E131" s="22" t="e">
        <f>VLOOKUP($A131,TAB_CORRECAO_U[[Q_DIAS_U_PARC_TIR]:[V_FUT_U_CORC-02]],E$5, FALSE)</f>
        <v>#N/A</v>
      </c>
      <c r="F131" s="22" t="e">
        <f>VLOOKUP($A131,TAB_AMORTIZACAO_U[[Q_DIAS_U_PARC_TIR]:[V_FUT_U_PCPL-02]], F$5, FALSE)</f>
        <v>#N/A</v>
      </c>
      <c r="H131" s="20">
        <f t="shared" si="12"/>
        <v>0</v>
      </c>
      <c r="I131" s="21">
        <f t="shared" si="13"/>
        <v>0</v>
      </c>
      <c r="J131" s="22" t="e">
        <f>VLOOKUP($A131, TAB_JUROS_C[[DIAS_CORRIDOS]:[V_FUT_UTEIS]], J$5, FALSE)</f>
        <v>#N/A</v>
      </c>
      <c r="K131" s="22" t="e">
        <f>VLOOKUP($A131, TAB_CORRECAO_C[[DIAS_CORRIDOS]:[V_FUT_UTEIS]],K$5, FALSE)</f>
        <v>#N/A</v>
      </c>
      <c r="L131" s="22" t="e">
        <f>VLOOKUP($A131, TAB_AMORTIZACAO_C[[DIAS_CORRIDOS]:[V_FUT_UTEIS]], L$5, FALSE)</f>
        <v>#N/A</v>
      </c>
    </row>
    <row r="132" spans="1:12" hidden="1">
      <c r="A132" s="19">
        <f t="shared" si="14"/>
        <v>126</v>
      </c>
      <c r="B132" s="20">
        <f t="shared" si="10"/>
        <v>0</v>
      </c>
      <c r="C132" s="21">
        <f t="shared" si="11"/>
        <v>0</v>
      </c>
      <c r="D132" s="22" t="e">
        <f>VLOOKUP($A132, TAB_JUROS_U[[Q_DIAS_U_PARC_TIR]:[V_FUT_U_JURS CENARIO]], D$5, FALSE)</f>
        <v>#N/A</v>
      </c>
      <c r="E132" s="22" t="e">
        <f>VLOOKUP($A132,TAB_CORRECAO_U[[Q_DIAS_U_PARC_TIR]:[V_FUT_U_CORC-02]],E$5, FALSE)</f>
        <v>#N/A</v>
      </c>
      <c r="F132" s="22" t="e">
        <f>VLOOKUP($A132,TAB_AMORTIZACAO_U[[Q_DIAS_U_PARC_TIR]:[V_FUT_U_PCPL-02]], F$5, FALSE)</f>
        <v>#N/A</v>
      </c>
      <c r="H132" s="20">
        <f t="shared" si="12"/>
        <v>0</v>
      </c>
      <c r="I132" s="21">
        <f t="shared" si="13"/>
        <v>0</v>
      </c>
      <c r="J132" s="22" t="e">
        <f>VLOOKUP($A132, TAB_JUROS_C[[DIAS_CORRIDOS]:[V_FUT_UTEIS]], J$5, FALSE)</f>
        <v>#N/A</v>
      </c>
      <c r="K132" s="22" t="e">
        <f>VLOOKUP($A132, TAB_CORRECAO_C[[DIAS_CORRIDOS]:[V_FUT_UTEIS]],K$5, FALSE)</f>
        <v>#N/A</v>
      </c>
      <c r="L132" s="22" t="e">
        <f>VLOOKUP($A132, TAB_AMORTIZACAO_C[[DIAS_CORRIDOS]:[V_FUT_UTEIS]], L$5, FALSE)</f>
        <v>#N/A</v>
      </c>
    </row>
    <row r="133" spans="1:12" hidden="1">
      <c r="A133" s="19">
        <f t="shared" si="14"/>
        <v>127</v>
      </c>
      <c r="B133" s="20">
        <f t="shared" si="10"/>
        <v>0</v>
      </c>
      <c r="C133" s="21">
        <f t="shared" si="11"/>
        <v>0</v>
      </c>
      <c r="D133" s="22" t="e">
        <f>VLOOKUP($A133, TAB_JUROS_U[[Q_DIAS_U_PARC_TIR]:[V_FUT_U_JURS CENARIO]], D$5, FALSE)</f>
        <v>#N/A</v>
      </c>
      <c r="E133" s="22" t="e">
        <f>VLOOKUP($A133,TAB_CORRECAO_U[[Q_DIAS_U_PARC_TIR]:[V_FUT_U_CORC-02]],E$5, FALSE)</f>
        <v>#N/A</v>
      </c>
      <c r="F133" s="22" t="e">
        <f>VLOOKUP($A133,TAB_AMORTIZACAO_U[[Q_DIAS_U_PARC_TIR]:[V_FUT_U_PCPL-02]], F$5, FALSE)</f>
        <v>#N/A</v>
      </c>
      <c r="H133" s="20">
        <f t="shared" si="12"/>
        <v>0</v>
      </c>
      <c r="I133" s="21">
        <f t="shared" si="13"/>
        <v>0</v>
      </c>
      <c r="J133" s="22" t="e">
        <f>VLOOKUP($A133, TAB_JUROS_C[[DIAS_CORRIDOS]:[V_FUT_UTEIS]], J$5, FALSE)</f>
        <v>#N/A</v>
      </c>
      <c r="K133" s="22" t="e">
        <f>VLOOKUP($A133, TAB_CORRECAO_C[[DIAS_CORRIDOS]:[V_FUT_UTEIS]],K$5, FALSE)</f>
        <v>#N/A</v>
      </c>
      <c r="L133" s="22" t="e">
        <f>VLOOKUP($A133, TAB_AMORTIZACAO_C[[DIAS_CORRIDOS]:[V_FUT_UTEIS]], L$5, FALSE)</f>
        <v>#N/A</v>
      </c>
    </row>
    <row r="134" spans="1:12" hidden="1">
      <c r="A134" s="19">
        <f t="shared" si="14"/>
        <v>128</v>
      </c>
      <c r="B134" s="20">
        <f t="shared" si="10"/>
        <v>0</v>
      </c>
      <c r="C134" s="21">
        <f t="shared" si="11"/>
        <v>0</v>
      </c>
      <c r="D134" s="22" t="e">
        <f>VLOOKUP($A134, TAB_JUROS_U[[Q_DIAS_U_PARC_TIR]:[V_FUT_U_JURS CENARIO]], D$5, FALSE)</f>
        <v>#N/A</v>
      </c>
      <c r="E134" s="22" t="e">
        <f>VLOOKUP($A134,TAB_CORRECAO_U[[Q_DIAS_U_PARC_TIR]:[V_FUT_U_CORC-02]],E$5, FALSE)</f>
        <v>#N/A</v>
      </c>
      <c r="F134" s="22" t="e">
        <f>VLOOKUP($A134,TAB_AMORTIZACAO_U[[Q_DIAS_U_PARC_TIR]:[V_FUT_U_PCPL-02]], F$5, FALSE)</f>
        <v>#N/A</v>
      </c>
      <c r="H134" s="20">
        <f t="shared" si="12"/>
        <v>0</v>
      </c>
      <c r="I134" s="21">
        <f t="shared" si="13"/>
        <v>0</v>
      </c>
      <c r="J134" s="22" t="e">
        <f>VLOOKUP($A134, TAB_JUROS_C[[DIAS_CORRIDOS]:[V_FUT_UTEIS]], J$5, FALSE)</f>
        <v>#N/A</v>
      </c>
      <c r="K134" s="22" t="e">
        <f>VLOOKUP($A134, TAB_CORRECAO_C[[DIAS_CORRIDOS]:[V_FUT_UTEIS]],K$5, FALSE)</f>
        <v>#N/A</v>
      </c>
      <c r="L134" s="22" t="e">
        <f>VLOOKUP($A134, TAB_AMORTIZACAO_C[[DIAS_CORRIDOS]:[V_FUT_UTEIS]], L$5, FALSE)</f>
        <v>#N/A</v>
      </c>
    </row>
    <row r="135" spans="1:12" hidden="1">
      <c r="A135" s="19">
        <f t="shared" si="14"/>
        <v>129</v>
      </c>
      <c r="B135" s="20">
        <f t="shared" si="10"/>
        <v>0</v>
      </c>
      <c r="C135" s="21">
        <f t="shared" si="11"/>
        <v>0</v>
      </c>
      <c r="D135" s="22" t="e">
        <f>VLOOKUP($A135, TAB_JUROS_U[[Q_DIAS_U_PARC_TIR]:[V_FUT_U_JURS CENARIO]], D$5, FALSE)</f>
        <v>#N/A</v>
      </c>
      <c r="E135" s="22" t="e">
        <f>VLOOKUP($A135,TAB_CORRECAO_U[[Q_DIAS_U_PARC_TIR]:[V_FUT_U_CORC-02]],E$5, FALSE)</f>
        <v>#N/A</v>
      </c>
      <c r="F135" s="22" t="e">
        <f>VLOOKUP($A135,TAB_AMORTIZACAO_U[[Q_DIAS_U_PARC_TIR]:[V_FUT_U_PCPL-02]], F$5, FALSE)</f>
        <v>#N/A</v>
      </c>
      <c r="H135" s="20">
        <f t="shared" si="12"/>
        <v>0</v>
      </c>
      <c r="I135" s="21">
        <f t="shared" si="13"/>
        <v>0</v>
      </c>
      <c r="J135" s="22" t="e">
        <f>VLOOKUP($A135, TAB_JUROS_C[[DIAS_CORRIDOS]:[V_FUT_UTEIS]], J$5, FALSE)</f>
        <v>#N/A</v>
      </c>
      <c r="K135" s="22" t="e">
        <f>VLOOKUP($A135, TAB_CORRECAO_C[[DIAS_CORRIDOS]:[V_FUT_UTEIS]],K$5, FALSE)</f>
        <v>#N/A</v>
      </c>
      <c r="L135" s="22" t="e">
        <f>VLOOKUP($A135, TAB_AMORTIZACAO_C[[DIAS_CORRIDOS]:[V_FUT_UTEIS]], L$5, FALSE)</f>
        <v>#N/A</v>
      </c>
    </row>
    <row r="136" spans="1:12" hidden="1">
      <c r="A136" s="19">
        <f t="shared" si="14"/>
        <v>130</v>
      </c>
      <c r="B136" s="20">
        <f t="shared" si="10"/>
        <v>0</v>
      </c>
      <c r="C136" s="21">
        <f t="shared" si="11"/>
        <v>0</v>
      </c>
      <c r="D136" s="22" t="e">
        <f>VLOOKUP($A136, TAB_JUROS_U[[Q_DIAS_U_PARC_TIR]:[V_FUT_U_JURS CENARIO]], D$5, FALSE)</f>
        <v>#N/A</v>
      </c>
      <c r="E136" s="22" t="e">
        <f>VLOOKUP($A136,TAB_CORRECAO_U[[Q_DIAS_U_PARC_TIR]:[V_FUT_U_CORC-02]],E$5, FALSE)</f>
        <v>#N/A</v>
      </c>
      <c r="F136" s="22" t="e">
        <f>VLOOKUP($A136,TAB_AMORTIZACAO_U[[Q_DIAS_U_PARC_TIR]:[V_FUT_U_PCPL-02]], F$5, FALSE)</f>
        <v>#N/A</v>
      </c>
      <c r="H136" s="20">
        <f t="shared" si="12"/>
        <v>0</v>
      </c>
      <c r="I136" s="21">
        <f t="shared" si="13"/>
        <v>0</v>
      </c>
      <c r="J136" s="22" t="e">
        <f>VLOOKUP($A136, TAB_JUROS_C[[DIAS_CORRIDOS]:[V_FUT_UTEIS]], J$5, FALSE)</f>
        <v>#N/A</v>
      </c>
      <c r="K136" s="22" t="e">
        <f>VLOOKUP($A136, TAB_CORRECAO_C[[DIAS_CORRIDOS]:[V_FUT_UTEIS]],K$5, FALSE)</f>
        <v>#N/A</v>
      </c>
      <c r="L136" s="22" t="e">
        <f>VLOOKUP($A136, TAB_AMORTIZACAO_C[[DIAS_CORRIDOS]:[V_FUT_UTEIS]], L$5, FALSE)</f>
        <v>#N/A</v>
      </c>
    </row>
    <row r="137" spans="1:12" hidden="1">
      <c r="A137" s="19">
        <f t="shared" si="14"/>
        <v>131</v>
      </c>
      <c r="B137" s="20">
        <f t="shared" ref="B137:B200" si="15">IF(ISERROR(C137), 0, C137)</f>
        <v>0</v>
      </c>
      <c r="C137" s="21">
        <f t="shared" ref="C137:C200" si="16">SUMIF(D137:F137, "&gt;0", D137:F137)</f>
        <v>0</v>
      </c>
      <c r="D137" s="22" t="e">
        <f>VLOOKUP($A137, TAB_JUROS_U[[Q_DIAS_U_PARC_TIR]:[V_FUT_U_JURS CENARIO]], D$5, FALSE)</f>
        <v>#N/A</v>
      </c>
      <c r="E137" s="22" t="e">
        <f>VLOOKUP($A137,TAB_CORRECAO_U[[Q_DIAS_U_PARC_TIR]:[V_FUT_U_CORC-02]],E$5, FALSE)</f>
        <v>#N/A</v>
      </c>
      <c r="F137" s="22" t="e">
        <f>VLOOKUP($A137,TAB_AMORTIZACAO_U[[Q_DIAS_U_PARC_TIR]:[V_FUT_U_PCPL-02]], F$5, FALSE)</f>
        <v>#N/A</v>
      </c>
      <c r="H137" s="20">
        <f t="shared" ref="H137:H200" si="17">IF(ISERROR(I137), 0, I137)</f>
        <v>0</v>
      </c>
      <c r="I137" s="21">
        <f t="shared" ref="I137:I200" si="18">SUMIF(J137:L137, "&gt;0", J137:L137)</f>
        <v>0</v>
      </c>
      <c r="J137" s="22" t="e">
        <f>VLOOKUP($A137, TAB_JUROS_C[[DIAS_CORRIDOS]:[V_FUT_UTEIS]], J$5, FALSE)</f>
        <v>#N/A</v>
      </c>
      <c r="K137" s="22" t="e">
        <f>VLOOKUP($A137, TAB_CORRECAO_C[[DIAS_CORRIDOS]:[V_FUT_UTEIS]],K$5, FALSE)</f>
        <v>#N/A</v>
      </c>
      <c r="L137" s="22" t="e">
        <f>VLOOKUP($A137, TAB_AMORTIZACAO_C[[DIAS_CORRIDOS]:[V_FUT_UTEIS]], L$5, FALSE)</f>
        <v>#N/A</v>
      </c>
    </row>
    <row r="138" spans="1:12" hidden="1">
      <c r="A138" s="19">
        <f t="shared" ref="A138:A201" si="19">A137+1</f>
        <v>132</v>
      </c>
      <c r="B138" s="20">
        <f t="shared" si="15"/>
        <v>0</v>
      </c>
      <c r="C138" s="21">
        <f t="shared" si="16"/>
        <v>0</v>
      </c>
      <c r="D138" s="22" t="e">
        <f>VLOOKUP($A138, TAB_JUROS_U[[Q_DIAS_U_PARC_TIR]:[V_FUT_U_JURS CENARIO]], D$5, FALSE)</f>
        <v>#N/A</v>
      </c>
      <c r="E138" s="22" t="e">
        <f>VLOOKUP($A138,TAB_CORRECAO_U[[Q_DIAS_U_PARC_TIR]:[V_FUT_U_CORC-02]],E$5, FALSE)</f>
        <v>#N/A</v>
      </c>
      <c r="F138" s="22" t="e">
        <f>VLOOKUP($A138,TAB_AMORTIZACAO_U[[Q_DIAS_U_PARC_TIR]:[V_FUT_U_PCPL-02]], F$5, FALSE)</f>
        <v>#N/A</v>
      </c>
      <c r="H138" s="20">
        <f t="shared" si="17"/>
        <v>0</v>
      </c>
      <c r="I138" s="21">
        <f t="shared" si="18"/>
        <v>0</v>
      </c>
      <c r="J138" s="22" t="e">
        <f>VLOOKUP($A138, TAB_JUROS_C[[DIAS_CORRIDOS]:[V_FUT_UTEIS]], J$5, FALSE)</f>
        <v>#N/A</v>
      </c>
      <c r="K138" s="22" t="e">
        <f>VLOOKUP($A138, TAB_CORRECAO_C[[DIAS_CORRIDOS]:[V_FUT_UTEIS]],K$5, FALSE)</f>
        <v>#N/A</v>
      </c>
      <c r="L138" s="22" t="e">
        <f>VLOOKUP($A138, TAB_AMORTIZACAO_C[[DIAS_CORRIDOS]:[V_FUT_UTEIS]], L$5, FALSE)</f>
        <v>#N/A</v>
      </c>
    </row>
    <row r="139" spans="1:12" hidden="1">
      <c r="A139" s="19">
        <f t="shared" si="19"/>
        <v>133</v>
      </c>
      <c r="B139" s="20">
        <f t="shared" si="15"/>
        <v>0</v>
      </c>
      <c r="C139" s="21">
        <f t="shared" si="16"/>
        <v>0</v>
      </c>
      <c r="D139" s="22" t="e">
        <f>VLOOKUP($A139, TAB_JUROS_U[[Q_DIAS_U_PARC_TIR]:[V_FUT_U_JURS CENARIO]], D$5, FALSE)</f>
        <v>#N/A</v>
      </c>
      <c r="E139" s="22" t="e">
        <f>VLOOKUP($A139,TAB_CORRECAO_U[[Q_DIAS_U_PARC_TIR]:[V_FUT_U_CORC-02]],E$5, FALSE)</f>
        <v>#N/A</v>
      </c>
      <c r="F139" s="22" t="e">
        <f>VLOOKUP($A139,TAB_AMORTIZACAO_U[[Q_DIAS_U_PARC_TIR]:[V_FUT_U_PCPL-02]], F$5, FALSE)</f>
        <v>#N/A</v>
      </c>
      <c r="H139" s="20">
        <f t="shared" si="17"/>
        <v>2139.3890209168699</v>
      </c>
      <c r="I139" s="21">
        <f t="shared" si="18"/>
        <v>2139.3890209168699</v>
      </c>
      <c r="J139" s="22">
        <f>VLOOKUP($A139, TAB_JUROS_C[[DIAS_CORRIDOS]:[V_FUT_UTEIS]], J$5, FALSE)</f>
        <v>180.90705447002384</v>
      </c>
      <c r="K139" s="22">
        <f>VLOOKUP($A139, TAB_CORRECAO_C[[DIAS_CORRIDOS]:[V_FUT_UTEIS]],K$5, FALSE)</f>
        <v>1044.7976719722246</v>
      </c>
      <c r="L139" s="22">
        <f>VLOOKUP($A139, TAB_AMORTIZACAO_C[[DIAS_CORRIDOS]:[V_FUT_UTEIS]], L$5, FALSE)</f>
        <v>913.68429447462142</v>
      </c>
    </row>
    <row r="140" spans="1:12" hidden="1">
      <c r="A140" s="19">
        <f t="shared" si="19"/>
        <v>134</v>
      </c>
      <c r="B140" s="20">
        <f t="shared" si="15"/>
        <v>0</v>
      </c>
      <c r="C140" s="21">
        <f t="shared" si="16"/>
        <v>0</v>
      </c>
      <c r="D140" s="22" t="e">
        <f>VLOOKUP($A140, TAB_JUROS_U[[Q_DIAS_U_PARC_TIR]:[V_FUT_U_JURS CENARIO]], D$5, FALSE)</f>
        <v>#N/A</v>
      </c>
      <c r="E140" s="22" t="e">
        <f>VLOOKUP($A140,TAB_CORRECAO_U[[Q_DIAS_U_PARC_TIR]:[V_FUT_U_CORC-02]],E$5, FALSE)</f>
        <v>#N/A</v>
      </c>
      <c r="F140" s="22" t="e">
        <f>VLOOKUP($A140,TAB_AMORTIZACAO_U[[Q_DIAS_U_PARC_TIR]:[V_FUT_U_PCPL-02]], F$5, FALSE)</f>
        <v>#N/A</v>
      </c>
      <c r="H140" s="20">
        <f t="shared" si="17"/>
        <v>0</v>
      </c>
      <c r="I140" s="21">
        <f t="shared" si="18"/>
        <v>0</v>
      </c>
      <c r="J140" s="22" t="e">
        <f>VLOOKUP($A140, TAB_JUROS_C[[DIAS_CORRIDOS]:[V_FUT_UTEIS]], J$5, FALSE)</f>
        <v>#N/A</v>
      </c>
      <c r="K140" s="22" t="e">
        <f>VLOOKUP($A140, TAB_CORRECAO_C[[DIAS_CORRIDOS]:[V_FUT_UTEIS]],K$5, FALSE)</f>
        <v>#N/A</v>
      </c>
      <c r="L140" s="22" t="e">
        <f>VLOOKUP($A140, TAB_AMORTIZACAO_C[[DIAS_CORRIDOS]:[V_FUT_UTEIS]], L$5, FALSE)</f>
        <v>#N/A</v>
      </c>
    </row>
    <row r="141" spans="1:12" hidden="1">
      <c r="A141" s="19">
        <f t="shared" si="19"/>
        <v>135</v>
      </c>
      <c r="B141" s="20">
        <f t="shared" si="15"/>
        <v>0</v>
      </c>
      <c r="C141" s="21">
        <f t="shared" si="16"/>
        <v>0</v>
      </c>
      <c r="D141" s="22" t="e">
        <f>VLOOKUP($A141, TAB_JUROS_U[[Q_DIAS_U_PARC_TIR]:[V_FUT_U_JURS CENARIO]], D$5, FALSE)</f>
        <v>#N/A</v>
      </c>
      <c r="E141" s="22" t="e">
        <f>VLOOKUP($A141,TAB_CORRECAO_U[[Q_DIAS_U_PARC_TIR]:[V_FUT_U_CORC-02]],E$5, FALSE)</f>
        <v>#N/A</v>
      </c>
      <c r="F141" s="22" t="e">
        <f>VLOOKUP($A141,TAB_AMORTIZACAO_U[[Q_DIAS_U_PARC_TIR]:[V_FUT_U_PCPL-02]], F$5, FALSE)</f>
        <v>#N/A</v>
      </c>
      <c r="H141" s="20">
        <f t="shared" si="17"/>
        <v>0</v>
      </c>
      <c r="I141" s="21">
        <f t="shared" si="18"/>
        <v>0</v>
      </c>
      <c r="J141" s="22" t="e">
        <f>VLOOKUP($A141, TAB_JUROS_C[[DIAS_CORRIDOS]:[V_FUT_UTEIS]], J$5, FALSE)</f>
        <v>#N/A</v>
      </c>
      <c r="K141" s="22" t="e">
        <f>VLOOKUP($A141, TAB_CORRECAO_C[[DIAS_CORRIDOS]:[V_FUT_UTEIS]],K$5, FALSE)</f>
        <v>#N/A</v>
      </c>
      <c r="L141" s="22" t="e">
        <f>VLOOKUP($A141, TAB_AMORTIZACAO_C[[DIAS_CORRIDOS]:[V_FUT_UTEIS]], L$5, FALSE)</f>
        <v>#N/A</v>
      </c>
    </row>
    <row r="142" spans="1:12" hidden="1">
      <c r="A142" s="19">
        <f t="shared" si="19"/>
        <v>136</v>
      </c>
      <c r="B142" s="20">
        <f t="shared" si="15"/>
        <v>0</v>
      </c>
      <c r="C142" s="21">
        <f t="shared" si="16"/>
        <v>0</v>
      </c>
      <c r="D142" s="22" t="e">
        <f>VLOOKUP($A142, TAB_JUROS_U[[Q_DIAS_U_PARC_TIR]:[V_FUT_U_JURS CENARIO]], D$5, FALSE)</f>
        <v>#N/A</v>
      </c>
      <c r="E142" s="22" t="e">
        <f>VLOOKUP($A142,TAB_CORRECAO_U[[Q_DIAS_U_PARC_TIR]:[V_FUT_U_CORC-02]],E$5, FALSE)</f>
        <v>#N/A</v>
      </c>
      <c r="F142" s="22" t="e">
        <f>VLOOKUP($A142,TAB_AMORTIZACAO_U[[Q_DIAS_U_PARC_TIR]:[V_FUT_U_PCPL-02]], F$5, FALSE)</f>
        <v>#N/A</v>
      </c>
      <c r="H142" s="20">
        <f t="shared" si="17"/>
        <v>0</v>
      </c>
      <c r="I142" s="21">
        <f t="shared" si="18"/>
        <v>0</v>
      </c>
      <c r="J142" s="22" t="e">
        <f>VLOOKUP($A142, TAB_JUROS_C[[DIAS_CORRIDOS]:[V_FUT_UTEIS]], J$5, FALSE)</f>
        <v>#N/A</v>
      </c>
      <c r="K142" s="22" t="e">
        <f>VLOOKUP($A142, TAB_CORRECAO_C[[DIAS_CORRIDOS]:[V_FUT_UTEIS]],K$5, FALSE)</f>
        <v>#N/A</v>
      </c>
      <c r="L142" s="22" t="e">
        <f>VLOOKUP($A142, TAB_AMORTIZACAO_C[[DIAS_CORRIDOS]:[V_FUT_UTEIS]], L$5, FALSE)</f>
        <v>#N/A</v>
      </c>
    </row>
    <row r="143" spans="1:12">
      <c r="A143" s="19">
        <f t="shared" si="19"/>
        <v>137</v>
      </c>
      <c r="B143" s="20">
        <f t="shared" si="15"/>
        <v>2168.1899600021829</v>
      </c>
      <c r="C143" s="21">
        <f t="shared" si="16"/>
        <v>2168.1899600021829</v>
      </c>
      <c r="D143" s="22">
        <f>VLOOKUP($A143, TAB_JUROS_U[[Q_DIAS_U_PARC_TIR]:[V_FUT_U_JURS CENARIO]], D$5, FALSE)</f>
        <v>190.48898741565034</v>
      </c>
      <c r="E143" s="22">
        <f>VLOOKUP($A143,TAB_CORRECAO_U[[Q_DIAS_U_PARC_TIR]:[V_FUT_U_CORC-02]],E$5, FALSE)</f>
        <v>1127.3643754303955</v>
      </c>
      <c r="F143" s="22">
        <f>VLOOKUP($A143,TAB_AMORTIZACAO_U[[Q_DIAS_U_PARC_TIR]:[V_FUT_U_PCPL-02]], F$5, FALSE)</f>
        <v>850.33659715613715</v>
      </c>
      <c r="H143" s="20">
        <f t="shared" si="17"/>
        <v>0</v>
      </c>
      <c r="I143" s="21">
        <f t="shared" si="18"/>
        <v>0</v>
      </c>
      <c r="J143" s="22" t="e">
        <f>VLOOKUP($A143, TAB_JUROS_C[[DIAS_CORRIDOS]:[V_FUT_UTEIS]], J$5, FALSE)</f>
        <v>#N/A</v>
      </c>
      <c r="K143" s="22" t="e">
        <f>VLOOKUP($A143, TAB_CORRECAO_C[[DIAS_CORRIDOS]:[V_FUT_UTEIS]],K$5, FALSE)</f>
        <v>#N/A</v>
      </c>
      <c r="L143" s="22" t="e">
        <f>VLOOKUP($A143, TAB_AMORTIZACAO_C[[DIAS_CORRIDOS]:[V_FUT_UTEIS]], L$5, FALSE)</f>
        <v>#N/A</v>
      </c>
    </row>
    <row r="144" spans="1:12" hidden="1">
      <c r="A144" s="19">
        <f t="shared" si="19"/>
        <v>138</v>
      </c>
      <c r="B144" s="20">
        <f t="shared" si="15"/>
        <v>0</v>
      </c>
      <c r="C144" s="21">
        <f t="shared" si="16"/>
        <v>0</v>
      </c>
      <c r="D144" s="22" t="e">
        <f>VLOOKUP($A144, TAB_JUROS_U[[Q_DIAS_U_PARC_TIR]:[V_FUT_U_JURS CENARIO]], D$5, FALSE)</f>
        <v>#N/A</v>
      </c>
      <c r="E144" s="22" t="e">
        <f>VLOOKUP($A144,TAB_CORRECAO_U[[Q_DIAS_U_PARC_TIR]:[V_FUT_U_CORC-02]],E$5, FALSE)</f>
        <v>#N/A</v>
      </c>
      <c r="F144" s="22" t="e">
        <f>VLOOKUP($A144,TAB_AMORTIZACAO_U[[Q_DIAS_U_PARC_TIR]:[V_FUT_U_PCPL-02]], F$5, FALSE)</f>
        <v>#N/A</v>
      </c>
      <c r="H144" s="20">
        <f t="shared" si="17"/>
        <v>0</v>
      </c>
      <c r="I144" s="21">
        <f t="shared" si="18"/>
        <v>0</v>
      </c>
      <c r="J144" s="22" t="e">
        <f>VLOOKUP($A144, TAB_JUROS_C[[DIAS_CORRIDOS]:[V_FUT_UTEIS]], J$5, FALSE)</f>
        <v>#N/A</v>
      </c>
      <c r="K144" s="22" t="e">
        <f>VLOOKUP($A144, TAB_CORRECAO_C[[DIAS_CORRIDOS]:[V_FUT_UTEIS]],K$5, FALSE)</f>
        <v>#N/A</v>
      </c>
      <c r="L144" s="22" t="e">
        <f>VLOOKUP($A144, TAB_AMORTIZACAO_C[[DIAS_CORRIDOS]:[V_FUT_UTEIS]], L$5, FALSE)</f>
        <v>#N/A</v>
      </c>
    </row>
    <row r="145" spans="1:12" hidden="1">
      <c r="A145" s="19">
        <f t="shared" si="19"/>
        <v>139</v>
      </c>
      <c r="B145" s="20">
        <f t="shared" si="15"/>
        <v>0</v>
      </c>
      <c r="C145" s="21">
        <f t="shared" si="16"/>
        <v>0</v>
      </c>
      <c r="D145" s="22" t="e">
        <f>VLOOKUP($A145, TAB_JUROS_U[[Q_DIAS_U_PARC_TIR]:[V_FUT_U_JURS CENARIO]], D$5, FALSE)</f>
        <v>#N/A</v>
      </c>
      <c r="E145" s="22" t="e">
        <f>VLOOKUP($A145,TAB_CORRECAO_U[[Q_DIAS_U_PARC_TIR]:[V_FUT_U_CORC-02]],E$5, FALSE)</f>
        <v>#N/A</v>
      </c>
      <c r="F145" s="22" t="e">
        <f>VLOOKUP($A145,TAB_AMORTIZACAO_U[[Q_DIAS_U_PARC_TIR]:[V_FUT_U_PCPL-02]], F$5, FALSE)</f>
        <v>#N/A</v>
      </c>
      <c r="H145" s="20">
        <f t="shared" si="17"/>
        <v>0</v>
      </c>
      <c r="I145" s="21">
        <f t="shared" si="18"/>
        <v>0</v>
      </c>
      <c r="J145" s="22" t="e">
        <f>VLOOKUP($A145, TAB_JUROS_C[[DIAS_CORRIDOS]:[V_FUT_UTEIS]], J$5, FALSE)</f>
        <v>#N/A</v>
      </c>
      <c r="K145" s="22" t="e">
        <f>VLOOKUP($A145, TAB_CORRECAO_C[[DIAS_CORRIDOS]:[V_FUT_UTEIS]],K$5, FALSE)</f>
        <v>#N/A</v>
      </c>
      <c r="L145" s="22" t="e">
        <f>VLOOKUP($A145, TAB_AMORTIZACAO_C[[DIAS_CORRIDOS]:[V_FUT_UTEIS]], L$5, FALSE)</f>
        <v>#N/A</v>
      </c>
    </row>
    <row r="146" spans="1:12" hidden="1">
      <c r="A146" s="19">
        <f t="shared" si="19"/>
        <v>140</v>
      </c>
      <c r="B146" s="20">
        <f t="shared" si="15"/>
        <v>0</v>
      </c>
      <c r="C146" s="21">
        <f t="shared" si="16"/>
        <v>0</v>
      </c>
      <c r="D146" s="22" t="e">
        <f>VLOOKUP($A146, TAB_JUROS_U[[Q_DIAS_U_PARC_TIR]:[V_FUT_U_JURS CENARIO]], D$5, FALSE)</f>
        <v>#N/A</v>
      </c>
      <c r="E146" s="22" t="e">
        <f>VLOOKUP($A146,TAB_CORRECAO_U[[Q_DIAS_U_PARC_TIR]:[V_FUT_U_CORC-02]],E$5, FALSE)</f>
        <v>#N/A</v>
      </c>
      <c r="F146" s="22" t="e">
        <f>VLOOKUP($A146,TAB_AMORTIZACAO_U[[Q_DIAS_U_PARC_TIR]:[V_FUT_U_PCPL-02]], F$5, FALSE)</f>
        <v>#N/A</v>
      </c>
      <c r="H146" s="20">
        <f t="shared" si="17"/>
        <v>0</v>
      </c>
      <c r="I146" s="21">
        <f t="shared" si="18"/>
        <v>0</v>
      </c>
      <c r="J146" s="22" t="e">
        <f>VLOOKUP($A146, TAB_JUROS_C[[DIAS_CORRIDOS]:[V_FUT_UTEIS]], J$5, FALSE)</f>
        <v>#N/A</v>
      </c>
      <c r="K146" s="22" t="e">
        <f>VLOOKUP($A146, TAB_CORRECAO_C[[DIAS_CORRIDOS]:[V_FUT_UTEIS]],K$5, FALSE)</f>
        <v>#N/A</v>
      </c>
      <c r="L146" s="22" t="e">
        <f>VLOOKUP($A146, TAB_AMORTIZACAO_C[[DIAS_CORRIDOS]:[V_FUT_UTEIS]], L$5, FALSE)</f>
        <v>#N/A</v>
      </c>
    </row>
    <row r="147" spans="1:12" hidden="1">
      <c r="A147" s="19">
        <f t="shared" si="19"/>
        <v>141</v>
      </c>
      <c r="B147" s="20">
        <f t="shared" si="15"/>
        <v>0</v>
      </c>
      <c r="C147" s="21">
        <f t="shared" si="16"/>
        <v>0</v>
      </c>
      <c r="D147" s="22" t="e">
        <f>VLOOKUP($A147, TAB_JUROS_U[[Q_DIAS_U_PARC_TIR]:[V_FUT_U_JURS CENARIO]], D$5, FALSE)</f>
        <v>#N/A</v>
      </c>
      <c r="E147" s="22" t="e">
        <f>VLOOKUP($A147,TAB_CORRECAO_U[[Q_DIAS_U_PARC_TIR]:[V_FUT_U_CORC-02]],E$5, FALSE)</f>
        <v>#N/A</v>
      </c>
      <c r="F147" s="22" t="e">
        <f>VLOOKUP($A147,TAB_AMORTIZACAO_U[[Q_DIAS_U_PARC_TIR]:[V_FUT_U_PCPL-02]], F$5, FALSE)</f>
        <v>#N/A</v>
      </c>
      <c r="H147" s="20">
        <f t="shared" si="17"/>
        <v>0</v>
      </c>
      <c r="I147" s="21">
        <f t="shared" si="18"/>
        <v>0</v>
      </c>
      <c r="J147" s="22" t="e">
        <f>VLOOKUP($A147, TAB_JUROS_C[[DIAS_CORRIDOS]:[V_FUT_UTEIS]], J$5, FALSE)</f>
        <v>#N/A</v>
      </c>
      <c r="K147" s="22" t="e">
        <f>VLOOKUP($A147, TAB_CORRECAO_C[[DIAS_CORRIDOS]:[V_FUT_UTEIS]],K$5, FALSE)</f>
        <v>#N/A</v>
      </c>
      <c r="L147" s="22" t="e">
        <f>VLOOKUP($A147, TAB_AMORTIZACAO_C[[DIAS_CORRIDOS]:[V_FUT_UTEIS]], L$5, FALSE)</f>
        <v>#N/A</v>
      </c>
    </row>
    <row r="148" spans="1:12" hidden="1">
      <c r="A148" s="19">
        <f t="shared" si="19"/>
        <v>142</v>
      </c>
      <c r="B148" s="20">
        <f t="shared" si="15"/>
        <v>0</v>
      </c>
      <c r="C148" s="21">
        <f t="shared" si="16"/>
        <v>0</v>
      </c>
      <c r="D148" s="22" t="e">
        <f>VLOOKUP($A148, TAB_JUROS_U[[Q_DIAS_U_PARC_TIR]:[V_FUT_U_JURS CENARIO]], D$5, FALSE)</f>
        <v>#N/A</v>
      </c>
      <c r="E148" s="22" t="e">
        <f>VLOOKUP($A148,TAB_CORRECAO_U[[Q_DIAS_U_PARC_TIR]:[V_FUT_U_CORC-02]],E$5, FALSE)</f>
        <v>#N/A</v>
      </c>
      <c r="F148" s="22" t="e">
        <f>VLOOKUP($A148,TAB_AMORTIZACAO_U[[Q_DIAS_U_PARC_TIR]:[V_FUT_U_PCPL-02]], F$5, FALSE)</f>
        <v>#N/A</v>
      </c>
      <c r="H148" s="20">
        <f t="shared" si="17"/>
        <v>0</v>
      </c>
      <c r="I148" s="21">
        <f t="shared" si="18"/>
        <v>0</v>
      </c>
      <c r="J148" s="22" t="e">
        <f>VLOOKUP($A148, TAB_JUROS_C[[DIAS_CORRIDOS]:[V_FUT_UTEIS]], J$5, FALSE)</f>
        <v>#N/A</v>
      </c>
      <c r="K148" s="22" t="e">
        <f>VLOOKUP($A148, TAB_CORRECAO_C[[DIAS_CORRIDOS]:[V_FUT_UTEIS]],K$5, FALSE)</f>
        <v>#N/A</v>
      </c>
      <c r="L148" s="22" t="e">
        <f>VLOOKUP($A148, TAB_AMORTIZACAO_C[[DIAS_CORRIDOS]:[V_FUT_UTEIS]], L$5, FALSE)</f>
        <v>#N/A</v>
      </c>
    </row>
    <row r="149" spans="1:12" hidden="1">
      <c r="A149" s="19">
        <f t="shared" si="19"/>
        <v>143</v>
      </c>
      <c r="B149" s="20">
        <f t="shared" si="15"/>
        <v>0</v>
      </c>
      <c r="C149" s="21">
        <f t="shared" si="16"/>
        <v>0</v>
      </c>
      <c r="D149" s="22" t="e">
        <f>VLOOKUP($A149, TAB_JUROS_U[[Q_DIAS_U_PARC_TIR]:[V_FUT_U_JURS CENARIO]], D$5, FALSE)</f>
        <v>#N/A</v>
      </c>
      <c r="E149" s="22" t="e">
        <f>VLOOKUP($A149,TAB_CORRECAO_U[[Q_DIAS_U_PARC_TIR]:[V_FUT_U_CORC-02]],E$5, FALSE)</f>
        <v>#N/A</v>
      </c>
      <c r="F149" s="22" t="e">
        <f>VLOOKUP($A149,TAB_AMORTIZACAO_U[[Q_DIAS_U_PARC_TIR]:[V_FUT_U_PCPL-02]], F$5, FALSE)</f>
        <v>#N/A</v>
      </c>
      <c r="H149" s="20">
        <f t="shared" si="17"/>
        <v>0</v>
      </c>
      <c r="I149" s="21">
        <f t="shared" si="18"/>
        <v>0</v>
      </c>
      <c r="J149" s="22" t="e">
        <f>VLOOKUP($A149, TAB_JUROS_C[[DIAS_CORRIDOS]:[V_FUT_UTEIS]], J$5, FALSE)</f>
        <v>#N/A</v>
      </c>
      <c r="K149" s="22" t="e">
        <f>VLOOKUP($A149, TAB_CORRECAO_C[[DIAS_CORRIDOS]:[V_FUT_UTEIS]],K$5, FALSE)</f>
        <v>#N/A</v>
      </c>
      <c r="L149" s="22" t="e">
        <f>VLOOKUP($A149, TAB_AMORTIZACAO_C[[DIAS_CORRIDOS]:[V_FUT_UTEIS]], L$5, FALSE)</f>
        <v>#N/A</v>
      </c>
    </row>
    <row r="150" spans="1:12" hidden="1">
      <c r="A150" s="19">
        <f t="shared" si="19"/>
        <v>144</v>
      </c>
      <c r="B150" s="20">
        <f t="shared" si="15"/>
        <v>0</v>
      </c>
      <c r="C150" s="21">
        <f t="shared" si="16"/>
        <v>0</v>
      </c>
      <c r="D150" s="22" t="e">
        <f>VLOOKUP($A150, TAB_JUROS_U[[Q_DIAS_U_PARC_TIR]:[V_FUT_U_JURS CENARIO]], D$5, FALSE)</f>
        <v>#N/A</v>
      </c>
      <c r="E150" s="22" t="e">
        <f>VLOOKUP($A150,TAB_CORRECAO_U[[Q_DIAS_U_PARC_TIR]:[V_FUT_U_CORC-02]],E$5, FALSE)</f>
        <v>#N/A</v>
      </c>
      <c r="F150" s="22" t="e">
        <f>VLOOKUP($A150,TAB_AMORTIZACAO_U[[Q_DIAS_U_PARC_TIR]:[V_FUT_U_PCPL-02]], F$5, FALSE)</f>
        <v>#N/A</v>
      </c>
      <c r="H150" s="20">
        <f t="shared" si="17"/>
        <v>0</v>
      </c>
      <c r="I150" s="21">
        <f t="shared" si="18"/>
        <v>0</v>
      </c>
      <c r="J150" s="22" t="e">
        <f>VLOOKUP($A150, TAB_JUROS_C[[DIAS_CORRIDOS]:[V_FUT_UTEIS]], J$5, FALSE)</f>
        <v>#N/A</v>
      </c>
      <c r="K150" s="22" t="e">
        <f>VLOOKUP($A150, TAB_CORRECAO_C[[DIAS_CORRIDOS]:[V_FUT_UTEIS]],K$5, FALSE)</f>
        <v>#N/A</v>
      </c>
      <c r="L150" s="22" t="e">
        <f>VLOOKUP($A150, TAB_AMORTIZACAO_C[[DIAS_CORRIDOS]:[V_FUT_UTEIS]], L$5, FALSE)</f>
        <v>#N/A</v>
      </c>
    </row>
    <row r="151" spans="1:12" hidden="1">
      <c r="A151" s="19">
        <f t="shared" si="19"/>
        <v>145</v>
      </c>
      <c r="B151" s="20">
        <f t="shared" si="15"/>
        <v>0</v>
      </c>
      <c r="C151" s="21">
        <f t="shared" si="16"/>
        <v>0</v>
      </c>
      <c r="D151" s="22" t="e">
        <f>VLOOKUP($A151, TAB_JUROS_U[[Q_DIAS_U_PARC_TIR]:[V_FUT_U_JURS CENARIO]], D$5, FALSE)</f>
        <v>#N/A</v>
      </c>
      <c r="E151" s="22" t="e">
        <f>VLOOKUP($A151,TAB_CORRECAO_U[[Q_DIAS_U_PARC_TIR]:[V_FUT_U_CORC-02]],E$5, FALSE)</f>
        <v>#N/A</v>
      </c>
      <c r="F151" s="22" t="e">
        <f>VLOOKUP($A151,TAB_AMORTIZACAO_U[[Q_DIAS_U_PARC_TIR]:[V_FUT_U_PCPL-02]], F$5, FALSE)</f>
        <v>#N/A</v>
      </c>
      <c r="H151" s="20">
        <f t="shared" si="17"/>
        <v>0</v>
      </c>
      <c r="I151" s="21">
        <f t="shared" si="18"/>
        <v>0</v>
      </c>
      <c r="J151" s="22" t="e">
        <f>VLOOKUP($A151, TAB_JUROS_C[[DIAS_CORRIDOS]:[V_FUT_UTEIS]], J$5, FALSE)</f>
        <v>#N/A</v>
      </c>
      <c r="K151" s="22" t="e">
        <f>VLOOKUP($A151, TAB_CORRECAO_C[[DIAS_CORRIDOS]:[V_FUT_UTEIS]],K$5, FALSE)</f>
        <v>#N/A</v>
      </c>
      <c r="L151" s="22" t="e">
        <f>VLOOKUP($A151, TAB_AMORTIZACAO_C[[DIAS_CORRIDOS]:[V_FUT_UTEIS]], L$5, FALSE)</f>
        <v>#N/A</v>
      </c>
    </row>
    <row r="152" spans="1:12" hidden="1">
      <c r="A152" s="19">
        <f t="shared" si="19"/>
        <v>146</v>
      </c>
      <c r="B152" s="20">
        <f t="shared" si="15"/>
        <v>0</v>
      </c>
      <c r="C152" s="21">
        <f t="shared" si="16"/>
        <v>0</v>
      </c>
      <c r="D152" s="22" t="e">
        <f>VLOOKUP($A152, TAB_JUROS_U[[Q_DIAS_U_PARC_TIR]:[V_FUT_U_JURS CENARIO]], D$5, FALSE)</f>
        <v>#N/A</v>
      </c>
      <c r="E152" s="22" t="e">
        <f>VLOOKUP($A152,TAB_CORRECAO_U[[Q_DIAS_U_PARC_TIR]:[V_FUT_U_CORC-02]],E$5, FALSE)</f>
        <v>#N/A</v>
      </c>
      <c r="F152" s="22" t="e">
        <f>VLOOKUP($A152,TAB_AMORTIZACAO_U[[Q_DIAS_U_PARC_TIR]:[V_FUT_U_PCPL-02]], F$5, FALSE)</f>
        <v>#N/A</v>
      </c>
      <c r="H152" s="20">
        <f t="shared" si="17"/>
        <v>0</v>
      </c>
      <c r="I152" s="21">
        <f t="shared" si="18"/>
        <v>0</v>
      </c>
      <c r="J152" s="22" t="e">
        <f>VLOOKUP($A152, TAB_JUROS_C[[DIAS_CORRIDOS]:[V_FUT_UTEIS]], J$5, FALSE)</f>
        <v>#N/A</v>
      </c>
      <c r="K152" s="22" t="e">
        <f>VLOOKUP($A152, TAB_CORRECAO_C[[DIAS_CORRIDOS]:[V_FUT_UTEIS]],K$5, FALSE)</f>
        <v>#N/A</v>
      </c>
      <c r="L152" s="22" t="e">
        <f>VLOOKUP($A152, TAB_AMORTIZACAO_C[[DIAS_CORRIDOS]:[V_FUT_UTEIS]], L$5, FALSE)</f>
        <v>#N/A</v>
      </c>
    </row>
    <row r="153" spans="1:12" hidden="1">
      <c r="A153" s="19">
        <f t="shared" si="19"/>
        <v>147</v>
      </c>
      <c r="B153" s="20">
        <f t="shared" si="15"/>
        <v>0</v>
      </c>
      <c r="C153" s="21">
        <f t="shared" si="16"/>
        <v>0</v>
      </c>
      <c r="D153" s="22" t="e">
        <f>VLOOKUP($A153, TAB_JUROS_U[[Q_DIAS_U_PARC_TIR]:[V_FUT_U_JURS CENARIO]], D$5, FALSE)</f>
        <v>#N/A</v>
      </c>
      <c r="E153" s="22" t="e">
        <f>VLOOKUP($A153,TAB_CORRECAO_U[[Q_DIAS_U_PARC_TIR]:[V_FUT_U_CORC-02]],E$5, FALSE)</f>
        <v>#N/A</v>
      </c>
      <c r="F153" s="22" t="e">
        <f>VLOOKUP($A153,TAB_AMORTIZACAO_U[[Q_DIAS_U_PARC_TIR]:[V_FUT_U_PCPL-02]], F$5, FALSE)</f>
        <v>#N/A</v>
      </c>
      <c r="H153" s="20">
        <f t="shared" si="17"/>
        <v>0</v>
      </c>
      <c r="I153" s="21">
        <f t="shared" si="18"/>
        <v>0</v>
      </c>
      <c r="J153" s="22" t="e">
        <f>VLOOKUP($A153, TAB_JUROS_C[[DIAS_CORRIDOS]:[V_FUT_UTEIS]], J$5, FALSE)</f>
        <v>#N/A</v>
      </c>
      <c r="K153" s="22" t="e">
        <f>VLOOKUP($A153, TAB_CORRECAO_C[[DIAS_CORRIDOS]:[V_FUT_UTEIS]],K$5, FALSE)</f>
        <v>#N/A</v>
      </c>
      <c r="L153" s="22" t="e">
        <f>VLOOKUP($A153, TAB_AMORTIZACAO_C[[DIAS_CORRIDOS]:[V_FUT_UTEIS]], L$5, FALSE)</f>
        <v>#N/A</v>
      </c>
    </row>
    <row r="154" spans="1:12" hidden="1">
      <c r="A154" s="19">
        <f t="shared" si="19"/>
        <v>148</v>
      </c>
      <c r="B154" s="20">
        <f t="shared" si="15"/>
        <v>0</v>
      </c>
      <c r="C154" s="21">
        <f t="shared" si="16"/>
        <v>0</v>
      </c>
      <c r="D154" s="22" t="e">
        <f>VLOOKUP($A154, TAB_JUROS_U[[Q_DIAS_U_PARC_TIR]:[V_FUT_U_JURS CENARIO]], D$5, FALSE)</f>
        <v>#N/A</v>
      </c>
      <c r="E154" s="22" t="e">
        <f>VLOOKUP($A154,TAB_CORRECAO_U[[Q_DIAS_U_PARC_TIR]:[V_FUT_U_CORC-02]],E$5, FALSE)</f>
        <v>#N/A</v>
      </c>
      <c r="F154" s="22" t="e">
        <f>VLOOKUP($A154,TAB_AMORTIZACAO_U[[Q_DIAS_U_PARC_TIR]:[V_FUT_U_PCPL-02]], F$5, FALSE)</f>
        <v>#N/A</v>
      </c>
      <c r="H154" s="20">
        <f t="shared" si="17"/>
        <v>0</v>
      </c>
      <c r="I154" s="21">
        <f t="shared" si="18"/>
        <v>0</v>
      </c>
      <c r="J154" s="22" t="e">
        <f>VLOOKUP($A154, TAB_JUROS_C[[DIAS_CORRIDOS]:[V_FUT_UTEIS]], J$5, FALSE)</f>
        <v>#N/A</v>
      </c>
      <c r="K154" s="22" t="e">
        <f>VLOOKUP($A154, TAB_CORRECAO_C[[DIAS_CORRIDOS]:[V_FUT_UTEIS]],K$5, FALSE)</f>
        <v>#N/A</v>
      </c>
      <c r="L154" s="22" t="e">
        <f>VLOOKUP($A154, TAB_AMORTIZACAO_C[[DIAS_CORRIDOS]:[V_FUT_UTEIS]], L$5, FALSE)</f>
        <v>#N/A</v>
      </c>
    </row>
    <row r="155" spans="1:12" hidden="1">
      <c r="A155" s="19">
        <f t="shared" si="19"/>
        <v>149</v>
      </c>
      <c r="B155" s="20">
        <f t="shared" si="15"/>
        <v>0</v>
      </c>
      <c r="C155" s="21">
        <f t="shared" si="16"/>
        <v>0</v>
      </c>
      <c r="D155" s="22" t="e">
        <f>VLOOKUP($A155, TAB_JUROS_U[[Q_DIAS_U_PARC_TIR]:[V_FUT_U_JURS CENARIO]], D$5, FALSE)</f>
        <v>#N/A</v>
      </c>
      <c r="E155" s="22" t="e">
        <f>VLOOKUP($A155,TAB_CORRECAO_U[[Q_DIAS_U_PARC_TIR]:[V_FUT_U_CORC-02]],E$5, FALSE)</f>
        <v>#N/A</v>
      </c>
      <c r="F155" s="22" t="e">
        <f>VLOOKUP($A155,TAB_AMORTIZACAO_U[[Q_DIAS_U_PARC_TIR]:[V_FUT_U_PCPL-02]], F$5, FALSE)</f>
        <v>#N/A</v>
      </c>
      <c r="H155" s="20">
        <f t="shared" si="17"/>
        <v>0</v>
      </c>
      <c r="I155" s="21">
        <f t="shared" si="18"/>
        <v>0</v>
      </c>
      <c r="J155" s="22" t="e">
        <f>VLOOKUP($A155, TAB_JUROS_C[[DIAS_CORRIDOS]:[V_FUT_UTEIS]], J$5, FALSE)</f>
        <v>#N/A</v>
      </c>
      <c r="K155" s="22" t="e">
        <f>VLOOKUP($A155, TAB_CORRECAO_C[[DIAS_CORRIDOS]:[V_FUT_UTEIS]],K$5, FALSE)</f>
        <v>#N/A</v>
      </c>
      <c r="L155" s="22" t="e">
        <f>VLOOKUP($A155, TAB_AMORTIZACAO_C[[DIAS_CORRIDOS]:[V_FUT_UTEIS]], L$5, FALSE)</f>
        <v>#N/A</v>
      </c>
    </row>
    <row r="156" spans="1:12" hidden="1">
      <c r="A156" s="19">
        <f t="shared" si="19"/>
        <v>150</v>
      </c>
      <c r="B156" s="20">
        <f t="shared" si="15"/>
        <v>0</v>
      </c>
      <c r="C156" s="21">
        <f t="shared" si="16"/>
        <v>0</v>
      </c>
      <c r="D156" s="22" t="e">
        <f>VLOOKUP($A156, TAB_JUROS_U[[Q_DIAS_U_PARC_TIR]:[V_FUT_U_JURS CENARIO]], D$5, FALSE)</f>
        <v>#N/A</v>
      </c>
      <c r="E156" s="22" t="e">
        <f>VLOOKUP($A156,TAB_CORRECAO_U[[Q_DIAS_U_PARC_TIR]:[V_FUT_U_CORC-02]],E$5, FALSE)</f>
        <v>#N/A</v>
      </c>
      <c r="F156" s="22" t="e">
        <f>VLOOKUP($A156,TAB_AMORTIZACAO_U[[Q_DIAS_U_PARC_TIR]:[V_FUT_U_PCPL-02]], F$5, FALSE)</f>
        <v>#N/A</v>
      </c>
      <c r="H156" s="20">
        <f t="shared" si="17"/>
        <v>0</v>
      </c>
      <c r="I156" s="21">
        <f t="shared" si="18"/>
        <v>0</v>
      </c>
      <c r="J156" s="22" t="e">
        <f>VLOOKUP($A156, TAB_JUROS_C[[DIAS_CORRIDOS]:[V_FUT_UTEIS]], J$5, FALSE)</f>
        <v>#N/A</v>
      </c>
      <c r="K156" s="22" t="e">
        <f>VLOOKUP($A156, TAB_CORRECAO_C[[DIAS_CORRIDOS]:[V_FUT_UTEIS]],K$5, FALSE)</f>
        <v>#N/A</v>
      </c>
      <c r="L156" s="22" t="e">
        <f>VLOOKUP($A156, TAB_AMORTIZACAO_C[[DIAS_CORRIDOS]:[V_FUT_UTEIS]], L$5, FALSE)</f>
        <v>#N/A</v>
      </c>
    </row>
    <row r="157" spans="1:12" hidden="1">
      <c r="A157" s="19">
        <f t="shared" si="19"/>
        <v>151</v>
      </c>
      <c r="B157" s="20">
        <f t="shared" si="15"/>
        <v>0</v>
      </c>
      <c r="C157" s="21">
        <f t="shared" si="16"/>
        <v>0</v>
      </c>
      <c r="D157" s="22" t="e">
        <f>VLOOKUP($A157, TAB_JUROS_U[[Q_DIAS_U_PARC_TIR]:[V_FUT_U_JURS CENARIO]], D$5, FALSE)</f>
        <v>#N/A</v>
      </c>
      <c r="E157" s="22" t="e">
        <f>VLOOKUP($A157,TAB_CORRECAO_U[[Q_DIAS_U_PARC_TIR]:[V_FUT_U_CORC-02]],E$5, FALSE)</f>
        <v>#N/A</v>
      </c>
      <c r="F157" s="22" t="e">
        <f>VLOOKUP($A157,TAB_AMORTIZACAO_U[[Q_DIAS_U_PARC_TIR]:[V_FUT_U_PCPL-02]], F$5, FALSE)</f>
        <v>#N/A</v>
      </c>
      <c r="H157" s="20">
        <f t="shared" si="17"/>
        <v>0</v>
      </c>
      <c r="I157" s="21">
        <f t="shared" si="18"/>
        <v>0</v>
      </c>
      <c r="J157" s="22" t="e">
        <f>VLOOKUP($A157, TAB_JUROS_C[[DIAS_CORRIDOS]:[V_FUT_UTEIS]], J$5, FALSE)</f>
        <v>#N/A</v>
      </c>
      <c r="K157" s="22" t="e">
        <f>VLOOKUP($A157, TAB_CORRECAO_C[[DIAS_CORRIDOS]:[V_FUT_UTEIS]],K$5, FALSE)</f>
        <v>#N/A</v>
      </c>
      <c r="L157" s="22" t="e">
        <f>VLOOKUP($A157, TAB_AMORTIZACAO_C[[DIAS_CORRIDOS]:[V_FUT_UTEIS]], L$5, FALSE)</f>
        <v>#N/A</v>
      </c>
    </row>
    <row r="158" spans="1:12" hidden="1">
      <c r="A158" s="19">
        <f t="shared" si="19"/>
        <v>152</v>
      </c>
      <c r="B158" s="20">
        <f t="shared" si="15"/>
        <v>0</v>
      </c>
      <c r="C158" s="21">
        <f t="shared" si="16"/>
        <v>0</v>
      </c>
      <c r="D158" s="22" t="e">
        <f>VLOOKUP($A158, TAB_JUROS_U[[Q_DIAS_U_PARC_TIR]:[V_FUT_U_JURS CENARIO]], D$5, FALSE)</f>
        <v>#N/A</v>
      </c>
      <c r="E158" s="22" t="e">
        <f>VLOOKUP($A158,TAB_CORRECAO_U[[Q_DIAS_U_PARC_TIR]:[V_FUT_U_CORC-02]],E$5, FALSE)</f>
        <v>#N/A</v>
      </c>
      <c r="F158" s="22" t="e">
        <f>VLOOKUP($A158,TAB_AMORTIZACAO_U[[Q_DIAS_U_PARC_TIR]:[V_FUT_U_PCPL-02]], F$5, FALSE)</f>
        <v>#N/A</v>
      </c>
      <c r="H158" s="20">
        <f t="shared" si="17"/>
        <v>0</v>
      </c>
      <c r="I158" s="21">
        <f t="shared" si="18"/>
        <v>0</v>
      </c>
      <c r="J158" s="22" t="e">
        <f>VLOOKUP($A158, TAB_JUROS_C[[DIAS_CORRIDOS]:[V_FUT_UTEIS]], J$5, FALSE)</f>
        <v>#N/A</v>
      </c>
      <c r="K158" s="22" t="e">
        <f>VLOOKUP($A158, TAB_CORRECAO_C[[DIAS_CORRIDOS]:[V_FUT_UTEIS]],K$5, FALSE)</f>
        <v>#N/A</v>
      </c>
      <c r="L158" s="22" t="e">
        <f>VLOOKUP($A158, TAB_AMORTIZACAO_C[[DIAS_CORRIDOS]:[V_FUT_UTEIS]], L$5, FALSE)</f>
        <v>#N/A</v>
      </c>
    </row>
    <row r="159" spans="1:12" hidden="1">
      <c r="A159" s="19">
        <f t="shared" si="19"/>
        <v>153</v>
      </c>
      <c r="B159" s="20">
        <f t="shared" si="15"/>
        <v>0</v>
      </c>
      <c r="C159" s="21">
        <f t="shared" si="16"/>
        <v>0</v>
      </c>
      <c r="D159" s="22" t="e">
        <f>VLOOKUP($A159, TAB_JUROS_U[[Q_DIAS_U_PARC_TIR]:[V_FUT_U_JURS CENARIO]], D$5, FALSE)</f>
        <v>#N/A</v>
      </c>
      <c r="E159" s="22" t="e">
        <f>VLOOKUP($A159,TAB_CORRECAO_U[[Q_DIAS_U_PARC_TIR]:[V_FUT_U_CORC-02]],E$5, FALSE)</f>
        <v>#N/A</v>
      </c>
      <c r="F159" s="22" t="e">
        <f>VLOOKUP($A159,TAB_AMORTIZACAO_U[[Q_DIAS_U_PARC_TIR]:[V_FUT_U_PCPL-02]], F$5, FALSE)</f>
        <v>#N/A</v>
      </c>
      <c r="H159" s="20">
        <f t="shared" si="17"/>
        <v>0</v>
      </c>
      <c r="I159" s="21">
        <f t="shared" si="18"/>
        <v>0</v>
      </c>
      <c r="J159" s="22" t="e">
        <f>VLOOKUP($A159, TAB_JUROS_C[[DIAS_CORRIDOS]:[V_FUT_UTEIS]], J$5, FALSE)</f>
        <v>#N/A</v>
      </c>
      <c r="K159" s="22" t="e">
        <f>VLOOKUP($A159, TAB_CORRECAO_C[[DIAS_CORRIDOS]:[V_FUT_UTEIS]],K$5, FALSE)</f>
        <v>#N/A</v>
      </c>
      <c r="L159" s="22" t="e">
        <f>VLOOKUP($A159, TAB_AMORTIZACAO_C[[DIAS_CORRIDOS]:[V_FUT_UTEIS]], L$5, FALSE)</f>
        <v>#N/A</v>
      </c>
    </row>
    <row r="160" spans="1:12" hidden="1">
      <c r="A160" s="19">
        <f t="shared" si="19"/>
        <v>154</v>
      </c>
      <c r="B160" s="20">
        <f t="shared" si="15"/>
        <v>0</v>
      </c>
      <c r="C160" s="21">
        <f t="shared" si="16"/>
        <v>0</v>
      </c>
      <c r="D160" s="22" t="e">
        <f>VLOOKUP($A160, TAB_JUROS_U[[Q_DIAS_U_PARC_TIR]:[V_FUT_U_JURS CENARIO]], D$5, FALSE)</f>
        <v>#N/A</v>
      </c>
      <c r="E160" s="22" t="e">
        <f>VLOOKUP($A160,TAB_CORRECAO_U[[Q_DIAS_U_PARC_TIR]:[V_FUT_U_CORC-02]],E$5, FALSE)</f>
        <v>#N/A</v>
      </c>
      <c r="F160" s="22" t="e">
        <f>VLOOKUP($A160,TAB_AMORTIZACAO_U[[Q_DIAS_U_PARC_TIR]:[V_FUT_U_PCPL-02]], F$5, FALSE)</f>
        <v>#N/A</v>
      </c>
      <c r="H160" s="20">
        <f t="shared" si="17"/>
        <v>0</v>
      </c>
      <c r="I160" s="21">
        <f t="shared" si="18"/>
        <v>0</v>
      </c>
      <c r="J160" s="22" t="e">
        <f>VLOOKUP($A160, TAB_JUROS_C[[DIAS_CORRIDOS]:[V_FUT_UTEIS]], J$5, FALSE)</f>
        <v>#N/A</v>
      </c>
      <c r="K160" s="22" t="e">
        <f>VLOOKUP($A160, TAB_CORRECAO_C[[DIAS_CORRIDOS]:[V_FUT_UTEIS]],K$5, FALSE)</f>
        <v>#N/A</v>
      </c>
      <c r="L160" s="22" t="e">
        <f>VLOOKUP($A160, TAB_AMORTIZACAO_C[[DIAS_CORRIDOS]:[V_FUT_UTEIS]], L$5, FALSE)</f>
        <v>#N/A</v>
      </c>
    </row>
    <row r="161" spans="1:12" hidden="1">
      <c r="A161" s="19">
        <f t="shared" si="19"/>
        <v>155</v>
      </c>
      <c r="B161" s="20">
        <f t="shared" si="15"/>
        <v>0</v>
      </c>
      <c r="C161" s="21">
        <f t="shared" si="16"/>
        <v>0</v>
      </c>
      <c r="D161" s="22" t="e">
        <f>VLOOKUP($A161, TAB_JUROS_U[[Q_DIAS_U_PARC_TIR]:[V_FUT_U_JURS CENARIO]], D$5, FALSE)</f>
        <v>#N/A</v>
      </c>
      <c r="E161" s="22" t="e">
        <f>VLOOKUP($A161,TAB_CORRECAO_U[[Q_DIAS_U_PARC_TIR]:[V_FUT_U_CORC-02]],E$5, FALSE)</f>
        <v>#N/A</v>
      </c>
      <c r="F161" s="22" t="e">
        <f>VLOOKUP($A161,TAB_AMORTIZACAO_U[[Q_DIAS_U_PARC_TIR]:[V_FUT_U_PCPL-02]], F$5, FALSE)</f>
        <v>#N/A</v>
      </c>
      <c r="H161" s="20">
        <f t="shared" si="17"/>
        <v>0</v>
      </c>
      <c r="I161" s="21">
        <f t="shared" si="18"/>
        <v>0</v>
      </c>
      <c r="J161" s="22" t="e">
        <f>VLOOKUP($A161, TAB_JUROS_C[[DIAS_CORRIDOS]:[V_FUT_UTEIS]], J$5, FALSE)</f>
        <v>#N/A</v>
      </c>
      <c r="K161" s="22" t="e">
        <f>VLOOKUP($A161, TAB_CORRECAO_C[[DIAS_CORRIDOS]:[V_FUT_UTEIS]],K$5, FALSE)</f>
        <v>#N/A</v>
      </c>
      <c r="L161" s="22" t="e">
        <f>VLOOKUP($A161, TAB_AMORTIZACAO_C[[DIAS_CORRIDOS]:[V_FUT_UTEIS]], L$5, FALSE)</f>
        <v>#N/A</v>
      </c>
    </row>
    <row r="162" spans="1:12" hidden="1">
      <c r="A162" s="19">
        <f t="shared" si="19"/>
        <v>156</v>
      </c>
      <c r="B162" s="20">
        <f t="shared" si="15"/>
        <v>0</v>
      </c>
      <c r="C162" s="21">
        <f t="shared" si="16"/>
        <v>0</v>
      </c>
      <c r="D162" s="22" t="e">
        <f>VLOOKUP($A162, TAB_JUROS_U[[Q_DIAS_U_PARC_TIR]:[V_FUT_U_JURS CENARIO]], D$5, FALSE)</f>
        <v>#N/A</v>
      </c>
      <c r="E162" s="22" t="e">
        <f>VLOOKUP($A162,TAB_CORRECAO_U[[Q_DIAS_U_PARC_TIR]:[V_FUT_U_CORC-02]],E$5, FALSE)</f>
        <v>#N/A</v>
      </c>
      <c r="F162" s="22" t="e">
        <f>VLOOKUP($A162,TAB_AMORTIZACAO_U[[Q_DIAS_U_PARC_TIR]:[V_FUT_U_PCPL-02]], F$5, FALSE)</f>
        <v>#N/A</v>
      </c>
      <c r="H162" s="20">
        <f t="shared" si="17"/>
        <v>0</v>
      </c>
      <c r="I162" s="21">
        <f t="shared" si="18"/>
        <v>0</v>
      </c>
      <c r="J162" s="22" t="e">
        <f>VLOOKUP($A162, TAB_JUROS_C[[DIAS_CORRIDOS]:[V_FUT_UTEIS]], J$5, FALSE)</f>
        <v>#N/A</v>
      </c>
      <c r="K162" s="22" t="e">
        <f>VLOOKUP($A162, TAB_CORRECAO_C[[DIAS_CORRIDOS]:[V_FUT_UTEIS]],K$5, FALSE)</f>
        <v>#N/A</v>
      </c>
      <c r="L162" s="22" t="e">
        <f>VLOOKUP($A162, TAB_AMORTIZACAO_C[[DIAS_CORRIDOS]:[V_FUT_UTEIS]], L$5, FALSE)</f>
        <v>#N/A</v>
      </c>
    </row>
    <row r="163" spans="1:12" hidden="1">
      <c r="A163" s="19">
        <f t="shared" si="19"/>
        <v>157</v>
      </c>
      <c r="B163" s="20">
        <f t="shared" si="15"/>
        <v>0</v>
      </c>
      <c r="C163" s="21">
        <f t="shared" si="16"/>
        <v>0</v>
      </c>
      <c r="D163" s="22" t="e">
        <f>VLOOKUP($A163, TAB_JUROS_U[[Q_DIAS_U_PARC_TIR]:[V_FUT_U_JURS CENARIO]], D$5, FALSE)</f>
        <v>#N/A</v>
      </c>
      <c r="E163" s="22" t="e">
        <f>VLOOKUP($A163,TAB_CORRECAO_U[[Q_DIAS_U_PARC_TIR]:[V_FUT_U_CORC-02]],E$5, FALSE)</f>
        <v>#N/A</v>
      </c>
      <c r="F163" s="22" t="e">
        <f>VLOOKUP($A163,TAB_AMORTIZACAO_U[[Q_DIAS_U_PARC_TIR]:[V_FUT_U_PCPL-02]], F$5, FALSE)</f>
        <v>#N/A</v>
      </c>
      <c r="H163" s="20">
        <f t="shared" si="17"/>
        <v>0</v>
      </c>
      <c r="I163" s="21">
        <f t="shared" si="18"/>
        <v>0</v>
      </c>
      <c r="J163" s="22" t="e">
        <f>VLOOKUP($A163, TAB_JUROS_C[[DIAS_CORRIDOS]:[V_FUT_UTEIS]], J$5, FALSE)</f>
        <v>#N/A</v>
      </c>
      <c r="K163" s="22" t="e">
        <f>VLOOKUP($A163, TAB_CORRECAO_C[[DIAS_CORRIDOS]:[V_FUT_UTEIS]],K$5, FALSE)</f>
        <v>#N/A</v>
      </c>
      <c r="L163" s="22" t="e">
        <f>VLOOKUP($A163, TAB_AMORTIZACAO_C[[DIAS_CORRIDOS]:[V_FUT_UTEIS]], L$5, FALSE)</f>
        <v>#N/A</v>
      </c>
    </row>
    <row r="164" spans="1:12">
      <c r="A164" s="19">
        <f t="shared" si="19"/>
        <v>158</v>
      </c>
      <c r="B164" s="20">
        <f t="shared" si="15"/>
        <v>2096.5922654888454</v>
      </c>
      <c r="C164" s="21">
        <f t="shared" si="16"/>
        <v>2096.5922654888454</v>
      </c>
      <c r="D164" s="22">
        <f>VLOOKUP($A164, TAB_JUROS_U[[Q_DIAS_U_PARC_TIR]:[V_FUT_U_JURS CENARIO]], D$5, FALSE)</f>
        <v>177.75463300327181</v>
      </c>
      <c r="E164" s="22">
        <f>VLOOKUP($A164,TAB_CORRECAO_U[[Q_DIAS_U_PARC_TIR]:[V_FUT_U_CORC-02]],E$5, FALSE)</f>
        <v>1082.1273737677741</v>
      </c>
      <c r="F164" s="22">
        <f>VLOOKUP($A164,TAB_AMORTIZACAO_U[[Q_DIAS_U_PARC_TIR]:[V_FUT_U_PCPL-02]], F$5, FALSE)</f>
        <v>836.71025871779955</v>
      </c>
      <c r="H164" s="20">
        <f t="shared" si="17"/>
        <v>0</v>
      </c>
      <c r="I164" s="21">
        <f t="shared" si="18"/>
        <v>0</v>
      </c>
      <c r="J164" s="22" t="e">
        <f>VLOOKUP($A164, TAB_JUROS_C[[DIAS_CORRIDOS]:[V_FUT_UTEIS]], J$5, FALSE)</f>
        <v>#N/A</v>
      </c>
      <c r="K164" s="22" t="e">
        <f>VLOOKUP($A164, TAB_CORRECAO_C[[DIAS_CORRIDOS]:[V_FUT_UTEIS]],K$5, FALSE)</f>
        <v>#N/A</v>
      </c>
      <c r="L164" s="22" t="e">
        <f>VLOOKUP($A164, TAB_AMORTIZACAO_C[[DIAS_CORRIDOS]:[V_FUT_UTEIS]], L$5, FALSE)</f>
        <v>#N/A</v>
      </c>
    </row>
    <row r="165" spans="1:12" hidden="1">
      <c r="A165" s="19">
        <f t="shared" si="19"/>
        <v>159</v>
      </c>
      <c r="B165" s="20">
        <f t="shared" si="15"/>
        <v>0</v>
      </c>
      <c r="C165" s="21">
        <f t="shared" si="16"/>
        <v>0</v>
      </c>
      <c r="D165" s="22" t="e">
        <f>VLOOKUP($A165, TAB_JUROS_U[[Q_DIAS_U_PARC_TIR]:[V_FUT_U_JURS CENARIO]], D$5, FALSE)</f>
        <v>#N/A</v>
      </c>
      <c r="E165" s="22" t="e">
        <f>VLOOKUP($A165,TAB_CORRECAO_U[[Q_DIAS_U_PARC_TIR]:[V_FUT_U_CORC-02]],E$5, FALSE)</f>
        <v>#N/A</v>
      </c>
      <c r="F165" s="22" t="e">
        <f>VLOOKUP($A165,TAB_AMORTIZACAO_U[[Q_DIAS_U_PARC_TIR]:[V_FUT_U_PCPL-02]], F$5, FALSE)</f>
        <v>#N/A</v>
      </c>
      <c r="H165" s="20">
        <f t="shared" si="17"/>
        <v>0</v>
      </c>
      <c r="I165" s="21">
        <f t="shared" si="18"/>
        <v>0</v>
      </c>
      <c r="J165" s="22" t="e">
        <f>VLOOKUP($A165, TAB_JUROS_C[[DIAS_CORRIDOS]:[V_FUT_UTEIS]], J$5, FALSE)</f>
        <v>#N/A</v>
      </c>
      <c r="K165" s="22" t="e">
        <f>VLOOKUP($A165, TAB_CORRECAO_C[[DIAS_CORRIDOS]:[V_FUT_UTEIS]],K$5, FALSE)</f>
        <v>#N/A</v>
      </c>
      <c r="L165" s="22" t="e">
        <f>VLOOKUP($A165, TAB_AMORTIZACAO_C[[DIAS_CORRIDOS]:[V_FUT_UTEIS]], L$5, FALSE)</f>
        <v>#N/A</v>
      </c>
    </row>
    <row r="166" spans="1:12" hidden="1">
      <c r="A166" s="19">
        <f t="shared" si="19"/>
        <v>160</v>
      </c>
      <c r="B166" s="20">
        <f t="shared" si="15"/>
        <v>0</v>
      </c>
      <c r="C166" s="21">
        <f t="shared" si="16"/>
        <v>0</v>
      </c>
      <c r="D166" s="22" t="e">
        <f>VLOOKUP($A166, TAB_JUROS_U[[Q_DIAS_U_PARC_TIR]:[V_FUT_U_JURS CENARIO]], D$5, FALSE)</f>
        <v>#N/A</v>
      </c>
      <c r="E166" s="22" t="e">
        <f>VLOOKUP($A166,TAB_CORRECAO_U[[Q_DIAS_U_PARC_TIR]:[V_FUT_U_CORC-02]],E$5, FALSE)</f>
        <v>#N/A</v>
      </c>
      <c r="F166" s="22" t="e">
        <f>VLOOKUP($A166,TAB_AMORTIZACAO_U[[Q_DIAS_U_PARC_TIR]:[V_FUT_U_PCPL-02]], F$5, FALSE)</f>
        <v>#N/A</v>
      </c>
      <c r="H166" s="20">
        <f t="shared" si="17"/>
        <v>0</v>
      </c>
      <c r="I166" s="21">
        <f t="shared" si="18"/>
        <v>0</v>
      </c>
      <c r="J166" s="22" t="e">
        <f>VLOOKUP($A166, TAB_JUROS_C[[DIAS_CORRIDOS]:[V_FUT_UTEIS]], J$5, FALSE)</f>
        <v>#N/A</v>
      </c>
      <c r="K166" s="22" t="e">
        <f>VLOOKUP($A166, TAB_CORRECAO_C[[DIAS_CORRIDOS]:[V_FUT_UTEIS]],K$5, FALSE)</f>
        <v>#N/A</v>
      </c>
      <c r="L166" s="22" t="e">
        <f>VLOOKUP($A166, TAB_AMORTIZACAO_C[[DIAS_CORRIDOS]:[V_FUT_UTEIS]], L$5, FALSE)</f>
        <v>#N/A</v>
      </c>
    </row>
    <row r="167" spans="1:12" hidden="1">
      <c r="A167" s="19">
        <f t="shared" si="19"/>
        <v>161</v>
      </c>
      <c r="B167" s="20">
        <f t="shared" si="15"/>
        <v>0</v>
      </c>
      <c r="C167" s="21">
        <f t="shared" si="16"/>
        <v>0</v>
      </c>
      <c r="D167" s="22" t="e">
        <f>VLOOKUP($A167, TAB_JUROS_U[[Q_DIAS_U_PARC_TIR]:[V_FUT_U_JURS CENARIO]], D$5, FALSE)</f>
        <v>#N/A</v>
      </c>
      <c r="E167" s="22" t="e">
        <f>VLOOKUP($A167,TAB_CORRECAO_U[[Q_DIAS_U_PARC_TIR]:[V_FUT_U_CORC-02]],E$5, FALSE)</f>
        <v>#N/A</v>
      </c>
      <c r="F167" s="22" t="e">
        <f>VLOOKUP($A167,TAB_AMORTIZACAO_U[[Q_DIAS_U_PARC_TIR]:[V_FUT_U_PCPL-02]], F$5, FALSE)</f>
        <v>#N/A</v>
      </c>
      <c r="H167" s="20">
        <f t="shared" si="17"/>
        <v>0</v>
      </c>
      <c r="I167" s="21">
        <f t="shared" si="18"/>
        <v>0</v>
      </c>
      <c r="J167" s="22" t="e">
        <f>VLOOKUP($A167, TAB_JUROS_C[[DIAS_CORRIDOS]:[V_FUT_UTEIS]], J$5, FALSE)</f>
        <v>#N/A</v>
      </c>
      <c r="K167" s="22" t="e">
        <f>VLOOKUP($A167, TAB_CORRECAO_C[[DIAS_CORRIDOS]:[V_FUT_UTEIS]],K$5, FALSE)</f>
        <v>#N/A</v>
      </c>
      <c r="L167" s="22" t="e">
        <f>VLOOKUP($A167, TAB_AMORTIZACAO_C[[DIAS_CORRIDOS]:[V_FUT_UTEIS]], L$5, FALSE)</f>
        <v>#N/A</v>
      </c>
    </row>
    <row r="168" spans="1:12" hidden="1">
      <c r="A168" s="19">
        <f t="shared" si="19"/>
        <v>162</v>
      </c>
      <c r="B168" s="20">
        <f t="shared" si="15"/>
        <v>0</v>
      </c>
      <c r="C168" s="21">
        <f t="shared" si="16"/>
        <v>0</v>
      </c>
      <c r="D168" s="22" t="e">
        <f>VLOOKUP($A168, TAB_JUROS_U[[Q_DIAS_U_PARC_TIR]:[V_FUT_U_JURS CENARIO]], D$5, FALSE)</f>
        <v>#N/A</v>
      </c>
      <c r="E168" s="22" t="e">
        <f>VLOOKUP($A168,TAB_CORRECAO_U[[Q_DIAS_U_PARC_TIR]:[V_FUT_U_CORC-02]],E$5, FALSE)</f>
        <v>#N/A</v>
      </c>
      <c r="F168" s="22" t="e">
        <f>VLOOKUP($A168,TAB_AMORTIZACAO_U[[Q_DIAS_U_PARC_TIR]:[V_FUT_U_PCPL-02]], F$5, FALSE)</f>
        <v>#N/A</v>
      </c>
      <c r="H168" s="20">
        <f t="shared" si="17"/>
        <v>0</v>
      </c>
      <c r="I168" s="21">
        <f t="shared" si="18"/>
        <v>0</v>
      </c>
      <c r="J168" s="22" t="e">
        <f>VLOOKUP($A168, TAB_JUROS_C[[DIAS_CORRIDOS]:[V_FUT_UTEIS]], J$5, FALSE)</f>
        <v>#N/A</v>
      </c>
      <c r="K168" s="22" t="e">
        <f>VLOOKUP($A168, TAB_CORRECAO_C[[DIAS_CORRIDOS]:[V_FUT_UTEIS]],K$5, FALSE)</f>
        <v>#N/A</v>
      </c>
      <c r="L168" s="22" t="e">
        <f>VLOOKUP($A168, TAB_AMORTIZACAO_C[[DIAS_CORRIDOS]:[V_FUT_UTEIS]], L$5, FALSE)</f>
        <v>#N/A</v>
      </c>
    </row>
    <row r="169" spans="1:12" hidden="1">
      <c r="A169" s="19">
        <f t="shared" si="19"/>
        <v>163</v>
      </c>
      <c r="B169" s="20">
        <f t="shared" si="15"/>
        <v>0</v>
      </c>
      <c r="C169" s="21">
        <f t="shared" si="16"/>
        <v>0</v>
      </c>
      <c r="D169" s="22" t="e">
        <f>VLOOKUP($A169, TAB_JUROS_U[[Q_DIAS_U_PARC_TIR]:[V_FUT_U_JURS CENARIO]], D$5, FALSE)</f>
        <v>#N/A</v>
      </c>
      <c r="E169" s="22" t="e">
        <f>VLOOKUP($A169,TAB_CORRECAO_U[[Q_DIAS_U_PARC_TIR]:[V_FUT_U_CORC-02]],E$5, FALSE)</f>
        <v>#N/A</v>
      </c>
      <c r="F169" s="22" t="e">
        <f>VLOOKUP($A169,TAB_AMORTIZACAO_U[[Q_DIAS_U_PARC_TIR]:[V_FUT_U_PCPL-02]], F$5, FALSE)</f>
        <v>#N/A</v>
      </c>
      <c r="H169" s="20">
        <f t="shared" si="17"/>
        <v>2159.648874185586</v>
      </c>
      <c r="I169" s="21">
        <f t="shared" si="18"/>
        <v>2159.648874185586</v>
      </c>
      <c r="J169" s="22">
        <f>VLOOKUP($A169, TAB_JUROS_C[[DIAS_CORRIDOS]:[V_FUT_UTEIS]], J$5, FALSE)</f>
        <v>185.9140004577701</v>
      </c>
      <c r="K169" s="22">
        <f>VLOOKUP($A169, TAB_CORRECAO_C[[DIAS_CORRIDOS]:[V_FUT_UTEIS]],K$5, FALSE)</f>
        <v>1091.534844155545</v>
      </c>
      <c r="L169" s="22">
        <f>VLOOKUP($A169, TAB_AMORTIZACAO_C[[DIAS_CORRIDOS]:[V_FUT_UTEIS]], L$5, FALSE)</f>
        <v>882.20002957227098</v>
      </c>
    </row>
    <row r="170" spans="1:12" hidden="1">
      <c r="A170" s="19">
        <f t="shared" si="19"/>
        <v>164</v>
      </c>
      <c r="B170" s="20">
        <f t="shared" si="15"/>
        <v>0</v>
      </c>
      <c r="C170" s="21">
        <f t="shared" si="16"/>
        <v>0</v>
      </c>
      <c r="D170" s="22" t="e">
        <f>VLOOKUP($A170, TAB_JUROS_U[[Q_DIAS_U_PARC_TIR]:[V_FUT_U_JURS CENARIO]], D$5, FALSE)</f>
        <v>#N/A</v>
      </c>
      <c r="E170" s="22" t="e">
        <f>VLOOKUP($A170,TAB_CORRECAO_U[[Q_DIAS_U_PARC_TIR]:[V_FUT_U_CORC-02]],E$5, FALSE)</f>
        <v>#N/A</v>
      </c>
      <c r="F170" s="22" t="e">
        <f>VLOOKUP($A170,TAB_AMORTIZACAO_U[[Q_DIAS_U_PARC_TIR]:[V_FUT_U_PCPL-02]], F$5, FALSE)</f>
        <v>#N/A</v>
      </c>
      <c r="H170" s="20">
        <f t="shared" si="17"/>
        <v>0</v>
      </c>
      <c r="I170" s="21">
        <f t="shared" si="18"/>
        <v>0</v>
      </c>
      <c r="J170" s="22" t="e">
        <f>VLOOKUP($A170, TAB_JUROS_C[[DIAS_CORRIDOS]:[V_FUT_UTEIS]], J$5, FALSE)</f>
        <v>#N/A</v>
      </c>
      <c r="K170" s="22" t="e">
        <f>VLOOKUP($A170, TAB_CORRECAO_C[[DIAS_CORRIDOS]:[V_FUT_UTEIS]],K$5, FALSE)</f>
        <v>#N/A</v>
      </c>
      <c r="L170" s="22" t="e">
        <f>VLOOKUP($A170, TAB_AMORTIZACAO_C[[DIAS_CORRIDOS]:[V_FUT_UTEIS]], L$5, FALSE)</f>
        <v>#N/A</v>
      </c>
    </row>
    <row r="171" spans="1:12" hidden="1">
      <c r="A171" s="19">
        <f t="shared" si="19"/>
        <v>165</v>
      </c>
      <c r="B171" s="20">
        <f t="shared" si="15"/>
        <v>0</v>
      </c>
      <c r="C171" s="21">
        <f t="shared" si="16"/>
        <v>0</v>
      </c>
      <c r="D171" s="22" t="e">
        <f>VLOOKUP($A171, TAB_JUROS_U[[Q_DIAS_U_PARC_TIR]:[V_FUT_U_JURS CENARIO]], D$5, FALSE)</f>
        <v>#N/A</v>
      </c>
      <c r="E171" s="22" t="e">
        <f>VLOOKUP($A171,TAB_CORRECAO_U[[Q_DIAS_U_PARC_TIR]:[V_FUT_U_CORC-02]],E$5, FALSE)</f>
        <v>#N/A</v>
      </c>
      <c r="F171" s="22" t="e">
        <f>VLOOKUP($A171,TAB_AMORTIZACAO_U[[Q_DIAS_U_PARC_TIR]:[V_FUT_U_PCPL-02]], F$5, FALSE)</f>
        <v>#N/A</v>
      </c>
      <c r="H171" s="20">
        <f t="shared" si="17"/>
        <v>0</v>
      </c>
      <c r="I171" s="21">
        <f t="shared" si="18"/>
        <v>0</v>
      </c>
      <c r="J171" s="22" t="e">
        <f>VLOOKUP($A171, TAB_JUROS_C[[DIAS_CORRIDOS]:[V_FUT_UTEIS]], J$5, FALSE)</f>
        <v>#N/A</v>
      </c>
      <c r="K171" s="22" t="e">
        <f>VLOOKUP($A171, TAB_CORRECAO_C[[DIAS_CORRIDOS]:[V_FUT_UTEIS]],K$5, FALSE)</f>
        <v>#N/A</v>
      </c>
      <c r="L171" s="22" t="e">
        <f>VLOOKUP($A171, TAB_AMORTIZACAO_C[[DIAS_CORRIDOS]:[V_FUT_UTEIS]], L$5, FALSE)</f>
        <v>#N/A</v>
      </c>
    </row>
    <row r="172" spans="1:12" hidden="1">
      <c r="A172" s="19">
        <f t="shared" si="19"/>
        <v>166</v>
      </c>
      <c r="B172" s="20">
        <f t="shared" si="15"/>
        <v>0</v>
      </c>
      <c r="C172" s="21">
        <f t="shared" si="16"/>
        <v>0</v>
      </c>
      <c r="D172" s="22" t="e">
        <f>VLOOKUP($A172, TAB_JUROS_U[[Q_DIAS_U_PARC_TIR]:[V_FUT_U_JURS CENARIO]], D$5, FALSE)</f>
        <v>#N/A</v>
      </c>
      <c r="E172" s="22" t="e">
        <f>VLOOKUP($A172,TAB_CORRECAO_U[[Q_DIAS_U_PARC_TIR]:[V_FUT_U_CORC-02]],E$5, FALSE)</f>
        <v>#N/A</v>
      </c>
      <c r="F172" s="22" t="e">
        <f>VLOOKUP($A172,TAB_AMORTIZACAO_U[[Q_DIAS_U_PARC_TIR]:[V_FUT_U_PCPL-02]], F$5, FALSE)</f>
        <v>#N/A</v>
      </c>
      <c r="H172" s="20">
        <f t="shared" si="17"/>
        <v>0</v>
      </c>
      <c r="I172" s="21">
        <f t="shared" si="18"/>
        <v>0</v>
      </c>
      <c r="J172" s="22" t="e">
        <f>VLOOKUP($A172, TAB_JUROS_C[[DIAS_CORRIDOS]:[V_FUT_UTEIS]], J$5, FALSE)</f>
        <v>#N/A</v>
      </c>
      <c r="K172" s="22" t="e">
        <f>VLOOKUP($A172, TAB_CORRECAO_C[[DIAS_CORRIDOS]:[V_FUT_UTEIS]],K$5, FALSE)</f>
        <v>#N/A</v>
      </c>
      <c r="L172" s="22" t="e">
        <f>VLOOKUP($A172, TAB_AMORTIZACAO_C[[DIAS_CORRIDOS]:[V_FUT_UTEIS]], L$5, FALSE)</f>
        <v>#N/A</v>
      </c>
    </row>
    <row r="173" spans="1:12" hidden="1">
      <c r="A173" s="19">
        <f t="shared" si="19"/>
        <v>167</v>
      </c>
      <c r="B173" s="20">
        <f t="shared" si="15"/>
        <v>0</v>
      </c>
      <c r="C173" s="21">
        <f t="shared" si="16"/>
        <v>0</v>
      </c>
      <c r="D173" s="22" t="e">
        <f>VLOOKUP($A173, TAB_JUROS_U[[Q_DIAS_U_PARC_TIR]:[V_FUT_U_JURS CENARIO]], D$5, FALSE)</f>
        <v>#N/A</v>
      </c>
      <c r="E173" s="22" t="e">
        <f>VLOOKUP($A173,TAB_CORRECAO_U[[Q_DIAS_U_PARC_TIR]:[V_FUT_U_CORC-02]],E$5, FALSE)</f>
        <v>#N/A</v>
      </c>
      <c r="F173" s="22" t="e">
        <f>VLOOKUP($A173,TAB_AMORTIZACAO_U[[Q_DIAS_U_PARC_TIR]:[V_FUT_U_PCPL-02]], F$5, FALSE)</f>
        <v>#N/A</v>
      </c>
      <c r="H173" s="20">
        <f t="shared" si="17"/>
        <v>0</v>
      </c>
      <c r="I173" s="21">
        <f t="shared" si="18"/>
        <v>0</v>
      </c>
      <c r="J173" s="22" t="e">
        <f>VLOOKUP($A173, TAB_JUROS_C[[DIAS_CORRIDOS]:[V_FUT_UTEIS]], J$5, FALSE)</f>
        <v>#N/A</v>
      </c>
      <c r="K173" s="22" t="e">
        <f>VLOOKUP($A173, TAB_CORRECAO_C[[DIAS_CORRIDOS]:[V_FUT_UTEIS]],K$5, FALSE)</f>
        <v>#N/A</v>
      </c>
      <c r="L173" s="22" t="e">
        <f>VLOOKUP($A173, TAB_AMORTIZACAO_C[[DIAS_CORRIDOS]:[V_FUT_UTEIS]], L$5, FALSE)</f>
        <v>#N/A</v>
      </c>
    </row>
    <row r="174" spans="1:12" hidden="1">
      <c r="A174" s="19">
        <f t="shared" si="19"/>
        <v>168</v>
      </c>
      <c r="B174" s="20">
        <f t="shared" si="15"/>
        <v>0</v>
      </c>
      <c r="C174" s="21">
        <f t="shared" si="16"/>
        <v>0</v>
      </c>
      <c r="D174" s="22" t="e">
        <f>VLOOKUP($A174, TAB_JUROS_U[[Q_DIAS_U_PARC_TIR]:[V_FUT_U_JURS CENARIO]], D$5, FALSE)</f>
        <v>#N/A</v>
      </c>
      <c r="E174" s="22" t="e">
        <f>VLOOKUP($A174,TAB_CORRECAO_U[[Q_DIAS_U_PARC_TIR]:[V_FUT_U_CORC-02]],E$5, FALSE)</f>
        <v>#N/A</v>
      </c>
      <c r="F174" s="22" t="e">
        <f>VLOOKUP($A174,TAB_AMORTIZACAO_U[[Q_DIAS_U_PARC_TIR]:[V_FUT_U_PCPL-02]], F$5, FALSE)</f>
        <v>#N/A</v>
      </c>
      <c r="H174" s="20">
        <f t="shared" si="17"/>
        <v>0</v>
      </c>
      <c r="I174" s="21">
        <f t="shared" si="18"/>
        <v>0</v>
      </c>
      <c r="J174" s="22" t="e">
        <f>VLOOKUP($A174, TAB_JUROS_C[[DIAS_CORRIDOS]:[V_FUT_UTEIS]], J$5, FALSE)</f>
        <v>#N/A</v>
      </c>
      <c r="K174" s="22" t="e">
        <f>VLOOKUP($A174, TAB_CORRECAO_C[[DIAS_CORRIDOS]:[V_FUT_UTEIS]],K$5, FALSE)</f>
        <v>#N/A</v>
      </c>
      <c r="L174" s="22" t="e">
        <f>VLOOKUP($A174, TAB_AMORTIZACAO_C[[DIAS_CORRIDOS]:[V_FUT_UTEIS]], L$5, FALSE)</f>
        <v>#N/A</v>
      </c>
    </row>
    <row r="175" spans="1:12" hidden="1">
      <c r="A175" s="19">
        <f t="shared" si="19"/>
        <v>169</v>
      </c>
      <c r="B175" s="20">
        <f t="shared" si="15"/>
        <v>0</v>
      </c>
      <c r="C175" s="21">
        <f t="shared" si="16"/>
        <v>0</v>
      </c>
      <c r="D175" s="22" t="e">
        <f>VLOOKUP($A175, TAB_JUROS_U[[Q_DIAS_U_PARC_TIR]:[V_FUT_U_JURS CENARIO]], D$5, FALSE)</f>
        <v>#N/A</v>
      </c>
      <c r="E175" s="22" t="e">
        <f>VLOOKUP($A175,TAB_CORRECAO_U[[Q_DIAS_U_PARC_TIR]:[V_FUT_U_CORC-02]],E$5, FALSE)</f>
        <v>#N/A</v>
      </c>
      <c r="F175" s="22" t="e">
        <f>VLOOKUP($A175,TAB_AMORTIZACAO_U[[Q_DIAS_U_PARC_TIR]:[V_FUT_U_PCPL-02]], F$5, FALSE)</f>
        <v>#N/A</v>
      </c>
      <c r="H175" s="20">
        <f t="shared" si="17"/>
        <v>0</v>
      </c>
      <c r="I175" s="21">
        <f t="shared" si="18"/>
        <v>0</v>
      </c>
      <c r="J175" s="22" t="e">
        <f>VLOOKUP($A175, TAB_JUROS_C[[DIAS_CORRIDOS]:[V_FUT_UTEIS]], J$5, FALSE)</f>
        <v>#N/A</v>
      </c>
      <c r="K175" s="22" t="e">
        <f>VLOOKUP($A175, TAB_CORRECAO_C[[DIAS_CORRIDOS]:[V_FUT_UTEIS]],K$5, FALSE)</f>
        <v>#N/A</v>
      </c>
      <c r="L175" s="22" t="e">
        <f>VLOOKUP($A175, TAB_AMORTIZACAO_C[[DIAS_CORRIDOS]:[V_FUT_UTEIS]], L$5, FALSE)</f>
        <v>#N/A</v>
      </c>
    </row>
    <row r="176" spans="1:12" hidden="1">
      <c r="A176" s="19">
        <f t="shared" si="19"/>
        <v>170</v>
      </c>
      <c r="B176" s="20">
        <f t="shared" si="15"/>
        <v>0</v>
      </c>
      <c r="C176" s="21">
        <f t="shared" si="16"/>
        <v>0</v>
      </c>
      <c r="D176" s="22" t="e">
        <f>VLOOKUP($A176, TAB_JUROS_U[[Q_DIAS_U_PARC_TIR]:[V_FUT_U_JURS CENARIO]], D$5, FALSE)</f>
        <v>#N/A</v>
      </c>
      <c r="E176" s="22" t="e">
        <f>VLOOKUP($A176,TAB_CORRECAO_U[[Q_DIAS_U_PARC_TIR]:[V_FUT_U_CORC-02]],E$5, FALSE)</f>
        <v>#N/A</v>
      </c>
      <c r="F176" s="22" t="e">
        <f>VLOOKUP($A176,TAB_AMORTIZACAO_U[[Q_DIAS_U_PARC_TIR]:[V_FUT_U_PCPL-02]], F$5, FALSE)</f>
        <v>#N/A</v>
      </c>
      <c r="H176" s="20">
        <f t="shared" si="17"/>
        <v>0</v>
      </c>
      <c r="I176" s="21">
        <f t="shared" si="18"/>
        <v>0</v>
      </c>
      <c r="J176" s="22" t="e">
        <f>VLOOKUP($A176, TAB_JUROS_C[[DIAS_CORRIDOS]:[V_FUT_UTEIS]], J$5, FALSE)</f>
        <v>#N/A</v>
      </c>
      <c r="K176" s="22" t="e">
        <f>VLOOKUP($A176, TAB_CORRECAO_C[[DIAS_CORRIDOS]:[V_FUT_UTEIS]],K$5, FALSE)</f>
        <v>#N/A</v>
      </c>
      <c r="L176" s="22" t="e">
        <f>VLOOKUP($A176, TAB_AMORTIZACAO_C[[DIAS_CORRIDOS]:[V_FUT_UTEIS]], L$5, FALSE)</f>
        <v>#N/A</v>
      </c>
    </row>
    <row r="177" spans="1:12" hidden="1">
      <c r="A177" s="19">
        <f t="shared" si="19"/>
        <v>171</v>
      </c>
      <c r="B177" s="20">
        <f t="shared" si="15"/>
        <v>0</v>
      </c>
      <c r="C177" s="21">
        <f t="shared" si="16"/>
        <v>0</v>
      </c>
      <c r="D177" s="22" t="e">
        <f>VLOOKUP($A177, TAB_JUROS_U[[Q_DIAS_U_PARC_TIR]:[V_FUT_U_JURS CENARIO]], D$5, FALSE)</f>
        <v>#N/A</v>
      </c>
      <c r="E177" s="22" t="e">
        <f>VLOOKUP($A177,TAB_CORRECAO_U[[Q_DIAS_U_PARC_TIR]:[V_FUT_U_CORC-02]],E$5, FALSE)</f>
        <v>#N/A</v>
      </c>
      <c r="F177" s="22" t="e">
        <f>VLOOKUP($A177,TAB_AMORTIZACAO_U[[Q_DIAS_U_PARC_TIR]:[V_FUT_U_PCPL-02]], F$5, FALSE)</f>
        <v>#N/A</v>
      </c>
      <c r="H177" s="20">
        <f t="shared" si="17"/>
        <v>0</v>
      </c>
      <c r="I177" s="21">
        <f t="shared" si="18"/>
        <v>0</v>
      </c>
      <c r="J177" s="22" t="e">
        <f>VLOOKUP($A177, TAB_JUROS_C[[DIAS_CORRIDOS]:[V_FUT_UTEIS]], J$5, FALSE)</f>
        <v>#N/A</v>
      </c>
      <c r="K177" s="22" t="e">
        <f>VLOOKUP($A177, TAB_CORRECAO_C[[DIAS_CORRIDOS]:[V_FUT_UTEIS]],K$5, FALSE)</f>
        <v>#N/A</v>
      </c>
      <c r="L177" s="22" t="e">
        <f>VLOOKUP($A177, TAB_AMORTIZACAO_C[[DIAS_CORRIDOS]:[V_FUT_UTEIS]], L$5, FALSE)</f>
        <v>#N/A</v>
      </c>
    </row>
    <row r="178" spans="1:12" hidden="1">
      <c r="A178" s="19">
        <f t="shared" si="19"/>
        <v>172</v>
      </c>
      <c r="B178" s="20">
        <f t="shared" si="15"/>
        <v>0</v>
      </c>
      <c r="C178" s="21">
        <f t="shared" si="16"/>
        <v>0</v>
      </c>
      <c r="D178" s="22" t="e">
        <f>VLOOKUP($A178, TAB_JUROS_U[[Q_DIAS_U_PARC_TIR]:[V_FUT_U_JURS CENARIO]], D$5, FALSE)</f>
        <v>#N/A</v>
      </c>
      <c r="E178" s="22" t="e">
        <f>VLOOKUP($A178,TAB_CORRECAO_U[[Q_DIAS_U_PARC_TIR]:[V_FUT_U_CORC-02]],E$5, FALSE)</f>
        <v>#N/A</v>
      </c>
      <c r="F178" s="22" t="e">
        <f>VLOOKUP($A178,TAB_AMORTIZACAO_U[[Q_DIAS_U_PARC_TIR]:[V_FUT_U_PCPL-02]], F$5, FALSE)</f>
        <v>#N/A</v>
      </c>
      <c r="H178" s="20">
        <f t="shared" si="17"/>
        <v>0</v>
      </c>
      <c r="I178" s="21">
        <f t="shared" si="18"/>
        <v>0</v>
      </c>
      <c r="J178" s="22" t="e">
        <f>VLOOKUP($A178, TAB_JUROS_C[[DIAS_CORRIDOS]:[V_FUT_UTEIS]], J$5, FALSE)</f>
        <v>#N/A</v>
      </c>
      <c r="K178" s="22" t="e">
        <f>VLOOKUP($A178, TAB_CORRECAO_C[[DIAS_CORRIDOS]:[V_FUT_UTEIS]],K$5, FALSE)</f>
        <v>#N/A</v>
      </c>
      <c r="L178" s="22" t="e">
        <f>VLOOKUP($A178, TAB_AMORTIZACAO_C[[DIAS_CORRIDOS]:[V_FUT_UTEIS]], L$5, FALSE)</f>
        <v>#N/A</v>
      </c>
    </row>
    <row r="179" spans="1:12" hidden="1">
      <c r="A179" s="19">
        <f t="shared" si="19"/>
        <v>173</v>
      </c>
      <c r="B179" s="20">
        <f t="shared" si="15"/>
        <v>0</v>
      </c>
      <c r="C179" s="21">
        <f t="shared" si="16"/>
        <v>0</v>
      </c>
      <c r="D179" s="22" t="e">
        <f>VLOOKUP($A179, TAB_JUROS_U[[Q_DIAS_U_PARC_TIR]:[V_FUT_U_JURS CENARIO]], D$5, FALSE)</f>
        <v>#N/A</v>
      </c>
      <c r="E179" s="22" t="e">
        <f>VLOOKUP($A179,TAB_CORRECAO_U[[Q_DIAS_U_PARC_TIR]:[V_FUT_U_CORC-02]],E$5, FALSE)</f>
        <v>#N/A</v>
      </c>
      <c r="F179" s="22" t="e">
        <f>VLOOKUP($A179,TAB_AMORTIZACAO_U[[Q_DIAS_U_PARC_TIR]:[V_FUT_U_PCPL-02]], F$5, FALSE)</f>
        <v>#N/A</v>
      </c>
      <c r="H179" s="20">
        <f t="shared" si="17"/>
        <v>0</v>
      </c>
      <c r="I179" s="21">
        <f t="shared" si="18"/>
        <v>0</v>
      </c>
      <c r="J179" s="22" t="e">
        <f>VLOOKUP($A179, TAB_JUROS_C[[DIAS_CORRIDOS]:[V_FUT_UTEIS]], J$5, FALSE)</f>
        <v>#N/A</v>
      </c>
      <c r="K179" s="22" t="e">
        <f>VLOOKUP($A179, TAB_CORRECAO_C[[DIAS_CORRIDOS]:[V_FUT_UTEIS]],K$5, FALSE)</f>
        <v>#N/A</v>
      </c>
      <c r="L179" s="22" t="e">
        <f>VLOOKUP($A179, TAB_AMORTIZACAO_C[[DIAS_CORRIDOS]:[V_FUT_UTEIS]], L$5, FALSE)</f>
        <v>#N/A</v>
      </c>
    </row>
    <row r="180" spans="1:12" hidden="1">
      <c r="A180" s="19">
        <f t="shared" si="19"/>
        <v>174</v>
      </c>
      <c r="B180" s="20">
        <f t="shared" si="15"/>
        <v>0</v>
      </c>
      <c r="C180" s="21">
        <f t="shared" si="16"/>
        <v>0</v>
      </c>
      <c r="D180" s="22" t="e">
        <f>VLOOKUP($A180, TAB_JUROS_U[[Q_DIAS_U_PARC_TIR]:[V_FUT_U_JURS CENARIO]], D$5, FALSE)</f>
        <v>#N/A</v>
      </c>
      <c r="E180" s="22" t="e">
        <f>VLOOKUP($A180,TAB_CORRECAO_U[[Q_DIAS_U_PARC_TIR]:[V_FUT_U_CORC-02]],E$5, FALSE)</f>
        <v>#N/A</v>
      </c>
      <c r="F180" s="22" t="e">
        <f>VLOOKUP($A180,TAB_AMORTIZACAO_U[[Q_DIAS_U_PARC_TIR]:[V_FUT_U_PCPL-02]], F$5, FALSE)</f>
        <v>#N/A</v>
      </c>
      <c r="H180" s="20">
        <f t="shared" si="17"/>
        <v>0</v>
      </c>
      <c r="I180" s="21">
        <f t="shared" si="18"/>
        <v>0</v>
      </c>
      <c r="J180" s="22" t="e">
        <f>VLOOKUP($A180, TAB_JUROS_C[[DIAS_CORRIDOS]:[V_FUT_UTEIS]], J$5, FALSE)</f>
        <v>#N/A</v>
      </c>
      <c r="K180" s="22" t="e">
        <f>VLOOKUP($A180, TAB_CORRECAO_C[[DIAS_CORRIDOS]:[V_FUT_UTEIS]],K$5, FALSE)</f>
        <v>#N/A</v>
      </c>
      <c r="L180" s="22" t="e">
        <f>VLOOKUP($A180, TAB_AMORTIZACAO_C[[DIAS_CORRIDOS]:[V_FUT_UTEIS]], L$5, FALSE)</f>
        <v>#N/A</v>
      </c>
    </row>
    <row r="181" spans="1:12" hidden="1">
      <c r="A181" s="19">
        <f t="shared" si="19"/>
        <v>175</v>
      </c>
      <c r="B181" s="20">
        <f t="shared" si="15"/>
        <v>0</v>
      </c>
      <c r="C181" s="21">
        <f t="shared" si="16"/>
        <v>0</v>
      </c>
      <c r="D181" s="22" t="e">
        <f>VLOOKUP($A181, TAB_JUROS_U[[Q_DIAS_U_PARC_TIR]:[V_FUT_U_JURS CENARIO]], D$5, FALSE)</f>
        <v>#N/A</v>
      </c>
      <c r="E181" s="22" t="e">
        <f>VLOOKUP($A181,TAB_CORRECAO_U[[Q_DIAS_U_PARC_TIR]:[V_FUT_U_CORC-02]],E$5, FALSE)</f>
        <v>#N/A</v>
      </c>
      <c r="F181" s="22" t="e">
        <f>VLOOKUP($A181,TAB_AMORTIZACAO_U[[Q_DIAS_U_PARC_TIR]:[V_FUT_U_PCPL-02]], F$5, FALSE)</f>
        <v>#N/A</v>
      </c>
      <c r="H181" s="20">
        <f t="shared" si="17"/>
        <v>0</v>
      </c>
      <c r="I181" s="21">
        <f t="shared" si="18"/>
        <v>0</v>
      </c>
      <c r="J181" s="22" t="e">
        <f>VLOOKUP($A181, TAB_JUROS_C[[DIAS_CORRIDOS]:[V_FUT_UTEIS]], J$5, FALSE)</f>
        <v>#N/A</v>
      </c>
      <c r="K181" s="22" t="e">
        <f>VLOOKUP($A181, TAB_CORRECAO_C[[DIAS_CORRIDOS]:[V_FUT_UTEIS]],K$5, FALSE)</f>
        <v>#N/A</v>
      </c>
      <c r="L181" s="22" t="e">
        <f>VLOOKUP($A181, TAB_AMORTIZACAO_C[[DIAS_CORRIDOS]:[V_FUT_UTEIS]], L$5, FALSE)</f>
        <v>#N/A</v>
      </c>
    </row>
    <row r="182" spans="1:12" hidden="1">
      <c r="A182" s="19">
        <f t="shared" si="19"/>
        <v>176</v>
      </c>
      <c r="B182" s="20">
        <f t="shared" si="15"/>
        <v>0</v>
      </c>
      <c r="C182" s="21">
        <f t="shared" si="16"/>
        <v>0</v>
      </c>
      <c r="D182" s="22" t="e">
        <f>VLOOKUP($A182, TAB_JUROS_U[[Q_DIAS_U_PARC_TIR]:[V_FUT_U_JURS CENARIO]], D$5, FALSE)</f>
        <v>#N/A</v>
      </c>
      <c r="E182" s="22" t="e">
        <f>VLOOKUP($A182,TAB_CORRECAO_U[[Q_DIAS_U_PARC_TIR]:[V_FUT_U_CORC-02]],E$5, FALSE)</f>
        <v>#N/A</v>
      </c>
      <c r="F182" s="22" t="e">
        <f>VLOOKUP($A182,TAB_AMORTIZACAO_U[[Q_DIAS_U_PARC_TIR]:[V_FUT_U_PCPL-02]], F$5, FALSE)</f>
        <v>#N/A</v>
      </c>
      <c r="H182" s="20">
        <f t="shared" si="17"/>
        <v>0</v>
      </c>
      <c r="I182" s="21">
        <f t="shared" si="18"/>
        <v>0</v>
      </c>
      <c r="J182" s="22" t="e">
        <f>VLOOKUP($A182, TAB_JUROS_C[[DIAS_CORRIDOS]:[V_FUT_UTEIS]], J$5, FALSE)</f>
        <v>#N/A</v>
      </c>
      <c r="K182" s="22" t="e">
        <f>VLOOKUP($A182, TAB_CORRECAO_C[[DIAS_CORRIDOS]:[V_FUT_UTEIS]],K$5, FALSE)</f>
        <v>#N/A</v>
      </c>
      <c r="L182" s="22" t="e">
        <f>VLOOKUP($A182, TAB_AMORTIZACAO_C[[DIAS_CORRIDOS]:[V_FUT_UTEIS]], L$5, FALSE)</f>
        <v>#N/A</v>
      </c>
    </row>
    <row r="183" spans="1:12" hidden="1">
      <c r="A183" s="19">
        <f t="shared" si="19"/>
        <v>177</v>
      </c>
      <c r="B183" s="20">
        <f t="shared" si="15"/>
        <v>0</v>
      </c>
      <c r="C183" s="21">
        <f t="shared" si="16"/>
        <v>0</v>
      </c>
      <c r="D183" s="22" t="e">
        <f>VLOOKUP($A183, TAB_JUROS_U[[Q_DIAS_U_PARC_TIR]:[V_FUT_U_JURS CENARIO]], D$5, FALSE)</f>
        <v>#N/A</v>
      </c>
      <c r="E183" s="22" t="e">
        <f>VLOOKUP($A183,TAB_CORRECAO_U[[Q_DIAS_U_PARC_TIR]:[V_FUT_U_CORC-02]],E$5, FALSE)</f>
        <v>#N/A</v>
      </c>
      <c r="F183" s="22" t="e">
        <f>VLOOKUP($A183,TAB_AMORTIZACAO_U[[Q_DIAS_U_PARC_TIR]:[V_FUT_U_PCPL-02]], F$5, FALSE)</f>
        <v>#N/A</v>
      </c>
      <c r="H183" s="20">
        <f t="shared" si="17"/>
        <v>0</v>
      </c>
      <c r="I183" s="21">
        <f t="shared" si="18"/>
        <v>0</v>
      </c>
      <c r="J183" s="22" t="e">
        <f>VLOOKUP($A183, TAB_JUROS_C[[DIAS_CORRIDOS]:[V_FUT_UTEIS]], J$5, FALSE)</f>
        <v>#N/A</v>
      </c>
      <c r="K183" s="22" t="e">
        <f>VLOOKUP($A183, TAB_CORRECAO_C[[DIAS_CORRIDOS]:[V_FUT_UTEIS]],K$5, FALSE)</f>
        <v>#N/A</v>
      </c>
      <c r="L183" s="22" t="e">
        <f>VLOOKUP($A183, TAB_AMORTIZACAO_C[[DIAS_CORRIDOS]:[V_FUT_UTEIS]], L$5, FALSE)</f>
        <v>#N/A</v>
      </c>
    </row>
    <row r="184" spans="1:12" hidden="1">
      <c r="A184" s="19">
        <f t="shared" si="19"/>
        <v>178</v>
      </c>
      <c r="B184" s="20">
        <f t="shared" si="15"/>
        <v>0</v>
      </c>
      <c r="C184" s="21">
        <f t="shared" si="16"/>
        <v>0</v>
      </c>
      <c r="D184" s="22" t="e">
        <f>VLOOKUP($A184, TAB_JUROS_U[[Q_DIAS_U_PARC_TIR]:[V_FUT_U_JURS CENARIO]], D$5, FALSE)</f>
        <v>#N/A</v>
      </c>
      <c r="E184" s="22" t="e">
        <f>VLOOKUP($A184,TAB_CORRECAO_U[[Q_DIAS_U_PARC_TIR]:[V_FUT_U_CORC-02]],E$5, FALSE)</f>
        <v>#N/A</v>
      </c>
      <c r="F184" s="22" t="e">
        <f>VLOOKUP($A184,TAB_AMORTIZACAO_U[[Q_DIAS_U_PARC_TIR]:[V_FUT_U_PCPL-02]], F$5, FALSE)</f>
        <v>#N/A</v>
      </c>
      <c r="H184" s="20">
        <f t="shared" si="17"/>
        <v>0</v>
      </c>
      <c r="I184" s="21">
        <f t="shared" si="18"/>
        <v>0</v>
      </c>
      <c r="J184" s="22" t="e">
        <f>VLOOKUP($A184, TAB_JUROS_C[[DIAS_CORRIDOS]:[V_FUT_UTEIS]], J$5, FALSE)</f>
        <v>#N/A</v>
      </c>
      <c r="K184" s="22" t="e">
        <f>VLOOKUP($A184, TAB_CORRECAO_C[[DIAS_CORRIDOS]:[V_FUT_UTEIS]],K$5, FALSE)</f>
        <v>#N/A</v>
      </c>
      <c r="L184" s="22" t="e">
        <f>VLOOKUP($A184, TAB_AMORTIZACAO_C[[DIAS_CORRIDOS]:[V_FUT_UTEIS]], L$5, FALSE)</f>
        <v>#N/A</v>
      </c>
    </row>
    <row r="185" spans="1:12" hidden="1">
      <c r="A185" s="19">
        <f t="shared" si="19"/>
        <v>179</v>
      </c>
      <c r="B185" s="20">
        <f t="shared" si="15"/>
        <v>0</v>
      </c>
      <c r="C185" s="21">
        <f t="shared" si="16"/>
        <v>0</v>
      </c>
      <c r="D185" s="22" t="e">
        <f>VLOOKUP($A185, TAB_JUROS_U[[Q_DIAS_U_PARC_TIR]:[V_FUT_U_JURS CENARIO]], D$5, FALSE)</f>
        <v>#N/A</v>
      </c>
      <c r="E185" s="22" t="e">
        <f>VLOOKUP($A185,TAB_CORRECAO_U[[Q_DIAS_U_PARC_TIR]:[V_FUT_U_CORC-02]],E$5, FALSE)</f>
        <v>#N/A</v>
      </c>
      <c r="F185" s="22" t="e">
        <f>VLOOKUP($A185,TAB_AMORTIZACAO_U[[Q_DIAS_U_PARC_TIR]:[V_FUT_U_PCPL-02]], F$5, FALSE)</f>
        <v>#N/A</v>
      </c>
      <c r="H185" s="20">
        <f t="shared" si="17"/>
        <v>0</v>
      </c>
      <c r="I185" s="21">
        <f t="shared" si="18"/>
        <v>0</v>
      </c>
      <c r="J185" s="22" t="e">
        <f>VLOOKUP($A185, TAB_JUROS_C[[DIAS_CORRIDOS]:[V_FUT_UTEIS]], J$5, FALSE)</f>
        <v>#N/A</v>
      </c>
      <c r="K185" s="22" t="e">
        <f>VLOOKUP($A185, TAB_CORRECAO_C[[DIAS_CORRIDOS]:[V_FUT_UTEIS]],K$5, FALSE)</f>
        <v>#N/A</v>
      </c>
      <c r="L185" s="22" t="e">
        <f>VLOOKUP($A185, TAB_AMORTIZACAO_C[[DIAS_CORRIDOS]:[V_FUT_UTEIS]], L$5, FALSE)</f>
        <v>#N/A</v>
      </c>
    </row>
    <row r="186" spans="1:12" hidden="1">
      <c r="A186" s="19">
        <f t="shared" si="19"/>
        <v>180</v>
      </c>
      <c r="B186" s="20">
        <f t="shared" si="15"/>
        <v>0</v>
      </c>
      <c r="C186" s="21">
        <f t="shared" si="16"/>
        <v>0</v>
      </c>
      <c r="D186" s="22" t="e">
        <f>VLOOKUP($A186, TAB_JUROS_U[[Q_DIAS_U_PARC_TIR]:[V_FUT_U_JURS CENARIO]], D$5, FALSE)</f>
        <v>#N/A</v>
      </c>
      <c r="E186" s="22" t="e">
        <f>VLOOKUP($A186,TAB_CORRECAO_U[[Q_DIAS_U_PARC_TIR]:[V_FUT_U_CORC-02]],E$5, FALSE)</f>
        <v>#N/A</v>
      </c>
      <c r="F186" s="22" t="e">
        <f>VLOOKUP($A186,TAB_AMORTIZACAO_U[[Q_DIAS_U_PARC_TIR]:[V_FUT_U_PCPL-02]], F$5, FALSE)</f>
        <v>#N/A</v>
      </c>
      <c r="H186" s="20">
        <f t="shared" si="17"/>
        <v>0</v>
      </c>
      <c r="I186" s="21">
        <f t="shared" si="18"/>
        <v>0</v>
      </c>
      <c r="J186" s="22" t="e">
        <f>VLOOKUP($A186, TAB_JUROS_C[[DIAS_CORRIDOS]:[V_FUT_UTEIS]], J$5, FALSE)</f>
        <v>#N/A</v>
      </c>
      <c r="K186" s="22" t="e">
        <f>VLOOKUP($A186, TAB_CORRECAO_C[[DIAS_CORRIDOS]:[V_FUT_UTEIS]],K$5, FALSE)</f>
        <v>#N/A</v>
      </c>
      <c r="L186" s="22" t="e">
        <f>VLOOKUP($A186, TAB_AMORTIZACAO_C[[DIAS_CORRIDOS]:[V_FUT_UTEIS]], L$5, FALSE)</f>
        <v>#N/A</v>
      </c>
    </row>
    <row r="187" spans="1:12">
      <c r="A187" s="19">
        <f t="shared" si="19"/>
        <v>181</v>
      </c>
      <c r="B187" s="20">
        <f t="shared" si="15"/>
        <v>2144.9110433943797</v>
      </c>
      <c r="C187" s="21">
        <f t="shared" si="16"/>
        <v>2144.9110433943797</v>
      </c>
      <c r="D187" s="22">
        <f>VLOOKUP($A187, TAB_JUROS_U[[Q_DIAS_U_PARC_TIR]:[V_FUT_U_JURS CENARIO]], D$5, FALSE)</f>
        <v>190.34869622498758</v>
      </c>
      <c r="E187" s="22">
        <f>VLOOKUP($A187,TAB_CORRECAO_U[[Q_DIAS_U_PARC_TIR]:[V_FUT_U_CORC-02]],E$5, FALSE)</f>
        <v>1158.0988557505964</v>
      </c>
      <c r="F187" s="22">
        <f>VLOOKUP($A187,TAB_AMORTIZACAO_U[[Q_DIAS_U_PARC_TIR]:[V_FUT_U_PCPL-02]], F$5, FALSE)</f>
        <v>796.46349141879557</v>
      </c>
      <c r="H187" s="20">
        <f t="shared" si="17"/>
        <v>0</v>
      </c>
      <c r="I187" s="21">
        <f t="shared" si="18"/>
        <v>0</v>
      </c>
      <c r="J187" s="22" t="e">
        <f>VLOOKUP($A187, TAB_JUROS_C[[DIAS_CORRIDOS]:[V_FUT_UTEIS]], J$5, FALSE)</f>
        <v>#N/A</v>
      </c>
      <c r="K187" s="22" t="e">
        <f>VLOOKUP($A187, TAB_CORRECAO_C[[DIAS_CORRIDOS]:[V_FUT_UTEIS]],K$5, FALSE)</f>
        <v>#N/A</v>
      </c>
      <c r="L187" s="22" t="e">
        <f>VLOOKUP($A187, TAB_AMORTIZACAO_C[[DIAS_CORRIDOS]:[V_FUT_UTEIS]], L$5, FALSE)</f>
        <v>#N/A</v>
      </c>
    </row>
    <row r="188" spans="1:12" hidden="1">
      <c r="A188" s="19">
        <f t="shared" si="19"/>
        <v>182</v>
      </c>
      <c r="B188" s="20">
        <f t="shared" si="15"/>
        <v>0</v>
      </c>
      <c r="C188" s="21">
        <f t="shared" si="16"/>
        <v>0</v>
      </c>
      <c r="D188" s="22" t="e">
        <f>VLOOKUP($A188, TAB_JUROS_U[[Q_DIAS_U_PARC_TIR]:[V_FUT_U_JURS CENARIO]], D$5, FALSE)</f>
        <v>#N/A</v>
      </c>
      <c r="E188" s="22" t="e">
        <f>VLOOKUP($A188,TAB_CORRECAO_U[[Q_DIAS_U_PARC_TIR]:[V_FUT_U_CORC-02]],E$5, FALSE)</f>
        <v>#N/A</v>
      </c>
      <c r="F188" s="22" t="e">
        <f>VLOOKUP($A188,TAB_AMORTIZACAO_U[[Q_DIAS_U_PARC_TIR]:[V_FUT_U_PCPL-02]], F$5, FALSE)</f>
        <v>#N/A</v>
      </c>
      <c r="H188" s="20">
        <f t="shared" si="17"/>
        <v>0</v>
      </c>
      <c r="I188" s="21">
        <f t="shared" si="18"/>
        <v>0</v>
      </c>
      <c r="J188" s="22" t="e">
        <f>VLOOKUP($A188, TAB_JUROS_C[[DIAS_CORRIDOS]:[V_FUT_UTEIS]], J$5, FALSE)</f>
        <v>#N/A</v>
      </c>
      <c r="K188" s="22" t="e">
        <f>VLOOKUP($A188, TAB_CORRECAO_C[[DIAS_CORRIDOS]:[V_FUT_UTEIS]],K$5, FALSE)</f>
        <v>#N/A</v>
      </c>
      <c r="L188" s="22" t="e">
        <f>VLOOKUP($A188, TAB_AMORTIZACAO_C[[DIAS_CORRIDOS]:[V_FUT_UTEIS]], L$5, FALSE)</f>
        <v>#N/A</v>
      </c>
    </row>
    <row r="189" spans="1:12" hidden="1">
      <c r="A189" s="19">
        <f t="shared" si="19"/>
        <v>183</v>
      </c>
      <c r="B189" s="20">
        <f t="shared" si="15"/>
        <v>0</v>
      </c>
      <c r="C189" s="21">
        <f t="shared" si="16"/>
        <v>0</v>
      </c>
      <c r="D189" s="22" t="e">
        <f>VLOOKUP($A189, TAB_JUROS_U[[Q_DIAS_U_PARC_TIR]:[V_FUT_U_JURS CENARIO]], D$5, FALSE)</f>
        <v>#N/A</v>
      </c>
      <c r="E189" s="22" t="e">
        <f>VLOOKUP($A189,TAB_CORRECAO_U[[Q_DIAS_U_PARC_TIR]:[V_FUT_U_CORC-02]],E$5, FALSE)</f>
        <v>#N/A</v>
      </c>
      <c r="F189" s="22" t="e">
        <f>VLOOKUP($A189,TAB_AMORTIZACAO_U[[Q_DIAS_U_PARC_TIR]:[V_FUT_U_PCPL-02]], F$5, FALSE)</f>
        <v>#N/A</v>
      </c>
      <c r="H189" s="20">
        <f t="shared" si="17"/>
        <v>0</v>
      </c>
      <c r="I189" s="21">
        <f t="shared" si="18"/>
        <v>0</v>
      </c>
      <c r="J189" s="22" t="e">
        <f>VLOOKUP($A189, TAB_JUROS_C[[DIAS_CORRIDOS]:[V_FUT_UTEIS]], J$5, FALSE)</f>
        <v>#N/A</v>
      </c>
      <c r="K189" s="22" t="e">
        <f>VLOOKUP($A189, TAB_CORRECAO_C[[DIAS_CORRIDOS]:[V_FUT_UTEIS]],K$5, FALSE)</f>
        <v>#N/A</v>
      </c>
      <c r="L189" s="22" t="e">
        <f>VLOOKUP($A189, TAB_AMORTIZACAO_C[[DIAS_CORRIDOS]:[V_FUT_UTEIS]], L$5, FALSE)</f>
        <v>#N/A</v>
      </c>
    </row>
    <row r="190" spans="1:12" hidden="1">
      <c r="A190" s="19">
        <f t="shared" si="19"/>
        <v>184</v>
      </c>
      <c r="B190" s="20">
        <f t="shared" si="15"/>
        <v>0</v>
      </c>
      <c r="C190" s="21">
        <f t="shared" si="16"/>
        <v>0</v>
      </c>
      <c r="D190" s="22" t="e">
        <f>VLOOKUP($A190, TAB_JUROS_U[[Q_DIAS_U_PARC_TIR]:[V_FUT_U_JURS CENARIO]], D$5, FALSE)</f>
        <v>#N/A</v>
      </c>
      <c r="E190" s="22" t="e">
        <f>VLOOKUP($A190,TAB_CORRECAO_U[[Q_DIAS_U_PARC_TIR]:[V_FUT_U_CORC-02]],E$5, FALSE)</f>
        <v>#N/A</v>
      </c>
      <c r="F190" s="22" t="e">
        <f>VLOOKUP($A190,TAB_AMORTIZACAO_U[[Q_DIAS_U_PARC_TIR]:[V_FUT_U_PCPL-02]], F$5, FALSE)</f>
        <v>#N/A</v>
      </c>
      <c r="H190" s="20">
        <f t="shared" si="17"/>
        <v>0</v>
      </c>
      <c r="I190" s="21">
        <f t="shared" si="18"/>
        <v>0</v>
      </c>
      <c r="J190" s="22" t="e">
        <f>VLOOKUP($A190, TAB_JUROS_C[[DIAS_CORRIDOS]:[V_FUT_UTEIS]], J$5, FALSE)</f>
        <v>#N/A</v>
      </c>
      <c r="K190" s="22" t="e">
        <f>VLOOKUP($A190, TAB_CORRECAO_C[[DIAS_CORRIDOS]:[V_FUT_UTEIS]],K$5, FALSE)</f>
        <v>#N/A</v>
      </c>
      <c r="L190" s="22" t="e">
        <f>VLOOKUP($A190, TAB_AMORTIZACAO_C[[DIAS_CORRIDOS]:[V_FUT_UTEIS]], L$5, FALSE)</f>
        <v>#N/A</v>
      </c>
    </row>
    <row r="191" spans="1:12" hidden="1">
      <c r="A191" s="19">
        <f t="shared" si="19"/>
        <v>185</v>
      </c>
      <c r="B191" s="20">
        <f t="shared" si="15"/>
        <v>0</v>
      </c>
      <c r="C191" s="21">
        <f t="shared" si="16"/>
        <v>0</v>
      </c>
      <c r="D191" s="22" t="e">
        <f>VLOOKUP($A191, TAB_JUROS_U[[Q_DIAS_U_PARC_TIR]:[V_FUT_U_JURS CENARIO]], D$5, FALSE)</f>
        <v>#N/A</v>
      </c>
      <c r="E191" s="22" t="e">
        <f>VLOOKUP($A191,TAB_CORRECAO_U[[Q_DIAS_U_PARC_TIR]:[V_FUT_U_CORC-02]],E$5, FALSE)</f>
        <v>#N/A</v>
      </c>
      <c r="F191" s="22" t="e">
        <f>VLOOKUP($A191,TAB_AMORTIZACAO_U[[Q_DIAS_U_PARC_TIR]:[V_FUT_U_PCPL-02]], F$5, FALSE)</f>
        <v>#N/A</v>
      </c>
      <c r="H191" s="20">
        <f t="shared" si="17"/>
        <v>0</v>
      </c>
      <c r="I191" s="21">
        <f t="shared" si="18"/>
        <v>0</v>
      </c>
      <c r="J191" s="22" t="e">
        <f>VLOOKUP($A191, TAB_JUROS_C[[DIAS_CORRIDOS]:[V_FUT_UTEIS]], J$5, FALSE)</f>
        <v>#N/A</v>
      </c>
      <c r="K191" s="22" t="e">
        <f>VLOOKUP($A191, TAB_CORRECAO_C[[DIAS_CORRIDOS]:[V_FUT_UTEIS]],K$5, FALSE)</f>
        <v>#N/A</v>
      </c>
      <c r="L191" s="22" t="e">
        <f>VLOOKUP($A191, TAB_AMORTIZACAO_C[[DIAS_CORRIDOS]:[V_FUT_UTEIS]], L$5, FALSE)</f>
        <v>#N/A</v>
      </c>
    </row>
    <row r="192" spans="1:12" hidden="1">
      <c r="A192" s="19">
        <f t="shared" si="19"/>
        <v>186</v>
      </c>
      <c r="B192" s="20">
        <f t="shared" si="15"/>
        <v>0</v>
      </c>
      <c r="C192" s="21">
        <f t="shared" si="16"/>
        <v>0</v>
      </c>
      <c r="D192" s="22" t="e">
        <f>VLOOKUP($A192, TAB_JUROS_U[[Q_DIAS_U_PARC_TIR]:[V_FUT_U_JURS CENARIO]], D$5, FALSE)</f>
        <v>#N/A</v>
      </c>
      <c r="E192" s="22" t="e">
        <f>VLOOKUP($A192,TAB_CORRECAO_U[[Q_DIAS_U_PARC_TIR]:[V_FUT_U_CORC-02]],E$5, FALSE)</f>
        <v>#N/A</v>
      </c>
      <c r="F192" s="22" t="e">
        <f>VLOOKUP($A192,TAB_AMORTIZACAO_U[[Q_DIAS_U_PARC_TIR]:[V_FUT_U_PCPL-02]], F$5, FALSE)</f>
        <v>#N/A</v>
      </c>
      <c r="H192" s="20">
        <f t="shared" si="17"/>
        <v>0</v>
      </c>
      <c r="I192" s="21">
        <f t="shared" si="18"/>
        <v>0</v>
      </c>
      <c r="J192" s="22" t="e">
        <f>VLOOKUP($A192, TAB_JUROS_C[[DIAS_CORRIDOS]:[V_FUT_UTEIS]], J$5, FALSE)</f>
        <v>#N/A</v>
      </c>
      <c r="K192" s="22" t="e">
        <f>VLOOKUP($A192, TAB_CORRECAO_C[[DIAS_CORRIDOS]:[V_FUT_UTEIS]],K$5, FALSE)</f>
        <v>#N/A</v>
      </c>
      <c r="L192" s="22" t="e">
        <f>VLOOKUP($A192, TAB_AMORTIZACAO_C[[DIAS_CORRIDOS]:[V_FUT_UTEIS]], L$5, FALSE)</f>
        <v>#N/A</v>
      </c>
    </row>
    <row r="193" spans="1:12" hidden="1">
      <c r="A193" s="19">
        <f t="shared" si="19"/>
        <v>187</v>
      </c>
      <c r="B193" s="20">
        <f t="shared" si="15"/>
        <v>0</v>
      </c>
      <c r="C193" s="21">
        <f t="shared" si="16"/>
        <v>0</v>
      </c>
      <c r="D193" s="22" t="e">
        <f>VLOOKUP($A193, TAB_JUROS_U[[Q_DIAS_U_PARC_TIR]:[V_FUT_U_JURS CENARIO]], D$5, FALSE)</f>
        <v>#N/A</v>
      </c>
      <c r="E193" s="22" t="e">
        <f>VLOOKUP($A193,TAB_CORRECAO_U[[Q_DIAS_U_PARC_TIR]:[V_FUT_U_CORC-02]],E$5, FALSE)</f>
        <v>#N/A</v>
      </c>
      <c r="F193" s="22" t="e">
        <f>VLOOKUP($A193,TAB_AMORTIZACAO_U[[Q_DIAS_U_PARC_TIR]:[V_FUT_U_PCPL-02]], F$5, FALSE)</f>
        <v>#N/A</v>
      </c>
      <c r="H193" s="20">
        <f t="shared" si="17"/>
        <v>0</v>
      </c>
      <c r="I193" s="21">
        <f t="shared" si="18"/>
        <v>0</v>
      </c>
      <c r="J193" s="22" t="e">
        <f>VLOOKUP($A193, TAB_JUROS_C[[DIAS_CORRIDOS]:[V_FUT_UTEIS]], J$5, FALSE)</f>
        <v>#N/A</v>
      </c>
      <c r="K193" s="22" t="e">
        <f>VLOOKUP($A193, TAB_CORRECAO_C[[DIAS_CORRIDOS]:[V_FUT_UTEIS]],K$5, FALSE)</f>
        <v>#N/A</v>
      </c>
      <c r="L193" s="22" t="e">
        <f>VLOOKUP($A193, TAB_AMORTIZACAO_C[[DIAS_CORRIDOS]:[V_FUT_UTEIS]], L$5, FALSE)</f>
        <v>#N/A</v>
      </c>
    </row>
    <row r="194" spans="1:12" hidden="1">
      <c r="A194" s="19">
        <f t="shared" si="19"/>
        <v>188</v>
      </c>
      <c r="B194" s="20">
        <f t="shared" si="15"/>
        <v>0</v>
      </c>
      <c r="C194" s="21">
        <f t="shared" si="16"/>
        <v>0</v>
      </c>
      <c r="D194" s="22" t="e">
        <f>VLOOKUP($A194, TAB_JUROS_U[[Q_DIAS_U_PARC_TIR]:[V_FUT_U_JURS CENARIO]], D$5, FALSE)</f>
        <v>#N/A</v>
      </c>
      <c r="E194" s="22" t="e">
        <f>VLOOKUP($A194,TAB_CORRECAO_U[[Q_DIAS_U_PARC_TIR]:[V_FUT_U_CORC-02]],E$5, FALSE)</f>
        <v>#N/A</v>
      </c>
      <c r="F194" s="22" t="e">
        <f>VLOOKUP($A194,TAB_AMORTIZACAO_U[[Q_DIAS_U_PARC_TIR]:[V_FUT_U_PCPL-02]], F$5, FALSE)</f>
        <v>#N/A</v>
      </c>
      <c r="H194" s="20">
        <f t="shared" si="17"/>
        <v>0</v>
      </c>
      <c r="I194" s="21">
        <f t="shared" si="18"/>
        <v>0</v>
      </c>
      <c r="J194" s="22" t="e">
        <f>VLOOKUP($A194, TAB_JUROS_C[[DIAS_CORRIDOS]:[V_FUT_UTEIS]], J$5, FALSE)</f>
        <v>#N/A</v>
      </c>
      <c r="K194" s="22" t="e">
        <f>VLOOKUP($A194, TAB_CORRECAO_C[[DIAS_CORRIDOS]:[V_FUT_UTEIS]],K$5, FALSE)</f>
        <v>#N/A</v>
      </c>
      <c r="L194" s="22" t="e">
        <f>VLOOKUP($A194, TAB_AMORTIZACAO_C[[DIAS_CORRIDOS]:[V_FUT_UTEIS]], L$5, FALSE)</f>
        <v>#N/A</v>
      </c>
    </row>
    <row r="195" spans="1:12" hidden="1">
      <c r="A195" s="19">
        <f t="shared" si="19"/>
        <v>189</v>
      </c>
      <c r="B195" s="20">
        <f t="shared" si="15"/>
        <v>0</v>
      </c>
      <c r="C195" s="21">
        <f t="shared" si="16"/>
        <v>0</v>
      </c>
      <c r="D195" s="22" t="e">
        <f>VLOOKUP($A195, TAB_JUROS_U[[Q_DIAS_U_PARC_TIR]:[V_FUT_U_JURS CENARIO]], D$5, FALSE)</f>
        <v>#N/A</v>
      </c>
      <c r="E195" s="22" t="e">
        <f>VLOOKUP($A195,TAB_CORRECAO_U[[Q_DIAS_U_PARC_TIR]:[V_FUT_U_CORC-02]],E$5, FALSE)</f>
        <v>#N/A</v>
      </c>
      <c r="F195" s="22" t="e">
        <f>VLOOKUP($A195,TAB_AMORTIZACAO_U[[Q_DIAS_U_PARC_TIR]:[V_FUT_U_PCPL-02]], F$5, FALSE)</f>
        <v>#N/A</v>
      </c>
      <c r="H195" s="20">
        <f t="shared" si="17"/>
        <v>0</v>
      </c>
      <c r="I195" s="21">
        <f t="shared" si="18"/>
        <v>0</v>
      </c>
      <c r="J195" s="22" t="e">
        <f>VLOOKUP($A195, TAB_JUROS_C[[DIAS_CORRIDOS]:[V_FUT_UTEIS]], J$5, FALSE)</f>
        <v>#N/A</v>
      </c>
      <c r="K195" s="22" t="e">
        <f>VLOOKUP($A195, TAB_CORRECAO_C[[DIAS_CORRIDOS]:[V_FUT_UTEIS]],K$5, FALSE)</f>
        <v>#N/A</v>
      </c>
      <c r="L195" s="22" t="e">
        <f>VLOOKUP($A195, TAB_AMORTIZACAO_C[[DIAS_CORRIDOS]:[V_FUT_UTEIS]], L$5, FALSE)</f>
        <v>#N/A</v>
      </c>
    </row>
    <row r="196" spans="1:12" hidden="1">
      <c r="A196" s="19">
        <f t="shared" si="19"/>
        <v>190</v>
      </c>
      <c r="B196" s="20">
        <f t="shared" si="15"/>
        <v>0</v>
      </c>
      <c r="C196" s="21">
        <f t="shared" si="16"/>
        <v>0</v>
      </c>
      <c r="D196" s="22" t="e">
        <f>VLOOKUP($A196, TAB_JUROS_U[[Q_DIAS_U_PARC_TIR]:[V_FUT_U_JURS CENARIO]], D$5, FALSE)</f>
        <v>#N/A</v>
      </c>
      <c r="E196" s="22" t="e">
        <f>VLOOKUP($A196,TAB_CORRECAO_U[[Q_DIAS_U_PARC_TIR]:[V_FUT_U_CORC-02]],E$5, FALSE)</f>
        <v>#N/A</v>
      </c>
      <c r="F196" s="22" t="e">
        <f>VLOOKUP($A196,TAB_AMORTIZACAO_U[[Q_DIAS_U_PARC_TIR]:[V_FUT_U_PCPL-02]], F$5, FALSE)</f>
        <v>#N/A</v>
      </c>
      <c r="H196" s="20">
        <f t="shared" si="17"/>
        <v>0</v>
      </c>
      <c r="I196" s="21">
        <f t="shared" si="18"/>
        <v>0</v>
      </c>
      <c r="J196" s="22" t="e">
        <f>VLOOKUP($A196, TAB_JUROS_C[[DIAS_CORRIDOS]:[V_FUT_UTEIS]], J$5, FALSE)</f>
        <v>#N/A</v>
      </c>
      <c r="K196" s="22" t="e">
        <f>VLOOKUP($A196, TAB_CORRECAO_C[[DIAS_CORRIDOS]:[V_FUT_UTEIS]],K$5, FALSE)</f>
        <v>#N/A</v>
      </c>
      <c r="L196" s="22" t="e">
        <f>VLOOKUP($A196, TAB_AMORTIZACAO_C[[DIAS_CORRIDOS]:[V_FUT_UTEIS]], L$5, FALSE)</f>
        <v>#N/A</v>
      </c>
    </row>
    <row r="197" spans="1:12" hidden="1">
      <c r="A197" s="19">
        <f t="shared" si="19"/>
        <v>191</v>
      </c>
      <c r="B197" s="20">
        <f t="shared" si="15"/>
        <v>0</v>
      </c>
      <c r="C197" s="21">
        <f t="shared" si="16"/>
        <v>0</v>
      </c>
      <c r="D197" s="22" t="e">
        <f>VLOOKUP($A197, TAB_JUROS_U[[Q_DIAS_U_PARC_TIR]:[V_FUT_U_JURS CENARIO]], D$5, FALSE)</f>
        <v>#N/A</v>
      </c>
      <c r="E197" s="22" t="e">
        <f>VLOOKUP($A197,TAB_CORRECAO_U[[Q_DIAS_U_PARC_TIR]:[V_FUT_U_CORC-02]],E$5, FALSE)</f>
        <v>#N/A</v>
      </c>
      <c r="F197" s="22" t="e">
        <f>VLOOKUP($A197,TAB_AMORTIZACAO_U[[Q_DIAS_U_PARC_TIR]:[V_FUT_U_PCPL-02]], F$5, FALSE)</f>
        <v>#N/A</v>
      </c>
      <c r="H197" s="20">
        <f t="shared" si="17"/>
        <v>0</v>
      </c>
      <c r="I197" s="21">
        <f t="shared" si="18"/>
        <v>0</v>
      </c>
      <c r="J197" s="22" t="e">
        <f>VLOOKUP($A197, TAB_JUROS_C[[DIAS_CORRIDOS]:[V_FUT_UTEIS]], J$5, FALSE)</f>
        <v>#N/A</v>
      </c>
      <c r="K197" s="22" t="e">
        <f>VLOOKUP($A197, TAB_CORRECAO_C[[DIAS_CORRIDOS]:[V_FUT_UTEIS]],K$5, FALSE)</f>
        <v>#N/A</v>
      </c>
      <c r="L197" s="22" t="e">
        <f>VLOOKUP($A197, TAB_AMORTIZACAO_C[[DIAS_CORRIDOS]:[V_FUT_UTEIS]], L$5, FALSE)</f>
        <v>#N/A</v>
      </c>
    </row>
    <row r="198" spans="1:12" hidden="1">
      <c r="A198" s="19">
        <f t="shared" si="19"/>
        <v>192</v>
      </c>
      <c r="B198" s="20">
        <f t="shared" si="15"/>
        <v>0</v>
      </c>
      <c r="C198" s="21">
        <f t="shared" si="16"/>
        <v>0</v>
      </c>
      <c r="D198" s="22" t="e">
        <f>VLOOKUP($A198, TAB_JUROS_U[[Q_DIAS_U_PARC_TIR]:[V_FUT_U_JURS CENARIO]], D$5, FALSE)</f>
        <v>#N/A</v>
      </c>
      <c r="E198" s="22" t="e">
        <f>VLOOKUP($A198,TAB_CORRECAO_U[[Q_DIAS_U_PARC_TIR]:[V_FUT_U_CORC-02]],E$5, FALSE)</f>
        <v>#N/A</v>
      </c>
      <c r="F198" s="22" t="e">
        <f>VLOOKUP($A198,TAB_AMORTIZACAO_U[[Q_DIAS_U_PARC_TIR]:[V_FUT_U_PCPL-02]], F$5, FALSE)</f>
        <v>#N/A</v>
      </c>
      <c r="H198" s="20">
        <f t="shared" si="17"/>
        <v>0</v>
      </c>
      <c r="I198" s="21">
        <f t="shared" si="18"/>
        <v>0</v>
      </c>
      <c r="J198" s="22" t="e">
        <f>VLOOKUP($A198, TAB_JUROS_C[[DIAS_CORRIDOS]:[V_FUT_UTEIS]], J$5, FALSE)</f>
        <v>#N/A</v>
      </c>
      <c r="K198" s="22" t="e">
        <f>VLOOKUP($A198, TAB_CORRECAO_C[[DIAS_CORRIDOS]:[V_FUT_UTEIS]],K$5, FALSE)</f>
        <v>#N/A</v>
      </c>
      <c r="L198" s="22" t="e">
        <f>VLOOKUP($A198, TAB_AMORTIZACAO_C[[DIAS_CORRIDOS]:[V_FUT_UTEIS]], L$5, FALSE)</f>
        <v>#N/A</v>
      </c>
    </row>
    <row r="199" spans="1:12" hidden="1">
      <c r="A199" s="19">
        <f t="shared" si="19"/>
        <v>193</v>
      </c>
      <c r="B199" s="20">
        <f t="shared" si="15"/>
        <v>0</v>
      </c>
      <c r="C199" s="21">
        <f t="shared" si="16"/>
        <v>0</v>
      </c>
      <c r="D199" s="22" t="e">
        <f>VLOOKUP($A199, TAB_JUROS_U[[Q_DIAS_U_PARC_TIR]:[V_FUT_U_JURS CENARIO]], D$5, FALSE)</f>
        <v>#N/A</v>
      </c>
      <c r="E199" s="22" t="e">
        <f>VLOOKUP($A199,TAB_CORRECAO_U[[Q_DIAS_U_PARC_TIR]:[V_FUT_U_CORC-02]],E$5, FALSE)</f>
        <v>#N/A</v>
      </c>
      <c r="F199" s="22" t="e">
        <f>VLOOKUP($A199,TAB_AMORTIZACAO_U[[Q_DIAS_U_PARC_TIR]:[V_FUT_U_PCPL-02]], F$5, FALSE)</f>
        <v>#N/A</v>
      </c>
      <c r="H199" s="20">
        <f t="shared" si="17"/>
        <v>2168.1899600021829</v>
      </c>
      <c r="I199" s="21">
        <f t="shared" si="18"/>
        <v>2168.1899600021829</v>
      </c>
      <c r="J199" s="22">
        <f>VLOOKUP($A199, TAB_JUROS_C[[DIAS_CORRIDOS]:[V_FUT_UTEIS]], J$5, FALSE)</f>
        <v>190.48898741565034</v>
      </c>
      <c r="K199" s="22">
        <f>VLOOKUP($A199, TAB_CORRECAO_C[[DIAS_CORRIDOS]:[V_FUT_UTEIS]],K$5, FALSE)</f>
        <v>1127.3643754303955</v>
      </c>
      <c r="L199" s="22">
        <f>VLOOKUP($A199, TAB_AMORTIZACAO_C[[DIAS_CORRIDOS]:[V_FUT_UTEIS]], L$5, FALSE)</f>
        <v>850.33659715613715</v>
      </c>
    </row>
    <row r="200" spans="1:12" hidden="1">
      <c r="A200" s="19">
        <f t="shared" si="19"/>
        <v>194</v>
      </c>
      <c r="B200" s="20">
        <f t="shared" si="15"/>
        <v>0</v>
      </c>
      <c r="C200" s="21">
        <f t="shared" si="16"/>
        <v>0</v>
      </c>
      <c r="D200" s="22" t="e">
        <f>VLOOKUP($A200, TAB_JUROS_U[[Q_DIAS_U_PARC_TIR]:[V_FUT_U_JURS CENARIO]], D$5, FALSE)</f>
        <v>#N/A</v>
      </c>
      <c r="E200" s="22" t="e">
        <f>VLOOKUP($A200,TAB_CORRECAO_U[[Q_DIAS_U_PARC_TIR]:[V_FUT_U_CORC-02]],E$5, FALSE)</f>
        <v>#N/A</v>
      </c>
      <c r="F200" s="22" t="e">
        <f>VLOOKUP($A200,TAB_AMORTIZACAO_U[[Q_DIAS_U_PARC_TIR]:[V_FUT_U_PCPL-02]], F$5, FALSE)</f>
        <v>#N/A</v>
      </c>
      <c r="H200" s="20">
        <f t="shared" si="17"/>
        <v>0</v>
      </c>
      <c r="I200" s="21">
        <f t="shared" si="18"/>
        <v>0</v>
      </c>
      <c r="J200" s="22" t="e">
        <f>VLOOKUP($A200, TAB_JUROS_C[[DIAS_CORRIDOS]:[V_FUT_UTEIS]], J$5, FALSE)</f>
        <v>#N/A</v>
      </c>
      <c r="K200" s="22" t="e">
        <f>VLOOKUP($A200, TAB_CORRECAO_C[[DIAS_CORRIDOS]:[V_FUT_UTEIS]],K$5, FALSE)</f>
        <v>#N/A</v>
      </c>
      <c r="L200" s="22" t="e">
        <f>VLOOKUP($A200, TAB_AMORTIZACAO_C[[DIAS_CORRIDOS]:[V_FUT_UTEIS]], L$5, FALSE)</f>
        <v>#N/A</v>
      </c>
    </row>
    <row r="201" spans="1:12" hidden="1">
      <c r="A201" s="19">
        <f t="shared" si="19"/>
        <v>195</v>
      </c>
      <c r="B201" s="20">
        <f t="shared" ref="B201:B264" si="20">IF(ISERROR(C201), 0, C201)</f>
        <v>0</v>
      </c>
      <c r="C201" s="21">
        <f t="shared" ref="C201:C264" si="21">SUMIF(D201:F201, "&gt;0", D201:F201)</f>
        <v>0</v>
      </c>
      <c r="D201" s="22" t="e">
        <f>VLOOKUP($A201, TAB_JUROS_U[[Q_DIAS_U_PARC_TIR]:[V_FUT_U_JURS CENARIO]], D$5, FALSE)</f>
        <v>#N/A</v>
      </c>
      <c r="E201" s="22" t="e">
        <f>VLOOKUP($A201,TAB_CORRECAO_U[[Q_DIAS_U_PARC_TIR]:[V_FUT_U_CORC-02]],E$5, FALSE)</f>
        <v>#N/A</v>
      </c>
      <c r="F201" s="22" t="e">
        <f>VLOOKUP($A201,TAB_AMORTIZACAO_U[[Q_DIAS_U_PARC_TIR]:[V_FUT_U_PCPL-02]], F$5, FALSE)</f>
        <v>#N/A</v>
      </c>
      <c r="H201" s="20">
        <f t="shared" ref="H201:H264" si="22">IF(ISERROR(I201), 0, I201)</f>
        <v>0</v>
      </c>
      <c r="I201" s="21">
        <f t="shared" ref="I201:I264" si="23">SUMIF(J201:L201, "&gt;0", J201:L201)</f>
        <v>0</v>
      </c>
      <c r="J201" s="22" t="e">
        <f>VLOOKUP($A201, TAB_JUROS_C[[DIAS_CORRIDOS]:[V_FUT_UTEIS]], J$5, FALSE)</f>
        <v>#N/A</v>
      </c>
      <c r="K201" s="22" t="e">
        <f>VLOOKUP($A201, TAB_CORRECAO_C[[DIAS_CORRIDOS]:[V_FUT_UTEIS]],K$5, FALSE)</f>
        <v>#N/A</v>
      </c>
      <c r="L201" s="22" t="e">
        <f>VLOOKUP($A201, TAB_AMORTIZACAO_C[[DIAS_CORRIDOS]:[V_FUT_UTEIS]], L$5, FALSE)</f>
        <v>#N/A</v>
      </c>
    </row>
    <row r="202" spans="1:12" hidden="1">
      <c r="A202" s="19">
        <f t="shared" ref="A202:A265" si="24">A201+1</f>
        <v>196</v>
      </c>
      <c r="B202" s="20">
        <f t="shared" si="20"/>
        <v>0</v>
      </c>
      <c r="C202" s="21">
        <f t="shared" si="21"/>
        <v>0</v>
      </c>
      <c r="D202" s="22" t="e">
        <f>VLOOKUP($A202, TAB_JUROS_U[[Q_DIAS_U_PARC_TIR]:[V_FUT_U_JURS CENARIO]], D$5, FALSE)</f>
        <v>#N/A</v>
      </c>
      <c r="E202" s="22" t="e">
        <f>VLOOKUP($A202,TAB_CORRECAO_U[[Q_DIAS_U_PARC_TIR]:[V_FUT_U_CORC-02]],E$5, FALSE)</f>
        <v>#N/A</v>
      </c>
      <c r="F202" s="22" t="e">
        <f>VLOOKUP($A202,TAB_AMORTIZACAO_U[[Q_DIAS_U_PARC_TIR]:[V_FUT_U_PCPL-02]], F$5, FALSE)</f>
        <v>#N/A</v>
      </c>
      <c r="H202" s="20">
        <f t="shared" si="22"/>
        <v>0</v>
      </c>
      <c r="I202" s="21">
        <f t="shared" si="23"/>
        <v>0</v>
      </c>
      <c r="J202" s="22" t="e">
        <f>VLOOKUP($A202, TAB_JUROS_C[[DIAS_CORRIDOS]:[V_FUT_UTEIS]], J$5, FALSE)</f>
        <v>#N/A</v>
      </c>
      <c r="K202" s="22" t="e">
        <f>VLOOKUP($A202, TAB_CORRECAO_C[[DIAS_CORRIDOS]:[V_FUT_UTEIS]],K$5, FALSE)</f>
        <v>#N/A</v>
      </c>
      <c r="L202" s="22" t="e">
        <f>VLOOKUP($A202, TAB_AMORTIZACAO_C[[DIAS_CORRIDOS]:[V_FUT_UTEIS]], L$5, FALSE)</f>
        <v>#N/A</v>
      </c>
    </row>
    <row r="203" spans="1:12" hidden="1">
      <c r="A203" s="19">
        <f t="shared" si="24"/>
        <v>197</v>
      </c>
      <c r="B203" s="20">
        <f t="shared" si="20"/>
        <v>0</v>
      </c>
      <c r="C203" s="21">
        <f t="shared" si="21"/>
        <v>0</v>
      </c>
      <c r="D203" s="22" t="e">
        <f>VLOOKUP($A203, TAB_JUROS_U[[Q_DIAS_U_PARC_TIR]:[V_FUT_U_JURS CENARIO]], D$5, FALSE)</f>
        <v>#N/A</v>
      </c>
      <c r="E203" s="22" t="e">
        <f>VLOOKUP($A203,TAB_CORRECAO_U[[Q_DIAS_U_PARC_TIR]:[V_FUT_U_CORC-02]],E$5, FALSE)</f>
        <v>#N/A</v>
      </c>
      <c r="F203" s="22" t="e">
        <f>VLOOKUP($A203,TAB_AMORTIZACAO_U[[Q_DIAS_U_PARC_TIR]:[V_FUT_U_PCPL-02]], F$5, FALSE)</f>
        <v>#N/A</v>
      </c>
      <c r="H203" s="20">
        <f t="shared" si="22"/>
        <v>0</v>
      </c>
      <c r="I203" s="21">
        <f t="shared" si="23"/>
        <v>0</v>
      </c>
      <c r="J203" s="22" t="e">
        <f>VLOOKUP($A203, TAB_JUROS_C[[DIAS_CORRIDOS]:[V_FUT_UTEIS]], J$5, FALSE)</f>
        <v>#N/A</v>
      </c>
      <c r="K203" s="22" t="e">
        <f>VLOOKUP($A203, TAB_CORRECAO_C[[DIAS_CORRIDOS]:[V_FUT_UTEIS]],K$5, FALSE)</f>
        <v>#N/A</v>
      </c>
      <c r="L203" s="22" t="e">
        <f>VLOOKUP($A203, TAB_AMORTIZACAO_C[[DIAS_CORRIDOS]:[V_FUT_UTEIS]], L$5, FALSE)</f>
        <v>#N/A</v>
      </c>
    </row>
    <row r="204" spans="1:12" hidden="1">
      <c r="A204" s="19">
        <f t="shared" si="24"/>
        <v>198</v>
      </c>
      <c r="B204" s="20">
        <f t="shared" si="20"/>
        <v>0</v>
      </c>
      <c r="C204" s="21">
        <f t="shared" si="21"/>
        <v>0</v>
      </c>
      <c r="D204" s="22" t="e">
        <f>VLOOKUP($A204, TAB_JUROS_U[[Q_DIAS_U_PARC_TIR]:[V_FUT_U_JURS CENARIO]], D$5, FALSE)</f>
        <v>#N/A</v>
      </c>
      <c r="E204" s="22" t="e">
        <f>VLOOKUP($A204,TAB_CORRECAO_U[[Q_DIAS_U_PARC_TIR]:[V_FUT_U_CORC-02]],E$5, FALSE)</f>
        <v>#N/A</v>
      </c>
      <c r="F204" s="22" t="e">
        <f>VLOOKUP($A204,TAB_AMORTIZACAO_U[[Q_DIAS_U_PARC_TIR]:[V_FUT_U_PCPL-02]], F$5, FALSE)</f>
        <v>#N/A</v>
      </c>
      <c r="H204" s="20">
        <f t="shared" si="22"/>
        <v>0</v>
      </c>
      <c r="I204" s="21">
        <f t="shared" si="23"/>
        <v>0</v>
      </c>
      <c r="J204" s="22" t="e">
        <f>VLOOKUP($A204, TAB_JUROS_C[[DIAS_CORRIDOS]:[V_FUT_UTEIS]], J$5, FALSE)</f>
        <v>#N/A</v>
      </c>
      <c r="K204" s="22" t="e">
        <f>VLOOKUP($A204, TAB_CORRECAO_C[[DIAS_CORRIDOS]:[V_FUT_UTEIS]],K$5, FALSE)</f>
        <v>#N/A</v>
      </c>
      <c r="L204" s="22" t="e">
        <f>VLOOKUP($A204, TAB_AMORTIZACAO_C[[DIAS_CORRIDOS]:[V_FUT_UTEIS]], L$5, FALSE)</f>
        <v>#N/A</v>
      </c>
    </row>
    <row r="205" spans="1:12" hidden="1">
      <c r="A205" s="19">
        <f t="shared" si="24"/>
        <v>199</v>
      </c>
      <c r="B205" s="20">
        <f t="shared" si="20"/>
        <v>0</v>
      </c>
      <c r="C205" s="21">
        <f t="shared" si="21"/>
        <v>0</v>
      </c>
      <c r="D205" s="22" t="e">
        <f>VLOOKUP($A205, TAB_JUROS_U[[Q_DIAS_U_PARC_TIR]:[V_FUT_U_JURS CENARIO]], D$5, FALSE)</f>
        <v>#N/A</v>
      </c>
      <c r="E205" s="22" t="e">
        <f>VLOOKUP($A205,TAB_CORRECAO_U[[Q_DIAS_U_PARC_TIR]:[V_FUT_U_CORC-02]],E$5, FALSE)</f>
        <v>#N/A</v>
      </c>
      <c r="F205" s="22" t="e">
        <f>VLOOKUP($A205,TAB_AMORTIZACAO_U[[Q_DIAS_U_PARC_TIR]:[V_FUT_U_PCPL-02]], F$5, FALSE)</f>
        <v>#N/A</v>
      </c>
      <c r="H205" s="20">
        <f t="shared" si="22"/>
        <v>0</v>
      </c>
      <c r="I205" s="21">
        <f t="shared" si="23"/>
        <v>0</v>
      </c>
      <c r="J205" s="22" t="e">
        <f>VLOOKUP($A205, TAB_JUROS_C[[DIAS_CORRIDOS]:[V_FUT_UTEIS]], J$5, FALSE)</f>
        <v>#N/A</v>
      </c>
      <c r="K205" s="22" t="e">
        <f>VLOOKUP($A205, TAB_CORRECAO_C[[DIAS_CORRIDOS]:[V_FUT_UTEIS]],K$5, FALSE)</f>
        <v>#N/A</v>
      </c>
      <c r="L205" s="22" t="e">
        <f>VLOOKUP($A205, TAB_AMORTIZACAO_C[[DIAS_CORRIDOS]:[V_FUT_UTEIS]], L$5, FALSE)</f>
        <v>#N/A</v>
      </c>
    </row>
    <row r="206" spans="1:12" hidden="1">
      <c r="A206" s="19">
        <f t="shared" si="24"/>
        <v>200</v>
      </c>
      <c r="B206" s="20">
        <f t="shared" si="20"/>
        <v>0</v>
      </c>
      <c r="C206" s="21">
        <f t="shared" si="21"/>
        <v>0</v>
      </c>
      <c r="D206" s="22" t="e">
        <f>VLOOKUP($A206, TAB_JUROS_U[[Q_DIAS_U_PARC_TIR]:[V_FUT_U_JURS CENARIO]], D$5, FALSE)</f>
        <v>#N/A</v>
      </c>
      <c r="E206" s="22" t="e">
        <f>VLOOKUP($A206,TAB_CORRECAO_U[[Q_DIAS_U_PARC_TIR]:[V_FUT_U_CORC-02]],E$5, FALSE)</f>
        <v>#N/A</v>
      </c>
      <c r="F206" s="22" t="e">
        <f>VLOOKUP($A206,TAB_AMORTIZACAO_U[[Q_DIAS_U_PARC_TIR]:[V_FUT_U_PCPL-02]], F$5, FALSE)</f>
        <v>#N/A</v>
      </c>
      <c r="H206" s="20">
        <f t="shared" si="22"/>
        <v>0</v>
      </c>
      <c r="I206" s="21">
        <f t="shared" si="23"/>
        <v>0</v>
      </c>
      <c r="J206" s="22" t="e">
        <f>VLOOKUP($A206, TAB_JUROS_C[[DIAS_CORRIDOS]:[V_FUT_UTEIS]], J$5, FALSE)</f>
        <v>#N/A</v>
      </c>
      <c r="K206" s="22" t="e">
        <f>VLOOKUP($A206, TAB_CORRECAO_C[[DIAS_CORRIDOS]:[V_FUT_UTEIS]],K$5, FALSE)</f>
        <v>#N/A</v>
      </c>
      <c r="L206" s="22" t="e">
        <f>VLOOKUP($A206, TAB_AMORTIZACAO_C[[DIAS_CORRIDOS]:[V_FUT_UTEIS]], L$5, FALSE)</f>
        <v>#N/A</v>
      </c>
    </row>
    <row r="207" spans="1:12" hidden="1">
      <c r="A207" s="19">
        <f t="shared" si="24"/>
        <v>201</v>
      </c>
      <c r="B207" s="20">
        <f t="shared" si="20"/>
        <v>0</v>
      </c>
      <c r="C207" s="21">
        <f t="shared" si="21"/>
        <v>0</v>
      </c>
      <c r="D207" s="22" t="e">
        <f>VLOOKUP($A207, TAB_JUROS_U[[Q_DIAS_U_PARC_TIR]:[V_FUT_U_JURS CENARIO]], D$5, FALSE)</f>
        <v>#N/A</v>
      </c>
      <c r="E207" s="22" t="e">
        <f>VLOOKUP($A207,TAB_CORRECAO_U[[Q_DIAS_U_PARC_TIR]:[V_FUT_U_CORC-02]],E$5, FALSE)</f>
        <v>#N/A</v>
      </c>
      <c r="F207" s="22" t="e">
        <f>VLOOKUP($A207,TAB_AMORTIZACAO_U[[Q_DIAS_U_PARC_TIR]:[V_FUT_U_PCPL-02]], F$5, FALSE)</f>
        <v>#N/A</v>
      </c>
      <c r="H207" s="20">
        <f t="shared" si="22"/>
        <v>0</v>
      </c>
      <c r="I207" s="21">
        <f t="shared" si="23"/>
        <v>0</v>
      </c>
      <c r="J207" s="22" t="e">
        <f>VLOOKUP($A207, TAB_JUROS_C[[DIAS_CORRIDOS]:[V_FUT_UTEIS]], J$5, FALSE)</f>
        <v>#N/A</v>
      </c>
      <c r="K207" s="22" t="e">
        <f>VLOOKUP($A207, TAB_CORRECAO_C[[DIAS_CORRIDOS]:[V_FUT_UTEIS]],K$5, FALSE)</f>
        <v>#N/A</v>
      </c>
      <c r="L207" s="22" t="e">
        <f>VLOOKUP($A207, TAB_AMORTIZACAO_C[[DIAS_CORRIDOS]:[V_FUT_UTEIS]], L$5, FALSE)</f>
        <v>#N/A</v>
      </c>
    </row>
    <row r="208" spans="1:12">
      <c r="A208" s="19">
        <f t="shared" si="24"/>
        <v>202</v>
      </c>
      <c r="B208" s="20">
        <f t="shared" si="20"/>
        <v>2050.1935273482668</v>
      </c>
      <c r="C208" s="21">
        <f t="shared" si="21"/>
        <v>2050.1935273482668</v>
      </c>
      <c r="D208" s="22">
        <f>VLOOKUP($A208, TAB_JUROS_U[[Q_DIAS_U_PARC_TIR]:[V_FUT_U_JURS CENARIO]], D$5, FALSE)</f>
        <v>169.81733092419108</v>
      </c>
      <c r="E208" s="22">
        <f>VLOOKUP($A208,TAB_CORRECAO_U[[Q_DIAS_U_PARC_TIR]:[V_FUT_U_CORC-02]],E$5, FALSE)</f>
        <v>1088.7260276291827</v>
      </c>
      <c r="F208" s="22">
        <f>VLOOKUP($A208,TAB_AMORTIZACAO_U[[Q_DIAS_U_PARC_TIR]:[V_FUT_U_PCPL-02]], F$5, FALSE)</f>
        <v>791.65016879489281</v>
      </c>
      <c r="H208" s="20">
        <f t="shared" si="22"/>
        <v>0</v>
      </c>
      <c r="I208" s="21">
        <f t="shared" si="23"/>
        <v>0</v>
      </c>
      <c r="J208" s="22" t="e">
        <f>VLOOKUP($A208, TAB_JUROS_C[[DIAS_CORRIDOS]:[V_FUT_UTEIS]], J$5, FALSE)</f>
        <v>#N/A</v>
      </c>
      <c r="K208" s="22" t="e">
        <f>VLOOKUP($A208, TAB_CORRECAO_C[[DIAS_CORRIDOS]:[V_FUT_UTEIS]],K$5, FALSE)</f>
        <v>#N/A</v>
      </c>
      <c r="L208" s="22" t="e">
        <f>VLOOKUP($A208, TAB_AMORTIZACAO_C[[DIAS_CORRIDOS]:[V_FUT_UTEIS]], L$5, FALSE)</f>
        <v>#N/A</v>
      </c>
    </row>
    <row r="209" spans="1:12" hidden="1">
      <c r="A209" s="19">
        <f t="shared" si="24"/>
        <v>203</v>
      </c>
      <c r="B209" s="20">
        <f t="shared" si="20"/>
        <v>0</v>
      </c>
      <c r="C209" s="21">
        <f t="shared" si="21"/>
        <v>0</v>
      </c>
      <c r="D209" s="22" t="e">
        <f>VLOOKUP($A209, TAB_JUROS_U[[Q_DIAS_U_PARC_TIR]:[V_FUT_U_JURS CENARIO]], D$5, FALSE)</f>
        <v>#N/A</v>
      </c>
      <c r="E209" s="22" t="e">
        <f>VLOOKUP($A209,TAB_CORRECAO_U[[Q_DIAS_U_PARC_TIR]:[V_FUT_U_CORC-02]],E$5, FALSE)</f>
        <v>#N/A</v>
      </c>
      <c r="F209" s="22" t="e">
        <f>VLOOKUP($A209,TAB_AMORTIZACAO_U[[Q_DIAS_U_PARC_TIR]:[V_FUT_U_PCPL-02]], F$5, FALSE)</f>
        <v>#N/A</v>
      </c>
      <c r="H209" s="20">
        <f t="shared" si="22"/>
        <v>0</v>
      </c>
      <c r="I209" s="21">
        <f t="shared" si="23"/>
        <v>0</v>
      </c>
      <c r="J209" s="22" t="e">
        <f>VLOOKUP($A209, TAB_JUROS_C[[DIAS_CORRIDOS]:[V_FUT_UTEIS]], J$5, FALSE)</f>
        <v>#N/A</v>
      </c>
      <c r="K209" s="22" t="e">
        <f>VLOOKUP($A209, TAB_CORRECAO_C[[DIAS_CORRIDOS]:[V_FUT_UTEIS]],K$5, FALSE)</f>
        <v>#N/A</v>
      </c>
      <c r="L209" s="22" t="e">
        <f>VLOOKUP($A209, TAB_AMORTIZACAO_C[[DIAS_CORRIDOS]:[V_FUT_UTEIS]], L$5, FALSE)</f>
        <v>#N/A</v>
      </c>
    </row>
    <row r="210" spans="1:12" hidden="1">
      <c r="A210" s="19">
        <f t="shared" si="24"/>
        <v>204</v>
      </c>
      <c r="B210" s="20">
        <f t="shared" si="20"/>
        <v>0</v>
      </c>
      <c r="C210" s="21">
        <f t="shared" si="21"/>
        <v>0</v>
      </c>
      <c r="D210" s="22" t="e">
        <f>VLOOKUP($A210, TAB_JUROS_U[[Q_DIAS_U_PARC_TIR]:[V_FUT_U_JURS CENARIO]], D$5, FALSE)</f>
        <v>#N/A</v>
      </c>
      <c r="E210" s="22" t="e">
        <f>VLOOKUP($A210,TAB_CORRECAO_U[[Q_DIAS_U_PARC_TIR]:[V_FUT_U_CORC-02]],E$5, FALSE)</f>
        <v>#N/A</v>
      </c>
      <c r="F210" s="22" t="e">
        <f>VLOOKUP($A210,TAB_AMORTIZACAO_U[[Q_DIAS_U_PARC_TIR]:[V_FUT_U_PCPL-02]], F$5, FALSE)</f>
        <v>#N/A</v>
      </c>
      <c r="H210" s="20">
        <f t="shared" si="22"/>
        <v>0</v>
      </c>
      <c r="I210" s="21">
        <f t="shared" si="23"/>
        <v>0</v>
      </c>
      <c r="J210" s="22" t="e">
        <f>VLOOKUP($A210, TAB_JUROS_C[[DIAS_CORRIDOS]:[V_FUT_UTEIS]], J$5, FALSE)</f>
        <v>#N/A</v>
      </c>
      <c r="K210" s="22" t="e">
        <f>VLOOKUP($A210, TAB_CORRECAO_C[[DIAS_CORRIDOS]:[V_FUT_UTEIS]],K$5, FALSE)</f>
        <v>#N/A</v>
      </c>
      <c r="L210" s="22" t="e">
        <f>VLOOKUP($A210, TAB_AMORTIZACAO_C[[DIAS_CORRIDOS]:[V_FUT_UTEIS]], L$5, FALSE)</f>
        <v>#N/A</v>
      </c>
    </row>
    <row r="211" spans="1:12" hidden="1">
      <c r="A211" s="19">
        <f t="shared" si="24"/>
        <v>205</v>
      </c>
      <c r="B211" s="20">
        <f t="shared" si="20"/>
        <v>0</v>
      </c>
      <c r="C211" s="21">
        <f t="shared" si="21"/>
        <v>0</v>
      </c>
      <c r="D211" s="22" t="e">
        <f>VLOOKUP($A211, TAB_JUROS_U[[Q_DIAS_U_PARC_TIR]:[V_FUT_U_JURS CENARIO]], D$5, FALSE)</f>
        <v>#N/A</v>
      </c>
      <c r="E211" s="22" t="e">
        <f>VLOOKUP($A211,TAB_CORRECAO_U[[Q_DIAS_U_PARC_TIR]:[V_FUT_U_CORC-02]],E$5, FALSE)</f>
        <v>#N/A</v>
      </c>
      <c r="F211" s="22" t="e">
        <f>VLOOKUP($A211,TAB_AMORTIZACAO_U[[Q_DIAS_U_PARC_TIR]:[V_FUT_U_PCPL-02]], F$5, FALSE)</f>
        <v>#N/A</v>
      </c>
      <c r="H211" s="20">
        <f t="shared" si="22"/>
        <v>0</v>
      </c>
      <c r="I211" s="21">
        <f t="shared" si="23"/>
        <v>0</v>
      </c>
      <c r="J211" s="22" t="e">
        <f>VLOOKUP($A211, TAB_JUROS_C[[DIAS_CORRIDOS]:[V_FUT_UTEIS]], J$5, FALSE)</f>
        <v>#N/A</v>
      </c>
      <c r="K211" s="22" t="e">
        <f>VLOOKUP($A211, TAB_CORRECAO_C[[DIAS_CORRIDOS]:[V_FUT_UTEIS]],K$5, FALSE)</f>
        <v>#N/A</v>
      </c>
      <c r="L211" s="22" t="e">
        <f>VLOOKUP($A211, TAB_AMORTIZACAO_C[[DIAS_CORRIDOS]:[V_FUT_UTEIS]], L$5, FALSE)</f>
        <v>#N/A</v>
      </c>
    </row>
    <row r="212" spans="1:12" hidden="1">
      <c r="A212" s="19">
        <f t="shared" si="24"/>
        <v>206</v>
      </c>
      <c r="B212" s="20">
        <f t="shared" si="20"/>
        <v>0</v>
      </c>
      <c r="C212" s="21">
        <f t="shared" si="21"/>
        <v>0</v>
      </c>
      <c r="D212" s="22" t="e">
        <f>VLOOKUP($A212, TAB_JUROS_U[[Q_DIAS_U_PARC_TIR]:[V_FUT_U_JURS CENARIO]], D$5, FALSE)</f>
        <v>#N/A</v>
      </c>
      <c r="E212" s="22" t="e">
        <f>VLOOKUP($A212,TAB_CORRECAO_U[[Q_DIAS_U_PARC_TIR]:[V_FUT_U_CORC-02]],E$5, FALSE)</f>
        <v>#N/A</v>
      </c>
      <c r="F212" s="22" t="e">
        <f>VLOOKUP($A212,TAB_AMORTIZACAO_U[[Q_DIAS_U_PARC_TIR]:[V_FUT_U_PCPL-02]], F$5, FALSE)</f>
        <v>#N/A</v>
      </c>
      <c r="H212" s="20">
        <f t="shared" si="22"/>
        <v>0</v>
      </c>
      <c r="I212" s="21">
        <f t="shared" si="23"/>
        <v>0</v>
      </c>
      <c r="J212" s="22" t="e">
        <f>VLOOKUP($A212, TAB_JUROS_C[[DIAS_CORRIDOS]:[V_FUT_UTEIS]], J$5, FALSE)</f>
        <v>#N/A</v>
      </c>
      <c r="K212" s="22" t="e">
        <f>VLOOKUP($A212, TAB_CORRECAO_C[[DIAS_CORRIDOS]:[V_FUT_UTEIS]],K$5, FALSE)</f>
        <v>#N/A</v>
      </c>
      <c r="L212" s="22" t="e">
        <f>VLOOKUP($A212, TAB_AMORTIZACAO_C[[DIAS_CORRIDOS]:[V_FUT_UTEIS]], L$5, FALSE)</f>
        <v>#N/A</v>
      </c>
    </row>
    <row r="213" spans="1:12" hidden="1">
      <c r="A213" s="19">
        <f t="shared" si="24"/>
        <v>207</v>
      </c>
      <c r="B213" s="20">
        <f t="shared" si="20"/>
        <v>0</v>
      </c>
      <c r="C213" s="21">
        <f t="shared" si="21"/>
        <v>0</v>
      </c>
      <c r="D213" s="22" t="e">
        <f>VLOOKUP($A213, TAB_JUROS_U[[Q_DIAS_U_PARC_TIR]:[V_FUT_U_JURS CENARIO]], D$5, FALSE)</f>
        <v>#N/A</v>
      </c>
      <c r="E213" s="22" t="e">
        <f>VLOOKUP($A213,TAB_CORRECAO_U[[Q_DIAS_U_PARC_TIR]:[V_FUT_U_CORC-02]],E$5, FALSE)</f>
        <v>#N/A</v>
      </c>
      <c r="F213" s="22" t="e">
        <f>VLOOKUP($A213,TAB_AMORTIZACAO_U[[Q_DIAS_U_PARC_TIR]:[V_FUT_U_PCPL-02]], F$5, FALSE)</f>
        <v>#N/A</v>
      </c>
      <c r="H213" s="20">
        <f t="shared" si="22"/>
        <v>0</v>
      </c>
      <c r="I213" s="21">
        <f t="shared" si="23"/>
        <v>0</v>
      </c>
      <c r="J213" s="22" t="e">
        <f>VLOOKUP($A213, TAB_JUROS_C[[DIAS_CORRIDOS]:[V_FUT_UTEIS]], J$5, FALSE)</f>
        <v>#N/A</v>
      </c>
      <c r="K213" s="22" t="e">
        <f>VLOOKUP($A213, TAB_CORRECAO_C[[DIAS_CORRIDOS]:[V_FUT_UTEIS]],K$5, FALSE)</f>
        <v>#N/A</v>
      </c>
      <c r="L213" s="22" t="e">
        <f>VLOOKUP($A213, TAB_AMORTIZACAO_C[[DIAS_CORRIDOS]:[V_FUT_UTEIS]], L$5, FALSE)</f>
        <v>#N/A</v>
      </c>
    </row>
    <row r="214" spans="1:12" hidden="1">
      <c r="A214" s="19">
        <f t="shared" si="24"/>
        <v>208</v>
      </c>
      <c r="B214" s="20">
        <f t="shared" si="20"/>
        <v>0</v>
      </c>
      <c r="C214" s="21">
        <f t="shared" si="21"/>
        <v>0</v>
      </c>
      <c r="D214" s="22" t="e">
        <f>VLOOKUP($A214, TAB_JUROS_U[[Q_DIAS_U_PARC_TIR]:[V_FUT_U_JURS CENARIO]], D$5, FALSE)</f>
        <v>#N/A</v>
      </c>
      <c r="E214" s="22" t="e">
        <f>VLOOKUP($A214,TAB_CORRECAO_U[[Q_DIAS_U_PARC_TIR]:[V_FUT_U_CORC-02]],E$5, FALSE)</f>
        <v>#N/A</v>
      </c>
      <c r="F214" s="22" t="e">
        <f>VLOOKUP($A214,TAB_AMORTIZACAO_U[[Q_DIAS_U_PARC_TIR]:[V_FUT_U_PCPL-02]], F$5, FALSE)</f>
        <v>#N/A</v>
      </c>
      <c r="H214" s="20">
        <f t="shared" si="22"/>
        <v>0</v>
      </c>
      <c r="I214" s="21">
        <f t="shared" si="23"/>
        <v>0</v>
      </c>
      <c r="J214" s="22" t="e">
        <f>VLOOKUP($A214, TAB_JUROS_C[[DIAS_CORRIDOS]:[V_FUT_UTEIS]], J$5, FALSE)</f>
        <v>#N/A</v>
      </c>
      <c r="K214" s="22" t="e">
        <f>VLOOKUP($A214, TAB_CORRECAO_C[[DIAS_CORRIDOS]:[V_FUT_UTEIS]],K$5, FALSE)</f>
        <v>#N/A</v>
      </c>
      <c r="L214" s="22" t="e">
        <f>VLOOKUP($A214, TAB_AMORTIZACAO_C[[DIAS_CORRIDOS]:[V_FUT_UTEIS]], L$5, FALSE)</f>
        <v>#N/A</v>
      </c>
    </row>
    <row r="215" spans="1:12" hidden="1">
      <c r="A215" s="19">
        <f t="shared" si="24"/>
        <v>209</v>
      </c>
      <c r="B215" s="20">
        <f t="shared" si="20"/>
        <v>0</v>
      </c>
      <c r="C215" s="21">
        <f t="shared" si="21"/>
        <v>0</v>
      </c>
      <c r="D215" s="22" t="e">
        <f>VLOOKUP($A215, TAB_JUROS_U[[Q_DIAS_U_PARC_TIR]:[V_FUT_U_JURS CENARIO]], D$5, FALSE)</f>
        <v>#N/A</v>
      </c>
      <c r="E215" s="22" t="e">
        <f>VLOOKUP($A215,TAB_CORRECAO_U[[Q_DIAS_U_PARC_TIR]:[V_FUT_U_CORC-02]],E$5, FALSE)</f>
        <v>#N/A</v>
      </c>
      <c r="F215" s="22" t="e">
        <f>VLOOKUP($A215,TAB_AMORTIZACAO_U[[Q_DIAS_U_PARC_TIR]:[V_FUT_U_PCPL-02]], F$5, FALSE)</f>
        <v>#N/A</v>
      </c>
      <c r="H215" s="20">
        <f t="shared" si="22"/>
        <v>0</v>
      </c>
      <c r="I215" s="21">
        <f t="shared" si="23"/>
        <v>0</v>
      </c>
      <c r="J215" s="22" t="e">
        <f>VLOOKUP($A215, TAB_JUROS_C[[DIAS_CORRIDOS]:[V_FUT_UTEIS]], J$5, FALSE)</f>
        <v>#N/A</v>
      </c>
      <c r="K215" s="22" t="e">
        <f>VLOOKUP($A215, TAB_CORRECAO_C[[DIAS_CORRIDOS]:[V_FUT_UTEIS]],K$5, FALSE)</f>
        <v>#N/A</v>
      </c>
      <c r="L215" s="22" t="e">
        <f>VLOOKUP($A215, TAB_AMORTIZACAO_C[[DIAS_CORRIDOS]:[V_FUT_UTEIS]], L$5, FALSE)</f>
        <v>#N/A</v>
      </c>
    </row>
    <row r="216" spans="1:12" hidden="1">
      <c r="A216" s="19">
        <f t="shared" si="24"/>
        <v>210</v>
      </c>
      <c r="B216" s="20">
        <f t="shared" si="20"/>
        <v>0</v>
      </c>
      <c r="C216" s="21">
        <f t="shared" si="21"/>
        <v>0</v>
      </c>
      <c r="D216" s="22" t="e">
        <f>VLOOKUP($A216, TAB_JUROS_U[[Q_DIAS_U_PARC_TIR]:[V_FUT_U_JURS CENARIO]], D$5, FALSE)</f>
        <v>#N/A</v>
      </c>
      <c r="E216" s="22" t="e">
        <f>VLOOKUP($A216,TAB_CORRECAO_U[[Q_DIAS_U_PARC_TIR]:[V_FUT_U_CORC-02]],E$5, FALSE)</f>
        <v>#N/A</v>
      </c>
      <c r="F216" s="22" t="e">
        <f>VLOOKUP($A216,TAB_AMORTIZACAO_U[[Q_DIAS_U_PARC_TIR]:[V_FUT_U_PCPL-02]], F$5, FALSE)</f>
        <v>#N/A</v>
      </c>
      <c r="H216" s="20">
        <f t="shared" si="22"/>
        <v>0</v>
      </c>
      <c r="I216" s="21">
        <f t="shared" si="23"/>
        <v>0</v>
      </c>
      <c r="J216" s="22" t="e">
        <f>VLOOKUP($A216, TAB_JUROS_C[[DIAS_CORRIDOS]:[V_FUT_UTEIS]], J$5, FALSE)</f>
        <v>#N/A</v>
      </c>
      <c r="K216" s="22" t="e">
        <f>VLOOKUP($A216, TAB_CORRECAO_C[[DIAS_CORRIDOS]:[V_FUT_UTEIS]],K$5, FALSE)</f>
        <v>#N/A</v>
      </c>
      <c r="L216" s="22" t="e">
        <f>VLOOKUP($A216, TAB_AMORTIZACAO_C[[DIAS_CORRIDOS]:[V_FUT_UTEIS]], L$5, FALSE)</f>
        <v>#N/A</v>
      </c>
    </row>
    <row r="217" spans="1:12" hidden="1">
      <c r="A217" s="19">
        <f t="shared" si="24"/>
        <v>211</v>
      </c>
      <c r="B217" s="20">
        <f t="shared" si="20"/>
        <v>0</v>
      </c>
      <c r="C217" s="21">
        <f t="shared" si="21"/>
        <v>0</v>
      </c>
      <c r="D217" s="22" t="e">
        <f>VLOOKUP($A217, TAB_JUROS_U[[Q_DIAS_U_PARC_TIR]:[V_FUT_U_JURS CENARIO]], D$5, FALSE)</f>
        <v>#N/A</v>
      </c>
      <c r="E217" s="22" t="e">
        <f>VLOOKUP($A217,TAB_CORRECAO_U[[Q_DIAS_U_PARC_TIR]:[V_FUT_U_CORC-02]],E$5, FALSE)</f>
        <v>#N/A</v>
      </c>
      <c r="F217" s="22" t="e">
        <f>VLOOKUP($A217,TAB_AMORTIZACAO_U[[Q_DIAS_U_PARC_TIR]:[V_FUT_U_PCPL-02]], F$5, FALSE)</f>
        <v>#N/A</v>
      </c>
      <c r="H217" s="20">
        <f t="shared" si="22"/>
        <v>0</v>
      </c>
      <c r="I217" s="21">
        <f t="shared" si="23"/>
        <v>0</v>
      </c>
      <c r="J217" s="22" t="e">
        <f>VLOOKUP($A217, TAB_JUROS_C[[DIAS_CORRIDOS]:[V_FUT_UTEIS]], J$5, FALSE)</f>
        <v>#N/A</v>
      </c>
      <c r="K217" s="22" t="e">
        <f>VLOOKUP($A217, TAB_CORRECAO_C[[DIAS_CORRIDOS]:[V_FUT_UTEIS]],K$5, FALSE)</f>
        <v>#N/A</v>
      </c>
      <c r="L217" s="22" t="e">
        <f>VLOOKUP($A217, TAB_AMORTIZACAO_C[[DIAS_CORRIDOS]:[V_FUT_UTEIS]], L$5, FALSE)</f>
        <v>#N/A</v>
      </c>
    </row>
    <row r="218" spans="1:12" hidden="1">
      <c r="A218" s="19">
        <f t="shared" si="24"/>
        <v>212</v>
      </c>
      <c r="B218" s="20">
        <f t="shared" si="20"/>
        <v>0</v>
      </c>
      <c r="C218" s="21">
        <f t="shared" si="21"/>
        <v>0</v>
      </c>
      <c r="D218" s="22" t="e">
        <f>VLOOKUP($A218, TAB_JUROS_U[[Q_DIAS_U_PARC_TIR]:[V_FUT_U_JURS CENARIO]], D$5, FALSE)</f>
        <v>#N/A</v>
      </c>
      <c r="E218" s="22" t="e">
        <f>VLOOKUP($A218,TAB_CORRECAO_U[[Q_DIAS_U_PARC_TIR]:[V_FUT_U_CORC-02]],E$5, FALSE)</f>
        <v>#N/A</v>
      </c>
      <c r="F218" s="22" t="e">
        <f>VLOOKUP($A218,TAB_AMORTIZACAO_U[[Q_DIAS_U_PARC_TIR]:[V_FUT_U_PCPL-02]], F$5, FALSE)</f>
        <v>#N/A</v>
      </c>
      <c r="H218" s="20">
        <f t="shared" si="22"/>
        <v>0</v>
      </c>
      <c r="I218" s="21">
        <f t="shared" si="23"/>
        <v>0</v>
      </c>
      <c r="J218" s="22" t="e">
        <f>VLOOKUP($A218, TAB_JUROS_C[[DIAS_CORRIDOS]:[V_FUT_UTEIS]], J$5, FALSE)</f>
        <v>#N/A</v>
      </c>
      <c r="K218" s="22" t="e">
        <f>VLOOKUP($A218, TAB_CORRECAO_C[[DIAS_CORRIDOS]:[V_FUT_UTEIS]],K$5, FALSE)</f>
        <v>#N/A</v>
      </c>
      <c r="L218" s="22" t="e">
        <f>VLOOKUP($A218, TAB_AMORTIZACAO_C[[DIAS_CORRIDOS]:[V_FUT_UTEIS]], L$5, FALSE)</f>
        <v>#N/A</v>
      </c>
    </row>
    <row r="219" spans="1:12" hidden="1">
      <c r="A219" s="19">
        <f t="shared" si="24"/>
        <v>213</v>
      </c>
      <c r="B219" s="20">
        <f t="shared" si="20"/>
        <v>0</v>
      </c>
      <c r="C219" s="21">
        <f t="shared" si="21"/>
        <v>0</v>
      </c>
      <c r="D219" s="22" t="e">
        <f>VLOOKUP($A219, TAB_JUROS_U[[Q_DIAS_U_PARC_TIR]:[V_FUT_U_JURS CENARIO]], D$5, FALSE)</f>
        <v>#N/A</v>
      </c>
      <c r="E219" s="22" t="e">
        <f>VLOOKUP($A219,TAB_CORRECAO_U[[Q_DIAS_U_PARC_TIR]:[V_FUT_U_CORC-02]],E$5, FALSE)</f>
        <v>#N/A</v>
      </c>
      <c r="F219" s="22" t="e">
        <f>VLOOKUP($A219,TAB_AMORTIZACAO_U[[Q_DIAS_U_PARC_TIR]:[V_FUT_U_PCPL-02]], F$5, FALSE)</f>
        <v>#N/A</v>
      </c>
      <c r="H219" s="20">
        <f t="shared" si="22"/>
        <v>0</v>
      </c>
      <c r="I219" s="21">
        <f t="shared" si="23"/>
        <v>0</v>
      </c>
      <c r="J219" s="22" t="e">
        <f>VLOOKUP($A219, TAB_JUROS_C[[DIAS_CORRIDOS]:[V_FUT_UTEIS]], J$5, FALSE)</f>
        <v>#N/A</v>
      </c>
      <c r="K219" s="22" t="e">
        <f>VLOOKUP($A219, TAB_CORRECAO_C[[DIAS_CORRIDOS]:[V_FUT_UTEIS]],K$5, FALSE)</f>
        <v>#N/A</v>
      </c>
      <c r="L219" s="22" t="e">
        <f>VLOOKUP($A219, TAB_AMORTIZACAO_C[[DIAS_CORRIDOS]:[V_FUT_UTEIS]], L$5, FALSE)</f>
        <v>#N/A</v>
      </c>
    </row>
    <row r="220" spans="1:12" hidden="1">
      <c r="A220" s="19">
        <f t="shared" si="24"/>
        <v>214</v>
      </c>
      <c r="B220" s="20">
        <f t="shared" si="20"/>
        <v>0</v>
      </c>
      <c r="C220" s="21">
        <f t="shared" si="21"/>
        <v>0</v>
      </c>
      <c r="D220" s="22" t="e">
        <f>VLOOKUP($A220, TAB_JUROS_U[[Q_DIAS_U_PARC_TIR]:[V_FUT_U_JURS CENARIO]], D$5, FALSE)</f>
        <v>#N/A</v>
      </c>
      <c r="E220" s="22" t="e">
        <f>VLOOKUP($A220,TAB_CORRECAO_U[[Q_DIAS_U_PARC_TIR]:[V_FUT_U_CORC-02]],E$5, FALSE)</f>
        <v>#N/A</v>
      </c>
      <c r="F220" s="22" t="e">
        <f>VLOOKUP($A220,TAB_AMORTIZACAO_U[[Q_DIAS_U_PARC_TIR]:[V_FUT_U_PCPL-02]], F$5, FALSE)</f>
        <v>#N/A</v>
      </c>
      <c r="H220" s="20">
        <f t="shared" si="22"/>
        <v>0</v>
      </c>
      <c r="I220" s="21">
        <f t="shared" si="23"/>
        <v>0</v>
      </c>
      <c r="J220" s="22" t="e">
        <f>VLOOKUP($A220, TAB_JUROS_C[[DIAS_CORRIDOS]:[V_FUT_UTEIS]], J$5, FALSE)</f>
        <v>#N/A</v>
      </c>
      <c r="K220" s="22" t="e">
        <f>VLOOKUP($A220, TAB_CORRECAO_C[[DIAS_CORRIDOS]:[V_FUT_UTEIS]],K$5, FALSE)</f>
        <v>#N/A</v>
      </c>
      <c r="L220" s="22" t="e">
        <f>VLOOKUP($A220, TAB_AMORTIZACAO_C[[DIAS_CORRIDOS]:[V_FUT_UTEIS]], L$5, FALSE)</f>
        <v>#N/A</v>
      </c>
    </row>
    <row r="221" spans="1:12" hidden="1">
      <c r="A221" s="19">
        <f t="shared" si="24"/>
        <v>215</v>
      </c>
      <c r="B221" s="20">
        <f t="shared" si="20"/>
        <v>0</v>
      </c>
      <c r="C221" s="21">
        <f t="shared" si="21"/>
        <v>0</v>
      </c>
      <c r="D221" s="22" t="e">
        <f>VLOOKUP($A221, TAB_JUROS_U[[Q_DIAS_U_PARC_TIR]:[V_FUT_U_JURS CENARIO]], D$5, FALSE)</f>
        <v>#N/A</v>
      </c>
      <c r="E221" s="22" t="e">
        <f>VLOOKUP($A221,TAB_CORRECAO_U[[Q_DIAS_U_PARC_TIR]:[V_FUT_U_CORC-02]],E$5, FALSE)</f>
        <v>#N/A</v>
      </c>
      <c r="F221" s="22" t="e">
        <f>VLOOKUP($A221,TAB_AMORTIZACAO_U[[Q_DIAS_U_PARC_TIR]:[V_FUT_U_PCPL-02]], F$5, FALSE)</f>
        <v>#N/A</v>
      </c>
      <c r="H221" s="20">
        <f t="shared" si="22"/>
        <v>0</v>
      </c>
      <c r="I221" s="21">
        <f t="shared" si="23"/>
        <v>0</v>
      </c>
      <c r="J221" s="22" t="e">
        <f>VLOOKUP($A221, TAB_JUROS_C[[DIAS_CORRIDOS]:[V_FUT_UTEIS]], J$5, FALSE)</f>
        <v>#N/A</v>
      </c>
      <c r="K221" s="22" t="e">
        <f>VLOOKUP($A221, TAB_CORRECAO_C[[DIAS_CORRIDOS]:[V_FUT_UTEIS]],K$5, FALSE)</f>
        <v>#N/A</v>
      </c>
      <c r="L221" s="22" t="e">
        <f>VLOOKUP($A221, TAB_AMORTIZACAO_C[[DIAS_CORRIDOS]:[V_FUT_UTEIS]], L$5, FALSE)</f>
        <v>#N/A</v>
      </c>
    </row>
    <row r="222" spans="1:12" hidden="1">
      <c r="A222" s="19">
        <f t="shared" si="24"/>
        <v>216</v>
      </c>
      <c r="B222" s="20">
        <f t="shared" si="20"/>
        <v>0</v>
      </c>
      <c r="C222" s="21">
        <f t="shared" si="21"/>
        <v>0</v>
      </c>
      <c r="D222" s="22" t="e">
        <f>VLOOKUP($A222, TAB_JUROS_U[[Q_DIAS_U_PARC_TIR]:[V_FUT_U_JURS CENARIO]], D$5, FALSE)</f>
        <v>#N/A</v>
      </c>
      <c r="E222" s="22" t="e">
        <f>VLOOKUP($A222,TAB_CORRECAO_U[[Q_DIAS_U_PARC_TIR]:[V_FUT_U_CORC-02]],E$5, FALSE)</f>
        <v>#N/A</v>
      </c>
      <c r="F222" s="22" t="e">
        <f>VLOOKUP($A222,TAB_AMORTIZACAO_U[[Q_DIAS_U_PARC_TIR]:[V_FUT_U_PCPL-02]], F$5, FALSE)</f>
        <v>#N/A</v>
      </c>
      <c r="H222" s="20">
        <f t="shared" si="22"/>
        <v>0</v>
      </c>
      <c r="I222" s="21">
        <f t="shared" si="23"/>
        <v>0</v>
      </c>
      <c r="J222" s="22" t="e">
        <f>VLOOKUP($A222, TAB_JUROS_C[[DIAS_CORRIDOS]:[V_FUT_UTEIS]], J$5, FALSE)</f>
        <v>#N/A</v>
      </c>
      <c r="K222" s="22" t="e">
        <f>VLOOKUP($A222, TAB_CORRECAO_C[[DIAS_CORRIDOS]:[V_FUT_UTEIS]],K$5, FALSE)</f>
        <v>#N/A</v>
      </c>
      <c r="L222" s="22" t="e">
        <f>VLOOKUP($A222, TAB_AMORTIZACAO_C[[DIAS_CORRIDOS]:[V_FUT_UTEIS]], L$5, FALSE)</f>
        <v>#N/A</v>
      </c>
    </row>
    <row r="223" spans="1:12" hidden="1">
      <c r="A223" s="19">
        <f t="shared" si="24"/>
        <v>217</v>
      </c>
      <c r="B223" s="20">
        <f t="shared" si="20"/>
        <v>0</v>
      </c>
      <c r="C223" s="21">
        <f t="shared" si="21"/>
        <v>0</v>
      </c>
      <c r="D223" s="22" t="e">
        <f>VLOOKUP($A223, TAB_JUROS_U[[Q_DIAS_U_PARC_TIR]:[V_FUT_U_JURS CENARIO]], D$5, FALSE)</f>
        <v>#N/A</v>
      </c>
      <c r="E223" s="22" t="e">
        <f>VLOOKUP($A223,TAB_CORRECAO_U[[Q_DIAS_U_PARC_TIR]:[V_FUT_U_CORC-02]],E$5, FALSE)</f>
        <v>#N/A</v>
      </c>
      <c r="F223" s="22" t="e">
        <f>VLOOKUP($A223,TAB_AMORTIZACAO_U[[Q_DIAS_U_PARC_TIR]:[V_FUT_U_PCPL-02]], F$5, FALSE)</f>
        <v>#N/A</v>
      </c>
      <c r="H223" s="20">
        <f t="shared" si="22"/>
        <v>0</v>
      </c>
      <c r="I223" s="21">
        <f t="shared" si="23"/>
        <v>0</v>
      </c>
      <c r="J223" s="22" t="e">
        <f>VLOOKUP($A223, TAB_JUROS_C[[DIAS_CORRIDOS]:[V_FUT_UTEIS]], J$5, FALSE)</f>
        <v>#N/A</v>
      </c>
      <c r="K223" s="22" t="e">
        <f>VLOOKUP($A223, TAB_CORRECAO_C[[DIAS_CORRIDOS]:[V_FUT_UTEIS]],K$5, FALSE)</f>
        <v>#N/A</v>
      </c>
      <c r="L223" s="22" t="e">
        <f>VLOOKUP($A223, TAB_AMORTIZACAO_C[[DIAS_CORRIDOS]:[V_FUT_UTEIS]], L$5, FALSE)</f>
        <v>#N/A</v>
      </c>
    </row>
    <row r="224" spans="1:12" hidden="1">
      <c r="A224" s="19">
        <f t="shared" si="24"/>
        <v>218</v>
      </c>
      <c r="B224" s="20">
        <f t="shared" si="20"/>
        <v>0</v>
      </c>
      <c r="C224" s="21">
        <f t="shared" si="21"/>
        <v>0</v>
      </c>
      <c r="D224" s="22" t="e">
        <f>VLOOKUP($A224, TAB_JUROS_U[[Q_DIAS_U_PARC_TIR]:[V_FUT_U_JURS CENARIO]], D$5, FALSE)</f>
        <v>#N/A</v>
      </c>
      <c r="E224" s="22" t="e">
        <f>VLOOKUP($A224,TAB_CORRECAO_U[[Q_DIAS_U_PARC_TIR]:[V_FUT_U_CORC-02]],E$5, FALSE)</f>
        <v>#N/A</v>
      </c>
      <c r="F224" s="22" t="e">
        <f>VLOOKUP($A224,TAB_AMORTIZACAO_U[[Q_DIAS_U_PARC_TIR]:[V_FUT_U_PCPL-02]], F$5, FALSE)</f>
        <v>#N/A</v>
      </c>
      <c r="H224" s="20">
        <f t="shared" si="22"/>
        <v>0</v>
      </c>
      <c r="I224" s="21">
        <f t="shared" si="23"/>
        <v>0</v>
      </c>
      <c r="J224" s="22" t="e">
        <f>VLOOKUP($A224, TAB_JUROS_C[[DIAS_CORRIDOS]:[V_FUT_UTEIS]], J$5, FALSE)</f>
        <v>#N/A</v>
      </c>
      <c r="K224" s="22" t="e">
        <f>VLOOKUP($A224, TAB_CORRECAO_C[[DIAS_CORRIDOS]:[V_FUT_UTEIS]],K$5, FALSE)</f>
        <v>#N/A</v>
      </c>
      <c r="L224" s="22" t="e">
        <f>VLOOKUP($A224, TAB_AMORTIZACAO_C[[DIAS_CORRIDOS]:[V_FUT_UTEIS]], L$5, FALSE)</f>
        <v>#N/A</v>
      </c>
    </row>
    <row r="225" spans="1:12" hidden="1">
      <c r="A225" s="19">
        <f t="shared" si="24"/>
        <v>219</v>
      </c>
      <c r="B225" s="20">
        <f t="shared" si="20"/>
        <v>0</v>
      </c>
      <c r="C225" s="21">
        <f t="shared" si="21"/>
        <v>0</v>
      </c>
      <c r="D225" s="22" t="e">
        <f>VLOOKUP($A225, TAB_JUROS_U[[Q_DIAS_U_PARC_TIR]:[V_FUT_U_JURS CENARIO]], D$5, FALSE)</f>
        <v>#N/A</v>
      </c>
      <c r="E225" s="22" t="e">
        <f>VLOOKUP($A225,TAB_CORRECAO_U[[Q_DIAS_U_PARC_TIR]:[V_FUT_U_CORC-02]],E$5, FALSE)</f>
        <v>#N/A</v>
      </c>
      <c r="F225" s="22" t="e">
        <f>VLOOKUP($A225,TAB_AMORTIZACAO_U[[Q_DIAS_U_PARC_TIR]:[V_FUT_U_PCPL-02]], F$5, FALSE)</f>
        <v>#N/A</v>
      </c>
      <c r="H225" s="20">
        <f t="shared" si="22"/>
        <v>0</v>
      </c>
      <c r="I225" s="21">
        <f t="shared" si="23"/>
        <v>0</v>
      </c>
      <c r="J225" s="22" t="e">
        <f>VLOOKUP($A225, TAB_JUROS_C[[DIAS_CORRIDOS]:[V_FUT_UTEIS]], J$5, FALSE)</f>
        <v>#N/A</v>
      </c>
      <c r="K225" s="22" t="e">
        <f>VLOOKUP($A225, TAB_CORRECAO_C[[DIAS_CORRIDOS]:[V_FUT_UTEIS]],K$5, FALSE)</f>
        <v>#N/A</v>
      </c>
      <c r="L225" s="22" t="e">
        <f>VLOOKUP($A225, TAB_AMORTIZACAO_C[[DIAS_CORRIDOS]:[V_FUT_UTEIS]], L$5, FALSE)</f>
        <v>#N/A</v>
      </c>
    </row>
    <row r="226" spans="1:12" hidden="1">
      <c r="A226" s="19">
        <f t="shared" si="24"/>
        <v>220</v>
      </c>
      <c r="B226" s="20">
        <f t="shared" si="20"/>
        <v>0</v>
      </c>
      <c r="C226" s="21">
        <f t="shared" si="21"/>
        <v>0</v>
      </c>
      <c r="D226" s="22" t="e">
        <f>VLOOKUP($A226, TAB_JUROS_U[[Q_DIAS_U_PARC_TIR]:[V_FUT_U_JURS CENARIO]], D$5, FALSE)</f>
        <v>#N/A</v>
      </c>
      <c r="E226" s="22" t="e">
        <f>VLOOKUP($A226,TAB_CORRECAO_U[[Q_DIAS_U_PARC_TIR]:[V_FUT_U_CORC-02]],E$5, FALSE)</f>
        <v>#N/A</v>
      </c>
      <c r="F226" s="22" t="e">
        <f>VLOOKUP($A226,TAB_AMORTIZACAO_U[[Q_DIAS_U_PARC_TIR]:[V_FUT_U_PCPL-02]], F$5, FALSE)</f>
        <v>#N/A</v>
      </c>
      <c r="H226" s="20">
        <f t="shared" si="22"/>
        <v>0</v>
      </c>
      <c r="I226" s="21">
        <f t="shared" si="23"/>
        <v>0</v>
      </c>
      <c r="J226" s="22" t="e">
        <f>VLOOKUP($A226, TAB_JUROS_C[[DIAS_CORRIDOS]:[V_FUT_UTEIS]], J$5, FALSE)</f>
        <v>#N/A</v>
      </c>
      <c r="K226" s="22" t="e">
        <f>VLOOKUP($A226, TAB_CORRECAO_C[[DIAS_CORRIDOS]:[V_FUT_UTEIS]],K$5, FALSE)</f>
        <v>#N/A</v>
      </c>
      <c r="L226" s="22" t="e">
        <f>VLOOKUP($A226, TAB_AMORTIZACAO_C[[DIAS_CORRIDOS]:[V_FUT_UTEIS]], L$5, FALSE)</f>
        <v>#N/A</v>
      </c>
    </row>
    <row r="227" spans="1:12" hidden="1">
      <c r="A227" s="19">
        <f t="shared" si="24"/>
        <v>221</v>
      </c>
      <c r="B227" s="20">
        <f t="shared" si="20"/>
        <v>0</v>
      </c>
      <c r="C227" s="21">
        <f t="shared" si="21"/>
        <v>0</v>
      </c>
      <c r="D227" s="22" t="e">
        <f>VLOOKUP($A227, TAB_JUROS_U[[Q_DIAS_U_PARC_TIR]:[V_FUT_U_JURS CENARIO]], D$5, FALSE)</f>
        <v>#N/A</v>
      </c>
      <c r="E227" s="22" t="e">
        <f>VLOOKUP($A227,TAB_CORRECAO_U[[Q_DIAS_U_PARC_TIR]:[V_FUT_U_CORC-02]],E$5, FALSE)</f>
        <v>#N/A</v>
      </c>
      <c r="F227" s="22" t="e">
        <f>VLOOKUP($A227,TAB_AMORTIZACAO_U[[Q_DIAS_U_PARC_TIR]:[V_FUT_U_PCPL-02]], F$5, FALSE)</f>
        <v>#N/A</v>
      </c>
      <c r="H227" s="20">
        <f t="shared" si="22"/>
        <v>0</v>
      </c>
      <c r="I227" s="21">
        <f t="shared" si="23"/>
        <v>0</v>
      </c>
      <c r="J227" s="22" t="e">
        <f>VLOOKUP($A227, TAB_JUROS_C[[DIAS_CORRIDOS]:[V_FUT_UTEIS]], J$5, FALSE)</f>
        <v>#N/A</v>
      </c>
      <c r="K227" s="22" t="e">
        <f>VLOOKUP($A227, TAB_CORRECAO_C[[DIAS_CORRIDOS]:[V_FUT_UTEIS]],K$5, FALSE)</f>
        <v>#N/A</v>
      </c>
      <c r="L227" s="22" t="e">
        <f>VLOOKUP($A227, TAB_AMORTIZACAO_C[[DIAS_CORRIDOS]:[V_FUT_UTEIS]], L$5, FALSE)</f>
        <v>#N/A</v>
      </c>
    </row>
    <row r="228" spans="1:12">
      <c r="A228" s="19">
        <f t="shared" si="24"/>
        <v>222</v>
      </c>
      <c r="B228" s="20">
        <f t="shared" si="20"/>
        <v>1918.8662244160232</v>
      </c>
      <c r="C228" s="21">
        <f t="shared" si="21"/>
        <v>1918.8662244160232</v>
      </c>
      <c r="D228" s="22">
        <f>VLOOKUP($A228, TAB_JUROS_U[[Q_DIAS_U_PARC_TIR]:[V_FUT_U_JURS CENARIO]], D$5, FALSE)</f>
        <v>158.05043911702776</v>
      </c>
      <c r="E228" s="22">
        <f>VLOOKUP($A228,TAB_CORRECAO_U[[Q_DIAS_U_PARC_TIR]:[V_FUT_U_CORC-02]],E$5, FALSE)</f>
        <v>981.08275287511231</v>
      </c>
      <c r="F228" s="22">
        <f>VLOOKUP($A228,TAB_AMORTIZACAO_U[[Q_DIAS_U_PARC_TIR]:[V_FUT_U_PCPL-02]], F$5, FALSE)</f>
        <v>779.73303242388317</v>
      </c>
      <c r="H228" s="20">
        <f t="shared" si="22"/>
        <v>0</v>
      </c>
      <c r="I228" s="21">
        <f t="shared" si="23"/>
        <v>0</v>
      </c>
      <c r="J228" s="22" t="e">
        <f>VLOOKUP($A228, TAB_JUROS_C[[DIAS_CORRIDOS]:[V_FUT_UTEIS]], J$5, FALSE)</f>
        <v>#N/A</v>
      </c>
      <c r="K228" s="22" t="e">
        <f>VLOOKUP($A228, TAB_CORRECAO_C[[DIAS_CORRIDOS]:[V_FUT_UTEIS]],K$5, FALSE)</f>
        <v>#N/A</v>
      </c>
      <c r="L228" s="22" t="e">
        <f>VLOOKUP($A228, TAB_AMORTIZACAO_C[[DIAS_CORRIDOS]:[V_FUT_UTEIS]], L$5, FALSE)</f>
        <v>#N/A</v>
      </c>
    </row>
    <row r="229" spans="1:12" hidden="1">
      <c r="A229" s="19">
        <f t="shared" si="24"/>
        <v>223</v>
      </c>
      <c r="B229" s="20">
        <f t="shared" si="20"/>
        <v>0</v>
      </c>
      <c r="C229" s="21">
        <f t="shared" si="21"/>
        <v>0</v>
      </c>
      <c r="D229" s="22" t="e">
        <f>VLOOKUP($A229, TAB_JUROS_U[[Q_DIAS_U_PARC_TIR]:[V_FUT_U_JURS CENARIO]], D$5, FALSE)</f>
        <v>#N/A</v>
      </c>
      <c r="E229" s="22" t="e">
        <f>VLOOKUP($A229,TAB_CORRECAO_U[[Q_DIAS_U_PARC_TIR]:[V_FUT_U_CORC-02]],E$5, FALSE)</f>
        <v>#N/A</v>
      </c>
      <c r="F229" s="22" t="e">
        <f>VLOOKUP($A229,TAB_AMORTIZACAO_U[[Q_DIAS_U_PARC_TIR]:[V_FUT_U_PCPL-02]], F$5, FALSE)</f>
        <v>#N/A</v>
      </c>
      <c r="H229" s="20">
        <f t="shared" si="22"/>
        <v>0</v>
      </c>
      <c r="I229" s="21">
        <f t="shared" si="23"/>
        <v>0</v>
      </c>
      <c r="J229" s="22" t="e">
        <f>VLOOKUP($A229, TAB_JUROS_C[[DIAS_CORRIDOS]:[V_FUT_UTEIS]], J$5, FALSE)</f>
        <v>#N/A</v>
      </c>
      <c r="K229" s="22" t="e">
        <f>VLOOKUP($A229, TAB_CORRECAO_C[[DIAS_CORRIDOS]:[V_FUT_UTEIS]],K$5, FALSE)</f>
        <v>#N/A</v>
      </c>
      <c r="L229" s="22" t="e">
        <f>VLOOKUP($A229, TAB_AMORTIZACAO_C[[DIAS_CORRIDOS]:[V_FUT_UTEIS]], L$5, FALSE)</f>
        <v>#N/A</v>
      </c>
    </row>
    <row r="230" spans="1:12" hidden="1">
      <c r="A230" s="19">
        <f t="shared" si="24"/>
        <v>224</v>
      </c>
      <c r="B230" s="20">
        <f t="shared" si="20"/>
        <v>0</v>
      </c>
      <c r="C230" s="21">
        <f t="shared" si="21"/>
        <v>0</v>
      </c>
      <c r="D230" s="22" t="e">
        <f>VLOOKUP($A230, TAB_JUROS_U[[Q_DIAS_U_PARC_TIR]:[V_FUT_U_JURS CENARIO]], D$5, FALSE)</f>
        <v>#N/A</v>
      </c>
      <c r="E230" s="22" t="e">
        <f>VLOOKUP($A230,TAB_CORRECAO_U[[Q_DIAS_U_PARC_TIR]:[V_FUT_U_CORC-02]],E$5, FALSE)</f>
        <v>#N/A</v>
      </c>
      <c r="F230" s="22" t="e">
        <f>VLOOKUP($A230,TAB_AMORTIZACAO_U[[Q_DIAS_U_PARC_TIR]:[V_FUT_U_PCPL-02]], F$5, FALSE)</f>
        <v>#N/A</v>
      </c>
      <c r="H230" s="20">
        <f t="shared" si="22"/>
        <v>2096.5922654888454</v>
      </c>
      <c r="I230" s="21">
        <f t="shared" si="23"/>
        <v>2096.5922654888454</v>
      </c>
      <c r="J230" s="22">
        <f>VLOOKUP($A230, TAB_JUROS_C[[DIAS_CORRIDOS]:[V_FUT_UTEIS]], J$5, FALSE)</f>
        <v>177.75463300327181</v>
      </c>
      <c r="K230" s="22">
        <f>VLOOKUP($A230, TAB_CORRECAO_C[[DIAS_CORRIDOS]:[V_FUT_UTEIS]],K$5, FALSE)</f>
        <v>1082.1273737677741</v>
      </c>
      <c r="L230" s="22">
        <f>VLOOKUP($A230, TAB_AMORTIZACAO_C[[DIAS_CORRIDOS]:[V_FUT_UTEIS]], L$5, FALSE)</f>
        <v>836.71025871779955</v>
      </c>
    </row>
    <row r="231" spans="1:12" hidden="1">
      <c r="A231" s="19">
        <f t="shared" si="24"/>
        <v>225</v>
      </c>
      <c r="B231" s="20">
        <f t="shared" si="20"/>
        <v>0</v>
      </c>
      <c r="C231" s="21">
        <f t="shared" si="21"/>
        <v>0</v>
      </c>
      <c r="D231" s="22" t="e">
        <f>VLOOKUP($A231, TAB_JUROS_U[[Q_DIAS_U_PARC_TIR]:[V_FUT_U_JURS CENARIO]], D$5, FALSE)</f>
        <v>#N/A</v>
      </c>
      <c r="E231" s="22" t="e">
        <f>VLOOKUP($A231,TAB_CORRECAO_U[[Q_DIAS_U_PARC_TIR]:[V_FUT_U_CORC-02]],E$5, FALSE)</f>
        <v>#N/A</v>
      </c>
      <c r="F231" s="22" t="e">
        <f>VLOOKUP($A231,TAB_AMORTIZACAO_U[[Q_DIAS_U_PARC_TIR]:[V_FUT_U_PCPL-02]], F$5, FALSE)</f>
        <v>#N/A</v>
      </c>
      <c r="H231" s="20">
        <f t="shared" si="22"/>
        <v>0</v>
      </c>
      <c r="I231" s="21">
        <f t="shared" si="23"/>
        <v>0</v>
      </c>
      <c r="J231" s="22" t="e">
        <f>VLOOKUP($A231, TAB_JUROS_C[[DIAS_CORRIDOS]:[V_FUT_UTEIS]], J$5, FALSE)</f>
        <v>#N/A</v>
      </c>
      <c r="K231" s="22" t="e">
        <f>VLOOKUP($A231, TAB_CORRECAO_C[[DIAS_CORRIDOS]:[V_FUT_UTEIS]],K$5, FALSE)</f>
        <v>#N/A</v>
      </c>
      <c r="L231" s="22" t="e">
        <f>VLOOKUP($A231, TAB_AMORTIZACAO_C[[DIAS_CORRIDOS]:[V_FUT_UTEIS]], L$5, FALSE)</f>
        <v>#N/A</v>
      </c>
    </row>
    <row r="232" spans="1:12" hidden="1">
      <c r="A232" s="19">
        <f t="shared" si="24"/>
        <v>226</v>
      </c>
      <c r="B232" s="20">
        <f t="shared" si="20"/>
        <v>0</v>
      </c>
      <c r="C232" s="21">
        <f t="shared" si="21"/>
        <v>0</v>
      </c>
      <c r="D232" s="22" t="e">
        <f>VLOOKUP($A232, TAB_JUROS_U[[Q_DIAS_U_PARC_TIR]:[V_FUT_U_JURS CENARIO]], D$5, FALSE)</f>
        <v>#N/A</v>
      </c>
      <c r="E232" s="22" t="e">
        <f>VLOOKUP($A232,TAB_CORRECAO_U[[Q_DIAS_U_PARC_TIR]:[V_FUT_U_CORC-02]],E$5, FALSE)</f>
        <v>#N/A</v>
      </c>
      <c r="F232" s="22" t="e">
        <f>VLOOKUP($A232,TAB_AMORTIZACAO_U[[Q_DIAS_U_PARC_TIR]:[V_FUT_U_PCPL-02]], F$5, FALSE)</f>
        <v>#N/A</v>
      </c>
      <c r="H232" s="20">
        <f t="shared" si="22"/>
        <v>0</v>
      </c>
      <c r="I232" s="21">
        <f t="shared" si="23"/>
        <v>0</v>
      </c>
      <c r="J232" s="22" t="e">
        <f>VLOOKUP($A232, TAB_JUROS_C[[DIAS_CORRIDOS]:[V_FUT_UTEIS]], J$5, FALSE)</f>
        <v>#N/A</v>
      </c>
      <c r="K232" s="22" t="e">
        <f>VLOOKUP($A232, TAB_CORRECAO_C[[DIAS_CORRIDOS]:[V_FUT_UTEIS]],K$5, FALSE)</f>
        <v>#N/A</v>
      </c>
      <c r="L232" s="22" t="e">
        <f>VLOOKUP($A232, TAB_AMORTIZACAO_C[[DIAS_CORRIDOS]:[V_FUT_UTEIS]], L$5, FALSE)</f>
        <v>#N/A</v>
      </c>
    </row>
    <row r="233" spans="1:12" hidden="1">
      <c r="A233" s="19">
        <f t="shared" si="24"/>
        <v>227</v>
      </c>
      <c r="B233" s="20">
        <f t="shared" si="20"/>
        <v>0</v>
      </c>
      <c r="C233" s="21">
        <f t="shared" si="21"/>
        <v>0</v>
      </c>
      <c r="D233" s="22" t="e">
        <f>VLOOKUP($A233, TAB_JUROS_U[[Q_DIAS_U_PARC_TIR]:[V_FUT_U_JURS CENARIO]], D$5, FALSE)</f>
        <v>#N/A</v>
      </c>
      <c r="E233" s="22" t="e">
        <f>VLOOKUP($A233,TAB_CORRECAO_U[[Q_DIAS_U_PARC_TIR]:[V_FUT_U_CORC-02]],E$5, FALSE)</f>
        <v>#N/A</v>
      </c>
      <c r="F233" s="22" t="e">
        <f>VLOOKUP($A233,TAB_AMORTIZACAO_U[[Q_DIAS_U_PARC_TIR]:[V_FUT_U_PCPL-02]], F$5, FALSE)</f>
        <v>#N/A</v>
      </c>
      <c r="H233" s="20">
        <f t="shared" si="22"/>
        <v>0</v>
      </c>
      <c r="I233" s="21">
        <f t="shared" si="23"/>
        <v>0</v>
      </c>
      <c r="J233" s="22" t="e">
        <f>VLOOKUP($A233, TAB_JUROS_C[[DIAS_CORRIDOS]:[V_FUT_UTEIS]], J$5, FALSE)</f>
        <v>#N/A</v>
      </c>
      <c r="K233" s="22" t="e">
        <f>VLOOKUP($A233, TAB_CORRECAO_C[[DIAS_CORRIDOS]:[V_FUT_UTEIS]],K$5, FALSE)</f>
        <v>#N/A</v>
      </c>
      <c r="L233" s="22" t="e">
        <f>VLOOKUP($A233, TAB_AMORTIZACAO_C[[DIAS_CORRIDOS]:[V_FUT_UTEIS]], L$5, FALSE)</f>
        <v>#N/A</v>
      </c>
    </row>
    <row r="234" spans="1:12" hidden="1">
      <c r="A234" s="19">
        <f t="shared" si="24"/>
        <v>228</v>
      </c>
      <c r="B234" s="20">
        <f t="shared" si="20"/>
        <v>0</v>
      </c>
      <c r="C234" s="21">
        <f t="shared" si="21"/>
        <v>0</v>
      </c>
      <c r="D234" s="22" t="e">
        <f>VLOOKUP($A234, TAB_JUROS_U[[Q_DIAS_U_PARC_TIR]:[V_FUT_U_JURS CENARIO]], D$5, FALSE)</f>
        <v>#N/A</v>
      </c>
      <c r="E234" s="22" t="e">
        <f>VLOOKUP($A234,TAB_CORRECAO_U[[Q_DIAS_U_PARC_TIR]:[V_FUT_U_CORC-02]],E$5, FALSE)</f>
        <v>#N/A</v>
      </c>
      <c r="F234" s="22" t="e">
        <f>VLOOKUP($A234,TAB_AMORTIZACAO_U[[Q_DIAS_U_PARC_TIR]:[V_FUT_U_PCPL-02]], F$5, FALSE)</f>
        <v>#N/A</v>
      </c>
      <c r="H234" s="20">
        <f t="shared" si="22"/>
        <v>0</v>
      </c>
      <c r="I234" s="21">
        <f t="shared" si="23"/>
        <v>0</v>
      </c>
      <c r="J234" s="22" t="e">
        <f>VLOOKUP($A234, TAB_JUROS_C[[DIAS_CORRIDOS]:[V_FUT_UTEIS]], J$5, FALSE)</f>
        <v>#N/A</v>
      </c>
      <c r="K234" s="22" t="e">
        <f>VLOOKUP($A234, TAB_CORRECAO_C[[DIAS_CORRIDOS]:[V_FUT_UTEIS]],K$5, FALSE)</f>
        <v>#N/A</v>
      </c>
      <c r="L234" s="22" t="e">
        <f>VLOOKUP($A234, TAB_AMORTIZACAO_C[[DIAS_CORRIDOS]:[V_FUT_UTEIS]], L$5, FALSE)</f>
        <v>#N/A</v>
      </c>
    </row>
    <row r="235" spans="1:12" hidden="1">
      <c r="A235" s="19">
        <f t="shared" si="24"/>
        <v>229</v>
      </c>
      <c r="B235" s="20">
        <f t="shared" si="20"/>
        <v>0</v>
      </c>
      <c r="C235" s="21">
        <f t="shared" si="21"/>
        <v>0</v>
      </c>
      <c r="D235" s="22" t="e">
        <f>VLOOKUP($A235, TAB_JUROS_U[[Q_DIAS_U_PARC_TIR]:[V_FUT_U_JURS CENARIO]], D$5, FALSE)</f>
        <v>#N/A</v>
      </c>
      <c r="E235" s="22" t="e">
        <f>VLOOKUP($A235,TAB_CORRECAO_U[[Q_DIAS_U_PARC_TIR]:[V_FUT_U_CORC-02]],E$5, FALSE)</f>
        <v>#N/A</v>
      </c>
      <c r="F235" s="22" t="e">
        <f>VLOOKUP($A235,TAB_AMORTIZACAO_U[[Q_DIAS_U_PARC_TIR]:[V_FUT_U_PCPL-02]], F$5, FALSE)</f>
        <v>#N/A</v>
      </c>
      <c r="H235" s="20">
        <f t="shared" si="22"/>
        <v>0</v>
      </c>
      <c r="I235" s="21">
        <f t="shared" si="23"/>
        <v>0</v>
      </c>
      <c r="J235" s="22" t="e">
        <f>VLOOKUP($A235, TAB_JUROS_C[[DIAS_CORRIDOS]:[V_FUT_UTEIS]], J$5, FALSE)</f>
        <v>#N/A</v>
      </c>
      <c r="K235" s="22" t="e">
        <f>VLOOKUP($A235, TAB_CORRECAO_C[[DIAS_CORRIDOS]:[V_FUT_UTEIS]],K$5, FALSE)</f>
        <v>#N/A</v>
      </c>
      <c r="L235" s="22" t="e">
        <f>VLOOKUP($A235, TAB_AMORTIZACAO_C[[DIAS_CORRIDOS]:[V_FUT_UTEIS]], L$5, FALSE)</f>
        <v>#N/A</v>
      </c>
    </row>
    <row r="236" spans="1:12" hidden="1">
      <c r="A236" s="19">
        <f t="shared" si="24"/>
        <v>230</v>
      </c>
      <c r="B236" s="20">
        <f t="shared" si="20"/>
        <v>0</v>
      </c>
      <c r="C236" s="21">
        <f t="shared" si="21"/>
        <v>0</v>
      </c>
      <c r="D236" s="22" t="e">
        <f>VLOOKUP($A236, TAB_JUROS_U[[Q_DIAS_U_PARC_TIR]:[V_FUT_U_JURS CENARIO]], D$5, FALSE)</f>
        <v>#N/A</v>
      </c>
      <c r="E236" s="22" t="e">
        <f>VLOOKUP($A236,TAB_CORRECAO_U[[Q_DIAS_U_PARC_TIR]:[V_FUT_U_CORC-02]],E$5, FALSE)</f>
        <v>#N/A</v>
      </c>
      <c r="F236" s="22" t="e">
        <f>VLOOKUP($A236,TAB_AMORTIZACAO_U[[Q_DIAS_U_PARC_TIR]:[V_FUT_U_PCPL-02]], F$5, FALSE)</f>
        <v>#N/A</v>
      </c>
      <c r="H236" s="20">
        <f t="shared" si="22"/>
        <v>0</v>
      </c>
      <c r="I236" s="21">
        <f t="shared" si="23"/>
        <v>0</v>
      </c>
      <c r="J236" s="22" t="e">
        <f>VLOOKUP($A236, TAB_JUROS_C[[DIAS_CORRIDOS]:[V_FUT_UTEIS]], J$5, FALSE)</f>
        <v>#N/A</v>
      </c>
      <c r="K236" s="22" t="e">
        <f>VLOOKUP($A236, TAB_CORRECAO_C[[DIAS_CORRIDOS]:[V_FUT_UTEIS]],K$5, FALSE)</f>
        <v>#N/A</v>
      </c>
      <c r="L236" s="22" t="e">
        <f>VLOOKUP($A236, TAB_AMORTIZACAO_C[[DIAS_CORRIDOS]:[V_FUT_UTEIS]], L$5, FALSE)</f>
        <v>#N/A</v>
      </c>
    </row>
    <row r="237" spans="1:12" hidden="1">
      <c r="A237" s="19">
        <f t="shared" si="24"/>
        <v>231</v>
      </c>
      <c r="B237" s="20">
        <f t="shared" si="20"/>
        <v>0</v>
      </c>
      <c r="C237" s="21">
        <f t="shared" si="21"/>
        <v>0</v>
      </c>
      <c r="D237" s="22" t="e">
        <f>VLOOKUP($A237, TAB_JUROS_U[[Q_DIAS_U_PARC_TIR]:[V_FUT_U_JURS CENARIO]], D$5, FALSE)</f>
        <v>#N/A</v>
      </c>
      <c r="E237" s="22" t="e">
        <f>VLOOKUP($A237,TAB_CORRECAO_U[[Q_DIAS_U_PARC_TIR]:[V_FUT_U_CORC-02]],E$5, FALSE)</f>
        <v>#N/A</v>
      </c>
      <c r="F237" s="22" t="e">
        <f>VLOOKUP($A237,TAB_AMORTIZACAO_U[[Q_DIAS_U_PARC_TIR]:[V_FUT_U_PCPL-02]], F$5, FALSE)</f>
        <v>#N/A</v>
      </c>
      <c r="H237" s="20">
        <f t="shared" si="22"/>
        <v>0</v>
      </c>
      <c r="I237" s="21">
        <f t="shared" si="23"/>
        <v>0</v>
      </c>
      <c r="J237" s="22" t="e">
        <f>VLOOKUP($A237, TAB_JUROS_C[[DIAS_CORRIDOS]:[V_FUT_UTEIS]], J$5, FALSE)</f>
        <v>#N/A</v>
      </c>
      <c r="K237" s="22" t="e">
        <f>VLOOKUP($A237, TAB_CORRECAO_C[[DIAS_CORRIDOS]:[V_FUT_UTEIS]],K$5, FALSE)</f>
        <v>#N/A</v>
      </c>
      <c r="L237" s="22" t="e">
        <f>VLOOKUP($A237, TAB_AMORTIZACAO_C[[DIAS_CORRIDOS]:[V_FUT_UTEIS]], L$5, FALSE)</f>
        <v>#N/A</v>
      </c>
    </row>
    <row r="238" spans="1:12" hidden="1">
      <c r="A238" s="19">
        <f t="shared" si="24"/>
        <v>232</v>
      </c>
      <c r="B238" s="20">
        <f t="shared" si="20"/>
        <v>0</v>
      </c>
      <c r="C238" s="21">
        <f t="shared" si="21"/>
        <v>0</v>
      </c>
      <c r="D238" s="22" t="e">
        <f>VLOOKUP($A238, TAB_JUROS_U[[Q_DIAS_U_PARC_TIR]:[V_FUT_U_JURS CENARIO]], D$5, FALSE)</f>
        <v>#N/A</v>
      </c>
      <c r="E238" s="22" t="e">
        <f>VLOOKUP($A238,TAB_CORRECAO_U[[Q_DIAS_U_PARC_TIR]:[V_FUT_U_CORC-02]],E$5, FALSE)</f>
        <v>#N/A</v>
      </c>
      <c r="F238" s="22" t="e">
        <f>VLOOKUP($A238,TAB_AMORTIZACAO_U[[Q_DIAS_U_PARC_TIR]:[V_FUT_U_PCPL-02]], F$5, FALSE)</f>
        <v>#N/A</v>
      </c>
      <c r="H238" s="20">
        <f t="shared" si="22"/>
        <v>0</v>
      </c>
      <c r="I238" s="21">
        <f t="shared" si="23"/>
        <v>0</v>
      </c>
      <c r="J238" s="22" t="e">
        <f>VLOOKUP($A238, TAB_JUROS_C[[DIAS_CORRIDOS]:[V_FUT_UTEIS]], J$5, FALSE)</f>
        <v>#N/A</v>
      </c>
      <c r="K238" s="22" t="e">
        <f>VLOOKUP($A238, TAB_CORRECAO_C[[DIAS_CORRIDOS]:[V_FUT_UTEIS]],K$5, FALSE)</f>
        <v>#N/A</v>
      </c>
      <c r="L238" s="22" t="e">
        <f>VLOOKUP($A238, TAB_AMORTIZACAO_C[[DIAS_CORRIDOS]:[V_FUT_UTEIS]], L$5, FALSE)</f>
        <v>#N/A</v>
      </c>
    </row>
    <row r="239" spans="1:12" hidden="1">
      <c r="A239" s="19">
        <f t="shared" si="24"/>
        <v>233</v>
      </c>
      <c r="B239" s="20">
        <f t="shared" si="20"/>
        <v>0</v>
      </c>
      <c r="C239" s="21">
        <f t="shared" si="21"/>
        <v>0</v>
      </c>
      <c r="D239" s="22" t="e">
        <f>VLOOKUP($A239, TAB_JUROS_U[[Q_DIAS_U_PARC_TIR]:[V_FUT_U_JURS CENARIO]], D$5, FALSE)</f>
        <v>#N/A</v>
      </c>
      <c r="E239" s="22" t="e">
        <f>VLOOKUP($A239,TAB_CORRECAO_U[[Q_DIAS_U_PARC_TIR]:[V_FUT_U_CORC-02]],E$5, FALSE)</f>
        <v>#N/A</v>
      </c>
      <c r="F239" s="22" t="e">
        <f>VLOOKUP($A239,TAB_AMORTIZACAO_U[[Q_DIAS_U_PARC_TIR]:[V_FUT_U_PCPL-02]], F$5, FALSE)</f>
        <v>#N/A</v>
      </c>
      <c r="H239" s="20">
        <f t="shared" si="22"/>
        <v>0</v>
      </c>
      <c r="I239" s="21">
        <f t="shared" si="23"/>
        <v>0</v>
      </c>
      <c r="J239" s="22" t="e">
        <f>VLOOKUP($A239, TAB_JUROS_C[[DIAS_CORRIDOS]:[V_FUT_UTEIS]], J$5, FALSE)</f>
        <v>#N/A</v>
      </c>
      <c r="K239" s="22" t="e">
        <f>VLOOKUP($A239, TAB_CORRECAO_C[[DIAS_CORRIDOS]:[V_FUT_UTEIS]],K$5, FALSE)</f>
        <v>#N/A</v>
      </c>
      <c r="L239" s="22" t="e">
        <f>VLOOKUP($A239, TAB_AMORTIZACAO_C[[DIAS_CORRIDOS]:[V_FUT_UTEIS]], L$5, FALSE)</f>
        <v>#N/A</v>
      </c>
    </row>
    <row r="240" spans="1:12" hidden="1">
      <c r="A240" s="19">
        <f t="shared" si="24"/>
        <v>234</v>
      </c>
      <c r="B240" s="20">
        <f t="shared" si="20"/>
        <v>0</v>
      </c>
      <c r="C240" s="21">
        <f t="shared" si="21"/>
        <v>0</v>
      </c>
      <c r="D240" s="22" t="e">
        <f>VLOOKUP($A240, TAB_JUROS_U[[Q_DIAS_U_PARC_TIR]:[V_FUT_U_JURS CENARIO]], D$5, FALSE)</f>
        <v>#N/A</v>
      </c>
      <c r="E240" s="22" t="e">
        <f>VLOOKUP($A240,TAB_CORRECAO_U[[Q_DIAS_U_PARC_TIR]:[V_FUT_U_CORC-02]],E$5, FALSE)</f>
        <v>#N/A</v>
      </c>
      <c r="F240" s="22" t="e">
        <f>VLOOKUP($A240,TAB_AMORTIZACAO_U[[Q_DIAS_U_PARC_TIR]:[V_FUT_U_PCPL-02]], F$5, FALSE)</f>
        <v>#N/A</v>
      </c>
      <c r="H240" s="20">
        <f t="shared" si="22"/>
        <v>0</v>
      </c>
      <c r="I240" s="21">
        <f t="shared" si="23"/>
        <v>0</v>
      </c>
      <c r="J240" s="22" t="e">
        <f>VLOOKUP($A240, TAB_JUROS_C[[DIAS_CORRIDOS]:[V_FUT_UTEIS]], J$5, FALSE)</f>
        <v>#N/A</v>
      </c>
      <c r="K240" s="22" t="e">
        <f>VLOOKUP($A240, TAB_CORRECAO_C[[DIAS_CORRIDOS]:[V_FUT_UTEIS]],K$5, FALSE)</f>
        <v>#N/A</v>
      </c>
      <c r="L240" s="22" t="e">
        <f>VLOOKUP($A240, TAB_AMORTIZACAO_C[[DIAS_CORRIDOS]:[V_FUT_UTEIS]], L$5, FALSE)</f>
        <v>#N/A</v>
      </c>
    </row>
    <row r="241" spans="1:12" hidden="1">
      <c r="A241" s="19">
        <f t="shared" si="24"/>
        <v>235</v>
      </c>
      <c r="B241" s="20">
        <f t="shared" si="20"/>
        <v>0</v>
      </c>
      <c r="C241" s="21">
        <f t="shared" si="21"/>
        <v>0</v>
      </c>
      <c r="D241" s="22" t="e">
        <f>VLOOKUP($A241, TAB_JUROS_U[[Q_DIAS_U_PARC_TIR]:[V_FUT_U_JURS CENARIO]], D$5, FALSE)</f>
        <v>#N/A</v>
      </c>
      <c r="E241" s="22" t="e">
        <f>VLOOKUP($A241,TAB_CORRECAO_U[[Q_DIAS_U_PARC_TIR]:[V_FUT_U_CORC-02]],E$5, FALSE)</f>
        <v>#N/A</v>
      </c>
      <c r="F241" s="22" t="e">
        <f>VLOOKUP($A241,TAB_AMORTIZACAO_U[[Q_DIAS_U_PARC_TIR]:[V_FUT_U_PCPL-02]], F$5, FALSE)</f>
        <v>#N/A</v>
      </c>
      <c r="H241" s="20">
        <f t="shared" si="22"/>
        <v>0</v>
      </c>
      <c r="I241" s="21">
        <f t="shared" si="23"/>
        <v>0</v>
      </c>
      <c r="J241" s="22" t="e">
        <f>VLOOKUP($A241, TAB_JUROS_C[[DIAS_CORRIDOS]:[V_FUT_UTEIS]], J$5, FALSE)</f>
        <v>#N/A</v>
      </c>
      <c r="K241" s="22" t="e">
        <f>VLOOKUP($A241, TAB_CORRECAO_C[[DIAS_CORRIDOS]:[V_FUT_UTEIS]],K$5, FALSE)</f>
        <v>#N/A</v>
      </c>
      <c r="L241" s="22" t="e">
        <f>VLOOKUP($A241, TAB_AMORTIZACAO_C[[DIAS_CORRIDOS]:[V_FUT_UTEIS]], L$5, FALSE)</f>
        <v>#N/A</v>
      </c>
    </row>
    <row r="242" spans="1:12" hidden="1">
      <c r="A242" s="19">
        <f t="shared" si="24"/>
        <v>236</v>
      </c>
      <c r="B242" s="20">
        <f t="shared" si="20"/>
        <v>0</v>
      </c>
      <c r="C242" s="21">
        <f t="shared" si="21"/>
        <v>0</v>
      </c>
      <c r="D242" s="22" t="e">
        <f>VLOOKUP($A242, TAB_JUROS_U[[Q_DIAS_U_PARC_TIR]:[V_FUT_U_JURS CENARIO]], D$5, FALSE)</f>
        <v>#N/A</v>
      </c>
      <c r="E242" s="22" t="e">
        <f>VLOOKUP($A242,TAB_CORRECAO_U[[Q_DIAS_U_PARC_TIR]:[V_FUT_U_CORC-02]],E$5, FALSE)</f>
        <v>#N/A</v>
      </c>
      <c r="F242" s="22" t="e">
        <f>VLOOKUP($A242,TAB_AMORTIZACAO_U[[Q_DIAS_U_PARC_TIR]:[V_FUT_U_PCPL-02]], F$5, FALSE)</f>
        <v>#N/A</v>
      </c>
      <c r="H242" s="20">
        <f t="shared" si="22"/>
        <v>0</v>
      </c>
      <c r="I242" s="21">
        <f t="shared" si="23"/>
        <v>0</v>
      </c>
      <c r="J242" s="22" t="e">
        <f>VLOOKUP($A242, TAB_JUROS_C[[DIAS_CORRIDOS]:[V_FUT_UTEIS]], J$5, FALSE)</f>
        <v>#N/A</v>
      </c>
      <c r="K242" s="22" t="e">
        <f>VLOOKUP($A242, TAB_CORRECAO_C[[DIAS_CORRIDOS]:[V_FUT_UTEIS]],K$5, FALSE)</f>
        <v>#N/A</v>
      </c>
      <c r="L242" s="22" t="e">
        <f>VLOOKUP($A242, TAB_AMORTIZACAO_C[[DIAS_CORRIDOS]:[V_FUT_UTEIS]], L$5, FALSE)</f>
        <v>#N/A</v>
      </c>
    </row>
    <row r="243" spans="1:12" hidden="1">
      <c r="A243" s="19">
        <f t="shared" si="24"/>
        <v>237</v>
      </c>
      <c r="B243" s="20">
        <f t="shared" si="20"/>
        <v>0</v>
      </c>
      <c r="C243" s="21">
        <f t="shared" si="21"/>
        <v>0</v>
      </c>
      <c r="D243" s="22" t="e">
        <f>VLOOKUP($A243, TAB_JUROS_U[[Q_DIAS_U_PARC_TIR]:[V_FUT_U_JURS CENARIO]], D$5, FALSE)</f>
        <v>#N/A</v>
      </c>
      <c r="E243" s="22" t="e">
        <f>VLOOKUP($A243,TAB_CORRECAO_U[[Q_DIAS_U_PARC_TIR]:[V_FUT_U_CORC-02]],E$5, FALSE)</f>
        <v>#N/A</v>
      </c>
      <c r="F243" s="22" t="e">
        <f>VLOOKUP($A243,TAB_AMORTIZACAO_U[[Q_DIAS_U_PARC_TIR]:[V_FUT_U_PCPL-02]], F$5, FALSE)</f>
        <v>#N/A</v>
      </c>
      <c r="H243" s="20">
        <f t="shared" si="22"/>
        <v>0</v>
      </c>
      <c r="I243" s="21">
        <f t="shared" si="23"/>
        <v>0</v>
      </c>
      <c r="J243" s="22" t="e">
        <f>VLOOKUP($A243, TAB_JUROS_C[[DIAS_CORRIDOS]:[V_FUT_UTEIS]], J$5, FALSE)</f>
        <v>#N/A</v>
      </c>
      <c r="K243" s="22" t="e">
        <f>VLOOKUP($A243, TAB_CORRECAO_C[[DIAS_CORRIDOS]:[V_FUT_UTEIS]],K$5, FALSE)</f>
        <v>#N/A</v>
      </c>
      <c r="L243" s="22" t="e">
        <f>VLOOKUP($A243, TAB_AMORTIZACAO_C[[DIAS_CORRIDOS]:[V_FUT_UTEIS]], L$5, FALSE)</f>
        <v>#N/A</v>
      </c>
    </row>
    <row r="244" spans="1:12" hidden="1">
      <c r="A244" s="19">
        <f t="shared" si="24"/>
        <v>238</v>
      </c>
      <c r="B244" s="20">
        <f t="shared" si="20"/>
        <v>0</v>
      </c>
      <c r="C244" s="21">
        <f t="shared" si="21"/>
        <v>0</v>
      </c>
      <c r="D244" s="22" t="e">
        <f>VLOOKUP($A244, TAB_JUROS_U[[Q_DIAS_U_PARC_TIR]:[V_FUT_U_JURS CENARIO]], D$5, FALSE)</f>
        <v>#N/A</v>
      </c>
      <c r="E244" s="22" t="e">
        <f>VLOOKUP($A244,TAB_CORRECAO_U[[Q_DIAS_U_PARC_TIR]:[V_FUT_U_CORC-02]],E$5, FALSE)</f>
        <v>#N/A</v>
      </c>
      <c r="F244" s="22" t="e">
        <f>VLOOKUP($A244,TAB_AMORTIZACAO_U[[Q_DIAS_U_PARC_TIR]:[V_FUT_U_PCPL-02]], F$5, FALSE)</f>
        <v>#N/A</v>
      </c>
      <c r="H244" s="20">
        <f t="shared" si="22"/>
        <v>0</v>
      </c>
      <c r="I244" s="21">
        <f t="shared" si="23"/>
        <v>0</v>
      </c>
      <c r="J244" s="22" t="e">
        <f>VLOOKUP($A244, TAB_JUROS_C[[DIAS_CORRIDOS]:[V_FUT_UTEIS]], J$5, FALSE)</f>
        <v>#N/A</v>
      </c>
      <c r="K244" s="22" t="e">
        <f>VLOOKUP($A244, TAB_CORRECAO_C[[DIAS_CORRIDOS]:[V_FUT_UTEIS]],K$5, FALSE)</f>
        <v>#N/A</v>
      </c>
      <c r="L244" s="22" t="e">
        <f>VLOOKUP($A244, TAB_AMORTIZACAO_C[[DIAS_CORRIDOS]:[V_FUT_UTEIS]], L$5, FALSE)</f>
        <v>#N/A</v>
      </c>
    </row>
    <row r="245" spans="1:12" hidden="1">
      <c r="A245" s="19">
        <f t="shared" si="24"/>
        <v>239</v>
      </c>
      <c r="B245" s="20">
        <f t="shared" si="20"/>
        <v>0</v>
      </c>
      <c r="C245" s="21">
        <f t="shared" si="21"/>
        <v>0</v>
      </c>
      <c r="D245" s="22" t="e">
        <f>VLOOKUP($A245, TAB_JUROS_U[[Q_DIAS_U_PARC_TIR]:[V_FUT_U_JURS CENARIO]], D$5, FALSE)</f>
        <v>#N/A</v>
      </c>
      <c r="E245" s="22" t="e">
        <f>VLOOKUP($A245,TAB_CORRECAO_U[[Q_DIAS_U_PARC_TIR]:[V_FUT_U_CORC-02]],E$5, FALSE)</f>
        <v>#N/A</v>
      </c>
      <c r="F245" s="22" t="e">
        <f>VLOOKUP($A245,TAB_AMORTIZACAO_U[[Q_DIAS_U_PARC_TIR]:[V_FUT_U_PCPL-02]], F$5, FALSE)</f>
        <v>#N/A</v>
      </c>
      <c r="H245" s="20">
        <f t="shared" si="22"/>
        <v>0</v>
      </c>
      <c r="I245" s="21">
        <f t="shared" si="23"/>
        <v>0</v>
      </c>
      <c r="J245" s="22" t="e">
        <f>VLOOKUP($A245, TAB_JUROS_C[[DIAS_CORRIDOS]:[V_FUT_UTEIS]], J$5, FALSE)</f>
        <v>#N/A</v>
      </c>
      <c r="K245" s="22" t="e">
        <f>VLOOKUP($A245, TAB_CORRECAO_C[[DIAS_CORRIDOS]:[V_FUT_UTEIS]],K$5, FALSE)</f>
        <v>#N/A</v>
      </c>
      <c r="L245" s="22" t="e">
        <f>VLOOKUP($A245, TAB_AMORTIZACAO_C[[DIAS_CORRIDOS]:[V_FUT_UTEIS]], L$5, FALSE)</f>
        <v>#N/A</v>
      </c>
    </row>
    <row r="246" spans="1:12" hidden="1">
      <c r="A246" s="19">
        <f t="shared" si="24"/>
        <v>240</v>
      </c>
      <c r="B246" s="20">
        <f t="shared" si="20"/>
        <v>0</v>
      </c>
      <c r="C246" s="21">
        <f t="shared" si="21"/>
        <v>0</v>
      </c>
      <c r="D246" s="22" t="e">
        <f>VLOOKUP($A246, TAB_JUROS_U[[Q_DIAS_U_PARC_TIR]:[V_FUT_U_JURS CENARIO]], D$5, FALSE)</f>
        <v>#N/A</v>
      </c>
      <c r="E246" s="22" t="e">
        <f>VLOOKUP($A246,TAB_CORRECAO_U[[Q_DIAS_U_PARC_TIR]:[V_FUT_U_CORC-02]],E$5, FALSE)</f>
        <v>#N/A</v>
      </c>
      <c r="F246" s="22" t="e">
        <f>VLOOKUP($A246,TAB_AMORTIZACAO_U[[Q_DIAS_U_PARC_TIR]:[V_FUT_U_PCPL-02]], F$5, FALSE)</f>
        <v>#N/A</v>
      </c>
      <c r="H246" s="20">
        <f t="shared" si="22"/>
        <v>0</v>
      </c>
      <c r="I246" s="21">
        <f t="shared" si="23"/>
        <v>0</v>
      </c>
      <c r="J246" s="22" t="e">
        <f>VLOOKUP($A246, TAB_JUROS_C[[DIAS_CORRIDOS]:[V_FUT_UTEIS]], J$5, FALSE)</f>
        <v>#N/A</v>
      </c>
      <c r="K246" s="22" t="e">
        <f>VLOOKUP($A246, TAB_CORRECAO_C[[DIAS_CORRIDOS]:[V_FUT_UTEIS]],K$5, FALSE)</f>
        <v>#N/A</v>
      </c>
      <c r="L246" s="22" t="e">
        <f>VLOOKUP($A246, TAB_AMORTIZACAO_C[[DIAS_CORRIDOS]:[V_FUT_UTEIS]], L$5, FALSE)</f>
        <v>#N/A</v>
      </c>
    </row>
    <row r="247" spans="1:12" hidden="1">
      <c r="A247" s="19">
        <f t="shared" si="24"/>
        <v>241</v>
      </c>
      <c r="B247" s="20">
        <f t="shared" si="20"/>
        <v>0</v>
      </c>
      <c r="C247" s="21">
        <f t="shared" si="21"/>
        <v>0</v>
      </c>
      <c r="D247" s="22" t="e">
        <f>VLOOKUP($A247, TAB_JUROS_U[[Q_DIAS_U_PARC_TIR]:[V_FUT_U_JURS CENARIO]], D$5, FALSE)</f>
        <v>#N/A</v>
      </c>
      <c r="E247" s="22" t="e">
        <f>VLOOKUP($A247,TAB_CORRECAO_U[[Q_DIAS_U_PARC_TIR]:[V_FUT_U_CORC-02]],E$5, FALSE)</f>
        <v>#N/A</v>
      </c>
      <c r="F247" s="22" t="e">
        <f>VLOOKUP($A247,TAB_AMORTIZACAO_U[[Q_DIAS_U_PARC_TIR]:[V_FUT_U_PCPL-02]], F$5, FALSE)</f>
        <v>#N/A</v>
      </c>
      <c r="H247" s="20">
        <f t="shared" si="22"/>
        <v>0</v>
      </c>
      <c r="I247" s="21">
        <f t="shared" si="23"/>
        <v>0</v>
      </c>
      <c r="J247" s="22" t="e">
        <f>VLOOKUP($A247, TAB_JUROS_C[[DIAS_CORRIDOS]:[V_FUT_UTEIS]], J$5, FALSE)</f>
        <v>#N/A</v>
      </c>
      <c r="K247" s="22" t="e">
        <f>VLOOKUP($A247, TAB_CORRECAO_C[[DIAS_CORRIDOS]:[V_FUT_UTEIS]],K$5, FALSE)</f>
        <v>#N/A</v>
      </c>
      <c r="L247" s="22" t="e">
        <f>VLOOKUP($A247, TAB_AMORTIZACAO_C[[DIAS_CORRIDOS]:[V_FUT_UTEIS]], L$5, FALSE)</f>
        <v>#N/A</v>
      </c>
    </row>
    <row r="248" spans="1:12">
      <c r="A248" s="19">
        <f t="shared" si="24"/>
        <v>242</v>
      </c>
      <c r="B248" s="20">
        <f t="shared" si="20"/>
        <v>1817.5199829299261</v>
      </c>
      <c r="C248" s="21">
        <f t="shared" si="21"/>
        <v>1817.5199829299261</v>
      </c>
      <c r="D248" s="22">
        <f>VLOOKUP($A248, TAB_JUROS_U[[Q_DIAS_U_PARC_TIR]:[V_FUT_U_JURS CENARIO]], D$5, FALSE)</f>
        <v>154.51277925213827</v>
      </c>
      <c r="E248" s="22">
        <f>VLOOKUP($A248,TAB_CORRECAO_U[[Q_DIAS_U_PARC_TIR]:[V_FUT_U_CORC-02]],E$5, FALSE)</f>
        <v>902.50828749073207</v>
      </c>
      <c r="F248" s="22">
        <f>VLOOKUP($A248,TAB_AMORTIZACAO_U[[Q_DIAS_U_PARC_TIR]:[V_FUT_U_PCPL-02]], F$5, FALSE)</f>
        <v>760.49891618705578</v>
      </c>
      <c r="H248" s="20">
        <f t="shared" si="22"/>
        <v>0</v>
      </c>
      <c r="I248" s="21">
        <f t="shared" si="23"/>
        <v>0</v>
      </c>
      <c r="J248" s="22" t="e">
        <f>VLOOKUP($A248, TAB_JUROS_C[[DIAS_CORRIDOS]:[V_FUT_UTEIS]], J$5, FALSE)</f>
        <v>#N/A</v>
      </c>
      <c r="K248" s="22" t="e">
        <f>VLOOKUP($A248, TAB_CORRECAO_C[[DIAS_CORRIDOS]:[V_FUT_UTEIS]],K$5, FALSE)</f>
        <v>#N/A</v>
      </c>
      <c r="L248" s="22" t="e">
        <f>VLOOKUP($A248, TAB_AMORTIZACAO_C[[DIAS_CORRIDOS]:[V_FUT_UTEIS]], L$5, FALSE)</f>
        <v>#N/A</v>
      </c>
    </row>
    <row r="249" spans="1:12" hidden="1">
      <c r="A249" s="19">
        <f t="shared" si="24"/>
        <v>243</v>
      </c>
      <c r="B249" s="20">
        <f t="shared" si="20"/>
        <v>0</v>
      </c>
      <c r="C249" s="21">
        <f t="shared" si="21"/>
        <v>0</v>
      </c>
      <c r="D249" s="22" t="e">
        <f>VLOOKUP($A249, TAB_JUROS_U[[Q_DIAS_U_PARC_TIR]:[V_FUT_U_JURS CENARIO]], D$5, FALSE)</f>
        <v>#N/A</v>
      </c>
      <c r="E249" s="22" t="e">
        <f>VLOOKUP($A249,TAB_CORRECAO_U[[Q_DIAS_U_PARC_TIR]:[V_FUT_U_CORC-02]],E$5, FALSE)</f>
        <v>#N/A</v>
      </c>
      <c r="F249" s="22" t="e">
        <f>VLOOKUP($A249,TAB_AMORTIZACAO_U[[Q_DIAS_U_PARC_TIR]:[V_FUT_U_PCPL-02]], F$5, FALSE)</f>
        <v>#N/A</v>
      </c>
      <c r="H249" s="20">
        <f t="shared" si="22"/>
        <v>0</v>
      </c>
      <c r="I249" s="21">
        <f t="shared" si="23"/>
        <v>0</v>
      </c>
      <c r="J249" s="22" t="e">
        <f>VLOOKUP($A249, TAB_JUROS_C[[DIAS_CORRIDOS]:[V_FUT_UTEIS]], J$5, FALSE)</f>
        <v>#N/A</v>
      </c>
      <c r="K249" s="22" t="e">
        <f>VLOOKUP($A249, TAB_CORRECAO_C[[DIAS_CORRIDOS]:[V_FUT_UTEIS]],K$5, FALSE)</f>
        <v>#N/A</v>
      </c>
      <c r="L249" s="22" t="e">
        <f>VLOOKUP($A249, TAB_AMORTIZACAO_C[[DIAS_CORRIDOS]:[V_FUT_UTEIS]], L$5, FALSE)</f>
        <v>#N/A</v>
      </c>
    </row>
    <row r="250" spans="1:12" hidden="1">
      <c r="A250" s="19">
        <f t="shared" si="24"/>
        <v>244</v>
      </c>
      <c r="B250" s="20">
        <f t="shared" si="20"/>
        <v>0</v>
      </c>
      <c r="C250" s="21">
        <f t="shared" si="21"/>
        <v>0</v>
      </c>
      <c r="D250" s="22" t="e">
        <f>VLOOKUP($A250, TAB_JUROS_U[[Q_DIAS_U_PARC_TIR]:[V_FUT_U_JURS CENARIO]], D$5, FALSE)</f>
        <v>#N/A</v>
      </c>
      <c r="E250" s="22" t="e">
        <f>VLOOKUP($A250,TAB_CORRECAO_U[[Q_DIAS_U_PARC_TIR]:[V_FUT_U_CORC-02]],E$5, FALSE)</f>
        <v>#N/A</v>
      </c>
      <c r="F250" s="22" t="e">
        <f>VLOOKUP($A250,TAB_AMORTIZACAO_U[[Q_DIAS_U_PARC_TIR]:[V_FUT_U_PCPL-02]], F$5, FALSE)</f>
        <v>#N/A</v>
      </c>
      <c r="H250" s="20">
        <f t="shared" si="22"/>
        <v>0</v>
      </c>
      <c r="I250" s="21">
        <f t="shared" si="23"/>
        <v>0</v>
      </c>
      <c r="J250" s="22" t="e">
        <f>VLOOKUP($A250, TAB_JUROS_C[[DIAS_CORRIDOS]:[V_FUT_UTEIS]], J$5, FALSE)</f>
        <v>#N/A</v>
      </c>
      <c r="K250" s="22" t="e">
        <f>VLOOKUP($A250, TAB_CORRECAO_C[[DIAS_CORRIDOS]:[V_FUT_UTEIS]],K$5, FALSE)</f>
        <v>#N/A</v>
      </c>
      <c r="L250" s="22" t="e">
        <f>VLOOKUP($A250, TAB_AMORTIZACAO_C[[DIAS_CORRIDOS]:[V_FUT_UTEIS]], L$5, FALSE)</f>
        <v>#N/A</v>
      </c>
    </row>
    <row r="251" spans="1:12" hidden="1">
      <c r="A251" s="19">
        <f t="shared" si="24"/>
        <v>245</v>
      </c>
      <c r="B251" s="20">
        <f t="shared" si="20"/>
        <v>0</v>
      </c>
      <c r="C251" s="21">
        <f t="shared" si="21"/>
        <v>0</v>
      </c>
      <c r="D251" s="22" t="e">
        <f>VLOOKUP($A251, TAB_JUROS_U[[Q_DIAS_U_PARC_TIR]:[V_FUT_U_JURS CENARIO]], D$5, FALSE)</f>
        <v>#N/A</v>
      </c>
      <c r="E251" s="22" t="e">
        <f>VLOOKUP($A251,TAB_CORRECAO_U[[Q_DIAS_U_PARC_TIR]:[V_FUT_U_CORC-02]],E$5, FALSE)</f>
        <v>#N/A</v>
      </c>
      <c r="F251" s="22" t="e">
        <f>VLOOKUP($A251,TAB_AMORTIZACAO_U[[Q_DIAS_U_PARC_TIR]:[V_FUT_U_PCPL-02]], F$5, FALSE)</f>
        <v>#N/A</v>
      </c>
      <c r="H251" s="20">
        <f t="shared" si="22"/>
        <v>0</v>
      </c>
      <c r="I251" s="21">
        <f t="shared" si="23"/>
        <v>0</v>
      </c>
      <c r="J251" s="22" t="e">
        <f>VLOOKUP($A251, TAB_JUROS_C[[DIAS_CORRIDOS]:[V_FUT_UTEIS]], J$5, FALSE)</f>
        <v>#N/A</v>
      </c>
      <c r="K251" s="22" t="e">
        <f>VLOOKUP($A251, TAB_CORRECAO_C[[DIAS_CORRIDOS]:[V_FUT_UTEIS]],K$5, FALSE)</f>
        <v>#N/A</v>
      </c>
      <c r="L251" s="22" t="e">
        <f>VLOOKUP($A251, TAB_AMORTIZACAO_C[[DIAS_CORRIDOS]:[V_FUT_UTEIS]], L$5, FALSE)</f>
        <v>#N/A</v>
      </c>
    </row>
    <row r="252" spans="1:12" hidden="1">
      <c r="A252" s="19">
        <f t="shared" si="24"/>
        <v>246</v>
      </c>
      <c r="B252" s="20">
        <f t="shared" si="20"/>
        <v>0</v>
      </c>
      <c r="C252" s="21">
        <f t="shared" si="21"/>
        <v>0</v>
      </c>
      <c r="D252" s="22" t="e">
        <f>VLOOKUP($A252, TAB_JUROS_U[[Q_DIAS_U_PARC_TIR]:[V_FUT_U_JURS CENARIO]], D$5, FALSE)</f>
        <v>#N/A</v>
      </c>
      <c r="E252" s="22" t="e">
        <f>VLOOKUP($A252,TAB_CORRECAO_U[[Q_DIAS_U_PARC_TIR]:[V_FUT_U_CORC-02]],E$5, FALSE)</f>
        <v>#N/A</v>
      </c>
      <c r="F252" s="22" t="e">
        <f>VLOOKUP($A252,TAB_AMORTIZACAO_U[[Q_DIAS_U_PARC_TIR]:[V_FUT_U_PCPL-02]], F$5, FALSE)</f>
        <v>#N/A</v>
      </c>
      <c r="H252" s="20">
        <f t="shared" si="22"/>
        <v>0</v>
      </c>
      <c r="I252" s="21">
        <f t="shared" si="23"/>
        <v>0</v>
      </c>
      <c r="J252" s="22" t="e">
        <f>VLOOKUP($A252, TAB_JUROS_C[[DIAS_CORRIDOS]:[V_FUT_UTEIS]], J$5, FALSE)</f>
        <v>#N/A</v>
      </c>
      <c r="K252" s="22" t="e">
        <f>VLOOKUP($A252, TAB_CORRECAO_C[[DIAS_CORRIDOS]:[V_FUT_UTEIS]],K$5, FALSE)</f>
        <v>#N/A</v>
      </c>
      <c r="L252" s="22" t="e">
        <f>VLOOKUP($A252, TAB_AMORTIZACAO_C[[DIAS_CORRIDOS]:[V_FUT_UTEIS]], L$5, FALSE)</f>
        <v>#N/A</v>
      </c>
    </row>
    <row r="253" spans="1:12" hidden="1">
      <c r="A253" s="19">
        <f t="shared" si="24"/>
        <v>247</v>
      </c>
      <c r="B253" s="20">
        <f t="shared" si="20"/>
        <v>0</v>
      </c>
      <c r="C253" s="21">
        <f t="shared" si="21"/>
        <v>0</v>
      </c>
      <c r="D253" s="22" t="e">
        <f>VLOOKUP($A253, TAB_JUROS_U[[Q_DIAS_U_PARC_TIR]:[V_FUT_U_JURS CENARIO]], D$5, FALSE)</f>
        <v>#N/A</v>
      </c>
      <c r="E253" s="22" t="e">
        <f>VLOOKUP($A253,TAB_CORRECAO_U[[Q_DIAS_U_PARC_TIR]:[V_FUT_U_CORC-02]],E$5, FALSE)</f>
        <v>#N/A</v>
      </c>
      <c r="F253" s="22" t="e">
        <f>VLOOKUP($A253,TAB_AMORTIZACAO_U[[Q_DIAS_U_PARC_TIR]:[V_FUT_U_PCPL-02]], F$5, FALSE)</f>
        <v>#N/A</v>
      </c>
      <c r="H253" s="20">
        <f t="shared" si="22"/>
        <v>0</v>
      </c>
      <c r="I253" s="21">
        <f t="shared" si="23"/>
        <v>0</v>
      </c>
      <c r="J253" s="22" t="e">
        <f>VLOOKUP($A253, TAB_JUROS_C[[DIAS_CORRIDOS]:[V_FUT_UTEIS]], J$5, FALSE)</f>
        <v>#N/A</v>
      </c>
      <c r="K253" s="22" t="e">
        <f>VLOOKUP($A253, TAB_CORRECAO_C[[DIAS_CORRIDOS]:[V_FUT_UTEIS]],K$5, FALSE)</f>
        <v>#N/A</v>
      </c>
      <c r="L253" s="22" t="e">
        <f>VLOOKUP($A253, TAB_AMORTIZACAO_C[[DIAS_CORRIDOS]:[V_FUT_UTEIS]], L$5, FALSE)</f>
        <v>#N/A</v>
      </c>
    </row>
    <row r="254" spans="1:12" hidden="1">
      <c r="A254" s="19">
        <f t="shared" si="24"/>
        <v>248</v>
      </c>
      <c r="B254" s="20">
        <f t="shared" si="20"/>
        <v>0</v>
      </c>
      <c r="C254" s="21">
        <f t="shared" si="21"/>
        <v>0</v>
      </c>
      <c r="D254" s="22" t="e">
        <f>VLOOKUP($A254, TAB_JUROS_U[[Q_DIAS_U_PARC_TIR]:[V_FUT_U_JURS CENARIO]], D$5, FALSE)</f>
        <v>#N/A</v>
      </c>
      <c r="E254" s="22" t="e">
        <f>VLOOKUP($A254,TAB_CORRECAO_U[[Q_DIAS_U_PARC_TIR]:[V_FUT_U_CORC-02]],E$5, FALSE)</f>
        <v>#N/A</v>
      </c>
      <c r="F254" s="22" t="e">
        <f>VLOOKUP($A254,TAB_AMORTIZACAO_U[[Q_DIAS_U_PARC_TIR]:[V_FUT_U_PCPL-02]], F$5, FALSE)</f>
        <v>#N/A</v>
      </c>
      <c r="H254" s="20">
        <f t="shared" si="22"/>
        <v>0</v>
      </c>
      <c r="I254" s="21">
        <f t="shared" si="23"/>
        <v>0</v>
      </c>
      <c r="J254" s="22" t="e">
        <f>VLOOKUP($A254, TAB_JUROS_C[[DIAS_CORRIDOS]:[V_FUT_UTEIS]], J$5, FALSE)</f>
        <v>#N/A</v>
      </c>
      <c r="K254" s="22" t="e">
        <f>VLOOKUP($A254, TAB_CORRECAO_C[[DIAS_CORRIDOS]:[V_FUT_UTEIS]],K$5, FALSE)</f>
        <v>#N/A</v>
      </c>
      <c r="L254" s="22" t="e">
        <f>VLOOKUP($A254, TAB_AMORTIZACAO_C[[DIAS_CORRIDOS]:[V_FUT_UTEIS]], L$5, FALSE)</f>
        <v>#N/A</v>
      </c>
    </row>
    <row r="255" spans="1:12" hidden="1">
      <c r="A255" s="19">
        <f t="shared" si="24"/>
        <v>249</v>
      </c>
      <c r="B255" s="20">
        <f t="shared" si="20"/>
        <v>0</v>
      </c>
      <c r="C255" s="21">
        <f t="shared" si="21"/>
        <v>0</v>
      </c>
      <c r="D255" s="22" t="e">
        <f>VLOOKUP($A255, TAB_JUROS_U[[Q_DIAS_U_PARC_TIR]:[V_FUT_U_JURS CENARIO]], D$5, FALSE)</f>
        <v>#N/A</v>
      </c>
      <c r="E255" s="22" t="e">
        <f>VLOOKUP($A255,TAB_CORRECAO_U[[Q_DIAS_U_PARC_TIR]:[V_FUT_U_CORC-02]],E$5, FALSE)</f>
        <v>#N/A</v>
      </c>
      <c r="F255" s="22" t="e">
        <f>VLOOKUP($A255,TAB_AMORTIZACAO_U[[Q_DIAS_U_PARC_TIR]:[V_FUT_U_PCPL-02]], F$5, FALSE)</f>
        <v>#N/A</v>
      </c>
      <c r="H255" s="20">
        <f t="shared" si="22"/>
        <v>0</v>
      </c>
      <c r="I255" s="21">
        <f t="shared" si="23"/>
        <v>0</v>
      </c>
      <c r="J255" s="22" t="e">
        <f>VLOOKUP($A255, TAB_JUROS_C[[DIAS_CORRIDOS]:[V_FUT_UTEIS]], J$5, FALSE)</f>
        <v>#N/A</v>
      </c>
      <c r="K255" s="22" t="e">
        <f>VLOOKUP($A255, TAB_CORRECAO_C[[DIAS_CORRIDOS]:[V_FUT_UTEIS]],K$5, FALSE)</f>
        <v>#N/A</v>
      </c>
      <c r="L255" s="22" t="e">
        <f>VLOOKUP($A255, TAB_AMORTIZACAO_C[[DIAS_CORRIDOS]:[V_FUT_UTEIS]], L$5, FALSE)</f>
        <v>#N/A</v>
      </c>
    </row>
    <row r="256" spans="1:12" hidden="1">
      <c r="A256" s="19">
        <f t="shared" si="24"/>
        <v>250</v>
      </c>
      <c r="B256" s="20">
        <f t="shared" si="20"/>
        <v>0</v>
      </c>
      <c r="C256" s="21">
        <f t="shared" si="21"/>
        <v>0</v>
      </c>
      <c r="D256" s="22" t="e">
        <f>VLOOKUP($A256, TAB_JUROS_U[[Q_DIAS_U_PARC_TIR]:[V_FUT_U_JURS CENARIO]], D$5, FALSE)</f>
        <v>#N/A</v>
      </c>
      <c r="E256" s="22" t="e">
        <f>VLOOKUP($A256,TAB_CORRECAO_U[[Q_DIAS_U_PARC_TIR]:[V_FUT_U_CORC-02]],E$5, FALSE)</f>
        <v>#N/A</v>
      </c>
      <c r="F256" s="22" t="e">
        <f>VLOOKUP($A256,TAB_AMORTIZACAO_U[[Q_DIAS_U_PARC_TIR]:[V_FUT_U_PCPL-02]], F$5, FALSE)</f>
        <v>#N/A</v>
      </c>
      <c r="H256" s="20">
        <f t="shared" si="22"/>
        <v>0</v>
      </c>
      <c r="I256" s="21">
        <f t="shared" si="23"/>
        <v>0</v>
      </c>
      <c r="J256" s="22" t="e">
        <f>VLOOKUP($A256, TAB_JUROS_C[[DIAS_CORRIDOS]:[V_FUT_UTEIS]], J$5, FALSE)</f>
        <v>#N/A</v>
      </c>
      <c r="K256" s="22" t="e">
        <f>VLOOKUP($A256, TAB_CORRECAO_C[[DIAS_CORRIDOS]:[V_FUT_UTEIS]],K$5, FALSE)</f>
        <v>#N/A</v>
      </c>
      <c r="L256" s="22" t="e">
        <f>VLOOKUP($A256, TAB_AMORTIZACAO_C[[DIAS_CORRIDOS]:[V_FUT_UTEIS]], L$5, FALSE)</f>
        <v>#N/A</v>
      </c>
    </row>
    <row r="257" spans="1:12" hidden="1">
      <c r="A257" s="19">
        <f t="shared" si="24"/>
        <v>251</v>
      </c>
      <c r="B257" s="20">
        <f t="shared" si="20"/>
        <v>0</v>
      </c>
      <c r="C257" s="21">
        <f t="shared" si="21"/>
        <v>0</v>
      </c>
      <c r="D257" s="22" t="e">
        <f>VLOOKUP($A257, TAB_JUROS_U[[Q_DIAS_U_PARC_TIR]:[V_FUT_U_JURS CENARIO]], D$5, FALSE)</f>
        <v>#N/A</v>
      </c>
      <c r="E257" s="22" t="e">
        <f>VLOOKUP($A257,TAB_CORRECAO_U[[Q_DIAS_U_PARC_TIR]:[V_FUT_U_CORC-02]],E$5, FALSE)</f>
        <v>#N/A</v>
      </c>
      <c r="F257" s="22" t="e">
        <f>VLOOKUP($A257,TAB_AMORTIZACAO_U[[Q_DIAS_U_PARC_TIR]:[V_FUT_U_PCPL-02]], F$5, FALSE)</f>
        <v>#N/A</v>
      </c>
      <c r="H257" s="20">
        <f t="shared" si="22"/>
        <v>0</v>
      </c>
      <c r="I257" s="21">
        <f t="shared" si="23"/>
        <v>0</v>
      </c>
      <c r="J257" s="22" t="e">
        <f>VLOOKUP($A257, TAB_JUROS_C[[DIAS_CORRIDOS]:[V_FUT_UTEIS]], J$5, FALSE)</f>
        <v>#N/A</v>
      </c>
      <c r="K257" s="22" t="e">
        <f>VLOOKUP($A257, TAB_CORRECAO_C[[DIAS_CORRIDOS]:[V_FUT_UTEIS]],K$5, FALSE)</f>
        <v>#N/A</v>
      </c>
      <c r="L257" s="22" t="e">
        <f>VLOOKUP($A257, TAB_AMORTIZACAO_C[[DIAS_CORRIDOS]:[V_FUT_UTEIS]], L$5, FALSE)</f>
        <v>#N/A</v>
      </c>
    </row>
    <row r="258" spans="1:12" hidden="1">
      <c r="A258" s="19">
        <f t="shared" si="24"/>
        <v>252</v>
      </c>
      <c r="B258" s="20">
        <f t="shared" si="20"/>
        <v>0</v>
      </c>
      <c r="C258" s="21">
        <f t="shared" si="21"/>
        <v>0</v>
      </c>
      <c r="D258" s="22" t="e">
        <f>VLOOKUP($A258, TAB_JUROS_U[[Q_DIAS_U_PARC_TIR]:[V_FUT_U_JURS CENARIO]], D$5, FALSE)</f>
        <v>#N/A</v>
      </c>
      <c r="E258" s="22" t="e">
        <f>VLOOKUP($A258,TAB_CORRECAO_U[[Q_DIAS_U_PARC_TIR]:[V_FUT_U_CORC-02]],E$5, FALSE)</f>
        <v>#N/A</v>
      </c>
      <c r="F258" s="22" t="e">
        <f>VLOOKUP($A258,TAB_AMORTIZACAO_U[[Q_DIAS_U_PARC_TIR]:[V_FUT_U_PCPL-02]], F$5, FALSE)</f>
        <v>#N/A</v>
      </c>
      <c r="H258" s="20">
        <f t="shared" si="22"/>
        <v>0</v>
      </c>
      <c r="I258" s="21">
        <f t="shared" si="23"/>
        <v>0</v>
      </c>
      <c r="J258" s="22" t="e">
        <f>VLOOKUP($A258, TAB_JUROS_C[[DIAS_CORRIDOS]:[V_FUT_UTEIS]], J$5, FALSE)</f>
        <v>#N/A</v>
      </c>
      <c r="K258" s="22" t="e">
        <f>VLOOKUP($A258, TAB_CORRECAO_C[[DIAS_CORRIDOS]:[V_FUT_UTEIS]],K$5, FALSE)</f>
        <v>#N/A</v>
      </c>
      <c r="L258" s="22" t="e">
        <f>VLOOKUP($A258, TAB_AMORTIZACAO_C[[DIAS_CORRIDOS]:[V_FUT_UTEIS]], L$5, FALSE)</f>
        <v>#N/A</v>
      </c>
    </row>
    <row r="259" spans="1:12" hidden="1">
      <c r="A259" s="19">
        <f t="shared" si="24"/>
        <v>253</v>
      </c>
      <c r="B259" s="20">
        <f t="shared" si="20"/>
        <v>0</v>
      </c>
      <c r="C259" s="21">
        <f t="shared" si="21"/>
        <v>0</v>
      </c>
      <c r="D259" s="22" t="e">
        <f>VLOOKUP($A259, TAB_JUROS_U[[Q_DIAS_U_PARC_TIR]:[V_FUT_U_JURS CENARIO]], D$5, FALSE)</f>
        <v>#N/A</v>
      </c>
      <c r="E259" s="22" t="e">
        <f>VLOOKUP($A259,TAB_CORRECAO_U[[Q_DIAS_U_PARC_TIR]:[V_FUT_U_CORC-02]],E$5, FALSE)</f>
        <v>#N/A</v>
      </c>
      <c r="F259" s="22" t="e">
        <f>VLOOKUP($A259,TAB_AMORTIZACAO_U[[Q_DIAS_U_PARC_TIR]:[V_FUT_U_PCPL-02]], F$5, FALSE)</f>
        <v>#N/A</v>
      </c>
      <c r="H259" s="20">
        <f t="shared" si="22"/>
        <v>0</v>
      </c>
      <c r="I259" s="21">
        <f t="shared" si="23"/>
        <v>0</v>
      </c>
      <c r="J259" s="22" t="e">
        <f>VLOOKUP($A259, TAB_JUROS_C[[DIAS_CORRIDOS]:[V_FUT_UTEIS]], J$5, FALSE)</f>
        <v>#N/A</v>
      </c>
      <c r="K259" s="22" t="e">
        <f>VLOOKUP($A259, TAB_CORRECAO_C[[DIAS_CORRIDOS]:[V_FUT_UTEIS]],K$5, FALSE)</f>
        <v>#N/A</v>
      </c>
      <c r="L259" s="22" t="e">
        <f>VLOOKUP($A259, TAB_AMORTIZACAO_C[[DIAS_CORRIDOS]:[V_FUT_UTEIS]], L$5, FALSE)</f>
        <v>#N/A</v>
      </c>
    </row>
    <row r="260" spans="1:12" hidden="1">
      <c r="A260" s="19">
        <f t="shared" si="24"/>
        <v>254</v>
      </c>
      <c r="B260" s="20">
        <f t="shared" si="20"/>
        <v>0</v>
      </c>
      <c r="C260" s="21">
        <f t="shared" si="21"/>
        <v>0</v>
      </c>
      <c r="D260" s="22" t="e">
        <f>VLOOKUP($A260, TAB_JUROS_U[[Q_DIAS_U_PARC_TIR]:[V_FUT_U_JURS CENARIO]], D$5, FALSE)</f>
        <v>#N/A</v>
      </c>
      <c r="E260" s="22" t="e">
        <f>VLOOKUP($A260,TAB_CORRECAO_U[[Q_DIAS_U_PARC_TIR]:[V_FUT_U_CORC-02]],E$5, FALSE)</f>
        <v>#N/A</v>
      </c>
      <c r="F260" s="22" t="e">
        <f>VLOOKUP($A260,TAB_AMORTIZACAO_U[[Q_DIAS_U_PARC_TIR]:[V_FUT_U_PCPL-02]], F$5, FALSE)</f>
        <v>#N/A</v>
      </c>
      <c r="H260" s="20">
        <f t="shared" si="22"/>
        <v>0</v>
      </c>
      <c r="I260" s="21">
        <f t="shared" si="23"/>
        <v>0</v>
      </c>
      <c r="J260" s="22" t="e">
        <f>VLOOKUP($A260, TAB_JUROS_C[[DIAS_CORRIDOS]:[V_FUT_UTEIS]], J$5, FALSE)</f>
        <v>#N/A</v>
      </c>
      <c r="K260" s="22" t="e">
        <f>VLOOKUP($A260, TAB_CORRECAO_C[[DIAS_CORRIDOS]:[V_FUT_UTEIS]],K$5, FALSE)</f>
        <v>#N/A</v>
      </c>
      <c r="L260" s="22" t="e">
        <f>VLOOKUP($A260, TAB_AMORTIZACAO_C[[DIAS_CORRIDOS]:[V_FUT_UTEIS]], L$5, FALSE)</f>
        <v>#N/A</v>
      </c>
    </row>
    <row r="261" spans="1:12" hidden="1">
      <c r="A261" s="19">
        <f t="shared" si="24"/>
        <v>255</v>
      </c>
      <c r="B261" s="20">
        <f t="shared" si="20"/>
        <v>0</v>
      </c>
      <c r="C261" s="21">
        <f t="shared" si="21"/>
        <v>0</v>
      </c>
      <c r="D261" s="22" t="e">
        <f>VLOOKUP($A261, TAB_JUROS_U[[Q_DIAS_U_PARC_TIR]:[V_FUT_U_JURS CENARIO]], D$5, FALSE)</f>
        <v>#N/A</v>
      </c>
      <c r="E261" s="22" t="e">
        <f>VLOOKUP($A261,TAB_CORRECAO_U[[Q_DIAS_U_PARC_TIR]:[V_FUT_U_CORC-02]],E$5, FALSE)</f>
        <v>#N/A</v>
      </c>
      <c r="F261" s="22" t="e">
        <f>VLOOKUP($A261,TAB_AMORTIZACAO_U[[Q_DIAS_U_PARC_TIR]:[V_FUT_U_PCPL-02]], F$5, FALSE)</f>
        <v>#N/A</v>
      </c>
      <c r="H261" s="20">
        <f t="shared" si="22"/>
        <v>0</v>
      </c>
      <c r="I261" s="21">
        <f t="shared" si="23"/>
        <v>0</v>
      </c>
      <c r="J261" s="22" t="e">
        <f>VLOOKUP($A261, TAB_JUROS_C[[DIAS_CORRIDOS]:[V_FUT_UTEIS]], J$5, FALSE)</f>
        <v>#N/A</v>
      </c>
      <c r="K261" s="22" t="e">
        <f>VLOOKUP($A261, TAB_CORRECAO_C[[DIAS_CORRIDOS]:[V_FUT_UTEIS]],K$5, FALSE)</f>
        <v>#N/A</v>
      </c>
      <c r="L261" s="22" t="e">
        <f>VLOOKUP($A261, TAB_AMORTIZACAO_C[[DIAS_CORRIDOS]:[V_FUT_UTEIS]], L$5, FALSE)</f>
        <v>#N/A</v>
      </c>
    </row>
    <row r="262" spans="1:12" hidden="1">
      <c r="A262" s="19">
        <f t="shared" si="24"/>
        <v>256</v>
      </c>
      <c r="B262" s="20">
        <f t="shared" si="20"/>
        <v>0</v>
      </c>
      <c r="C262" s="21">
        <f t="shared" si="21"/>
        <v>0</v>
      </c>
      <c r="D262" s="22" t="e">
        <f>VLOOKUP($A262, TAB_JUROS_U[[Q_DIAS_U_PARC_TIR]:[V_FUT_U_JURS CENARIO]], D$5, FALSE)</f>
        <v>#N/A</v>
      </c>
      <c r="E262" s="22" t="e">
        <f>VLOOKUP($A262,TAB_CORRECAO_U[[Q_DIAS_U_PARC_TIR]:[V_FUT_U_CORC-02]],E$5, FALSE)</f>
        <v>#N/A</v>
      </c>
      <c r="F262" s="22" t="e">
        <f>VLOOKUP($A262,TAB_AMORTIZACAO_U[[Q_DIAS_U_PARC_TIR]:[V_FUT_U_PCPL-02]], F$5, FALSE)</f>
        <v>#N/A</v>
      </c>
      <c r="H262" s="20">
        <f t="shared" si="22"/>
        <v>2144.9110433943797</v>
      </c>
      <c r="I262" s="21">
        <f t="shared" si="23"/>
        <v>2144.9110433943797</v>
      </c>
      <c r="J262" s="22">
        <f>VLOOKUP($A262, TAB_JUROS_C[[DIAS_CORRIDOS]:[V_FUT_UTEIS]], J$5, FALSE)</f>
        <v>190.34869622498758</v>
      </c>
      <c r="K262" s="22">
        <f>VLOOKUP($A262, TAB_CORRECAO_C[[DIAS_CORRIDOS]:[V_FUT_UTEIS]],K$5, FALSE)</f>
        <v>1158.0988557505964</v>
      </c>
      <c r="L262" s="22">
        <f>VLOOKUP($A262, TAB_AMORTIZACAO_C[[DIAS_CORRIDOS]:[V_FUT_UTEIS]], L$5, FALSE)</f>
        <v>796.46349141879557</v>
      </c>
    </row>
    <row r="263" spans="1:12" hidden="1">
      <c r="A263" s="19">
        <f t="shared" si="24"/>
        <v>257</v>
      </c>
      <c r="B263" s="20">
        <f t="shared" si="20"/>
        <v>0</v>
      </c>
      <c r="C263" s="21">
        <f t="shared" si="21"/>
        <v>0</v>
      </c>
      <c r="D263" s="22" t="e">
        <f>VLOOKUP($A263, TAB_JUROS_U[[Q_DIAS_U_PARC_TIR]:[V_FUT_U_JURS CENARIO]], D$5, FALSE)</f>
        <v>#N/A</v>
      </c>
      <c r="E263" s="22" t="e">
        <f>VLOOKUP($A263,TAB_CORRECAO_U[[Q_DIAS_U_PARC_TIR]:[V_FUT_U_CORC-02]],E$5, FALSE)</f>
        <v>#N/A</v>
      </c>
      <c r="F263" s="22" t="e">
        <f>VLOOKUP($A263,TAB_AMORTIZACAO_U[[Q_DIAS_U_PARC_TIR]:[V_FUT_U_PCPL-02]], F$5, FALSE)</f>
        <v>#N/A</v>
      </c>
      <c r="H263" s="20">
        <f t="shared" si="22"/>
        <v>0</v>
      </c>
      <c r="I263" s="21">
        <f t="shared" si="23"/>
        <v>0</v>
      </c>
      <c r="J263" s="22" t="e">
        <f>VLOOKUP($A263, TAB_JUROS_C[[DIAS_CORRIDOS]:[V_FUT_UTEIS]], J$5, FALSE)</f>
        <v>#N/A</v>
      </c>
      <c r="K263" s="22" t="e">
        <f>VLOOKUP($A263, TAB_CORRECAO_C[[DIAS_CORRIDOS]:[V_FUT_UTEIS]],K$5, FALSE)</f>
        <v>#N/A</v>
      </c>
      <c r="L263" s="22" t="e">
        <f>VLOOKUP($A263, TAB_AMORTIZACAO_C[[DIAS_CORRIDOS]:[V_FUT_UTEIS]], L$5, FALSE)</f>
        <v>#N/A</v>
      </c>
    </row>
    <row r="264" spans="1:12" hidden="1">
      <c r="A264" s="19">
        <f t="shared" si="24"/>
        <v>258</v>
      </c>
      <c r="B264" s="20">
        <f t="shared" si="20"/>
        <v>0</v>
      </c>
      <c r="C264" s="21">
        <f t="shared" si="21"/>
        <v>0</v>
      </c>
      <c r="D264" s="22" t="e">
        <f>VLOOKUP($A264, TAB_JUROS_U[[Q_DIAS_U_PARC_TIR]:[V_FUT_U_JURS CENARIO]], D$5, FALSE)</f>
        <v>#N/A</v>
      </c>
      <c r="E264" s="22" t="e">
        <f>VLOOKUP($A264,TAB_CORRECAO_U[[Q_DIAS_U_PARC_TIR]:[V_FUT_U_CORC-02]],E$5, FALSE)</f>
        <v>#N/A</v>
      </c>
      <c r="F264" s="22" t="e">
        <f>VLOOKUP($A264,TAB_AMORTIZACAO_U[[Q_DIAS_U_PARC_TIR]:[V_FUT_U_PCPL-02]], F$5, FALSE)</f>
        <v>#N/A</v>
      </c>
      <c r="H264" s="20">
        <f t="shared" si="22"/>
        <v>0</v>
      </c>
      <c r="I264" s="21">
        <f t="shared" si="23"/>
        <v>0</v>
      </c>
      <c r="J264" s="22" t="e">
        <f>VLOOKUP($A264, TAB_JUROS_C[[DIAS_CORRIDOS]:[V_FUT_UTEIS]], J$5, FALSE)</f>
        <v>#N/A</v>
      </c>
      <c r="K264" s="22" t="e">
        <f>VLOOKUP($A264, TAB_CORRECAO_C[[DIAS_CORRIDOS]:[V_FUT_UTEIS]],K$5, FALSE)</f>
        <v>#N/A</v>
      </c>
      <c r="L264" s="22" t="e">
        <f>VLOOKUP($A264, TAB_AMORTIZACAO_C[[DIAS_CORRIDOS]:[V_FUT_UTEIS]], L$5, FALSE)</f>
        <v>#N/A</v>
      </c>
    </row>
    <row r="265" spans="1:12" hidden="1">
      <c r="A265" s="19">
        <f t="shared" si="24"/>
        <v>259</v>
      </c>
      <c r="B265" s="20">
        <f t="shared" ref="B265:B328" si="25">IF(ISERROR(C265), 0, C265)</f>
        <v>0</v>
      </c>
      <c r="C265" s="21">
        <f t="shared" ref="C265:C328" si="26">SUMIF(D265:F265, "&gt;0", D265:F265)</f>
        <v>0</v>
      </c>
      <c r="D265" s="22" t="e">
        <f>VLOOKUP($A265, TAB_JUROS_U[[Q_DIAS_U_PARC_TIR]:[V_FUT_U_JURS CENARIO]], D$5, FALSE)</f>
        <v>#N/A</v>
      </c>
      <c r="E265" s="22" t="e">
        <f>VLOOKUP($A265,TAB_CORRECAO_U[[Q_DIAS_U_PARC_TIR]:[V_FUT_U_CORC-02]],E$5, FALSE)</f>
        <v>#N/A</v>
      </c>
      <c r="F265" s="22" t="e">
        <f>VLOOKUP($A265,TAB_AMORTIZACAO_U[[Q_DIAS_U_PARC_TIR]:[V_FUT_U_PCPL-02]], F$5, FALSE)</f>
        <v>#N/A</v>
      </c>
      <c r="H265" s="20">
        <f t="shared" ref="H265:H328" si="27">IF(ISERROR(I265), 0, I265)</f>
        <v>0</v>
      </c>
      <c r="I265" s="21">
        <f t="shared" ref="I265:I328" si="28">SUMIF(J265:L265, "&gt;0", J265:L265)</f>
        <v>0</v>
      </c>
      <c r="J265" s="22" t="e">
        <f>VLOOKUP($A265, TAB_JUROS_C[[DIAS_CORRIDOS]:[V_FUT_UTEIS]], J$5, FALSE)</f>
        <v>#N/A</v>
      </c>
      <c r="K265" s="22" t="e">
        <f>VLOOKUP($A265, TAB_CORRECAO_C[[DIAS_CORRIDOS]:[V_FUT_UTEIS]],K$5, FALSE)</f>
        <v>#N/A</v>
      </c>
      <c r="L265" s="22" t="e">
        <f>VLOOKUP($A265, TAB_AMORTIZACAO_C[[DIAS_CORRIDOS]:[V_FUT_UTEIS]], L$5, FALSE)</f>
        <v>#N/A</v>
      </c>
    </row>
    <row r="266" spans="1:12" hidden="1">
      <c r="A266" s="19">
        <f t="shared" ref="A266:A329" si="29">A265+1</f>
        <v>260</v>
      </c>
      <c r="B266" s="20">
        <f t="shared" si="25"/>
        <v>0</v>
      </c>
      <c r="C266" s="21">
        <f t="shared" si="26"/>
        <v>0</v>
      </c>
      <c r="D266" s="22" t="e">
        <f>VLOOKUP($A266, TAB_JUROS_U[[Q_DIAS_U_PARC_TIR]:[V_FUT_U_JURS CENARIO]], D$5, FALSE)</f>
        <v>#N/A</v>
      </c>
      <c r="E266" s="22" t="e">
        <f>VLOOKUP($A266,TAB_CORRECAO_U[[Q_DIAS_U_PARC_TIR]:[V_FUT_U_CORC-02]],E$5, FALSE)</f>
        <v>#N/A</v>
      </c>
      <c r="F266" s="22" t="e">
        <f>VLOOKUP($A266,TAB_AMORTIZACAO_U[[Q_DIAS_U_PARC_TIR]:[V_FUT_U_PCPL-02]], F$5, FALSE)</f>
        <v>#N/A</v>
      </c>
      <c r="H266" s="20">
        <f t="shared" si="27"/>
        <v>0</v>
      </c>
      <c r="I266" s="21">
        <f t="shared" si="28"/>
        <v>0</v>
      </c>
      <c r="J266" s="22" t="e">
        <f>VLOOKUP($A266, TAB_JUROS_C[[DIAS_CORRIDOS]:[V_FUT_UTEIS]], J$5, FALSE)</f>
        <v>#N/A</v>
      </c>
      <c r="K266" s="22" t="e">
        <f>VLOOKUP($A266, TAB_CORRECAO_C[[DIAS_CORRIDOS]:[V_FUT_UTEIS]],K$5, FALSE)</f>
        <v>#N/A</v>
      </c>
      <c r="L266" s="22" t="e">
        <f>VLOOKUP($A266, TAB_AMORTIZACAO_C[[DIAS_CORRIDOS]:[V_FUT_UTEIS]], L$5, FALSE)</f>
        <v>#N/A</v>
      </c>
    </row>
    <row r="267" spans="1:12" hidden="1">
      <c r="A267" s="19">
        <f t="shared" si="29"/>
        <v>261</v>
      </c>
      <c r="B267" s="20">
        <f t="shared" si="25"/>
        <v>0</v>
      </c>
      <c r="C267" s="21">
        <f t="shared" si="26"/>
        <v>0</v>
      </c>
      <c r="D267" s="22" t="e">
        <f>VLOOKUP($A267, TAB_JUROS_U[[Q_DIAS_U_PARC_TIR]:[V_FUT_U_JURS CENARIO]], D$5, FALSE)</f>
        <v>#N/A</v>
      </c>
      <c r="E267" s="22" t="e">
        <f>VLOOKUP($A267,TAB_CORRECAO_U[[Q_DIAS_U_PARC_TIR]:[V_FUT_U_CORC-02]],E$5, FALSE)</f>
        <v>#N/A</v>
      </c>
      <c r="F267" s="22" t="e">
        <f>VLOOKUP($A267,TAB_AMORTIZACAO_U[[Q_DIAS_U_PARC_TIR]:[V_FUT_U_PCPL-02]], F$5, FALSE)</f>
        <v>#N/A</v>
      </c>
      <c r="H267" s="20">
        <f t="shared" si="27"/>
        <v>0</v>
      </c>
      <c r="I267" s="21">
        <f t="shared" si="28"/>
        <v>0</v>
      </c>
      <c r="J267" s="22" t="e">
        <f>VLOOKUP($A267, TAB_JUROS_C[[DIAS_CORRIDOS]:[V_FUT_UTEIS]], J$5, FALSE)</f>
        <v>#N/A</v>
      </c>
      <c r="K267" s="22" t="e">
        <f>VLOOKUP($A267, TAB_CORRECAO_C[[DIAS_CORRIDOS]:[V_FUT_UTEIS]],K$5, FALSE)</f>
        <v>#N/A</v>
      </c>
      <c r="L267" s="22" t="e">
        <f>VLOOKUP($A267, TAB_AMORTIZACAO_C[[DIAS_CORRIDOS]:[V_FUT_UTEIS]], L$5, FALSE)</f>
        <v>#N/A</v>
      </c>
    </row>
    <row r="268" spans="1:12" hidden="1">
      <c r="A268" s="19">
        <f t="shared" si="29"/>
        <v>262</v>
      </c>
      <c r="B268" s="20">
        <f t="shared" si="25"/>
        <v>0</v>
      </c>
      <c r="C268" s="21">
        <f t="shared" si="26"/>
        <v>0</v>
      </c>
      <c r="D268" s="22" t="e">
        <f>VLOOKUP($A268, TAB_JUROS_U[[Q_DIAS_U_PARC_TIR]:[V_FUT_U_JURS CENARIO]], D$5, FALSE)</f>
        <v>#N/A</v>
      </c>
      <c r="E268" s="22" t="e">
        <f>VLOOKUP($A268,TAB_CORRECAO_U[[Q_DIAS_U_PARC_TIR]:[V_FUT_U_CORC-02]],E$5, FALSE)</f>
        <v>#N/A</v>
      </c>
      <c r="F268" s="22" t="e">
        <f>VLOOKUP($A268,TAB_AMORTIZACAO_U[[Q_DIAS_U_PARC_TIR]:[V_FUT_U_PCPL-02]], F$5, FALSE)</f>
        <v>#N/A</v>
      </c>
      <c r="H268" s="20">
        <f t="shared" si="27"/>
        <v>0</v>
      </c>
      <c r="I268" s="21">
        <f t="shared" si="28"/>
        <v>0</v>
      </c>
      <c r="J268" s="22" t="e">
        <f>VLOOKUP($A268, TAB_JUROS_C[[DIAS_CORRIDOS]:[V_FUT_UTEIS]], J$5, FALSE)</f>
        <v>#N/A</v>
      </c>
      <c r="K268" s="22" t="e">
        <f>VLOOKUP($A268, TAB_CORRECAO_C[[DIAS_CORRIDOS]:[V_FUT_UTEIS]],K$5, FALSE)</f>
        <v>#N/A</v>
      </c>
      <c r="L268" s="22" t="e">
        <f>VLOOKUP($A268, TAB_AMORTIZACAO_C[[DIAS_CORRIDOS]:[V_FUT_UTEIS]], L$5, FALSE)</f>
        <v>#N/A</v>
      </c>
    </row>
    <row r="269" spans="1:12" hidden="1">
      <c r="A269" s="19">
        <f t="shared" si="29"/>
        <v>263</v>
      </c>
      <c r="B269" s="20">
        <f t="shared" si="25"/>
        <v>0</v>
      </c>
      <c r="C269" s="21">
        <f t="shared" si="26"/>
        <v>0</v>
      </c>
      <c r="D269" s="22" t="e">
        <f>VLOOKUP($A269, TAB_JUROS_U[[Q_DIAS_U_PARC_TIR]:[V_FUT_U_JURS CENARIO]], D$5, FALSE)</f>
        <v>#N/A</v>
      </c>
      <c r="E269" s="22" t="e">
        <f>VLOOKUP($A269,TAB_CORRECAO_U[[Q_DIAS_U_PARC_TIR]:[V_FUT_U_CORC-02]],E$5, FALSE)</f>
        <v>#N/A</v>
      </c>
      <c r="F269" s="22" t="e">
        <f>VLOOKUP($A269,TAB_AMORTIZACAO_U[[Q_DIAS_U_PARC_TIR]:[V_FUT_U_PCPL-02]], F$5, FALSE)</f>
        <v>#N/A</v>
      </c>
      <c r="H269" s="20">
        <f t="shared" si="27"/>
        <v>0</v>
      </c>
      <c r="I269" s="21">
        <f t="shared" si="28"/>
        <v>0</v>
      </c>
      <c r="J269" s="22" t="e">
        <f>VLOOKUP($A269, TAB_JUROS_C[[DIAS_CORRIDOS]:[V_FUT_UTEIS]], J$5, FALSE)</f>
        <v>#N/A</v>
      </c>
      <c r="K269" s="22" t="e">
        <f>VLOOKUP($A269, TAB_CORRECAO_C[[DIAS_CORRIDOS]:[V_FUT_UTEIS]],K$5, FALSE)</f>
        <v>#N/A</v>
      </c>
      <c r="L269" s="22" t="e">
        <f>VLOOKUP($A269, TAB_AMORTIZACAO_C[[DIAS_CORRIDOS]:[V_FUT_UTEIS]], L$5, FALSE)</f>
        <v>#N/A</v>
      </c>
    </row>
    <row r="270" spans="1:12">
      <c r="A270" s="19">
        <f t="shared" si="29"/>
        <v>264</v>
      </c>
      <c r="B270" s="20">
        <f t="shared" si="25"/>
        <v>1971.9167519499435</v>
      </c>
      <c r="C270" s="21">
        <f t="shared" si="26"/>
        <v>1971.9167519499435</v>
      </c>
      <c r="D270" s="22">
        <f>VLOOKUP($A270, TAB_JUROS_U[[Q_DIAS_U_PARC_TIR]:[V_FUT_U_JURS CENARIO]], D$5, FALSE)</f>
        <v>166.33316884055742</v>
      </c>
      <c r="E270" s="22">
        <f>VLOOKUP($A270,TAB_CORRECAO_U[[Q_DIAS_U_PARC_TIR]:[V_FUT_U_CORC-02]],E$5, FALSE)</f>
        <v>1009.8512922510751</v>
      </c>
      <c r="F270" s="22">
        <f>VLOOKUP($A270,TAB_AMORTIZACAO_U[[Q_DIAS_U_PARC_TIR]:[V_FUT_U_PCPL-02]], F$5, FALSE)</f>
        <v>795.73229085831099</v>
      </c>
      <c r="H270" s="20">
        <f t="shared" si="27"/>
        <v>0</v>
      </c>
      <c r="I270" s="21">
        <f t="shared" si="28"/>
        <v>0</v>
      </c>
      <c r="J270" s="22" t="e">
        <f>VLOOKUP($A270, TAB_JUROS_C[[DIAS_CORRIDOS]:[V_FUT_UTEIS]], J$5, FALSE)</f>
        <v>#N/A</v>
      </c>
      <c r="K270" s="22" t="e">
        <f>VLOOKUP($A270, TAB_CORRECAO_C[[DIAS_CORRIDOS]:[V_FUT_UTEIS]],K$5, FALSE)</f>
        <v>#N/A</v>
      </c>
      <c r="L270" s="22" t="e">
        <f>VLOOKUP($A270, TAB_AMORTIZACAO_C[[DIAS_CORRIDOS]:[V_FUT_UTEIS]], L$5, FALSE)</f>
        <v>#N/A</v>
      </c>
    </row>
    <row r="271" spans="1:12" hidden="1">
      <c r="A271" s="19">
        <f t="shared" si="29"/>
        <v>265</v>
      </c>
      <c r="B271" s="20">
        <f t="shared" si="25"/>
        <v>0</v>
      </c>
      <c r="C271" s="21">
        <f t="shared" si="26"/>
        <v>0</v>
      </c>
      <c r="D271" s="22" t="e">
        <f>VLOOKUP($A271, TAB_JUROS_U[[Q_DIAS_U_PARC_TIR]:[V_FUT_U_JURS CENARIO]], D$5, FALSE)</f>
        <v>#N/A</v>
      </c>
      <c r="E271" s="22" t="e">
        <f>VLOOKUP($A271,TAB_CORRECAO_U[[Q_DIAS_U_PARC_TIR]:[V_FUT_U_CORC-02]],E$5, FALSE)</f>
        <v>#N/A</v>
      </c>
      <c r="F271" s="22" t="e">
        <f>VLOOKUP($A271,TAB_AMORTIZACAO_U[[Q_DIAS_U_PARC_TIR]:[V_FUT_U_PCPL-02]], F$5, FALSE)</f>
        <v>#N/A</v>
      </c>
      <c r="H271" s="20">
        <f t="shared" si="27"/>
        <v>0</v>
      </c>
      <c r="I271" s="21">
        <f t="shared" si="28"/>
        <v>0</v>
      </c>
      <c r="J271" s="22" t="e">
        <f>VLOOKUP($A271, TAB_JUROS_C[[DIAS_CORRIDOS]:[V_FUT_UTEIS]], J$5, FALSE)</f>
        <v>#N/A</v>
      </c>
      <c r="K271" s="22" t="e">
        <f>VLOOKUP($A271, TAB_CORRECAO_C[[DIAS_CORRIDOS]:[V_FUT_UTEIS]],K$5, FALSE)</f>
        <v>#N/A</v>
      </c>
      <c r="L271" s="22" t="e">
        <f>VLOOKUP($A271, TAB_AMORTIZACAO_C[[DIAS_CORRIDOS]:[V_FUT_UTEIS]], L$5, FALSE)</f>
        <v>#N/A</v>
      </c>
    </row>
    <row r="272" spans="1:12" hidden="1">
      <c r="A272" s="19">
        <f t="shared" si="29"/>
        <v>266</v>
      </c>
      <c r="B272" s="20">
        <f t="shared" si="25"/>
        <v>0</v>
      </c>
      <c r="C272" s="21">
        <f t="shared" si="26"/>
        <v>0</v>
      </c>
      <c r="D272" s="22" t="e">
        <f>VLOOKUP($A272, TAB_JUROS_U[[Q_DIAS_U_PARC_TIR]:[V_FUT_U_JURS CENARIO]], D$5, FALSE)</f>
        <v>#N/A</v>
      </c>
      <c r="E272" s="22" t="e">
        <f>VLOOKUP($A272,TAB_CORRECAO_U[[Q_DIAS_U_PARC_TIR]:[V_FUT_U_CORC-02]],E$5, FALSE)</f>
        <v>#N/A</v>
      </c>
      <c r="F272" s="22" t="e">
        <f>VLOOKUP($A272,TAB_AMORTIZACAO_U[[Q_DIAS_U_PARC_TIR]:[V_FUT_U_PCPL-02]], F$5, FALSE)</f>
        <v>#N/A</v>
      </c>
      <c r="H272" s="20">
        <f t="shared" si="27"/>
        <v>0</v>
      </c>
      <c r="I272" s="21">
        <f t="shared" si="28"/>
        <v>0</v>
      </c>
      <c r="J272" s="22" t="e">
        <f>VLOOKUP($A272, TAB_JUROS_C[[DIAS_CORRIDOS]:[V_FUT_UTEIS]], J$5, FALSE)</f>
        <v>#N/A</v>
      </c>
      <c r="K272" s="22" t="e">
        <f>VLOOKUP($A272, TAB_CORRECAO_C[[DIAS_CORRIDOS]:[V_FUT_UTEIS]],K$5, FALSE)</f>
        <v>#N/A</v>
      </c>
      <c r="L272" s="22" t="e">
        <f>VLOOKUP($A272, TAB_AMORTIZACAO_C[[DIAS_CORRIDOS]:[V_FUT_UTEIS]], L$5, FALSE)</f>
        <v>#N/A</v>
      </c>
    </row>
    <row r="273" spans="1:12" hidden="1">
      <c r="A273" s="19">
        <f t="shared" si="29"/>
        <v>267</v>
      </c>
      <c r="B273" s="20">
        <f t="shared" si="25"/>
        <v>0</v>
      </c>
      <c r="C273" s="21">
        <f t="shared" si="26"/>
        <v>0</v>
      </c>
      <c r="D273" s="22" t="e">
        <f>VLOOKUP($A273, TAB_JUROS_U[[Q_DIAS_U_PARC_TIR]:[V_FUT_U_JURS CENARIO]], D$5, FALSE)</f>
        <v>#N/A</v>
      </c>
      <c r="E273" s="22" t="e">
        <f>VLOOKUP($A273,TAB_CORRECAO_U[[Q_DIAS_U_PARC_TIR]:[V_FUT_U_CORC-02]],E$5, FALSE)</f>
        <v>#N/A</v>
      </c>
      <c r="F273" s="22" t="e">
        <f>VLOOKUP($A273,TAB_AMORTIZACAO_U[[Q_DIAS_U_PARC_TIR]:[V_FUT_U_PCPL-02]], F$5, FALSE)</f>
        <v>#N/A</v>
      </c>
      <c r="H273" s="20">
        <f t="shared" si="27"/>
        <v>0</v>
      </c>
      <c r="I273" s="21">
        <f t="shared" si="28"/>
        <v>0</v>
      </c>
      <c r="J273" s="22" t="e">
        <f>VLOOKUP($A273, TAB_JUROS_C[[DIAS_CORRIDOS]:[V_FUT_UTEIS]], J$5, FALSE)</f>
        <v>#N/A</v>
      </c>
      <c r="K273" s="22" t="e">
        <f>VLOOKUP($A273, TAB_CORRECAO_C[[DIAS_CORRIDOS]:[V_FUT_UTEIS]],K$5, FALSE)</f>
        <v>#N/A</v>
      </c>
      <c r="L273" s="22" t="e">
        <f>VLOOKUP($A273, TAB_AMORTIZACAO_C[[DIAS_CORRIDOS]:[V_FUT_UTEIS]], L$5, FALSE)</f>
        <v>#N/A</v>
      </c>
    </row>
    <row r="274" spans="1:12" hidden="1">
      <c r="A274" s="19">
        <f t="shared" si="29"/>
        <v>268</v>
      </c>
      <c r="B274" s="20">
        <f t="shared" si="25"/>
        <v>0</v>
      </c>
      <c r="C274" s="21">
        <f t="shared" si="26"/>
        <v>0</v>
      </c>
      <c r="D274" s="22" t="e">
        <f>VLOOKUP($A274, TAB_JUROS_U[[Q_DIAS_U_PARC_TIR]:[V_FUT_U_JURS CENARIO]], D$5, FALSE)</f>
        <v>#N/A</v>
      </c>
      <c r="E274" s="22" t="e">
        <f>VLOOKUP($A274,TAB_CORRECAO_U[[Q_DIAS_U_PARC_TIR]:[V_FUT_U_CORC-02]],E$5, FALSE)</f>
        <v>#N/A</v>
      </c>
      <c r="F274" s="22" t="e">
        <f>VLOOKUP($A274,TAB_AMORTIZACAO_U[[Q_DIAS_U_PARC_TIR]:[V_FUT_U_PCPL-02]], F$5, FALSE)</f>
        <v>#N/A</v>
      </c>
      <c r="H274" s="20">
        <f t="shared" si="27"/>
        <v>0</v>
      </c>
      <c r="I274" s="21">
        <f t="shared" si="28"/>
        <v>0</v>
      </c>
      <c r="J274" s="22" t="e">
        <f>VLOOKUP($A274, TAB_JUROS_C[[DIAS_CORRIDOS]:[V_FUT_UTEIS]], J$5, FALSE)</f>
        <v>#N/A</v>
      </c>
      <c r="K274" s="22" t="e">
        <f>VLOOKUP($A274, TAB_CORRECAO_C[[DIAS_CORRIDOS]:[V_FUT_UTEIS]],K$5, FALSE)</f>
        <v>#N/A</v>
      </c>
      <c r="L274" s="22" t="e">
        <f>VLOOKUP($A274, TAB_AMORTIZACAO_C[[DIAS_CORRIDOS]:[V_FUT_UTEIS]], L$5, FALSE)</f>
        <v>#N/A</v>
      </c>
    </row>
    <row r="275" spans="1:12" hidden="1">
      <c r="A275" s="19">
        <f t="shared" si="29"/>
        <v>269</v>
      </c>
      <c r="B275" s="20">
        <f t="shared" si="25"/>
        <v>0</v>
      </c>
      <c r="C275" s="21">
        <f t="shared" si="26"/>
        <v>0</v>
      </c>
      <c r="D275" s="22" t="e">
        <f>VLOOKUP($A275, TAB_JUROS_U[[Q_DIAS_U_PARC_TIR]:[V_FUT_U_JURS CENARIO]], D$5, FALSE)</f>
        <v>#N/A</v>
      </c>
      <c r="E275" s="22" t="e">
        <f>VLOOKUP($A275,TAB_CORRECAO_U[[Q_DIAS_U_PARC_TIR]:[V_FUT_U_CORC-02]],E$5, FALSE)</f>
        <v>#N/A</v>
      </c>
      <c r="F275" s="22" t="e">
        <f>VLOOKUP($A275,TAB_AMORTIZACAO_U[[Q_DIAS_U_PARC_TIR]:[V_FUT_U_PCPL-02]], F$5, FALSE)</f>
        <v>#N/A</v>
      </c>
      <c r="H275" s="20">
        <f t="shared" si="27"/>
        <v>0</v>
      </c>
      <c r="I275" s="21">
        <f t="shared" si="28"/>
        <v>0</v>
      </c>
      <c r="J275" s="22" t="e">
        <f>VLOOKUP($A275, TAB_JUROS_C[[DIAS_CORRIDOS]:[V_FUT_UTEIS]], J$5, FALSE)</f>
        <v>#N/A</v>
      </c>
      <c r="K275" s="22" t="e">
        <f>VLOOKUP($A275, TAB_CORRECAO_C[[DIAS_CORRIDOS]:[V_FUT_UTEIS]],K$5, FALSE)</f>
        <v>#N/A</v>
      </c>
      <c r="L275" s="22" t="e">
        <f>VLOOKUP($A275, TAB_AMORTIZACAO_C[[DIAS_CORRIDOS]:[V_FUT_UTEIS]], L$5, FALSE)</f>
        <v>#N/A</v>
      </c>
    </row>
    <row r="276" spans="1:12" hidden="1">
      <c r="A276" s="19">
        <f t="shared" si="29"/>
        <v>270</v>
      </c>
      <c r="B276" s="20">
        <f t="shared" si="25"/>
        <v>0</v>
      </c>
      <c r="C276" s="21">
        <f t="shared" si="26"/>
        <v>0</v>
      </c>
      <c r="D276" s="22" t="e">
        <f>VLOOKUP($A276, TAB_JUROS_U[[Q_DIAS_U_PARC_TIR]:[V_FUT_U_JURS CENARIO]], D$5, FALSE)</f>
        <v>#N/A</v>
      </c>
      <c r="E276" s="22" t="e">
        <f>VLOOKUP($A276,TAB_CORRECAO_U[[Q_DIAS_U_PARC_TIR]:[V_FUT_U_CORC-02]],E$5, FALSE)</f>
        <v>#N/A</v>
      </c>
      <c r="F276" s="22" t="e">
        <f>VLOOKUP($A276,TAB_AMORTIZACAO_U[[Q_DIAS_U_PARC_TIR]:[V_FUT_U_PCPL-02]], F$5, FALSE)</f>
        <v>#N/A</v>
      </c>
      <c r="H276" s="20">
        <f t="shared" si="27"/>
        <v>0</v>
      </c>
      <c r="I276" s="21">
        <f t="shared" si="28"/>
        <v>0</v>
      </c>
      <c r="J276" s="22" t="e">
        <f>VLOOKUP($A276, TAB_JUROS_C[[DIAS_CORRIDOS]:[V_FUT_UTEIS]], J$5, FALSE)</f>
        <v>#N/A</v>
      </c>
      <c r="K276" s="22" t="e">
        <f>VLOOKUP($A276, TAB_CORRECAO_C[[DIAS_CORRIDOS]:[V_FUT_UTEIS]],K$5, FALSE)</f>
        <v>#N/A</v>
      </c>
      <c r="L276" s="22" t="e">
        <f>VLOOKUP($A276, TAB_AMORTIZACAO_C[[DIAS_CORRIDOS]:[V_FUT_UTEIS]], L$5, FALSE)</f>
        <v>#N/A</v>
      </c>
    </row>
    <row r="277" spans="1:12" hidden="1">
      <c r="A277" s="19">
        <f t="shared" si="29"/>
        <v>271</v>
      </c>
      <c r="B277" s="20">
        <f t="shared" si="25"/>
        <v>0</v>
      </c>
      <c r="C277" s="21">
        <f t="shared" si="26"/>
        <v>0</v>
      </c>
      <c r="D277" s="22" t="e">
        <f>VLOOKUP($A277, TAB_JUROS_U[[Q_DIAS_U_PARC_TIR]:[V_FUT_U_JURS CENARIO]], D$5, FALSE)</f>
        <v>#N/A</v>
      </c>
      <c r="E277" s="22" t="e">
        <f>VLOOKUP($A277,TAB_CORRECAO_U[[Q_DIAS_U_PARC_TIR]:[V_FUT_U_CORC-02]],E$5, FALSE)</f>
        <v>#N/A</v>
      </c>
      <c r="F277" s="22" t="e">
        <f>VLOOKUP($A277,TAB_AMORTIZACAO_U[[Q_DIAS_U_PARC_TIR]:[V_FUT_U_PCPL-02]], F$5, FALSE)</f>
        <v>#N/A</v>
      </c>
      <c r="H277" s="20">
        <f t="shared" si="27"/>
        <v>0</v>
      </c>
      <c r="I277" s="21">
        <f t="shared" si="28"/>
        <v>0</v>
      </c>
      <c r="J277" s="22" t="e">
        <f>VLOOKUP($A277, TAB_JUROS_C[[DIAS_CORRIDOS]:[V_FUT_UTEIS]], J$5, FALSE)</f>
        <v>#N/A</v>
      </c>
      <c r="K277" s="22" t="e">
        <f>VLOOKUP($A277, TAB_CORRECAO_C[[DIAS_CORRIDOS]:[V_FUT_UTEIS]],K$5, FALSE)</f>
        <v>#N/A</v>
      </c>
      <c r="L277" s="22" t="e">
        <f>VLOOKUP($A277, TAB_AMORTIZACAO_C[[DIAS_CORRIDOS]:[V_FUT_UTEIS]], L$5, FALSE)</f>
        <v>#N/A</v>
      </c>
    </row>
    <row r="278" spans="1:12" hidden="1">
      <c r="A278" s="19">
        <f t="shared" si="29"/>
        <v>272</v>
      </c>
      <c r="B278" s="20">
        <f t="shared" si="25"/>
        <v>0</v>
      </c>
      <c r="C278" s="21">
        <f t="shared" si="26"/>
        <v>0</v>
      </c>
      <c r="D278" s="22" t="e">
        <f>VLOOKUP($A278, TAB_JUROS_U[[Q_DIAS_U_PARC_TIR]:[V_FUT_U_JURS CENARIO]], D$5, FALSE)</f>
        <v>#N/A</v>
      </c>
      <c r="E278" s="22" t="e">
        <f>VLOOKUP($A278,TAB_CORRECAO_U[[Q_DIAS_U_PARC_TIR]:[V_FUT_U_CORC-02]],E$5, FALSE)</f>
        <v>#N/A</v>
      </c>
      <c r="F278" s="22" t="e">
        <f>VLOOKUP($A278,TAB_AMORTIZACAO_U[[Q_DIAS_U_PARC_TIR]:[V_FUT_U_PCPL-02]], F$5, FALSE)</f>
        <v>#N/A</v>
      </c>
      <c r="H278" s="20">
        <f t="shared" si="27"/>
        <v>0</v>
      </c>
      <c r="I278" s="21">
        <f t="shared" si="28"/>
        <v>0</v>
      </c>
      <c r="J278" s="22" t="e">
        <f>VLOOKUP($A278, TAB_JUROS_C[[DIAS_CORRIDOS]:[V_FUT_UTEIS]], J$5, FALSE)</f>
        <v>#N/A</v>
      </c>
      <c r="K278" s="22" t="e">
        <f>VLOOKUP($A278, TAB_CORRECAO_C[[DIAS_CORRIDOS]:[V_FUT_UTEIS]],K$5, FALSE)</f>
        <v>#N/A</v>
      </c>
      <c r="L278" s="22" t="e">
        <f>VLOOKUP($A278, TAB_AMORTIZACAO_C[[DIAS_CORRIDOS]:[V_FUT_UTEIS]], L$5, FALSE)</f>
        <v>#N/A</v>
      </c>
    </row>
    <row r="279" spans="1:12" hidden="1">
      <c r="A279" s="19">
        <f t="shared" si="29"/>
        <v>273</v>
      </c>
      <c r="B279" s="20">
        <f t="shared" si="25"/>
        <v>0</v>
      </c>
      <c r="C279" s="21">
        <f t="shared" si="26"/>
        <v>0</v>
      </c>
      <c r="D279" s="22" t="e">
        <f>VLOOKUP($A279, TAB_JUROS_U[[Q_DIAS_U_PARC_TIR]:[V_FUT_U_JURS CENARIO]], D$5, FALSE)</f>
        <v>#N/A</v>
      </c>
      <c r="E279" s="22" t="e">
        <f>VLOOKUP($A279,TAB_CORRECAO_U[[Q_DIAS_U_PARC_TIR]:[V_FUT_U_CORC-02]],E$5, FALSE)</f>
        <v>#N/A</v>
      </c>
      <c r="F279" s="22" t="e">
        <f>VLOOKUP($A279,TAB_AMORTIZACAO_U[[Q_DIAS_U_PARC_TIR]:[V_FUT_U_PCPL-02]], F$5, FALSE)</f>
        <v>#N/A</v>
      </c>
      <c r="H279" s="20">
        <f t="shared" si="27"/>
        <v>0</v>
      </c>
      <c r="I279" s="21">
        <f t="shared" si="28"/>
        <v>0</v>
      </c>
      <c r="J279" s="22" t="e">
        <f>VLOOKUP($A279, TAB_JUROS_C[[DIAS_CORRIDOS]:[V_FUT_UTEIS]], J$5, FALSE)</f>
        <v>#N/A</v>
      </c>
      <c r="K279" s="22" t="e">
        <f>VLOOKUP($A279, TAB_CORRECAO_C[[DIAS_CORRIDOS]:[V_FUT_UTEIS]],K$5, FALSE)</f>
        <v>#N/A</v>
      </c>
      <c r="L279" s="22" t="e">
        <f>VLOOKUP($A279, TAB_AMORTIZACAO_C[[DIAS_CORRIDOS]:[V_FUT_UTEIS]], L$5, FALSE)</f>
        <v>#N/A</v>
      </c>
    </row>
    <row r="280" spans="1:12" hidden="1">
      <c r="A280" s="19">
        <f t="shared" si="29"/>
        <v>274</v>
      </c>
      <c r="B280" s="20">
        <f t="shared" si="25"/>
        <v>0</v>
      </c>
      <c r="C280" s="21">
        <f t="shared" si="26"/>
        <v>0</v>
      </c>
      <c r="D280" s="22" t="e">
        <f>VLOOKUP($A280, TAB_JUROS_U[[Q_DIAS_U_PARC_TIR]:[V_FUT_U_JURS CENARIO]], D$5, FALSE)</f>
        <v>#N/A</v>
      </c>
      <c r="E280" s="22" t="e">
        <f>VLOOKUP($A280,TAB_CORRECAO_U[[Q_DIAS_U_PARC_TIR]:[V_FUT_U_CORC-02]],E$5, FALSE)</f>
        <v>#N/A</v>
      </c>
      <c r="F280" s="22" t="e">
        <f>VLOOKUP($A280,TAB_AMORTIZACAO_U[[Q_DIAS_U_PARC_TIR]:[V_FUT_U_PCPL-02]], F$5, FALSE)</f>
        <v>#N/A</v>
      </c>
      <c r="H280" s="20">
        <f t="shared" si="27"/>
        <v>0</v>
      </c>
      <c r="I280" s="21">
        <f t="shared" si="28"/>
        <v>0</v>
      </c>
      <c r="J280" s="22" t="e">
        <f>VLOOKUP($A280, TAB_JUROS_C[[DIAS_CORRIDOS]:[V_FUT_UTEIS]], J$5, FALSE)</f>
        <v>#N/A</v>
      </c>
      <c r="K280" s="22" t="e">
        <f>VLOOKUP($A280, TAB_CORRECAO_C[[DIAS_CORRIDOS]:[V_FUT_UTEIS]],K$5, FALSE)</f>
        <v>#N/A</v>
      </c>
      <c r="L280" s="22" t="e">
        <f>VLOOKUP($A280, TAB_AMORTIZACAO_C[[DIAS_CORRIDOS]:[V_FUT_UTEIS]], L$5, FALSE)</f>
        <v>#N/A</v>
      </c>
    </row>
    <row r="281" spans="1:12" hidden="1">
      <c r="A281" s="19">
        <f t="shared" si="29"/>
        <v>275</v>
      </c>
      <c r="B281" s="20">
        <f t="shared" si="25"/>
        <v>0</v>
      </c>
      <c r="C281" s="21">
        <f t="shared" si="26"/>
        <v>0</v>
      </c>
      <c r="D281" s="22" t="e">
        <f>VLOOKUP($A281, TAB_JUROS_U[[Q_DIAS_U_PARC_TIR]:[V_FUT_U_JURS CENARIO]], D$5, FALSE)</f>
        <v>#N/A</v>
      </c>
      <c r="E281" s="22" t="e">
        <f>VLOOKUP($A281,TAB_CORRECAO_U[[Q_DIAS_U_PARC_TIR]:[V_FUT_U_CORC-02]],E$5, FALSE)</f>
        <v>#N/A</v>
      </c>
      <c r="F281" s="22" t="e">
        <f>VLOOKUP($A281,TAB_AMORTIZACAO_U[[Q_DIAS_U_PARC_TIR]:[V_FUT_U_PCPL-02]], F$5, FALSE)</f>
        <v>#N/A</v>
      </c>
      <c r="H281" s="20">
        <f t="shared" si="27"/>
        <v>0</v>
      </c>
      <c r="I281" s="21">
        <f t="shared" si="28"/>
        <v>0</v>
      </c>
      <c r="J281" s="22" t="e">
        <f>VLOOKUP($A281, TAB_JUROS_C[[DIAS_CORRIDOS]:[V_FUT_UTEIS]], J$5, FALSE)</f>
        <v>#N/A</v>
      </c>
      <c r="K281" s="22" t="e">
        <f>VLOOKUP($A281, TAB_CORRECAO_C[[DIAS_CORRIDOS]:[V_FUT_UTEIS]],K$5, FALSE)</f>
        <v>#N/A</v>
      </c>
      <c r="L281" s="22" t="e">
        <f>VLOOKUP($A281, TAB_AMORTIZACAO_C[[DIAS_CORRIDOS]:[V_FUT_UTEIS]], L$5, FALSE)</f>
        <v>#N/A</v>
      </c>
    </row>
    <row r="282" spans="1:12" hidden="1">
      <c r="A282" s="19">
        <f t="shared" si="29"/>
        <v>276</v>
      </c>
      <c r="B282" s="20">
        <f t="shared" si="25"/>
        <v>0</v>
      </c>
      <c r="C282" s="21">
        <f t="shared" si="26"/>
        <v>0</v>
      </c>
      <c r="D282" s="22" t="e">
        <f>VLOOKUP($A282, TAB_JUROS_U[[Q_DIAS_U_PARC_TIR]:[V_FUT_U_JURS CENARIO]], D$5, FALSE)</f>
        <v>#N/A</v>
      </c>
      <c r="E282" s="22" t="e">
        <f>VLOOKUP($A282,TAB_CORRECAO_U[[Q_DIAS_U_PARC_TIR]:[V_FUT_U_CORC-02]],E$5, FALSE)</f>
        <v>#N/A</v>
      </c>
      <c r="F282" s="22" t="e">
        <f>VLOOKUP($A282,TAB_AMORTIZACAO_U[[Q_DIAS_U_PARC_TIR]:[V_FUT_U_PCPL-02]], F$5, FALSE)</f>
        <v>#N/A</v>
      </c>
      <c r="H282" s="20">
        <f t="shared" si="27"/>
        <v>0</v>
      </c>
      <c r="I282" s="21">
        <f t="shared" si="28"/>
        <v>0</v>
      </c>
      <c r="J282" s="22" t="e">
        <f>VLOOKUP($A282, TAB_JUROS_C[[DIAS_CORRIDOS]:[V_FUT_UTEIS]], J$5, FALSE)</f>
        <v>#N/A</v>
      </c>
      <c r="K282" s="22" t="e">
        <f>VLOOKUP($A282, TAB_CORRECAO_C[[DIAS_CORRIDOS]:[V_FUT_UTEIS]],K$5, FALSE)</f>
        <v>#N/A</v>
      </c>
      <c r="L282" s="22" t="e">
        <f>VLOOKUP($A282, TAB_AMORTIZACAO_C[[DIAS_CORRIDOS]:[V_FUT_UTEIS]], L$5, FALSE)</f>
        <v>#N/A</v>
      </c>
    </row>
    <row r="283" spans="1:12" hidden="1">
      <c r="A283" s="19">
        <f t="shared" si="29"/>
        <v>277</v>
      </c>
      <c r="B283" s="20">
        <f t="shared" si="25"/>
        <v>0</v>
      </c>
      <c r="C283" s="21">
        <f t="shared" si="26"/>
        <v>0</v>
      </c>
      <c r="D283" s="22" t="e">
        <f>VLOOKUP($A283, TAB_JUROS_U[[Q_DIAS_U_PARC_TIR]:[V_FUT_U_JURS CENARIO]], D$5, FALSE)</f>
        <v>#N/A</v>
      </c>
      <c r="E283" s="22" t="e">
        <f>VLOOKUP($A283,TAB_CORRECAO_U[[Q_DIAS_U_PARC_TIR]:[V_FUT_U_CORC-02]],E$5, FALSE)</f>
        <v>#N/A</v>
      </c>
      <c r="F283" s="22" t="e">
        <f>VLOOKUP($A283,TAB_AMORTIZACAO_U[[Q_DIAS_U_PARC_TIR]:[V_FUT_U_PCPL-02]], F$5, FALSE)</f>
        <v>#N/A</v>
      </c>
      <c r="H283" s="20">
        <f t="shared" si="27"/>
        <v>0</v>
      </c>
      <c r="I283" s="21">
        <f t="shared" si="28"/>
        <v>0</v>
      </c>
      <c r="J283" s="22" t="e">
        <f>VLOOKUP($A283, TAB_JUROS_C[[DIAS_CORRIDOS]:[V_FUT_UTEIS]], J$5, FALSE)</f>
        <v>#N/A</v>
      </c>
      <c r="K283" s="22" t="e">
        <f>VLOOKUP($A283, TAB_CORRECAO_C[[DIAS_CORRIDOS]:[V_FUT_UTEIS]],K$5, FALSE)</f>
        <v>#N/A</v>
      </c>
      <c r="L283" s="22" t="e">
        <f>VLOOKUP($A283, TAB_AMORTIZACAO_C[[DIAS_CORRIDOS]:[V_FUT_UTEIS]], L$5, FALSE)</f>
        <v>#N/A</v>
      </c>
    </row>
    <row r="284" spans="1:12" hidden="1">
      <c r="A284" s="19">
        <f t="shared" si="29"/>
        <v>278</v>
      </c>
      <c r="B284" s="20">
        <f t="shared" si="25"/>
        <v>0</v>
      </c>
      <c r="C284" s="21">
        <f t="shared" si="26"/>
        <v>0</v>
      </c>
      <c r="D284" s="22" t="e">
        <f>VLOOKUP($A284, TAB_JUROS_U[[Q_DIAS_U_PARC_TIR]:[V_FUT_U_JURS CENARIO]], D$5, FALSE)</f>
        <v>#N/A</v>
      </c>
      <c r="E284" s="22" t="e">
        <f>VLOOKUP($A284,TAB_CORRECAO_U[[Q_DIAS_U_PARC_TIR]:[V_FUT_U_CORC-02]],E$5, FALSE)</f>
        <v>#N/A</v>
      </c>
      <c r="F284" s="22" t="e">
        <f>VLOOKUP($A284,TAB_AMORTIZACAO_U[[Q_DIAS_U_PARC_TIR]:[V_FUT_U_PCPL-02]], F$5, FALSE)</f>
        <v>#N/A</v>
      </c>
      <c r="H284" s="20">
        <f t="shared" si="27"/>
        <v>0</v>
      </c>
      <c r="I284" s="21">
        <f t="shared" si="28"/>
        <v>0</v>
      </c>
      <c r="J284" s="22" t="e">
        <f>VLOOKUP($A284, TAB_JUROS_C[[DIAS_CORRIDOS]:[V_FUT_UTEIS]], J$5, FALSE)</f>
        <v>#N/A</v>
      </c>
      <c r="K284" s="22" t="e">
        <f>VLOOKUP($A284, TAB_CORRECAO_C[[DIAS_CORRIDOS]:[V_FUT_UTEIS]],K$5, FALSE)</f>
        <v>#N/A</v>
      </c>
      <c r="L284" s="22" t="e">
        <f>VLOOKUP($A284, TAB_AMORTIZACAO_C[[DIAS_CORRIDOS]:[V_FUT_UTEIS]], L$5, FALSE)</f>
        <v>#N/A</v>
      </c>
    </row>
    <row r="285" spans="1:12" hidden="1">
      <c r="A285" s="19">
        <f t="shared" si="29"/>
        <v>279</v>
      </c>
      <c r="B285" s="20">
        <f t="shared" si="25"/>
        <v>0</v>
      </c>
      <c r="C285" s="21">
        <f t="shared" si="26"/>
        <v>0</v>
      </c>
      <c r="D285" s="22" t="e">
        <f>VLOOKUP($A285, TAB_JUROS_U[[Q_DIAS_U_PARC_TIR]:[V_FUT_U_JURS CENARIO]], D$5, FALSE)</f>
        <v>#N/A</v>
      </c>
      <c r="E285" s="22" t="e">
        <f>VLOOKUP($A285,TAB_CORRECAO_U[[Q_DIAS_U_PARC_TIR]:[V_FUT_U_CORC-02]],E$5, FALSE)</f>
        <v>#N/A</v>
      </c>
      <c r="F285" s="22" t="e">
        <f>VLOOKUP($A285,TAB_AMORTIZACAO_U[[Q_DIAS_U_PARC_TIR]:[V_FUT_U_PCPL-02]], F$5, FALSE)</f>
        <v>#N/A</v>
      </c>
      <c r="H285" s="20">
        <f t="shared" si="27"/>
        <v>0</v>
      </c>
      <c r="I285" s="21">
        <f t="shared" si="28"/>
        <v>0</v>
      </c>
      <c r="J285" s="22" t="e">
        <f>VLOOKUP($A285, TAB_JUROS_C[[DIAS_CORRIDOS]:[V_FUT_UTEIS]], J$5, FALSE)</f>
        <v>#N/A</v>
      </c>
      <c r="K285" s="22" t="e">
        <f>VLOOKUP($A285, TAB_CORRECAO_C[[DIAS_CORRIDOS]:[V_FUT_UTEIS]],K$5, FALSE)</f>
        <v>#N/A</v>
      </c>
      <c r="L285" s="22" t="e">
        <f>VLOOKUP($A285, TAB_AMORTIZACAO_C[[DIAS_CORRIDOS]:[V_FUT_UTEIS]], L$5, FALSE)</f>
        <v>#N/A</v>
      </c>
    </row>
    <row r="286" spans="1:12" hidden="1">
      <c r="A286" s="19">
        <f t="shared" si="29"/>
        <v>280</v>
      </c>
      <c r="B286" s="20">
        <f t="shared" si="25"/>
        <v>0</v>
      </c>
      <c r="C286" s="21">
        <f t="shared" si="26"/>
        <v>0</v>
      </c>
      <c r="D286" s="22" t="e">
        <f>VLOOKUP($A286, TAB_JUROS_U[[Q_DIAS_U_PARC_TIR]:[V_FUT_U_JURS CENARIO]], D$5, FALSE)</f>
        <v>#N/A</v>
      </c>
      <c r="E286" s="22" t="e">
        <f>VLOOKUP($A286,TAB_CORRECAO_U[[Q_DIAS_U_PARC_TIR]:[V_FUT_U_CORC-02]],E$5, FALSE)</f>
        <v>#N/A</v>
      </c>
      <c r="F286" s="22" t="e">
        <f>VLOOKUP($A286,TAB_AMORTIZACAO_U[[Q_DIAS_U_PARC_TIR]:[V_FUT_U_PCPL-02]], F$5, FALSE)</f>
        <v>#N/A</v>
      </c>
      <c r="H286" s="20">
        <f t="shared" si="27"/>
        <v>0</v>
      </c>
      <c r="I286" s="21">
        <f t="shared" si="28"/>
        <v>0</v>
      </c>
      <c r="J286" s="22" t="e">
        <f>VLOOKUP($A286, TAB_JUROS_C[[DIAS_CORRIDOS]:[V_FUT_UTEIS]], J$5, FALSE)</f>
        <v>#N/A</v>
      </c>
      <c r="K286" s="22" t="e">
        <f>VLOOKUP($A286, TAB_CORRECAO_C[[DIAS_CORRIDOS]:[V_FUT_UTEIS]],K$5, FALSE)</f>
        <v>#N/A</v>
      </c>
      <c r="L286" s="22" t="e">
        <f>VLOOKUP($A286, TAB_AMORTIZACAO_C[[DIAS_CORRIDOS]:[V_FUT_UTEIS]], L$5, FALSE)</f>
        <v>#N/A</v>
      </c>
    </row>
    <row r="287" spans="1:12" hidden="1">
      <c r="A287" s="19">
        <f t="shared" si="29"/>
        <v>281</v>
      </c>
      <c r="B287" s="20">
        <f t="shared" si="25"/>
        <v>0</v>
      </c>
      <c r="C287" s="21">
        <f t="shared" si="26"/>
        <v>0</v>
      </c>
      <c r="D287" s="22" t="e">
        <f>VLOOKUP($A287, TAB_JUROS_U[[Q_DIAS_U_PARC_TIR]:[V_FUT_U_JURS CENARIO]], D$5, FALSE)</f>
        <v>#N/A</v>
      </c>
      <c r="E287" s="22" t="e">
        <f>VLOOKUP($A287,TAB_CORRECAO_U[[Q_DIAS_U_PARC_TIR]:[V_FUT_U_CORC-02]],E$5, FALSE)</f>
        <v>#N/A</v>
      </c>
      <c r="F287" s="22" t="e">
        <f>VLOOKUP($A287,TAB_AMORTIZACAO_U[[Q_DIAS_U_PARC_TIR]:[V_FUT_U_PCPL-02]], F$5, FALSE)</f>
        <v>#N/A</v>
      </c>
      <c r="H287" s="20">
        <f t="shared" si="27"/>
        <v>0</v>
      </c>
      <c r="I287" s="21">
        <f t="shared" si="28"/>
        <v>0</v>
      </c>
      <c r="J287" s="22" t="e">
        <f>VLOOKUP($A287, TAB_JUROS_C[[DIAS_CORRIDOS]:[V_FUT_UTEIS]], J$5, FALSE)</f>
        <v>#N/A</v>
      </c>
      <c r="K287" s="22" t="e">
        <f>VLOOKUP($A287, TAB_CORRECAO_C[[DIAS_CORRIDOS]:[V_FUT_UTEIS]],K$5, FALSE)</f>
        <v>#N/A</v>
      </c>
      <c r="L287" s="22" t="e">
        <f>VLOOKUP($A287, TAB_AMORTIZACAO_C[[DIAS_CORRIDOS]:[V_FUT_UTEIS]], L$5, FALSE)</f>
        <v>#N/A</v>
      </c>
    </row>
    <row r="288" spans="1:12" hidden="1">
      <c r="A288" s="19">
        <f t="shared" si="29"/>
        <v>282</v>
      </c>
      <c r="B288" s="20">
        <f t="shared" si="25"/>
        <v>0</v>
      </c>
      <c r="C288" s="21">
        <f t="shared" si="26"/>
        <v>0</v>
      </c>
      <c r="D288" s="22" t="e">
        <f>VLOOKUP($A288, TAB_JUROS_U[[Q_DIAS_U_PARC_TIR]:[V_FUT_U_JURS CENARIO]], D$5, FALSE)</f>
        <v>#N/A</v>
      </c>
      <c r="E288" s="22" t="e">
        <f>VLOOKUP($A288,TAB_CORRECAO_U[[Q_DIAS_U_PARC_TIR]:[V_FUT_U_CORC-02]],E$5, FALSE)</f>
        <v>#N/A</v>
      </c>
      <c r="F288" s="22" t="e">
        <f>VLOOKUP($A288,TAB_AMORTIZACAO_U[[Q_DIAS_U_PARC_TIR]:[V_FUT_U_PCPL-02]], F$5, FALSE)</f>
        <v>#N/A</v>
      </c>
      <c r="H288" s="20">
        <f t="shared" si="27"/>
        <v>0</v>
      </c>
      <c r="I288" s="21">
        <f t="shared" si="28"/>
        <v>0</v>
      </c>
      <c r="J288" s="22" t="e">
        <f>VLOOKUP($A288, TAB_JUROS_C[[DIAS_CORRIDOS]:[V_FUT_UTEIS]], J$5, FALSE)</f>
        <v>#N/A</v>
      </c>
      <c r="K288" s="22" t="e">
        <f>VLOOKUP($A288, TAB_CORRECAO_C[[DIAS_CORRIDOS]:[V_FUT_UTEIS]],K$5, FALSE)</f>
        <v>#N/A</v>
      </c>
      <c r="L288" s="22" t="e">
        <f>VLOOKUP($A288, TAB_AMORTIZACAO_C[[DIAS_CORRIDOS]:[V_FUT_UTEIS]], L$5, FALSE)</f>
        <v>#N/A</v>
      </c>
    </row>
    <row r="289" spans="1:12" hidden="1">
      <c r="A289" s="19">
        <f t="shared" si="29"/>
        <v>283</v>
      </c>
      <c r="B289" s="20">
        <f t="shared" si="25"/>
        <v>0</v>
      </c>
      <c r="C289" s="21">
        <f t="shared" si="26"/>
        <v>0</v>
      </c>
      <c r="D289" s="22" t="e">
        <f>VLOOKUP($A289, TAB_JUROS_U[[Q_DIAS_U_PARC_TIR]:[V_FUT_U_JURS CENARIO]], D$5, FALSE)</f>
        <v>#N/A</v>
      </c>
      <c r="E289" s="22" t="e">
        <f>VLOOKUP($A289,TAB_CORRECAO_U[[Q_DIAS_U_PARC_TIR]:[V_FUT_U_CORC-02]],E$5, FALSE)</f>
        <v>#N/A</v>
      </c>
      <c r="F289" s="22" t="e">
        <f>VLOOKUP($A289,TAB_AMORTIZACAO_U[[Q_DIAS_U_PARC_TIR]:[V_FUT_U_PCPL-02]], F$5, FALSE)</f>
        <v>#N/A</v>
      </c>
      <c r="H289" s="20">
        <f t="shared" si="27"/>
        <v>0</v>
      </c>
      <c r="I289" s="21">
        <f t="shared" si="28"/>
        <v>0</v>
      </c>
      <c r="J289" s="22" t="e">
        <f>VLOOKUP($A289, TAB_JUROS_C[[DIAS_CORRIDOS]:[V_FUT_UTEIS]], J$5, FALSE)</f>
        <v>#N/A</v>
      </c>
      <c r="K289" s="22" t="e">
        <f>VLOOKUP($A289, TAB_CORRECAO_C[[DIAS_CORRIDOS]:[V_FUT_UTEIS]],K$5, FALSE)</f>
        <v>#N/A</v>
      </c>
      <c r="L289" s="22" t="e">
        <f>VLOOKUP($A289, TAB_AMORTIZACAO_C[[DIAS_CORRIDOS]:[V_FUT_UTEIS]], L$5, FALSE)</f>
        <v>#N/A</v>
      </c>
    </row>
    <row r="290" spans="1:12" hidden="1">
      <c r="A290" s="19">
        <f t="shared" si="29"/>
        <v>284</v>
      </c>
      <c r="B290" s="20">
        <f t="shared" si="25"/>
        <v>0</v>
      </c>
      <c r="C290" s="21">
        <f t="shared" si="26"/>
        <v>0</v>
      </c>
      <c r="D290" s="22" t="e">
        <f>VLOOKUP($A290, TAB_JUROS_U[[Q_DIAS_U_PARC_TIR]:[V_FUT_U_JURS CENARIO]], D$5, FALSE)</f>
        <v>#N/A</v>
      </c>
      <c r="E290" s="22" t="e">
        <f>VLOOKUP($A290,TAB_CORRECAO_U[[Q_DIAS_U_PARC_TIR]:[V_FUT_U_CORC-02]],E$5, FALSE)</f>
        <v>#N/A</v>
      </c>
      <c r="F290" s="22" t="e">
        <f>VLOOKUP($A290,TAB_AMORTIZACAO_U[[Q_DIAS_U_PARC_TIR]:[V_FUT_U_PCPL-02]], F$5, FALSE)</f>
        <v>#N/A</v>
      </c>
      <c r="H290" s="20">
        <f t="shared" si="27"/>
        <v>0</v>
      </c>
      <c r="I290" s="21">
        <f t="shared" si="28"/>
        <v>0</v>
      </c>
      <c r="J290" s="22" t="e">
        <f>VLOOKUP($A290, TAB_JUROS_C[[DIAS_CORRIDOS]:[V_FUT_UTEIS]], J$5, FALSE)</f>
        <v>#N/A</v>
      </c>
      <c r="K290" s="22" t="e">
        <f>VLOOKUP($A290, TAB_CORRECAO_C[[DIAS_CORRIDOS]:[V_FUT_UTEIS]],K$5, FALSE)</f>
        <v>#N/A</v>
      </c>
      <c r="L290" s="22" t="e">
        <f>VLOOKUP($A290, TAB_AMORTIZACAO_C[[DIAS_CORRIDOS]:[V_FUT_UTEIS]], L$5, FALSE)</f>
        <v>#N/A</v>
      </c>
    </row>
    <row r="291" spans="1:12" hidden="1">
      <c r="A291" s="19">
        <f t="shared" si="29"/>
        <v>285</v>
      </c>
      <c r="B291" s="20">
        <f t="shared" si="25"/>
        <v>0</v>
      </c>
      <c r="C291" s="21">
        <f t="shared" si="26"/>
        <v>0</v>
      </c>
      <c r="D291" s="22" t="e">
        <f>VLOOKUP($A291, TAB_JUROS_U[[Q_DIAS_U_PARC_TIR]:[V_FUT_U_JURS CENARIO]], D$5, FALSE)</f>
        <v>#N/A</v>
      </c>
      <c r="E291" s="22" t="e">
        <f>VLOOKUP($A291,TAB_CORRECAO_U[[Q_DIAS_U_PARC_TIR]:[V_FUT_U_CORC-02]],E$5, FALSE)</f>
        <v>#N/A</v>
      </c>
      <c r="F291" s="22" t="e">
        <f>VLOOKUP($A291,TAB_AMORTIZACAO_U[[Q_DIAS_U_PARC_TIR]:[V_FUT_U_PCPL-02]], F$5, FALSE)</f>
        <v>#N/A</v>
      </c>
      <c r="H291" s="20">
        <f t="shared" si="27"/>
        <v>0</v>
      </c>
      <c r="I291" s="21">
        <f t="shared" si="28"/>
        <v>0</v>
      </c>
      <c r="J291" s="22" t="e">
        <f>VLOOKUP($A291, TAB_JUROS_C[[DIAS_CORRIDOS]:[V_FUT_UTEIS]], J$5, FALSE)</f>
        <v>#N/A</v>
      </c>
      <c r="K291" s="22" t="e">
        <f>VLOOKUP($A291, TAB_CORRECAO_C[[DIAS_CORRIDOS]:[V_FUT_UTEIS]],K$5, FALSE)</f>
        <v>#N/A</v>
      </c>
      <c r="L291" s="22" t="e">
        <f>VLOOKUP($A291, TAB_AMORTIZACAO_C[[DIAS_CORRIDOS]:[V_FUT_UTEIS]], L$5, FALSE)</f>
        <v>#N/A</v>
      </c>
    </row>
    <row r="292" spans="1:12">
      <c r="A292" s="19">
        <f t="shared" si="29"/>
        <v>286</v>
      </c>
      <c r="B292" s="20">
        <f t="shared" si="25"/>
        <v>1974.084427566223</v>
      </c>
      <c r="C292" s="21">
        <f t="shared" si="26"/>
        <v>1974.084427566223</v>
      </c>
      <c r="D292" s="22">
        <f>VLOOKUP($A292, TAB_JUROS_U[[Q_DIAS_U_PARC_TIR]:[V_FUT_U_JURS CENARIO]], D$5, FALSE)</f>
        <v>162.42926441771493</v>
      </c>
      <c r="E292" s="22">
        <f>VLOOKUP($A292,TAB_CORRECAO_U[[Q_DIAS_U_PARC_TIR]:[V_FUT_U_CORC-02]],E$5, FALSE)</f>
        <v>1038.0367557101699</v>
      </c>
      <c r="F292" s="22">
        <f>VLOOKUP($A292,TAB_AMORTIZACAO_U[[Q_DIAS_U_PARC_TIR]:[V_FUT_U_PCPL-02]], F$5, FALSE)</f>
        <v>773.61840743833818</v>
      </c>
      <c r="H292" s="20">
        <f t="shared" si="27"/>
        <v>0</v>
      </c>
      <c r="I292" s="21">
        <f t="shared" si="28"/>
        <v>0</v>
      </c>
      <c r="J292" s="22" t="e">
        <f>VLOOKUP($A292, TAB_JUROS_C[[DIAS_CORRIDOS]:[V_FUT_UTEIS]], J$5, FALSE)</f>
        <v>#N/A</v>
      </c>
      <c r="K292" s="22" t="e">
        <f>VLOOKUP($A292, TAB_CORRECAO_C[[DIAS_CORRIDOS]:[V_FUT_UTEIS]],K$5, FALSE)</f>
        <v>#N/A</v>
      </c>
      <c r="L292" s="22" t="e">
        <f>VLOOKUP($A292, TAB_AMORTIZACAO_C[[DIAS_CORRIDOS]:[V_FUT_UTEIS]], L$5, FALSE)</f>
        <v>#N/A</v>
      </c>
    </row>
    <row r="293" spans="1:12" hidden="1">
      <c r="A293" s="19">
        <f t="shared" si="29"/>
        <v>287</v>
      </c>
      <c r="B293" s="20">
        <f t="shared" si="25"/>
        <v>0</v>
      </c>
      <c r="C293" s="21">
        <f t="shared" si="26"/>
        <v>0</v>
      </c>
      <c r="D293" s="22" t="e">
        <f>VLOOKUP($A293, TAB_JUROS_U[[Q_DIAS_U_PARC_TIR]:[V_FUT_U_JURS CENARIO]], D$5, FALSE)</f>
        <v>#N/A</v>
      </c>
      <c r="E293" s="22" t="e">
        <f>VLOOKUP($A293,TAB_CORRECAO_U[[Q_DIAS_U_PARC_TIR]:[V_FUT_U_CORC-02]],E$5, FALSE)</f>
        <v>#N/A</v>
      </c>
      <c r="F293" s="22" t="e">
        <f>VLOOKUP($A293,TAB_AMORTIZACAO_U[[Q_DIAS_U_PARC_TIR]:[V_FUT_U_PCPL-02]], F$5, FALSE)</f>
        <v>#N/A</v>
      </c>
      <c r="H293" s="20">
        <f t="shared" si="27"/>
        <v>0</v>
      </c>
      <c r="I293" s="21">
        <f t="shared" si="28"/>
        <v>0</v>
      </c>
      <c r="J293" s="22" t="e">
        <f>VLOOKUP($A293, TAB_JUROS_C[[DIAS_CORRIDOS]:[V_FUT_UTEIS]], J$5, FALSE)</f>
        <v>#N/A</v>
      </c>
      <c r="K293" s="22" t="e">
        <f>VLOOKUP($A293, TAB_CORRECAO_C[[DIAS_CORRIDOS]:[V_FUT_UTEIS]],K$5, FALSE)</f>
        <v>#N/A</v>
      </c>
      <c r="L293" s="22" t="e">
        <f>VLOOKUP($A293, TAB_AMORTIZACAO_C[[DIAS_CORRIDOS]:[V_FUT_UTEIS]], L$5, FALSE)</f>
        <v>#N/A</v>
      </c>
    </row>
    <row r="294" spans="1:12" hidden="1">
      <c r="A294" s="19">
        <f t="shared" si="29"/>
        <v>288</v>
      </c>
      <c r="B294" s="20">
        <f t="shared" si="25"/>
        <v>0</v>
      </c>
      <c r="C294" s="21">
        <f t="shared" si="26"/>
        <v>0</v>
      </c>
      <c r="D294" s="22" t="e">
        <f>VLOOKUP($A294, TAB_JUROS_U[[Q_DIAS_U_PARC_TIR]:[V_FUT_U_JURS CENARIO]], D$5, FALSE)</f>
        <v>#N/A</v>
      </c>
      <c r="E294" s="22" t="e">
        <f>VLOOKUP($A294,TAB_CORRECAO_U[[Q_DIAS_U_PARC_TIR]:[V_FUT_U_CORC-02]],E$5, FALSE)</f>
        <v>#N/A</v>
      </c>
      <c r="F294" s="22" t="e">
        <f>VLOOKUP($A294,TAB_AMORTIZACAO_U[[Q_DIAS_U_PARC_TIR]:[V_FUT_U_PCPL-02]], F$5, FALSE)</f>
        <v>#N/A</v>
      </c>
      <c r="H294" s="20">
        <f t="shared" si="27"/>
        <v>2050.1935273482668</v>
      </c>
      <c r="I294" s="21">
        <f t="shared" si="28"/>
        <v>2050.1935273482668</v>
      </c>
      <c r="J294" s="22">
        <f>VLOOKUP($A294, TAB_JUROS_C[[DIAS_CORRIDOS]:[V_FUT_UTEIS]], J$5, FALSE)</f>
        <v>169.81733092419108</v>
      </c>
      <c r="K294" s="22">
        <f>VLOOKUP($A294, TAB_CORRECAO_C[[DIAS_CORRIDOS]:[V_FUT_UTEIS]],K$5, FALSE)</f>
        <v>1088.7260276291827</v>
      </c>
      <c r="L294" s="22">
        <f>VLOOKUP($A294, TAB_AMORTIZACAO_C[[DIAS_CORRIDOS]:[V_FUT_UTEIS]], L$5, FALSE)</f>
        <v>791.65016879489281</v>
      </c>
    </row>
    <row r="295" spans="1:12" hidden="1">
      <c r="A295" s="19">
        <f t="shared" si="29"/>
        <v>289</v>
      </c>
      <c r="B295" s="20">
        <f t="shared" si="25"/>
        <v>0</v>
      </c>
      <c r="C295" s="21">
        <f t="shared" si="26"/>
        <v>0</v>
      </c>
      <c r="D295" s="22" t="e">
        <f>VLOOKUP($A295, TAB_JUROS_U[[Q_DIAS_U_PARC_TIR]:[V_FUT_U_JURS CENARIO]], D$5, FALSE)</f>
        <v>#N/A</v>
      </c>
      <c r="E295" s="22" t="e">
        <f>VLOOKUP($A295,TAB_CORRECAO_U[[Q_DIAS_U_PARC_TIR]:[V_FUT_U_CORC-02]],E$5, FALSE)</f>
        <v>#N/A</v>
      </c>
      <c r="F295" s="22" t="e">
        <f>VLOOKUP($A295,TAB_AMORTIZACAO_U[[Q_DIAS_U_PARC_TIR]:[V_FUT_U_PCPL-02]], F$5, FALSE)</f>
        <v>#N/A</v>
      </c>
      <c r="H295" s="20">
        <f t="shared" si="27"/>
        <v>0</v>
      </c>
      <c r="I295" s="21">
        <f t="shared" si="28"/>
        <v>0</v>
      </c>
      <c r="J295" s="22" t="e">
        <f>VLOOKUP($A295, TAB_JUROS_C[[DIAS_CORRIDOS]:[V_FUT_UTEIS]], J$5, FALSE)</f>
        <v>#N/A</v>
      </c>
      <c r="K295" s="22" t="e">
        <f>VLOOKUP($A295, TAB_CORRECAO_C[[DIAS_CORRIDOS]:[V_FUT_UTEIS]],K$5, FALSE)</f>
        <v>#N/A</v>
      </c>
      <c r="L295" s="22" t="e">
        <f>VLOOKUP($A295, TAB_AMORTIZACAO_C[[DIAS_CORRIDOS]:[V_FUT_UTEIS]], L$5, FALSE)</f>
        <v>#N/A</v>
      </c>
    </row>
    <row r="296" spans="1:12" hidden="1">
      <c r="A296" s="19">
        <f t="shared" si="29"/>
        <v>290</v>
      </c>
      <c r="B296" s="20">
        <f t="shared" si="25"/>
        <v>0</v>
      </c>
      <c r="C296" s="21">
        <f t="shared" si="26"/>
        <v>0</v>
      </c>
      <c r="D296" s="22" t="e">
        <f>VLOOKUP($A296, TAB_JUROS_U[[Q_DIAS_U_PARC_TIR]:[V_FUT_U_JURS CENARIO]], D$5, FALSE)</f>
        <v>#N/A</v>
      </c>
      <c r="E296" s="22" t="e">
        <f>VLOOKUP($A296,TAB_CORRECAO_U[[Q_DIAS_U_PARC_TIR]:[V_FUT_U_CORC-02]],E$5, FALSE)</f>
        <v>#N/A</v>
      </c>
      <c r="F296" s="22" t="e">
        <f>VLOOKUP($A296,TAB_AMORTIZACAO_U[[Q_DIAS_U_PARC_TIR]:[V_FUT_U_PCPL-02]], F$5, FALSE)</f>
        <v>#N/A</v>
      </c>
      <c r="H296" s="20">
        <f t="shared" si="27"/>
        <v>0</v>
      </c>
      <c r="I296" s="21">
        <f t="shared" si="28"/>
        <v>0</v>
      </c>
      <c r="J296" s="22" t="e">
        <f>VLOOKUP($A296, TAB_JUROS_C[[DIAS_CORRIDOS]:[V_FUT_UTEIS]], J$5, FALSE)</f>
        <v>#N/A</v>
      </c>
      <c r="K296" s="22" t="e">
        <f>VLOOKUP($A296, TAB_CORRECAO_C[[DIAS_CORRIDOS]:[V_FUT_UTEIS]],K$5, FALSE)</f>
        <v>#N/A</v>
      </c>
      <c r="L296" s="22" t="e">
        <f>VLOOKUP($A296, TAB_AMORTIZACAO_C[[DIAS_CORRIDOS]:[V_FUT_UTEIS]], L$5, FALSE)</f>
        <v>#N/A</v>
      </c>
    </row>
    <row r="297" spans="1:12" hidden="1">
      <c r="A297" s="19">
        <f t="shared" si="29"/>
        <v>291</v>
      </c>
      <c r="B297" s="20">
        <f t="shared" si="25"/>
        <v>0</v>
      </c>
      <c r="C297" s="21">
        <f t="shared" si="26"/>
        <v>0</v>
      </c>
      <c r="D297" s="22" t="e">
        <f>VLOOKUP($A297, TAB_JUROS_U[[Q_DIAS_U_PARC_TIR]:[V_FUT_U_JURS CENARIO]], D$5, FALSE)</f>
        <v>#N/A</v>
      </c>
      <c r="E297" s="22" t="e">
        <f>VLOOKUP($A297,TAB_CORRECAO_U[[Q_DIAS_U_PARC_TIR]:[V_FUT_U_CORC-02]],E$5, FALSE)</f>
        <v>#N/A</v>
      </c>
      <c r="F297" s="22" t="e">
        <f>VLOOKUP($A297,TAB_AMORTIZACAO_U[[Q_DIAS_U_PARC_TIR]:[V_FUT_U_PCPL-02]], F$5, FALSE)</f>
        <v>#N/A</v>
      </c>
      <c r="H297" s="20">
        <f t="shared" si="27"/>
        <v>0</v>
      </c>
      <c r="I297" s="21">
        <f t="shared" si="28"/>
        <v>0</v>
      </c>
      <c r="J297" s="22" t="e">
        <f>VLOOKUP($A297, TAB_JUROS_C[[DIAS_CORRIDOS]:[V_FUT_UTEIS]], J$5, FALSE)</f>
        <v>#N/A</v>
      </c>
      <c r="K297" s="22" t="e">
        <f>VLOOKUP($A297, TAB_CORRECAO_C[[DIAS_CORRIDOS]:[V_FUT_UTEIS]],K$5, FALSE)</f>
        <v>#N/A</v>
      </c>
      <c r="L297" s="22" t="e">
        <f>VLOOKUP($A297, TAB_AMORTIZACAO_C[[DIAS_CORRIDOS]:[V_FUT_UTEIS]], L$5, FALSE)</f>
        <v>#N/A</v>
      </c>
    </row>
    <row r="298" spans="1:12" hidden="1">
      <c r="A298" s="19">
        <f t="shared" si="29"/>
        <v>292</v>
      </c>
      <c r="B298" s="20">
        <f t="shared" si="25"/>
        <v>0</v>
      </c>
      <c r="C298" s="21">
        <f t="shared" si="26"/>
        <v>0</v>
      </c>
      <c r="D298" s="22" t="e">
        <f>VLOOKUP($A298, TAB_JUROS_U[[Q_DIAS_U_PARC_TIR]:[V_FUT_U_JURS CENARIO]], D$5, FALSE)</f>
        <v>#N/A</v>
      </c>
      <c r="E298" s="22" t="e">
        <f>VLOOKUP($A298,TAB_CORRECAO_U[[Q_DIAS_U_PARC_TIR]:[V_FUT_U_CORC-02]],E$5, FALSE)</f>
        <v>#N/A</v>
      </c>
      <c r="F298" s="22" t="e">
        <f>VLOOKUP($A298,TAB_AMORTIZACAO_U[[Q_DIAS_U_PARC_TIR]:[V_FUT_U_PCPL-02]], F$5, FALSE)</f>
        <v>#N/A</v>
      </c>
      <c r="H298" s="20">
        <f t="shared" si="27"/>
        <v>0</v>
      </c>
      <c r="I298" s="21">
        <f t="shared" si="28"/>
        <v>0</v>
      </c>
      <c r="J298" s="22" t="e">
        <f>VLOOKUP($A298, TAB_JUROS_C[[DIAS_CORRIDOS]:[V_FUT_UTEIS]], J$5, FALSE)</f>
        <v>#N/A</v>
      </c>
      <c r="K298" s="22" t="e">
        <f>VLOOKUP($A298, TAB_CORRECAO_C[[DIAS_CORRIDOS]:[V_FUT_UTEIS]],K$5, FALSE)</f>
        <v>#N/A</v>
      </c>
      <c r="L298" s="22" t="e">
        <f>VLOOKUP($A298, TAB_AMORTIZACAO_C[[DIAS_CORRIDOS]:[V_FUT_UTEIS]], L$5, FALSE)</f>
        <v>#N/A</v>
      </c>
    </row>
    <row r="299" spans="1:12" hidden="1">
      <c r="A299" s="19">
        <f t="shared" si="29"/>
        <v>293</v>
      </c>
      <c r="B299" s="20">
        <f t="shared" si="25"/>
        <v>0</v>
      </c>
      <c r="C299" s="21">
        <f t="shared" si="26"/>
        <v>0</v>
      </c>
      <c r="D299" s="22" t="e">
        <f>VLOOKUP($A299, TAB_JUROS_U[[Q_DIAS_U_PARC_TIR]:[V_FUT_U_JURS CENARIO]], D$5, FALSE)</f>
        <v>#N/A</v>
      </c>
      <c r="E299" s="22" t="e">
        <f>VLOOKUP($A299,TAB_CORRECAO_U[[Q_DIAS_U_PARC_TIR]:[V_FUT_U_CORC-02]],E$5, FALSE)</f>
        <v>#N/A</v>
      </c>
      <c r="F299" s="22" t="e">
        <f>VLOOKUP($A299,TAB_AMORTIZACAO_U[[Q_DIAS_U_PARC_TIR]:[V_FUT_U_PCPL-02]], F$5, FALSE)</f>
        <v>#N/A</v>
      </c>
      <c r="H299" s="20">
        <f t="shared" si="27"/>
        <v>0</v>
      </c>
      <c r="I299" s="21">
        <f t="shared" si="28"/>
        <v>0</v>
      </c>
      <c r="J299" s="22" t="e">
        <f>VLOOKUP($A299, TAB_JUROS_C[[DIAS_CORRIDOS]:[V_FUT_UTEIS]], J$5, FALSE)</f>
        <v>#N/A</v>
      </c>
      <c r="K299" s="22" t="e">
        <f>VLOOKUP($A299, TAB_CORRECAO_C[[DIAS_CORRIDOS]:[V_FUT_UTEIS]],K$5, FALSE)</f>
        <v>#N/A</v>
      </c>
      <c r="L299" s="22" t="e">
        <f>VLOOKUP($A299, TAB_AMORTIZACAO_C[[DIAS_CORRIDOS]:[V_FUT_UTEIS]], L$5, FALSE)</f>
        <v>#N/A</v>
      </c>
    </row>
    <row r="300" spans="1:12" hidden="1">
      <c r="A300" s="19">
        <f t="shared" si="29"/>
        <v>294</v>
      </c>
      <c r="B300" s="20">
        <f t="shared" si="25"/>
        <v>0</v>
      </c>
      <c r="C300" s="21">
        <f t="shared" si="26"/>
        <v>0</v>
      </c>
      <c r="D300" s="22" t="e">
        <f>VLOOKUP($A300, TAB_JUROS_U[[Q_DIAS_U_PARC_TIR]:[V_FUT_U_JURS CENARIO]], D$5, FALSE)</f>
        <v>#N/A</v>
      </c>
      <c r="E300" s="22" t="e">
        <f>VLOOKUP($A300,TAB_CORRECAO_U[[Q_DIAS_U_PARC_TIR]:[V_FUT_U_CORC-02]],E$5, FALSE)</f>
        <v>#N/A</v>
      </c>
      <c r="F300" s="22" t="e">
        <f>VLOOKUP($A300,TAB_AMORTIZACAO_U[[Q_DIAS_U_PARC_TIR]:[V_FUT_U_PCPL-02]], F$5, FALSE)</f>
        <v>#N/A</v>
      </c>
      <c r="H300" s="20">
        <f t="shared" si="27"/>
        <v>0</v>
      </c>
      <c r="I300" s="21">
        <f t="shared" si="28"/>
        <v>0</v>
      </c>
      <c r="J300" s="22" t="e">
        <f>VLOOKUP($A300, TAB_JUROS_C[[DIAS_CORRIDOS]:[V_FUT_UTEIS]], J$5, FALSE)</f>
        <v>#N/A</v>
      </c>
      <c r="K300" s="22" t="e">
        <f>VLOOKUP($A300, TAB_CORRECAO_C[[DIAS_CORRIDOS]:[V_FUT_UTEIS]],K$5, FALSE)</f>
        <v>#N/A</v>
      </c>
      <c r="L300" s="22" t="e">
        <f>VLOOKUP($A300, TAB_AMORTIZACAO_C[[DIAS_CORRIDOS]:[V_FUT_UTEIS]], L$5, FALSE)</f>
        <v>#N/A</v>
      </c>
    </row>
    <row r="301" spans="1:12" hidden="1">
      <c r="A301" s="19">
        <f t="shared" si="29"/>
        <v>295</v>
      </c>
      <c r="B301" s="20">
        <f t="shared" si="25"/>
        <v>0</v>
      </c>
      <c r="C301" s="21">
        <f t="shared" si="26"/>
        <v>0</v>
      </c>
      <c r="D301" s="22" t="e">
        <f>VLOOKUP($A301, TAB_JUROS_U[[Q_DIAS_U_PARC_TIR]:[V_FUT_U_JURS CENARIO]], D$5, FALSE)</f>
        <v>#N/A</v>
      </c>
      <c r="E301" s="22" t="e">
        <f>VLOOKUP($A301,TAB_CORRECAO_U[[Q_DIAS_U_PARC_TIR]:[V_FUT_U_CORC-02]],E$5, FALSE)</f>
        <v>#N/A</v>
      </c>
      <c r="F301" s="22" t="e">
        <f>VLOOKUP($A301,TAB_AMORTIZACAO_U[[Q_DIAS_U_PARC_TIR]:[V_FUT_U_PCPL-02]], F$5, FALSE)</f>
        <v>#N/A</v>
      </c>
      <c r="H301" s="20">
        <f t="shared" si="27"/>
        <v>0</v>
      </c>
      <c r="I301" s="21">
        <f t="shared" si="28"/>
        <v>0</v>
      </c>
      <c r="J301" s="22" t="e">
        <f>VLOOKUP($A301, TAB_JUROS_C[[DIAS_CORRIDOS]:[V_FUT_UTEIS]], J$5, FALSE)</f>
        <v>#N/A</v>
      </c>
      <c r="K301" s="22" t="e">
        <f>VLOOKUP($A301, TAB_CORRECAO_C[[DIAS_CORRIDOS]:[V_FUT_UTEIS]],K$5, FALSE)</f>
        <v>#N/A</v>
      </c>
      <c r="L301" s="22" t="e">
        <f>VLOOKUP($A301, TAB_AMORTIZACAO_C[[DIAS_CORRIDOS]:[V_FUT_UTEIS]], L$5, FALSE)</f>
        <v>#N/A</v>
      </c>
    </row>
    <row r="302" spans="1:12" hidden="1">
      <c r="A302" s="19">
        <f t="shared" si="29"/>
        <v>296</v>
      </c>
      <c r="B302" s="20">
        <f t="shared" si="25"/>
        <v>0</v>
      </c>
      <c r="C302" s="21">
        <f t="shared" si="26"/>
        <v>0</v>
      </c>
      <c r="D302" s="22" t="e">
        <f>VLOOKUP($A302, TAB_JUROS_U[[Q_DIAS_U_PARC_TIR]:[V_FUT_U_JURS CENARIO]], D$5, FALSE)</f>
        <v>#N/A</v>
      </c>
      <c r="E302" s="22" t="e">
        <f>VLOOKUP($A302,TAB_CORRECAO_U[[Q_DIAS_U_PARC_TIR]:[V_FUT_U_CORC-02]],E$5, FALSE)</f>
        <v>#N/A</v>
      </c>
      <c r="F302" s="22" t="e">
        <f>VLOOKUP($A302,TAB_AMORTIZACAO_U[[Q_DIAS_U_PARC_TIR]:[V_FUT_U_PCPL-02]], F$5, FALSE)</f>
        <v>#N/A</v>
      </c>
      <c r="H302" s="20">
        <f t="shared" si="27"/>
        <v>0</v>
      </c>
      <c r="I302" s="21">
        <f t="shared" si="28"/>
        <v>0</v>
      </c>
      <c r="J302" s="22" t="e">
        <f>VLOOKUP($A302, TAB_JUROS_C[[DIAS_CORRIDOS]:[V_FUT_UTEIS]], J$5, FALSE)</f>
        <v>#N/A</v>
      </c>
      <c r="K302" s="22" t="e">
        <f>VLOOKUP($A302, TAB_CORRECAO_C[[DIAS_CORRIDOS]:[V_FUT_UTEIS]],K$5, FALSE)</f>
        <v>#N/A</v>
      </c>
      <c r="L302" s="22" t="e">
        <f>VLOOKUP($A302, TAB_AMORTIZACAO_C[[DIAS_CORRIDOS]:[V_FUT_UTEIS]], L$5, FALSE)</f>
        <v>#N/A</v>
      </c>
    </row>
    <row r="303" spans="1:12" hidden="1">
      <c r="A303" s="19">
        <f t="shared" si="29"/>
        <v>297</v>
      </c>
      <c r="B303" s="20">
        <f t="shared" si="25"/>
        <v>0</v>
      </c>
      <c r="C303" s="21">
        <f t="shared" si="26"/>
        <v>0</v>
      </c>
      <c r="D303" s="22" t="e">
        <f>VLOOKUP($A303, TAB_JUROS_U[[Q_DIAS_U_PARC_TIR]:[V_FUT_U_JURS CENARIO]], D$5, FALSE)</f>
        <v>#N/A</v>
      </c>
      <c r="E303" s="22" t="e">
        <f>VLOOKUP($A303,TAB_CORRECAO_U[[Q_DIAS_U_PARC_TIR]:[V_FUT_U_CORC-02]],E$5, FALSE)</f>
        <v>#N/A</v>
      </c>
      <c r="F303" s="22" t="e">
        <f>VLOOKUP($A303,TAB_AMORTIZACAO_U[[Q_DIAS_U_PARC_TIR]:[V_FUT_U_PCPL-02]], F$5, FALSE)</f>
        <v>#N/A</v>
      </c>
      <c r="H303" s="20">
        <f t="shared" si="27"/>
        <v>0</v>
      </c>
      <c r="I303" s="21">
        <f t="shared" si="28"/>
        <v>0</v>
      </c>
      <c r="J303" s="22" t="e">
        <f>VLOOKUP($A303, TAB_JUROS_C[[DIAS_CORRIDOS]:[V_FUT_UTEIS]], J$5, FALSE)</f>
        <v>#N/A</v>
      </c>
      <c r="K303" s="22" t="e">
        <f>VLOOKUP($A303, TAB_CORRECAO_C[[DIAS_CORRIDOS]:[V_FUT_UTEIS]],K$5, FALSE)</f>
        <v>#N/A</v>
      </c>
      <c r="L303" s="22" t="e">
        <f>VLOOKUP($A303, TAB_AMORTIZACAO_C[[DIAS_CORRIDOS]:[V_FUT_UTEIS]], L$5, FALSE)</f>
        <v>#N/A</v>
      </c>
    </row>
    <row r="304" spans="1:12" hidden="1">
      <c r="A304" s="19">
        <f t="shared" si="29"/>
        <v>298</v>
      </c>
      <c r="B304" s="20">
        <f t="shared" si="25"/>
        <v>0</v>
      </c>
      <c r="C304" s="21">
        <f t="shared" si="26"/>
        <v>0</v>
      </c>
      <c r="D304" s="22" t="e">
        <f>VLOOKUP($A304, TAB_JUROS_U[[Q_DIAS_U_PARC_TIR]:[V_FUT_U_JURS CENARIO]], D$5, FALSE)</f>
        <v>#N/A</v>
      </c>
      <c r="E304" s="22" t="e">
        <f>VLOOKUP($A304,TAB_CORRECAO_U[[Q_DIAS_U_PARC_TIR]:[V_FUT_U_CORC-02]],E$5, FALSE)</f>
        <v>#N/A</v>
      </c>
      <c r="F304" s="22" t="e">
        <f>VLOOKUP($A304,TAB_AMORTIZACAO_U[[Q_DIAS_U_PARC_TIR]:[V_FUT_U_PCPL-02]], F$5, FALSE)</f>
        <v>#N/A</v>
      </c>
      <c r="H304" s="20">
        <f t="shared" si="27"/>
        <v>0</v>
      </c>
      <c r="I304" s="21">
        <f t="shared" si="28"/>
        <v>0</v>
      </c>
      <c r="J304" s="22" t="e">
        <f>VLOOKUP($A304, TAB_JUROS_C[[DIAS_CORRIDOS]:[V_FUT_UTEIS]], J$5, FALSE)</f>
        <v>#N/A</v>
      </c>
      <c r="K304" s="22" t="e">
        <f>VLOOKUP($A304, TAB_CORRECAO_C[[DIAS_CORRIDOS]:[V_FUT_UTEIS]],K$5, FALSE)</f>
        <v>#N/A</v>
      </c>
      <c r="L304" s="22" t="e">
        <f>VLOOKUP($A304, TAB_AMORTIZACAO_C[[DIAS_CORRIDOS]:[V_FUT_UTEIS]], L$5, FALSE)</f>
        <v>#N/A</v>
      </c>
    </row>
    <row r="305" spans="1:12" hidden="1">
      <c r="A305" s="19">
        <f t="shared" si="29"/>
        <v>299</v>
      </c>
      <c r="B305" s="20">
        <f t="shared" si="25"/>
        <v>0</v>
      </c>
      <c r="C305" s="21">
        <f t="shared" si="26"/>
        <v>0</v>
      </c>
      <c r="D305" s="22" t="e">
        <f>VLOOKUP($A305, TAB_JUROS_U[[Q_DIAS_U_PARC_TIR]:[V_FUT_U_JURS CENARIO]], D$5, FALSE)</f>
        <v>#N/A</v>
      </c>
      <c r="E305" s="22" t="e">
        <f>VLOOKUP($A305,TAB_CORRECAO_U[[Q_DIAS_U_PARC_TIR]:[V_FUT_U_CORC-02]],E$5, FALSE)</f>
        <v>#N/A</v>
      </c>
      <c r="F305" s="22" t="e">
        <f>VLOOKUP($A305,TAB_AMORTIZACAO_U[[Q_DIAS_U_PARC_TIR]:[V_FUT_U_PCPL-02]], F$5, FALSE)</f>
        <v>#N/A</v>
      </c>
      <c r="H305" s="20">
        <f t="shared" si="27"/>
        <v>0</v>
      </c>
      <c r="I305" s="21">
        <f t="shared" si="28"/>
        <v>0</v>
      </c>
      <c r="J305" s="22" t="e">
        <f>VLOOKUP($A305, TAB_JUROS_C[[DIAS_CORRIDOS]:[V_FUT_UTEIS]], J$5, FALSE)</f>
        <v>#N/A</v>
      </c>
      <c r="K305" s="22" t="e">
        <f>VLOOKUP($A305, TAB_CORRECAO_C[[DIAS_CORRIDOS]:[V_FUT_UTEIS]],K$5, FALSE)</f>
        <v>#N/A</v>
      </c>
      <c r="L305" s="22" t="e">
        <f>VLOOKUP($A305, TAB_AMORTIZACAO_C[[DIAS_CORRIDOS]:[V_FUT_UTEIS]], L$5, FALSE)</f>
        <v>#N/A</v>
      </c>
    </row>
    <row r="306" spans="1:12" hidden="1">
      <c r="A306" s="19">
        <f t="shared" si="29"/>
        <v>300</v>
      </c>
      <c r="B306" s="20">
        <f t="shared" si="25"/>
        <v>0</v>
      </c>
      <c r="C306" s="21">
        <f t="shared" si="26"/>
        <v>0</v>
      </c>
      <c r="D306" s="22" t="e">
        <f>VLOOKUP($A306, TAB_JUROS_U[[Q_DIAS_U_PARC_TIR]:[V_FUT_U_JURS CENARIO]], D$5, FALSE)</f>
        <v>#N/A</v>
      </c>
      <c r="E306" s="22" t="e">
        <f>VLOOKUP($A306,TAB_CORRECAO_U[[Q_DIAS_U_PARC_TIR]:[V_FUT_U_CORC-02]],E$5, FALSE)</f>
        <v>#N/A</v>
      </c>
      <c r="F306" s="22" t="e">
        <f>VLOOKUP($A306,TAB_AMORTIZACAO_U[[Q_DIAS_U_PARC_TIR]:[V_FUT_U_PCPL-02]], F$5, FALSE)</f>
        <v>#N/A</v>
      </c>
      <c r="H306" s="20">
        <f t="shared" si="27"/>
        <v>0</v>
      </c>
      <c r="I306" s="21">
        <f t="shared" si="28"/>
        <v>0</v>
      </c>
      <c r="J306" s="22" t="e">
        <f>VLOOKUP($A306, TAB_JUROS_C[[DIAS_CORRIDOS]:[V_FUT_UTEIS]], J$5, FALSE)</f>
        <v>#N/A</v>
      </c>
      <c r="K306" s="22" t="e">
        <f>VLOOKUP($A306, TAB_CORRECAO_C[[DIAS_CORRIDOS]:[V_FUT_UTEIS]],K$5, FALSE)</f>
        <v>#N/A</v>
      </c>
      <c r="L306" s="22" t="e">
        <f>VLOOKUP($A306, TAB_AMORTIZACAO_C[[DIAS_CORRIDOS]:[V_FUT_UTEIS]], L$5, FALSE)</f>
        <v>#N/A</v>
      </c>
    </row>
    <row r="307" spans="1:12" hidden="1">
      <c r="A307" s="19">
        <f t="shared" si="29"/>
        <v>301</v>
      </c>
      <c r="B307" s="20">
        <f t="shared" si="25"/>
        <v>0</v>
      </c>
      <c r="C307" s="21">
        <f t="shared" si="26"/>
        <v>0</v>
      </c>
      <c r="D307" s="22" t="e">
        <f>VLOOKUP($A307, TAB_JUROS_U[[Q_DIAS_U_PARC_TIR]:[V_FUT_U_JURS CENARIO]], D$5, FALSE)</f>
        <v>#N/A</v>
      </c>
      <c r="E307" s="22" t="e">
        <f>VLOOKUP($A307,TAB_CORRECAO_U[[Q_DIAS_U_PARC_TIR]:[V_FUT_U_CORC-02]],E$5, FALSE)</f>
        <v>#N/A</v>
      </c>
      <c r="F307" s="22" t="e">
        <f>VLOOKUP($A307,TAB_AMORTIZACAO_U[[Q_DIAS_U_PARC_TIR]:[V_FUT_U_PCPL-02]], F$5, FALSE)</f>
        <v>#N/A</v>
      </c>
      <c r="H307" s="20">
        <f t="shared" si="27"/>
        <v>0</v>
      </c>
      <c r="I307" s="21">
        <f t="shared" si="28"/>
        <v>0</v>
      </c>
      <c r="J307" s="22" t="e">
        <f>VLOOKUP($A307, TAB_JUROS_C[[DIAS_CORRIDOS]:[V_FUT_UTEIS]], J$5, FALSE)</f>
        <v>#N/A</v>
      </c>
      <c r="K307" s="22" t="e">
        <f>VLOOKUP($A307, TAB_CORRECAO_C[[DIAS_CORRIDOS]:[V_FUT_UTEIS]],K$5, FALSE)</f>
        <v>#N/A</v>
      </c>
      <c r="L307" s="22" t="e">
        <f>VLOOKUP($A307, TAB_AMORTIZACAO_C[[DIAS_CORRIDOS]:[V_FUT_UTEIS]], L$5, FALSE)</f>
        <v>#N/A</v>
      </c>
    </row>
    <row r="308" spans="1:12" hidden="1">
      <c r="A308" s="19">
        <f t="shared" si="29"/>
        <v>302</v>
      </c>
      <c r="B308" s="20">
        <f t="shared" si="25"/>
        <v>0</v>
      </c>
      <c r="C308" s="21">
        <f t="shared" si="26"/>
        <v>0</v>
      </c>
      <c r="D308" s="22" t="e">
        <f>VLOOKUP($A308, TAB_JUROS_U[[Q_DIAS_U_PARC_TIR]:[V_FUT_U_JURS CENARIO]], D$5, FALSE)</f>
        <v>#N/A</v>
      </c>
      <c r="E308" s="22" t="e">
        <f>VLOOKUP($A308,TAB_CORRECAO_U[[Q_DIAS_U_PARC_TIR]:[V_FUT_U_CORC-02]],E$5, FALSE)</f>
        <v>#N/A</v>
      </c>
      <c r="F308" s="22" t="e">
        <f>VLOOKUP($A308,TAB_AMORTIZACAO_U[[Q_DIAS_U_PARC_TIR]:[V_FUT_U_PCPL-02]], F$5, FALSE)</f>
        <v>#N/A</v>
      </c>
      <c r="H308" s="20">
        <f t="shared" si="27"/>
        <v>0</v>
      </c>
      <c r="I308" s="21">
        <f t="shared" si="28"/>
        <v>0</v>
      </c>
      <c r="J308" s="22" t="e">
        <f>VLOOKUP($A308, TAB_JUROS_C[[DIAS_CORRIDOS]:[V_FUT_UTEIS]], J$5, FALSE)</f>
        <v>#N/A</v>
      </c>
      <c r="K308" s="22" t="e">
        <f>VLOOKUP($A308, TAB_CORRECAO_C[[DIAS_CORRIDOS]:[V_FUT_UTEIS]],K$5, FALSE)</f>
        <v>#N/A</v>
      </c>
      <c r="L308" s="22" t="e">
        <f>VLOOKUP($A308, TAB_AMORTIZACAO_C[[DIAS_CORRIDOS]:[V_FUT_UTEIS]], L$5, FALSE)</f>
        <v>#N/A</v>
      </c>
    </row>
    <row r="309" spans="1:12" hidden="1">
      <c r="A309" s="19">
        <f t="shared" si="29"/>
        <v>303</v>
      </c>
      <c r="B309" s="20">
        <f t="shared" si="25"/>
        <v>0</v>
      </c>
      <c r="C309" s="21">
        <f t="shared" si="26"/>
        <v>0</v>
      </c>
      <c r="D309" s="22" t="e">
        <f>VLOOKUP($A309, TAB_JUROS_U[[Q_DIAS_U_PARC_TIR]:[V_FUT_U_JURS CENARIO]], D$5, FALSE)</f>
        <v>#N/A</v>
      </c>
      <c r="E309" s="22" t="e">
        <f>VLOOKUP($A309,TAB_CORRECAO_U[[Q_DIAS_U_PARC_TIR]:[V_FUT_U_CORC-02]],E$5, FALSE)</f>
        <v>#N/A</v>
      </c>
      <c r="F309" s="22" t="e">
        <f>VLOOKUP($A309,TAB_AMORTIZACAO_U[[Q_DIAS_U_PARC_TIR]:[V_FUT_U_PCPL-02]], F$5, FALSE)</f>
        <v>#N/A</v>
      </c>
      <c r="H309" s="20">
        <f t="shared" si="27"/>
        <v>0</v>
      </c>
      <c r="I309" s="21">
        <f t="shared" si="28"/>
        <v>0</v>
      </c>
      <c r="J309" s="22" t="e">
        <f>VLOOKUP($A309, TAB_JUROS_C[[DIAS_CORRIDOS]:[V_FUT_UTEIS]], J$5, FALSE)</f>
        <v>#N/A</v>
      </c>
      <c r="K309" s="22" t="e">
        <f>VLOOKUP($A309, TAB_CORRECAO_C[[DIAS_CORRIDOS]:[V_FUT_UTEIS]],K$5, FALSE)</f>
        <v>#N/A</v>
      </c>
      <c r="L309" s="22" t="e">
        <f>VLOOKUP($A309, TAB_AMORTIZACAO_C[[DIAS_CORRIDOS]:[V_FUT_UTEIS]], L$5, FALSE)</f>
        <v>#N/A</v>
      </c>
    </row>
    <row r="310" spans="1:12">
      <c r="A310" s="19">
        <f t="shared" si="29"/>
        <v>304</v>
      </c>
      <c r="B310" s="20">
        <f t="shared" si="25"/>
        <v>1744.4964789787107</v>
      </c>
      <c r="C310" s="21">
        <f t="shared" si="26"/>
        <v>1744.4964789787107</v>
      </c>
      <c r="D310" s="22">
        <f>VLOOKUP($A310, TAB_JUROS_U[[Q_DIAS_U_PARC_TIR]:[V_FUT_U_JURS CENARIO]], D$5, FALSE)</f>
        <v>129.66795182813027</v>
      </c>
      <c r="E310" s="22">
        <f>VLOOKUP($A310,TAB_CORRECAO_U[[Q_DIAS_U_PARC_TIR]:[V_FUT_U_CORC-02]],E$5, FALSE)</f>
        <v>830.13656089364861</v>
      </c>
      <c r="F310" s="22">
        <f>VLOOKUP($A310,TAB_AMORTIZACAO_U[[Q_DIAS_U_PARC_TIR]:[V_FUT_U_PCPL-02]], F$5, FALSE)</f>
        <v>784.69196625693178</v>
      </c>
      <c r="H310" s="20">
        <f t="shared" si="27"/>
        <v>0</v>
      </c>
      <c r="I310" s="21">
        <f t="shared" si="28"/>
        <v>0</v>
      </c>
      <c r="J310" s="22" t="e">
        <f>VLOOKUP($A310, TAB_JUROS_C[[DIAS_CORRIDOS]:[V_FUT_UTEIS]], J$5, FALSE)</f>
        <v>#N/A</v>
      </c>
      <c r="K310" s="22" t="e">
        <f>VLOOKUP($A310, TAB_CORRECAO_C[[DIAS_CORRIDOS]:[V_FUT_UTEIS]],K$5, FALSE)</f>
        <v>#N/A</v>
      </c>
      <c r="L310" s="22" t="e">
        <f>VLOOKUP($A310, TAB_AMORTIZACAO_C[[DIAS_CORRIDOS]:[V_FUT_UTEIS]], L$5, FALSE)</f>
        <v>#N/A</v>
      </c>
    </row>
    <row r="311" spans="1:12" hidden="1">
      <c r="A311" s="19">
        <f t="shared" si="29"/>
        <v>305</v>
      </c>
      <c r="B311" s="20">
        <f t="shared" si="25"/>
        <v>0</v>
      </c>
      <c r="C311" s="21">
        <f t="shared" si="26"/>
        <v>0</v>
      </c>
      <c r="D311" s="22" t="e">
        <f>VLOOKUP($A311, TAB_JUROS_U[[Q_DIAS_U_PARC_TIR]:[V_FUT_U_JURS CENARIO]], D$5, FALSE)</f>
        <v>#N/A</v>
      </c>
      <c r="E311" s="22" t="e">
        <f>VLOOKUP($A311,TAB_CORRECAO_U[[Q_DIAS_U_PARC_TIR]:[V_FUT_U_CORC-02]],E$5, FALSE)</f>
        <v>#N/A</v>
      </c>
      <c r="F311" s="22" t="e">
        <f>VLOOKUP($A311,TAB_AMORTIZACAO_U[[Q_DIAS_U_PARC_TIR]:[V_FUT_U_PCPL-02]], F$5, FALSE)</f>
        <v>#N/A</v>
      </c>
      <c r="H311" s="20">
        <f t="shared" si="27"/>
        <v>0</v>
      </c>
      <c r="I311" s="21">
        <f t="shared" si="28"/>
        <v>0</v>
      </c>
      <c r="J311" s="22" t="e">
        <f>VLOOKUP($A311, TAB_JUROS_C[[DIAS_CORRIDOS]:[V_FUT_UTEIS]], J$5, FALSE)</f>
        <v>#N/A</v>
      </c>
      <c r="K311" s="22" t="e">
        <f>VLOOKUP($A311, TAB_CORRECAO_C[[DIAS_CORRIDOS]:[V_FUT_UTEIS]],K$5, FALSE)</f>
        <v>#N/A</v>
      </c>
      <c r="L311" s="22" t="e">
        <f>VLOOKUP($A311, TAB_AMORTIZACAO_C[[DIAS_CORRIDOS]:[V_FUT_UTEIS]], L$5, FALSE)</f>
        <v>#N/A</v>
      </c>
    </row>
    <row r="312" spans="1:12" hidden="1">
      <c r="A312" s="19">
        <f t="shared" si="29"/>
        <v>306</v>
      </c>
      <c r="B312" s="20">
        <f t="shared" si="25"/>
        <v>0</v>
      </c>
      <c r="C312" s="21">
        <f t="shared" si="26"/>
        <v>0</v>
      </c>
      <c r="D312" s="22" t="e">
        <f>VLOOKUP($A312, TAB_JUROS_U[[Q_DIAS_U_PARC_TIR]:[V_FUT_U_JURS CENARIO]], D$5, FALSE)</f>
        <v>#N/A</v>
      </c>
      <c r="E312" s="22" t="e">
        <f>VLOOKUP($A312,TAB_CORRECAO_U[[Q_DIAS_U_PARC_TIR]:[V_FUT_U_CORC-02]],E$5, FALSE)</f>
        <v>#N/A</v>
      </c>
      <c r="F312" s="22" t="e">
        <f>VLOOKUP($A312,TAB_AMORTIZACAO_U[[Q_DIAS_U_PARC_TIR]:[V_FUT_U_PCPL-02]], F$5, FALSE)</f>
        <v>#N/A</v>
      </c>
      <c r="H312" s="20">
        <f t="shared" si="27"/>
        <v>0</v>
      </c>
      <c r="I312" s="21">
        <f t="shared" si="28"/>
        <v>0</v>
      </c>
      <c r="J312" s="22" t="e">
        <f>VLOOKUP($A312, TAB_JUROS_C[[DIAS_CORRIDOS]:[V_FUT_UTEIS]], J$5, FALSE)</f>
        <v>#N/A</v>
      </c>
      <c r="K312" s="22" t="e">
        <f>VLOOKUP($A312, TAB_CORRECAO_C[[DIAS_CORRIDOS]:[V_FUT_UTEIS]],K$5, FALSE)</f>
        <v>#N/A</v>
      </c>
      <c r="L312" s="22" t="e">
        <f>VLOOKUP($A312, TAB_AMORTIZACAO_C[[DIAS_CORRIDOS]:[V_FUT_UTEIS]], L$5, FALSE)</f>
        <v>#N/A</v>
      </c>
    </row>
    <row r="313" spans="1:12" hidden="1">
      <c r="A313" s="19">
        <f t="shared" si="29"/>
        <v>307</v>
      </c>
      <c r="B313" s="20">
        <f t="shared" si="25"/>
        <v>0</v>
      </c>
      <c r="C313" s="21">
        <f t="shared" si="26"/>
        <v>0</v>
      </c>
      <c r="D313" s="22" t="e">
        <f>VLOOKUP($A313, TAB_JUROS_U[[Q_DIAS_U_PARC_TIR]:[V_FUT_U_JURS CENARIO]], D$5, FALSE)</f>
        <v>#N/A</v>
      </c>
      <c r="E313" s="22" t="e">
        <f>VLOOKUP($A313,TAB_CORRECAO_U[[Q_DIAS_U_PARC_TIR]:[V_FUT_U_CORC-02]],E$5, FALSE)</f>
        <v>#N/A</v>
      </c>
      <c r="F313" s="22" t="e">
        <f>VLOOKUP($A313,TAB_AMORTIZACAO_U[[Q_DIAS_U_PARC_TIR]:[V_FUT_U_PCPL-02]], F$5, FALSE)</f>
        <v>#N/A</v>
      </c>
      <c r="H313" s="20">
        <f t="shared" si="27"/>
        <v>0</v>
      </c>
      <c r="I313" s="21">
        <f t="shared" si="28"/>
        <v>0</v>
      </c>
      <c r="J313" s="22" t="e">
        <f>VLOOKUP($A313, TAB_JUROS_C[[DIAS_CORRIDOS]:[V_FUT_UTEIS]], J$5, FALSE)</f>
        <v>#N/A</v>
      </c>
      <c r="K313" s="22" t="e">
        <f>VLOOKUP($A313, TAB_CORRECAO_C[[DIAS_CORRIDOS]:[V_FUT_UTEIS]],K$5, FALSE)</f>
        <v>#N/A</v>
      </c>
      <c r="L313" s="22" t="e">
        <f>VLOOKUP($A313, TAB_AMORTIZACAO_C[[DIAS_CORRIDOS]:[V_FUT_UTEIS]], L$5, FALSE)</f>
        <v>#N/A</v>
      </c>
    </row>
    <row r="314" spans="1:12" hidden="1">
      <c r="A314" s="19">
        <f t="shared" si="29"/>
        <v>308</v>
      </c>
      <c r="B314" s="20">
        <f t="shared" si="25"/>
        <v>0</v>
      </c>
      <c r="C314" s="21">
        <f t="shared" si="26"/>
        <v>0</v>
      </c>
      <c r="D314" s="22" t="e">
        <f>VLOOKUP($A314, TAB_JUROS_U[[Q_DIAS_U_PARC_TIR]:[V_FUT_U_JURS CENARIO]], D$5, FALSE)</f>
        <v>#N/A</v>
      </c>
      <c r="E314" s="22" t="e">
        <f>VLOOKUP($A314,TAB_CORRECAO_U[[Q_DIAS_U_PARC_TIR]:[V_FUT_U_CORC-02]],E$5, FALSE)</f>
        <v>#N/A</v>
      </c>
      <c r="F314" s="22" t="e">
        <f>VLOOKUP($A314,TAB_AMORTIZACAO_U[[Q_DIAS_U_PARC_TIR]:[V_FUT_U_PCPL-02]], F$5, FALSE)</f>
        <v>#N/A</v>
      </c>
      <c r="H314" s="20">
        <f t="shared" si="27"/>
        <v>0</v>
      </c>
      <c r="I314" s="21">
        <f t="shared" si="28"/>
        <v>0</v>
      </c>
      <c r="J314" s="22" t="e">
        <f>VLOOKUP($A314, TAB_JUROS_C[[DIAS_CORRIDOS]:[V_FUT_UTEIS]], J$5, FALSE)</f>
        <v>#N/A</v>
      </c>
      <c r="K314" s="22" t="e">
        <f>VLOOKUP($A314, TAB_CORRECAO_C[[DIAS_CORRIDOS]:[V_FUT_UTEIS]],K$5, FALSE)</f>
        <v>#N/A</v>
      </c>
      <c r="L314" s="22" t="e">
        <f>VLOOKUP($A314, TAB_AMORTIZACAO_C[[DIAS_CORRIDOS]:[V_FUT_UTEIS]], L$5, FALSE)</f>
        <v>#N/A</v>
      </c>
    </row>
    <row r="315" spans="1:12" hidden="1">
      <c r="A315" s="19">
        <f t="shared" si="29"/>
        <v>309</v>
      </c>
      <c r="B315" s="20">
        <f t="shared" si="25"/>
        <v>0</v>
      </c>
      <c r="C315" s="21">
        <f t="shared" si="26"/>
        <v>0</v>
      </c>
      <c r="D315" s="22" t="e">
        <f>VLOOKUP($A315, TAB_JUROS_U[[Q_DIAS_U_PARC_TIR]:[V_FUT_U_JURS CENARIO]], D$5, FALSE)</f>
        <v>#N/A</v>
      </c>
      <c r="E315" s="22" t="e">
        <f>VLOOKUP($A315,TAB_CORRECAO_U[[Q_DIAS_U_PARC_TIR]:[V_FUT_U_CORC-02]],E$5, FALSE)</f>
        <v>#N/A</v>
      </c>
      <c r="F315" s="22" t="e">
        <f>VLOOKUP($A315,TAB_AMORTIZACAO_U[[Q_DIAS_U_PARC_TIR]:[V_FUT_U_PCPL-02]], F$5, FALSE)</f>
        <v>#N/A</v>
      </c>
      <c r="H315" s="20">
        <f t="shared" si="27"/>
        <v>0</v>
      </c>
      <c r="I315" s="21">
        <f t="shared" si="28"/>
        <v>0</v>
      </c>
      <c r="J315" s="22" t="e">
        <f>VLOOKUP($A315, TAB_JUROS_C[[DIAS_CORRIDOS]:[V_FUT_UTEIS]], J$5, FALSE)</f>
        <v>#N/A</v>
      </c>
      <c r="K315" s="22" t="e">
        <f>VLOOKUP($A315, TAB_CORRECAO_C[[DIAS_CORRIDOS]:[V_FUT_UTEIS]],K$5, FALSE)</f>
        <v>#N/A</v>
      </c>
      <c r="L315" s="22" t="e">
        <f>VLOOKUP($A315, TAB_AMORTIZACAO_C[[DIAS_CORRIDOS]:[V_FUT_UTEIS]], L$5, FALSE)</f>
        <v>#N/A</v>
      </c>
    </row>
    <row r="316" spans="1:12" hidden="1">
      <c r="A316" s="19">
        <f t="shared" si="29"/>
        <v>310</v>
      </c>
      <c r="B316" s="20">
        <f t="shared" si="25"/>
        <v>0</v>
      </c>
      <c r="C316" s="21">
        <f t="shared" si="26"/>
        <v>0</v>
      </c>
      <c r="D316" s="22" t="e">
        <f>VLOOKUP($A316, TAB_JUROS_U[[Q_DIAS_U_PARC_TIR]:[V_FUT_U_JURS CENARIO]], D$5, FALSE)</f>
        <v>#N/A</v>
      </c>
      <c r="E316" s="22" t="e">
        <f>VLOOKUP($A316,TAB_CORRECAO_U[[Q_DIAS_U_PARC_TIR]:[V_FUT_U_CORC-02]],E$5, FALSE)</f>
        <v>#N/A</v>
      </c>
      <c r="F316" s="22" t="e">
        <f>VLOOKUP($A316,TAB_AMORTIZACAO_U[[Q_DIAS_U_PARC_TIR]:[V_FUT_U_PCPL-02]], F$5, FALSE)</f>
        <v>#N/A</v>
      </c>
      <c r="H316" s="20">
        <f t="shared" si="27"/>
        <v>0</v>
      </c>
      <c r="I316" s="21">
        <f t="shared" si="28"/>
        <v>0</v>
      </c>
      <c r="J316" s="22" t="e">
        <f>VLOOKUP($A316, TAB_JUROS_C[[DIAS_CORRIDOS]:[V_FUT_UTEIS]], J$5, FALSE)</f>
        <v>#N/A</v>
      </c>
      <c r="K316" s="22" t="e">
        <f>VLOOKUP($A316, TAB_CORRECAO_C[[DIAS_CORRIDOS]:[V_FUT_UTEIS]],K$5, FALSE)</f>
        <v>#N/A</v>
      </c>
      <c r="L316" s="22" t="e">
        <f>VLOOKUP($A316, TAB_AMORTIZACAO_C[[DIAS_CORRIDOS]:[V_FUT_UTEIS]], L$5, FALSE)</f>
        <v>#N/A</v>
      </c>
    </row>
    <row r="317" spans="1:12" hidden="1">
      <c r="A317" s="19">
        <f t="shared" si="29"/>
        <v>311</v>
      </c>
      <c r="B317" s="20">
        <f t="shared" si="25"/>
        <v>0</v>
      </c>
      <c r="C317" s="21">
        <f t="shared" si="26"/>
        <v>0</v>
      </c>
      <c r="D317" s="22" t="e">
        <f>VLOOKUP($A317, TAB_JUROS_U[[Q_DIAS_U_PARC_TIR]:[V_FUT_U_JURS CENARIO]], D$5, FALSE)</f>
        <v>#N/A</v>
      </c>
      <c r="E317" s="22" t="e">
        <f>VLOOKUP($A317,TAB_CORRECAO_U[[Q_DIAS_U_PARC_TIR]:[V_FUT_U_CORC-02]],E$5, FALSE)</f>
        <v>#N/A</v>
      </c>
      <c r="F317" s="22" t="e">
        <f>VLOOKUP($A317,TAB_AMORTIZACAO_U[[Q_DIAS_U_PARC_TIR]:[V_FUT_U_PCPL-02]], F$5, FALSE)</f>
        <v>#N/A</v>
      </c>
      <c r="H317" s="20">
        <f t="shared" si="27"/>
        <v>0</v>
      </c>
      <c r="I317" s="21">
        <f t="shared" si="28"/>
        <v>0</v>
      </c>
      <c r="J317" s="22" t="e">
        <f>VLOOKUP($A317, TAB_JUROS_C[[DIAS_CORRIDOS]:[V_FUT_UTEIS]], J$5, FALSE)</f>
        <v>#N/A</v>
      </c>
      <c r="K317" s="22" t="e">
        <f>VLOOKUP($A317, TAB_CORRECAO_C[[DIAS_CORRIDOS]:[V_FUT_UTEIS]],K$5, FALSE)</f>
        <v>#N/A</v>
      </c>
      <c r="L317" s="22" t="e">
        <f>VLOOKUP($A317, TAB_AMORTIZACAO_C[[DIAS_CORRIDOS]:[V_FUT_UTEIS]], L$5, FALSE)</f>
        <v>#N/A</v>
      </c>
    </row>
    <row r="318" spans="1:12" hidden="1">
      <c r="A318" s="19">
        <f t="shared" si="29"/>
        <v>312</v>
      </c>
      <c r="B318" s="20">
        <f t="shared" si="25"/>
        <v>0</v>
      </c>
      <c r="C318" s="21">
        <f t="shared" si="26"/>
        <v>0</v>
      </c>
      <c r="D318" s="22" t="e">
        <f>VLOOKUP($A318, TAB_JUROS_U[[Q_DIAS_U_PARC_TIR]:[V_FUT_U_JURS CENARIO]], D$5, FALSE)</f>
        <v>#N/A</v>
      </c>
      <c r="E318" s="22" t="e">
        <f>VLOOKUP($A318,TAB_CORRECAO_U[[Q_DIAS_U_PARC_TIR]:[V_FUT_U_CORC-02]],E$5, FALSE)</f>
        <v>#N/A</v>
      </c>
      <c r="F318" s="22" t="e">
        <f>VLOOKUP($A318,TAB_AMORTIZACAO_U[[Q_DIAS_U_PARC_TIR]:[V_FUT_U_PCPL-02]], F$5, FALSE)</f>
        <v>#N/A</v>
      </c>
      <c r="H318" s="20">
        <f t="shared" si="27"/>
        <v>0</v>
      </c>
      <c r="I318" s="21">
        <f t="shared" si="28"/>
        <v>0</v>
      </c>
      <c r="J318" s="22" t="e">
        <f>VLOOKUP($A318, TAB_JUROS_C[[DIAS_CORRIDOS]:[V_FUT_UTEIS]], J$5, FALSE)</f>
        <v>#N/A</v>
      </c>
      <c r="K318" s="22" t="e">
        <f>VLOOKUP($A318, TAB_CORRECAO_C[[DIAS_CORRIDOS]:[V_FUT_UTEIS]],K$5, FALSE)</f>
        <v>#N/A</v>
      </c>
      <c r="L318" s="22" t="e">
        <f>VLOOKUP($A318, TAB_AMORTIZACAO_C[[DIAS_CORRIDOS]:[V_FUT_UTEIS]], L$5, FALSE)</f>
        <v>#N/A</v>
      </c>
    </row>
    <row r="319" spans="1:12" hidden="1">
      <c r="A319" s="19">
        <f t="shared" si="29"/>
        <v>313</v>
      </c>
      <c r="B319" s="20">
        <f t="shared" si="25"/>
        <v>0</v>
      </c>
      <c r="C319" s="21">
        <f t="shared" si="26"/>
        <v>0</v>
      </c>
      <c r="D319" s="22" t="e">
        <f>VLOOKUP($A319, TAB_JUROS_U[[Q_DIAS_U_PARC_TIR]:[V_FUT_U_JURS CENARIO]], D$5, FALSE)</f>
        <v>#N/A</v>
      </c>
      <c r="E319" s="22" t="e">
        <f>VLOOKUP($A319,TAB_CORRECAO_U[[Q_DIAS_U_PARC_TIR]:[V_FUT_U_CORC-02]],E$5, FALSE)</f>
        <v>#N/A</v>
      </c>
      <c r="F319" s="22" t="e">
        <f>VLOOKUP($A319,TAB_AMORTIZACAO_U[[Q_DIAS_U_PARC_TIR]:[V_FUT_U_PCPL-02]], F$5, FALSE)</f>
        <v>#N/A</v>
      </c>
      <c r="H319" s="20">
        <f t="shared" si="27"/>
        <v>0</v>
      </c>
      <c r="I319" s="21">
        <f t="shared" si="28"/>
        <v>0</v>
      </c>
      <c r="J319" s="22" t="e">
        <f>VLOOKUP($A319, TAB_JUROS_C[[DIAS_CORRIDOS]:[V_FUT_UTEIS]], J$5, FALSE)</f>
        <v>#N/A</v>
      </c>
      <c r="K319" s="22" t="e">
        <f>VLOOKUP($A319, TAB_CORRECAO_C[[DIAS_CORRIDOS]:[V_FUT_UTEIS]],K$5, FALSE)</f>
        <v>#N/A</v>
      </c>
      <c r="L319" s="22" t="e">
        <f>VLOOKUP($A319, TAB_AMORTIZACAO_C[[DIAS_CORRIDOS]:[V_FUT_UTEIS]], L$5, FALSE)</f>
        <v>#N/A</v>
      </c>
    </row>
    <row r="320" spans="1:12" hidden="1">
      <c r="A320" s="19">
        <f t="shared" si="29"/>
        <v>314</v>
      </c>
      <c r="B320" s="20">
        <f t="shared" si="25"/>
        <v>0</v>
      </c>
      <c r="C320" s="21">
        <f t="shared" si="26"/>
        <v>0</v>
      </c>
      <c r="D320" s="22" t="e">
        <f>VLOOKUP($A320, TAB_JUROS_U[[Q_DIAS_U_PARC_TIR]:[V_FUT_U_JURS CENARIO]], D$5, FALSE)</f>
        <v>#N/A</v>
      </c>
      <c r="E320" s="22" t="e">
        <f>VLOOKUP($A320,TAB_CORRECAO_U[[Q_DIAS_U_PARC_TIR]:[V_FUT_U_CORC-02]],E$5, FALSE)</f>
        <v>#N/A</v>
      </c>
      <c r="F320" s="22" t="e">
        <f>VLOOKUP($A320,TAB_AMORTIZACAO_U[[Q_DIAS_U_PARC_TIR]:[V_FUT_U_PCPL-02]], F$5, FALSE)</f>
        <v>#N/A</v>
      </c>
      <c r="H320" s="20">
        <f t="shared" si="27"/>
        <v>0</v>
      </c>
      <c r="I320" s="21">
        <f t="shared" si="28"/>
        <v>0</v>
      </c>
      <c r="J320" s="22" t="e">
        <f>VLOOKUP($A320, TAB_JUROS_C[[DIAS_CORRIDOS]:[V_FUT_UTEIS]], J$5, FALSE)</f>
        <v>#N/A</v>
      </c>
      <c r="K320" s="22" t="e">
        <f>VLOOKUP($A320, TAB_CORRECAO_C[[DIAS_CORRIDOS]:[V_FUT_UTEIS]],K$5, FALSE)</f>
        <v>#N/A</v>
      </c>
      <c r="L320" s="22" t="e">
        <f>VLOOKUP($A320, TAB_AMORTIZACAO_C[[DIAS_CORRIDOS]:[V_FUT_UTEIS]], L$5, FALSE)</f>
        <v>#N/A</v>
      </c>
    </row>
    <row r="321" spans="1:12" hidden="1">
      <c r="A321" s="19">
        <f t="shared" si="29"/>
        <v>315</v>
      </c>
      <c r="B321" s="20">
        <f t="shared" si="25"/>
        <v>0</v>
      </c>
      <c r="C321" s="21">
        <f t="shared" si="26"/>
        <v>0</v>
      </c>
      <c r="D321" s="22" t="e">
        <f>VLOOKUP($A321, TAB_JUROS_U[[Q_DIAS_U_PARC_TIR]:[V_FUT_U_JURS CENARIO]], D$5, FALSE)</f>
        <v>#N/A</v>
      </c>
      <c r="E321" s="22" t="e">
        <f>VLOOKUP($A321,TAB_CORRECAO_U[[Q_DIAS_U_PARC_TIR]:[V_FUT_U_CORC-02]],E$5, FALSE)</f>
        <v>#N/A</v>
      </c>
      <c r="F321" s="22" t="e">
        <f>VLOOKUP($A321,TAB_AMORTIZACAO_U[[Q_DIAS_U_PARC_TIR]:[V_FUT_U_PCPL-02]], F$5, FALSE)</f>
        <v>#N/A</v>
      </c>
      <c r="H321" s="20">
        <f t="shared" si="27"/>
        <v>0</v>
      </c>
      <c r="I321" s="21">
        <f t="shared" si="28"/>
        <v>0</v>
      </c>
      <c r="J321" s="22" t="e">
        <f>VLOOKUP($A321, TAB_JUROS_C[[DIAS_CORRIDOS]:[V_FUT_UTEIS]], J$5, FALSE)</f>
        <v>#N/A</v>
      </c>
      <c r="K321" s="22" t="e">
        <f>VLOOKUP($A321, TAB_CORRECAO_C[[DIAS_CORRIDOS]:[V_FUT_UTEIS]],K$5, FALSE)</f>
        <v>#N/A</v>
      </c>
      <c r="L321" s="22" t="e">
        <f>VLOOKUP($A321, TAB_AMORTIZACAO_C[[DIAS_CORRIDOS]:[V_FUT_UTEIS]], L$5, FALSE)</f>
        <v>#N/A</v>
      </c>
    </row>
    <row r="322" spans="1:12" hidden="1">
      <c r="A322" s="19">
        <f t="shared" si="29"/>
        <v>316</v>
      </c>
      <c r="B322" s="20">
        <f t="shared" si="25"/>
        <v>0</v>
      </c>
      <c r="C322" s="21">
        <f t="shared" si="26"/>
        <v>0</v>
      </c>
      <c r="D322" s="22" t="e">
        <f>VLOOKUP($A322, TAB_JUROS_U[[Q_DIAS_U_PARC_TIR]:[V_FUT_U_JURS CENARIO]], D$5, FALSE)</f>
        <v>#N/A</v>
      </c>
      <c r="E322" s="22" t="e">
        <f>VLOOKUP($A322,TAB_CORRECAO_U[[Q_DIAS_U_PARC_TIR]:[V_FUT_U_CORC-02]],E$5, FALSE)</f>
        <v>#N/A</v>
      </c>
      <c r="F322" s="22" t="e">
        <f>VLOOKUP($A322,TAB_AMORTIZACAO_U[[Q_DIAS_U_PARC_TIR]:[V_FUT_U_PCPL-02]], F$5, FALSE)</f>
        <v>#N/A</v>
      </c>
      <c r="H322" s="20">
        <f t="shared" si="27"/>
        <v>0</v>
      </c>
      <c r="I322" s="21">
        <f t="shared" si="28"/>
        <v>0</v>
      </c>
      <c r="J322" s="22" t="e">
        <f>VLOOKUP($A322, TAB_JUROS_C[[DIAS_CORRIDOS]:[V_FUT_UTEIS]], J$5, FALSE)</f>
        <v>#N/A</v>
      </c>
      <c r="K322" s="22" t="e">
        <f>VLOOKUP($A322, TAB_CORRECAO_C[[DIAS_CORRIDOS]:[V_FUT_UTEIS]],K$5, FALSE)</f>
        <v>#N/A</v>
      </c>
      <c r="L322" s="22" t="e">
        <f>VLOOKUP($A322, TAB_AMORTIZACAO_C[[DIAS_CORRIDOS]:[V_FUT_UTEIS]], L$5, FALSE)</f>
        <v>#N/A</v>
      </c>
    </row>
    <row r="323" spans="1:12" hidden="1">
      <c r="A323" s="19">
        <f t="shared" si="29"/>
        <v>317</v>
      </c>
      <c r="B323" s="20">
        <f t="shared" si="25"/>
        <v>0</v>
      </c>
      <c r="C323" s="21">
        <f t="shared" si="26"/>
        <v>0</v>
      </c>
      <c r="D323" s="22" t="e">
        <f>VLOOKUP($A323, TAB_JUROS_U[[Q_DIAS_U_PARC_TIR]:[V_FUT_U_JURS CENARIO]], D$5, FALSE)</f>
        <v>#N/A</v>
      </c>
      <c r="E323" s="22" t="e">
        <f>VLOOKUP($A323,TAB_CORRECAO_U[[Q_DIAS_U_PARC_TIR]:[V_FUT_U_CORC-02]],E$5, FALSE)</f>
        <v>#N/A</v>
      </c>
      <c r="F323" s="22" t="e">
        <f>VLOOKUP($A323,TAB_AMORTIZACAO_U[[Q_DIAS_U_PARC_TIR]:[V_FUT_U_PCPL-02]], F$5, FALSE)</f>
        <v>#N/A</v>
      </c>
      <c r="H323" s="20">
        <f t="shared" si="27"/>
        <v>0</v>
      </c>
      <c r="I323" s="21">
        <f t="shared" si="28"/>
        <v>0</v>
      </c>
      <c r="J323" s="22" t="e">
        <f>VLOOKUP($A323, TAB_JUROS_C[[DIAS_CORRIDOS]:[V_FUT_UTEIS]], J$5, FALSE)</f>
        <v>#N/A</v>
      </c>
      <c r="K323" s="22" t="e">
        <f>VLOOKUP($A323, TAB_CORRECAO_C[[DIAS_CORRIDOS]:[V_FUT_UTEIS]],K$5, FALSE)</f>
        <v>#N/A</v>
      </c>
      <c r="L323" s="22" t="e">
        <f>VLOOKUP($A323, TAB_AMORTIZACAO_C[[DIAS_CORRIDOS]:[V_FUT_UTEIS]], L$5, FALSE)</f>
        <v>#N/A</v>
      </c>
    </row>
    <row r="324" spans="1:12" hidden="1">
      <c r="A324" s="19">
        <f t="shared" si="29"/>
        <v>318</v>
      </c>
      <c r="B324" s="20">
        <f t="shared" si="25"/>
        <v>0</v>
      </c>
      <c r="C324" s="21">
        <f t="shared" si="26"/>
        <v>0</v>
      </c>
      <c r="D324" s="22" t="e">
        <f>VLOOKUP($A324, TAB_JUROS_U[[Q_DIAS_U_PARC_TIR]:[V_FUT_U_JURS CENARIO]], D$5, FALSE)</f>
        <v>#N/A</v>
      </c>
      <c r="E324" s="22" t="e">
        <f>VLOOKUP($A324,TAB_CORRECAO_U[[Q_DIAS_U_PARC_TIR]:[V_FUT_U_CORC-02]],E$5, FALSE)</f>
        <v>#N/A</v>
      </c>
      <c r="F324" s="22" t="e">
        <f>VLOOKUP($A324,TAB_AMORTIZACAO_U[[Q_DIAS_U_PARC_TIR]:[V_FUT_U_PCPL-02]], F$5, FALSE)</f>
        <v>#N/A</v>
      </c>
      <c r="H324" s="20">
        <f t="shared" si="27"/>
        <v>1918.8662244160232</v>
      </c>
      <c r="I324" s="21">
        <f t="shared" si="28"/>
        <v>1918.8662244160232</v>
      </c>
      <c r="J324" s="22">
        <f>VLOOKUP($A324, TAB_JUROS_C[[DIAS_CORRIDOS]:[V_FUT_UTEIS]], J$5, FALSE)</f>
        <v>158.05043911702776</v>
      </c>
      <c r="K324" s="22">
        <f>VLOOKUP($A324, TAB_CORRECAO_C[[DIAS_CORRIDOS]:[V_FUT_UTEIS]],K$5, FALSE)</f>
        <v>981.08275287511231</v>
      </c>
      <c r="L324" s="22">
        <f>VLOOKUP($A324, TAB_AMORTIZACAO_C[[DIAS_CORRIDOS]:[V_FUT_UTEIS]], L$5, FALSE)</f>
        <v>779.73303242388317</v>
      </c>
    </row>
    <row r="325" spans="1:12" hidden="1">
      <c r="A325" s="19">
        <f t="shared" si="29"/>
        <v>319</v>
      </c>
      <c r="B325" s="20">
        <f t="shared" si="25"/>
        <v>0</v>
      </c>
      <c r="C325" s="21">
        <f t="shared" si="26"/>
        <v>0</v>
      </c>
      <c r="D325" s="22" t="e">
        <f>VLOOKUP($A325, TAB_JUROS_U[[Q_DIAS_U_PARC_TIR]:[V_FUT_U_JURS CENARIO]], D$5, FALSE)</f>
        <v>#N/A</v>
      </c>
      <c r="E325" s="22" t="e">
        <f>VLOOKUP($A325,TAB_CORRECAO_U[[Q_DIAS_U_PARC_TIR]:[V_FUT_U_CORC-02]],E$5, FALSE)</f>
        <v>#N/A</v>
      </c>
      <c r="F325" s="22" t="e">
        <f>VLOOKUP($A325,TAB_AMORTIZACAO_U[[Q_DIAS_U_PARC_TIR]:[V_FUT_U_PCPL-02]], F$5, FALSE)</f>
        <v>#N/A</v>
      </c>
      <c r="H325" s="20">
        <f t="shared" si="27"/>
        <v>0</v>
      </c>
      <c r="I325" s="21">
        <f t="shared" si="28"/>
        <v>0</v>
      </c>
      <c r="J325" s="22" t="e">
        <f>VLOOKUP($A325, TAB_JUROS_C[[DIAS_CORRIDOS]:[V_FUT_UTEIS]], J$5, FALSE)</f>
        <v>#N/A</v>
      </c>
      <c r="K325" s="22" t="e">
        <f>VLOOKUP($A325, TAB_CORRECAO_C[[DIAS_CORRIDOS]:[V_FUT_UTEIS]],K$5, FALSE)</f>
        <v>#N/A</v>
      </c>
      <c r="L325" s="22" t="e">
        <f>VLOOKUP($A325, TAB_AMORTIZACAO_C[[DIAS_CORRIDOS]:[V_FUT_UTEIS]], L$5, FALSE)</f>
        <v>#N/A</v>
      </c>
    </row>
    <row r="326" spans="1:12" hidden="1">
      <c r="A326" s="19">
        <f t="shared" si="29"/>
        <v>320</v>
      </c>
      <c r="B326" s="20">
        <f t="shared" si="25"/>
        <v>0</v>
      </c>
      <c r="C326" s="21">
        <f t="shared" si="26"/>
        <v>0</v>
      </c>
      <c r="D326" s="22" t="e">
        <f>VLOOKUP($A326, TAB_JUROS_U[[Q_DIAS_U_PARC_TIR]:[V_FUT_U_JURS CENARIO]], D$5, FALSE)</f>
        <v>#N/A</v>
      </c>
      <c r="E326" s="22" t="e">
        <f>VLOOKUP($A326,TAB_CORRECAO_U[[Q_DIAS_U_PARC_TIR]:[V_FUT_U_CORC-02]],E$5, FALSE)</f>
        <v>#N/A</v>
      </c>
      <c r="F326" s="22" t="e">
        <f>VLOOKUP($A326,TAB_AMORTIZACAO_U[[Q_DIAS_U_PARC_TIR]:[V_FUT_U_PCPL-02]], F$5, FALSE)</f>
        <v>#N/A</v>
      </c>
      <c r="H326" s="20">
        <f t="shared" si="27"/>
        <v>0</v>
      </c>
      <c r="I326" s="21">
        <f t="shared" si="28"/>
        <v>0</v>
      </c>
      <c r="J326" s="22" t="e">
        <f>VLOOKUP($A326, TAB_JUROS_C[[DIAS_CORRIDOS]:[V_FUT_UTEIS]], J$5, FALSE)</f>
        <v>#N/A</v>
      </c>
      <c r="K326" s="22" t="e">
        <f>VLOOKUP($A326, TAB_CORRECAO_C[[DIAS_CORRIDOS]:[V_FUT_UTEIS]],K$5, FALSE)</f>
        <v>#N/A</v>
      </c>
      <c r="L326" s="22" t="e">
        <f>VLOOKUP($A326, TAB_AMORTIZACAO_C[[DIAS_CORRIDOS]:[V_FUT_UTEIS]], L$5, FALSE)</f>
        <v>#N/A</v>
      </c>
    </row>
    <row r="327" spans="1:12" hidden="1">
      <c r="A327" s="19">
        <f t="shared" si="29"/>
        <v>321</v>
      </c>
      <c r="B327" s="20">
        <f t="shared" si="25"/>
        <v>0</v>
      </c>
      <c r="C327" s="21">
        <f t="shared" si="26"/>
        <v>0</v>
      </c>
      <c r="D327" s="22" t="e">
        <f>VLOOKUP($A327, TAB_JUROS_U[[Q_DIAS_U_PARC_TIR]:[V_FUT_U_JURS CENARIO]], D$5, FALSE)</f>
        <v>#N/A</v>
      </c>
      <c r="E327" s="22" t="e">
        <f>VLOOKUP($A327,TAB_CORRECAO_U[[Q_DIAS_U_PARC_TIR]:[V_FUT_U_CORC-02]],E$5, FALSE)</f>
        <v>#N/A</v>
      </c>
      <c r="F327" s="22" t="e">
        <f>VLOOKUP($A327,TAB_AMORTIZACAO_U[[Q_DIAS_U_PARC_TIR]:[V_FUT_U_PCPL-02]], F$5, FALSE)</f>
        <v>#N/A</v>
      </c>
      <c r="H327" s="20">
        <f t="shared" si="27"/>
        <v>0</v>
      </c>
      <c r="I327" s="21">
        <f t="shared" si="28"/>
        <v>0</v>
      </c>
      <c r="J327" s="22" t="e">
        <f>VLOOKUP($A327, TAB_JUROS_C[[DIAS_CORRIDOS]:[V_FUT_UTEIS]], J$5, FALSE)</f>
        <v>#N/A</v>
      </c>
      <c r="K327" s="22" t="e">
        <f>VLOOKUP($A327, TAB_CORRECAO_C[[DIAS_CORRIDOS]:[V_FUT_UTEIS]],K$5, FALSE)</f>
        <v>#N/A</v>
      </c>
      <c r="L327" s="22" t="e">
        <f>VLOOKUP($A327, TAB_AMORTIZACAO_C[[DIAS_CORRIDOS]:[V_FUT_UTEIS]], L$5, FALSE)</f>
        <v>#N/A</v>
      </c>
    </row>
    <row r="328" spans="1:12" hidden="1">
      <c r="A328" s="19">
        <f t="shared" si="29"/>
        <v>322</v>
      </c>
      <c r="B328" s="20">
        <f t="shared" si="25"/>
        <v>0</v>
      </c>
      <c r="C328" s="21">
        <f t="shared" si="26"/>
        <v>0</v>
      </c>
      <c r="D328" s="22" t="e">
        <f>VLOOKUP($A328, TAB_JUROS_U[[Q_DIAS_U_PARC_TIR]:[V_FUT_U_JURS CENARIO]], D$5, FALSE)</f>
        <v>#N/A</v>
      </c>
      <c r="E328" s="22" t="e">
        <f>VLOOKUP($A328,TAB_CORRECAO_U[[Q_DIAS_U_PARC_TIR]:[V_FUT_U_CORC-02]],E$5, FALSE)</f>
        <v>#N/A</v>
      </c>
      <c r="F328" s="22" t="e">
        <f>VLOOKUP($A328,TAB_AMORTIZACAO_U[[Q_DIAS_U_PARC_TIR]:[V_FUT_U_PCPL-02]], F$5, FALSE)</f>
        <v>#N/A</v>
      </c>
      <c r="H328" s="20">
        <f t="shared" si="27"/>
        <v>0</v>
      </c>
      <c r="I328" s="21">
        <f t="shared" si="28"/>
        <v>0</v>
      </c>
      <c r="J328" s="22" t="e">
        <f>VLOOKUP($A328, TAB_JUROS_C[[DIAS_CORRIDOS]:[V_FUT_UTEIS]], J$5, FALSE)</f>
        <v>#N/A</v>
      </c>
      <c r="K328" s="22" t="e">
        <f>VLOOKUP($A328, TAB_CORRECAO_C[[DIAS_CORRIDOS]:[V_FUT_UTEIS]],K$5, FALSE)</f>
        <v>#N/A</v>
      </c>
      <c r="L328" s="22" t="e">
        <f>VLOOKUP($A328, TAB_AMORTIZACAO_C[[DIAS_CORRIDOS]:[V_FUT_UTEIS]], L$5, FALSE)</f>
        <v>#N/A</v>
      </c>
    </row>
    <row r="329" spans="1:12" hidden="1">
      <c r="A329" s="19">
        <f t="shared" si="29"/>
        <v>323</v>
      </c>
      <c r="B329" s="20">
        <f t="shared" ref="B329:B392" si="30">IF(ISERROR(C329), 0, C329)</f>
        <v>0</v>
      </c>
      <c r="C329" s="21">
        <f t="shared" ref="C329:C392" si="31">SUMIF(D329:F329, "&gt;0", D329:F329)</f>
        <v>0</v>
      </c>
      <c r="D329" s="22" t="e">
        <f>VLOOKUP($A329, TAB_JUROS_U[[Q_DIAS_U_PARC_TIR]:[V_FUT_U_JURS CENARIO]], D$5, FALSE)</f>
        <v>#N/A</v>
      </c>
      <c r="E329" s="22" t="e">
        <f>VLOOKUP($A329,TAB_CORRECAO_U[[Q_DIAS_U_PARC_TIR]:[V_FUT_U_CORC-02]],E$5, FALSE)</f>
        <v>#N/A</v>
      </c>
      <c r="F329" s="22" t="e">
        <f>VLOOKUP($A329,TAB_AMORTIZACAO_U[[Q_DIAS_U_PARC_TIR]:[V_FUT_U_PCPL-02]], F$5, FALSE)</f>
        <v>#N/A</v>
      </c>
      <c r="H329" s="20">
        <f t="shared" ref="H329:H392" si="32">IF(ISERROR(I329), 0, I329)</f>
        <v>0</v>
      </c>
      <c r="I329" s="21">
        <f t="shared" ref="I329:I392" si="33">SUMIF(J329:L329, "&gt;0", J329:L329)</f>
        <v>0</v>
      </c>
      <c r="J329" s="22" t="e">
        <f>VLOOKUP($A329, TAB_JUROS_C[[DIAS_CORRIDOS]:[V_FUT_UTEIS]], J$5, FALSE)</f>
        <v>#N/A</v>
      </c>
      <c r="K329" s="22" t="e">
        <f>VLOOKUP($A329, TAB_CORRECAO_C[[DIAS_CORRIDOS]:[V_FUT_UTEIS]],K$5, FALSE)</f>
        <v>#N/A</v>
      </c>
      <c r="L329" s="22" t="e">
        <f>VLOOKUP($A329, TAB_AMORTIZACAO_C[[DIAS_CORRIDOS]:[V_FUT_UTEIS]], L$5, FALSE)</f>
        <v>#N/A</v>
      </c>
    </row>
    <row r="330" spans="1:12" hidden="1">
      <c r="A330" s="19">
        <f t="shared" ref="A330:A393" si="34">A329+1</f>
        <v>324</v>
      </c>
      <c r="B330" s="20">
        <f t="shared" si="30"/>
        <v>0</v>
      </c>
      <c r="C330" s="21">
        <f t="shared" si="31"/>
        <v>0</v>
      </c>
      <c r="D330" s="22" t="e">
        <f>VLOOKUP($A330, TAB_JUROS_U[[Q_DIAS_U_PARC_TIR]:[V_FUT_U_JURS CENARIO]], D$5, FALSE)</f>
        <v>#N/A</v>
      </c>
      <c r="E330" s="22" t="e">
        <f>VLOOKUP($A330,TAB_CORRECAO_U[[Q_DIAS_U_PARC_TIR]:[V_FUT_U_CORC-02]],E$5, FALSE)</f>
        <v>#N/A</v>
      </c>
      <c r="F330" s="22" t="e">
        <f>VLOOKUP($A330,TAB_AMORTIZACAO_U[[Q_DIAS_U_PARC_TIR]:[V_FUT_U_PCPL-02]], F$5, FALSE)</f>
        <v>#N/A</v>
      </c>
      <c r="H330" s="20">
        <f t="shared" si="32"/>
        <v>0</v>
      </c>
      <c r="I330" s="21">
        <f t="shared" si="33"/>
        <v>0</v>
      </c>
      <c r="J330" s="22" t="e">
        <f>VLOOKUP($A330, TAB_JUROS_C[[DIAS_CORRIDOS]:[V_FUT_UTEIS]], J$5, FALSE)</f>
        <v>#N/A</v>
      </c>
      <c r="K330" s="22" t="e">
        <f>VLOOKUP($A330, TAB_CORRECAO_C[[DIAS_CORRIDOS]:[V_FUT_UTEIS]],K$5, FALSE)</f>
        <v>#N/A</v>
      </c>
      <c r="L330" s="22" t="e">
        <f>VLOOKUP($A330, TAB_AMORTIZACAO_C[[DIAS_CORRIDOS]:[V_FUT_UTEIS]], L$5, FALSE)</f>
        <v>#N/A</v>
      </c>
    </row>
    <row r="331" spans="1:12" hidden="1">
      <c r="A331" s="19">
        <f t="shared" si="34"/>
        <v>325</v>
      </c>
      <c r="B331" s="20">
        <f t="shared" si="30"/>
        <v>0</v>
      </c>
      <c r="C331" s="21">
        <f t="shared" si="31"/>
        <v>0</v>
      </c>
      <c r="D331" s="22" t="e">
        <f>VLOOKUP($A331, TAB_JUROS_U[[Q_DIAS_U_PARC_TIR]:[V_FUT_U_JURS CENARIO]], D$5, FALSE)</f>
        <v>#N/A</v>
      </c>
      <c r="E331" s="22" t="e">
        <f>VLOOKUP($A331,TAB_CORRECAO_U[[Q_DIAS_U_PARC_TIR]:[V_FUT_U_CORC-02]],E$5, FALSE)</f>
        <v>#N/A</v>
      </c>
      <c r="F331" s="22" t="e">
        <f>VLOOKUP($A331,TAB_AMORTIZACAO_U[[Q_DIAS_U_PARC_TIR]:[V_FUT_U_PCPL-02]], F$5, FALSE)</f>
        <v>#N/A</v>
      </c>
      <c r="H331" s="20">
        <f t="shared" si="32"/>
        <v>0</v>
      </c>
      <c r="I331" s="21">
        <f t="shared" si="33"/>
        <v>0</v>
      </c>
      <c r="J331" s="22" t="e">
        <f>VLOOKUP($A331, TAB_JUROS_C[[DIAS_CORRIDOS]:[V_FUT_UTEIS]], J$5, FALSE)</f>
        <v>#N/A</v>
      </c>
      <c r="K331" s="22" t="e">
        <f>VLOOKUP($A331, TAB_CORRECAO_C[[DIAS_CORRIDOS]:[V_FUT_UTEIS]],K$5, FALSE)</f>
        <v>#N/A</v>
      </c>
      <c r="L331" s="22" t="e">
        <f>VLOOKUP($A331, TAB_AMORTIZACAO_C[[DIAS_CORRIDOS]:[V_FUT_UTEIS]], L$5, FALSE)</f>
        <v>#N/A</v>
      </c>
    </row>
    <row r="332" spans="1:12" hidden="1">
      <c r="A332" s="19">
        <f t="shared" si="34"/>
        <v>326</v>
      </c>
      <c r="B332" s="20">
        <f t="shared" si="30"/>
        <v>0</v>
      </c>
      <c r="C332" s="21">
        <f t="shared" si="31"/>
        <v>0</v>
      </c>
      <c r="D332" s="22" t="e">
        <f>VLOOKUP($A332, TAB_JUROS_U[[Q_DIAS_U_PARC_TIR]:[V_FUT_U_JURS CENARIO]], D$5, FALSE)</f>
        <v>#N/A</v>
      </c>
      <c r="E332" s="22" t="e">
        <f>VLOOKUP($A332,TAB_CORRECAO_U[[Q_DIAS_U_PARC_TIR]:[V_FUT_U_CORC-02]],E$5, FALSE)</f>
        <v>#N/A</v>
      </c>
      <c r="F332" s="22" t="e">
        <f>VLOOKUP($A332,TAB_AMORTIZACAO_U[[Q_DIAS_U_PARC_TIR]:[V_FUT_U_PCPL-02]], F$5, FALSE)</f>
        <v>#N/A</v>
      </c>
      <c r="H332" s="20">
        <f t="shared" si="32"/>
        <v>0</v>
      </c>
      <c r="I332" s="21">
        <f t="shared" si="33"/>
        <v>0</v>
      </c>
      <c r="J332" s="22" t="e">
        <f>VLOOKUP($A332, TAB_JUROS_C[[DIAS_CORRIDOS]:[V_FUT_UTEIS]], J$5, FALSE)</f>
        <v>#N/A</v>
      </c>
      <c r="K332" s="22" t="e">
        <f>VLOOKUP($A332, TAB_CORRECAO_C[[DIAS_CORRIDOS]:[V_FUT_UTEIS]],K$5, FALSE)</f>
        <v>#N/A</v>
      </c>
      <c r="L332" s="22" t="e">
        <f>VLOOKUP($A332, TAB_AMORTIZACAO_C[[DIAS_CORRIDOS]:[V_FUT_UTEIS]], L$5, FALSE)</f>
        <v>#N/A</v>
      </c>
    </row>
    <row r="333" spans="1:12">
      <c r="A333" s="19">
        <f t="shared" si="34"/>
        <v>327</v>
      </c>
      <c r="B333" s="20">
        <f t="shared" si="30"/>
        <v>1969.8493446858313</v>
      </c>
      <c r="C333" s="21">
        <f t="shared" si="31"/>
        <v>1969.8493446858313</v>
      </c>
      <c r="D333" s="22">
        <f>VLOOKUP($A333, TAB_JUROS_U[[Q_DIAS_U_PARC_TIR]:[V_FUT_U_JURS CENARIO]], D$5, FALSE)</f>
        <v>162.17713810906247</v>
      </c>
      <c r="E333" s="22">
        <f>VLOOKUP($A333,TAB_CORRECAO_U[[Q_DIAS_U_PARC_TIR]:[V_FUT_U_CORC-02]],E$5, FALSE)</f>
        <v>1080.4227726288493</v>
      </c>
      <c r="F333" s="22">
        <f>VLOOKUP($A333,TAB_AMORTIZACAO_U[[Q_DIAS_U_PARC_TIR]:[V_FUT_U_PCPL-02]], F$5, FALSE)</f>
        <v>727.24943394791944</v>
      </c>
      <c r="H333" s="20">
        <f t="shared" si="32"/>
        <v>0</v>
      </c>
      <c r="I333" s="21">
        <f t="shared" si="33"/>
        <v>0</v>
      </c>
      <c r="J333" s="22" t="e">
        <f>VLOOKUP($A333, TAB_JUROS_C[[DIAS_CORRIDOS]:[V_FUT_UTEIS]], J$5, FALSE)</f>
        <v>#N/A</v>
      </c>
      <c r="K333" s="22" t="e">
        <f>VLOOKUP($A333, TAB_CORRECAO_C[[DIAS_CORRIDOS]:[V_FUT_UTEIS]],K$5, FALSE)</f>
        <v>#N/A</v>
      </c>
      <c r="L333" s="22" t="e">
        <f>VLOOKUP($A333, TAB_AMORTIZACAO_C[[DIAS_CORRIDOS]:[V_FUT_UTEIS]], L$5, FALSE)</f>
        <v>#N/A</v>
      </c>
    </row>
    <row r="334" spans="1:12" hidden="1">
      <c r="A334" s="19">
        <f t="shared" si="34"/>
        <v>328</v>
      </c>
      <c r="B334" s="20">
        <f t="shared" si="30"/>
        <v>0</v>
      </c>
      <c r="C334" s="21">
        <f t="shared" si="31"/>
        <v>0</v>
      </c>
      <c r="D334" s="22" t="e">
        <f>VLOOKUP($A334, TAB_JUROS_U[[Q_DIAS_U_PARC_TIR]:[V_FUT_U_JURS CENARIO]], D$5, FALSE)</f>
        <v>#N/A</v>
      </c>
      <c r="E334" s="22" t="e">
        <f>VLOOKUP($A334,TAB_CORRECAO_U[[Q_DIAS_U_PARC_TIR]:[V_FUT_U_CORC-02]],E$5, FALSE)</f>
        <v>#N/A</v>
      </c>
      <c r="F334" s="22" t="e">
        <f>VLOOKUP($A334,TAB_AMORTIZACAO_U[[Q_DIAS_U_PARC_TIR]:[V_FUT_U_PCPL-02]], F$5, FALSE)</f>
        <v>#N/A</v>
      </c>
      <c r="H334" s="20">
        <f t="shared" si="32"/>
        <v>0</v>
      </c>
      <c r="I334" s="21">
        <f t="shared" si="33"/>
        <v>0</v>
      </c>
      <c r="J334" s="22" t="e">
        <f>VLOOKUP($A334, TAB_JUROS_C[[DIAS_CORRIDOS]:[V_FUT_UTEIS]], J$5, FALSE)</f>
        <v>#N/A</v>
      </c>
      <c r="K334" s="22" t="e">
        <f>VLOOKUP($A334, TAB_CORRECAO_C[[DIAS_CORRIDOS]:[V_FUT_UTEIS]],K$5, FALSE)</f>
        <v>#N/A</v>
      </c>
      <c r="L334" s="22" t="e">
        <f>VLOOKUP($A334, TAB_AMORTIZACAO_C[[DIAS_CORRIDOS]:[V_FUT_UTEIS]], L$5, FALSE)</f>
        <v>#N/A</v>
      </c>
    </row>
    <row r="335" spans="1:12" hidden="1">
      <c r="A335" s="19">
        <f t="shared" si="34"/>
        <v>329</v>
      </c>
      <c r="B335" s="20">
        <f t="shared" si="30"/>
        <v>0</v>
      </c>
      <c r="C335" s="21">
        <f t="shared" si="31"/>
        <v>0</v>
      </c>
      <c r="D335" s="22" t="e">
        <f>VLOOKUP($A335, TAB_JUROS_U[[Q_DIAS_U_PARC_TIR]:[V_FUT_U_JURS CENARIO]], D$5, FALSE)</f>
        <v>#N/A</v>
      </c>
      <c r="E335" s="22" t="e">
        <f>VLOOKUP($A335,TAB_CORRECAO_U[[Q_DIAS_U_PARC_TIR]:[V_FUT_U_CORC-02]],E$5, FALSE)</f>
        <v>#N/A</v>
      </c>
      <c r="F335" s="22" t="e">
        <f>VLOOKUP($A335,TAB_AMORTIZACAO_U[[Q_DIAS_U_PARC_TIR]:[V_FUT_U_PCPL-02]], F$5, FALSE)</f>
        <v>#N/A</v>
      </c>
      <c r="H335" s="20">
        <f t="shared" si="32"/>
        <v>0</v>
      </c>
      <c r="I335" s="21">
        <f t="shared" si="33"/>
        <v>0</v>
      </c>
      <c r="J335" s="22" t="e">
        <f>VLOOKUP($A335, TAB_JUROS_C[[DIAS_CORRIDOS]:[V_FUT_UTEIS]], J$5, FALSE)</f>
        <v>#N/A</v>
      </c>
      <c r="K335" s="22" t="e">
        <f>VLOOKUP($A335, TAB_CORRECAO_C[[DIAS_CORRIDOS]:[V_FUT_UTEIS]],K$5, FALSE)</f>
        <v>#N/A</v>
      </c>
      <c r="L335" s="22" t="e">
        <f>VLOOKUP($A335, TAB_AMORTIZACAO_C[[DIAS_CORRIDOS]:[V_FUT_UTEIS]], L$5, FALSE)</f>
        <v>#N/A</v>
      </c>
    </row>
    <row r="336" spans="1:12" hidden="1">
      <c r="A336" s="19">
        <f t="shared" si="34"/>
        <v>330</v>
      </c>
      <c r="B336" s="20">
        <f t="shared" si="30"/>
        <v>0</v>
      </c>
      <c r="C336" s="21">
        <f t="shared" si="31"/>
        <v>0</v>
      </c>
      <c r="D336" s="22" t="e">
        <f>VLOOKUP($A336, TAB_JUROS_U[[Q_DIAS_U_PARC_TIR]:[V_FUT_U_JURS CENARIO]], D$5, FALSE)</f>
        <v>#N/A</v>
      </c>
      <c r="E336" s="22" t="e">
        <f>VLOOKUP($A336,TAB_CORRECAO_U[[Q_DIAS_U_PARC_TIR]:[V_FUT_U_CORC-02]],E$5, FALSE)</f>
        <v>#N/A</v>
      </c>
      <c r="F336" s="22" t="e">
        <f>VLOOKUP($A336,TAB_AMORTIZACAO_U[[Q_DIAS_U_PARC_TIR]:[V_FUT_U_PCPL-02]], F$5, FALSE)</f>
        <v>#N/A</v>
      </c>
      <c r="H336" s="20">
        <f t="shared" si="32"/>
        <v>0</v>
      </c>
      <c r="I336" s="21">
        <f t="shared" si="33"/>
        <v>0</v>
      </c>
      <c r="J336" s="22" t="e">
        <f>VLOOKUP($A336, TAB_JUROS_C[[DIAS_CORRIDOS]:[V_FUT_UTEIS]], J$5, FALSE)</f>
        <v>#N/A</v>
      </c>
      <c r="K336" s="22" t="e">
        <f>VLOOKUP($A336, TAB_CORRECAO_C[[DIAS_CORRIDOS]:[V_FUT_UTEIS]],K$5, FALSE)</f>
        <v>#N/A</v>
      </c>
      <c r="L336" s="22" t="e">
        <f>VLOOKUP($A336, TAB_AMORTIZACAO_C[[DIAS_CORRIDOS]:[V_FUT_UTEIS]], L$5, FALSE)</f>
        <v>#N/A</v>
      </c>
    </row>
    <row r="337" spans="1:12" hidden="1">
      <c r="A337" s="19">
        <f t="shared" si="34"/>
        <v>331</v>
      </c>
      <c r="B337" s="20">
        <f t="shared" si="30"/>
        <v>0</v>
      </c>
      <c r="C337" s="21">
        <f t="shared" si="31"/>
        <v>0</v>
      </c>
      <c r="D337" s="22" t="e">
        <f>VLOOKUP($A337, TAB_JUROS_U[[Q_DIAS_U_PARC_TIR]:[V_FUT_U_JURS CENARIO]], D$5, FALSE)</f>
        <v>#N/A</v>
      </c>
      <c r="E337" s="22" t="e">
        <f>VLOOKUP($A337,TAB_CORRECAO_U[[Q_DIAS_U_PARC_TIR]:[V_FUT_U_CORC-02]],E$5, FALSE)</f>
        <v>#N/A</v>
      </c>
      <c r="F337" s="22" t="e">
        <f>VLOOKUP($A337,TAB_AMORTIZACAO_U[[Q_DIAS_U_PARC_TIR]:[V_FUT_U_PCPL-02]], F$5, FALSE)</f>
        <v>#N/A</v>
      </c>
      <c r="H337" s="20">
        <f t="shared" si="32"/>
        <v>0</v>
      </c>
      <c r="I337" s="21">
        <f t="shared" si="33"/>
        <v>0</v>
      </c>
      <c r="J337" s="22" t="e">
        <f>VLOOKUP($A337, TAB_JUROS_C[[DIAS_CORRIDOS]:[V_FUT_UTEIS]], J$5, FALSE)</f>
        <v>#N/A</v>
      </c>
      <c r="K337" s="22" t="e">
        <f>VLOOKUP($A337, TAB_CORRECAO_C[[DIAS_CORRIDOS]:[V_FUT_UTEIS]],K$5, FALSE)</f>
        <v>#N/A</v>
      </c>
      <c r="L337" s="22" t="e">
        <f>VLOOKUP($A337, TAB_AMORTIZACAO_C[[DIAS_CORRIDOS]:[V_FUT_UTEIS]], L$5, FALSE)</f>
        <v>#N/A</v>
      </c>
    </row>
    <row r="338" spans="1:12" hidden="1">
      <c r="A338" s="19">
        <f t="shared" si="34"/>
        <v>332</v>
      </c>
      <c r="B338" s="20">
        <f t="shared" si="30"/>
        <v>0</v>
      </c>
      <c r="C338" s="21">
        <f t="shared" si="31"/>
        <v>0</v>
      </c>
      <c r="D338" s="22" t="e">
        <f>VLOOKUP($A338, TAB_JUROS_U[[Q_DIAS_U_PARC_TIR]:[V_FUT_U_JURS CENARIO]], D$5, FALSE)</f>
        <v>#N/A</v>
      </c>
      <c r="E338" s="22" t="e">
        <f>VLOOKUP($A338,TAB_CORRECAO_U[[Q_DIAS_U_PARC_TIR]:[V_FUT_U_CORC-02]],E$5, FALSE)</f>
        <v>#N/A</v>
      </c>
      <c r="F338" s="22" t="e">
        <f>VLOOKUP($A338,TAB_AMORTIZACAO_U[[Q_DIAS_U_PARC_TIR]:[V_FUT_U_PCPL-02]], F$5, FALSE)</f>
        <v>#N/A</v>
      </c>
      <c r="H338" s="20">
        <f t="shared" si="32"/>
        <v>0</v>
      </c>
      <c r="I338" s="21">
        <f t="shared" si="33"/>
        <v>0</v>
      </c>
      <c r="J338" s="22" t="e">
        <f>VLOOKUP($A338, TAB_JUROS_C[[DIAS_CORRIDOS]:[V_FUT_UTEIS]], J$5, FALSE)</f>
        <v>#N/A</v>
      </c>
      <c r="K338" s="22" t="e">
        <f>VLOOKUP($A338, TAB_CORRECAO_C[[DIAS_CORRIDOS]:[V_FUT_UTEIS]],K$5, FALSE)</f>
        <v>#N/A</v>
      </c>
      <c r="L338" s="22" t="e">
        <f>VLOOKUP($A338, TAB_AMORTIZACAO_C[[DIAS_CORRIDOS]:[V_FUT_UTEIS]], L$5, FALSE)</f>
        <v>#N/A</v>
      </c>
    </row>
    <row r="339" spans="1:12" hidden="1">
      <c r="A339" s="19">
        <f t="shared" si="34"/>
        <v>333</v>
      </c>
      <c r="B339" s="20">
        <f t="shared" si="30"/>
        <v>0</v>
      </c>
      <c r="C339" s="21">
        <f t="shared" si="31"/>
        <v>0</v>
      </c>
      <c r="D339" s="22" t="e">
        <f>VLOOKUP($A339, TAB_JUROS_U[[Q_DIAS_U_PARC_TIR]:[V_FUT_U_JURS CENARIO]], D$5, FALSE)</f>
        <v>#N/A</v>
      </c>
      <c r="E339" s="22" t="e">
        <f>VLOOKUP($A339,TAB_CORRECAO_U[[Q_DIAS_U_PARC_TIR]:[V_FUT_U_CORC-02]],E$5, FALSE)</f>
        <v>#N/A</v>
      </c>
      <c r="F339" s="22" t="e">
        <f>VLOOKUP($A339,TAB_AMORTIZACAO_U[[Q_DIAS_U_PARC_TIR]:[V_FUT_U_PCPL-02]], F$5, FALSE)</f>
        <v>#N/A</v>
      </c>
      <c r="H339" s="20">
        <f t="shared" si="32"/>
        <v>0</v>
      </c>
      <c r="I339" s="21">
        <f t="shared" si="33"/>
        <v>0</v>
      </c>
      <c r="J339" s="22" t="e">
        <f>VLOOKUP($A339, TAB_JUROS_C[[DIAS_CORRIDOS]:[V_FUT_UTEIS]], J$5, FALSE)</f>
        <v>#N/A</v>
      </c>
      <c r="K339" s="22" t="e">
        <f>VLOOKUP($A339, TAB_CORRECAO_C[[DIAS_CORRIDOS]:[V_FUT_UTEIS]],K$5, FALSE)</f>
        <v>#N/A</v>
      </c>
      <c r="L339" s="22" t="e">
        <f>VLOOKUP($A339, TAB_AMORTIZACAO_C[[DIAS_CORRIDOS]:[V_FUT_UTEIS]], L$5, FALSE)</f>
        <v>#N/A</v>
      </c>
    </row>
    <row r="340" spans="1:12" hidden="1">
      <c r="A340" s="19">
        <f t="shared" si="34"/>
        <v>334</v>
      </c>
      <c r="B340" s="20">
        <f t="shared" si="30"/>
        <v>0</v>
      </c>
      <c r="C340" s="21">
        <f t="shared" si="31"/>
        <v>0</v>
      </c>
      <c r="D340" s="22" t="e">
        <f>VLOOKUP($A340, TAB_JUROS_U[[Q_DIAS_U_PARC_TIR]:[V_FUT_U_JURS CENARIO]], D$5, FALSE)</f>
        <v>#N/A</v>
      </c>
      <c r="E340" s="22" t="e">
        <f>VLOOKUP($A340,TAB_CORRECAO_U[[Q_DIAS_U_PARC_TIR]:[V_FUT_U_CORC-02]],E$5, FALSE)</f>
        <v>#N/A</v>
      </c>
      <c r="F340" s="22" t="e">
        <f>VLOOKUP($A340,TAB_AMORTIZACAO_U[[Q_DIAS_U_PARC_TIR]:[V_FUT_U_PCPL-02]], F$5, FALSE)</f>
        <v>#N/A</v>
      </c>
      <c r="H340" s="20">
        <f t="shared" si="32"/>
        <v>0</v>
      </c>
      <c r="I340" s="21">
        <f t="shared" si="33"/>
        <v>0</v>
      </c>
      <c r="J340" s="22" t="e">
        <f>VLOOKUP($A340, TAB_JUROS_C[[DIAS_CORRIDOS]:[V_FUT_UTEIS]], J$5, FALSE)</f>
        <v>#N/A</v>
      </c>
      <c r="K340" s="22" t="e">
        <f>VLOOKUP($A340, TAB_CORRECAO_C[[DIAS_CORRIDOS]:[V_FUT_UTEIS]],K$5, FALSE)</f>
        <v>#N/A</v>
      </c>
      <c r="L340" s="22" t="e">
        <f>VLOOKUP($A340, TAB_AMORTIZACAO_C[[DIAS_CORRIDOS]:[V_FUT_UTEIS]], L$5, FALSE)</f>
        <v>#N/A</v>
      </c>
    </row>
    <row r="341" spans="1:12" hidden="1">
      <c r="A341" s="19">
        <f t="shared" si="34"/>
        <v>335</v>
      </c>
      <c r="B341" s="20">
        <f t="shared" si="30"/>
        <v>0</v>
      </c>
      <c r="C341" s="21">
        <f t="shared" si="31"/>
        <v>0</v>
      </c>
      <c r="D341" s="22" t="e">
        <f>VLOOKUP($A341, TAB_JUROS_U[[Q_DIAS_U_PARC_TIR]:[V_FUT_U_JURS CENARIO]], D$5, FALSE)</f>
        <v>#N/A</v>
      </c>
      <c r="E341" s="22" t="e">
        <f>VLOOKUP($A341,TAB_CORRECAO_U[[Q_DIAS_U_PARC_TIR]:[V_FUT_U_CORC-02]],E$5, FALSE)</f>
        <v>#N/A</v>
      </c>
      <c r="F341" s="22" t="e">
        <f>VLOOKUP($A341,TAB_AMORTIZACAO_U[[Q_DIAS_U_PARC_TIR]:[V_FUT_U_PCPL-02]], F$5, FALSE)</f>
        <v>#N/A</v>
      </c>
      <c r="H341" s="20">
        <f t="shared" si="32"/>
        <v>0</v>
      </c>
      <c r="I341" s="21">
        <f t="shared" si="33"/>
        <v>0</v>
      </c>
      <c r="J341" s="22" t="e">
        <f>VLOOKUP($A341, TAB_JUROS_C[[DIAS_CORRIDOS]:[V_FUT_UTEIS]], J$5, FALSE)</f>
        <v>#N/A</v>
      </c>
      <c r="K341" s="22" t="e">
        <f>VLOOKUP($A341, TAB_CORRECAO_C[[DIAS_CORRIDOS]:[V_FUT_UTEIS]],K$5, FALSE)</f>
        <v>#N/A</v>
      </c>
      <c r="L341" s="22" t="e">
        <f>VLOOKUP($A341, TAB_AMORTIZACAO_C[[DIAS_CORRIDOS]:[V_FUT_UTEIS]], L$5, FALSE)</f>
        <v>#N/A</v>
      </c>
    </row>
    <row r="342" spans="1:12" hidden="1">
      <c r="A342" s="19">
        <f t="shared" si="34"/>
        <v>336</v>
      </c>
      <c r="B342" s="20">
        <f t="shared" si="30"/>
        <v>0</v>
      </c>
      <c r="C342" s="21">
        <f t="shared" si="31"/>
        <v>0</v>
      </c>
      <c r="D342" s="22" t="e">
        <f>VLOOKUP($A342, TAB_JUROS_U[[Q_DIAS_U_PARC_TIR]:[V_FUT_U_JURS CENARIO]], D$5, FALSE)</f>
        <v>#N/A</v>
      </c>
      <c r="E342" s="22" t="e">
        <f>VLOOKUP($A342,TAB_CORRECAO_U[[Q_DIAS_U_PARC_TIR]:[V_FUT_U_CORC-02]],E$5, FALSE)</f>
        <v>#N/A</v>
      </c>
      <c r="F342" s="22" t="e">
        <f>VLOOKUP($A342,TAB_AMORTIZACAO_U[[Q_DIAS_U_PARC_TIR]:[V_FUT_U_PCPL-02]], F$5, FALSE)</f>
        <v>#N/A</v>
      </c>
      <c r="H342" s="20">
        <f t="shared" si="32"/>
        <v>0</v>
      </c>
      <c r="I342" s="21">
        <f t="shared" si="33"/>
        <v>0</v>
      </c>
      <c r="J342" s="22" t="e">
        <f>VLOOKUP($A342, TAB_JUROS_C[[DIAS_CORRIDOS]:[V_FUT_UTEIS]], J$5, FALSE)</f>
        <v>#N/A</v>
      </c>
      <c r="K342" s="22" t="e">
        <f>VLOOKUP($A342, TAB_CORRECAO_C[[DIAS_CORRIDOS]:[V_FUT_UTEIS]],K$5, FALSE)</f>
        <v>#N/A</v>
      </c>
      <c r="L342" s="22" t="e">
        <f>VLOOKUP($A342, TAB_AMORTIZACAO_C[[DIAS_CORRIDOS]:[V_FUT_UTEIS]], L$5, FALSE)</f>
        <v>#N/A</v>
      </c>
    </row>
    <row r="343" spans="1:12" hidden="1">
      <c r="A343" s="19">
        <f t="shared" si="34"/>
        <v>337</v>
      </c>
      <c r="B343" s="20">
        <f t="shared" si="30"/>
        <v>0</v>
      </c>
      <c r="C343" s="21">
        <f t="shared" si="31"/>
        <v>0</v>
      </c>
      <c r="D343" s="22" t="e">
        <f>VLOOKUP($A343, TAB_JUROS_U[[Q_DIAS_U_PARC_TIR]:[V_FUT_U_JURS CENARIO]], D$5, FALSE)</f>
        <v>#N/A</v>
      </c>
      <c r="E343" s="22" t="e">
        <f>VLOOKUP($A343,TAB_CORRECAO_U[[Q_DIAS_U_PARC_TIR]:[V_FUT_U_CORC-02]],E$5, FALSE)</f>
        <v>#N/A</v>
      </c>
      <c r="F343" s="22" t="e">
        <f>VLOOKUP($A343,TAB_AMORTIZACAO_U[[Q_DIAS_U_PARC_TIR]:[V_FUT_U_PCPL-02]], F$5, FALSE)</f>
        <v>#N/A</v>
      </c>
      <c r="H343" s="20">
        <f t="shared" si="32"/>
        <v>0</v>
      </c>
      <c r="I343" s="21">
        <f t="shared" si="33"/>
        <v>0</v>
      </c>
      <c r="J343" s="22" t="e">
        <f>VLOOKUP($A343, TAB_JUROS_C[[DIAS_CORRIDOS]:[V_FUT_UTEIS]], J$5, FALSE)</f>
        <v>#N/A</v>
      </c>
      <c r="K343" s="22" t="e">
        <f>VLOOKUP($A343, TAB_CORRECAO_C[[DIAS_CORRIDOS]:[V_FUT_UTEIS]],K$5, FALSE)</f>
        <v>#N/A</v>
      </c>
      <c r="L343" s="22" t="e">
        <f>VLOOKUP($A343, TAB_AMORTIZACAO_C[[DIAS_CORRIDOS]:[V_FUT_UTEIS]], L$5, FALSE)</f>
        <v>#N/A</v>
      </c>
    </row>
    <row r="344" spans="1:12" hidden="1">
      <c r="A344" s="19">
        <f t="shared" si="34"/>
        <v>338</v>
      </c>
      <c r="B344" s="20">
        <f t="shared" si="30"/>
        <v>0</v>
      </c>
      <c r="C344" s="21">
        <f t="shared" si="31"/>
        <v>0</v>
      </c>
      <c r="D344" s="22" t="e">
        <f>VLOOKUP($A344, TAB_JUROS_U[[Q_DIAS_U_PARC_TIR]:[V_FUT_U_JURS CENARIO]], D$5, FALSE)</f>
        <v>#N/A</v>
      </c>
      <c r="E344" s="22" t="e">
        <f>VLOOKUP($A344,TAB_CORRECAO_U[[Q_DIAS_U_PARC_TIR]:[V_FUT_U_CORC-02]],E$5, FALSE)</f>
        <v>#N/A</v>
      </c>
      <c r="F344" s="22" t="e">
        <f>VLOOKUP($A344,TAB_AMORTIZACAO_U[[Q_DIAS_U_PARC_TIR]:[V_FUT_U_PCPL-02]], F$5, FALSE)</f>
        <v>#N/A</v>
      </c>
      <c r="H344" s="20">
        <f t="shared" si="32"/>
        <v>0</v>
      </c>
      <c r="I344" s="21">
        <f t="shared" si="33"/>
        <v>0</v>
      </c>
      <c r="J344" s="22" t="e">
        <f>VLOOKUP($A344, TAB_JUROS_C[[DIAS_CORRIDOS]:[V_FUT_UTEIS]], J$5, FALSE)</f>
        <v>#N/A</v>
      </c>
      <c r="K344" s="22" t="e">
        <f>VLOOKUP($A344, TAB_CORRECAO_C[[DIAS_CORRIDOS]:[V_FUT_UTEIS]],K$5, FALSE)</f>
        <v>#N/A</v>
      </c>
      <c r="L344" s="22" t="e">
        <f>VLOOKUP($A344, TAB_AMORTIZACAO_C[[DIAS_CORRIDOS]:[V_FUT_UTEIS]], L$5, FALSE)</f>
        <v>#N/A</v>
      </c>
    </row>
    <row r="345" spans="1:12" hidden="1">
      <c r="A345" s="19">
        <f t="shared" si="34"/>
        <v>339</v>
      </c>
      <c r="B345" s="20">
        <f t="shared" si="30"/>
        <v>0</v>
      </c>
      <c r="C345" s="21">
        <f t="shared" si="31"/>
        <v>0</v>
      </c>
      <c r="D345" s="22" t="e">
        <f>VLOOKUP($A345, TAB_JUROS_U[[Q_DIAS_U_PARC_TIR]:[V_FUT_U_JURS CENARIO]], D$5, FALSE)</f>
        <v>#N/A</v>
      </c>
      <c r="E345" s="22" t="e">
        <f>VLOOKUP($A345,TAB_CORRECAO_U[[Q_DIAS_U_PARC_TIR]:[V_FUT_U_CORC-02]],E$5, FALSE)</f>
        <v>#N/A</v>
      </c>
      <c r="F345" s="22" t="e">
        <f>VLOOKUP($A345,TAB_AMORTIZACAO_U[[Q_DIAS_U_PARC_TIR]:[V_FUT_U_PCPL-02]], F$5, FALSE)</f>
        <v>#N/A</v>
      </c>
      <c r="H345" s="20">
        <f t="shared" si="32"/>
        <v>0</v>
      </c>
      <c r="I345" s="21">
        <f t="shared" si="33"/>
        <v>0</v>
      </c>
      <c r="J345" s="22" t="e">
        <f>VLOOKUP($A345, TAB_JUROS_C[[DIAS_CORRIDOS]:[V_FUT_UTEIS]], J$5, FALSE)</f>
        <v>#N/A</v>
      </c>
      <c r="K345" s="22" t="e">
        <f>VLOOKUP($A345, TAB_CORRECAO_C[[DIAS_CORRIDOS]:[V_FUT_UTEIS]],K$5, FALSE)</f>
        <v>#N/A</v>
      </c>
      <c r="L345" s="22" t="e">
        <f>VLOOKUP($A345, TAB_AMORTIZACAO_C[[DIAS_CORRIDOS]:[V_FUT_UTEIS]], L$5, FALSE)</f>
        <v>#N/A</v>
      </c>
    </row>
    <row r="346" spans="1:12" hidden="1">
      <c r="A346" s="19">
        <f t="shared" si="34"/>
        <v>340</v>
      </c>
      <c r="B346" s="20">
        <f t="shared" si="30"/>
        <v>0</v>
      </c>
      <c r="C346" s="21">
        <f t="shared" si="31"/>
        <v>0</v>
      </c>
      <c r="D346" s="22" t="e">
        <f>VLOOKUP($A346, TAB_JUROS_U[[Q_DIAS_U_PARC_TIR]:[V_FUT_U_JURS CENARIO]], D$5, FALSE)</f>
        <v>#N/A</v>
      </c>
      <c r="E346" s="22" t="e">
        <f>VLOOKUP($A346,TAB_CORRECAO_U[[Q_DIAS_U_PARC_TIR]:[V_FUT_U_CORC-02]],E$5, FALSE)</f>
        <v>#N/A</v>
      </c>
      <c r="F346" s="22" t="e">
        <f>VLOOKUP($A346,TAB_AMORTIZACAO_U[[Q_DIAS_U_PARC_TIR]:[V_FUT_U_PCPL-02]], F$5, FALSE)</f>
        <v>#N/A</v>
      </c>
      <c r="H346" s="20">
        <f t="shared" si="32"/>
        <v>0</v>
      </c>
      <c r="I346" s="21">
        <f t="shared" si="33"/>
        <v>0</v>
      </c>
      <c r="J346" s="22" t="e">
        <f>VLOOKUP($A346, TAB_JUROS_C[[DIAS_CORRIDOS]:[V_FUT_UTEIS]], J$5, FALSE)</f>
        <v>#N/A</v>
      </c>
      <c r="K346" s="22" t="e">
        <f>VLOOKUP($A346, TAB_CORRECAO_C[[DIAS_CORRIDOS]:[V_FUT_UTEIS]],K$5, FALSE)</f>
        <v>#N/A</v>
      </c>
      <c r="L346" s="22" t="e">
        <f>VLOOKUP($A346, TAB_AMORTIZACAO_C[[DIAS_CORRIDOS]:[V_FUT_UTEIS]], L$5, FALSE)</f>
        <v>#N/A</v>
      </c>
    </row>
    <row r="347" spans="1:12" hidden="1">
      <c r="A347" s="19">
        <f t="shared" si="34"/>
        <v>341</v>
      </c>
      <c r="B347" s="20">
        <f t="shared" si="30"/>
        <v>0</v>
      </c>
      <c r="C347" s="21">
        <f t="shared" si="31"/>
        <v>0</v>
      </c>
      <c r="D347" s="22" t="e">
        <f>VLOOKUP($A347, TAB_JUROS_U[[Q_DIAS_U_PARC_TIR]:[V_FUT_U_JURS CENARIO]], D$5, FALSE)</f>
        <v>#N/A</v>
      </c>
      <c r="E347" s="22" t="e">
        <f>VLOOKUP($A347,TAB_CORRECAO_U[[Q_DIAS_U_PARC_TIR]:[V_FUT_U_CORC-02]],E$5, FALSE)</f>
        <v>#N/A</v>
      </c>
      <c r="F347" s="22" t="e">
        <f>VLOOKUP($A347,TAB_AMORTIZACAO_U[[Q_DIAS_U_PARC_TIR]:[V_FUT_U_PCPL-02]], F$5, FALSE)</f>
        <v>#N/A</v>
      </c>
      <c r="H347" s="20">
        <f t="shared" si="32"/>
        <v>0</v>
      </c>
      <c r="I347" s="21">
        <f t="shared" si="33"/>
        <v>0</v>
      </c>
      <c r="J347" s="22" t="e">
        <f>VLOOKUP($A347, TAB_JUROS_C[[DIAS_CORRIDOS]:[V_FUT_UTEIS]], J$5, FALSE)</f>
        <v>#N/A</v>
      </c>
      <c r="K347" s="22" t="e">
        <f>VLOOKUP($A347, TAB_CORRECAO_C[[DIAS_CORRIDOS]:[V_FUT_UTEIS]],K$5, FALSE)</f>
        <v>#N/A</v>
      </c>
      <c r="L347" s="22" t="e">
        <f>VLOOKUP($A347, TAB_AMORTIZACAO_C[[DIAS_CORRIDOS]:[V_FUT_UTEIS]], L$5, FALSE)</f>
        <v>#N/A</v>
      </c>
    </row>
    <row r="348" spans="1:12" hidden="1">
      <c r="A348" s="19">
        <f t="shared" si="34"/>
        <v>342</v>
      </c>
      <c r="B348" s="20">
        <f t="shared" si="30"/>
        <v>0</v>
      </c>
      <c r="C348" s="21">
        <f t="shared" si="31"/>
        <v>0</v>
      </c>
      <c r="D348" s="22" t="e">
        <f>VLOOKUP($A348, TAB_JUROS_U[[Q_DIAS_U_PARC_TIR]:[V_FUT_U_JURS CENARIO]], D$5, FALSE)</f>
        <v>#N/A</v>
      </c>
      <c r="E348" s="22" t="e">
        <f>VLOOKUP($A348,TAB_CORRECAO_U[[Q_DIAS_U_PARC_TIR]:[V_FUT_U_CORC-02]],E$5, FALSE)</f>
        <v>#N/A</v>
      </c>
      <c r="F348" s="22" t="e">
        <f>VLOOKUP($A348,TAB_AMORTIZACAO_U[[Q_DIAS_U_PARC_TIR]:[V_FUT_U_PCPL-02]], F$5, FALSE)</f>
        <v>#N/A</v>
      </c>
      <c r="H348" s="20">
        <f t="shared" si="32"/>
        <v>0</v>
      </c>
      <c r="I348" s="21">
        <f t="shared" si="33"/>
        <v>0</v>
      </c>
      <c r="J348" s="22" t="e">
        <f>VLOOKUP($A348, TAB_JUROS_C[[DIAS_CORRIDOS]:[V_FUT_UTEIS]], J$5, FALSE)</f>
        <v>#N/A</v>
      </c>
      <c r="K348" s="22" t="e">
        <f>VLOOKUP($A348, TAB_CORRECAO_C[[DIAS_CORRIDOS]:[V_FUT_UTEIS]],K$5, FALSE)</f>
        <v>#N/A</v>
      </c>
      <c r="L348" s="22" t="e">
        <f>VLOOKUP($A348, TAB_AMORTIZACAO_C[[DIAS_CORRIDOS]:[V_FUT_UTEIS]], L$5, FALSE)</f>
        <v>#N/A</v>
      </c>
    </row>
    <row r="349" spans="1:12" hidden="1">
      <c r="A349" s="19">
        <f t="shared" si="34"/>
        <v>343</v>
      </c>
      <c r="B349" s="20">
        <f t="shared" si="30"/>
        <v>0</v>
      </c>
      <c r="C349" s="21">
        <f t="shared" si="31"/>
        <v>0</v>
      </c>
      <c r="D349" s="22" t="e">
        <f>VLOOKUP($A349, TAB_JUROS_U[[Q_DIAS_U_PARC_TIR]:[V_FUT_U_JURS CENARIO]], D$5, FALSE)</f>
        <v>#N/A</v>
      </c>
      <c r="E349" s="22" t="e">
        <f>VLOOKUP($A349,TAB_CORRECAO_U[[Q_DIAS_U_PARC_TIR]:[V_FUT_U_CORC-02]],E$5, FALSE)</f>
        <v>#N/A</v>
      </c>
      <c r="F349" s="22" t="e">
        <f>VLOOKUP($A349,TAB_AMORTIZACAO_U[[Q_DIAS_U_PARC_TIR]:[V_FUT_U_PCPL-02]], F$5, FALSE)</f>
        <v>#N/A</v>
      </c>
      <c r="H349" s="20">
        <f t="shared" si="32"/>
        <v>0</v>
      </c>
      <c r="I349" s="21">
        <f t="shared" si="33"/>
        <v>0</v>
      </c>
      <c r="J349" s="22" t="e">
        <f>VLOOKUP($A349, TAB_JUROS_C[[DIAS_CORRIDOS]:[V_FUT_UTEIS]], J$5, FALSE)</f>
        <v>#N/A</v>
      </c>
      <c r="K349" s="22" t="e">
        <f>VLOOKUP($A349, TAB_CORRECAO_C[[DIAS_CORRIDOS]:[V_FUT_UTEIS]],K$5, FALSE)</f>
        <v>#N/A</v>
      </c>
      <c r="L349" s="22" t="e">
        <f>VLOOKUP($A349, TAB_AMORTIZACAO_C[[DIAS_CORRIDOS]:[V_FUT_UTEIS]], L$5, FALSE)</f>
        <v>#N/A</v>
      </c>
    </row>
    <row r="350" spans="1:12" hidden="1">
      <c r="A350" s="19">
        <f t="shared" si="34"/>
        <v>344</v>
      </c>
      <c r="B350" s="20">
        <f t="shared" si="30"/>
        <v>0</v>
      </c>
      <c r="C350" s="21">
        <f t="shared" si="31"/>
        <v>0</v>
      </c>
      <c r="D350" s="22" t="e">
        <f>VLOOKUP($A350, TAB_JUROS_U[[Q_DIAS_U_PARC_TIR]:[V_FUT_U_JURS CENARIO]], D$5, FALSE)</f>
        <v>#N/A</v>
      </c>
      <c r="E350" s="22" t="e">
        <f>VLOOKUP($A350,TAB_CORRECAO_U[[Q_DIAS_U_PARC_TIR]:[V_FUT_U_CORC-02]],E$5, FALSE)</f>
        <v>#N/A</v>
      </c>
      <c r="F350" s="22" t="e">
        <f>VLOOKUP($A350,TAB_AMORTIZACAO_U[[Q_DIAS_U_PARC_TIR]:[V_FUT_U_PCPL-02]], F$5, FALSE)</f>
        <v>#N/A</v>
      </c>
      <c r="H350" s="20">
        <f t="shared" si="32"/>
        <v>0</v>
      </c>
      <c r="I350" s="21">
        <f t="shared" si="33"/>
        <v>0</v>
      </c>
      <c r="J350" s="22" t="e">
        <f>VLOOKUP($A350, TAB_JUROS_C[[DIAS_CORRIDOS]:[V_FUT_UTEIS]], J$5, FALSE)</f>
        <v>#N/A</v>
      </c>
      <c r="K350" s="22" t="e">
        <f>VLOOKUP($A350, TAB_CORRECAO_C[[DIAS_CORRIDOS]:[V_FUT_UTEIS]],K$5, FALSE)</f>
        <v>#N/A</v>
      </c>
      <c r="L350" s="22" t="e">
        <f>VLOOKUP($A350, TAB_AMORTIZACAO_C[[DIAS_CORRIDOS]:[V_FUT_UTEIS]], L$5, FALSE)</f>
        <v>#N/A</v>
      </c>
    </row>
    <row r="351" spans="1:12">
      <c r="A351" s="19">
        <f t="shared" si="34"/>
        <v>345</v>
      </c>
      <c r="B351" s="20">
        <f t="shared" si="30"/>
        <v>1615.8348903643046</v>
      </c>
      <c r="C351" s="21">
        <f t="shared" si="31"/>
        <v>1615.8348903643046</v>
      </c>
      <c r="D351" s="22">
        <f>VLOOKUP($A351, TAB_JUROS_U[[Q_DIAS_U_PARC_TIR]:[V_FUT_U_JURS CENARIO]], D$5, FALSE)</f>
        <v>123.61623683663174</v>
      </c>
      <c r="E351" s="22">
        <f>VLOOKUP($A351,TAB_CORRECAO_U[[Q_DIAS_U_PARC_TIR]:[V_FUT_U_CORC-02]],E$5, FALSE)</f>
        <v>747.55480219937488</v>
      </c>
      <c r="F351" s="22">
        <f>VLOOKUP($A351,TAB_AMORTIZACAO_U[[Q_DIAS_U_PARC_TIR]:[V_FUT_U_PCPL-02]], F$5, FALSE)</f>
        <v>744.66385132829805</v>
      </c>
      <c r="H351" s="20">
        <f t="shared" si="32"/>
        <v>0</v>
      </c>
      <c r="I351" s="21">
        <f t="shared" si="33"/>
        <v>0</v>
      </c>
      <c r="J351" s="22" t="e">
        <f>VLOOKUP($A351, TAB_JUROS_C[[DIAS_CORRIDOS]:[V_FUT_UTEIS]], J$5, FALSE)</f>
        <v>#N/A</v>
      </c>
      <c r="K351" s="22" t="e">
        <f>VLOOKUP($A351, TAB_CORRECAO_C[[DIAS_CORRIDOS]:[V_FUT_UTEIS]],K$5, FALSE)</f>
        <v>#N/A</v>
      </c>
      <c r="L351" s="22" t="e">
        <f>VLOOKUP($A351, TAB_AMORTIZACAO_C[[DIAS_CORRIDOS]:[V_FUT_UTEIS]], L$5, FALSE)</f>
        <v>#N/A</v>
      </c>
    </row>
    <row r="352" spans="1:12" hidden="1">
      <c r="A352" s="19">
        <f t="shared" si="34"/>
        <v>346</v>
      </c>
      <c r="B352" s="20">
        <f t="shared" si="30"/>
        <v>0</v>
      </c>
      <c r="C352" s="21">
        <f t="shared" si="31"/>
        <v>0</v>
      </c>
      <c r="D352" s="22" t="e">
        <f>VLOOKUP($A352, TAB_JUROS_U[[Q_DIAS_U_PARC_TIR]:[V_FUT_U_JURS CENARIO]], D$5, FALSE)</f>
        <v>#N/A</v>
      </c>
      <c r="E352" s="22" t="e">
        <f>VLOOKUP($A352,TAB_CORRECAO_U[[Q_DIAS_U_PARC_TIR]:[V_FUT_U_CORC-02]],E$5, FALSE)</f>
        <v>#N/A</v>
      </c>
      <c r="F352" s="22" t="e">
        <f>VLOOKUP($A352,TAB_AMORTIZACAO_U[[Q_DIAS_U_PARC_TIR]:[V_FUT_U_PCPL-02]], F$5, FALSE)</f>
        <v>#N/A</v>
      </c>
      <c r="H352" s="20">
        <f t="shared" si="32"/>
        <v>1817.5199829299261</v>
      </c>
      <c r="I352" s="21">
        <f t="shared" si="33"/>
        <v>1817.5199829299261</v>
      </c>
      <c r="J352" s="22">
        <f>VLOOKUP($A352, TAB_JUROS_C[[DIAS_CORRIDOS]:[V_FUT_UTEIS]], J$5, FALSE)</f>
        <v>154.51277925213827</v>
      </c>
      <c r="K352" s="22">
        <f>VLOOKUP($A352, TAB_CORRECAO_C[[DIAS_CORRIDOS]:[V_FUT_UTEIS]],K$5, FALSE)</f>
        <v>902.50828749073207</v>
      </c>
      <c r="L352" s="22">
        <f>VLOOKUP($A352, TAB_AMORTIZACAO_C[[DIAS_CORRIDOS]:[V_FUT_UTEIS]], L$5, FALSE)</f>
        <v>760.49891618705578</v>
      </c>
    </row>
    <row r="353" spans="1:12" hidden="1">
      <c r="A353" s="19">
        <f t="shared" si="34"/>
        <v>347</v>
      </c>
      <c r="B353" s="20">
        <f t="shared" si="30"/>
        <v>0</v>
      </c>
      <c r="C353" s="21">
        <f t="shared" si="31"/>
        <v>0</v>
      </c>
      <c r="D353" s="22" t="e">
        <f>VLOOKUP($A353, TAB_JUROS_U[[Q_DIAS_U_PARC_TIR]:[V_FUT_U_JURS CENARIO]], D$5, FALSE)</f>
        <v>#N/A</v>
      </c>
      <c r="E353" s="22" t="e">
        <f>VLOOKUP($A353,TAB_CORRECAO_U[[Q_DIAS_U_PARC_TIR]:[V_FUT_U_CORC-02]],E$5, FALSE)</f>
        <v>#N/A</v>
      </c>
      <c r="F353" s="22" t="e">
        <f>VLOOKUP($A353,TAB_AMORTIZACAO_U[[Q_DIAS_U_PARC_TIR]:[V_FUT_U_PCPL-02]], F$5, FALSE)</f>
        <v>#N/A</v>
      </c>
      <c r="H353" s="20">
        <f t="shared" si="32"/>
        <v>0</v>
      </c>
      <c r="I353" s="21">
        <f t="shared" si="33"/>
        <v>0</v>
      </c>
      <c r="J353" s="22" t="e">
        <f>VLOOKUP($A353, TAB_JUROS_C[[DIAS_CORRIDOS]:[V_FUT_UTEIS]], J$5, FALSE)</f>
        <v>#N/A</v>
      </c>
      <c r="K353" s="22" t="e">
        <f>VLOOKUP($A353, TAB_CORRECAO_C[[DIAS_CORRIDOS]:[V_FUT_UTEIS]],K$5, FALSE)</f>
        <v>#N/A</v>
      </c>
      <c r="L353" s="22" t="e">
        <f>VLOOKUP($A353, TAB_AMORTIZACAO_C[[DIAS_CORRIDOS]:[V_FUT_UTEIS]], L$5, FALSE)</f>
        <v>#N/A</v>
      </c>
    </row>
    <row r="354" spans="1:12" hidden="1">
      <c r="A354" s="19">
        <f t="shared" si="34"/>
        <v>348</v>
      </c>
      <c r="B354" s="20">
        <f t="shared" si="30"/>
        <v>0</v>
      </c>
      <c r="C354" s="21">
        <f t="shared" si="31"/>
        <v>0</v>
      </c>
      <c r="D354" s="22" t="e">
        <f>VLOOKUP($A354, TAB_JUROS_U[[Q_DIAS_U_PARC_TIR]:[V_FUT_U_JURS CENARIO]], D$5, FALSE)</f>
        <v>#N/A</v>
      </c>
      <c r="E354" s="22" t="e">
        <f>VLOOKUP($A354,TAB_CORRECAO_U[[Q_DIAS_U_PARC_TIR]:[V_FUT_U_CORC-02]],E$5, FALSE)</f>
        <v>#N/A</v>
      </c>
      <c r="F354" s="22" t="e">
        <f>VLOOKUP($A354,TAB_AMORTIZACAO_U[[Q_DIAS_U_PARC_TIR]:[V_FUT_U_PCPL-02]], F$5, FALSE)</f>
        <v>#N/A</v>
      </c>
      <c r="H354" s="20">
        <f t="shared" si="32"/>
        <v>0</v>
      </c>
      <c r="I354" s="21">
        <f t="shared" si="33"/>
        <v>0</v>
      </c>
      <c r="J354" s="22" t="e">
        <f>VLOOKUP($A354, TAB_JUROS_C[[DIAS_CORRIDOS]:[V_FUT_UTEIS]], J$5, FALSE)</f>
        <v>#N/A</v>
      </c>
      <c r="K354" s="22" t="e">
        <f>VLOOKUP($A354, TAB_CORRECAO_C[[DIAS_CORRIDOS]:[V_FUT_UTEIS]],K$5, FALSE)</f>
        <v>#N/A</v>
      </c>
      <c r="L354" s="22" t="e">
        <f>VLOOKUP($A354, TAB_AMORTIZACAO_C[[DIAS_CORRIDOS]:[V_FUT_UTEIS]], L$5, FALSE)</f>
        <v>#N/A</v>
      </c>
    </row>
    <row r="355" spans="1:12" hidden="1">
      <c r="A355" s="19">
        <f t="shared" si="34"/>
        <v>349</v>
      </c>
      <c r="B355" s="20">
        <f t="shared" si="30"/>
        <v>0</v>
      </c>
      <c r="C355" s="21">
        <f t="shared" si="31"/>
        <v>0</v>
      </c>
      <c r="D355" s="22" t="e">
        <f>VLOOKUP($A355, TAB_JUROS_U[[Q_DIAS_U_PARC_TIR]:[V_FUT_U_JURS CENARIO]], D$5, FALSE)</f>
        <v>#N/A</v>
      </c>
      <c r="E355" s="22" t="e">
        <f>VLOOKUP($A355,TAB_CORRECAO_U[[Q_DIAS_U_PARC_TIR]:[V_FUT_U_CORC-02]],E$5, FALSE)</f>
        <v>#N/A</v>
      </c>
      <c r="F355" s="22" t="e">
        <f>VLOOKUP($A355,TAB_AMORTIZACAO_U[[Q_DIAS_U_PARC_TIR]:[V_FUT_U_PCPL-02]], F$5, FALSE)</f>
        <v>#N/A</v>
      </c>
      <c r="H355" s="20">
        <f t="shared" si="32"/>
        <v>0</v>
      </c>
      <c r="I355" s="21">
        <f t="shared" si="33"/>
        <v>0</v>
      </c>
      <c r="J355" s="22" t="e">
        <f>VLOOKUP($A355, TAB_JUROS_C[[DIAS_CORRIDOS]:[V_FUT_UTEIS]], J$5, FALSE)</f>
        <v>#N/A</v>
      </c>
      <c r="K355" s="22" t="e">
        <f>VLOOKUP($A355, TAB_CORRECAO_C[[DIAS_CORRIDOS]:[V_FUT_UTEIS]],K$5, FALSE)</f>
        <v>#N/A</v>
      </c>
      <c r="L355" s="22" t="e">
        <f>VLOOKUP($A355, TAB_AMORTIZACAO_C[[DIAS_CORRIDOS]:[V_FUT_UTEIS]], L$5, FALSE)</f>
        <v>#N/A</v>
      </c>
    </row>
    <row r="356" spans="1:12" hidden="1">
      <c r="A356" s="19">
        <f t="shared" si="34"/>
        <v>350</v>
      </c>
      <c r="B356" s="20">
        <f t="shared" si="30"/>
        <v>0</v>
      </c>
      <c r="C356" s="21">
        <f t="shared" si="31"/>
        <v>0</v>
      </c>
      <c r="D356" s="22" t="e">
        <f>VLOOKUP($A356, TAB_JUROS_U[[Q_DIAS_U_PARC_TIR]:[V_FUT_U_JURS CENARIO]], D$5, FALSE)</f>
        <v>#N/A</v>
      </c>
      <c r="E356" s="22" t="e">
        <f>VLOOKUP($A356,TAB_CORRECAO_U[[Q_DIAS_U_PARC_TIR]:[V_FUT_U_CORC-02]],E$5, FALSE)</f>
        <v>#N/A</v>
      </c>
      <c r="F356" s="22" t="e">
        <f>VLOOKUP($A356,TAB_AMORTIZACAO_U[[Q_DIAS_U_PARC_TIR]:[V_FUT_U_PCPL-02]], F$5, FALSE)</f>
        <v>#N/A</v>
      </c>
      <c r="H356" s="20">
        <f t="shared" si="32"/>
        <v>0</v>
      </c>
      <c r="I356" s="21">
        <f t="shared" si="33"/>
        <v>0</v>
      </c>
      <c r="J356" s="22" t="e">
        <f>VLOOKUP($A356, TAB_JUROS_C[[DIAS_CORRIDOS]:[V_FUT_UTEIS]], J$5, FALSE)</f>
        <v>#N/A</v>
      </c>
      <c r="K356" s="22" t="e">
        <f>VLOOKUP($A356, TAB_CORRECAO_C[[DIAS_CORRIDOS]:[V_FUT_UTEIS]],K$5, FALSE)</f>
        <v>#N/A</v>
      </c>
      <c r="L356" s="22" t="e">
        <f>VLOOKUP($A356, TAB_AMORTIZACAO_C[[DIAS_CORRIDOS]:[V_FUT_UTEIS]], L$5, FALSE)</f>
        <v>#N/A</v>
      </c>
    </row>
    <row r="357" spans="1:12" hidden="1">
      <c r="A357" s="19">
        <f t="shared" si="34"/>
        <v>351</v>
      </c>
      <c r="B357" s="20">
        <f t="shared" si="30"/>
        <v>0</v>
      </c>
      <c r="C357" s="21">
        <f t="shared" si="31"/>
        <v>0</v>
      </c>
      <c r="D357" s="22" t="e">
        <f>VLOOKUP($A357, TAB_JUROS_U[[Q_DIAS_U_PARC_TIR]:[V_FUT_U_JURS CENARIO]], D$5, FALSE)</f>
        <v>#N/A</v>
      </c>
      <c r="E357" s="22" t="e">
        <f>VLOOKUP($A357,TAB_CORRECAO_U[[Q_DIAS_U_PARC_TIR]:[V_FUT_U_CORC-02]],E$5, FALSE)</f>
        <v>#N/A</v>
      </c>
      <c r="F357" s="22" t="e">
        <f>VLOOKUP($A357,TAB_AMORTIZACAO_U[[Q_DIAS_U_PARC_TIR]:[V_FUT_U_PCPL-02]], F$5, FALSE)</f>
        <v>#N/A</v>
      </c>
      <c r="H357" s="20">
        <f t="shared" si="32"/>
        <v>0</v>
      </c>
      <c r="I357" s="21">
        <f t="shared" si="33"/>
        <v>0</v>
      </c>
      <c r="J357" s="22" t="e">
        <f>VLOOKUP($A357, TAB_JUROS_C[[DIAS_CORRIDOS]:[V_FUT_UTEIS]], J$5, FALSE)</f>
        <v>#N/A</v>
      </c>
      <c r="K357" s="22" t="e">
        <f>VLOOKUP($A357, TAB_CORRECAO_C[[DIAS_CORRIDOS]:[V_FUT_UTEIS]],K$5, FALSE)</f>
        <v>#N/A</v>
      </c>
      <c r="L357" s="22" t="e">
        <f>VLOOKUP($A357, TAB_AMORTIZACAO_C[[DIAS_CORRIDOS]:[V_FUT_UTEIS]], L$5, FALSE)</f>
        <v>#N/A</v>
      </c>
    </row>
    <row r="358" spans="1:12" hidden="1">
      <c r="A358" s="19">
        <f t="shared" si="34"/>
        <v>352</v>
      </c>
      <c r="B358" s="20">
        <f t="shared" si="30"/>
        <v>0</v>
      </c>
      <c r="C358" s="21">
        <f t="shared" si="31"/>
        <v>0</v>
      </c>
      <c r="D358" s="22" t="e">
        <f>VLOOKUP($A358, TAB_JUROS_U[[Q_DIAS_U_PARC_TIR]:[V_FUT_U_JURS CENARIO]], D$5, FALSE)</f>
        <v>#N/A</v>
      </c>
      <c r="E358" s="22" t="e">
        <f>VLOOKUP($A358,TAB_CORRECAO_U[[Q_DIAS_U_PARC_TIR]:[V_FUT_U_CORC-02]],E$5, FALSE)</f>
        <v>#N/A</v>
      </c>
      <c r="F358" s="22" t="e">
        <f>VLOOKUP($A358,TAB_AMORTIZACAO_U[[Q_DIAS_U_PARC_TIR]:[V_FUT_U_PCPL-02]], F$5, FALSE)</f>
        <v>#N/A</v>
      </c>
      <c r="H358" s="20">
        <f t="shared" si="32"/>
        <v>0</v>
      </c>
      <c r="I358" s="21">
        <f t="shared" si="33"/>
        <v>0</v>
      </c>
      <c r="J358" s="22" t="e">
        <f>VLOOKUP($A358, TAB_JUROS_C[[DIAS_CORRIDOS]:[V_FUT_UTEIS]], J$5, FALSE)</f>
        <v>#N/A</v>
      </c>
      <c r="K358" s="22" t="e">
        <f>VLOOKUP($A358, TAB_CORRECAO_C[[DIAS_CORRIDOS]:[V_FUT_UTEIS]],K$5, FALSE)</f>
        <v>#N/A</v>
      </c>
      <c r="L358" s="22" t="e">
        <f>VLOOKUP($A358, TAB_AMORTIZACAO_C[[DIAS_CORRIDOS]:[V_FUT_UTEIS]], L$5, FALSE)</f>
        <v>#N/A</v>
      </c>
    </row>
    <row r="359" spans="1:12" hidden="1">
      <c r="A359" s="19">
        <f t="shared" si="34"/>
        <v>353</v>
      </c>
      <c r="B359" s="20">
        <f t="shared" si="30"/>
        <v>0</v>
      </c>
      <c r="C359" s="21">
        <f t="shared" si="31"/>
        <v>0</v>
      </c>
      <c r="D359" s="22" t="e">
        <f>VLOOKUP($A359, TAB_JUROS_U[[Q_DIAS_U_PARC_TIR]:[V_FUT_U_JURS CENARIO]], D$5, FALSE)</f>
        <v>#N/A</v>
      </c>
      <c r="E359" s="22" t="e">
        <f>VLOOKUP($A359,TAB_CORRECAO_U[[Q_DIAS_U_PARC_TIR]:[V_FUT_U_CORC-02]],E$5, FALSE)</f>
        <v>#N/A</v>
      </c>
      <c r="F359" s="22" t="e">
        <f>VLOOKUP($A359,TAB_AMORTIZACAO_U[[Q_DIAS_U_PARC_TIR]:[V_FUT_U_PCPL-02]], F$5, FALSE)</f>
        <v>#N/A</v>
      </c>
      <c r="H359" s="20">
        <f t="shared" si="32"/>
        <v>0</v>
      </c>
      <c r="I359" s="21">
        <f t="shared" si="33"/>
        <v>0</v>
      </c>
      <c r="J359" s="22" t="e">
        <f>VLOOKUP($A359, TAB_JUROS_C[[DIAS_CORRIDOS]:[V_FUT_UTEIS]], J$5, FALSE)</f>
        <v>#N/A</v>
      </c>
      <c r="K359" s="22" t="e">
        <f>VLOOKUP($A359, TAB_CORRECAO_C[[DIAS_CORRIDOS]:[V_FUT_UTEIS]],K$5, FALSE)</f>
        <v>#N/A</v>
      </c>
      <c r="L359" s="22" t="e">
        <f>VLOOKUP($A359, TAB_AMORTIZACAO_C[[DIAS_CORRIDOS]:[V_FUT_UTEIS]], L$5, FALSE)</f>
        <v>#N/A</v>
      </c>
    </row>
    <row r="360" spans="1:12" hidden="1">
      <c r="A360" s="19">
        <f t="shared" si="34"/>
        <v>354</v>
      </c>
      <c r="B360" s="20">
        <f t="shared" si="30"/>
        <v>0</v>
      </c>
      <c r="C360" s="21">
        <f t="shared" si="31"/>
        <v>0</v>
      </c>
      <c r="D360" s="22" t="e">
        <f>VLOOKUP($A360, TAB_JUROS_U[[Q_DIAS_U_PARC_TIR]:[V_FUT_U_JURS CENARIO]], D$5, FALSE)</f>
        <v>#N/A</v>
      </c>
      <c r="E360" s="22" t="e">
        <f>VLOOKUP($A360,TAB_CORRECAO_U[[Q_DIAS_U_PARC_TIR]:[V_FUT_U_CORC-02]],E$5, FALSE)</f>
        <v>#N/A</v>
      </c>
      <c r="F360" s="22" t="e">
        <f>VLOOKUP($A360,TAB_AMORTIZACAO_U[[Q_DIAS_U_PARC_TIR]:[V_FUT_U_PCPL-02]], F$5, FALSE)</f>
        <v>#N/A</v>
      </c>
      <c r="H360" s="20">
        <f t="shared" si="32"/>
        <v>0</v>
      </c>
      <c r="I360" s="21">
        <f t="shared" si="33"/>
        <v>0</v>
      </c>
      <c r="J360" s="22" t="e">
        <f>VLOOKUP($A360, TAB_JUROS_C[[DIAS_CORRIDOS]:[V_FUT_UTEIS]], J$5, FALSE)</f>
        <v>#N/A</v>
      </c>
      <c r="K360" s="22" t="e">
        <f>VLOOKUP($A360, TAB_CORRECAO_C[[DIAS_CORRIDOS]:[V_FUT_UTEIS]],K$5, FALSE)</f>
        <v>#N/A</v>
      </c>
      <c r="L360" s="22" t="e">
        <f>VLOOKUP($A360, TAB_AMORTIZACAO_C[[DIAS_CORRIDOS]:[V_FUT_UTEIS]], L$5, FALSE)</f>
        <v>#N/A</v>
      </c>
    </row>
    <row r="361" spans="1:12" hidden="1">
      <c r="A361" s="19">
        <f t="shared" si="34"/>
        <v>355</v>
      </c>
      <c r="B361" s="20">
        <f t="shared" si="30"/>
        <v>0</v>
      </c>
      <c r="C361" s="21">
        <f t="shared" si="31"/>
        <v>0</v>
      </c>
      <c r="D361" s="22" t="e">
        <f>VLOOKUP($A361, TAB_JUROS_U[[Q_DIAS_U_PARC_TIR]:[V_FUT_U_JURS CENARIO]], D$5, FALSE)</f>
        <v>#N/A</v>
      </c>
      <c r="E361" s="22" t="e">
        <f>VLOOKUP($A361,TAB_CORRECAO_U[[Q_DIAS_U_PARC_TIR]:[V_FUT_U_CORC-02]],E$5, FALSE)</f>
        <v>#N/A</v>
      </c>
      <c r="F361" s="22" t="e">
        <f>VLOOKUP($A361,TAB_AMORTIZACAO_U[[Q_DIAS_U_PARC_TIR]:[V_FUT_U_PCPL-02]], F$5, FALSE)</f>
        <v>#N/A</v>
      </c>
      <c r="H361" s="20">
        <f t="shared" si="32"/>
        <v>0</v>
      </c>
      <c r="I361" s="21">
        <f t="shared" si="33"/>
        <v>0</v>
      </c>
      <c r="J361" s="22" t="e">
        <f>VLOOKUP($A361, TAB_JUROS_C[[DIAS_CORRIDOS]:[V_FUT_UTEIS]], J$5, FALSE)</f>
        <v>#N/A</v>
      </c>
      <c r="K361" s="22" t="e">
        <f>VLOOKUP($A361, TAB_CORRECAO_C[[DIAS_CORRIDOS]:[V_FUT_UTEIS]],K$5, FALSE)</f>
        <v>#N/A</v>
      </c>
      <c r="L361" s="22" t="e">
        <f>VLOOKUP($A361, TAB_AMORTIZACAO_C[[DIAS_CORRIDOS]:[V_FUT_UTEIS]], L$5, FALSE)</f>
        <v>#N/A</v>
      </c>
    </row>
    <row r="362" spans="1:12" hidden="1">
      <c r="A362" s="19">
        <f t="shared" si="34"/>
        <v>356</v>
      </c>
      <c r="B362" s="20">
        <f t="shared" si="30"/>
        <v>0</v>
      </c>
      <c r="C362" s="21">
        <f t="shared" si="31"/>
        <v>0</v>
      </c>
      <c r="D362" s="22" t="e">
        <f>VLOOKUP($A362, TAB_JUROS_U[[Q_DIAS_U_PARC_TIR]:[V_FUT_U_JURS CENARIO]], D$5, FALSE)</f>
        <v>#N/A</v>
      </c>
      <c r="E362" s="22" t="e">
        <f>VLOOKUP($A362,TAB_CORRECAO_U[[Q_DIAS_U_PARC_TIR]:[V_FUT_U_CORC-02]],E$5, FALSE)</f>
        <v>#N/A</v>
      </c>
      <c r="F362" s="22" t="e">
        <f>VLOOKUP($A362,TAB_AMORTIZACAO_U[[Q_DIAS_U_PARC_TIR]:[V_FUT_U_PCPL-02]], F$5, FALSE)</f>
        <v>#N/A</v>
      </c>
      <c r="H362" s="20">
        <f t="shared" si="32"/>
        <v>0</v>
      </c>
      <c r="I362" s="21">
        <f t="shared" si="33"/>
        <v>0</v>
      </c>
      <c r="J362" s="22" t="e">
        <f>VLOOKUP($A362, TAB_JUROS_C[[DIAS_CORRIDOS]:[V_FUT_UTEIS]], J$5, FALSE)</f>
        <v>#N/A</v>
      </c>
      <c r="K362" s="22" t="e">
        <f>VLOOKUP($A362, TAB_CORRECAO_C[[DIAS_CORRIDOS]:[V_FUT_UTEIS]],K$5, FALSE)</f>
        <v>#N/A</v>
      </c>
      <c r="L362" s="22" t="e">
        <f>VLOOKUP($A362, TAB_AMORTIZACAO_C[[DIAS_CORRIDOS]:[V_FUT_UTEIS]], L$5, FALSE)</f>
        <v>#N/A</v>
      </c>
    </row>
    <row r="363" spans="1:12" hidden="1">
      <c r="A363" s="19">
        <f t="shared" si="34"/>
        <v>357</v>
      </c>
      <c r="B363" s="20">
        <f t="shared" si="30"/>
        <v>0</v>
      </c>
      <c r="C363" s="21">
        <f t="shared" si="31"/>
        <v>0</v>
      </c>
      <c r="D363" s="22" t="e">
        <f>VLOOKUP($A363, TAB_JUROS_U[[Q_DIAS_U_PARC_TIR]:[V_FUT_U_JURS CENARIO]], D$5, FALSE)</f>
        <v>#N/A</v>
      </c>
      <c r="E363" s="22" t="e">
        <f>VLOOKUP($A363,TAB_CORRECAO_U[[Q_DIAS_U_PARC_TIR]:[V_FUT_U_CORC-02]],E$5, FALSE)</f>
        <v>#N/A</v>
      </c>
      <c r="F363" s="22" t="e">
        <f>VLOOKUP($A363,TAB_AMORTIZACAO_U[[Q_DIAS_U_PARC_TIR]:[V_FUT_U_PCPL-02]], F$5, FALSE)</f>
        <v>#N/A</v>
      </c>
      <c r="H363" s="20">
        <f t="shared" si="32"/>
        <v>0</v>
      </c>
      <c r="I363" s="21">
        <f t="shared" si="33"/>
        <v>0</v>
      </c>
      <c r="J363" s="22" t="e">
        <f>VLOOKUP($A363, TAB_JUROS_C[[DIAS_CORRIDOS]:[V_FUT_UTEIS]], J$5, FALSE)</f>
        <v>#N/A</v>
      </c>
      <c r="K363" s="22" t="e">
        <f>VLOOKUP($A363, TAB_CORRECAO_C[[DIAS_CORRIDOS]:[V_FUT_UTEIS]],K$5, FALSE)</f>
        <v>#N/A</v>
      </c>
      <c r="L363" s="22" t="e">
        <f>VLOOKUP($A363, TAB_AMORTIZACAO_C[[DIAS_CORRIDOS]:[V_FUT_UTEIS]], L$5, FALSE)</f>
        <v>#N/A</v>
      </c>
    </row>
    <row r="364" spans="1:12" hidden="1">
      <c r="A364" s="19">
        <f t="shared" si="34"/>
        <v>358</v>
      </c>
      <c r="B364" s="20">
        <f t="shared" si="30"/>
        <v>0</v>
      </c>
      <c r="C364" s="21">
        <f t="shared" si="31"/>
        <v>0</v>
      </c>
      <c r="D364" s="22" t="e">
        <f>VLOOKUP($A364, TAB_JUROS_U[[Q_DIAS_U_PARC_TIR]:[V_FUT_U_JURS CENARIO]], D$5, FALSE)</f>
        <v>#N/A</v>
      </c>
      <c r="E364" s="22" t="e">
        <f>VLOOKUP($A364,TAB_CORRECAO_U[[Q_DIAS_U_PARC_TIR]:[V_FUT_U_CORC-02]],E$5, FALSE)</f>
        <v>#N/A</v>
      </c>
      <c r="F364" s="22" t="e">
        <f>VLOOKUP($A364,TAB_AMORTIZACAO_U[[Q_DIAS_U_PARC_TIR]:[V_FUT_U_PCPL-02]], F$5, FALSE)</f>
        <v>#N/A</v>
      </c>
      <c r="H364" s="20">
        <f t="shared" si="32"/>
        <v>0</v>
      </c>
      <c r="I364" s="21">
        <f t="shared" si="33"/>
        <v>0</v>
      </c>
      <c r="J364" s="22" t="e">
        <f>VLOOKUP($A364, TAB_JUROS_C[[DIAS_CORRIDOS]:[V_FUT_UTEIS]], J$5, FALSE)</f>
        <v>#N/A</v>
      </c>
      <c r="K364" s="22" t="e">
        <f>VLOOKUP($A364, TAB_CORRECAO_C[[DIAS_CORRIDOS]:[V_FUT_UTEIS]],K$5, FALSE)</f>
        <v>#N/A</v>
      </c>
      <c r="L364" s="22" t="e">
        <f>VLOOKUP($A364, TAB_AMORTIZACAO_C[[DIAS_CORRIDOS]:[V_FUT_UTEIS]], L$5, FALSE)</f>
        <v>#N/A</v>
      </c>
    </row>
    <row r="365" spans="1:12" hidden="1">
      <c r="A365" s="19">
        <f t="shared" si="34"/>
        <v>359</v>
      </c>
      <c r="B365" s="20">
        <f t="shared" si="30"/>
        <v>0</v>
      </c>
      <c r="C365" s="21">
        <f t="shared" si="31"/>
        <v>0</v>
      </c>
      <c r="D365" s="22" t="e">
        <f>VLOOKUP($A365, TAB_JUROS_U[[Q_DIAS_U_PARC_TIR]:[V_FUT_U_JURS CENARIO]], D$5, FALSE)</f>
        <v>#N/A</v>
      </c>
      <c r="E365" s="22" t="e">
        <f>VLOOKUP($A365,TAB_CORRECAO_U[[Q_DIAS_U_PARC_TIR]:[V_FUT_U_CORC-02]],E$5, FALSE)</f>
        <v>#N/A</v>
      </c>
      <c r="F365" s="22" t="e">
        <f>VLOOKUP($A365,TAB_AMORTIZACAO_U[[Q_DIAS_U_PARC_TIR]:[V_FUT_U_PCPL-02]], F$5, FALSE)</f>
        <v>#N/A</v>
      </c>
      <c r="H365" s="20">
        <f t="shared" si="32"/>
        <v>0</v>
      </c>
      <c r="I365" s="21">
        <f t="shared" si="33"/>
        <v>0</v>
      </c>
      <c r="J365" s="22" t="e">
        <f>VLOOKUP($A365, TAB_JUROS_C[[DIAS_CORRIDOS]:[V_FUT_UTEIS]], J$5, FALSE)</f>
        <v>#N/A</v>
      </c>
      <c r="K365" s="22" t="e">
        <f>VLOOKUP($A365, TAB_CORRECAO_C[[DIAS_CORRIDOS]:[V_FUT_UTEIS]],K$5, FALSE)</f>
        <v>#N/A</v>
      </c>
      <c r="L365" s="22" t="e">
        <f>VLOOKUP($A365, TAB_AMORTIZACAO_C[[DIAS_CORRIDOS]:[V_FUT_UTEIS]], L$5, FALSE)</f>
        <v>#N/A</v>
      </c>
    </row>
    <row r="366" spans="1:12" hidden="1">
      <c r="A366" s="19">
        <f t="shared" si="34"/>
        <v>360</v>
      </c>
      <c r="B366" s="20">
        <f t="shared" si="30"/>
        <v>0</v>
      </c>
      <c r="C366" s="21">
        <f t="shared" si="31"/>
        <v>0</v>
      </c>
      <c r="D366" s="22" t="e">
        <f>VLOOKUP($A366, TAB_JUROS_U[[Q_DIAS_U_PARC_TIR]:[V_FUT_U_JURS CENARIO]], D$5, FALSE)</f>
        <v>#N/A</v>
      </c>
      <c r="E366" s="22" t="e">
        <f>VLOOKUP($A366,TAB_CORRECAO_U[[Q_DIAS_U_PARC_TIR]:[V_FUT_U_CORC-02]],E$5, FALSE)</f>
        <v>#N/A</v>
      </c>
      <c r="F366" s="22" t="e">
        <f>VLOOKUP($A366,TAB_AMORTIZACAO_U[[Q_DIAS_U_PARC_TIR]:[V_FUT_U_PCPL-02]], F$5, FALSE)</f>
        <v>#N/A</v>
      </c>
      <c r="H366" s="20">
        <f t="shared" si="32"/>
        <v>0</v>
      </c>
      <c r="I366" s="21">
        <f t="shared" si="33"/>
        <v>0</v>
      </c>
      <c r="J366" s="22" t="e">
        <f>VLOOKUP($A366, TAB_JUROS_C[[DIAS_CORRIDOS]:[V_FUT_UTEIS]], J$5, FALSE)</f>
        <v>#N/A</v>
      </c>
      <c r="K366" s="22" t="e">
        <f>VLOOKUP($A366, TAB_CORRECAO_C[[DIAS_CORRIDOS]:[V_FUT_UTEIS]],K$5, FALSE)</f>
        <v>#N/A</v>
      </c>
      <c r="L366" s="22" t="e">
        <f>VLOOKUP($A366, TAB_AMORTIZACAO_C[[DIAS_CORRIDOS]:[V_FUT_UTEIS]], L$5, FALSE)</f>
        <v>#N/A</v>
      </c>
    </row>
    <row r="367" spans="1:12" hidden="1">
      <c r="A367" s="19">
        <f t="shared" si="34"/>
        <v>361</v>
      </c>
      <c r="B367" s="20">
        <f t="shared" si="30"/>
        <v>0</v>
      </c>
      <c r="C367" s="21">
        <f t="shared" si="31"/>
        <v>0</v>
      </c>
      <c r="D367" s="22" t="e">
        <f>VLOOKUP($A367, TAB_JUROS_U[[Q_DIAS_U_PARC_TIR]:[V_FUT_U_JURS CENARIO]], D$5, FALSE)</f>
        <v>#N/A</v>
      </c>
      <c r="E367" s="22" t="e">
        <f>VLOOKUP($A367,TAB_CORRECAO_U[[Q_DIAS_U_PARC_TIR]:[V_FUT_U_CORC-02]],E$5, FALSE)</f>
        <v>#N/A</v>
      </c>
      <c r="F367" s="22" t="e">
        <f>VLOOKUP($A367,TAB_AMORTIZACAO_U[[Q_DIAS_U_PARC_TIR]:[V_FUT_U_PCPL-02]], F$5, FALSE)</f>
        <v>#N/A</v>
      </c>
      <c r="H367" s="20">
        <f t="shared" si="32"/>
        <v>0</v>
      </c>
      <c r="I367" s="21">
        <f t="shared" si="33"/>
        <v>0</v>
      </c>
      <c r="J367" s="22" t="e">
        <f>VLOOKUP($A367, TAB_JUROS_C[[DIAS_CORRIDOS]:[V_FUT_UTEIS]], J$5, FALSE)</f>
        <v>#N/A</v>
      </c>
      <c r="K367" s="22" t="e">
        <f>VLOOKUP($A367, TAB_CORRECAO_C[[DIAS_CORRIDOS]:[V_FUT_UTEIS]],K$5, FALSE)</f>
        <v>#N/A</v>
      </c>
      <c r="L367" s="22" t="e">
        <f>VLOOKUP($A367, TAB_AMORTIZACAO_C[[DIAS_CORRIDOS]:[V_FUT_UTEIS]], L$5, FALSE)</f>
        <v>#N/A</v>
      </c>
    </row>
    <row r="368" spans="1:12" hidden="1">
      <c r="A368" s="19">
        <f t="shared" si="34"/>
        <v>362</v>
      </c>
      <c r="B368" s="20">
        <f t="shared" si="30"/>
        <v>0</v>
      </c>
      <c r="C368" s="21">
        <f t="shared" si="31"/>
        <v>0</v>
      </c>
      <c r="D368" s="22" t="e">
        <f>VLOOKUP($A368, TAB_JUROS_U[[Q_DIAS_U_PARC_TIR]:[V_FUT_U_JURS CENARIO]], D$5, FALSE)</f>
        <v>#N/A</v>
      </c>
      <c r="E368" s="22" t="e">
        <f>VLOOKUP($A368,TAB_CORRECAO_U[[Q_DIAS_U_PARC_TIR]:[V_FUT_U_CORC-02]],E$5, FALSE)</f>
        <v>#N/A</v>
      </c>
      <c r="F368" s="22" t="e">
        <f>VLOOKUP($A368,TAB_AMORTIZACAO_U[[Q_DIAS_U_PARC_TIR]:[V_FUT_U_PCPL-02]], F$5, FALSE)</f>
        <v>#N/A</v>
      </c>
      <c r="H368" s="20">
        <f t="shared" si="32"/>
        <v>0</v>
      </c>
      <c r="I368" s="21">
        <f t="shared" si="33"/>
        <v>0</v>
      </c>
      <c r="J368" s="22" t="e">
        <f>VLOOKUP($A368, TAB_JUROS_C[[DIAS_CORRIDOS]:[V_FUT_UTEIS]], J$5, FALSE)</f>
        <v>#N/A</v>
      </c>
      <c r="K368" s="22" t="e">
        <f>VLOOKUP($A368, TAB_CORRECAO_C[[DIAS_CORRIDOS]:[V_FUT_UTEIS]],K$5, FALSE)</f>
        <v>#N/A</v>
      </c>
      <c r="L368" s="22" t="e">
        <f>VLOOKUP($A368, TAB_AMORTIZACAO_C[[DIAS_CORRIDOS]:[V_FUT_UTEIS]], L$5, FALSE)</f>
        <v>#N/A</v>
      </c>
    </row>
    <row r="369" spans="1:12" hidden="1">
      <c r="A369" s="19">
        <f t="shared" si="34"/>
        <v>363</v>
      </c>
      <c r="B369" s="20">
        <f t="shared" si="30"/>
        <v>0</v>
      </c>
      <c r="C369" s="21">
        <f t="shared" si="31"/>
        <v>0</v>
      </c>
      <c r="D369" s="22" t="e">
        <f>VLOOKUP($A369, TAB_JUROS_U[[Q_DIAS_U_PARC_TIR]:[V_FUT_U_JURS CENARIO]], D$5, FALSE)</f>
        <v>#N/A</v>
      </c>
      <c r="E369" s="22" t="e">
        <f>VLOOKUP($A369,TAB_CORRECAO_U[[Q_DIAS_U_PARC_TIR]:[V_FUT_U_CORC-02]],E$5, FALSE)</f>
        <v>#N/A</v>
      </c>
      <c r="F369" s="22" t="e">
        <f>VLOOKUP($A369,TAB_AMORTIZACAO_U[[Q_DIAS_U_PARC_TIR]:[V_FUT_U_PCPL-02]], F$5, FALSE)</f>
        <v>#N/A</v>
      </c>
      <c r="H369" s="20">
        <f t="shared" si="32"/>
        <v>0</v>
      </c>
      <c r="I369" s="21">
        <f t="shared" si="33"/>
        <v>0</v>
      </c>
      <c r="J369" s="22" t="e">
        <f>VLOOKUP($A369, TAB_JUROS_C[[DIAS_CORRIDOS]:[V_FUT_UTEIS]], J$5, FALSE)</f>
        <v>#N/A</v>
      </c>
      <c r="K369" s="22" t="e">
        <f>VLOOKUP($A369, TAB_CORRECAO_C[[DIAS_CORRIDOS]:[V_FUT_UTEIS]],K$5, FALSE)</f>
        <v>#N/A</v>
      </c>
      <c r="L369" s="22" t="e">
        <f>VLOOKUP($A369, TAB_AMORTIZACAO_C[[DIAS_CORRIDOS]:[V_FUT_UTEIS]], L$5, FALSE)</f>
        <v>#N/A</v>
      </c>
    </row>
    <row r="370" spans="1:12" hidden="1">
      <c r="A370" s="19">
        <f t="shared" si="34"/>
        <v>364</v>
      </c>
      <c r="B370" s="20">
        <f t="shared" si="30"/>
        <v>0</v>
      </c>
      <c r="C370" s="21">
        <f t="shared" si="31"/>
        <v>0</v>
      </c>
      <c r="D370" s="22" t="e">
        <f>VLOOKUP($A370, TAB_JUROS_U[[Q_DIAS_U_PARC_TIR]:[V_FUT_U_JURS CENARIO]], D$5, FALSE)</f>
        <v>#N/A</v>
      </c>
      <c r="E370" s="22" t="e">
        <f>VLOOKUP($A370,TAB_CORRECAO_U[[Q_DIAS_U_PARC_TIR]:[V_FUT_U_CORC-02]],E$5, FALSE)</f>
        <v>#N/A</v>
      </c>
      <c r="F370" s="22" t="e">
        <f>VLOOKUP($A370,TAB_AMORTIZACAO_U[[Q_DIAS_U_PARC_TIR]:[V_FUT_U_PCPL-02]], F$5, FALSE)</f>
        <v>#N/A</v>
      </c>
      <c r="H370" s="20">
        <f t="shared" si="32"/>
        <v>0</v>
      </c>
      <c r="I370" s="21">
        <f t="shared" si="33"/>
        <v>0</v>
      </c>
      <c r="J370" s="22" t="e">
        <f>VLOOKUP($A370, TAB_JUROS_C[[DIAS_CORRIDOS]:[V_FUT_UTEIS]], J$5, FALSE)</f>
        <v>#N/A</v>
      </c>
      <c r="K370" s="22" t="e">
        <f>VLOOKUP($A370, TAB_CORRECAO_C[[DIAS_CORRIDOS]:[V_FUT_UTEIS]],K$5, FALSE)</f>
        <v>#N/A</v>
      </c>
      <c r="L370" s="22" t="e">
        <f>VLOOKUP($A370, TAB_AMORTIZACAO_C[[DIAS_CORRIDOS]:[V_FUT_UTEIS]], L$5, FALSE)</f>
        <v>#N/A</v>
      </c>
    </row>
    <row r="371" spans="1:12" hidden="1">
      <c r="A371" s="19">
        <f t="shared" si="34"/>
        <v>365</v>
      </c>
      <c r="B371" s="20">
        <f t="shared" si="30"/>
        <v>0</v>
      </c>
      <c r="C371" s="21">
        <f t="shared" si="31"/>
        <v>0</v>
      </c>
      <c r="D371" s="22" t="e">
        <f>VLOOKUP($A371, TAB_JUROS_U[[Q_DIAS_U_PARC_TIR]:[V_FUT_U_JURS CENARIO]], D$5, FALSE)</f>
        <v>#N/A</v>
      </c>
      <c r="E371" s="22" t="e">
        <f>VLOOKUP($A371,TAB_CORRECAO_U[[Q_DIAS_U_PARC_TIR]:[V_FUT_U_CORC-02]],E$5, FALSE)</f>
        <v>#N/A</v>
      </c>
      <c r="F371" s="22" t="e">
        <f>VLOOKUP($A371,TAB_AMORTIZACAO_U[[Q_DIAS_U_PARC_TIR]:[V_FUT_U_PCPL-02]], F$5, FALSE)</f>
        <v>#N/A</v>
      </c>
      <c r="H371" s="20">
        <f t="shared" si="32"/>
        <v>0</v>
      </c>
      <c r="I371" s="21">
        <f t="shared" si="33"/>
        <v>0</v>
      </c>
      <c r="J371" s="22" t="e">
        <f>VLOOKUP($A371, TAB_JUROS_C[[DIAS_CORRIDOS]:[V_FUT_UTEIS]], J$5, FALSE)</f>
        <v>#N/A</v>
      </c>
      <c r="K371" s="22" t="e">
        <f>VLOOKUP($A371, TAB_CORRECAO_C[[DIAS_CORRIDOS]:[V_FUT_UTEIS]],K$5, FALSE)</f>
        <v>#N/A</v>
      </c>
      <c r="L371" s="22" t="e">
        <f>VLOOKUP($A371, TAB_AMORTIZACAO_C[[DIAS_CORRIDOS]:[V_FUT_UTEIS]], L$5, FALSE)</f>
        <v>#N/A</v>
      </c>
    </row>
    <row r="372" spans="1:12" hidden="1">
      <c r="A372" s="19">
        <f t="shared" si="34"/>
        <v>366</v>
      </c>
      <c r="B372" s="20">
        <f t="shared" si="30"/>
        <v>0</v>
      </c>
      <c r="C372" s="21">
        <f t="shared" si="31"/>
        <v>0</v>
      </c>
      <c r="D372" s="22" t="e">
        <f>VLOOKUP($A372, TAB_JUROS_U[[Q_DIAS_U_PARC_TIR]:[V_FUT_U_JURS CENARIO]], D$5, FALSE)</f>
        <v>#N/A</v>
      </c>
      <c r="E372" s="22" t="e">
        <f>VLOOKUP($A372,TAB_CORRECAO_U[[Q_DIAS_U_PARC_TIR]:[V_FUT_U_CORC-02]],E$5, FALSE)</f>
        <v>#N/A</v>
      </c>
      <c r="F372" s="22" t="e">
        <f>VLOOKUP($A372,TAB_AMORTIZACAO_U[[Q_DIAS_U_PARC_TIR]:[V_FUT_U_PCPL-02]], F$5, FALSE)</f>
        <v>#N/A</v>
      </c>
      <c r="H372" s="20">
        <f t="shared" si="32"/>
        <v>0</v>
      </c>
      <c r="I372" s="21">
        <f t="shared" si="33"/>
        <v>0</v>
      </c>
      <c r="J372" s="22" t="e">
        <f>VLOOKUP($A372, TAB_JUROS_C[[DIAS_CORRIDOS]:[V_FUT_UTEIS]], J$5, FALSE)</f>
        <v>#N/A</v>
      </c>
      <c r="K372" s="22" t="e">
        <f>VLOOKUP($A372, TAB_CORRECAO_C[[DIAS_CORRIDOS]:[V_FUT_UTEIS]],K$5, FALSE)</f>
        <v>#N/A</v>
      </c>
      <c r="L372" s="22" t="e">
        <f>VLOOKUP($A372, TAB_AMORTIZACAO_C[[DIAS_CORRIDOS]:[V_FUT_UTEIS]], L$5, FALSE)</f>
        <v>#N/A</v>
      </c>
    </row>
    <row r="373" spans="1:12">
      <c r="A373" s="19">
        <f t="shared" si="34"/>
        <v>367</v>
      </c>
      <c r="B373" s="20">
        <f t="shared" si="30"/>
        <v>1790.7001535191503</v>
      </c>
      <c r="C373" s="21">
        <f t="shared" si="31"/>
        <v>1790.7001535191503</v>
      </c>
      <c r="D373" s="22">
        <f>VLOOKUP($A373, TAB_JUROS_U[[Q_DIAS_U_PARC_TIR]:[V_FUT_U_JURS CENARIO]], D$5, FALSE)</f>
        <v>147.88888313627047</v>
      </c>
      <c r="E373" s="22">
        <f>VLOOKUP($A373,TAB_CORRECAO_U[[Q_DIAS_U_PARC_TIR]:[V_FUT_U_CORC-02]],E$5, FALSE)</f>
        <v>945.27350146180277</v>
      </c>
      <c r="F373" s="22">
        <f>VLOOKUP($A373,TAB_AMORTIZACAO_U[[Q_DIAS_U_PARC_TIR]:[V_FUT_U_PCPL-02]], F$5, FALSE)</f>
        <v>697.53776892107703</v>
      </c>
      <c r="H373" s="20">
        <f t="shared" si="32"/>
        <v>0</v>
      </c>
      <c r="I373" s="21">
        <f t="shared" si="33"/>
        <v>0</v>
      </c>
      <c r="J373" s="22" t="e">
        <f>VLOOKUP($A373, TAB_JUROS_C[[DIAS_CORRIDOS]:[V_FUT_UTEIS]], J$5, FALSE)</f>
        <v>#N/A</v>
      </c>
      <c r="K373" s="22" t="e">
        <f>VLOOKUP($A373, TAB_CORRECAO_C[[DIAS_CORRIDOS]:[V_FUT_UTEIS]],K$5, FALSE)</f>
        <v>#N/A</v>
      </c>
      <c r="L373" s="22" t="e">
        <f>VLOOKUP($A373, TAB_AMORTIZACAO_C[[DIAS_CORRIDOS]:[V_FUT_UTEIS]], L$5, FALSE)</f>
        <v>#N/A</v>
      </c>
    </row>
    <row r="374" spans="1:12" hidden="1">
      <c r="A374" s="19">
        <f t="shared" si="34"/>
        <v>368</v>
      </c>
      <c r="B374" s="20">
        <f t="shared" si="30"/>
        <v>0</v>
      </c>
      <c r="C374" s="21">
        <f t="shared" si="31"/>
        <v>0</v>
      </c>
      <c r="D374" s="22" t="e">
        <f>VLOOKUP($A374, TAB_JUROS_U[[Q_DIAS_U_PARC_TIR]:[V_FUT_U_JURS CENARIO]], D$5, FALSE)</f>
        <v>#N/A</v>
      </c>
      <c r="E374" s="22" t="e">
        <f>VLOOKUP($A374,TAB_CORRECAO_U[[Q_DIAS_U_PARC_TIR]:[V_FUT_U_CORC-02]],E$5, FALSE)</f>
        <v>#N/A</v>
      </c>
      <c r="F374" s="22" t="e">
        <f>VLOOKUP($A374,TAB_AMORTIZACAO_U[[Q_DIAS_U_PARC_TIR]:[V_FUT_U_PCPL-02]], F$5, FALSE)</f>
        <v>#N/A</v>
      </c>
      <c r="H374" s="20">
        <f t="shared" si="32"/>
        <v>0</v>
      </c>
      <c r="I374" s="21">
        <f t="shared" si="33"/>
        <v>0</v>
      </c>
      <c r="J374" s="22" t="e">
        <f>VLOOKUP($A374, TAB_JUROS_C[[DIAS_CORRIDOS]:[V_FUT_UTEIS]], J$5, FALSE)</f>
        <v>#N/A</v>
      </c>
      <c r="K374" s="22" t="e">
        <f>VLOOKUP($A374, TAB_CORRECAO_C[[DIAS_CORRIDOS]:[V_FUT_UTEIS]],K$5, FALSE)</f>
        <v>#N/A</v>
      </c>
      <c r="L374" s="22" t="e">
        <f>VLOOKUP($A374, TAB_AMORTIZACAO_C[[DIAS_CORRIDOS]:[V_FUT_UTEIS]], L$5, FALSE)</f>
        <v>#N/A</v>
      </c>
    </row>
    <row r="375" spans="1:12" hidden="1">
      <c r="A375" s="19">
        <f t="shared" si="34"/>
        <v>369</v>
      </c>
      <c r="B375" s="20">
        <f t="shared" si="30"/>
        <v>0</v>
      </c>
      <c r="C375" s="21">
        <f t="shared" si="31"/>
        <v>0</v>
      </c>
      <c r="D375" s="22" t="e">
        <f>VLOOKUP($A375, TAB_JUROS_U[[Q_DIAS_U_PARC_TIR]:[V_FUT_U_JURS CENARIO]], D$5, FALSE)</f>
        <v>#N/A</v>
      </c>
      <c r="E375" s="22" t="e">
        <f>VLOOKUP($A375,TAB_CORRECAO_U[[Q_DIAS_U_PARC_TIR]:[V_FUT_U_CORC-02]],E$5, FALSE)</f>
        <v>#N/A</v>
      </c>
      <c r="F375" s="22" t="e">
        <f>VLOOKUP($A375,TAB_AMORTIZACAO_U[[Q_DIAS_U_PARC_TIR]:[V_FUT_U_PCPL-02]], F$5, FALSE)</f>
        <v>#N/A</v>
      </c>
      <c r="H375" s="20">
        <f t="shared" si="32"/>
        <v>0</v>
      </c>
      <c r="I375" s="21">
        <f t="shared" si="33"/>
        <v>0</v>
      </c>
      <c r="J375" s="22" t="e">
        <f>VLOOKUP($A375, TAB_JUROS_C[[DIAS_CORRIDOS]:[V_FUT_UTEIS]], J$5, FALSE)</f>
        <v>#N/A</v>
      </c>
      <c r="K375" s="22" t="e">
        <f>VLOOKUP($A375, TAB_CORRECAO_C[[DIAS_CORRIDOS]:[V_FUT_UTEIS]],K$5, FALSE)</f>
        <v>#N/A</v>
      </c>
      <c r="L375" s="22" t="e">
        <f>VLOOKUP($A375, TAB_AMORTIZACAO_C[[DIAS_CORRIDOS]:[V_FUT_UTEIS]], L$5, FALSE)</f>
        <v>#N/A</v>
      </c>
    </row>
    <row r="376" spans="1:12" hidden="1">
      <c r="A376" s="19">
        <f t="shared" si="34"/>
        <v>370</v>
      </c>
      <c r="B376" s="20">
        <f t="shared" si="30"/>
        <v>0</v>
      </c>
      <c r="C376" s="21">
        <f t="shared" si="31"/>
        <v>0</v>
      </c>
      <c r="D376" s="22" t="e">
        <f>VLOOKUP($A376, TAB_JUROS_U[[Q_DIAS_U_PARC_TIR]:[V_FUT_U_JURS CENARIO]], D$5, FALSE)</f>
        <v>#N/A</v>
      </c>
      <c r="E376" s="22" t="e">
        <f>VLOOKUP($A376,TAB_CORRECAO_U[[Q_DIAS_U_PARC_TIR]:[V_FUT_U_CORC-02]],E$5, FALSE)</f>
        <v>#N/A</v>
      </c>
      <c r="F376" s="22" t="e">
        <f>VLOOKUP($A376,TAB_AMORTIZACAO_U[[Q_DIAS_U_PARC_TIR]:[V_FUT_U_PCPL-02]], F$5, FALSE)</f>
        <v>#N/A</v>
      </c>
      <c r="H376" s="20">
        <f t="shared" si="32"/>
        <v>0</v>
      </c>
      <c r="I376" s="21">
        <f t="shared" si="33"/>
        <v>0</v>
      </c>
      <c r="J376" s="22" t="e">
        <f>VLOOKUP($A376, TAB_JUROS_C[[DIAS_CORRIDOS]:[V_FUT_UTEIS]], J$5, FALSE)</f>
        <v>#N/A</v>
      </c>
      <c r="K376" s="22" t="e">
        <f>VLOOKUP($A376, TAB_CORRECAO_C[[DIAS_CORRIDOS]:[V_FUT_UTEIS]],K$5, FALSE)</f>
        <v>#N/A</v>
      </c>
      <c r="L376" s="22" t="e">
        <f>VLOOKUP($A376, TAB_AMORTIZACAO_C[[DIAS_CORRIDOS]:[V_FUT_UTEIS]], L$5, FALSE)</f>
        <v>#N/A</v>
      </c>
    </row>
    <row r="377" spans="1:12" hidden="1">
      <c r="A377" s="19">
        <f t="shared" si="34"/>
        <v>371</v>
      </c>
      <c r="B377" s="20">
        <f t="shared" si="30"/>
        <v>0</v>
      </c>
      <c r="C377" s="21">
        <f t="shared" si="31"/>
        <v>0</v>
      </c>
      <c r="D377" s="22" t="e">
        <f>VLOOKUP($A377, TAB_JUROS_U[[Q_DIAS_U_PARC_TIR]:[V_FUT_U_JURS CENARIO]], D$5, FALSE)</f>
        <v>#N/A</v>
      </c>
      <c r="E377" s="22" t="e">
        <f>VLOOKUP($A377,TAB_CORRECAO_U[[Q_DIAS_U_PARC_TIR]:[V_FUT_U_CORC-02]],E$5, FALSE)</f>
        <v>#N/A</v>
      </c>
      <c r="F377" s="22" t="e">
        <f>VLOOKUP($A377,TAB_AMORTIZACAO_U[[Q_DIAS_U_PARC_TIR]:[V_FUT_U_PCPL-02]], F$5, FALSE)</f>
        <v>#N/A</v>
      </c>
      <c r="H377" s="20">
        <f t="shared" si="32"/>
        <v>0</v>
      </c>
      <c r="I377" s="21">
        <f t="shared" si="33"/>
        <v>0</v>
      </c>
      <c r="J377" s="22" t="e">
        <f>VLOOKUP($A377, TAB_JUROS_C[[DIAS_CORRIDOS]:[V_FUT_UTEIS]], J$5, FALSE)</f>
        <v>#N/A</v>
      </c>
      <c r="K377" s="22" t="e">
        <f>VLOOKUP($A377, TAB_CORRECAO_C[[DIAS_CORRIDOS]:[V_FUT_UTEIS]],K$5, FALSE)</f>
        <v>#N/A</v>
      </c>
      <c r="L377" s="22" t="e">
        <f>VLOOKUP($A377, TAB_AMORTIZACAO_C[[DIAS_CORRIDOS]:[V_FUT_UTEIS]], L$5, FALSE)</f>
        <v>#N/A</v>
      </c>
    </row>
    <row r="378" spans="1:12" hidden="1">
      <c r="A378" s="19">
        <f t="shared" si="34"/>
        <v>372</v>
      </c>
      <c r="B378" s="20">
        <f t="shared" si="30"/>
        <v>0</v>
      </c>
      <c r="C378" s="21">
        <f t="shared" si="31"/>
        <v>0</v>
      </c>
      <c r="D378" s="22" t="e">
        <f>VLOOKUP($A378, TAB_JUROS_U[[Q_DIAS_U_PARC_TIR]:[V_FUT_U_JURS CENARIO]], D$5, FALSE)</f>
        <v>#N/A</v>
      </c>
      <c r="E378" s="22" t="e">
        <f>VLOOKUP($A378,TAB_CORRECAO_U[[Q_DIAS_U_PARC_TIR]:[V_FUT_U_CORC-02]],E$5, FALSE)</f>
        <v>#N/A</v>
      </c>
      <c r="F378" s="22" t="e">
        <f>VLOOKUP($A378,TAB_AMORTIZACAO_U[[Q_DIAS_U_PARC_TIR]:[V_FUT_U_PCPL-02]], F$5, FALSE)</f>
        <v>#N/A</v>
      </c>
      <c r="H378" s="20">
        <f t="shared" si="32"/>
        <v>0</v>
      </c>
      <c r="I378" s="21">
        <f t="shared" si="33"/>
        <v>0</v>
      </c>
      <c r="J378" s="22" t="e">
        <f>VLOOKUP($A378, TAB_JUROS_C[[DIAS_CORRIDOS]:[V_FUT_UTEIS]], J$5, FALSE)</f>
        <v>#N/A</v>
      </c>
      <c r="K378" s="22" t="e">
        <f>VLOOKUP($A378, TAB_CORRECAO_C[[DIAS_CORRIDOS]:[V_FUT_UTEIS]],K$5, FALSE)</f>
        <v>#N/A</v>
      </c>
      <c r="L378" s="22" t="e">
        <f>VLOOKUP($A378, TAB_AMORTIZACAO_C[[DIAS_CORRIDOS]:[V_FUT_UTEIS]], L$5, FALSE)</f>
        <v>#N/A</v>
      </c>
    </row>
    <row r="379" spans="1:12" hidden="1">
      <c r="A379" s="19">
        <f t="shared" si="34"/>
        <v>373</v>
      </c>
      <c r="B379" s="20">
        <f t="shared" si="30"/>
        <v>0</v>
      </c>
      <c r="C379" s="21">
        <f t="shared" si="31"/>
        <v>0</v>
      </c>
      <c r="D379" s="22" t="e">
        <f>VLOOKUP($A379, TAB_JUROS_U[[Q_DIAS_U_PARC_TIR]:[V_FUT_U_JURS CENARIO]], D$5, FALSE)</f>
        <v>#N/A</v>
      </c>
      <c r="E379" s="22" t="e">
        <f>VLOOKUP($A379,TAB_CORRECAO_U[[Q_DIAS_U_PARC_TIR]:[V_FUT_U_CORC-02]],E$5, FALSE)</f>
        <v>#N/A</v>
      </c>
      <c r="F379" s="22" t="e">
        <f>VLOOKUP($A379,TAB_AMORTIZACAO_U[[Q_DIAS_U_PARC_TIR]:[V_FUT_U_PCPL-02]], F$5, FALSE)</f>
        <v>#N/A</v>
      </c>
      <c r="H379" s="20">
        <f t="shared" si="32"/>
        <v>0</v>
      </c>
      <c r="I379" s="21">
        <f t="shared" si="33"/>
        <v>0</v>
      </c>
      <c r="J379" s="22" t="e">
        <f>VLOOKUP($A379, TAB_JUROS_C[[DIAS_CORRIDOS]:[V_FUT_UTEIS]], J$5, FALSE)</f>
        <v>#N/A</v>
      </c>
      <c r="K379" s="22" t="e">
        <f>VLOOKUP($A379, TAB_CORRECAO_C[[DIAS_CORRIDOS]:[V_FUT_UTEIS]],K$5, FALSE)</f>
        <v>#N/A</v>
      </c>
      <c r="L379" s="22" t="e">
        <f>VLOOKUP($A379, TAB_AMORTIZACAO_C[[DIAS_CORRIDOS]:[V_FUT_UTEIS]], L$5, FALSE)</f>
        <v>#N/A</v>
      </c>
    </row>
    <row r="380" spans="1:12" hidden="1">
      <c r="A380" s="19">
        <f t="shared" si="34"/>
        <v>374</v>
      </c>
      <c r="B380" s="20">
        <f t="shared" si="30"/>
        <v>0</v>
      </c>
      <c r="C380" s="21">
        <f t="shared" si="31"/>
        <v>0</v>
      </c>
      <c r="D380" s="22" t="e">
        <f>VLOOKUP($A380, TAB_JUROS_U[[Q_DIAS_U_PARC_TIR]:[V_FUT_U_JURS CENARIO]], D$5, FALSE)</f>
        <v>#N/A</v>
      </c>
      <c r="E380" s="22" t="e">
        <f>VLOOKUP($A380,TAB_CORRECAO_U[[Q_DIAS_U_PARC_TIR]:[V_FUT_U_CORC-02]],E$5, FALSE)</f>
        <v>#N/A</v>
      </c>
      <c r="F380" s="22" t="e">
        <f>VLOOKUP($A380,TAB_AMORTIZACAO_U[[Q_DIAS_U_PARC_TIR]:[V_FUT_U_PCPL-02]], F$5, FALSE)</f>
        <v>#N/A</v>
      </c>
      <c r="H380" s="20">
        <f t="shared" si="32"/>
        <v>0</v>
      </c>
      <c r="I380" s="21">
        <f t="shared" si="33"/>
        <v>0</v>
      </c>
      <c r="J380" s="22" t="e">
        <f>VLOOKUP($A380, TAB_JUROS_C[[DIAS_CORRIDOS]:[V_FUT_UTEIS]], J$5, FALSE)</f>
        <v>#N/A</v>
      </c>
      <c r="K380" s="22" t="e">
        <f>VLOOKUP($A380, TAB_CORRECAO_C[[DIAS_CORRIDOS]:[V_FUT_UTEIS]],K$5, FALSE)</f>
        <v>#N/A</v>
      </c>
      <c r="L380" s="22" t="e">
        <f>VLOOKUP($A380, TAB_AMORTIZACAO_C[[DIAS_CORRIDOS]:[V_FUT_UTEIS]], L$5, FALSE)</f>
        <v>#N/A</v>
      </c>
    </row>
    <row r="381" spans="1:12" hidden="1">
      <c r="A381" s="19">
        <f t="shared" si="34"/>
        <v>375</v>
      </c>
      <c r="B381" s="20">
        <f t="shared" si="30"/>
        <v>0</v>
      </c>
      <c r="C381" s="21">
        <f t="shared" si="31"/>
        <v>0</v>
      </c>
      <c r="D381" s="22" t="e">
        <f>VLOOKUP($A381, TAB_JUROS_U[[Q_DIAS_U_PARC_TIR]:[V_FUT_U_JURS CENARIO]], D$5, FALSE)</f>
        <v>#N/A</v>
      </c>
      <c r="E381" s="22" t="e">
        <f>VLOOKUP($A381,TAB_CORRECAO_U[[Q_DIAS_U_PARC_TIR]:[V_FUT_U_CORC-02]],E$5, FALSE)</f>
        <v>#N/A</v>
      </c>
      <c r="F381" s="22" t="e">
        <f>VLOOKUP($A381,TAB_AMORTIZACAO_U[[Q_DIAS_U_PARC_TIR]:[V_FUT_U_PCPL-02]], F$5, FALSE)</f>
        <v>#N/A</v>
      </c>
      <c r="H381" s="20">
        <f t="shared" si="32"/>
        <v>0</v>
      </c>
      <c r="I381" s="21">
        <f t="shared" si="33"/>
        <v>0</v>
      </c>
      <c r="J381" s="22" t="e">
        <f>VLOOKUP($A381, TAB_JUROS_C[[DIAS_CORRIDOS]:[V_FUT_UTEIS]], J$5, FALSE)</f>
        <v>#N/A</v>
      </c>
      <c r="K381" s="22" t="e">
        <f>VLOOKUP($A381, TAB_CORRECAO_C[[DIAS_CORRIDOS]:[V_FUT_UTEIS]],K$5, FALSE)</f>
        <v>#N/A</v>
      </c>
      <c r="L381" s="22" t="e">
        <f>VLOOKUP($A381, TAB_AMORTIZACAO_C[[DIAS_CORRIDOS]:[V_FUT_UTEIS]], L$5, FALSE)</f>
        <v>#N/A</v>
      </c>
    </row>
    <row r="382" spans="1:12" hidden="1">
      <c r="A382" s="19">
        <f t="shared" si="34"/>
        <v>376</v>
      </c>
      <c r="B382" s="20">
        <f t="shared" si="30"/>
        <v>0</v>
      </c>
      <c r="C382" s="21">
        <f t="shared" si="31"/>
        <v>0</v>
      </c>
      <c r="D382" s="22" t="e">
        <f>VLOOKUP($A382, TAB_JUROS_U[[Q_DIAS_U_PARC_TIR]:[V_FUT_U_JURS CENARIO]], D$5, FALSE)</f>
        <v>#N/A</v>
      </c>
      <c r="E382" s="22" t="e">
        <f>VLOOKUP($A382,TAB_CORRECAO_U[[Q_DIAS_U_PARC_TIR]:[V_FUT_U_CORC-02]],E$5, FALSE)</f>
        <v>#N/A</v>
      </c>
      <c r="F382" s="22" t="e">
        <f>VLOOKUP($A382,TAB_AMORTIZACAO_U[[Q_DIAS_U_PARC_TIR]:[V_FUT_U_PCPL-02]], F$5, FALSE)</f>
        <v>#N/A</v>
      </c>
      <c r="H382" s="20">
        <f t="shared" si="32"/>
        <v>0</v>
      </c>
      <c r="I382" s="21">
        <f t="shared" si="33"/>
        <v>0</v>
      </c>
      <c r="J382" s="22" t="e">
        <f>VLOOKUP($A382, TAB_JUROS_C[[DIAS_CORRIDOS]:[V_FUT_UTEIS]], J$5, FALSE)</f>
        <v>#N/A</v>
      </c>
      <c r="K382" s="22" t="e">
        <f>VLOOKUP($A382, TAB_CORRECAO_C[[DIAS_CORRIDOS]:[V_FUT_UTEIS]],K$5, FALSE)</f>
        <v>#N/A</v>
      </c>
      <c r="L382" s="22" t="e">
        <f>VLOOKUP($A382, TAB_AMORTIZACAO_C[[DIAS_CORRIDOS]:[V_FUT_UTEIS]], L$5, FALSE)</f>
        <v>#N/A</v>
      </c>
    </row>
    <row r="383" spans="1:12" hidden="1">
      <c r="A383" s="19">
        <f t="shared" si="34"/>
        <v>377</v>
      </c>
      <c r="B383" s="20">
        <f t="shared" si="30"/>
        <v>0</v>
      </c>
      <c r="C383" s="21">
        <f t="shared" si="31"/>
        <v>0</v>
      </c>
      <c r="D383" s="22" t="e">
        <f>VLOOKUP($A383, TAB_JUROS_U[[Q_DIAS_U_PARC_TIR]:[V_FUT_U_JURS CENARIO]], D$5, FALSE)</f>
        <v>#N/A</v>
      </c>
      <c r="E383" s="22" t="e">
        <f>VLOOKUP($A383,TAB_CORRECAO_U[[Q_DIAS_U_PARC_TIR]:[V_FUT_U_CORC-02]],E$5, FALSE)</f>
        <v>#N/A</v>
      </c>
      <c r="F383" s="22" t="e">
        <f>VLOOKUP($A383,TAB_AMORTIZACAO_U[[Q_DIAS_U_PARC_TIR]:[V_FUT_U_PCPL-02]], F$5, FALSE)</f>
        <v>#N/A</v>
      </c>
      <c r="H383" s="20">
        <f t="shared" si="32"/>
        <v>0</v>
      </c>
      <c r="I383" s="21">
        <f t="shared" si="33"/>
        <v>0</v>
      </c>
      <c r="J383" s="22" t="e">
        <f>VLOOKUP($A383, TAB_JUROS_C[[DIAS_CORRIDOS]:[V_FUT_UTEIS]], J$5, FALSE)</f>
        <v>#N/A</v>
      </c>
      <c r="K383" s="22" t="e">
        <f>VLOOKUP($A383, TAB_CORRECAO_C[[DIAS_CORRIDOS]:[V_FUT_UTEIS]],K$5, FALSE)</f>
        <v>#N/A</v>
      </c>
      <c r="L383" s="22" t="e">
        <f>VLOOKUP($A383, TAB_AMORTIZACAO_C[[DIAS_CORRIDOS]:[V_FUT_UTEIS]], L$5, FALSE)</f>
        <v>#N/A</v>
      </c>
    </row>
    <row r="384" spans="1:12" hidden="1">
      <c r="A384" s="19">
        <f t="shared" si="34"/>
        <v>378</v>
      </c>
      <c r="B384" s="20">
        <f t="shared" si="30"/>
        <v>0</v>
      </c>
      <c r="C384" s="21">
        <f t="shared" si="31"/>
        <v>0</v>
      </c>
      <c r="D384" s="22" t="e">
        <f>VLOOKUP($A384, TAB_JUROS_U[[Q_DIAS_U_PARC_TIR]:[V_FUT_U_JURS CENARIO]], D$5, FALSE)</f>
        <v>#N/A</v>
      </c>
      <c r="E384" s="22" t="e">
        <f>VLOOKUP($A384,TAB_CORRECAO_U[[Q_DIAS_U_PARC_TIR]:[V_FUT_U_CORC-02]],E$5, FALSE)</f>
        <v>#N/A</v>
      </c>
      <c r="F384" s="22" t="e">
        <f>VLOOKUP($A384,TAB_AMORTIZACAO_U[[Q_DIAS_U_PARC_TIR]:[V_FUT_U_PCPL-02]], F$5, FALSE)</f>
        <v>#N/A</v>
      </c>
      <c r="H384" s="20">
        <f t="shared" si="32"/>
        <v>1971.9167519499435</v>
      </c>
      <c r="I384" s="21">
        <f t="shared" si="33"/>
        <v>1971.9167519499435</v>
      </c>
      <c r="J384" s="22">
        <f>VLOOKUP($A384, TAB_JUROS_C[[DIAS_CORRIDOS]:[V_FUT_UTEIS]], J$5, FALSE)</f>
        <v>166.33316884055742</v>
      </c>
      <c r="K384" s="22">
        <f>VLOOKUP($A384, TAB_CORRECAO_C[[DIAS_CORRIDOS]:[V_FUT_UTEIS]],K$5, FALSE)</f>
        <v>1009.8512922510751</v>
      </c>
      <c r="L384" s="22">
        <f>VLOOKUP($A384, TAB_AMORTIZACAO_C[[DIAS_CORRIDOS]:[V_FUT_UTEIS]], L$5, FALSE)</f>
        <v>795.73229085831099</v>
      </c>
    </row>
    <row r="385" spans="1:12" hidden="1">
      <c r="A385" s="19">
        <f t="shared" si="34"/>
        <v>379</v>
      </c>
      <c r="B385" s="20">
        <f t="shared" si="30"/>
        <v>0</v>
      </c>
      <c r="C385" s="21">
        <f t="shared" si="31"/>
        <v>0</v>
      </c>
      <c r="D385" s="22" t="e">
        <f>VLOOKUP($A385, TAB_JUROS_U[[Q_DIAS_U_PARC_TIR]:[V_FUT_U_JURS CENARIO]], D$5, FALSE)</f>
        <v>#N/A</v>
      </c>
      <c r="E385" s="22" t="e">
        <f>VLOOKUP($A385,TAB_CORRECAO_U[[Q_DIAS_U_PARC_TIR]:[V_FUT_U_CORC-02]],E$5, FALSE)</f>
        <v>#N/A</v>
      </c>
      <c r="F385" s="22" t="e">
        <f>VLOOKUP($A385,TAB_AMORTIZACAO_U[[Q_DIAS_U_PARC_TIR]:[V_FUT_U_PCPL-02]], F$5, FALSE)</f>
        <v>#N/A</v>
      </c>
      <c r="H385" s="20">
        <f t="shared" si="32"/>
        <v>0</v>
      </c>
      <c r="I385" s="21">
        <f t="shared" si="33"/>
        <v>0</v>
      </c>
      <c r="J385" s="22" t="e">
        <f>VLOOKUP($A385, TAB_JUROS_C[[DIAS_CORRIDOS]:[V_FUT_UTEIS]], J$5, FALSE)</f>
        <v>#N/A</v>
      </c>
      <c r="K385" s="22" t="e">
        <f>VLOOKUP($A385, TAB_CORRECAO_C[[DIAS_CORRIDOS]:[V_FUT_UTEIS]],K$5, FALSE)</f>
        <v>#N/A</v>
      </c>
      <c r="L385" s="22" t="e">
        <f>VLOOKUP($A385, TAB_AMORTIZACAO_C[[DIAS_CORRIDOS]:[V_FUT_UTEIS]], L$5, FALSE)</f>
        <v>#N/A</v>
      </c>
    </row>
    <row r="386" spans="1:12" hidden="1">
      <c r="A386" s="19">
        <f t="shared" si="34"/>
        <v>380</v>
      </c>
      <c r="B386" s="20">
        <f t="shared" si="30"/>
        <v>0</v>
      </c>
      <c r="C386" s="21">
        <f t="shared" si="31"/>
        <v>0</v>
      </c>
      <c r="D386" s="22" t="e">
        <f>VLOOKUP($A386, TAB_JUROS_U[[Q_DIAS_U_PARC_TIR]:[V_FUT_U_JURS CENARIO]], D$5, FALSE)</f>
        <v>#N/A</v>
      </c>
      <c r="E386" s="22" t="e">
        <f>VLOOKUP($A386,TAB_CORRECAO_U[[Q_DIAS_U_PARC_TIR]:[V_FUT_U_CORC-02]],E$5, FALSE)</f>
        <v>#N/A</v>
      </c>
      <c r="F386" s="22" t="e">
        <f>VLOOKUP($A386,TAB_AMORTIZACAO_U[[Q_DIAS_U_PARC_TIR]:[V_FUT_U_PCPL-02]], F$5, FALSE)</f>
        <v>#N/A</v>
      </c>
      <c r="H386" s="20">
        <f t="shared" si="32"/>
        <v>0</v>
      </c>
      <c r="I386" s="21">
        <f t="shared" si="33"/>
        <v>0</v>
      </c>
      <c r="J386" s="22" t="e">
        <f>VLOOKUP($A386, TAB_JUROS_C[[DIAS_CORRIDOS]:[V_FUT_UTEIS]], J$5, FALSE)</f>
        <v>#N/A</v>
      </c>
      <c r="K386" s="22" t="e">
        <f>VLOOKUP($A386, TAB_CORRECAO_C[[DIAS_CORRIDOS]:[V_FUT_UTEIS]],K$5, FALSE)</f>
        <v>#N/A</v>
      </c>
      <c r="L386" s="22" t="e">
        <f>VLOOKUP($A386, TAB_AMORTIZACAO_C[[DIAS_CORRIDOS]:[V_FUT_UTEIS]], L$5, FALSE)</f>
        <v>#N/A</v>
      </c>
    </row>
    <row r="387" spans="1:12" hidden="1">
      <c r="A387" s="19">
        <f t="shared" si="34"/>
        <v>381</v>
      </c>
      <c r="B387" s="20">
        <f t="shared" si="30"/>
        <v>0</v>
      </c>
      <c r="C387" s="21">
        <f t="shared" si="31"/>
        <v>0</v>
      </c>
      <c r="D387" s="22" t="e">
        <f>VLOOKUP($A387, TAB_JUROS_U[[Q_DIAS_U_PARC_TIR]:[V_FUT_U_JURS CENARIO]], D$5, FALSE)</f>
        <v>#N/A</v>
      </c>
      <c r="E387" s="22" t="e">
        <f>VLOOKUP($A387,TAB_CORRECAO_U[[Q_DIAS_U_PARC_TIR]:[V_FUT_U_CORC-02]],E$5, FALSE)</f>
        <v>#N/A</v>
      </c>
      <c r="F387" s="22" t="e">
        <f>VLOOKUP($A387,TAB_AMORTIZACAO_U[[Q_DIAS_U_PARC_TIR]:[V_FUT_U_PCPL-02]], F$5, FALSE)</f>
        <v>#N/A</v>
      </c>
      <c r="H387" s="20">
        <f t="shared" si="32"/>
        <v>0</v>
      </c>
      <c r="I387" s="21">
        <f t="shared" si="33"/>
        <v>0</v>
      </c>
      <c r="J387" s="22" t="e">
        <f>VLOOKUP($A387, TAB_JUROS_C[[DIAS_CORRIDOS]:[V_FUT_UTEIS]], J$5, FALSE)</f>
        <v>#N/A</v>
      </c>
      <c r="K387" s="22" t="e">
        <f>VLOOKUP($A387, TAB_CORRECAO_C[[DIAS_CORRIDOS]:[V_FUT_UTEIS]],K$5, FALSE)</f>
        <v>#N/A</v>
      </c>
      <c r="L387" s="22" t="e">
        <f>VLOOKUP($A387, TAB_AMORTIZACAO_C[[DIAS_CORRIDOS]:[V_FUT_UTEIS]], L$5, FALSE)</f>
        <v>#N/A</v>
      </c>
    </row>
    <row r="388" spans="1:12" hidden="1">
      <c r="A388" s="19">
        <f t="shared" si="34"/>
        <v>382</v>
      </c>
      <c r="B388" s="20">
        <f t="shared" si="30"/>
        <v>0</v>
      </c>
      <c r="C388" s="21">
        <f t="shared" si="31"/>
        <v>0</v>
      </c>
      <c r="D388" s="22" t="e">
        <f>VLOOKUP($A388, TAB_JUROS_U[[Q_DIAS_U_PARC_TIR]:[V_FUT_U_JURS CENARIO]], D$5, FALSE)</f>
        <v>#N/A</v>
      </c>
      <c r="E388" s="22" t="e">
        <f>VLOOKUP($A388,TAB_CORRECAO_U[[Q_DIAS_U_PARC_TIR]:[V_FUT_U_CORC-02]],E$5, FALSE)</f>
        <v>#N/A</v>
      </c>
      <c r="F388" s="22" t="e">
        <f>VLOOKUP($A388,TAB_AMORTIZACAO_U[[Q_DIAS_U_PARC_TIR]:[V_FUT_U_PCPL-02]], F$5, FALSE)</f>
        <v>#N/A</v>
      </c>
      <c r="H388" s="20">
        <f t="shared" si="32"/>
        <v>0</v>
      </c>
      <c r="I388" s="21">
        <f t="shared" si="33"/>
        <v>0</v>
      </c>
      <c r="J388" s="22" t="e">
        <f>VLOOKUP($A388, TAB_JUROS_C[[DIAS_CORRIDOS]:[V_FUT_UTEIS]], J$5, FALSE)</f>
        <v>#N/A</v>
      </c>
      <c r="K388" s="22" t="e">
        <f>VLOOKUP($A388, TAB_CORRECAO_C[[DIAS_CORRIDOS]:[V_FUT_UTEIS]],K$5, FALSE)</f>
        <v>#N/A</v>
      </c>
      <c r="L388" s="22" t="e">
        <f>VLOOKUP($A388, TAB_AMORTIZACAO_C[[DIAS_CORRIDOS]:[V_FUT_UTEIS]], L$5, FALSE)</f>
        <v>#N/A</v>
      </c>
    </row>
    <row r="389" spans="1:12" hidden="1">
      <c r="A389" s="19">
        <f t="shared" si="34"/>
        <v>383</v>
      </c>
      <c r="B389" s="20">
        <f t="shared" si="30"/>
        <v>0</v>
      </c>
      <c r="C389" s="21">
        <f t="shared" si="31"/>
        <v>0</v>
      </c>
      <c r="D389" s="22" t="e">
        <f>VLOOKUP($A389, TAB_JUROS_U[[Q_DIAS_U_PARC_TIR]:[V_FUT_U_JURS CENARIO]], D$5, FALSE)</f>
        <v>#N/A</v>
      </c>
      <c r="E389" s="22" t="e">
        <f>VLOOKUP($A389,TAB_CORRECAO_U[[Q_DIAS_U_PARC_TIR]:[V_FUT_U_CORC-02]],E$5, FALSE)</f>
        <v>#N/A</v>
      </c>
      <c r="F389" s="22" t="e">
        <f>VLOOKUP($A389,TAB_AMORTIZACAO_U[[Q_DIAS_U_PARC_TIR]:[V_FUT_U_PCPL-02]], F$5, FALSE)</f>
        <v>#N/A</v>
      </c>
      <c r="H389" s="20">
        <f t="shared" si="32"/>
        <v>0</v>
      </c>
      <c r="I389" s="21">
        <f t="shared" si="33"/>
        <v>0</v>
      </c>
      <c r="J389" s="22" t="e">
        <f>VLOOKUP($A389, TAB_JUROS_C[[DIAS_CORRIDOS]:[V_FUT_UTEIS]], J$5, FALSE)</f>
        <v>#N/A</v>
      </c>
      <c r="K389" s="22" t="e">
        <f>VLOOKUP($A389, TAB_CORRECAO_C[[DIAS_CORRIDOS]:[V_FUT_UTEIS]],K$5, FALSE)</f>
        <v>#N/A</v>
      </c>
      <c r="L389" s="22" t="e">
        <f>VLOOKUP($A389, TAB_AMORTIZACAO_C[[DIAS_CORRIDOS]:[V_FUT_UTEIS]], L$5, FALSE)</f>
        <v>#N/A</v>
      </c>
    </row>
    <row r="390" spans="1:12" hidden="1">
      <c r="A390" s="19">
        <f t="shared" si="34"/>
        <v>384</v>
      </c>
      <c r="B390" s="20">
        <f t="shared" si="30"/>
        <v>0</v>
      </c>
      <c r="C390" s="21">
        <f t="shared" si="31"/>
        <v>0</v>
      </c>
      <c r="D390" s="22" t="e">
        <f>VLOOKUP($A390, TAB_JUROS_U[[Q_DIAS_U_PARC_TIR]:[V_FUT_U_JURS CENARIO]], D$5, FALSE)</f>
        <v>#N/A</v>
      </c>
      <c r="E390" s="22" t="e">
        <f>VLOOKUP($A390,TAB_CORRECAO_U[[Q_DIAS_U_PARC_TIR]:[V_FUT_U_CORC-02]],E$5, FALSE)</f>
        <v>#N/A</v>
      </c>
      <c r="F390" s="22" t="e">
        <f>VLOOKUP($A390,TAB_AMORTIZACAO_U[[Q_DIAS_U_PARC_TIR]:[V_FUT_U_PCPL-02]], F$5, FALSE)</f>
        <v>#N/A</v>
      </c>
      <c r="H390" s="20">
        <f t="shared" si="32"/>
        <v>0</v>
      </c>
      <c r="I390" s="21">
        <f t="shared" si="33"/>
        <v>0</v>
      </c>
      <c r="J390" s="22" t="e">
        <f>VLOOKUP($A390, TAB_JUROS_C[[DIAS_CORRIDOS]:[V_FUT_UTEIS]], J$5, FALSE)</f>
        <v>#N/A</v>
      </c>
      <c r="K390" s="22" t="e">
        <f>VLOOKUP($A390, TAB_CORRECAO_C[[DIAS_CORRIDOS]:[V_FUT_UTEIS]],K$5, FALSE)</f>
        <v>#N/A</v>
      </c>
      <c r="L390" s="22" t="e">
        <f>VLOOKUP($A390, TAB_AMORTIZACAO_C[[DIAS_CORRIDOS]:[V_FUT_UTEIS]], L$5, FALSE)</f>
        <v>#N/A</v>
      </c>
    </row>
    <row r="391" spans="1:12" hidden="1">
      <c r="A391" s="19">
        <f t="shared" si="34"/>
        <v>385</v>
      </c>
      <c r="B391" s="20">
        <f t="shared" si="30"/>
        <v>0</v>
      </c>
      <c r="C391" s="21">
        <f t="shared" si="31"/>
        <v>0</v>
      </c>
      <c r="D391" s="22" t="e">
        <f>VLOOKUP($A391, TAB_JUROS_U[[Q_DIAS_U_PARC_TIR]:[V_FUT_U_JURS CENARIO]], D$5, FALSE)</f>
        <v>#N/A</v>
      </c>
      <c r="E391" s="22" t="e">
        <f>VLOOKUP($A391,TAB_CORRECAO_U[[Q_DIAS_U_PARC_TIR]:[V_FUT_U_CORC-02]],E$5, FALSE)</f>
        <v>#N/A</v>
      </c>
      <c r="F391" s="22" t="e">
        <f>VLOOKUP($A391,TAB_AMORTIZACAO_U[[Q_DIAS_U_PARC_TIR]:[V_FUT_U_PCPL-02]], F$5, FALSE)</f>
        <v>#N/A</v>
      </c>
      <c r="H391" s="20">
        <f t="shared" si="32"/>
        <v>0</v>
      </c>
      <c r="I391" s="21">
        <f t="shared" si="33"/>
        <v>0</v>
      </c>
      <c r="J391" s="22" t="e">
        <f>VLOOKUP($A391, TAB_JUROS_C[[DIAS_CORRIDOS]:[V_FUT_UTEIS]], J$5, FALSE)</f>
        <v>#N/A</v>
      </c>
      <c r="K391" s="22" t="e">
        <f>VLOOKUP($A391, TAB_CORRECAO_C[[DIAS_CORRIDOS]:[V_FUT_UTEIS]],K$5, FALSE)</f>
        <v>#N/A</v>
      </c>
      <c r="L391" s="22" t="e">
        <f>VLOOKUP($A391, TAB_AMORTIZACAO_C[[DIAS_CORRIDOS]:[V_FUT_UTEIS]], L$5, FALSE)</f>
        <v>#N/A</v>
      </c>
    </row>
    <row r="392" spans="1:12" hidden="1">
      <c r="A392" s="19">
        <f t="shared" si="34"/>
        <v>386</v>
      </c>
      <c r="B392" s="20">
        <f t="shared" si="30"/>
        <v>0</v>
      </c>
      <c r="C392" s="21">
        <f t="shared" si="31"/>
        <v>0</v>
      </c>
      <c r="D392" s="22" t="e">
        <f>VLOOKUP($A392, TAB_JUROS_U[[Q_DIAS_U_PARC_TIR]:[V_FUT_U_JURS CENARIO]], D$5, FALSE)</f>
        <v>#N/A</v>
      </c>
      <c r="E392" s="22" t="e">
        <f>VLOOKUP($A392,TAB_CORRECAO_U[[Q_DIAS_U_PARC_TIR]:[V_FUT_U_CORC-02]],E$5, FALSE)</f>
        <v>#N/A</v>
      </c>
      <c r="F392" s="22" t="e">
        <f>VLOOKUP($A392,TAB_AMORTIZACAO_U[[Q_DIAS_U_PARC_TIR]:[V_FUT_U_PCPL-02]], F$5, FALSE)</f>
        <v>#N/A</v>
      </c>
      <c r="H392" s="20">
        <f t="shared" si="32"/>
        <v>0</v>
      </c>
      <c r="I392" s="21">
        <f t="shared" si="33"/>
        <v>0</v>
      </c>
      <c r="J392" s="22" t="e">
        <f>VLOOKUP($A392, TAB_JUROS_C[[DIAS_CORRIDOS]:[V_FUT_UTEIS]], J$5, FALSE)</f>
        <v>#N/A</v>
      </c>
      <c r="K392" s="22" t="e">
        <f>VLOOKUP($A392, TAB_CORRECAO_C[[DIAS_CORRIDOS]:[V_FUT_UTEIS]],K$5, FALSE)</f>
        <v>#N/A</v>
      </c>
      <c r="L392" s="22" t="e">
        <f>VLOOKUP($A392, TAB_AMORTIZACAO_C[[DIAS_CORRIDOS]:[V_FUT_UTEIS]], L$5, FALSE)</f>
        <v>#N/A</v>
      </c>
    </row>
    <row r="393" spans="1:12" hidden="1">
      <c r="A393" s="19">
        <f t="shared" si="34"/>
        <v>387</v>
      </c>
      <c r="B393" s="20">
        <f t="shared" ref="B393:B456" si="35">IF(ISERROR(C393), 0, C393)</f>
        <v>0</v>
      </c>
      <c r="C393" s="21">
        <f t="shared" ref="C393:C456" si="36">SUMIF(D393:F393, "&gt;0", D393:F393)</f>
        <v>0</v>
      </c>
      <c r="D393" s="22" t="e">
        <f>VLOOKUP($A393, TAB_JUROS_U[[Q_DIAS_U_PARC_TIR]:[V_FUT_U_JURS CENARIO]], D$5, FALSE)</f>
        <v>#N/A</v>
      </c>
      <c r="E393" s="22" t="e">
        <f>VLOOKUP($A393,TAB_CORRECAO_U[[Q_DIAS_U_PARC_TIR]:[V_FUT_U_CORC-02]],E$5, FALSE)</f>
        <v>#N/A</v>
      </c>
      <c r="F393" s="22" t="e">
        <f>VLOOKUP($A393,TAB_AMORTIZACAO_U[[Q_DIAS_U_PARC_TIR]:[V_FUT_U_PCPL-02]], F$5, FALSE)</f>
        <v>#N/A</v>
      </c>
      <c r="H393" s="20">
        <f t="shared" ref="H393:H456" si="37">IF(ISERROR(I393), 0, I393)</f>
        <v>0</v>
      </c>
      <c r="I393" s="21">
        <f t="shared" ref="I393:I456" si="38">SUMIF(J393:L393, "&gt;0", J393:L393)</f>
        <v>0</v>
      </c>
      <c r="J393" s="22" t="e">
        <f>VLOOKUP($A393, TAB_JUROS_C[[DIAS_CORRIDOS]:[V_FUT_UTEIS]], J$5, FALSE)</f>
        <v>#N/A</v>
      </c>
      <c r="K393" s="22" t="e">
        <f>VLOOKUP($A393, TAB_CORRECAO_C[[DIAS_CORRIDOS]:[V_FUT_UTEIS]],K$5, FALSE)</f>
        <v>#N/A</v>
      </c>
      <c r="L393" s="22" t="e">
        <f>VLOOKUP($A393, TAB_AMORTIZACAO_C[[DIAS_CORRIDOS]:[V_FUT_UTEIS]], L$5, FALSE)</f>
        <v>#N/A</v>
      </c>
    </row>
    <row r="394" spans="1:12">
      <c r="A394" s="19">
        <f t="shared" ref="A394:A457" si="39">A393+1</f>
        <v>388</v>
      </c>
      <c r="B394" s="20">
        <f t="shared" si="35"/>
        <v>1701.0114101751865</v>
      </c>
      <c r="C394" s="21">
        <f t="shared" si="36"/>
        <v>1701.0114101751865</v>
      </c>
      <c r="D394" s="22">
        <f>VLOOKUP($A394, TAB_JUROS_U[[Q_DIAS_U_PARC_TIR]:[V_FUT_U_JURS CENARIO]], D$5, FALSE)</f>
        <v>137.76735145511375</v>
      </c>
      <c r="E394" s="22">
        <f>VLOOKUP($A394,TAB_CORRECAO_U[[Q_DIAS_U_PARC_TIR]:[V_FUT_U_CORC-02]],E$5, FALSE)</f>
        <v>877.91669548982884</v>
      </c>
      <c r="F394" s="22">
        <f>VLOOKUP($A394,TAB_AMORTIZACAO_U[[Q_DIAS_U_PARC_TIR]:[V_FUT_U_PCPL-02]], F$5, FALSE)</f>
        <v>685.3273632302438</v>
      </c>
      <c r="H394" s="20">
        <f t="shared" si="37"/>
        <v>0</v>
      </c>
      <c r="I394" s="21">
        <f t="shared" si="38"/>
        <v>0</v>
      </c>
      <c r="J394" s="22" t="e">
        <f>VLOOKUP($A394, TAB_JUROS_C[[DIAS_CORRIDOS]:[V_FUT_UTEIS]], J$5, FALSE)</f>
        <v>#N/A</v>
      </c>
      <c r="K394" s="22" t="e">
        <f>VLOOKUP($A394, TAB_CORRECAO_C[[DIAS_CORRIDOS]:[V_FUT_UTEIS]],K$5, FALSE)</f>
        <v>#N/A</v>
      </c>
      <c r="L394" s="22" t="e">
        <f>VLOOKUP($A394, TAB_AMORTIZACAO_C[[DIAS_CORRIDOS]:[V_FUT_UTEIS]], L$5, FALSE)</f>
        <v>#N/A</v>
      </c>
    </row>
    <row r="395" spans="1:12" hidden="1">
      <c r="A395" s="19">
        <f t="shared" si="39"/>
        <v>389</v>
      </c>
      <c r="B395" s="20">
        <f t="shared" si="35"/>
        <v>0</v>
      </c>
      <c r="C395" s="21">
        <f t="shared" si="36"/>
        <v>0</v>
      </c>
      <c r="D395" s="22" t="e">
        <f>VLOOKUP($A395, TAB_JUROS_U[[Q_DIAS_U_PARC_TIR]:[V_FUT_U_JURS CENARIO]], D$5, FALSE)</f>
        <v>#N/A</v>
      </c>
      <c r="E395" s="22" t="e">
        <f>VLOOKUP($A395,TAB_CORRECAO_U[[Q_DIAS_U_PARC_TIR]:[V_FUT_U_CORC-02]],E$5, FALSE)</f>
        <v>#N/A</v>
      </c>
      <c r="F395" s="22" t="e">
        <f>VLOOKUP($A395,TAB_AMORTIZACAO_U[[Q_DIAS_U_PARC_TIR]:[V_FUT_U_PCPL-02]], F$5, FALSE)</f>
        <v>#N/A</v>
      </c>
      <c r="H395" s="20">
        <f t="shared" si="37"/>
        <v>0</v>
      </c>
      <c r="I395" s="21">
        <f t="shared" si="38"/>
        <v>0</v>
      </c>
      <c r="J395" s="22" t="e">
        <f>VLOOKUP($A395, TAB_JUROS_C[[DIAS_CORRIDOS]:[V_FUT_UTEIS]], J$5, FALSE)</f>
        <v>#N/A</v>
      </c>
      <c r="K395" s="22" t="e">
        <f>VLOOKUP($A395, TAB_CORRECAO_C[[DIAS_CORRIDOS]:[V_FUT_UTEIS]],K$5, FALSE)</f>
        <v>#N/A</v>
      </c>
      <c r="L395" s="22" t="e">
        <f>VLOOKUP($A395, TAB_AMORTIZACAO_C[[DIAS_CORRIDOS]:[V_FUT_UTEIS]], L$5, FALSE)</f>
        <v>#N/A</v>
      </c>
    </row>
    <row r="396" spans="1:12" hidden="1">
      <c r="A396" s="19">
        <f t="shared" si="39"/>
        <v>390</v>
      </c>
      <c r="B396" s="20">
        <f t="shared" si="35"/>
        <v>0</v>
      </c>
      <c r="C396" s="21">
        <f t="shared" si="36"/>
        <v>0</v>
      </c>
      <c r="D396" s="22" t="e">
        <f>VLOOKUP($A396, TAB_JUROS_U[[Q_DIAS_U_PARC_TIR]:[V_FUT_U_JURS CENARIO]], D$5, FALSE)</f>
        <v>#N/A</v>
      </c>
      <c r="E396" s="22" t="e">
        <f>VLOOKUP($A396,TAB_CORRECAO_U[[Q_DIAS_U_PARC_TIR]:[V_FUT_U_CORC-02]],E$5, FALSE)</f>
        <v>#N/A</v>
      </c>
      <c r="F396" s="22" t="e">
        <f>VLOOKUP($A396,TAB_AMORTIZACAO_U[[Q_DIAS_U_PARC_TIR]:[V_FUT_U_PCPL-02]], F$5, FALSE)</f>
        <v>#N/A</v>
      </c>
      <c r="H396" s="20">
        <f t="shared" si="37"/>
        <v>0</v>
      </c>
      <c r="I396" s="21">
        <f t="shared" si="38"/>
        <v>0</v>
      </c>
      <c r="J396" s="22" t="e">
        <f>VLOOKUP($A396, TAB_JUROS_C[[DIAS_CORRIDOS]:[V_FUT_UTEIS]], J$5, FALSE)</f>
        <v>#N/A</v>
      </c>
      <c r="K396" s="22" t="e">
        <f>VLOOKUP($A396, TAB_CORRECAO_C[[DIAS_CORRIDOS]:[V_FUT_UTEIS]],K$5, FALSE)</f>
        <v>#N/A</v>
      </c>
      <c r="L396" s="22" t="e">
        <f>VLOOKUP($A396, TAB_AMORTIZACAO_C[[DIAS_CORRIDOS]:[V_FUT_UTEIS]], L$5, FALSE)</f>
        <v>#N/A</v>
      </c>
    </row>
    <row r="397" spans="1:12" hidden="1">
      <c r="A397" s="19">
        <f t="shared" si="39"/>
        <v>391</v>
      </c>
      <c r="B397" s="20">
        <f t="shared" si="35"/>
        <v>0</v>
      </c>
      <c r="C397" s="21">
        <f t="shared" si="36"/>
        <v>0</v>
      </c>
      <c r="D397" s="22" t="e">
        <f>VLOOKUP($A397, TAB_JUROS_U[[Q_DIAS_U_PARC_TIR]:[V_FUT_U_JURS CENARIO]], D$5, FALSE)</f>
        <v>#N/A</v>
      </c>
      <c r="E397" s="22" t="e">
        <f>VLOOKUP($A397,TAB_CORRECAO_U[[Q_DIAS_U_PARC_TIR]:[V_FUT_U_CORC-02]],E$5, FALSE)</f>
        <v>#N/A</v>
      </c>
      <c r="F397" s="22" t="e">
        <f>VLOOKUP($A397,TAB_AMORTIZACAO_U[[Q_DIAS_U_PARC_TIR]:[V_FUT_U_PCPL-02]], F$5, FALSE)</f>
        <v>#N/A</v>
      </c>
      <c r="H397" s="20">
        <f t="shared" si="37"/>
        <v>0</v>
      </c>
      <c r="I397" s="21">
        <f t="shared" si="38"/>
        <v>0</v>
      </c>
      <c r="J397" s="22" t="e">
        <f>VLOOKUP($A397, TAB_JUROS_C[[DIAS_CORRIDOS]:[V_FUT_UTEIS]], J$5, FALSE)</f>
        <v>#N/A</v>
      </c>
      <c r="K397" s="22" t="e">
        <f>VLOOKUP($A397, TAB_CORRECAO_C[[DIAS_CORRIDOS]:[V_FUT_UTEIS]],K$5, FALSE)</f>
        <v>#N/A</v>
      </c>
      <c r="L397" s="22" t="e">
        <f>VLOOKUP($A397, TAB_AMORTIZACAO_C[[DIAS_CORRIDOS]:[V_FUT_UTEIS]], L$5, FALSE)</f>
        <v>#N/A</v>
      </c>
    </row>
    <row r="398" spans="1:12" hidden="1">
      <c r="A398" s="19">
        <f t="shared" si="39"/>
        <v>392</v>
      </c>
      <c r="B398" s="20">
        <f t="shared" si="35"/>
        <v>0</v>
      </c>
      <c r="C398" s="21">
        <f t="shared" si="36"/>
        <v>0</v>
      </c>
      <c r="D398" s="22" t="e">
        <f>VLOOKUP($A398, TAB_JUROS_U[[Q_DIAS_U_PARC_TIR]:[V_FUT_U_JURS CENARIO]], D$5, FALSE)</f>
        <v>#N/A</v>
      </c>
      <c r="E398" s="22" t="e">
        <f>VLOOKUP($A398,TAB_CORRECAO_U[[Q_DIAS_U_PARC_TIR]:[V_FUT_U_CORC-02]],E$5, FALSE)</f>
        <v>#N/A</v>
      </c>
      <c r="F398" s="22" t="e">
        <f>VLOOKUP($A398,TAB_AMORTIZACAO_U[[Q_DIAS_U_PARC_TIR]:[V_FUT_U_PCPL-02]], F$5, FALSE)</f>
        <v>#N/A</v>
      </c>
      <c r="H398" s="20">
        <f t="shared" si="37"/>
        <v>0</v>
      </c>
      <c r="I398" s="21">
        <f t="shared" si="38"/>
        <v>0</v>
      </c>
      <c r="J398" s="22" t="e">
        <f>VLOOKUP($A398, TAB_JUROS_C[[DIAS_CORRIDOS]:[V_FUT_UTEIS]], J$5, FALSE)</f>
        <v>#N/A</v>
      </c>
      <c r="K398" s="22" t="e">
        <f>VLOOKUP($A398, TAB_CORRECAO_C[[DIAS_CORRIDOS]:[V_FUT_UTEIS]],K$5, FALSE)</f>
        <v>#N/A</v>
      </c>
      <c r="L398" s="22" t="e">
        <f>VLOOKUP($A398, TAB_AMORTIZACAO_C[[DIAS_CORRIDOS]:[V_FUT_UTEIS]], L$5, FALSE)</f>
        <v>#N/A</v>
      </c>
    </row>
    <row r="399" spans="1:12" hidden="1">
      <c r="A399" s="19">
        <f t="shared" si="39"/>
        <v>393</v>
      </c>
      <c r="B399" s="20">
        <f t="shared" si="35"/>
        <v>0</v>
      </c>
      <c r="C399" s="21">
        <f t="shared" si="36"/>
        <v>0</v>
      </c>
      <c r="D399" s="22" t="e">
        <f>VLOOKUP($A399, TAB_JUROS_U[[Q_DIAS_U_PARC_TIR]:[V_FUT_U_JURS CENARIO]], D$5, FALSE)</f>
        <v>#N/A</v>
      </c>
      <c r="E399" s="22" t="e">
        <f>VLOOKUP($A399,TAB_CORRECAO_U[[Q_DIAS_U_PARC_TIR]:[V_FUT_U_CORC-02]],E$5, FALSE)</f>
        <v>#N/A</v>
      </c>
      <c r="F399" s="22" t="e">
        <f>VLOOKUP($A399,TAB_AMORTIZACAO_U[[Q_DIAS_U_PARC_TIR]:[V_FUT_U_PCPL-02]], F$5, FALSE)</f>
        <v>#N/A</v>
      </c>
      <c r="H399" s="20">
        <f t="shared" si="37"/>
        <v>0</v>
      </c>
      <c r="I399" s="21">
        <f t="shared" si="38"/>
        <v>0</v>
      </c>
      <c r="J399" s="22" t="e">
        <f>VLOOKUP($A399, TAB_JUROS_C[[DIAS_CORRIDOS]:[V_FUT_UTEIS]], J$5, FALSE)</f>
        <v>#N/A</v>
      </c>
      <c r="K399" s="22" t="e">
        <f>VLOOKUP($A399, TAB_CORRECAO_C[[DIAS_CORRIDOS]:[V_FUT_UTEIS]],K$5, FALSE)</f>
        <v>#N/A</v>
      </c>
      <c r="L399" s="22" t="e">
        <f>VLOOKUP($A399, TAB_AMORTIZACAO_C[[DIAS_CORRIDOS]:[V_FUT_UTEIS]], L$5, FALSE)</f>
        <v>#N/A</v>
      </c>
    </row>
    <row r="400" spans="1:12" hidden="1">
      <c r="A400" s="19">
        <f t="shared" si="39"/>
        <v>394</v>
      </c>
      <c r="B400" s="20">
        <f t="shared" si="35"/>
        <v>0</v>
      </c>
      <c r="C400" s="21">
        <f t="shared" si="36"/>
        <v>0</v>
      </c>
      <c r="D400" s="22" t="e">
        <f>VLOOKUP($A400, TAB_JUROS_U[[Q_DIAS_U_PARC_TIR]:[V_FUT_U_JURS CENARIO]], D$5, FALSE)</f>
        <v>#N/A</v>
      </c>
      <c r="E400" s="22" t="e">
        <f>VLOOKUP($A400,TAB_CORRECAO_U[[Q_DIAS_U_PARC_TIR]:[V_FUT_U_CORC-02]],E$5, FALSE)</f>
        <v>#N/A</v>
      </c>
      <c r="F400" s="22" t="e">
        <f>VLOOKUP($A400,TAB_AMORTIZACAO_U[[Q_DIAS_U_PARC_TIR]:[V_FUT_U_PCPL-02]], F$5, FALSE)</f>
        <v>#N/A</v>
      </c>
      <c r="H400" s="20">
        <f t="shared" si="37"/>
        <v>0</v>
      </c>
      <c r="I400" s="21">
        <f t="shared" si="38"/>
        <v>0</v>
      </c>
      <c r="J400" s="22" t="e">
        <f>VLOOKUP($A400, TAB_JUROS_C[[DIAS_CORRIDOS]:[V_FUT_UTEIS]], J$5, FALSE)</f>
        <v>#N/A</v>
      </c>
      <c r="K400" s="22" t="e">
        <f>VLOOKUP($A400, TAB_CORRECAO_C[[DIAS_CORRIDOS]:[V_FUT_UTEIS]],K$5, FALSE)</f>
        <v>#N/A</v>
      </c>
      <c r="L400" s="22" t="e">
        <f>VLOOKUP($A400, TAB_AMORTIZACAO_C[[DIAS_CORRIDOS]:[V_FUT_UTEIS]], L$5, FALSE)</f>
        <v>#N/A</v>
      </c>
    </row>
    <row r="401" spans="1:12" hidden="1">
      <c r="A401" s="19">
        <f t="shared" si="39"/>
        <v>395</v>
      </c>
      <c r="B401" s="20">
        <f t="shared" si="35"/>
        <v>0</v>
      </c>
      <c r="C401" s="21">
        <f t="shared" si="36"/>
        <v>0</v>
      </c>
      <c r="D401" s="22" t="e">
        <f>VLOOKUP($A401, TAB_JUROS_U[[Q_DIAS_U_PARC_TIR]:[V_FUT_U_JURS CENARIO]], D$5, FALSE)</f>
        <v>#N/A</v>
      </c>
      <c r="E401" s="22" t="e">
        <f>VLOOKUP($A401,TAB_CORRECAO_U[[Q_DIAS_U_PARC_TIR]:[V_FUT_U_CORC-02]],E$5, FALSE)</f>
        <v>#N/A</v>
      </c>
      <c r="F401" s="22" t="e">
        <f>VLOOKUP($A401,TAB_AMORTIZACAO_U[[Q_DIAS_U_PARC_TIR]:[V_FUT_U_PCPL-02]], F$5, FALSE)</f>
        <v>#N/A</v>
      </c>
      <c r="H401" s="20">
        <f t="shared" si="37"/>
        <v>0</v>
      </c>
      <c r="I401" s="21">
        <f t="shared" si="38"/>
        <v>0</v>
      </c>
      <c r="J401" s="22" t="e">
        <f>VLOOKUP($A401, TAB_JUROS_C[[DIAS_CORRIDOS]:[V_FUT_UTEIS]], J$5, FALSE)</f>
        <v>#N/A</v>
      </c>
      <c r="K401" s="22" t="e">
        <f>VLOOKUP($A401, TAB_CORRECAO_C[[DIAS_CORRIDOS]:[V_FUT_UTEIS]],K$5, FALSE)</f>
        <v>#N/A</v>
      </c>
      <c r="L401" s="22" t="e">
        <f>VLOOKUP($A401, TAB_AMORTIZACAO_C[[DIAS_CORRIDOS]:[V_FUT_UTEIS]], L$5, FALSE)</f>
        <v>#N/A</v>
      </c>
    </row>
    <row r="402" spans="1:12" hidden="1">
      <c r="A402" s="19">
        <f t="shared" si="39"/>
        <v>396</v>
      </c>
      <c r="B402" s="20">
        <f t="shared" si="35"/>
        <v>0</v>
      </c>
      <c r="C402" s="21">
        <f t="shared" si="36"/>
        <v>0</v>
      </c>
      <c r="D402" s="22" t="e">
        <f>VLOOKUP($A402, TAB_JUROS_U[[Q_DIAS_U_PARC_TIR]:[V_FUT_U_JURS CENARIO]], D$5, FALSE)</f>
        <v>#N/A</v>
      </c>
      <c r="E402" s="22" t="e">
        <f>VLOOKUP($A402,TAB_CORRECAO_U[[Q_DIAS_U_PARC_TIR]:[V_FUT_U_CORC-02]],E$5, FALSE)</f>
        <v>#N/A</v>
      </c>
      <c r="F402" s="22" t="e">
        <f>VLOOKUP($A402,TAB_AMORTIZACAO_U[[Q_DIAS_U_PARC_TIR]:[V_FUT_U_PCPL-02]], F$5, FALSE)</f>
        <v>#N/A</v>
      </c>
      <c r="H402" s="20">
        <f t="shared" si="37"/>
        <v>0</v>
      </c>
      <c r="I402" s="21">
        <f t="shared" si="38"/>
        <v>0</v>
      </c>
      <c r="J402" s="22" t="e">
        <f>VLOOKUP($A402, TAB_JUROS_C[[DIAS_CORRIDOS]:[V_FUT_UTEIS]], J$5, FALSE)</f>
        <v>#N/A</v>
      </c>
      <c r="K402" s="22" t="e">
        <f>VLOOKUP($A402, TAB_CORRECAO_C[[DIAS_CORRIDOS]:[V_FUT_UTEIS]],K$5, FALSE)</f>
        <v>#N/A</v>
      </c>
      <c r="L402" s="22" t="e">
        <f>VLOOKUP($A402, TAB_AMORTIZACAO_C[[DIAS_CORRIDOS]:[V_FUT_UTEIS]], L$5, FALSE)</f>
        <v>#N/A</v>
      </c>
    </row>
    <row r="403" spans="1:12" hidden="1">
      <c r="A403" s="19">
        <f t="shared" si="39"/>
        <v>397</v>
      </c>
      <c r="B403" s="20">
        <f t="shared" si="35"/>
        <v>0</v>
      </c>
      <c r="C403" s="21">
        <f t="shared" si="36"/>
        <v>0</v>
      </c>
      <c r="D403" s="22" t="e">
        <f>VLOOKUP($A403, TAB_JUROS_U[[Q_DIAS_U_PARC_TIR]:[V_FUT_U_JURS CENARIO]], D$5, FALSE)</f>
        <v>#N/A</v>
      </c>
      <c r="E403" s="22" t="e">
        <f>VLOOKUP($A403,TAB_CORRECAO_U[[Q_DIAS_U_PARC_TIR]:[V_FUT_U_CORC-02]],E$5, FALSE)</f>
        <v>#N/A</v>
      </c>
      <c r="F403" s="22" t="e">
        <f>VLOOKUP($A403,TAB_AMORTIZACAO_U[[Q_DIAS_U_PARC_TIR]:[V_FUT_U_PCPL-02]], F$5, FALSE)</f>
        <v>#N/A</v>
      </c>
      <c r="H403" s="20">
        <f t="shared" si="37"/>
        <v>0</v>
      </c>
      <c r="I403" s="21">
        <f t="shared" si="38"/>
        <v>0</v>
      </c>
      <c r="J403" s="22" t="e">
        <f>VLOOKUP($A403, TAB_JUROS_C[[DIAS_CORRIDOS]:[V_FUT_UTEIS]], J$5, FALSE)</f>
        <v>#N/A</v>
      </c>
      <c r="K403" s="22" t="e">
        <f>VLOOKUP($A403, TAB_CORRECAO_C[[DIAS_CORRIDOS]:[V_FUT_UTEIS]],K$5, FALSE)</f>
        <v>#N/A</v>
      </c>
      <c r="L403" s="22" t="e">
        <f>VLOOKUP($A403, TAB_AMORTIZACAO_C[[DIAS_CORRIDOS]:[V_FUT_UTEIS]], L$5, FALSE)</f>
        <v>#N/A</v>
      </c>
    </row>
    <row r="404" spans="1:12" hidden="1">
      <c r="A404" s="19">
        <f t="shared" si="39"/>
        <v>398</v>
      </c>
      <c r="B404" s="20">
        <f t="shared" si="35"/>
        <v>0</v>
      </c>
      <c r="C404" s="21">
        <f t="shared" si="36"/>
        <v>0</v>
      </c>
      <c r="D404" s="22" t="e">
        <f>VLOOKUP($A404, TAB_JUROS_U[[Q_DIAS_U_PARC_TIR]:[V_FUT_U_JURS CENARIO]], D$5, FALSE)</f>
        <v>#N/A</v>
      </c>
      <c r="E404" s="22" t="e">
        <f>VLOOKUP($A404,TAB_CORRECAO_U[[Q_DIAS_U_PARC_TIR]:[V_FUT_U_CORC-02]],E$5, FALSE)</f>
        <v>#N/A</v>
      </c>
      <c r="F404" s="22" t="e">
        <f>VLOOKUP($A404,TAB_AMORTIZACAO_U[[Q_DIAS_U_PARC_TIR]:[V_FUT_U_PCPL-02]], F$5, FALSE)</f>
        <v>#N/A</v>
      </c>
      <c r="H404" s="20">
        <f t="shared" si="37"/>
        <v>0</v>
      </c>
      <c r="I404" s="21">
        <f t="shared" si="38"/>
        <v>0</v>
      </c>
      <c r="J404" s="22" t="e">
        <f>VLOOKUP($A404, TAB_JUROS_C[[DIAS_CORRIDOS]:[V_FUT_UTEIS]], J$5, FALSE)</f>
        <v>#N/A</v>
      </c>
      <c r="K404" s="22" t="e">
        <f>VLOOKUP($A404, TAB_CORRECAO_C[[DIAS_CORRIDOS]:[V_FUT_UTEIS]],K$5, FALSE)</f>
        <v>#N/A</v>
      </c>
      <c r="L404" s="22" t="e">
        <f>VLOOKUP($A404, TAB_AMORTIZACAO_C[[DIAS_CORRIDOS]:[V_FUT_UTEIS]], L$5, FALSE)</f>
        <v>#N/A</v>
      </c>
    </row>
    <row r="405" spans="1:12" hidden="1">
      <c r="A405" s="19">
        <f t="shared" si="39"/>
        <v>399</v>
      </c>
      <c r="B405" s="20">
        <f t="shared" si="35"/>
        <v>0</v>
      </c>
      <c r="C405" s="21">
        <f t="shared" si="36"/>
        <v>0</v>
      </c>
      <c r="D405" s="22" t="e">
        <f>VLOOKUP($A405, TAB_JUROS_U[[Q_DIAS_U_PARC_TIR]:[V_FUT_U_JURS CENARIO]], D$5, FALSE)</f>
        <v>#N/A</v>
      </c>
      <c r="E405" s="22" t="e">
        <f>VLOOKUP($A405,TAB_CORRECAO_U[[Q_DIAS_U_PARC_TIR]:[V_FUT_U_CORC-02]],E$5, FALSE)</f>
        <v>#N/A</v>
      </c>
      <c r="F405" s="22" t="e">
        <f>VLOOKUP($A405,TAB_AMORTIZACAO_U[[Q_DIAS_U_PARC_TIR]:[V_FUT_U_PCPL-02]], F$5, FALSE)</f>
        <v>#N/A</v>
      </c>
      <c r="H405" s="20">
        <f t="shared" si="37"/>
        <v>0</v>
      </c>
      <c r="I405" s="21">
        <f t="shared" si="38"/>
        <v>0</v>
      </c>
      <c r="J405" s="22" t="e">
        <f>VLOOKUP($A405, TAB_JUROS_C[[DIAS_CORRIDOS]:[V_FUT_UTEIS]], J$5, FALSE)</f>
        <v>#N/A</v>
      </c>
      <c r="K405" s="22" t="e">
        <f>VLOOKUP($A405, TAB_CORRECAO_C[[DIAS_CORRIDOS]:[V_FUT_UTEIS]],K$5, FALSE)</f>
        <v>#N/A</v>
      </c>
      <c r="L405" s="22" t="e">
        <f>VLOOKUP($A405, TAB_AMORTIZACAO_C[[DIAS_CORRIDOS]:[V_FUT_UTEIS]], L$5, FALSE)</f>
        <v>#N/A</v>
      </c>
    </row>
    <row r="406" spans="1:12" hidden="1">
      <c r="A406" s="19">
        <f t="shared" si="39"/>
        <v>400</v>
      </c>
      <c r="B406" s="20">
        <f t="shared" si="35"/>
        <v>0</v>
      </c>
      <c r="C406" s="21">
        <f t="shared" si="36"/>
        <v>0</v>
      </c>
      <c r="D406" s="22" t="e">
        <f>VLOOKUP($A406, TAB_JUROS_U[[Q_DIAS_U_PARC_TIR]:[V_FUT_U_JURS CENARIO]], D$5, FALSE)</f>
        <v>#N/A</v>
      </c>
      <c r="E406" s="22" t="e">
        <f>VLOOKUP($A406,TAB_CORRECAO_U[[Q_DIAS_U_PARC_TIR]:[V_FUT_U_CORC-02]],E$5, FALSE)</f>
        <v>#N/A</v>
      </c>
      <c r="F406" s="22" t="e">
        <f>VLOOKUP($A406,TAB_AMORTIZACAO_U[[Q_DIAS_U_PARC_TIR]:[V_FUT_U_PCPL-02]], F$5, FALSE)</f>
        <v>#N/A</v>
      </c>
      <c r="H406" s="20">
        <f t="shared" si="37"/>
        <v>0</v>
      </c>
      <c r="I406" s="21">
        <f t="shared" si="38"/>
        <v>0</v>
      </c>
      <c r="J406" s="22" t="e">
        <f>VLOOKUP($A406, TAB_JUROS_C[[DIAS_CORRIDOS]:[V_FUT_UTEIS]], J$5, FALSE)</f>
        <v>#N/A</v>
      </c>
      <c r="K406" s="22" t="e">
        <f>VLOOKUP($A406, TAB_CORRECAO_C[[DIAS_CORRIDOS]:[V_FUT_UTEIS]],K$5, FALSE)</f>
        <v>#N/A</v>
      </c>
      <c r="L406" s="22" t="e">
        <f>VLOOKUP($A406, TAB_AMORTIZACAO_C[[DIAS_CORRIDOS]:[V_FUT_UTEIS]], L$5, FALSE)</f>
        <v>#N/A</v>
      </c>
    </row>
    <row r="407" spans="1:12" hidden="1">
      <c r="A407" s="19">
        <f t="shared" si="39"/>
        <v>401</v>
      </c>
      <c r="B407" s="20">
        <f t="shared" si="35"/>
        <v>0</v>
      </c>
      <c r="C407" s="21">
        <f t="shared" si="36"/>
        <v>0</v>
      </c>
      <c r="D407" s="22" t="e">
        <f>VLOOKUP($A407, TAB_JUROS_U[[Q_DIAS_U_PARC_TIR]:[V_FUT_U_JURS CENARIO]], D$5, FALSE)</f>
        <v>#N/A</v>
      </c>
      <c r="E407" s="22" t="e">
        <f>VLOOKUP($A407,TAB_CORRECAO_U[[Q_DIAS_U_PARC_TIR]:[V_FUT_U_CORC-02]],E$5, FALSE)</f>
        <v>#N/A</v>
      </c>
      <c r="F407" s="22" t="e">
        <f>VLOOKUP($A407,TAB_AMORTIZACAO_U[[Q_DIAS_U_PARC_TIR]:[V_FUT_U_PCPL-02]], F$5, FALSE)</f>
        <v>#N/A</v>
      </c>
      <c r="H407" s="20">
        <f t="shared" si="37"/>
        <v>0</v>
      </c>
      <c r="I407" s="21">
        <f t="shared" si="38"/>
        <v>0</v>
      </c>
      <c r="J407" s="22" t="e">
        <f>VLOOKUP($A407, TAB_JUROS_C[[DIAS_CORRIDOS]:[V_FUT_UTEIS]], J$5, FALSE)</f>
        <v>#N/A</v>
      </c>
      <c r="K407" s="22" t="e">
        <f>VLOOKUP($A407, TAB_CORRECAO_C[[DIAS_CORRIDOS]:[V_FUT_UTEIS]],K$5, FALSE)</f>
        <v>#N/A</v>
      </c>
      <c r="L407" s="22" t="e">
        <f>VLOOKUP($A407, TAB_AMORTIZACAO_C[[DIAS_CORRIDOS]:[V_FUT_UTEIS]], L$5, FALSE)</f>
        <v>#N/A</v>
      </c>
    </row>
    <row r="408" spans="1:12" hidden="1">
      <c r="A408" s="19">
        <f t="shared" si="39"/>
        <v>402</v>
      </c>
      <c r="B408" s="20">
        <f t="shared" si="35"/>
        <v>0</v>
      </c>
      <c r="C408" s="21">
        <f t="shared" si="36"/>
        <v>0</v>
      </c>
      <c r="D408" s="22" t="e">
        <f>VLOOKUP($A408, TAB_JUROS_U[[Q_DIAS_U_PARC_TIR]:[V_FUT_U_JURS CENARIO]], D$5, FALSE)</f>
        <v>#N/A</v>
      </c>
      <c r="E408" s="22" t="e">
        <f>VLOOKUP($A408,TAB_CORRECAO_U[[Q_DIAS_U_PARC_TIR]:[V_FUT_U_CORC-02]],E$5, FALSE)</f>
        <v>#N/A</v>
      </c>
      <c r="F408" s="22" t="e">
        <f>VLOOKUP($A408,TAB_AMORTIZACAO_U[[Q_DIAS_U_PARC_TIR]:[V_FUT_U_PCPL-02]], F$5, FALSE)</f>
        <v>#N/A</v>
      </c>
      <c r="H408" s="20">
        <f t="shared" si="37"/>
        <v>0</v>
      </c>
      <c r="I408" s="21">
        <f t="shared" si="38"/>
        <v>0</v>
      </c>
      <c r="J408" s="22" t="e">
        <f>VLOOKUP($A408, TAB_JUROS_C[[DIAS_CORRIDOS]:[V_FUT_UTEIS]], J$5, FALSE)</f>
        <v>#N/A</v>
      </c>
      <c r="K408" s="22" t="e">
        <f>VLOOKUP($A408, TAB_CORRECAO_C[[DIAS_CORRIDOS]:[V_FUT_UTEIS]],K$5, FALSE)</f>
        <v>#N/A</v>
      </c>
      <c r="L408" s="22" t="e">
        <f>VLOOKUP($A408, TAB_AMORTIZACAO_C[[DIAS_CORRIDOS]:[V_FUT_UTEIS]], L$5, FALSE)</f>
        <v>#N/A</v>
      </c>
    </row>
    <row r="409" spans="1:12" hidden="1">
      <c r="A409" s="19">
        <f t="shared" si="39"/>
        <v>403</v>
      </c>
      <c r="B409" s="20">
        <f t="shared" si="35"/>
        <v>0</v>
      </c>
      <c r="C409" s="21">
        <f t="shared" si="36"/>
        <v>0</v>
      </c>
      <c r="D409" s="22" t="e">
        <f>VLOOKUP($A409, TAB_JUROS_U[[Q_DIAS_U_PARC_TIR]:[V_FUT_U_JURS CENARIO]], D$5, FALSE)</f>
        <v>#N/A</v>
      </c>
      <c r="E409" s="22" t="e">
        <f>VLOOKUP($A409,TAB_CORRECAO_U[[Q_DIAS_U_PARC_TIR]:[V_FUT_U_CORC-02]],E$5, FALSE)</f>
        <v>#N/A</v>
      </c>
      <c r="F409" s="22" t="e">
        <f>VLOOKUP($A409,TAB_AMORTIZACAO_U[[Q_DIAS_U_PARC_TIR]:[V_FUT_U_PCPL-02]], F$5, FALSE)</f>
        <v>#N/A</v>
      </c>
      <c r="H409" s="20">
        <f t="shared" si="37"/>
        <v>0</v>
      </c>
      <c r="I409" s="21">
        <f t="shared" si="38"/>
        <v>0</v>
      </c>
      <c r="J409" s="22" t="e">
        <f>VLOOKUP($A409, TAB_JUROS_C[[DIAS_CORRIDOS]:[V_FUT_UTEIS]], J$5, FALSE)</f>
        <v>#N/A</v>
      </c>
      <c r="K409" s="22" t="e">
        <f>VLOOKUP($A409, TAB_CORRECAO_C[[DIAS_CORRIDOS]:[V_FUT_UTEIS]],K$5, FALSE)</f>
        <v>#N/A</v>
      </c>
      <c r="L409" s="22" t="e">
        <f>VLOOKUP($A409, TAB_AMORTIZACAO_C[[DIAS_CORRIDOS]:[V_FUT_UTEIS]], L$5, FALSE)</f>
        <v>#N/A</v>
      </c>
    </row>
    <row r="410" spans="1:12" hidden="1">
      <c r="A410" s="19">
        <f t="shared" si="39"/>
        <v>404</v>
      </c>
      <c r="B410" s="20">
        <f t="shared" si="35"/>
        <v>0</v>
      </c>
      <c r="C410" s="21">
        <f t="shared" si="36"/>
        <v>0</v>
      </c>
      <c r="D410" s="22" t="e">
        <f>VLOOKUP($A410, TAB_JUROS_U[[Q_DIAS_U_PARC_TIR]:[V_FUT_U_JURS CENARIO]], D$5, FALSE)</f>
        <v>#N/A</v>
      </c>
      <c r="E410" s="22" t="e">
        <f>VLOOKUP($A410,TAB_CORRECAO_U[[Q_DIAS_U_PARC_TIR]:[V_FUT_U_CORC-02]],E$5, FALSE)</f>
        <v>#N/A</v>
      </c>
      <c r="F410" s="22" t="e">
        <f>VLOOKUP($A410,TAB_AMORTIZACAO_U[[Q_DIAS_U_PARC_TIR]:[V_FUT_U_PCPL-02]], F$5, FALSE)</f>
        <v>#N/A</v>
      </c>
      <c r="H410" s="20">
        <f t="shared" si="37"/>
        <v>0</v>
      </c>
      <c r="I410" s="21">
        <f t="shared" si="38"/>
        <v>0</v>
      </c>
      <c r="J410" s="22" t="e">
        <f>VLOOKUP($A410, TAB_JUROS_C[[DIAS_CORRIDOS]:[V_FUT_UTEIS]], J$5, FALSE)</f>
        <v>#N/A</v>
      </c>
      <c r="K410" s="22" t="e">
        <f>VLOOKUP($A410, TAB_CORRECAO_C[[DIAS_CORRIDOS]:[V_FUT_UTEIS]],K$5, FALSE)</f>
        <v>#N/A</v>
      </c>
      <c r="L410" s="22" t="e">
        <f>VLOOKUP($A410, TAB_AMORTIZACAO_C[[DIAS_CORRIDOS]:[V_FUT_UTEIS]], L$5, FALSE)</f>
        <v>#N/A</v>
      </c>
    </row>
    <row r="411" spans="1:12" hidden="1">
      <c r="A411" s="19">
        <f t="shared" si="39"/>
        <v>405</v>
      </c>
      <c r="B411" s="20">
        <f t="shared" si="35"/>
        <v>0</v>
      </c>
      <c r="C411" s="21">
        <f t="shared" si="36"/>
        <v>0</v>
      </c>
      <c r="D411" s="22" t="e">
        <f>VLOOKUP($A411, TAB_JUROS_U[[Q_DIAS_U_PARC_TIR]:[V_FUT_U_JURS CENARIO]], D$5, FALSE)</f>
        <v>#N/A</v>
      </c>
      <c r="E411" s="22" t="e">
        <f>VLOOKUP($A411,TAB_CORRECAO_U[[Q_DIAS_U_PARC_TIR]:[V_FUT_U_CORC-02]],E$5, FALSE)</f>
        <v>#N/A</v>
      </c>
      <c r="F411" s="22" t="e">
        <f>VLOOKUP($A411,TAB_AMORTIZACAO_U[[Q_DIAS_U_PARC_TIR]:[V_FUT_U_PCPL-02]], F$5, FALSE)</f>
        <v>#N/A</v>
      </c>
      <c r="H411" s="20">
        <f t="shared" si="37"/>
        <v>0</v>
      </c>
      <c r="I411" s="21">
        <f t="shared" si="38"/>
        <v>0</v>
      </c>
      <c r="J411" s="22" t="e">
        <f>VLOOKUP($A411, TAB_JUROS_C[[DIAS_CORRIDOS]:[V_FUT_UTEIS]], J$5, FALSE)</f>
        <v>#N/A</v>
      </c>
      <c r="K411" s="22" t="e">
        <f>VLOOKUP($A411, TAB_CORRECAO_C[[DIAS_CORRIDOS]:[V_FUT_UTEIS]],K$5, FALSE)</f>
        <v>#N/A</v>
      </c>
      <c r="L411" s="22" t="e">
        <f>VLOOKUP($A411, TAB_AMORTIZACAO_C[[DIAS_CORRIDOS]:[V_FUT_UTEIS]], L$5, FALSE)</f>
        <v>#N/A</v>
      </c>
    </row>
    <row r="412" spans="1:12" hidden="1">
      <c r="A412" s="19">
        <f t="shared" si="39"/>
        <v>406</v>
      </c>
      <c r="B412" s="20">
        <f t="shared" si="35"/>
        <v>0</v>
      </c>
      <c r="C412" s="21">
        <f t="shared" si="36"/>
        <v>0</v>
      </c>
      <c r="D412" s="22" t="e">
        <f>VLOOKUP($A412, TAB_JUROS_U[[Q_DIAS_U_PARC_TIR]:[V_FUT_U_JURS CENARIO]], D$5, FALSE)</f>
        <v>#N/A</v>
      </c>
      <c r="E412" s="22" t="e">
        <f>VLOOKUP($A412,TAB_CORRECAO_U[[Q_DIAS_U_PARC_TIR]:[V_FUT_U_CORC-02]],E$5, FALSE)</f>
        <v>#N/A</v>
      </c>
      <c r="F412" s="22" t="e">
        <f>VLOOKUP($A412,TAB_AMORTIZACAO_U[[Q_DIAS_U_PARC_TIR]:[V_FUT_U_PCPL-02]], F$5, FALSE)</f>
        <v>#N/A</v>
      </c>
      <c r="H412" s="20">
        <f t="shared" si="37"/>
        <v>0</v>
      </c>
      <c r="I412" s="21">
        <f t="shared" si="38"/>
        <v>0</v>
      </c>
      <c r="J412" s="22" t="e">
        <f>VLOOKUP($A412, TAB_JUROS_C[[DIAS_CORRIDOS]:[V_FUT_UTEIS]], J$5, FALSE)</f>
        <v>#N/A</v>
      </c>
      <c r="K412" s="22" t="e">
        <f>VLOOKUP($A412, TAB_CORRECAO_C[[DIAS_CORRIDOS]:[V_FUT_UTEIS]],K$5, FALSE)</f>
        <v>#N/A</v>
      </c>
      <c r="L412" s="22" t="e">
        <f>VLOOKUP($A412, TAB_AMORTIZACAO_C[[DIAS_CORRIDOS]:[V_FUT_UTEIS]], L$5, FALSE)</f>
        <v>#N/A</v>
      </c>
    </row>
    <row r="413" spans="1:12" hidden="1">
      <c r="A413" s="19">
        <f t="shared" si="39"/>
        <v>407</v>
      </c>
      <c r="B413" s="20">
        <f t="shared" si="35"/>
        <v>0</v>
      </c>
      <c r="C413" s="21">
        <f t="shared" si="36"/>
        <v>0</v>
      </c>
      <c r="D413" s="22" t="e">
        <f>VLOOKUP($A413, TAB_JUROS_U[[Q_DIAS_U_PARC_TIR]:[V_FUT_U_JURS CENARIO]], D$5, FALSE)</f>
        <v>#N/A</v>
      </c>
      <c r="E413" s="22" t="e">
        <f>VLOOKUP($A413,TAB_CORRECAO_U[[Q_DIAS_U_PARC_TIR]:[V_FUT_U_CORC-02]],E$5, FALSE)</f>
        <v>#N/A</v>
      </c>
      <c r="F413" s="22" t="e">
        <f>VLOOKUP($A413,TAB_AMORTIZACAO_U[[Q_DIAS_U_PARC_TIR]:[V_FUT_U_PCPL-02]], F$5, FALSE)</f>
        <v>#N/A</v>
      </c>
      <c r="H413" s="20">
        <f t="shared" si="37"/>
        <v>0</v>
      </c>
      <c r="I413" s="21">
        <f t="shared" si="38"/>
        <v>0</v>
      </c>
      <c r="J413" s="22" t="e">
        <f>VLOOKUP($A413, TAB_JUROS_C[[DIAS_CORRIDOS]:[V_FUT_UTEIS]], J$5, FALSE)</f>
        <v>#N/A</v>
      </c>
      <c r="K413" s="22" t="e">
        <f>VLOOKUP($A413, TAB_CORRECAO_C[[DIAS_CORRIDOS]:[V_FUT_UTEIS]],K$5, FALSE)</f>
        <v>#N/A</v>
      </c>
      <c r="L413" s="22" t="e">
        <f>VLOOKUP($A413, TAB_AMORTIZACAO_C[[DIAS_CORRIDOS]:[V_FUT_UTEIS]], L$5, FALSE)</f>
        <v>#N/A</v>
      </c>
    </row>
    <row r="414" spans="1:12" hidden="1">
      <c r="A414" s="19">
        <f t="shared" si="39"/>
        <v>408</v>
      </c>
      <c r="B414" s="20">
        <f t="shared" si="35"/>
        <v>0</v>
      </c>
      <c r="C414" s="21">
        <f t="shared" si="36"/>
        <v>0</v>
      </c>
      <c r="D414" s="22" t="e">
        <f>VLOOKUP($A414, TAB_JUROS_U[[Q_DIAS_U_PARC_TIR]:[V_FUT_U_JURS CENARIO]], D$5, FALSE)</f>
        <v>#N/A</v>
      </c>
      <c r="E414" s="22" t="e">
        <f>VLOOKUP($A414,TAB_CORRECAO_U[[Q_DIAS_U_PARC_TIR]:[V_FUT_U_CORC-02]],E$5, FALSE)</f>
        <v>#N/A</v>
      </c>
      <c r="F414" s="22" t="e">
        <f>VLOOKUP($A414,TAB_AMORTIZACAO_U[[Q_DIAS_U_PARC_TIR]:[V_FUT_U_PCPL-02]], F$5, FALSE)</f>
        <v>#N/A</v>
      </c>
      <c r="H414" s="20">
        <f t="shared" si="37"/>
        <v>1974.084427566223</v>
      </c>
      <c r="I414" s="21">
        <f t="shared" si="38"/>
        <v>1974.084427566223</v>
      </c>
      <c r="J414" s="22">
        <f>VLOOKUP($A414, TAB_JUROS_C[[DIAS_CORRIDOS]:[V_FUT_UTEIS]], J$5, FALSE)</f>
        <v>162.42926441771493</v>
      </c>
      <c r="K414" s="22">
        <f>VLOOKUP($A414, TAB_CORRECAO_C[[DIAS_CORRIDOS]:[V_FUT_UTEIS]],K$5, FALSE)</f>
        <v>1038.0367557101699</v>
      </c>
      <c r="L414" s="22">
        <f>VLOOKUP($A414, TAB_AMORTIZACAO_C[[DIAS_CORRIDOS]:[V_FUT_UTEIS]], L$5, FALSE)</f>
        <v>773.61840743833818</v>
      </c>
    </row>
    <row r="415" spans="1:12">
      <c r="A415" s="19">
        <f t="shared" si="39"/>
        <v>409</v>
      </c>
      <c r="B415" s="20">
        <f t="shared" si="35"/>
        <v>1649.9437333454468</v>
      </c>
      <c r="C415" s="21">
        <f t="shared" si="36"/>
        <v>1649.9437333454468</v>
      </c>
      <c r="D415" s="22">
        <f>VLOOKUP($A415, TAB_JUROS_U[[Q_DIAS_U_PARC_TIR]:[V_FUT_U_JURS CENARIO]], D$5, FALSE)</f>
        <v>134.52460364104107</v>
      </c>
      <c r="E415" s="22">
        <f>VLOOKUP($A415,TAB_CORRECAO_U[[Q_DIAS_U_PARC_TIR]:[V_FUT_U_CORC-02]],E$5, FALSE)</f>
        <v>847.93101073133823</v>
      </c>
      <c r="F415" s="22">
        <f>VLOOKUP($A415,TAB_AMORTIZACAO_U[[Q_DIAS_U_PARC_TIR]:[V_FUT_U_PCPL-02]], F$5, FALSE)</f>
        <v>667.48811897306757</v>
      </c>
      <c r="H415" s="20">
        <f t="shared" si="37"/>
        <v>0</v>
      </c>
      <c r="I415" s="21">
        <f t="shared" si="38"/>
        <v>0</v>
      </c>
      <c r="J415" s="22" t="e">
        <f>VLOOKUP($A415, TAB_JUROS_C[[DIAS_CORRIDOS]:[V_FUT_UTEIS]], J$5, FALSE)</f>
        <v>#N/A</v>
      </c>
      <c r="K415" s="22" t="e">
        <f>VLOOKUP($A415, TAB_CORRECAO_C[[DIAS_CORRIDOS]:[V_FUT_UTEIS]],K$5, FALSE)</f>
        <v>#N/A</v>
      </c>
      <c r="L415" s="22" t="e">
        <f>VLOOKUP($A415, TAB_AMORTIZACAO_C[[DIAS_CORRIDOS]:[V_FUT_UTEIS]], L$5, FALSE)</f>
        <v>#N/A</v>
      </c>
    </row>
    <row r="416" spans="1:12" hidden="1">
      <c r="A416" s="19">
        <f t="shared" si="39"/>
        <v>410</v>
      </c>
      <c r="B416" s="20">
        <f t="shared" si="35"/>
        <v>0</v>
      </c>
      <c r="C416" s="21">
        <f t="shared" si="36"/>
        <v>0</v>
      </c>
      <c r="D416" s="22" t="e">
        <f>VLOOKUP($A416, TAB_JUROS_U[[Q_DIAS_U_PARC_TIR]:[V_FUT_U_JURS CENARIO]], D$5, FALSE)</f>
        <v>#N/A</v>
      </c>
      <c r="E416" s="22" t="e">
        <f>VLOOKUP($A416,TAB_CORRECAO_U[[Q_DIAS_U_PARC_TIR]:[V_FUT_U_CORC-02]],E$5, FALSE)</f>
        <v>#N/A</v>
      </c>
      <c r="F416" s="22" t="e">
        <f>VLOOKUP($A416,TAB_AMORTIZACAO_U[[Q_DIAS_U_PARC_TIR]:[V_FUT_U_PCPL-02]], F$5, FALSE)</f>
        <v>#N/A</v>
      </c>
      <c r="H416" s="20">
        <f t="shared" si="37"/>
        <v>0</v>
      </c>
      <c r="I416" s="21">
        <f t="shared" si="38"/>
        <v>0</v>
      </c>
      <c r="J416" s="22" t="e">
        <f>VLOOKUP($A416, TAB_JUROS_C[[DIAS_CORRIDOS]:[V_FUT_UTEIS]], J$5, FALSE)</f>
        <v>#N/A</v>
      </c>
      <c r="K416" s="22" t="e">
        <f>VLOOKUP($A416, TAB_CORRECAO_C[[DIAS_CORRIDOS]:[V_FUT_UTEIS]],K$5, FALSE)</f>
        <v>#N/A</v>
      </c>
      <c r="L416" s="22" t="e">
        <f>VLOOKUP($A416, TAB_AMORTIZACAO_C[[DIAS_CORRIDOS]:[V_FUT_UTEIS]], L$5, FALSE)</f>
        <v>#N/A</v>
      </c>
    </row>
    <row r="417" spans="1:12" hidden="1">
      <c r="A417" s="19">
        <f t="shared" si="39"/>
        <v>411</v>
      </c>
      <c r="B417" s="20">
        <f t="shared" si="35"/>
        <v>0</v>
      </c>
      <c r="C417" s="21">
        <f t="shared" si="36"/>
        <v>0</v>
      </c>
      <c r="D417" s="22" t="e">
        <f>VLOOKUP($A417, TAB_JUROS_U[[Q_DIAS_U_PARC_TIR]:[V_FUT_U_JURS CENARIO]], D$5, FALSE)</f>
        <v>#N/A</v>
      </c>
      <c r="E417" s="22" t="e">
        <f>VLOOKUP($A417,TAB_CORRECAO_U[[Q_DIAS_U_PARC_TIR]:[V_FUT_U_CORC-02]],E$5, FALSE)</f>
        <v>#N/A</v>
      </c>
      <c r="F417" s="22" t="e">
        <f>VLOOKUP($A417,TAB_AMORTIZACAO_U[[Q_DIAS_U_PARC_TIR]:[V_FUT_U_PCPL-02]], F$5, FALSE)</f>
        <v>#N/A</v>
      </c>
      <c r="H417" s="20">
        <f t="shared" si="37"/>
        <v>0</v>
      </c>
      <c r="I417" s="21">
        <f t="shared" si="38"/>
        <v>0</v>
      </c>
      <c r="J417" s="22" t="e">
        <f>VLOOKUP($A417, TAB_JUROS_C[[DIAS_CORRIDOS]:[V_FUT_UTEIS]], J$5, FALSE)</f>
        <v>#N/A</v>
      </c>
      <c r="K417" s="22" t="e">
        <f>VLOOKUP($A417, TAB_CORRECAO_C[[DIAS_CORRIDOS]:[V_FUT_UTEIS]],K$5, FALSE)</f>
        <v>#N/A</v>
      </c>
      <c r="L417" s="22" t="e">
        <f>VLOOKUP($A417, TAB_AMORTIZACAO_C[[DIAS_CORRIDOS]:[V_FUT_UTEIS]], L$5, FALSE)</f>
        <v>#N/A</v>
      </c>
    </row>
    <row r="418" spans="1:12" hidden="1">
      <c r="A418" s="19">
        <f t="shared" si="39"/>
        <v>412</v>
      </c>
      <c r="B418" s="20">
        <f t="shared" si="35"/>
        <v>0</v>
      </c>
      <c r="C418" s="21">
        <f t="shared" si="36"/>
        <v>0</v>
      </c>
      <c r="D418" s="22" t="e">
        <f>VLOOKUP($A418, TAB_JUROS_U[[Q_DIAS_U_PARC_TIR]:[V_FUT_U_JURS CENARIO]], D$5, FALSE)</f>
        <v>#N/A</v>
      </c>
      <c r="E418" s="22" t="e">
        <f>VLOOKUP($A418,TAB_CORRECAO_U[[Q_DIAS_U_PARC_TIR]:[V_FUT_U_CORC-02]],E$5, FALSE)</f>
        <v>#N/A</v>
      </c>
      <c r="F418" s="22" t="e">
        <f>VLOOKUP($A418,TAB_AMORTIZACAO_U[[Q_DIAS_U_PARC_TIR]:[V_FUT_U_PCPL-02]], F$5, FALSE)</f>
        <v>#N/A</v>
      </c>
      <c r="H418" s="20">
        <f t="shared" si="37"/>
        <v>0</v>
      </c>
      <c r="I418" s="21">
        <f t="shared" si="38"/>
        <v>0</v>
      </c>
      <c r="J418" s="22" t="e">
        <f>VLOOKUP($A418, TAB_JUROS_C[[DIAS_CORRIDOS]:[V_FUT_UTEIS]], J$5, FALSE)</f>
        <v>#N/A</v>
      </c>
      <c r="K418" s="22" t="e">
        <f>VLOOKUP($A418, TAB_CORRECAO_C[[DIAS_CORRIDOS]:[V_FUT_UTEIS]],K$5, FALSE)</f>
        <v>#N/A</v>
      </c>
      <c r="L418" s="22" t="e">
        <f>VLOOKUP($A418, TAB_AMORTIZACAO_C[[DIAS_CORRIDOS]:[V_FUT_UTEIS]], L$5, FALSE)</f>
        <v>#N/A</v>
      </c>
    </row>
    <row r="419" spans="1:12" hidden="1">
      <c r="A419" s="19">
        <f t="shared" si="39"/>
        <v>413</v>
      </c>
      <c r="B419" s="20">
        <f t="shared" si="35"/>
        <v>0</v>
      </c>
      <c r="C419" s="21">
        <f t="shared" si="36"/>
        <v>0</v>
      </c>
      <c r="D419" s="22" t="e">
        <f>VLOOKUP($A419, TAB_JUROS_U[[Q_DIAS_U_PARC_TIR]:[V_FUT_U_JURS CENARIO]], D$5, FALSE)</f>
        <v>#N/A</v>
      </c>
      <c r="E419" s="22" t="e">
        <f>VLOOKUP($A419,TAB_CORRECAO_U[[Q_DIAS_U_PARC_TIR]:[V_FUT_U_CORC-02]],E$5, FALSE)</f>
        <v>#N/A</v>
      </c>
      <c r="F419" s="22" t="e">
        <f>VLOOKUP($A419,TAB_AMORTIZACAO_U[[Q_DIAS_U_PARC_TIR]:[V_FUT_U_PCPL-02]], F$5, FALSE)</f>
        <v>#N/A</v>
      </c>
      <c r="H419" s="20">
        <f t="shared" si="37"/>
        <v>0</v>
      </c>
      <c r="I419" s="21">
        <f t="shared" si="38"/>
        <v>0</v>
      </c>
      <c r="J419" s="22" t="e">
        <f>VLOOKUP($A419, TAB_JUROS_C[[DIAS_CORRIDOS]:[V_FUT_UTEIS]], J$5, FALSE)</f>
        <v>#N/A</v>
      </c>
      <c r="K419" s="22" t="e">
        <f>VLOOKUP($A419, TAB_CORRECAO_C[[DIAS_CORRIDOS]:[V_FUT_UTEIS]],K$5, FALSE)</f>
        <v>#N/A</v>
      </c>
      <c r="L419" s="22" t="e">
        <f>VLOOKUP($A419, TAB_AMORTIZACAO_C[[DIAS_CORRIDOS]:[V_FUT_UTEIS]], L$5, FALSE)</f>
        <v>#N/A</v>
      </c>
    </row>
    <row r="420" spans="1:12" hidden="1">
      <c r="A420" s="19">
        <f t="shared" si="39"/>
        <v>414</v>
      </c>
      <c r="B420" s="20">
        <f t="shared" si="35"/>
        <v>0</v>
      </c>
      <c r="C420" s="21">
        <f t="shared" si="36"/>
        <v>0</v>
      </c>
      <c r="D420" s="22" t="e">
        <f>VLOOKUP($A420, TAB_JUROS_U[[Q_DIAS_U_PARC_TIR]:[V_FUT_U_JURS CENARIO]], D$5, FALSE)</f>
        <v>#N/A</v>
      </c>
      <c r="E420" s="22" t="e">
        <f>VLOOKUP($A420,TAB_CORRECAO_U[[Q_DIAS_U_PARC_TIR]:[V_FUT_U_CORC-02]],E$5, FALSE)</f>
        <v>#N/A</v>
      </c>
      <c r="F420" s="22" t="e">
        <f>VLOOKUP($A420,TAB_AMORTIZACAO_U[[Q_DIAS_U_PARC_TIR]:[V_FUT_U_PCPL-02]], F$5, FALSE)</f>
        <v>#N/A</v>
      </c>
      <c r="H420" s="20">
        <f t="shared" si="37"/>
        <v>0</v>
      </c>
      <c r="I420" s="21">
        <f t="shared" si="38"/>
        <v>0</v>
      </c>
      <c r="J420" s="22" t="e">
        <f>VLOOKUP($A420, TAB_JUROS_C[[DIAS_CORRIDOS]:[V_FUT_UTEIS]], J$5, FALSE)</f>
        <v>#N/A</v>
      </c>
      <c r="K420" s="22" t="e">
        <f>VLOOKUP($A420, TAB_CORRECAO_C[[DIAS_CORRIDOS]:[V_FUT_UTEIS]],K$5, FALSE)</f>
        <v>#N/A</v>
      </c>
      <c r="L420" s="22" t="e">
        <f>VLOOKUP($A420, TAB_AMORTIZACAO_C[[DIAS_CORRIDOS]:[V_FUT_UTEIS]], L$5, FALSE)</f>
        <v>#N/A</v>
      </c>
    </row>
    <row r="421" spans="1:12" hidden="1">
      <c r="A421" s="19">
        <f t="shared" si="39"/>
        <v>415</v>
      </c>
      <c r="B421" s="20">
        <f t="shared" si="35"/>
        <v>0</v>
      </c>
      <c r="C421" s="21">
        <f t="shared" si="36"/>
        <v>0</v>
      </c>
      <c r="D421" s="22" t="e">
        <f>VLOOKUP($A421, TAB_JUROS_U[[Q_DIAS_U_PARC_TIR]:[V_FUT_U_JURS CENARIO]], D$5, FALSE)</f>
        <v>#N/A</v>
      </c>
      <c r="E421" s="22" t="e">
        <f>VLOOKUP($A421,TAB_CORRECAO_U[[Q_DIAS_U_PARC_TIR]:[V_FUT_U_CORC-02]],E$5, FALSE)</f>
        <v>#N/A</v>
      </c>
      <c r="F421" s="22" t="e">
        <f>VLOOKUP($A421,TAB_AMORTIZACAO_U[[Q_DIAS_U_PARC_TIR]:[V_FUT_U_PCPL-02]], F$5, FALSE)</f>
        <v>#N/A</v>
      </c>
      <c r="H421" s="20">
        <f t="shared" si="37"/>
        <v>0</v>
      </c>
      <c r="I421" s="21">
        <f t="shared" si="38"/>
        <v>0</v>
      </c>
      <c r="J421" s="22" t="e">
        <f>VLOOKUP($A421, TAB_JUROS_C[[DIAS_CORRIDOS]:[V_FUT_UTEIS]], J$5, FALSE)</f>
        <v>#N/A</v>
      </c>
      <c r="K421" s="22" t="e">
        <f>VLOOKUP($A421, TAB_CORRECAO_C[[DIAS_CORRIDOS]:[V_FUT_UTEIS]],K$5, FALSE)</f>
        <v>#N/A</v>
      </c>
      <c r="L421" s="22" t="e">
        <f>VLOOKUP($A421, TAB_AMORTIZACAO_C[[DIAS_CORRIDOS]:[V_FUT_UTEIS]], L$5, FALSE)</f>
        <v>#N/A</v>
      </c>
    </row>
    <row r="422" spans="1:12" hidden="1">
      <c r="A422" s="19">
        <f t="shared" si="39"/>
        <v>416</v>
      </c>
      <c r="B422" s="20">
        <f t="shared" si="35"/>
        <v>0</v>
      </c>
      <c r="C422" s="21">
        <f t="shared" si="36"/>
        <v>0</v>
      </c>
      <c r="D422" s="22" t="e">
        <f>VLOOKUP($A422, TAB_JUROS_U[[Q_DIAS_U_PARC_TIR]:[V_FUT_U_JURS CENARIO]], D$5, FALSE)</f>
        <v>#N/A</v>
      </c>
      <c r="E422" s="22" t="e">
        <f>VLOOKUP($A422,TAB_CORRECAO_U[[Q_DIAS_U_PARC_TIR]:[V_FUT_U_CORC-02]],E$5, FALSE)</f>
        <v>#N/A</v>
      </c>
      <c r="F422" s="22" t="e">
        <f>VLOOKUP($A422,TAB_AMORTIZACAO_U[[Q_DIAS_U_PARC_TIR]:[V_FUT_U_PCPL-02]], F$5, FALSE)</f>
        <v>#N/A</v>
      </c>
      <c r="H422" s="20">
        <f t="shared" si="37"/>
        <v>0</v>
      </c>
      <c r="I422" s="21">
        <f t="shared" si="38"/>
        <v>0</v>
      </c>
      <c r="J422" s="22" t="e">
        <f>VLOOKUP($A422, TAB_JUROS_C[[DIAS_CORRIDOS]:[V_FUT_UTEIS]], J$5, FALSE)</f>
        <v>#N/A</v>
      </c>
      <c r="K422" s="22" t="e">
        <f>VLOOKUP($A422, TAB_CORRECAO_C[[DIAS_CORRIDOS]:[V_FUT_UTEIS]],K$5, FALSE)</f>
        <v>#N/A</v>
      </c>
      <c r="L422" s="22" t="e">
        <f>VLOOKUP($A422, TAB_AMORTIZACAO_C[[DIAS_CORRIDOS]:[V_FUT_UTEIS]], L$5, FALSE)</f>
        <v>#N/A</v>
      </c>
    </row>
    <row r="423" spans="1:12" hidden="1">
      <c r="A423" s="19">
        <f t="shared" si="39"/>
        <v>417</v>
      </c>
      <c r="B423" s="20">
        <f t="shared" si="35"/>
        <v>0</v>
      </c>
      <c r="C423" s="21">
        <f t="shared" si="36"/>
        <v>0</v>
      </c>
      <c r="D423" s="22" t="e">
        <f>VLOOKUP($A423, TAB_JUROS_U[[Q_DIAS_U_PARC_TIR]:[V_FUT_U_JURS CENARIO]], D$5, FALSE)</f>
        <v>#N/A</v>
      </c>
      <c r="E423" s="22" t="e">
        <f>VLOOKUP($A423,TAB_CORRECAO_U[[Q_DIAS_U_PARC_TIR]:[V_FUT_U_CORC-02]],E$5, FALSE)</f>
        <v>#N/A</v>
      </c>
      <c r="F423" s="22" t="e">
        <f>VLOOKUP($A423,TAB_AMORTIZACAO_U[[Q_DIAS_U_PARC_TIR]:[V_FUT_U_PCPL-02]], F$5, FALSE)</f>
        <v>#N/A</v>
      </c>
      <c r="H423" s="20">
        <f t="shared" si="37"/>
        <v>0</v>
      </c>
      <c r="I423" s="21">
        <f t="shared" si="38"/>
        <v>0</v>
      </c>
      <c r="J423" s="22" t="e">
        <f>VLOOKUP($A423, TAB_JUROS_C[[DIAS_CORRIDOS]:[V_FUT_UTEIS]], J$5, FALSE)</f>
        <v>#N/A</v>
      </c>
      <c r="K423" s="22" t="e">
        <f>VLOOKUP($A423, TAB_CORRECAO_C[[DIAS_CORRIDOS]:[V_FUT_UTEIS]],K$5, FALSE)</f>
        <v>#N/A</v>
      </c>
      <c r="L423" s="22" t="e">
        <f>VLOOKUP($A423, TAB_AMORTIZACAO_C[[DIAS_CORRIDOS]:[V_FUT_UTEIS]], L$5, FALSE)</f>
        <v>#N/A</v>
      </c>
    </row>
    <row r="424" spans="1:12" hidden="1">
      <c r="A424" s="19">
        <f t="shared" si="39"/>
        <v>418</v>
      </c>
      <c r="B424" s="20">
        <f t="shared" si="35"/>
        <v>0</v>
      </c>
      <c r="C424" s="21">
        <f t="shared" si="36"/>
        <v>0</v>
      </c>
      <c r="D424" s="22" t="e">
        <f>VLOOKUP($A424, TAB_JUROS_U[[Q_DIAS_U_PARC_TIR]:[V_FUT_U_JURS CENARIO]], D$5, FALSE)</f>
        <v>#N/A</v>
      </c>
      <c r="E424" s="22" t="e">
        <f>VLOOKUP($A424,TAB_CORRECAO_U[[Q_DIAS_U_PARC_TIR]:[V_FUT_U_CORC-02]],E$5, FALSE)</f>
        <v>#N/A</v>
      </c>
      <c r="F424" s="22" t="e">
        <f>VLOOKUP($A424,TAB_AMORTIZACAO_U[[Q_DIAS_U_PARC_TIR]:[V_FUT_U_PCPL-02]], F$5, FALSE)</f>
        <v>#N/A</v>
      </c>
      <c r="H424" s="20">
        <f t="shared" si="37"/>
        <v>0</v>
      </c>
      <c r="I424" s="21">
        <f t="shared" si="38"/>
        <v>0</v>
      </c>
      <c r="J424" s="22" t="e">
        <f>VLOOKUP($A424, TAB_JUROS_C[[DIAS_CORRIDOS]:[V_FUT_UTEIS]], J$5, FALSE)</f>
        <v>#N/A</v>
      </c>
      <c r="K424" s="22" t="e">
        <f>VLOOKUP($A424, TAB_CORRECAO_C[[DIAS_CORRIDOS]:[V_FUT_UTEIS]],K$5, FALSE)</f>
        <v>#N/A</v>
      </c>
      <c r="L424" s="22" t="e">
        <f>VLOOKUP($A424, TAB_AMORTIZACAO_C[[DIAS_CORRIDOS]:[V_FUT_UTEIS]], L$5, FALSE)</f>
        <v>#N/A</v>
      </c>
    </row>
    <row r="425" spans="1:12" hidden="1">
      <c r="A425" s="19">
        <f t="shared" si="39"/>
        <v>419</v>
      </c>
      <c r="B425" s="20">
        <f t="shared" si="35"/>
        <v>0</v>
      </c>
      <c r="C425" s="21">
        <f t="shared" si="36"/>
        <v>0</v>
      </c>
      <c r="D425" s="22" t="e">
        <f>VLOOKUP($A425, TAB_JUROS_U[[Q_DIAS_U_PARC_TIR]:[V_FUT_U_JURS CENARIO]], D$5, FALSE)</f>
        <v>#N/A</v>
      </c>
      <c r="E425" s="22" t="e">
        <f>VLOOKUP($A425,TAB_CORRECAO_U[[Q_DIAS_U_PARC_TIR]:[V_FUT_U_CORC-02]],E$5, FALSE)</f>
        <v>#N/A</v>
      </c>
      <c r="F425" s="22" t="e">
        <f>VLOOKUP($A425,TAB_AMORTIZACAO_U[[Q_DIAS_U_PARC_TIR]:[V_FUT_U_PCPL-02]], F$5, FALSE)</f>
        <v>#N/A</v>
      </c>
      <c r="H425" s="20">
        <f t="shared" si="37"/>
        <v>0</v>
      </c>
      <c r="I425" s="21">
        <f t="shared" si="38"/>
        <v>0</v>
      </c>
      <c r="J425" s="22" t="e">
        <f>VLOOKUP($A425, TAB_JUROS_C[[DIAS_CORRIDOS]:[V_FUT_UTEIS]], J$5, FALSE)</f>
        <v>#N/A</v>
      </c>
      <c r="K425" s="22" t="e">
        <f>VLOOKUP($A425, TAB_CORRECAO_C[[DIAS_CORRIDOS]:[V_FUT_UTEIS]],K$5, FALSE)</f>
        <v>#N/A</v>
      </c>
      <c r="L425" s="22" t="e">
        <f>VLOOKUP($A425, TAB_AMORTIZACAO_C[[DIAS_CORRIDOS]:[V_FUT_UTEIS]], L$5, FALSE)</f>
        <v>#N/A</v>
      </c>
    </row>
    <row r="426" spans="1:12" hidden="1">
      <c r="A426" s="19">
        <f t="shared" si="39"/>
        <v>420</v>
      </c>
      <c r="B426" s="20">
        <f t="shared" si="35"/>
        <v>0</v>
      </c>
      <c r="C426" s="21">
        <f t="shared" si="36"/>
        <v>0</v>
      </c>
      <c r="D426" s="22" t="e">
        <f>VLOOKUP($A426, TAB_JUROS_U[[Q_DIAS_U_PARC_TIR]:[V_FUT_U_JURS CENARIO]], D$5, FALSE)</f>
        <v>#N/A</v>
      </c>
      <c r="E426" s="22" t="e">
        <f>VLOOKUP($A426,TAB_CORRECAO_U[[Q_DIAS_U_PARC_TIR]:[V_FUT_U_CORC-02]],E$5, FALSE)</f>
        <v>#N/A</v>
      </c>
      <c r="F426" s="22" t="e">
        <f>VLOOKUP($A426,TAB_AMORTIZACAO_U[[Q_DIAS_U_PARC_TIR]:[V_FUT_U_PCPL-02]], F$5, FALSE)</f>
        <v>#N/A</v>
      </c>
      <c r="H426" s="20">
        <f t="shared" si="37"/>
        <v>0</v>
      </c>
      <c r="I426" s="21">
        <f t="shared" si="38"/>
        <v>0</v>
      </c>
      <c r="J426" s="22" t="e">
        <f>VLOOKUP($A426, TAB_JUROS_C[[DIAS_CORRIDOS]:[V_FUT_UTEIS]], J$5, FALSE)</f>
        <v>#N/A</v>
      </c>
      <c r="K426" s="22" t="e">
        <f>VLOOKUP($A426, TAB_CORRECAO_C[[DIAS_CORRIDOS]:[V_FUT_UTEIS]],K$5, FALSE)</f>
        <v>#N/A</v>
      </c>
      <c r="L426" s="22" t="e">
        <f>VLOOKUP($A426, TAB_AMORTIZACAO_C[[DIAS_CORRIDOS]:[V_FUT_UTEIS]], L$5, FALSE)</f>
        <v>#N/A</v>
      </c>
    </row>
    <row r="427" spans="1:12" hidden="1">
      <c r="A427" s="19">
        <f t="shared" si="39"/>
        <v>421</v>
      </c>
      <c r="B427" s="20">
        <f t="shared" si="35"/>
        <v>0</v>
      </c>
      <c r="C427" s="21">
        <f t="shared" si="36"/>
        <v>0</v>
      </c>
      <c r="D427" s="22" t="e">
        <f>VLOOKUP($A427, TAB_JUROS_U[[Q_DIAS_U_PARC_TIR]:[V_FUT_U_JURS CENARIO]], D$5, FALSE)</f>
        <v>#N/A</v>
      </c>
      <c r="E427" s="22" t="e">
        <f>VLOOKUP($A427,TAB_CORRECAO_U[[Q_DIAS_U_PARC_TIR]:[V_FUT_U_CORC-02]],E$5, FALSE)</f>
        <v>#N/A</v>
      </c>
      <c r="F427" s="22" t="e">
        <f>VLOOKUP($A427,TAB_AMORTIZACAO_U[[Q_DIAS_U_PARC_TIR]:[V_FUT_U_PCPL-02]], F$5, FALSE)</f>
        <v>#N/A</v>
      </c>
      <c r="H427" s="20">
        <f t="shared" si="37"/>
        <v>0</v>
      </c>
      <c r="I427" s="21">
        <f t="shared" si="38"/>
        <v>0</v>
      </c>
      <c r="J427" s="22" t="e">
        <f>VLOOKUP($A427, TAB_JUROS_C[[DIAS_CORRIDOS]:[V_FUT_UTEIS]], J$5, FALSE)</f>
        <v>#N/A</v>
      </c>
      <c r="K427" s="22" t="e">
        <f>VLOOKUP($A427, TAB_CORRECAO_C[[DIAS_CORRIDOS]:[V_FUT_UTEIS]],K$5, FALSE)</f>
        <v>#N/A</v>
      </c>
      <c r="L427" s="22" t="e">
        <f>VLOOKUP($A427, TAB_AMORTIZACAO_C[[DIAS_CORRIDOS]:[V_FUT_UTEIS]], L$5, FALSE)</f>
        <v>#N/A</v>
      </c>
    </row>
    <row r="428" spans="1:12" hidden="1">
      <c r="A428" s="19">
        <f t="shared" si="39"/>
        <v>422</v>
      </c>
      <c r="B428" s="20">
        <f t="shared" si="35"/>
        <v>0</v>
      </c>
      <c r="C428" s="21">
        <f t="shared" si="36"/>
        <v>0</v>
      </c>
      <c r="D428" s="22" t="e">
        <f>VLOOKUP($A428, TAB_JUROS_U[[Q_DIAS_U_PARC_TIR]:[V_FUT_U_JURS CENARIO]], D$5, FALSE)</f>
        <v>#N/A</v>
      </c>
      <c r="E428" s="22" t="e">
        <f>VLOOKUP($A428,TAB_CORRECAO_U[[Q_DIAS_U_PARC_TIR]:[V_FUT_U_CORC-02]],E$5, FALSE)</f>
        <v>#N/A</v>
      </c>
      <c r="F428" s="22" t="e">
        <f>VLOOKUP($A428,TAB_AMORTIZACAO_U[[Q_DIAS_U_PARC_TIR]:[V_FUT_U_PCPL-02]], F$5, FALSE)</f>
        <v>#N/A</v>
      </c>
      <c r="H428" s="20">
        <f t="shared" si="37"/>
        <v>0</v>
      </c>
      <c r="I428" s="21">
        <f t="shared" si="38"/>
        <v>0</v>
      </c>
      <c r="J428" s="22" t="e">
        <f>VLOOKUP($A428, TAB_JUROS_C[[DIAS_CORRIDOS]:[V_FUT_UTEIS]], J$5, FALSE)</f>
        <v>#N/A</v>
      </c>
      <c r="K428" s="22" t="e">
        <f>VLOOKUP($A428, TAB_CORRECAO_C[[DIAS_CORRIDOS]:[V_FUT_UTEIS]],K$5, FALSE)</f>
        <v>#N/A</v>
      </c>
      <c r="L428" s="22" t="e">
        <f>VLOOKUP($A428, TAB_AMORTIZACAO_C[[DIAS_CORRIDOS]:[V_FUT_UTEIS]], L$5, FALSE)</f>
        <v>#N/A</v>
      </c>
    </row>
    <row r="429" spans="1:12" hidden="1">
      <c r="A429" s="19">
        <f t="shared" si="39"/>
        <v>423</v>
      </c>
      <c r="B429" s="20">
        <f t="shared" si="35"/>
        <v>0</v>
      </c>
      <c r="C429" s="21">
        <f t="shared" si="36"/>
        <v>0</v>
      </c>
      <c r="D429" s="22" t="e">
        <f>VLOOKUP($A429, TAB_JUROS_U[[Q_DIAS_U_PARC_TIR]:[V_FUT_U_JURS CENARIO]], D$5, FALSE)</f>
        <v>#N/A</v>
      </c>
      <c r="E429" s="22" t="e">
        <f>VLOOKUP($A429,TAB_CORRECAO_U[[Q_DIAS_U_PARC_TIR]:[V_FUT_U_CORC-02]],E$5, FALSE)</f>
        <v>#N/A</v>
      </c>
      <c r="F429" s="22" t="e">
        <f>VLOOKUP($A429,TAB_AMORTIZACAO_U[[Q_DIAS_U_PARC_TIR]:[V_FUT_U_PCPL-02]], F$5, FALSE)</f>
        <v>#N/A</v>
      </c>
      <c r="H429" s="20">
        <f t="shared" si="37"/>
        <v>0</v>
      </c>
      <c r="I429" s="21">
        <f t="shared" si="38"/>
        <v>0</v>
      </c>
      <c r="J429" s="22" t="e">
        <f>VLOOKUP($A429, TAB_JUROS_C[[DIAS_CORRIDOS]:[V_FUT_UTEIS]], J$5, FALSE)</f>
        <v>#N/A</v>
      </c>
      <c r="K429" s="22" t="e">
        <f>VLOOKUP($A429, TAB_CORRECAO_C[[DIAS_CORRIDOS]:[V_FUT_UTEIS]],K$5, FALSE)</f>
        <v>#N/A</v>
      </c>
      <c r="L429" s="22" t="e">
        <f>VLOOKUP($A429, TAB_AMORTIZACAO_C[[DIAS_CORRIDOS]:[V_FUT_UTEIS]], L$5, FALSE)</f>
        <v>#N/A</v>
      </c>
    </row>
    <row r="430" spans="1:12" hidden="1">
      <c r="A430" s="19">
        <f t="shared" si="39"/>
        <v>424</v>
      </c>
      <c r="B430" s="20">
        <f t="shared" si="35"/>
        <v>0</v>
      </c>
      <c r="C430" s="21">
        <f t="shared" si="36"/>
        <v>0</v>
      </c>
      <c r="D430" s="22" t="e">
        <f>VLOOKUP($A430, TAB_JUROS_U[[Q_DIAS_U_PARC_TIR]:[V_FUT_U_JURS CENARIO]], D$5, FALSE)</f>
        <v>#N/A</v>
      </c>
      <c r="E430" s="22" t="e">
        <f>VLOOKUP($A430,TAB_CORRECAO_U[[Q_DIAS_U_PARC_TIR]:[V_FUT_U_CORC-02]],E$5, FALSE)</f>
        <v>#N/A</v>
      </c>
      <c r="F430" s="22" t="e">
        <f>VLOOKUP($A430,TAB_AMORTIZACAO_U[[Q_DIAS_U_PARC_TIR]:[V_FUT_U_PCPL-02]], F$5, FALSE)</f>
        <v>#N/A</v>
      </c>
      <c r="H430" s="20">
        <f t="shared" si="37"/>
        <v>0</v>
      </c>
      <c r="I430" s="21">
        <f t="shared" si="38"/>
        <v>0</v>
      </c>
      <c r="J430" s="22" t="e">
        <f>VLOOKUP($A430, TAB_JUROS_C[[DIAS_CORRIDOS]:[V_FUT_UTEIS]], J$5, FALSE)</f>
        <v>#N/A</v>
      </c>
      <c r="K430" s="22" t="e">
        <f>VLOOKUP($A430, TAB_CORRECAO_C[[DIAS_CORRIDOS]:[V_FUT_UTEIS]],K$5, FALSE)</f>
        <v>#N/A</v>
      </c>
      <c r="L430" s="22" t="e">
        <f>VLOOKUP($A430, TAB_AMORTIZACAO_C[[DIAS_CORRIDOS]:[V_FUT_UTEIS]], L$5, FALSE)</f>
        <v>#N/A</v>
      </c>
    </row>
    <row r="431" spans="1:12" hidden="1">
      <c r="A431" s="19">
        <f t="shared" si="39"/>
        <v>425</v>
      </c>
      <c r="B431" s="20">
        <f t="shared" si="35"/>
        <v>0</v>
      </c>
      <c r="C431" s="21">
        <f t="shared" si="36"/>
        <v>0</v>
      </c>
      <c r="D431" s="22" t="e">
        <f>VLOOKUP($A431, TAB_JUROS_U[[Q_DIAS_U_PARC_TIR]:[V_FUT_U_JURS CENARIO]], D$5, FALSE)</f>
        <v>#N/A</v>
      </c>
      <c r="E431" s="22" t="e">
        <f>VLOOKUP($A431,TAB_CORRECAO_U[[Q_DIAS_U_PARC_TIR]:[V_FUT_U_CORC-02]],E$5, FALSE)</f>
        <v>#N/A</v>
      </c>
      <c r="F431" s="22" t="e">
        <f>VLOOKUP($A431,TAB_AMORTIZACAO_U[[Q_DIAS_U_PARC_TIR]:[V_FUT_U_PCPL-02]], F$5, FALSE)</f>
        <v>#N/A</v>
      </c>
      <c r="H431" s="20">
        <f t="shared" si="37"/>
        <v>0</v>
      </c>
      <c r="I431" s="21">
        <f t="shared" si="38"/>
        <v>0</v>
      </c>
      <c r="J431" s="22" t="e">
        <f>VLOOKUP($A431, TAB_JUROS_C[[DIAS_CORRIDOS]:[V_FUT_UTEIS]], J$5, FALSE)</f>
        <v>#N/A</v>
      </c>
      <c r="K431" s="22" t="e">
        <f>VLOOKUP($A431, TAB_CORRECAO_C[[DIAS_CORRIDOS]:[V_FUT_UTEIS]],K$5, FALSE)</f>
        <v>#N/A</v>
      </c>
      <c r="L431" s="22" t="e">
        <f>VLOOKUP($A431, TAB_AMORTIZACAO_C[[DIAS_CORRIDOS]:[V_FUT_UTEIS]], L$5, FALSE)</f>
        <v>#N/A</v>
      </c>
    </row>
    <row r="432" spans="1:12" hidden="1">
      <c r="A432" s="19">
        <f t="shared" si="39"/>
        <v>426</v>
      </c>
      <c r="B432" s="20">
        <f t="shared" si="35"/>
        <v>0</v>
      </c>
      <c r="C432" s="21">
        <f t="shared" si="36"/>
        <v>0</v>
      </c>
      <c r="D432" s="22" t="e">
        <f>VLOOKUP($A432, TAB_JUROS_U[[Q_DIAS_U_PARC_TIR]:[V_FUT_U_JURS CENARIO]], D$5, FALSE)</f>
        <v>#N/A</v>
      </c>
      <c r="E432" s="22" t="e">
        <f>VLOOKUP($A432,TAB_CORRECAO_U[[Q_DIAS_U_PARC_TIR]:[V_FUT_U_CORC-02]],E$5, FALSE)</f>
        <v>#N/A</v>
      </c>
      <c r="F432" s="22" t="e">
        <f>VLOOKUP($A432,TAB_AMORTIZACAO_U[[Q_DIAS_U_PARC_TIR]:[V_FUT_U_PCPL-02]], F$5, FALSE)</f>
        <v>#N/A</v>
      </c>
      <c r="H432" s="20">
        <f t="shared" si="37"/>
        <v>0</v>
      </c>
      <c r="I432" s="21">
        <f t="shared" si="38"/>
        <v>0</v>
      </c>
      <c r="J432" s="22" t="e">
        <f>VLOOKUP($A432, TAB_JUROS_C[[DIAS_CORRIDOS]:[V_FUT_UTEIS]], J$5, FALSE)</f>
        <v>#N/A</v>
      </c>
      <c r="K432" s="22" t="e">
        <f>VLOOKUP($A432, TAB_CORRECAO_C[[DIAS_CORRIDOS]:[V_FUT_UTEIS]],K$5, FALSE)</f>
        <v>#N/A</v>
      </c>
      <c r="L432" s="22" t="e">
        <f>VLOOKUP($A432, TAB_AMORTIZACAO_C[[DIAS_CORRIDOS]:[V_FUT_UTEIS]], L$5, FALSE)</f>
        <v>#N/A</v>
      </c>
    </row>
    <row r="433" spans="1:12" hidden="1">
      <c r="A433" s="19">
        <f t="shared" si="39"/>
        <v>427</v>
      </c>
      <c r="B433" s="20">
        <f t="shared" si="35"/>
        <v>0</v>
      </c>
      <c r="C433" s="21">
        <f t="shared" si="36"/>
        <v>0</v>
      </c>
      <c r="D433" s="22" t="e">
        <f>VLOOKUP($A433, TAB_JUROS_U[[Q_DIAS_U_PARC_TIR]:[V_FUT_U_JURS CENARIO]], D$5, FALSE)</f>
        <v>#N/A</v>
      </c>
      <c r="E433" s="22" t="e">
        <f>VLOOKUP($A433,TAB_CORRECAO_U[[Q_DIAS_U_PARC_TIR]:[V_FUT_U_CORC-02]],E$5, FALSE)</f>
        <v>#N/A</v>
      </c>
      <c r="F433" s="22" t="e">
        <f>VLOOKUP($A433,TAB_AMORTIZACAO_U[[Q_DIAS_U_PARC_TIR]:[V_FUT_U_PCPL-02]], F$5, FALSE)</f>
        <v>#N/A</v>
      </c>
      <c r="H433" s="20">
        <f t="shared" si="37"/>
        <v>0</v>
      </c>
      <c r="I433" s="21">
        <f t="shared" si="38"/>
        <v>0</v>
      </c>
      <c r="J433" s="22" t="e">
        <f>VLOOKUP($A433, TAB_JUROS_C[[DIAS_CORRIDOS]:[V_FUT_UTEIS]], J$5, FALSE)</f>
        <v>#N/A</v>
      </c>
      <c r="K433" s="22" t="e">
        <f>VLOOKUP($A433, TAB_CORRECAO_C[[DIAS_CORRIDOS]:[V_FUT_UTEIS]],K$5, FALSE)</f>
        <v>#N/A</v>
      </c>
      <c r="L433" s="22" t="e">
        <f>VLOOKUP($A433, TAB_AMORTIZACAO_C[[DIAS_CORRIDOS]:[V_FUT_UTEIS]], L$5, FALSE)</f>
        <v>#N/A</v>
      </c>
    </row>
    <row r="434" spans="1:12" hidden="1">
      <c r="A434" s="19">
        <f t="shared" si="39"/>
        <v>428</v>
      </c>
      <c r="B434" s="20">
        <f t="shared" si="35"/>
        <v>0</v>
      </c>
      <c r="C434" s="21">
        <f t="shared" si="36"/>
        <v>0</v>
      </c>
      <c r="D434" s="22" t="e">
        <f>VLOOKUP($A434, TAB_JUROS_U[[Q_DIAS_U_PARC_TIR]:[V_FUT_U_JURS CENARIO]], D$5, FALSE)</f>
        <v>#N/A</v>
      </c>
      <c r="E434" s="22" t="e">
        <f>VLOOKUP($A434,TAB_CORRECAO_U[[Q_DIAS_U_PARC_TIR]:[V_FUT_U_CORC-02]],E$5, FALSE)</f>
        <v>#N/A</v>
      </c>
      <c r="F434" s="22" t="e">
        <f>VLOOKUP($A434,TAB_AMORTIZACAO_U[[Q_DIAS_U_PARC_TIR]:[V_FUT_U_PCPL-02]], F$5, FALSE)</f>
        <v>#N/A</v>
      </c>
      <c r="H434" s="20">
        <f t="shared" si="37"/>
        <v>0</v>
      </c>
      <c r="I434" s="21">
        <f t="shared" si="38"/>
        <v>0</v>
      </c>
      <c r="J434" s="22" t="e">
        <f>VLOOKUP($A434, TAB_JUROS_C[[DIAS_CORRIDOS]:[V_FUT_UTEIS]], J$5, FALSE)</f>
        <v>#N/A</v>
      </c>
      <c r="K434" s="22" t="e">
        <f>VLOOKUP($A434, TAB_CORRECAO_C[[DIAS_CORRIDOS]:[V_FUT_UTEIS]],K$5, FALSE)</f>
        <v>#N/A</v>
      </c>
      <c r="L434" s="22" t="e">
        <f>VLOOKUP($A434, TAB_AMORTIZACAO_C[[DIAS_CORRIDOS]:[V_FUT_UTEIS]], L$5, FALSE)</f>
        <v>#N/A</v>
      </c>
    </row>
    <row r="435" spans="1:12" hidden="1">
      <c r="A435" s="19">
        <f t="shared" si="39"/>
        <v>429</v>
      </c>
      <c r="B435" s="20">
        <f t="shared" si="35"/>
        <v>0</v>
      </c>
      <c r="C435" s="21">
        <f t="shared" si="36"/>
        <v>0</v>
      </c>
      <c r="D435" s="22" t="e">
        <f>VLOOKUP($A435, TAB_JUROS_U[[Q_DIAS_U_PARC_TIR]:[V_FUT_U_JURS CENARIO]], D$5, FALSE)</f>
        <v>#N/A</v>
      </c>
      <c r="E435" s="22" t="e">
        <f>VLOOKUP($A435,TAB_CORRECAO_U[[Q_DIAS_U_PARC_TIR]:[V_FUT_U_CORC-02]],E$5, FALSE)</f>
        <v>#N/A</v>
      </c>
      <c r="F435" s="22" t="e">
        <f>VLOOKUP($A435,TAB_AMORTIZACAO_U[[Q_DIAS_U_PARC_TIR]:[V_FUT_U_PCPL-02]], F$5, FALSE)</f>
        <v>#N/A</v>
      </c>
      <c r="H435" s="20">
        <f t="shared" si="37"/>
        <v>0</v>
      </c>
      <c r="I435" s="21">
        <f t="shared" si="38"/>
        <v>0</v>
      </c>
      <c r="J435" s="22" t="e">
        <f>VLOOKUP($A435, TAB_JUROS_C[[DIAS_CORRIDOS]:[V_FUT_UTEIS]], J$5, FALSE)</f>
        <v>#N/A</v>
      </c>
      <c r="K435" s="22" t="e">
        <f>VLOOKUP($A435, TAB_CORRECAO_C[[DIAS_CORRIDOS]:[V_FUT_UTEIS]],K$5, FALSE)</f>
        <v>#N/A</v>
      </c>
      <c r="L435" s="22" t="e">
        <f>VLOOKUP($A435, TAB_AMORTIZACAO_C[[DIAS_CORRIDOS]:[V_FUT_UTEIS]], L$5, FALSE)</f>
        <v>#N/A</v>
      </c>
    </row>
    <row r="436" spans="1:12" hidden="1">
      <c r="A436" s="19">
        <f t="shared" si="39"/>
        <v>430</v>
      </c>
      <c r="B436" s="20">
        <f t="shared" si="35"/>
        <v>0</v>
      </c>
      <c r="C436" s="21">
        <f t="shared" si="36"/>
        <v>0</v>
      </c>
      <c r="D436" s="22" t="e">
        <f>VLOOKUP($A436, TAB_JUROS_U[[Q_DIAS_U_PARC_TIR]:[V_FUT_U_JURS CENARIO]], D$5, FALSE)</f>
        <v>#N/A</v>
      </c>
      <c r="E436" s="22" t="e">
        <f>VLOOKUP($A436,TAB_CORRECAO_U[[Q_DIAS_U_PARC_TIR]:[V_FUT_U_CORC-02]],E$5, FALSE)</f>
        <v>#N/A</v>
      </c>
      <c r="F436" s="22" t="e">
        <f>VLOOKUP($A436,TAB_AMORTIZACAO_U[[Q_DIAS_U_PARC_TIR]:[V_FUT_U_PCPL-02]], F$5, FALSE)</f>
        <v>#N/A</v>
      </c>
      <c r="H436" s="20">
        <f t="shared" si="37"/>
        <v>0</v>
      </c>
      <c r="I436" s="21">
        <f t="shared" si="38"/>
        <v>0</v>
      </c>
      <c r="J436" s="22" t="e">
        <f>VLOOKUP($A436, TAB_JUROS_C[[DIAS_CORRIDOS]:[V_FUT_UTEIS]], J$5, FALSE)</f>
        <v>#N/A</v>
      </c>
      <c r="K436" s="22" t="e">
        <f>VLOOKUP($A436, TAB_CORRECAO_C[[DIAS_CORRIDOS]:[V_FUT_UTEIS]],K$5, FALSE)</f>
        <v>#N/A</v>
      </c>
      <c r="L436" s="22" t="e">
        <f>VLOOKUP($A436, TAB_AMORTIZACAO_C[[DIAS_CORRIDOS]:[V_FUT_UTEIS]], L$5, FALSE)</f>
        <v>#N/A</v>
      </c>
    </row>
    <row r="437" spans="1:12" hidden="1">
      <c r="A437" s="19">
        <f t="shared" si="39"/>
        <v>431</v>
      </c>
      <c r="B437" s="20">
        <f t="shared" si="35"/>
        <v>0</v>
      </c>
      <c r="C437" s="21">
        <f t="shared" si="36"/>
        <v>0</v>
      </c>
      <c r="D437" s="22" t="e">
        <f>VLOOKUP($A437, TAB_JUROS_U[[Q_DIAS_U_PARC_TIR]:[V_FUT_U_JURS CENARIO]], D$5, FALSE)</f>
        <v>#N/A</v>
      </c>
      <c r="E437" s="22" t="e">
        <f>VLOOKUP($A437,TAB_CORRECAO_U[[Q_DIAS_U_PARC_TIR]:[V_FUT_U_CORC-02]],E$5, FALSE)</f>
        <v>#N/A</v>
      </c>
      <c r="F437" s="22" t="e">
        <f>VLOOKUP($A437,TAB_AMORTIZACAO_U[[Q_DIAS_U_PARC_TIR]:[V_FUT_U_PCPL-02]], F$5, FALSE)</f>
        <v>#N/A</v>
      </c>
      <c r="H437" s="20">
        <f t="shared" si="37"/>
        <v>0</v>
      </c>
      <c r="I437" s="21">
        <f t="shared" si="38"/>
        <v>0</v>
      </c>
      <c r="J437" s="22" t="e">
        <f>VLOOKUP($A437, TAB_JUROS_C[[DIAS_CORRIDOS]:[V_FUT_UTEIS]], J$5, FALSE)</f>
        <v>#N/A</v>
      </c>
      <c r="K437" s="22" t="e">
        <f>VLOOKUP($A437, TAB_CORRECAO_C[[DIAS_CORRIDOS]:[V_FUT_UTEIS]],K$5, FALSE)</f>
        <v>#N/A</v>
      </c>
      <c r="L437" s="22" t="e">
        <f>VLOOKUP($A437, TAB_AMORTIZACAO_C[[DIAS_CORRIDOS]:[V_FUT_UTEIS]], L$5, FALSE)</f>
        <v>#N/A</v>
      </c>
    </row>
    <row r="438" spans="1:12">
      <c r="A438" s="19">
        <f t="shared" si="39"/>
        <v>432</v>
      </c>
      <c r="B438" s="20">
        <f t="shared" si="35"/>
        <v>1686.3542701237361</v>
      </c>
      <c r="C438" s="21">
        <f t="shared" si="36"/>
        <v>1686.3542701237361</v>
      </c>
      <c r="D438" s="22">
        <f>VLOOKUP($A438, TAB_JUROS_U[[Q_DIAS_U_PARC_TIR]:[V_FUT_U_JURS CENARIO]], D$5, FALSE)</f>
        <v>143.90533007628321</v>
      </c>
      <c r="E438" s="22">
        <f>VLOOKUP($A438,TAB_CORRECAO_U[[Q_DIAS_U_PARC_TIR]:[V_FUT_U_CORC-02]],E$5, FALSE)</f>
        <v>906.40696768115436</v>
      </c>
      <c r="F438" s="22">
        <f>VLOOKUP($A438,TAB_AMORTIZACAO_U[[Q_DIAS_U_PARC_TIR]:[V_FUT_U_PCPL-02]], F$5, FALSE)</f>
        <v>636.04197236629864</v>
      </c>
      <c r="H438" s="20">
        <f t="shared" si="37"/>
        <v>0</v>
      </c>
      <c r="I438" s="21">
        <f t="shared" si="38"/>
        <v>0</v>
      </c>
      <c r="J438" s="22" t="e">
        <f>VLOOKUP($A438, TAB_JUROS_C[[DIAS_CORRIDOS]:[V_FUT_UTEIS]], J$5, FALSE)</f>
        <v>#N/A</v>
      </c>
      <c r="K438" s="22" t="e">
        <f>VLOOKUP($A438, TAB_CORRECAO_C[[DIAS_CORRIDOS]:[V_FUT_UTEIS]],K$5, FALSE)</f>
        <v>#N/A</v>
      </c>
      <c r="L438" s="22" t="e">
        <f>VLOOKUP($A438, TAB_AMORTIZACAO_C[[DIAS_CORRIDOS]:[V_FUT_UTEIS]], L$5, FALSE)</f>
        <v>#N/A</v>
      </c>
    </row>
    <row r="439" spans="1:12" hidden="1">
      <c r="A439" s="19">
        <f t="shared" si="39"/>
        <v>433</v>
      </c>
      <c r="B439" s="20">
        <f t="shared" si="35"/>
        <v>0</v>
      </c>
      <c r="C439" s="21">
        <f t="shared" si="36"/>
        <v>0</v>
      </c>
      <c r="D439" s="22" t="e">
        <f>VLOOKUP($A439, TAB_JUROS_U[[Q_DIAS_U_PARC_TIR]:[V_FUT_U_JURS CENARIO]], D$5, FALSE)</f>
        <v>#N/A</v>
      </c>
      <c r="E439" s="22" t="e">
        <f>VLOOKUP($A439,TAB_CORRECAO_U[[Q_DIAS_U_PARC_TIR]:[V_FUT_U_CORC-02]],E$5, FALSE)</f>
        <v>#N/A</v>
      </c>
      <c r="F439" s="22" t="e">
        <f>VLOOKUP($A439,TAB_AMORTIZACAO_U[[Q_DIAS_U_PARC_TIR]:[V_FUT_U_PCPL-02]], F$5, FALSE)</f>
        <v>#N/A</v>
      </c>
      <c r="H439" s="20">
        <f t="shared" si="37"/>
        <v>0</v>
      </c>
      <c r="I439" s="21">
        <f t="shared" si="38"/>
        <v>0</v>
      </c>
      <c r="J439" s="22" t="e">
        <f>VLOOKUP($A439, TAB_JUROS_C[[DIAS_CORRIDOS]:[V_FUT_UTEIS]], J$5, FALSE)</f>
        <v>#N/A</v>
      </c>
      <c r="K439" s="22" t="e">
        <f>VLOOKUP($A439, TAB_CORRECAO_C[[DIAS_CORRIDOS]:[V_FUT_UTEIS]],K$5, FALSE)</f>
        <v>#N/A</v>
      </c>
      <c r="L439" s="22" t="e">
        <f>VLOOKUP($A439, TAB_AMORTIZACAO_C[[DIAS_CORRIDOS]:[V_FUT_UTEIS]], L$5, FALSE)</f>
        <v>#N/A</v>
      </c>
    </row>
    <row r="440" spans="1:12" hidden="1">
      <c r="A440" s="19">
        <f t="shared" si="39"/>
        <v>434</v>
      </c>
      <c r="B440" s="20">
        <f t="shared" si="35"/>
        <v>0</v>
      </c>
      <c r="C440" s="21">
        <f t="shared" si="36"/>
        <v>0</v>
      </c>
      <c r="D440" s="22" t="e">
        <f>VLOOKUP($A440, TAB_JUROS_U[[Q_DIAS_U_PARC_TIR]:[V_FUT_U_JURS CENARIO]], D$5, FALSE)</f>
        <v>#N/A</v>
      </c>
      <c r="E440" s="22" t="e">
        <f>VLOOKUP($A440,TAB_CORRECAO_U[[Q_DIAS_U_PARC_TIR]:[V_FUT_U_CORC-02]],E$5, FALSE)</f>
        <v>#N/A</v>
      </c>
      <c r="F440" s="22" t="e">
        <f>VLOOKUP($A440,TAB_AMORTIZACAO_U[[Q_DIAS_U_PARC_TIR]:[V_FUT_U_PCPL-02]], F$5, FALSE)</f>
        <v>#N/A</v>
      </c>
      <c r="H440" s="20">
        <f t="shared" si="37"/>
        <v>0</v>
      </c>
      <c r="I440" s="21">
        <f t="shared" si="38"/>
        <v>0</v>
      </c>
      <c r="J440" s="22" t="e">
        <f>VLOOKUP($A440, TAB_JUROS_C[[DIAS_CORRIDOS]:[V_FUT_UTEIS]], J$5, FALSE)</f>
        <v>#N/A</v>
      </c>
      <c r="K440" s="22" t="e">
        <f>VLOOKUP($A440, TAB_CORRECAO_C[[DIAS_CORRIDOS]:[V_FUT_UTEIS]],K$5, FALSE)</f>
        <v>#N/A</v>
      </c>
      <c r="L440" s="22" t="e">
        <f>VLOOKUP($A440, TAB_AMORTIZACAO_C[[DIAS_CORRIDOS]:[V_FUT_UTEIS]], L$5, FALSE)</f>
        <v>#N/A</v>
      </c>
    </row>
    <row r="441" spans="1:12" hidden="1">
      <c r="A441" s="19">
        <f t="shared" si="39"/>
        <v>435</v>
      </c>
      <c r="B441" s="20">
        <f t="shared" si="35"/>
        <v>0</v>
      </c>
      <c r="C441" s="21">
        <f t="shared" si="36"/>
        <v>0</v>
      </c>
      <c r="D441" s="22" t="e">
        <f>VLOOKUP($A441, TAB_JUROS_U[[Q_DIAS_U_PARC_TIR]:[V_FUT_U_JURS CENARIO]], D$5, FALSE)</f>
        <v>#N/A</v>
      </c>
      <c r="E441" s="22" t="e">
        <f>VLOOKUP($A441,TAB_CORRECAO_U[[Q_DIAS_U_PARC_TIR]:[V_FUT_U_CORC-02]],E$5, FALSE)</f>
        <v>#N/A</v>
      </c>
      <c r="F441" s="22" t="e">
        <f>VLOOKUP($A441,TAB_AMORTIZACAO_U[[Q_DIAS_U_PARC_TIR]:[V_FUT_U_PCPL-02]], F$5, FALSE)</f>
        <v>#N/A</v>
      </c>
      <c r="H441" s="20">
        <f t="shared" si="37"/>
        <v>0</v>
      </c>
      <c r="I441" s="21">
        <f t="shared" si="38"/>
        <v>0</v>
      </c>
      <c r="J441" s="22" t="e">
        <f>VLOOKUP($A441, TAB_JUROS_C[[DIAS_CORRIDOS]:[V_FUT_UTEIS]], J$5, FALSE)</f>
        <v>#N/A</v>
      </c>
      <c r="K441" s="22" t="e">
        <f>VLOOKUP($A441, TAB_CORRECAO_C[[DIAS_CORRIDOS]:[V_FUT_UTEIS]],K$5, FALSE)</f>
        <v>#N/A</v>
      </c>
      <c r="L441" s="22" t="e">
        <f>VLOOKUP($A441, TAB_AMORTIZACAO_C[[DIAS_CORRIDOS]:[V_FUT_UTEIS]], L$5, FALSE)</f>
        <v>#N/A</v>
      </c>
    </row>
    <row r="442" spans="1:12" hidden="1">
      <c r="A442" s="19">
        <f t="shared" si="39"/>
        <v>436</v>
      </c>
      <c r="B442" s="20">
        <f t="shared" si="35"/>
        <v>0</v>
      </c>
      <c r="C442" s="21">
        <f t="shared" si="36"/>
        <v>0</v>
      </c>
      <c r="D442" s="22" t="e">
        <f>VLOOKUP($A442, TAB_JUROS_U[[Q_DIAS_U_PARC_TIR]:[V_FUT_U_JURS CENARIO]], D$5, FALSE)</f>
        <v>#N/A</v>
      </c>
      <c r="E442" s="22" t="e">
        <f>VLOOKUP($A442,TAB_CORRECAO_U[[Q_DIAS_U_PARC_TIR]:[V_FUT_U_CORC-02]],E$5, FALSE)</f>
        <v>#N/A</v>
      </c>
      <c r="F442" s="22" t="e">
        <f>VLOOKUP($A442,TAB_AMORTIZACAO_U[[Q_DIAS_U_PARC_TIR]:[V_FUT_U_PCPL-02]], F$5, FALSE)</f>
        <v>#N/A</v>
      </c>
      <c r="H442" s="20">
        <f t="shared" si="37"/>
        <v>1744.4964789787107</v>
      </c>
      <c r="I442" s="21">
        <f t="shared" si="38"/>
        <v>1744.4964789787107</v>
      </c>
      <c r="J442" s="22">
        <f>VLOOKUP($A442, TAB_JUROS_C[[DIAS_CORRIDOS]:[V_FUT_UTEIS]], J$5, FALSE)</f>
        <v>129.66795182813027</v>
      </c>
      <c r="K442" s="22">
        <f>VLOOKUP($A442, TAB_CORRECAO_C[[DIAS_CORRIDOS]:[V_FUT_UTEIS]],K$5, FALSE)</f>
        <v>830.13656089364861</v>
      </c>
      <c r="L442" s="22">
        <f>VLOOKUP($A442, TAB_AMORTIZACAO_C[[DIAS_CORRIDOS]:[V_FUT_UTEIS]], L$5, FALSE)</f>
        <v>784.69196625693178</v>
      </c>
    </row>
    <row r="443" spans="1:12" hidden="1">
      <c r="A443" s="19">
        <f t="shared" si="39"/>
        <v>437</v>
      </c>
      <c r="B443" s="20">
        <f t="shared" si="35"/>
        <v>0</v>
      </c>
      <c r="C443" s="21">
        <f t="shared" si="36"/>
        <v>0</v>
      </c>
      <c r="D443" s="22" t="e">
        <f>VLOOKUP($A443, TAB_JUROS_U[[Q_DIAS_U_PARC_TIR]:[V_FUT_U_JURS CENARIO]], D$5, FALSE)</f>
        <v>#N/A</v>
      </c>
      <c r="E443" s="22" t="e">
        <f>VLOOKUP($A443,TAB_CORRECAO_U[[Q_DIAS_U_PARC_TIR]:[V_FUT_U_CORC-02]],E$5, FALSE)</f>
        <v>#N/A</v>
      </c>
      <c r="F443" s="22" t="e">
        <f>VLOOKUP($A443,TAB_AMORTIZACAO_U[[Q_DIAS_U_PARC_TIR]:[V_FUT_U_PCPL-02]], F$5, FALSE)</f>
        <v>#N/A</v>
      </c>
      <c r="H443" s="20">
        <f t="shared" si="37"/>
        <v>0</v>
      </c>
      <c r="I443" s="21">
        <f t="shared" si="38"/>
        <v>0</v>
      </c>
      <c r="J443" s="22" t="e">
        <f>VLOOKUP($A443, TAB_JUROS_C[[DIAS_CORRIDOS]:[V_FUT_UTEIS]], J$5, FALSE)</f>
        <v>#N/A</v>
      </c>
      <c r="K443" s="22" t="e">
        <f>VLOOKUP($A443, TAB_CORRECAO_C[[DIAS_CORRIDOS]:[V_FUT_UTEIS]],K$5, FALSE)</f>
        <v>#N/A</v>
      </c>
      <c r="L443" s="22" t="e">
        <f>VLOOKUP($A443, TAB_AMORTIZACAO_C[[DIAS_CORRIDOS]:[V_FUT_UTEIS]], L$5, FALSE)</f>
        <v>#N/A</v>
      </c>
    </row>
    <row r="444" spans="1:12" hidden="1">
      <c r="A444" s="19">
        <f t="shared" si="39"/>
        <v>438</v>
      </c>
      <c r="B444" s="20">
        <f t="shared" si="35"/>
        <v>0</v>
      </c>
      <c r="C444" s="21">
        <f t="shared" si="36"/>
        <v>0</v>
      </c>
      <c r="D444" s="22" t="e">
        <f>VLOOKUP($A444, TAB_JUROS_U[[Q_DIAS_U_PARC_TIR]:[V_FUT_U_JURS CENARIO]], D$5, FALSE)</f>
        <v>#N/A</v>
      </c>
      <c r="E444" s="22" t="e">
        <f>VLOOKUP($A444,TAB_CORRECAO_U[[Q_DIAS_U_PARC_TIR]:[V_FUT_U_CORC-02]],E$5, FALSE)</f>
        <v>#N/A</v>
      </c>
      <c r="F444" s="22" t="e">
        <f>VLOOKUP($A444,TAB_AMORTIZACAO_U[[Q_DIAS_U_PARC_TIR]:[V_FUT_U_PCPL-02]], F$5, FALSE)</f>
        <v>#N/A</v>
      </c>
      <c r="H444" s="20">
        <f t="shared" si="37"/>
        <v>0</v>
      </c>
      <c r="I444" s="21">
        <f t="shared" si="38"/>
        <v>0</v>
      </c>
      <c r="J444" s="22" t="e">
        <f>VLOOKUP($A444, TAB_JUROS_C[[DIAS_CORRIDOS]:[V_FUT_UTEIS]], J$5, FALSE)</f>
        <v>#N/A</v>
      </c>
      <c r="K444" s="22" t="e">
        <f>VLOOKUP($A444, TAB_CORRECAO_C[[DIAS_CORRIDOS]:[V_FUT_UTEIS]],K$5, FALSE)</f>
        <v>#N/A</v>
      </c>
      <c r="L444" s="22" t="e">
        <f>VLOOKUP($A444, TAB_AMORTIZACAO_C[[DIAS_CORRIDOS]:[V_FUT_UTEIS]], L$5, FALSE)</f>
        <v>#N/A</v>
      </c>
    </row>
    <row r="445" spans="1:12" hidden="1">
      <c r="A445" s="19">
        <f t="shared" si="39"/>
        <v>439</v>
      </c>
      <c r="B445" s="20">
        <f t="shared" si="35"/>
        <v>0</v>
      </c>
      <c r="C445" s="21">
        <f t="shared" si="36"/>
        <v>0</v>
      </c>
      <c r="D445" s="22" t="e">
        <f>VLOOKUP($A445, TAB_JUROS_U[[Q_DIAS_U_PARC_TIR]:[V_FUT_U_JURS CENARIO]], D$5, FALSE)</f>
        <v>#N/A</v>
      </c>
      <c r="E445" s="22" t="e">
        <f>VLOOKUP($A445,TAB_CORRECAO_U[[Q_DIAS_U_PARC_TIR]:[V_FUT_U_CORC-02]],E$5, FALSE)</f>
        <v>#N/A</v>
      </c>
      <c r="F445" s="22" t="e">
        <f>VLOOKUP($A445,TAB_AMORTIZACAO_U[[Q_DIAS_U_PARC_TIR]:[V_FUT_U_PCPL-02]], F$5, FALSE)</f>
        <v>#N/A</v>
      </c>
      <c r="H445" s="20">
        <f t="shared" si="37"/>
        <v>0</v>
      </c>
      <c r="I445" s="21">
        <f t="shared" si="38"/>
        <v>0</v>
      </c>
      <c r="J445" s="22" t="e">
        <f>VLOOKUP($A445, TAB_JUROS_C[[DIAS_CORRIDOS]:[V_FUT_UTEIS]], J$5, FALSE)</f>
        <v>#N/A</v>
      </c>
      <c r="K445" s="22" t="e">
        <f>VLOOKUP($A445, TAB_CORRECAO_C[[DIAS_CORRIDOS]:[V_FUT_UTEIS]],K$5, FALSE)</f>
        <v>#N/A</v>
      </c>
      <c r="L445" s="22" t="e">
        <f>VLOOKUP($A445, TAB_AMORTIZACAO_C[[DIAS_CORRIDOS]:[V_FUT_UTEIS]], L$5, FALSE)</f>
        <v>#N/A</v>
      </c>
    </row>
    <row r="446" spans="1:12" hidden="1">
      <c r="A446" s="19">
        <f t="shared" si="39"/>
        <v>440</v>
      </c>
      <c r="B446" s="20">
        <f t="shared" si="35"/>
        <v>0</v>
      </c>
      <c r="C446" s="21">
        <f t="shared" si="36"/>
        <v>0</v>
      </c>
      <c r="D446" s="22" t="e">
        <f>VLOOKUP($A446, TAB_JUROS_U[[Q_DIAS_U_PARC_TIR]:[V_FUT_U_JURS CENARIO]], D$5, FALSE)</f>
        <v>#N/A</v>
      </c>
      <c r="E446" s="22" t="e">
        <f>VLOOKUP($A446,TAB_CORRECAO_U[[Q_DIAS_U_PARC_TIR]:[V_FUT_U_CORC-02]],E$5, FALSE)</f>
        <v>#N/A</v>
      </c>
      <c r="F446" s="22" t="e">
        <f>VLOOKUP($A446,TAB_AMORTIZACAO_U[[Q_DIAS_U_PARC_TIR]:[V_FUT_U_PCPL-02]], F$5, FALSE)</f>
        <v>#N/A</v>
      </c>
      <c r="H446" s="20">
        <f t="shared" si="37"/>
        <v>0</v>
      </c>
      <c r="I446" s="21">
        <f t="shared" si="38"/>
        <v>0</v>
      </c>
      <c r="J446" s="22" t="e">
        <f>VLOOKUP($A446, TAB_JUROS_C[[DIAS_CORRIDOS]:[V_FUT_UTEIS]], J$5, FALSE)</f>
        <v>#N/A</v>
      </c>
      <c r="K446" s="22" t="e">
        <f>VLOOKUP($A446, TAB_CORRECAO_C[[DIAS_CORRIDOS]:[V_FUT_UTEIS]],K$5, FALSE)</f>
        <v>#N/A</v>
      </c>
      <c r="L446" s="22" t="e">
        <f>VLOOKUP($A446, TAB_AMORTIZACAO_C[[DIAS_CORRIDOS]:[V_FUT_UTEIS]], L$5, FALSE)</f>
        <v>#N/A</v>
      </c>
    </row>
    <row r="447" spans="1:12" hidden="1">
      <c r="A447" s="19">
        <f t="shared" si="39"/>
        <v>441</v>
      </c>
      <c r="B447" s="20">
        <f t="shared" si="35"/>
        <v>0</v>
      </c>
      <c r="C447" s="21">
        <f t="shared" si="36"/>
        <v>0</v>
      </c>
      <c r="D447" s="22" t="e">
        <f>VLOOKUP($A447, TAB_JUROS_U[[Q_DIAS_U_PARC_TIR]:[V_FUT_U_JURS CENARIO]], D$5, FALSE)</f>
        <v>#N/A</v>
      </c>
      <c r="E447" s="22" t="e">
        <f>VLOOKUP($A447,TAB_CORRECAO_U[[Q_DIAS_U_PARC_TIR]:[V_FUT_U_CORC-02]],E$5, FALSE)</f>
        <v>#N/A</v>
      </c>
      <c r="F447" s="22" t="e">
        <f>VLOOKUP($A447,TAB_AMORTIZACAO_U[[Q_DIAS_U_PARC_TIR]:[V_FUT_U_PCPL-02]], F$5, FALSE)</f>
        <v>#N/A</v>
      </c>
      <c r="H447" s="20">
        <f t="shared" si="37"/>
        <v>0</v>
      </c>
      <c r="I447" s="21">
        <f t="shared" si="38"/>
        <v>0</v>
      </c>
      <c r="J447" s="22" t="e">
        <f>VLOOKUP($A447, TAB_JUROS_C[[DIAS_CORRIDOS]:[V_FUT_UTEIS]], J$5, FALSE)</f>
        <v>#N/A</v>
      </c>
      <c r="K447" s="22" t="e">
        <f>VLOOKUP($A447, TAB_CORRECAO_C[[DIAS_CORRIDOS]:[V_FUT_UTEIS]],K$5, FALSE)</f>
        <v>#N/A</v>
      </c>
      <c r="L447" s="22" t="e">
        <f>VLOOKUP($A447, TAB_AMORTIZACAO_C[[DIAS_CORRIDOS]:[V_FUT_UTEIS]], L$5, FALSE)</f>
        <v>#N/A</v>
      </c>
    </row>
    <row r="448" spans="1:12" hidden="1">
      <c r="A448" s="19">
        <f t="shared" si="39"/>
        <v>442</v>
      </c>
      <c r="B448" s="20">
        <f t="shared" si="35"/>
        <v>0</v>
      </c>
      <c r="C448" s="21">
        <f t="shared" si="36"/>
        <v>0</v>
      </c>
      <c r="D448" s="22" t="e">
        <f>VLOOKUP($A448, TAB_JUROS_U[[Q_DIAS_U_PARC_TIR]:[V_FUT_U_JURS CENARIO]], D$5, FALSE)</f>
        <v>#N/A</v>
      </c>
      <c r="E448" s="22" t="e">
        <f>VLOOKUP($A448,TAB_CORRECAO_U[[Q_DIAS_U_PARC_TIR]:[V_FUT_U_CORC-02]],E$5, FALSE)</f>
        <v>#N/A</v>
      </c>
      <c r="F448" s="22" t="e">
        <f>VLOOKUP($A448,TAB_AMORTIZACAO_U[[Q_DIAS_U_PARC_TIR]:[V_FUT_U_PCPL-02]], F$5, FALSE)</f>
        <v>#N/A</v>
      </c>
      <c r="H448" s="20">
        <f t="shared" si="37"/>
        <v>0</v>
      </c>
      <c r="I448" s="21">
        <f t="shared" si="38"/>
        <v>0</v>
      </c>
      <c r="J448" s="22" t="e">
        <f>VLOOKUP($A448, TAB_JUROS_C[[DIAS_CORRIDOS]:[V_FUT_UTEIS]], J$5, FALSE)</f>
        <v>#N/A</v>
      </c>
      <c r="K448" s="22" t="e">
        <f>VLOOKUP($A448, TAB_CORRECAO_C[[DIAS_CORRIDOS]:[V_FUT_UTEIS]],K$5, FALSE)</f>
        <v>#N/A</v>
      </c>
      <c r="L448" s="22" t="e">
        <f>VLOOKUP($A448, TAB_AMORTIZACAO_C[[DIAS_CORRIDOS]:[V_FUT_UTEIS]], L$5, FALSE)</f>
        <v>#N/A</v>
      </c>
    </row>
    <row r="449" spans="1:12" hidden="1">
      <c r="A449" s="19">
        <f t="shared" si="39"/>
        <v>443</v>
      </c>
      <c r="B449" s="20">
        <f t="shared" si="35"/>
        <v>0</v>
      </c>
      <c r="C449" s="21">
        <f t="shared" si="36"/>
        <v>0</v>
      </c>
      <c r="D449" s="22" t="e">
        <f>VLOOKUP($A449, TAB_JUROS_U[[Q_DIAS_U_PARC_TIR]:[V_FUT_U_JURS CENARIO]], D$5, FALSE)</f>
        <v>#N/A</v>
      </c>
      <c r="E449" s="22" t="e">
        <f>VLOOKUP($A449,TAB_CORRECAO_U[[Q_DIAS_U_PARC_TIR]:[V_FUT_U_CORC-02]],E$5, FALSE)</f>
        <v>#N/A</v>
      </c>
      <c r="F449" s="22" t="e">
        <f>VLOOKUP($A449,TAB_AMORTIZACAO_U[[Q_DIAS_U_PARC_TIR]:[V_FUT_U_PCPL-02]], F$5, FALSE)</f>
        <v>#N/A</v>
      </c>
      <c r="H449" s="20">
        <f t="shared" si="37"/>
        <v>0</v>
      </c>
      <c r="I449" s="21">
        <f t="shared" si="38"/>
        <v>0</v>
      </c>
      <c r="J449" s="22" t="e">
        <f>VLOOKUP($A449, TAB_JUROS_C[[DIAS_CORRIDOS]:[V_FUT_UTEIS]], J$5, FALSE)</f>
        <v>#N/A</v>
      </c>
      <c r="K449" s="22" t="e">
        <f>VLOOKUP($A449, TAB_CORRECAO_C[[DIAS_CORRIDOS]:[V_FUT_UTEIS]],K$5, FALSE)</f>
        <v>#N/A</v>
      </c>
      <c r="L449" s="22" t="e">
        <f>VLOOKUP($A449, TAB_AMORTIZACAO_C[[DIAS_CORRIDOS]:[V_FUT_UTEIS]], L$5, FALSE)</f>
        <v>#N/A</v>
      </c>
    </row>
    <row r="450" spans="1:12" hidden="1">
      <c r="A450" s="19">
        <f t="shared" si="39"/>
        <v>444</v>
      </c>
      <c r="B450" s="20">
        <f t="shared" si="35"/>
        <v>0</v>
      </c>
      <c r="C450" s="21">
        <f t="shared" si="36"/>
        <v>0</v>
      </c>
      <c r="D450" s="22" t="e">
        <f>VLOOKUP($A450, TAB_JUROS_U[[Q_DIAS_U_PARC_TIR]:[V_FUT_U_JURS CENARIO]], D$5, FALSE)</f>
        <v>#N/A</v>
      </c>
      <c r="E450" s="22" t="e">
        <f>VLOOKUP($A450,TAB_CORRECAO_U[[Q_DIAS_U_PARC_TIR]:[V_FUT_U_CORC-02]],E$5, FALSE)</f>
        <v>#N/A</v>
      </c>
      <c r="F450" s="22" t="e">
        <f>VLOOKUP($A450,TAB_AMORTIZACAO_U[[Q_DIAS_U_PARC_TIR]:[V_FUT_U_PCPL-02]], F$5, FALSE)</f>
        <v>#N/A</v>
      </c>
      <c r="H450" s="20">
        <f t="shared" si="37"/>
        <v>0</v>
      </c>
      <c r="I450" s="21">
        <f t="shared" si="38"/>
        <v>0</v>
      </c>
      <c r="J450" s="22" t="e">
        <f>VLOOKUP($A450, TAB_JUROS_C[[DIAS_CORRIDOS]:[V_FUT_UTEIS]], J$5, FALSE)</f>
        <v>#N/A</v>
      </c>
      <c r="K450" s="22" t="e">
        <f>VLOOKUP($A450, TAB_CORRECAO_C[[DIAS_CORRIDOS]:[V_FUT_UTEIS]],K$5, FALSE)</f>
        <v>#N/A</v>
      </c>
      <c r="L450" s="22" t="e">
        <f>VLOOKUP($A450, TAB_AMORTIZACAO_C[[DIAS_CORRIDOS]:[V_FUT_UTEIS]], L$5, FALSE)</f>
        <v>#N/A</v>
      </c>
    </row>
    <row r="451" spans="1:12" hidden="1">
      <c r="A451" s="19">
        <f t="shared" si="39"/>
        <v>445</v>
      </c>
      <c r="B451" s="20">
        <f t="shared" si="35"/>
        <v>0</v>
      </c>
      <c r="C451" s="21">
        <f t="shared" si="36"/>
        <v>0</v>
      </c>
      <c r="D451" s="22" t="e">
        <f>VLOOKUP($A451, TAB_JUROS_U[[Q_DIAS_U_PARC_TIR]:[V_FUT_U_JURS CENARIO]], D$5, FALSE)</f>
        <v>#N/A</v>
      </c>
      <c r="E451" s="22" t="e">
        <f>VLOOKUP($A451,TAB_CORRECAO_U[[Q_DIAS_U_PARC_TIR]:[V_FUT_U_CORC-02]],E$5, FALSE)</f>
        <v>#N/A</v>
      </c>
      <c r="F451" s="22" t="e">
        <f>VLOOKUP($A451,TAB_AMORTIZACAO_U[[Q_DIAS_U_PARC_TIR]:[V_FUT_U_PCPL-02]], F$5, FALSE)</f>
        <v>#N/A</v>
      </c>
      <c r="H451" s="20">
        <f t="shared" si="37"/>
        <v>0</v>
      </c>
      <c r="I451" s="21">
        <f t="shared" si="38"/>
        <v>0</v>
      </c>
      <c r="J451" s="22" t="e">
        <f>VLOOKUP($A451, TAB_JUROS_C[[DIAS_CORRIDOS]:[V_FUT_UTEIS]], J$5, FALSE)</f>
        <v>#N/A</v>
      </c>
      <c r="K451" s="22" t="e">
        <f>VLOOKUP($A451, TAB_CORRECAO_C[[DIAS_CORRIDOS]:[V_FUT_UTEIS]],K$5, FALSE)</f>
        <v>#N/A</v>
      </c>
      <c r="L451" s="22" t="e">
        <f>VLOOKUP($A451, TAB_AMORTIZACAO_C[[DIAS_CORRIDOS]:[V_FUT_UTEIS]], L$5, FALSE)</f>
        <v>#N/A</v>
      </c>
    </row>
    <row r="452" spans="1:12" hidden="1">
      <c r="A452" s="19">
        <f t="shared" si="39"/>
        <v>446</v>
      </c>
      <c r="B452" s="20">
        <f t="shared" si="35"/>
        <v>0</v>
      </c>
      <c r="C452" s="21">
        <f t="shared" si="36"/>
        <v>0</v>
      </c>
      <c r="D452" s="22" t="e">
        <f>VLOOKUP($A452, TAB_JUROS_U[[Q_DIAS_U_PARC_TIR]:[V_FUT_U_JURS CENARIO]], D$5, FALSE)</f>
        <v>#N/A</v>
      </c>
      <c r="E452" s="22" t="e">
        <f>VLOOKUP($A452,TAB_CORRECAO_U[[Q_DIAS_U_PARC_TIR]:[V_FUT_U_CORC-02]],E$5, FALSE)</f>
        <v>#N/A</v>
      </c>
      <c r="F452" s="22" t="e">
        <f>VLOOKUP($A452,TAB_AMORTIZACAO_U[[Q_DIAS_U_PARC_TIR]:[V_FUT_U_PCPL-02]], F$5, FALSE)</f>
        <v>#N/A</v>
      </c>
      <c r="H452" s="20">
        <f t="shared" si="37"/>
        <v>0</v>
      </c>
      <c r="I452" s="21">
        <f t="shared" si="38"/>
        <v>0</v>
      </c>
      <c r="J452" s="22" t="e">
        <f>VLOOKUP($A452, TAB_JUROS_C[[DIAS_CORRIDOS]:[V_FUT_UTEIS]], J$5, FALSE)</f>
        <v>#N/A</v>
      </c>
      <c r="K452" s="22" t="e">
        <f>VLOOKUP($A452, TAB_CORRECAO_C[[DIAS_CORRIDOS]:[V_FUT_UTEIS]],K$5, FALSE)</f>
        <v>#N/A</v>
      </c>
      <c r="L452" s="22" t="e">
        <f>VLOOKUP($A452, TAB_AMORTIZACAO_C[[DIAS_CORRIDOS]:[V_FUT_UTEIS]], L$5, FALSE)</f>
        <v>#N/A</v>
      </c>
    </row>
    <row r="453" spans="1:12" hidden="1">
      <c r="A453" s="19">
        <f t="shared" si="39"/>
        <v>447</v>
      </c>
      <c r="B453" s="20">
        <f t="shared" si="35"/>
        <v>0</v>
      </c>
      <c r="C453" s="21">
        <f t="shared" si="36"/>
        <v>0</v>
      </c>
      <c r="D453" s="22" t="e">
        <f>VLOOKUP($A453, TAB_JUROS_U[[Q_DIAS_U_PARC_TIR]:[V_FUT_U_JURS CENARIO]], D$5, FALSE)</f>
        <v>#N/A</v>
      </c>
      <c r="E453" s="22" t="e">
        <f>VLOOKUP($A453,TAB_CORRECAO_U[[Q_DIAS_U_PARC_TIR]:[V_FUT_U_CORC-02]],E$5, FALSE)</f>
        <v>#N/A</v>
      </c>
      <c r="F453" s="22" t="e">
        <f>VLOOKUP($A453,TAB_AMORTIZACAO_U[[Q_DIAS_U_PARC_TIR]:[V_FUT_U_PCPL-02]], F$5, FALSE)</f>
        <v>#N/A</v>
      </c>
      <c r="H453" s="20">
        <f t="shared" si="37"/>
        <v>0</v>
      </c>
      <c r="I453" s="21">
        <f t="shared" si="38"/>
        <v>0</v>
      </c>
      <c r="J453" s="22" t="e">
        <f>VLOOKUP($A453, TAB_JUROS_C[[DIAS_CORRIDOS]:[V_FUT_UTEIS]], J$5, FALSE)</f>
        <v>#N/A</v>
      </c>
      <c r="K453" s="22" t="e">
        <f>VLOOKUP($A453, TAB_CORRECAO_C[[DIAS_CORRIDOS]:[V_FUT_UTEIS]],K$5, FALSE)</f>
        <v>#N/A</v>
      </c>
      <c r="L453" s="22" t="e">
        <f>VLOOKUP($A453, TAB_AMORTIZACAO_C[[DIAS_CORRIDOS]:[V_FUT_UTEIS]], L$5, FALSE)</f>
        <v>#N/A</v>
      </c>
    </row>
    <row r="454" spans="1:12" hidden="1">
      <c r="A454" s="19">
        <f t="shared" si="39"/>
        <v>448</v>
      </c>
      <c r="B454" s="20">
        <f t="shared" si="35"/>
        <v>0</v>
      </c>
      <c r="C454" s="21">
        <f t="shared" si="36"/>
        <v>0</v>
      </c>
      <c r="D454" s="22" t="e">
        <f>VLOOKUP($A454, TAB_JUROS_U[[Q_DIAS_U_PARC_TIR]:[V_FUT_U_JURS CENARIO]], D$5, FALSE)</f>
        <v>#N/A</v>
      </c>
      <c r="E454" s="22" t="e">
        <f>VLOOKUP($A454,TAB_CORRECAO_U[[Q_DIAS_U_PARC_TIR]:[V_FUT_U_CORC-02]],E$5, FALSE)</f>
        <v>#N/A</v>
      </c>
      <c r="F454" s="22" t="e">
        <f>VLOOKUP($A454,TAB_AMORTIZACAO_U[[Q_DIAS_U_PARC_TIR]:[V_FUT_U_PCPL-02]], F$5, FALSE)</f>
        <v>#N/A</v>
      </c>
      <c r="H454" s="20">
        <f t="shared" si="37"/>
        <v>0</v>
      </c>
      <c r="I454" s="21">
        <f t="shared" si="38"/>
        <v>0</v>
      </c>
      <c r="J454" s="22" t="e">
        <f>VLOOKUP($A454, TAB_JUROS_C[[DIAS_CORRIDOS]:[V_FUT_UTEIS]], J$5, FALSE)</f>
        <v>#N/A</v>
      </c>
      <c r="K454" s="22" t="e">
        <f>VLOOKUP($A454, TAB_CORRECAO_C[[DIAS_CORRIDOS]:[V_FUT_UTEIS]],K$5, FALSE)</f>
        <v>#N/A</v>
      </c>
      <c r="L454" s="22" t="e">
        <f>VLOOKUP($A454, TAB_AMORTIZACAO_C[[DIAS_CORRIDOS]:[V_FUT_UTEIS]], L$5, FALSE)</f>
        <v>#N/A</v>
      </c>
    </row>
    <row r="455" spans="1:12" hidden="1">
      <c r="A455" s="19">
        <f t="shared" si="39"/>
        <v>449</v>
      </c>
      <c r="B455" s="20">
        <f t="shared" si="35"/>
        <v>0</v>
      </c>
      <c r="C455" s="21">
        <f t="shared" si="36"/>
        <v>0</v>
      </c>
      <c r="D455" s="22" t="e">
        <f>VLOOKUP($A455, TAB_JUROS_U[[Q_DIAS_U_PARC_TIR]:[V_FUT_U_JURS CENARIO]], D$5, FALSE)</f>
        <v>#N/A</v>
      </c>
      <c r="E455" s="22" t="e">
        <f>VLOOKUP($A455,TAB_CORRECAO_U[[Q_DIAS_U_PARC_TIR]:[V_FUT_U_CORC-02]],E$5, FALSE)</f>
        <v>#N/A</v>
      </c>
      <c r="F455" s="22" t="e">
        <f>VLOOKUP($A455,TAB_AMORTIZACAO_U[[Q_DIAS_U_PARC_TIR]:[V_FUT_U_PCPL-02]], F$5, FALSE)</f>
        <v>#N/A</v>
      </c>
      <c r="H455" s="20">
        <f t="shared" si="37"/>
        <v>0</v>
      </c>
      <c r="I455" s="21">
        <f t="shared" si="38"/>
        <v>0</v>
      </c>
      <c r="J455" s="22" t="e">
        <f>VLOOKUP($A455, TAB_JUROS_C[[DIAS_CORRIDOS]:[V_FUT_UTEIS]], J$5, FALSE)</f>
        <v>#N/A</v>
      </c>
      <c r="K455" s="22" t="e">
        <f>VLOOKUP($A455, TAB_CORRECAO_C[[DIAS_CORRIDOS]:[V_FUT_UTEIS]],K$5, FALSE)</f>
        <v>#N/A</v>
      </c>
      <c r="L455" s="22" t="e">
        <f>VLOOKUP($A455, TAB_AMORTIZACAO_C[[DIAS_CORRIDOS]:[V_FUT_UTEIS]], L$5, FALSE)</f>
        <v>#N/A</v>
      </c>
    </row>
    <row r="456" spans="1:12" hidden="1">
      <c r="A456" s="19">
        <f t="shared" si="39"/>
        <v>450</v>
      </c>
      <c r="B456" s="20">
        <f t="shared" si="35"/>
        <v>0</v>
      </c>
      <c r="C456" s="21">
        <f t="shared" si="36"/>
        <v>0</v>
      </c>
      <c r="D456" s="22" t="e">
        <f>VLOOKUP($A456, TAB_JUROS_U[[Q_DIAS_U_PARC_TIR]:[V_FUT_U_JURS CENARIO]], D$5, FALSE)</f>
        <v>#N/A</v>
      </c>
      <c r="E456" s="22" t="e">
        <f>VLOOKUP($A456,TAB_CORRECAO_U[[Q_DIAS_U_PARC_TIR]:[V_FUT_U_CORC-02]],E$5, FALSE)</f>
        <v>#N/A</v>
      </c>
      <c r="F456" s="22" t="e">
        <f>VLOOKUP($A456,TAB_AMORTIZACAO_U[[Q_DIAS_U_PARC_TIR]:[V_FUT_U_PCPL-02]], F$5, FALSE)</f>
        <v>#N/A</v>
      </c>
      <c r="H456" s="20">
        <f t="shared" si="37"/>
        <v>0</v>
      </c>
      <c r="I456" s="21">
        <f t="shared" si="38"/>
        <v>0</v>
      </c>
      <c r="J456" s="22" t="e">
        <f>VLOOKUP($A456, TAB_JUROS_C[[DIAS_CORRIDOS]:[V_FUT_UTEIS]], J$5, FALSE)</f>
        <v>#N/A</v>
      </c>
      <c r="K456" s="22" t="e">
        <f>VLOOKUP($A456, TAB_CORRECAO_C[[DIAS_CORRIDOS]:[V_FUT_UTEIS]],K$5, FALSE)</f>
        <v>#N/A</v>
      </c>
      <c r="L456" s="22" t="e">
        <f>VLOOKUP($A456, TAB_AMORTIZACAO_C[[DIAS_CORRIDOS]:[V_FUT_UTEIS]], L$5, FALSE)</f>
        <v>#N/A</v>
      </c>
    </row>
    <row r="457" spans="1:12" hidden="1">
      <c r="A457" s="19">
        <f t="shared" si="39"/>
        <v>451</v>
      </c>
      <c r="B457" s="20">
        <f t="shared" ref="B457:B520" si="40">IF(ISERROR(C457), 0, C457)</f>
        <v>0</v>
      </c>
      <c r="C457" s="21">
        <f t="shared" ref="C457:C520" si="41">SUMIF(D457:F457, "&gt;0", D457:F457)</f>
        <v>0</v>
      </c>
      <c r="D457" s="22" t="e">
        <f>VLOOKUP($A457, TAB_JUROS_U[[Q_DIAS_U_PARC_TIR]:[V_FUT_U_JURS CENARIO]], D$5, FALSE)</f>
        <v>#N/A</v>
      </c>
      <c r="E457" s="22" t="e">
        <f>VLOOKUP($A457,TAB_CORRECAO_U[[Q_DIAS_U_PARC_TIR]:[V_FUT_U_CORC-02]],E$5, FALSE)</f>
        <v>#N/A</v>
      </c>
      <c r="F457" s="22" t="e">
        <f>VLOOKUP($A457,TAB_AMORTIZACAO_U[[Q_DIAS_U_PARC_TIR]:[V_FUT_U_PCPL-02]], F$5, FALSE)</f>
        <v>#N/A</v>
      </c>
      <c r="H457" s="20">
        <f t="shared" ref="H457:H520" si="42">IF(ISERROR(I457), 0, I457)</f>
        <v>0</v>
      </c>
      <c r="I457" s="21">
        <f t="shared" ref="I457:I520" si="43">SUMIF(J457:L457, "&gt;0", J457:L457)</f>
        <v>0</v>
      </c>
      <c r="J457" s="22" t="e">
        <f>VLOOKUP($A457, TAB_JUROS_C[[DIAS_CORRIDOS]:[V_FUT_UTEIS]], J$5, FALSE)</f>
        <v>#N/A</v>
      </c>
      <c r="K457" s="22" t="e">
        <f>VLOOKUP($A457, TAB_CORRECAO_C[[DIAS_CORRIDOS]:[V_FUT_UTEIS]],K$5, FALSE)</f>
        <v>#N/A</v>
      </c>
      <c r="L457" s="22" t="e">
        <f>VLOOKUP($A457, TAB_AMORTIZACAO_C[[DIAS_CORRIDOS]:[V_FUT_UTEIS]], L$5, FALSE)</f>
        <v>#N/A</v>
      </c>
    </row>
    <row r="458" spans="1:12">
      <c r="A458" s="19">
        <f t="shared" ref="A458:A521" si="44">A457+1</f>
        <v>452</v>
      </c>
      <c r="B458" s="20">
        <f t="shared" si="40"/>
        <v>1569.0124227545666</v>
      </c>
      <c r="C458" s="21">
        <f t="shared" si="41"/>
        <v>1569.0124227545666</v>
      </c>
      <c r="D458" s="22">
        <f>VLOOKUP($A458, TAB_JUROS_U[[Q_DIAS_U_PARC_TIR]:[V_FUT_U_JURS CENARIO]], D$5, FALSE)</f>
        <v>122.15767062649142</v>
      </c>
      <c r="E458" s="22">
        <f>VLOOKUP($A458,TAB_CORRECAO_U[[Q_DIAS_U_PARC_TIR]:[V_FUT_U_CORC-02]],E$5, FALSE)</f>
        <v>808.48604251091308</v>
      </c>
      <c r="F458" s="22">
        <f>VLOOKUP($A458,TAB_AMORTIZACAO_U[[Q_DIAS_U_PARC_TIR]:[V_FUT_U_PCPL-02]], F$5, FALSE)</f>
        <v>638.36870961716215</v>
      </c>
      <c r="H458" s="20">
        <f t="shared" si="42"/>
        <v>0</v>
      </c>
      <c r="I458" s="21">
        <f t="shared" si="43"/>
        <v>0</v>
      </c>
      <c r="J458" s="22" t="e">
        <f>VLOOKUP($A458, TAB_JUROS_C[[DIAS_CORRIDOS]:[V_FUT_UTEIS]], J$5, FALSE)</f>
        <v>#N/A</v>
      </c>
      <c r="K458" s="22" t="e">
        <f>VLOOKUP($A458, TAB_CORRECAO_C[[DIAS_CORRIDOS]:[V_FUT_UTEIS]],K$5, FALSE)</f>
        <v>#N/A</v>
      </c>
      <c r="L458" s="22" t="e">
        <f>VLOOKUP($A458, TAB_AMORTIZACAO_C[[DIAS_CORRIDOS]:[V_FUT_UTEIS]], L$5, FALSE)</f>
        <v>#N/A</v>
      </c>
    </row>
    <row r="459" spans="1:12" hidden="1">
      <c r="A459" s="19">
        <f t="shared" si="44"/>
        <v>453</v>
      </c>
      <c r="B459" s="20">
        <f t="shared" si="40"/>
        <v>0</v>
      </c>
      <c r="C459" s="21">
        <f t="shared" si="41"/>
        <v>0</v>
      </c>
      <c r="D459" s="22" t="e">
        <f>VLOOKUP($A459, TAB_JUROS_U[[Q_DIAS_U_PARC_TIR]:[V_FUT_U_JURS CENARIO]], D$5, FALSE)</f>
        <v>#N/A</v>
      </c>
      <c r="E459" s="22" t="e">
        <f>VLOOKUP($A459,TAB_CORRECAO_U[[Q_DIAS_U_PARC_TIR]:[V_FUT_U_CORC-02]],E$5, FALSE)</f>
        <v>#N/A</v>
      </c>
      <c r="F459" s="22" t="e">
        <f>VLOOKUP($A459,TAB_AMORTIZACAO_U[[Q_DIAS_U_PARC_TIR]:[V_FUT_U_PCPL-02]], F$5, FALSE)</f>
        <v>#N/A</v>
      </c>
      <c r="H459" s="20">
        <f t="shared" si="42"/>
        <v>0</v>
      </c>
      <c r="I459" s="21">
        <f t="shared" si="43"/>
        <v>0</v>
      </c>
      <c r="J459" s="22" t="e">
        <f>VLOOKUP($A459, TAB_JUROS_C[[DIAS_CORRIDOS]:[V_FUT_UTEIS]], J$5, FALSE)</f>
        <v>#N/A</v>
      </c>
      <c r="K459" s="22" t="e">
        <f>VLOOKUP($A459, TAB_CORRECAO_C[[DIAS_CORRIDOS]:[V_FUT_UTEIS]],K$5, FALSE)</f>
        <v>#N/A</v>
      </c>
      <c r="L459" s="22" t="e">
        <f>VLOOKUP($A459, TAB_AMORTIZACAO_C[[DIAS_CORRIDOS]:[V_FUT_UTEIS]], L$5, FALSE)</f>
        <v>#N/A</v>
      </c>
    </row>
    <row r="460" spans="1:12" hidden="1">
      <c r="A460" s="19">
        <f t="shared" si="44"/>
        <v>454</v>
      </c>
      <c r="B460" s="20">
        <f t="shared" si="40"/>
        <v>0</v>
      </c>
      <c r="C460" s="21">
        <f t="shared" si="41"/>
        <v>0</v>
      </c>
      <c r="D460" s="22" t="e">
        <f>VLOOKUP($A460, TAB_JUROS_U[[Q_DIAS_U_PARC_TIR]:[V_FUT_U_JURS CENARIO]], D$5, FALSE)</f>
        <v>#N/A</v>
      </c>
      <c r="E460" s="22" t="e">
        <f>VLOOKUP($A460,TAB_CORRECAO_U[[Q_DIAS_U_PARC_TIR]:[V_FUT_U_CORC-02]],E$5, FALSE)</f>
        <v>#N/A</v>
      </c>
      <c r="F460" s="22" t="e">
        <f>VLOOKUP($A460,TAB_AMORTIZACAO_U[[Q_DIAS_U_PARC_TIR]:[V_FUT_U_PCPL-02]], F$5, FALSE)</f>
        <v>#N/A</v>
      </c>
      <c r="H460" s="20">
        <f t="shared" si="42"/>
        <v>0</v>
      </c>
      <c r="I460" s="21">
        <f t="shared" si="43"/>
        <v>0</v>
      </c>
      <c r="J460" s="22" t="e">
        <f>VLOOKUP($A460, TAB_JUROS_C[[DIAS_CORRIDOS]:[V_FUT_UTEIS]], J$5, FALSE)</f>
        <v>#N/A</v>
      </c>
      <c r="K460" s="22" t="e">
        <f>VLOOKUP($A460, TAB_CORRECAO_C[[DIAS_CORRIDOS]:[V_FUT_UTEIS]],K$5, FALSE)</f>
        <v>#N/A</v>
      </c>
      <c r="L460" s="22" t="e">
        <f>VLOOKUP($A460, TAB_AMORTIZACAO_C[[DIAS_CORRIDOS]:[V_FUT_UTEIS]], L$5, FALSE)</f>
        <v>#N/A</v>
      </c>
    </row>
    <row r="461" spans="1:12" hidden="1">
      <c r="A461" s="19">
        <f t="shared" si="44"/>
        <v>455</v>
      </c>
      <c r="B461" s="20">
        <f t="shared" si="40"/>
        <v>0</v>
      </c>
      <c r="C461" s="21">
        <f t="shared" si="41"/>
        <v>0</v>
      </c>
      <c r="D461" s="22" t="e">
        <f>VLOOKUP($A461, TAB_JUROS_U[[Q_DIAS_U_PARC_TIR]:[V_FUT_U_JURS CENARIO]], D$5, FALSE)</f>
        <v>#N/A</v>
      </c>
      <c r="E461" s="22" t="e">
        <f>VLOOKUP($A461,TAB_CORRECAO_U[[Q_DIAS_U_PARC_TIR]:[V_FUT_U_CORC-02]],E$5, FALSE)</f>
        <v>#N/A</v>
      </c>
      <c r="F461" s="22" t="e">
        <f>VLOOKUP($A461,TAB_AMORTIZACAO_U[[Q_DIAS_U_PARC_TIR]:[V_FUT_U_PCPL-02]], F$5, FALSE)</f>
        <v>#N/A</v>
      </c>
      <c r="H461" s="20">
        <f t="shared" si="42"/>
        <v>0</v>
      </c>
      <c r="I461" s="21">
        <f t="shared" si="43"/>
        <v>0</v>
      </c>
      <c r="J461" s="22" t="e">
        <f>VLOOKUP($A461, TAB_JUROS_C[[DIAS_CORRIDOS]:[V_FUT_UTEIS]], J$5, FALSE)</f>
        <v>#N/A</v>
      </c>
      <c r="K461" s="22" t="e">
        <f>VLOOKUP($A461, TAB_CORRECAO_C[[DIAS_CORRIDOS]:[V_FUT_UTEIS]],K$5, FALSE)</f>
        <v>#N/A</v>
      </c>
      <c r="L461" s="22" t="e">
        <f>VLOOKUP($A461, TAB_AMORTIZACAO_C[[DIAS_CORRIDOS]:[V_FUT_UTEIS]], L$5, FALSE)</f>
        <v>#N/A</v>
      </c>
    </row>
    <row r="462" spans="1:12" hidden="1">
      <c r="A462" s="19">
        <f t="shared" si="44"/>
        <v>456</v>
      </c>
      <c r="B462" s="20">
        <f t="shared" si="40"/>
        <v>0</v>
      </c>
      <c r="C462" s="21">
        <f t="shared" si="41"/>
        <v>0</v>
      </c>
      <c r="D462" s="22" t="e">
        <f>VLOOKUP($A462, TAB_JUROS_U[[Q_DIAS_U_PARC_TIR]:[V_FUT_U_JURS CENARIO]], D$5, FALSE)</f>
        <v>#N/A</v>
      </c>
      <c r="E462" s="22" t="e">
        <f>VLOOKUP($A462,TAB_CORRECAO_U[[Q_DIAS_U_PARC_TIR]:[V_FUT_U_CORC-02]],E$5, FALSE)</f>
        <v>#N/A</v>
      </c>
      <c r="F462" s="22" t="e">
        <f>VLOOKUP($A462,TAB_AMORTIZACAO_U[[Q_DIAS_U_PARC_TIR]:[V_FUT_U_PCPL-02]], F$5, FALSE)</f>
        <v>#N/A</v>
      </c>
      <c r="H462" s="20">
        <f t="shared" si="42"/>
        <v>0</v>
      </c>
      <c r="I462" s="21">
        <f t="shared" si="43"/>
        <v>0</v>
      </c>
      <c r="J462" s="22" t="e">
        <f>VLOOKUP($A462, TAB_JUROS_C[[DIAS_CORRIDOS]:[V_FUT_UTEIS]], J$5, FALSE)</f>
        <v>#N/A</v>
      </c>
      <c r="K462" s="22" t="e">
        <f>VLOOKUP($A462, TAB_CORRECAO_C[[DIAS_CORRIDOS]:[V_FUT_UTEIS]],K$5, FALSE)</f>
        <v>#N/A</v>
      </c>
      <c r="L462" s="22" t="e">
        <f>VLOOKUP($A462, TAB_AMORTIZACAO_C[[DIAS_CORRIDOS]:[V_FUT_UTEIS]], L$5, FALSE)</f>
        <v>#N/A</v>
      </c>
    </row>
    <row r="463" spans="1:12" hidden="1">
      <c r="A463" s="19">
        <f t="shared" si="44"/>
        <v>457</v>
      </c>
      <c r="B463" s="20">
        <f t="shared" si="40"/>
        <v>0</v>
      </c>
      <c r="C463" s="21">
        <f t="shared" si="41"/>
        <v>0</v>
      </c>
      <c r="D463" s="22" t="e">
        <f>VLOOKUP($A463, TAB_JUROS_U[[Q_DIAS_U_PARC_TIR]:[V_FUT_U_JURS CENARIO]], D$5, FALSE)</f>
        <v>#N/A</v>
      </c>
      <c r="E463" s="22" t="e">
        <f>VLOOKUP($A463,TAB_CORRECAO_U[[Q_DIAS_U_PARC_TIR]:[V_FUT_U_CORC-02]],E$5, FALSE)</f>
        <v>#N/A</v>
      </c>
      <c r="F463" s="22" t="e">
        <f>VLOOKUP($A463,TAB_AMORTIZACAO_U[[Q_DIAS_U_PARC_TIR]:[V_FUT_U_PCPL-02]], F$5, FALSE)</f>
        <v>#N/A</v>
      </c>
      <c r="H463" s="20">
        <f t="shared" si="42"/>
        <v>0</v>
      </c>
      <c r="I463" s="21">
        <f t="shared" si="43"/>
        <v>0</v>
      </c>
      <c r="J463" s="22" t="e">
        <f>VLOOKUP($A463, TAB_JUROS_C[[DIAS_CORRIDOS]:[V_FUT_UTEIS]], J$5, FALSE)</f>
        <v>#N/A</v>
      </c>
      <c r="K463" s="22" t="e">
        <f>VLOOKUP($A463, TAB_CORRECAO_C[[DIAS_CORRIDOS]:[V_FUT_UTEIS]],K$5, FALSE)</f>
        <v>#N/A</v>
      </c>
      <c r="L463" s="22" t="e">
        <f>VLOOKUP($A463, TAB_AMORTIZACAO_C[[DIAS_CORRIDOS]:[V_FUT_UTEIS]], L$5, FALSE)</f>
        <v>#N/A</v>
      </c>
    </row>
    <row r="464" spans="1:12" hidden="1">
      <c r="A464" s="19">
        <f t="shared" si="44"/>
        <v>458</v>
      </c>
      <c r="B464" s="20">
        <f t="shared" si="40"/>
        <v>0</v>
      </c>
      <c r="C464" s="21">
        <f t="shared" si="41"/>
        <v>0</v>
      </c>
      <c r="D464" s="22" t="e">
        <f>VLOOKUP($A464, TAB_JUROS_U[[Q_DIAS_U_PARC_TIR]:[V_FUT_U_JURS CENARIO]], D$5, FALSE)</f>
        <v>#N/A</v>
      </c>
      <c r="E464" s="22" t="e">
        <f>VLOOKUP($A464,TAB_CORRECAO_U[[Q_DIAS_U_PARC_TIR]:[V_FUT_U_CORC-02]],E$5, FALSE)</f>
        <v>#N/A</v>
      </c>
      <c r="F464" s="22" t="e">
        <f>VLOOKUP($A464,TAB_AMORTIZACAO_U[[Q_DIAS_U_PARC_TIR]:[V_FUT_U_PCPL-02]], F$5, FALSE)</f>
        <v>#N/A</v>
      </c>
      <c r="H464" s="20">
        <f t="shared" si="42"/>
        <v>0</v>
      </c>
      <c r="I464" s="21">
        <f t="shared" si="43"/>
        <v>0</v>
      </c>
      <c r="J464" s="22" t="e">
        <f>VLOOKUP($A464, TAB_JUROS_C[[DIAS_CORRIDOS]:[V_FUT_UTEIS]], J$5, FALSE)</f>
        <v>#N/A</v>
      </c>
      <c r="K464" s="22" t="e">
        <f>VLOOKUP($A464, TAB_CORRECAO_C[[DIAS_CORRIDOS]:[V_FUT_UTEIS]],K$5, FALSE)</f>
        <v>#N/A</v>
      </c>
      <c r="L464" s="22" t="e">
        <f>VLOOKUP($A464, TAB_AMORTIZACAO_C[[DIAS_CORRIDOS]:[V_FUT_UTEIS]], L$5, FALSE)</f>
        <v>#N/A</v>
      </c>
    </row>
    <row r="465" spans="1:12" hidden="1">
      <c r="A465" s="19">
        <f t="shared" si="44"/>
        <v>459</v>
      </c>
      <c r="B465" s="20">
        <f t="shared" si="40"/>
        <v>0</v>
      </c>
      <c r="C465" s="21">
        <f t="shared" si="41"/>
        <v>0</v>
      </c>
      <c r="D465" s="22" t="e">
        <f>VLOOKUP($A465, TAB_JUROS_U[[Q_DIAS_U_PARC_TIR]:[V_FUT_U_JURS CENARIO]], D$5, FALSE)</f>
        <v>#N/A</v>
      </c>
      <c r="E465" s="22" t="e">
        <f>VLOOKUP($A465,TAB_CORRECAO_U[[Q_DIAS_U_PARC_TIR]:[V_FUT_U_CORC-02]],E$5, FALSE)</f>
        <v>#N/A</v>
      </c>
      <c r="F465" s="22" t="e">
        <f>VLOOKUP($A465,TAB_AMORTIZACAO_U[[Q_DIAS_U_PARC_TIR]:[V_FUT_U_PCPL-02]], F$5, FALSE)</f>
        <v>#N/A</v>
      </c>
      <c r="H465" s="20">
        <f t="shared" si="42"/>
        <v>0</v>
      </c>
      <c r="I465" s="21">
        <f t="shared" si="43"/>
        <v>0</v>
      </c>
      <c r="J465" s="22" t="e">
        <f>VLOOKUP($A465, TAB_JUROS_C[[DIAS_CORRIDOS]:[V_FUT_UTEIS]], J$5, FALSE)</f>
        <v>#N/A</v>
      </c>
      <c r="K465" s="22" t="e">
        <f>VLOOKUP($A465, TAB_CORRECAO_C[[DIAS_CORRIDOS]:[V_FUT_UTEIS]],K$5, FALSE)</f>
        <v>#N/A</v>
      </c>
      <c r="L465" s="22" t="e">
        <f>VLOOKUP($A465, TAB_AMORTIZACAO_C[[DIAS_CORRIDOS]:[V_FUT_UTEIS]], L$5, FALSE)</f>
        <v>#N/A</v>
      </c>
    </row>
    <row r="466" spans="1:12" hidden="1">
      <c r="A466" s="19">
        <f t="shared" si="44"/>
        <v>460</v>
      </c>
      <c r="B466" s="20">
        <f t="shared" si="40"/>
        <v>0</v>
      </c>
      <c r="C466" s="21">
        <f t="shared" si="41"/>
        <v>0</v>
      </c>
      <c r="D466" s="22" t="e">
        <f>VLOOKUP($A466, TAB_JUROS_U[[Q_DIAS_U_PARC_TIR]:[V_FUT_U_JURS CENARIO]], D$5, FALSE)</f>
        <v>#N/A</v>
      </c>
      <c r="E466" s="22" t="e">
        <f>VLOOKUP($A466,TAB_CORRECAO_U[[Q_DIAS_U_PARC_TIR]:[V_FUT_U_CORC-02]],E$5, FALSE)</f>
        <v>#N/A</v>
      </c>
      <c r="F466" s="22" t="e">
        <f>VLOOKUP($A466,TAB_AMORTIZACAO_U[[Q_DIAS_U_PARC_TIR]:[V_FUT_U_PCPL-02]], F$5, FALSE)</f>
        <v>#N/A</v>
      </c>
      <c r="H466" s="20">
        <f t="shared" si="42"/>
        <v>0</v>
      </c>
      <c r="I466" s="21">
        <f t="shared" si="43"/>
        <v>0</v>
      </c>
      <c r="J466" s="22" t="e">
        <f>VLOOKUP($A466, TAB_JUROS_C[[DIAS_CORRIDOS]:[V_FUT_UTEIS]], J$5, FALSE)</f>
        <v>#N/A</v>
      </c>
      <c r="K466" s="22" t="e">
        <f>VLOOKUP($A466, TAB_CORRECAO_C[[DIAS_CORRIDOS]:[V_FUT_UTEIS]],K$5, FALSE)</f>
        <v>#N/A</v>
      </c>
      <c r="L466" s="22" t="e">
        <f>VLOOKUP($A466, TAB_AMORTIZACAO_C[[DIAS_CORRIDOS]:[V_FUT_UTEIS]], L$5, FALSE)</f>
        <v>#N/A</v>
      </c>
    </row>
    <row r="467" spans="1:12" hidden="1">
      <c r="A467" s="19">
        <f t="shared" si="44"/>
        <v>461</v>
      </c>
      <c r="B467" s="20">
        <f t="shared" si="40"/>
        <v>0</v>
      </c>
      <c r="C467" s="21">
        <f t="shared" si="41"/>
        <v>0</v>
      </c>
      <c r="D467" s="22" t="e">
        <f>VLOOKUP($A467, TAB_JUROS_U[[Q_DIAS_U_PARC_TIR]:[V_FUT_U_JURS CENARIO]], D$5, FALSE)</f>
        <v>#N/A</v>
      </c>
      <c r="E467" s="22" t="e">
        <f>VLOOKUP($A467,TAB_CORRECAO_U[[Q_DIAS_U_PARC_TIR]:[V_FUT_U_CORC-02]],E$5, FALSE)</f>
        <v>#N/A</v>
      </c>
      <c r="F467" s="22" t="e">
        <f>VLOOKUP($A467,TAB_AMORTIZACAO_U[[Q_DIAS_U_PARC_TIR]:[V_FUT_U_PCPL-02]], F$5, FALSE)</f>
        <v>#N/A</v>
      </c>
      <c r="H467" s="20">
        <f t="shared" si="42"/>
        <v>0</v>
      </c>
      <c r="I467" s="21">
        <f t="shared" si="43"/>
        <v>0</v>
      </c>
      <c r="J467" s="22" t="e">
        <f>VLOOKUP($A467, TAB_JUROS_C[[DIAS_CORRIDOS]:[V_FUT_UTEIS]], J$5, FALSE)</f>
        <v>#N/A</v>
      </c>
      <c r="K467" s="22" t="e">
        <f>VLOOKUP($A467, TAB_CORRECAO_C[[DIAS_CORRIDOS]:[V_FUT_UTEIS]],K$5, FALSE)</f>
        <v>#N/A</v>
      </c>
      <c r="L467" s="22" t="e">
        <f>VLOOKUP($A467, TAB_AMORTIZACAO_C[[DIAS_CORRIDOS]:[V_FUT_UTEIS]], L$5, FALSE)</f>
        <v>#N/A</v>
      </c>
    </row>
    <row r="468" spans="1:12" hidden="1">
      <c r="A468" s="19">
        <f t="shared" si="44"/>
        <v>462</v>
      </c>
      <c r="B468" s="20">
        <f t="shared" si="40"/>
        <v>0</v>
      </c>
      <c r="C468" s="21">
        <f t="shared" si="41"/>
        <v>0</v>
      </c>
      <c r="D468" s="22" t="e">
        <f>VLOOKUP($A468, TAB_JUROS_U[[Q_DIAS_U_PARC_TIR]:[V_FUT_U_JURS CENARIO]], D$5, FALSE)</f>
        <v>#N/A</v>
      </c>
      <c r="E468" s="22" t="e">
        <f>VLOOKUP($A468,TAB_CORRECAO_U[[Q_DIAS_U_PARC_TIR]:[V_FUT_U_CORC-02]],E$5, FALSE)</f>
        <v>#N/A</v>
      </c>
      <c r="F468" s="22" t="e">
        <f>VLOOKUP($A468,TAB_AMORTIZACAO_U[[Q_DIAS_U_PARC_TIR]:[V_FUT_U_PCPL-02]], F$5, FALSE)</f>
        <v>#N/A</v>
      </c>
      <c r="H468" s="20">
        <f t="shared" si="42"/>
        <v>0</v>
      </c>
      <c r="I468" s="21">
        <f t="shared" si="43"/>
        <v>0</v>
      </c>
      <c r="J468" s="22" t="e">
        <f>VLOOKUP($A468, TAB_JUROS_C[[DIAS_CORRIDOS]:[V_FUT_UTEIS]], J$5, FALSE)</f>
        <v>#N/A</v>
      </c>
      <c r="K468" s="22" t="e">
        <f>VLOOKUP($A468, TAB_CORRECAO_C[[DIAS_CORRIDOS]:[V_FUT_UTEIS]],K$5, FALSE)</f>
        <v>#N/A</v>
      </c>
      <c r="L468" s="22" t="e">
        <f>VLOOKUP($A468, TAB_AMORTIZACAO_C[[DIAS_CORRIDOS]:[V_FUT_UTEIS]], L$5, FALSE)</f>
        <v>#N/A</v>
      </c>
    </row>
    <row r="469" spans="1:12" hidden="1">
      <c r="A469" s="19">
        <f t="shared" si="44"/>
        <v>463</v>
      </c>
      <c r="B469" s="20">
        <f t="shared" si="40"/>
        <v>0</v>
      </c>
      <c r="C469" s="21">
        <f t="shared" si="41"/>
        <v>0</v>
      </c>
      <c r="D469" s="22" t="e">
        <f>VLOOKUP($A469, TAB_JUROS_U[[Q_DIAS_U_PARC_TIR]:[V_FUT_U_JURS CENARIO]], D$5, FALSE)</f>
        <v>#N/A</v>
      </c>
      <c r="E469" s="22" t="e">
        <f>VLOOKUP($A469,TAB_CORRECAO_U[[Q_DIAS_U_PARC_TIR]:[V_FUT_U_CORC-02]],E$5, FALSE)</f>
        <v>#N/A</v>
      </c>
      <c r="F469" s="22" t="e">
        <f>VLOOKUP($A469,TAB_AMORTIZACAO_U[[Q_DIAS_U_PARC_TIR]:[V_FUT_U_PCPL-02]], F$5, FALSE)</f>
        <v>#N/A</v>
      </c>
      <c r="H469" s="20">
        <f t="shared" si="42"/>
        <v>0</v>
      </c>
      <c r="I469" s="21">
        <f t="shared" si="43"/>
        <v>0</v>
      </c>
      <c r="J469" s="22" t="e">
        <f>VLOOKUP($A469, TAB_JUROS_C[[DIAS_CORRIDOS]:[V_FUT_UTEIS]], J$5, FALSE)</f>
        <v>#N/A</v>
      </c>
      <c r="K469" s="22" t="e">
        <f>VLOOKUP($A469, TAB_CORRECAO_C[[DIAS_CORRIDOS]:[V_FUT_UTEIS]],K$5, FALSE)</f>
        <v>#N/A</v>
      </c>
      <c r="L469" s="22" t="e">
        <f>VLOOKUP($A469, TAB_AMORTIZACAO_C[[DIAS_CORRIDOS]:[V_FUT_UTEIS]], L$5, FALSE)</f>
        <v>#N/A</v>
      </c>
    </row>
    <row r="470" spans="1:12" hidden="1">
      <c r="A470" s="19">
        <f t="shared" si="44"/>
        <v>464</v>
      </c>
      <c r="B470" s="20">
        <f t="shared" si="40"/>
        <v>0</v>
      </c>
      <c r="C470" s="21">
        <f t="shared" si="41"/>
        <v>0</v>
      </c>
      <c r="D470" s="22" t="e">
        <f>VLOOKUP($A470, TAB_JUROS_U[[Q_DIAS_U_PARC_TIR]:[V_FUT_U_JURS CENARIO]], D$5, FALSE)</f>
        <v>#N/A</v>
      </c>
      <c r="E470" s="22" t="e">
        <f>VLOOKUP($A470,TAB_CORRECAO_U[[Q_DIAS_U_PARC_TIR]:[V_FUT_U_CORC-02]],E$5, FALSE)</f>
        <v>#N/A</v>
      </c>
      <c r="F470" s="22" t="e">
        <f>VLOOKUP($A470,TAB_AMORTIZACAO_U[[Q_DIAS_U_PARC_TIR]:[V_FUT_U_PCPL-02]], F$5, FALSE)</f>
        <v>#N/A</v>
      </c>
      <c r="H470" s="20">
        <f t="shared" si="42"/>
        <v>0</v>
      </c>
      <c r="I470" s="21">
        <f t="shared" si="43"/>
        <v>0</v>
      </c>
      <c r="J470" s="22" t="e">
        <f>VLOOKUP($A470, TAB_JUROS_C[[DIAS_CORRIDOS]:[V_FUT_UTEIS]], J$5, FALSE)</f>
        <v>#N/A</v>
      </c>
      <c r="K470" s="22" t="e">
        <f>VLOOKUP($A470, TAB_CORRECAO_C[[DIAS_CORRIDOS]:[V_FUT_UTEIS]],K$5, FALSE)</f>
        <v>#N/A</v>
      </c>
      <c r="L470" s="22" t="e">
        <f>VLOOKUP($A470, TAB_AMORTIZACAO_C[[DIAS_CORRIDOS]:[V_FUT_UTEIS]], L$5, FALSE)</f>
        <v>#N/A</v>
      </c>
    </row>
    <row r="471" spans="1:12" hidden="1">
      <c r="A471" s="19">
        <f t="shared" si="44"/>
        <v>465</v>
      </c>
      <c r="B471" s="20">
        <f t="shared" si="40"/>
        <v>0</v>
      </c>
      <c r="C471" s="21">
        <f t="shared" si="41"/>
        <v>0</v>
      </c>
      <c r="D471" s="22" t="e">
        <f>VLOOKUP($A471, TAB_JUROS_U[[Q_DIAS_U_PARC_TIR]:[V_FUT_U_JURS CENARIO]], D$5, FALSE)</f>
        <v>#N/A</v>
      </c>
      <c r="E471" s="22" t="e">
        <f>VLOOKUP($A471,TAB_CORRECAO_U[[Q_DIAS_U_PARC_TIR]:[V_FUT_U_CORC-02]],E$5, FALSE)</f>
        <v>#N/A</v>
      </c>
      <c r="F471" s="22" t="e">
        <f>VLOOKUP($A471,TAB_AMORTIZACAO_U[[Q_DIAS_U_PARC_TIR]:[V_FUT_U_PCPL-02]], F$5, FALSE)</f>
        <v>#N/A</v>
      </c>
      <c r="H471" s="20">
        <f t="shared" si="42"/>
        <v>0</v>
      </c>
      <c r="I471" s="21">
        <f t="shared" si="43"/>
        <v>0</v>
      </c>
      <c r="J471" s="22" t="e">
        <f>VLOOKUP($A471, TAB_JUROS_C[[DIAS_CORRIDOS]:[V_FUT_UTEIS]], J$5, FALSE)</f>
        <v>#N/A</v>
      </c>
      <c r="K471" s="22" t="e">
        <f>VLOOKUP($A471, TAB_CORRECAO_C[[DIAS_CORRIDOS]:[V_FUT_UTEIS]],K$5, FALSE)</f>
        <v>#N/A</v>
      </c>
      <c r="L471" s="22" t="e">
        <f>VLOOKUP($A471, TAB_AMORTIZACAO_C[[DIAS_CORRIDOS]:[V_FUT_UTEIS]], L$5, FALSE)</f>
        <v>#N/A</v>
      </c>
    </row>
    <row r="472" spans="1:12" hidden="1">
      <c r="A472" s="19">
        <f t="shared" si="44"/>
        <v>466</v>
      </c>
      <c r="B472" s="20">
        <f t="shared" si="40"/>
        <v>0</v>
      </c>
      <c r="C472" s="21">
        <f t="shared" si="41"/>
        <v>0</v>
      </c>
      <c r="D472" s="22" t="e">
        <f>VLOOKUP($A472, TAB_JUROS_U[[Q_DIAS_U_PARC_TIR]:[V_FUT_U_JURS CENARIO]], D$5, FALSE)</f>
        <v>#N/A</v>
      </c>
      <c r="E472" s="22" t="e">
        <f>VLOOKUP($A472,TAB_CORRECAO_U[[Q_DIAS_U_PARC_TIR]:[V_FUT_U_CORC-02]],E$5, FALSE)</f>
        <v>#N/A</v>
      </c>
      <c r="F472" s="22" t="e">
        <f>VLOOKUP($A472,TAB_AMORTIZACAO_U[[Q_DIAS_U_PARC_TIR]:[V_FUT_U_PCPL-02]], F$5, FALSE)</f>
        <v>#N/A</v>
      </c>
      <c r="H472" s="20">
        <f t="shared" si="42"/>
        <v>0</v>
      </c>
      <c r="I472" s="21">
        <f t="shared" si="43"/>
        <v>0</v>
      </c>
      <c r="J472" s="22" t="e">
        <f>VLOOKUP($A472, TAB_JUROS_C[[DIAS_CORRIDOS]:[V_FUT_UTEIS]], J$5, FALSE)</f>
        <v>#N/A</v>
      </c>
      <c r="K472" s="22" t="e">
        <f>VLOOKUP($A472, TAB_CORRECAO_C[[DIAS_CORRIDOS]:[V_FUT_UTEIS]],K$5, FALSE)</f>
        <v>#N/A</v>
      </c>
      <c r="L472" s="22" t="e">
        <f>VLOOKUP($A472, TAB_AMORTIZACAO_C[[DIAS_CORRIDOS]:[V_FUT_UTEIS]], L$5, FALSE)</f>
        <v>#N/A</v>
      </c>
    </row>
    <row r="473" spans="1:12" hidden="1">
      <c r="A473" s="19">
        <f t="shared" si="44"/>
        <v>467</v>
      </c>
      <c r="B473" s="20">
        <f t="shared" si="40"/>
        <v>0</v>
      </c>
      <c r="C473" s="21">
        <f t="shared" si="41"/>
        <v>0</v>
      </c>
      <c r="D473" s="22" t="e">
        <f>VLOOKUP($A473, TAB_JUROS_U[[Q_DIAS_U_PARC_TIR]:[V_FUT_U_JURS CENARIO]], D$5, FALSE)</f>
        <v>#N/A</v>
      </c>
      <c r="E473" s="22" t="e">
        <f>VLOOKUP($A473,TAB_CORRECAO_U[[Q_DIAS_U_PARC_TIR]:[V_FUT_U_CORC-02]],E$5, FALSE)</f>
        <v>#N/A</v>
      </c>
      <c r="F473" s="22" t="e">
        <f>VLOOKUP($A473,TAB_AMORTIZACAO_U[[Q_DIAS_U_PARC_TIR]:[V_FUT_U_PCPL-02]], F$5, FALSE)</f>
        <v>#N/A</v>
      </c>
      <c r="H473" s="20">
        <f t="shared" si="42"/>
        <v>0</v>
      </c>
      <c r="I473" s="21">
        <f t="shared" si="43"/>
        <v>0</v>
      </c>
      <c r="J473" s="22" t="e">
        <f>VLOOKUP($A473, TAB_JUROS_C[[DIAS_CORRIDOS]:[V_FUT_UTEIS]], J$5, FALSE)</f>
        <v>#N/A</v>
      </c>
      <c r="K473" s="22" t="e">
        <f>VLOOKUP($A473, TAB_CORRECAO_C[[DIAS_CORRIDOS]:[V_FUT_UTEIS]],K$5, FALSE)</f>
        <v>#N/A</v>
      </c>
      <c r="L473" s="22" t="e">
        <f>VLOOKUP($A473, TAB_AMORTIZACAO_C[[DIAS_CORRIDOS]:[V_FUT_UTEIS]], L$5, FALSE)</f>
        <v>#N/A</v>
      </c>
    </row>
    <row r="474" spans="1:12" hidden="1">
      <c r="A474" s="19">
        <f t="shared" si="44"/>
        <v>468</v>
      </c>
      <c r="B474" s="20">
        <f t="shared" si="40"/>
        <v>0</v>
      </c>
      <c r="C474" s="21">
        <f t="shared" si="41"/>
        <v>0</v>
      </c>
      <c r="D474" s="22" t="e">
        <f>VLOOKUP($A474, TAB_JUROS_U[[Q_DIAS_U_PARC_TIR]:[V_FUT_U_JURS CENARIO]], D$5, FALSE)</f>
        <v>#N/A</v>
      </c>
      <c r="E474" s="22" t="e">
        <f>VLOOKUP($A474,TAB_CORRECAO_U[[Q_DIAS_U_PARC_TIR]:[V_FUT_U_CORC-02]],E$5, FALSE)</f>
        <v>#N/A</v>
      </c>
      <c r="F474" s="22" t="e">
        <f>VLOOKUP($A474,TAB_AMORTIZACAO_U[[Q_DIAS_U_PARC_TIR]:[V_FUT_U_PCPL-02]], F$5, FALSE)</f>
        <v>#N/A</v>
      </c>
      <c r="H474" s="20">
        <f t="shared" si="42"/>
        <v>0</v>
      </c>
      <c r="I474" s="21">
        <f t="shared" si="43"/>
        <v>0</v>
      </c>
      <c r="J474" s="22" t="e">
        <f>VLOOKUP($A474, TAB_JUROS_C[[DIAS_CORRIDOS]:[V_FUT_UTEIS]], J$5, FALSE)</f>
        <v>#N/A</v>
      </c>
      <c r="K474" s="22" t="e">
        <f>VLOOKUP($A474, TAB_CORRECAO_C[[DIAS_CORRIDOS]:[V_FUT_UTEIS]],K$5, FALSE)</f>
        <v>#N/A</v>
      </c>
      <c r="L474" s="22" t="e">
        <f>VLOOKUP($A474, TAB_AMORTIZACAO_C[[DIAS_CORRIDOS]:[V_FUT_UTEIS]], L$5, FALSE)</f>
        <v>#N/A</v>
      </c>
    </row>
    <row r="475" spans="1:12" hidden="1">
      <c r="A475" s="19">
        <f t="shared" si="44"/>
        <v>469</v>
      </c>
      <c r="B475" s="20">
        <f t="shared" si="40"/>
        <v>0</v>
      </c>
      <c r="C475" s="21">
        <f t="shared" si="41"/>
        <v>0</v>
      </c>
      <c r="D475" s="22" t="e">
        <f>VLOOKUP($A475, TAB_JUROS_U[[Q_DIAS_U_PARC_TIR]:[V_FUT_U_JURS CENARIO]], D$5, FALSE)</f>
        <v>#N/A</v>
      </c>
      <c r="E475" s="22" t="e">
        <f>VLOOKUP($A475,TAB_CORRECAO_U[[Q_DIAS_U_PARC_TIR]:[V_FUT_U_CORC-02]],E$5, FALSE)</f>
        <v>#N/A</v>
      </c>
      <c r="F475" s="22" t="e">
        <f>VLOOKUP($A475,TAB_AMORTIZACAO_U[[Q_DIAS_U_PARC_TIR]:[V_FUT_U_PCPL-02]], F$5, FALSE)</f>
        <v>#N/A</v>
      </c>
      <c r="H475" s="20">
        <f t="shared" si="42"/>
        <v>0</v>
      </c>
      <c r="I475" s="21">
        <f t="shared" si="43"/>
        <v>0</v>
      </c>
      <c r="J475" s="22" t="e">
        <f>VLOOKUP($A475, TAB_JUROS_C[[DIAS_CORRIDOS]:[V_FUT_UTEIS]], J$5, FALSE)</f>
        <v>#N/A</v>
      </c>
      <c r="K475" s="22" t="e">
        <f>VLOOKUP($A475, TAB_CORRECAO_C[[DIAS_CORRIDOS]:[V_FUT_UTEIS]],K$5, FALSE)</f>
        <v>#N/A</v>
      </c>
      <c r="L475" s="22" t="e">
        <f>VLOOKUP($A475, TAB_AMORTIZACAO_C[[DIAS_CORRIDOS]:[V_FUT_UTEIS]], L$5, FALSE)</f>
        <v>#N/A</v>
      </c>
    </row>
    <row r="476" spans="1:12" hidden="1">
      <c r="A476" s="19">
        <f t="shared" si="44"/>
        <v>470</v>
      </c>
      <c r="B476" s="20">
        <f t="shared" si="40"/>
        <v>0</v>
      </c>
      <c r="C476" s="21">
        <f t="shared" si="41"/>
        <v>0</v>
      </c>
      <c r="D476" s="22" t="e">
        <f>VLOOKUP($A476, TAB_JUROS_U[[Q_DIAS_U_PARC_TIR]:[V_FUT_U_JURS CENARIO]], D$5, FALSE)</f>
        <v>#N/A</v>
      </c>
      <c r="E476" s="22" t="e">
        <f>VLOOKUP($A476,TAB_CORRECAO_U[[Q_DIAS_U_PARC_TIR]:[V_FUT_U_CORC-02]],E$5, FALSE)</f>
        <v>#N/A</v>
      </c>
      <c r="F476" s="22" t="e">
        <f>VLOOKUP($A476,TAB_AMORTIZACAO_U[[Q_DIAS_U_PARC_TIR]:[V_FUT_U_PCPL-02]], F$5, FALSE)</f>
        <v>#N/A</v>
      </c>
      <c r="H476" s="20">
        <f t="shared" si="42"/>
        <v>1969.8493446858313</v>
      </c>
      <c r="I476" s="21">
        <f t="shared" si="43"/>
        <v>1969.8493446858313</v>
      </c>
      <c r="J476" s="22">
        <f>VLOOKUP($A476, TAB_JUROS_C[[DIAS_CORRIDOS]:[V_FUT_UTEIS]], J$5, FALSE)</f>
        <v>162.17713810906247</v>
      </c>
      <c r="K476" s="22">
        <f>VLOOKUP($A476, TAB_CORRECAO_C[[DIAS_CORRIDOS]:[V_FUT_UTEIS]],K$5, FALSE)</f>
        <v>1080.4227726288493</v>
      </c>
      <c r="L476" s="22">
        <f>VLOOKUP($A476, TAB_AMORTIZACAO_C[[DIAS_CORRIDOS]:[V_FUT_UTEIS]], L$5, FALSE)</f>
        <v>727.24943394791944</v>
      </c>
    </row>
    <row r="477" spans="1:12" hidden="1">
      <c r="A477" s="19">
        <f t="shared" si="44"/>
        <v>471</v>
      </c>
      <c r="B477" s="20">
        <f t="shared" si="40"/>
        <v>0</v>
      </c>
      <c r="C477" s="21">
        <f t="shared" si="41"/>
        <v>0</v>
      </c>
      <c r="D477" s="22" t="e">
        <f>VLOOKUP($A477, TAB_JUROS_U[[Q_DIAS_U_PARC_TIR]:[V_FUT_U_JURS CENARIO]], D$5, FALSE)</f>
        <v>#N/A</v>
      </c>
      <c r="E477" s="22" t="e">
        <f>VLOOKUP($A477,TAB_CORRECAO_U[[Q_DIAS_U_PARC_TIR]:[V_FUT_U_CORC-02]],E$5, FALSE)</f>
        <v>#N/A</v>
      </c>
      <c r="F477" s="22" t="e">
        <f>VLOOKUP($A477,TAB_AMORTIZACAO_U[[Q_DIAS_U_PARC_TIR]:[V_FUT_U_PCPL-02]], F$5, FALSE)</f>
        <v>#N/A</v>
      </c>
      <c r="H477" s="20">
        <f t="shared" si="42"/>
        <v>0</v>
      </c>
      <c r="I477" s="21">
        <f t="shared" si="43"/>
        <v>0</v>
      </c>
      <c r="J477" s="22" t="e">
        <f>VLOOKUP($A477, TAB_JUROS_C[[DIAS_CORRIDOS]:[V_FUT_UTEIS]], J$5, FALSE)</f>
        <v>#N/A</v>
      </c>
      <c r="K477" s="22" t="e">
        <f>VLOOKUP($A477, TAB_CORRECAO_C[[DIAS_CORRIDOS]:[V_FUT_UTEIS]],K$5, FALSE)</f>
        <v>#N/A</v>
      </c>
      <c r="L477" s="22" t="e">
        <f>VLOOKUP($A477, TAB_AMORTIZACAO_C[[DIAS_CORRIDOS]:[V_FUT_UTEIS]], L$5, FALSE)</f>
        <v>#N/A</v>
      </c>
    </row>
    <row r="478" spans="1:12" hidden="1">
      <c r="A478" s="19">
        <f t="shared" si="44"/>
        <v>472</v>
      </c>
      <c r="B478" s="20">
        <f t="shared" si="40"/>
        <v>0</v>
      </c>
      <c r="C478" s="21">
        <f t="shared" si="41"/>
        <v>0</v>
      </c>
      <c r="D478" s="22" t="e">
        <f>VLOOKUP($A478, TAB_JUROS_U[[Q_DIAS_U_PARC_TIR]:[V_FUT_U_JURS CENARIO]], D$5, FALSE)</f>
        <v>#N/A</v>
      </c>
      <c r="E478" s="22" t="e">
        <f>VLOOKUP($A478,TAB_CORRECAO_U[[Q_DIAS_U_PARC_TIR]:[V_FUT_U_CORC-02]],E$5, FALSE)</f>
        <v>#N/A</v>
      </c>
      <c r="F478" s="22" t="e">
        <f>VLOOKUP($A478,TAB_AMORTIZACAO_U[[Q_DIAS_U_PARC_TIR]:[V_FUT_U_PCPL-02]], F$5, FALSE)</f>
        <v>#N/A</v>
      </c>
      <c r="H478" s="20">
        <f t="shared" si="42"/>
        <v>0</v>
      </c>
      <c r="I478" s="21">
        <f t="shared" si="43"/>
        <v>0</v>
      </c>
      <c r="J478" s="22" t="e">
        <f>VLOOKUP($A478, TAB_JUROS_C[[DIAS_CORRIDOS]:[V_FUT_UTEIS]], J$5, FALSE)</f>
        <v>#N/A</v>
      </c>
      <c r="K478" s="22" t="e">
        <f>VLOOKUP($A478, TAB_CORRECAO_C[[DIAS_CORRIDOS]:[V_FUT_UTEIS]],K$5, FALSE)</f>
        <v>#N/A</v>
      </c>
      <c r="L478" s="22" t="e">
        <f>VLOOKUP($A478, TAB_AMORTIZACAO_C[[DIAS_CORRIDOS]:[V_FUT_UTEIS]], L$5, FALSE)</f>
        <v>#N/A</v>
      </c>
    </row>
    <row r="479" spans="1:12">
      <c r="A479" s="19">
        <f t="shared" si="44"/>
        <v>473</v>
      </c>
      <c r="B479" s="20">
        <f t="shared" si="40"/>
        <v>1530.9872347028959</v>
      </c>
      <c r="C479" s="21">
        <f t="shared" si="41"/>
        <v>1530.9872347028959</v>
      </c>
      <c r="D479" s="22">
        <f>VLOOKUP($A479, TAB_JUROS_U[[Q_DIAS_U_PARC_TIR]:[V_FUT_U_JURS CENARIO]], D$5, FALSE)</f>
        <v>125.29496334802913</v>
      </c>
      <c r="E479" s="22">
        <f>VLOOKUP($A479,TAB_CORRECAO_U[[Q_DIAS_U_PARC_TIR]:[V_FUT_U_CORC-02]],E$5, FALSE)</f>
        <v>789.64245765883209</v>
      </c>
      <c r="F479" s="22">
        <f>VLOOKUP($A479,TAB_AMORTIZACAO_U[[Q_DIAS_U_PARC_TIR]:[V_FUT_U_PCPL-02]], F$5, FALSE)</f>
        <v>616.04981369603468</v>
      </c>
      <c r="H479" s="20">
        <f t="shared" si="42"/>
        <v>0</v>
      </c>
      <c r="I479" s="21">
        <f t="shared" si="43"/>
        <v>0</v>
      </c>
      <c r="J479" s="22" t="e">
        <f>VLOOKUP($A479, TAB_JUROS_C[[DIAS_CORRIDOS]:[V_FUT_UTEIS]], J$5, FALSE)</f>
        <v>#N/A</v>
      </c>
      <c r="K479" s="22" t="e">
        <f>VLOOKUP($A479, TAB_CORRECAO_C[[DIAS_CORRIDOS]:[V_FUT_UTEIS]],K$5, FALSE)</f>
        <v>#N/A</v>
      </c>
      <c r="L479" s="22" t="e">
        <f>VLOOKUP($A479, TAB_AMORTIZACAO_C[[DIAS_CORRIDOS]:[V_FUT_UTEIS]], L$5, FALSE)</f>
        <v>#N/A</v>
      </c>
    </row>
    <row r="480" spans="1:12" hidden="1">
      <c r="A480" s="19">
        <f t="shared" si="44"/>
        <v>474</v>
      </c>
      <c r="B480" s="20">
        <f t="shared" si="40"/>
        <v>0</v>
      </c>
      <c r="C480" s="21">
        <f t="shared" si="41"/>
        <v>0</v>
      </c>
      <c r="D480" s="22" t="e">
        <f>VLOOKUP($A480, TAB_JUROS_U[[Q_DIAS_U_PARC_TIR]:[V_FUT_U_JURS CENARIO]], D$5, FALSE)</f>
        <v>#N/A</v>
      </c>
      <c r="E480" s="22" t="e">
        <f>VLOOKUP($A480,TAB_CORRECAO_U[[Q_DIAS_U_PARC_TIR]:[V_FUT_U_CORC-02]],E$5, FALSE)</f>
        <v>#N/A</v>
      </c>
      <c r="F480" s="22" t="e">
        <f>VLOOKUP($A480,TAB_AMORTIZACAO_U[[Q_DIAS_U_PARC_TIR]:[V_FUT_U_PCPL-02]], F$5, FALSE)</f>
        <v>#N/A</v>
      </c>
      <c r="H480" s="20">
        <f t="shared" si="42"/>
        <v>0</v>
      </c>
      <c r="I480" s="21">
        <f t="shared" si="43"/>
        <v>0</v>
      </c>
      <c r="J480" s="22" t="e">
        <f>VLOOKUP($A480, TAB_JUROS_C[[DIAS_CORRIDOS]:[V_FUT_UTEIS]], J$5, FALSE)</f>
        <v>#N/A</v>
      </c>
      <c r="K480" s="22" t="e">
        <f>VLOOKUP($A480, TAB_CORRECAO_C[[DIAS_CORRIDOS]:[V_FUT_UTEIS]],K$5, FALSE)</f>
        <v>#N/A</v>
      </c>
      <c r="L480" s="22" t="e">
        <f>VLOOKUP($A480, TAB_AMORTIZACAO_C[[DIAS_CORRIDOS]:[V_FUT_UTEIS]], L$5, FALSE)</f>
        <v>#N/A</v>
      </c>
    </row>
    <row r="481" spans="1:12" hidden="1">
      <c r="A481" s="19">
        <f t="shared" si="44"/>
        <v>475</v>
      </c>
      <c r="B481" s="20">
        <f t="shared" si="40"/>
        <v>0</v>
      </c>
      <c r="C481" s="21">
        <f t="shared" si="41"/>
        <v>0</v>
      </c>
      <c r="D481" s="22" t="e">
        <f>VLOOKUP($A481, TAB_JUROS_U[[Q_DIAS_U_PARC_TIR]:[V_FUT_U_JURS CENARIO]], D$5, FALSE)</f>
        <v>#N/A</v>
      </c>
      <c r="E481" s="22" t="e">
        <f>VLOOKUP($A481,TAB_CORRECAO_U[[Q_DIAS_U_PARC_TIR]:[V_FUT_U_CORC-02]],E$5, FALSE)</f>
        <v>#N/A</v>
      </c>
      <c r="F481" s="22" t="e">
        <f>VLOOKUP($A481,TAB_AMORTIZACAO_U[[Q_DIAS_U_PARC_TIR]:[V_FUT_U_PCPL-02]], F$5, FALSE)</f>
        <v>#N/A</v>
      </c>
      <c r="H481" s="20">
        <f t="shared" si="42"/>
        <v>0</v>
      </c>
      <c r="I481" s="21">
        <f t="shared" si="43"/>
        <v>0</v>
      </c>
      <c r="J481" s="22" t="e">
        <f>VLOOKUP($A481, TAB_JUROS_C[[DIAS_CORRIDOS]:[V_FUT_UTEIS]], J$5, FALSE)</f>
        <v>#N/A</v>
      </c>
      <c r="K481" s="22" t="e">
        <f>VLOOKUP($A481, TAB_CORRECAO_C[[DIAS_CORRIDOS]:[V_FUT_UTEIS]],K$5, FALSE)</f>
        <v>#N/A</v>
      </c>
      <c r="L481" s="22" t="e">
        <f>VLOOKUP($A481, TAB_AMORTIZACAO_C[[DIAS_CORRIDOS]:[V_FUT_UTEIS]], L$5, FALSE)</f>
        <v>#N/A</v>
      </c>
    </row>
    <row r="482" spans="1:12" hidden="1">
      <c r="A482" s="19">
        <f t="shared" si="44"/>
        <v>476</v>
      </c>
      <c r="B482" s="20">
        <f t="shared" si="40"/>
        <v>0</v>
      </c>
      <c r="C482" s="21">
        <f t="shared" si="41"/>
        <v>0</v>
      </c>
      <c r="D482" s="22" t="e">
        <f>VLOOKUP($A482, TAB_JUROS_U[[Q_DIAS_U_PARC_TIR]:[V_FUT_U_JURS CENARIO]], D$5, FALSE)</f>
        <v>#N/A</v>
      </c>
      <c r="E482" s="22" t="e">
        <f>VLOOKUP($A482,TAB_CORRECAO_U[[Q_DIAS_U_PARC_TIR]:[V_FUT_U_CORC-02]],E$5, FALSE)</f>
        <v>#N/A</v>
      </c>
      <c r="F482" s="22" t="e">
        <f>VLOOKUP($A482,TAB_AMORTIZACAO_U[[Q_DIAS_U_PARC_TIR]:[V_FUT_U_PCPL-02]], F$5, FALSE)</f>
        <v>#N/A</v>
      </c>
      <c r="H482" s="20">
        <f t="shared" si="42"/>
        <v>0</v>
      </c>
      <c r="I482" s="21">
        <f t="shared" si="43"/>
        <v>0</v>
      </c>
      <c r="J482" s="22" t="e">
        <f>VLOOKUP($A482, TAB_JUROS_C[[DIAS_CORRIDOS]:[V_FUT_UTEIS]], J$5, FALSE)</f>
        <v>#N/A</v>
      </c>
      <c r="K482" s="22" t="e">
        <f>VLOOKUP($A482, TAB_CORRECAO_C[[DIAS_CORRIDOS]:[V_FUT_UTEIS]],K$5, FALSE)</f>
        <v>#N/A</v>
      </c>
      <c r="L482" s="22" t="e">
        <f>VLOOKUP($A482, TAB_AMORTIZACAO_C[[DIAS_CORRIDOS]:[V_FUT_UTEIS]], L$5, FALSE)</f>
        <v>#N/A</v>
      </c>
    </row>
    <row r="483" spans="1:12" hidden="1">
      <c r="A483" s="19">
        <f t="shared" si="44"/>
        <v>477</v>
      </c>
      <c r="B483" s="20">
        <f t="shared" si="40"/>
        <v>0</v>
      </c>
      <c r="C483" s="21">
        <f t="shared" si="41"/>
        <v>0</v>
      </c>
      <c r="D483" s="22" t="e">
        <f>VLOOKUP($A483, TAB_JUROS_U[[Q_DIAS_U_PARC_TIR]:[V_FUT_U_JURS CENARIO]], D$5, FALSE)</f>
        <v>#N/A</v>
      </c>
      <c r="E483" s="22" t="e">
        <f>VLOOKUP($A483,TAB_CORRECAO_U[[Q_DIAS_U_PARC_TIR]:[V_FUT_U_CORC-02]],E$5, FALSE)</f>
        <v>#N/A</v>
      </c>
      <c r="F483" s="22" t="e">
        <f>VLOOKUP($A483,TAB_AMORTIZACAO_U[[Q_DIAS_U_PARC_TIR]:[V_FUT_U_PCPL-02]], F$5, FALSE)</f>
        <v>#N/A</v>
      </c>
      <c r="H483" s="20">
        <f t="shared" si="42"/>
        <v>0</v>
      </c>
      <c r="I483" s="21">
        <f t="shared" si="43"/>
        <v>0</v>
      </c>
      <c r="J483" s="22" t="e">
        <f>VLOOKUP($A483, TAB_JUROS_C[[DIAS_CORRIDOS]:[V_FUT_UTEIS]], J$5, FALSE)</f>
        <v>#N/A</v>
      </c>
      <c r="K483" s="22" t="e">
        <f>VLOOKUP($A483, TAB_CORRECAO_C[[DIAS_CORRIDOS]:[V_FUT_UTEIS]],K$5, FALSE)</f>
        <v>#N/A</v>
      </c>
      <c r="L483" s="22" t="e">
        <f>VLOOKUP($A483, TAB_AMORTIZACAO_C[[DIAS_CORRIDOS]:[V_FUT_UTEIS]], L$5, FALSE)</f>
        <v>#N/A</v>
      </c>
    </row>
    <row r="484" spans="1:12" hidden="1">
      <c r="A484" s="19">
        <f t="shared" si="44"/>
        <v>478</v>
      </c>
      <c r="B484" s="20">
        <f t="shared" si="40"/>
        <v>0</v>
      </c>
      <c r="C484" s="21">
        <f t="shared" si="41"/>
        <v>0</v>
      </c>
      <c r="D484" s="22" t="e">
        <f>VLOOKUP($A484, TAB_JUROS_U[[Q_DIAS_U_PARC_TIR]:[V_FUT_U_JURS CENARIO]], D$5, FALSE)</f>
        <v>#N/A</v>
      </c>
      <c r="E484" s="22" t="e">
        <f>VLOOKUP($A484,TAB_CORRECAO_U[[Q_DIAS_U_PARC_TIR]:[V_FUT_U_CORC-02]],E$5, FALSE)</f>
        <v>#N/A</v>
      </c>
      <c r="F484" s="22" t="e">
        <f>VLOOKUP($A484,TAB_AMORTIZACAO_U[[Q_DIAS_U_PARC_TIR]:[V_FUT_U_PCPL-02]], F$5, FALSE)</f>
        <v>#N/A</v>
      </c>
      <c r="H484" s="20">
        <f t="shared" si="42"/>
        <v>0</v>
      </c>
      <c r="I484" s="21">
        <f t="shared" si="43"/>
        <v>0</v>
      </c>
      <c r="J484" s="22" t="e">
        <f>VLOOKUP($A484, TAB_JUROS_C[[DIAS_CORRIDOS]:[V_FUT_UTEIS]], J$5, FALSE)</f>
        <v>#N/A</v>
      </c>
      <c r="K484" s="22" t="e">
        <f>VLOOKUP($A484, TAB_CORRECAO_C[[DIAS_CORRIDOS]:[V_FUT_UTEIS]],K$5, FALSE)</f>
        <v>#N/A</v>
      </c>
      <c r="L484" s="22" t="e">
        <f>VLOOKUP($A484, TAB_AMORTIZACAO_C[[DIAS_CORRIDOS]:[V_FUT_UTEIS]], L$5, FALSE)</f>
        <v>#N/A</v>
      </c>
    </row>
    <row r="485" spans="1:12" hidden="1">
      <c r="A485" s="19">
        <f t="shared" si="44"/>
        <v>479</v>
      </c>
      <c r="B485" s="20">
        <f t="shared" si="40"/>
        <v>0</v>
      </c>
      <c r="C485" s="21">
        <f t="shared" si="41"/>
        <v>0</v>
      </c>
      <c r="D485" s="22" t="e">
        <f>VLOOKUP($A485, TAB_JUROS_U[[Q_DIAS_U_PARC_TIR]:[V_FUT_U_JURS CENARIO]], D$5, FALSE)</f>
        <v>#N/A</v>
      </c>
      <c r="E485" s="22" t="e">
        <f>VLOOKUP($A485,TAB_CORRECAO_U[[Q_DIAS_U_PARC_TIR]:[V_FUT_U_CORC-02]],E$5, FALSE)</f>
        <v>#N/A</v>
      </c>
      <c r="F485" s="22" t="e">
        <f>VLOOKUP($A485,TAB_AMORTIZACAO_U[[Q_DIAS_U_PARC_TIR]:[V_FUT_U_PCPL-02]], F$5, FALSE)</f>
        <v>#N/A</v>
      </c>
      <c r="H485" s="20">
        <f t="shared" si="42"/>
        <v>0</v>
      </c>
      <c r="I485" s="21">
        <f t="shared" si="43"/>
        <v>0</v>
      </c>
      <c r="J485" s="22" t="e">
        <f>VLOOKUP($A485, TAB_JUROS_C[[DIAS_CORRIDOS]:[V_FUT_UTEIS]], J$5, FALSE)</f>
        <v>#N/A</v>
      </c>
      <c r="K485" s="22" t="e">
        <f>VLOOKUP($A485, TAB_CORRECAO_C[[DIAS_CORRIDOS]:[V_FUT_UTEIS]],K$5, FALSE)</f>
        <v>#N/A</v>
      </c>
      <c r="L485" s="22" t="e">
        <f>VLOOKUP($A485, TAB_AMORTIZACAO_C[[DIAS_CORRIDOS]:[V_FUT_UTEIS]], L$5, FALSE)</f>
        <v>#N/A</v>
      </c>
    </row>
    <row r="486" spans="1:12" hidden="1">
      <c r="A486" s="19">
        <f t="shared" si="44"/>
        <v>480</v>
      </c>
      <c r="B486" s="20">
        <f t="shared" si="40"/>
        <v>0</v>
      </c>
      <c r="C486" s="21">
        <f t="shared" si="41"/>
        <v>0</v>
      </c>
      <c r="D486" s="22" t="e">
        <f>VLOOKUP($A486, TAB_JUROS_U[[Q_DIAS_U_PARC_TIR]:[V_FUT_U_JURS CENARIO]], D$5, FALSE)</f>
        <v>#N/A</v>
      </c>
      <c r="E486" s="22" t="e">
        <f>VLOOKUP($A486,TAB_CORRECAO_U[[Q_DIAS_U_PARC_TIR]:[V_FUT_U_CORC-02]],E$5, FALSE)</f>
        <v>#N/A</v>
      </c>
      <c r="F486" s="22" t="e">
        <f>VLOOKUP($A486,TAB_AMORTIZACAO_U[[Q_DIAS_U_PARC_TIR]:[V_FUT_U_PCPL-02]], F$5, FALSE)</f>
        <v>#N/A</v>
      </c>
      <c r="H486" s="20">
        <f t="shared" si="42"/>
        <v>0</v>
      </c>
      <c r="I486" s="21">
        <f t="shared" si="43"/>
        <v>0</v>
      </c>
      <c r="J486" s="22" t="e">
        <f>VLOOKUP($A486, TAB_JUROS_C[[DIAS_CORRIDOS]:[V_FUT_UTEIS]], J$5, FALSE)</f>
        <v>#N/A</v>
      </c>
      <c r="K486" s="22" t="e">
        <f>VLOOKUP($A486, TAB_CORRECAO_C[[DIAS_CORRIDOS]:[V_FUT_UTEIS]],K$5, FALSE)</f>
        <v>#N/A</v>
      </c>
      <c r="L486" s="22" t="e">
        <f>VLOOKUP($A486, TAB_AMORTIZACAO_C[[DIAS_CORRIDOS]:[V_FUT_UTEIS]], L$5, FALSE)</f>
        <v>#N/A</v>
      </c>
    </row>
    <row r="487" spans="1:12" hidden="1">
      <c r="A487" s="19">
        <f t="shared" si="44"/>
        <v>481</v>
      </c>
      <c r="B487" s="20">
        <f t="shared" si="40"/>
        <v>0</v>
      </c>
      <c r="C487" s="21">
        <f t="shared" si="41"/>
        <v>0</v>
      </c>
      <c r="D487" s="22" t="e">
        <f>VLOOKUP($A487, TAB_JUROS_U[[Q_DIAS_U_PARC_TIR]:[V_FUT_U_JURS CENARIO]], D$5, FALSE)</f>
        <v>#N/A</v>
      </c>
      <c r="E487" s="22" t="e">
        <f>VLOOKUP($A487,TAB_CORRECAO_U[[Q_DIAS_U_PARC_TIR]:[V_FUT_U_CORC-02]],E$5, FALSE)</f>
        <v>#N/A</v>
      </c>
      <c r="F487" s="22" t="e">
        <f>VLOOKUP($A487,TAB_AMORTIZACAO_U[[Q_DIAS_U_PARC_TIR]:[V_FUT_U_PCPL-02]], F$5, FALSE)</f>
        <v>#N/A</v>
      </c>
      <c r="H487" s="20">
        <f t="shared" si="42"/>
        <v>0</v>
      </c>
      <c r="I487" s="21">
        <f t="shared" si="43"/>
        <v>0</v>
      </c>
      <c r="J487" s="22" t="e">
        <f>VLOOKUP($A487, TAB_JUROS_C[[DIAS_CORRIDOS]:[V_FUT_UTEIS]], J$5, FALSE)</f>
        <v>#N/A</v>
      </c>
      <c r="K487" s="22" t="e">
        <f>VLOOKUP($A487, TAB_CORRECAO_C[[DIAS_CORRIDOS]:[V_FUT_UTEIS]],K$5, FALSE)</f>
        <v>#N/A</v>
      </c>
      <c r="L487" s="22" t="e">
        <f>VLOOKUP($A487, TAB_AMORTIZACAO_C[[DIAS_CORRIDOS]:[V_FUT_UTEIS]], L$5, FALSE)</f>
        <v>#N/A</v>
      </c>
    </row>
    <row r="488" spans="1:12" hidden="1">
      <c r="A488" s="19">
        <f t="shared" si="44"/>
        <v>482</v>
      </c>
      <c r="B488" s="20">
        <f t="shared" si="40"/>
        <v>0</v>
      </c>
      <c r="C488" s="21">
        <f t="shared" si="41"/>
        <v>0</v>
      </c>
      <c r="D488" s="22" t="e">
        <f>VLOOKUP($A488, TAB_JUROS_U[[Q_DIAS_U_PARC_TIR]:[V_FUT_U_JURS CENARIO]], D$5, FALSE)</f>
        <v>#N/A</v>
      </c>
      <c r="E488" s="22" t="e">
        <f>VLOOKUP($A488,TAB_CORRECAO_U[[Q_DIAS_U_PARC_TIR]:[V_FUT_U_CORC-02]],E$5, FALSE)</f>
        <v>#N/A</v>
      </c>
      <c r="F488" s="22" t="e">
        <f>VLOOKUP($A488,TAB_AMORTIZACAO_U[[Q_DIAS_U_PARC_TIR]:[V_FUT_U_PCPL-02]], F$5, FALSE)</f>
        <v>#N/A</v>
      </c>
      <c r="H488" s="20">
        <f t="shared" si="42"/>
        <v>0</v>
      </c>
      <c r="I488" s="21">
        <f t="shared" si="43"/>
        <v>0</v>
      </c>
      <c r="J488" s="22" t="e">
        <f>VLOOKUP($A488, TAB_JUROS_C[[DIAS_CORRIDOS]:[V_FUT_UTEIS]], J$5, FALSE)</f>
        <v>#N/A</v>
      </c>
      <c r="K488" s="22" t="e">
        <f>VLOOKUP($A488, TAB_CORRECAO_C[[DIAS_CORRIDOS]:[V_FUT_UTEIS]],K$5, FALSE)</f>
        <v>#N/A</v>
      </c>
      <c r="L488" s="22" t="e">
        <f>VLOOKUP($A488, TAB_AMORTIZACAO_C[[DIAS_CORRIDOS]:[V_FUT_UTEIS]], L$5, FALSE)</f>
        <v>#N/A</v>
      </c>
    </row>
    <row r="489" spans="1:12" hidden="1">
      <c r="A489" s="19">
        <f t="shared" si="44"/>
        <v>483</v>
      </c>
      <c r="B489" s="20">
        <f t="shared" si="40"/>
        <v>0</v>
      </c>
      <c r="C489" s="21">
        <f t="shared" si="41"/>
        <v>0</v>
      </c>
      <c r="D489" s="22" t="e">
        <f>VLOOKUP($A489, TAB_JUROS_U[[Q_DIAS_U_PARC_TIR]:[V_FUT_U_JURS CENARIO]], D$5, FALSE)</f>
        <v>#N/A</v>
      </c>
      <c r="E489" s="22" t="e">
        <f>VLOOKUP($A489,TAB_CORRECAO_U[[Q_DIAS_U_PARC_TIR]:[V_FUT_U_CORC-02]],E$5, FALSE)</f>
        <v>#N/A</v>
      </c>
      <c r="F489" s="22" t="e">
        <f>VLOOKUP($A489,TAB_AMORTIZACAO_U[[Q_DIAS_U_PARC_TIR]:[V_FUT_U_PCPL-02]], F$5, FALSE)</f>
        <v>#N/A</v>
      </c>
      <c r="H489" s="20">
        <f t="shared" si="42"/>
        <v>0</v>
      </c>
      <c r="I489" s="21">
        <f t="shared" si="43"/>
        <v>0</v>
      </c>
      <c r="J489" s="22" t="e">
        <f>VLOOKUP($A489, TAB_JUROS_C[[DIAS_CORRIDOS]:[V_FUT_UTEIS]], J$5, FALSE)</f>
        <v>#N/A</v>
      </c>
      <c r="K489" s="22" t="e">
        <f>VLOOKUP($A489, TAB_CORRECAO_C[[DIAS_CORRIDOS]:[V_FUT_UTEIS]],K$5, FALSE)</f>
        <v>#N/A</v>
      </c>
      <c r="L489" s="22" t="e">
        <f>VLOOKUP($A489, TAB_AMORTIZACAO_C[[DIAS_CORRIDOS]:[V_FUT_UTEIS]], L$5, FALSE)</f>
        <v>#N/A</v>
      </c>
    </row>
    <row r="490" spans="1:12" hidden="1">
      <c r="A490" s="19">
        <f t="shared" si="44"/>
        <v>484</v>
      </c>
      <c r="B490" s="20">
        <f t="shared" si="40"/>
        <v>0</v>
      </c>
      <c r="C490" s="21">
        <f t="shared" si="41"/>
        <v>0</v>
      </c>
      <c r="D490" s="22" t="e">
        <f>VLOOKUP($A490, TAB_JUROS_U[[Q_DIAS_U_PARC_TIR]:[V_FUT_U_JURS CENARIO]], D$5, FALSE)</f>
        <v>#N/A</v>
      </c>
      <c r="E490" s="22" t="e">
        <f>VLOOKUP($A490,TAB_CORRECAO_U[[Q_DIAS_U_PARC_TIR]:[V_FUT_U_CORC-02]],E$5, FALSE)</f>
        <v>#N/A</v>
      </c>
      <c r="F490" s="22" t="e">
        <f>VLOOKUP($A490,TAB_AMORTIZACAO_U[[Q_DIAS_U_PARC_TIR]:[V_FUT_U_PCPL-02]], F$5, FALSE)</f>
        <v>#N/A</v>
      </c>
      <c r="H490" s="20">
        <f t="shared" si="42"/>
        <v>0</v>
      </c>
      <c r="I490" s="21">
        <f t="shared" si="43"/>
        <v>0</v>
      </c>
      <c r="J490" s="22" t="e">
        <f>VLOOKUP($A490, TAB_JUROS_C[[DIAS_CORRIDOS]:[V_FUT_UTEIS]], J$5, FALSE)</f>
        <v>#N/A</v>
      </c>
      <c r="K490" s="22" t="e">
        <f>VLOOKUP($A490, TAB_CORRECAO_C[[DIAS_CORRIDOS]:[V_FUT_UTEIS]],K$5, FALSE)</f>
        <v>#N/A</v>
      </c>
      <c r="L490" s="22" t="e">
        <f>VLOOKUP($A490, TAB_AMORTIZACAO_C[[DIAS_CORRIDOS]:[V_FUT_UTEIS]], L$5, FALSE)</f>
        <v>#N/A</v>
      </c>
    </row>
    <row r="491" spans="1:12" hidden="1">
      <c r="A491" s="19">
        <f t="shared" si="44"/>
        <v>485</v>
      </c>
      <c r="B491" s="20">
        <f t="shared" si="40"/>
        <v>0</v>
      </c>
      <c r="C491" s="21">
        <f t="shared" si="41"/>
        <v>0</v>
      </c>
      <c r="D491" s="22" t="e">
        <f>VLOOKUP($A491, TAB_JUROS_U[[Q_DIAS_U_PARC_TIR]:[V_FUT_U_JURS CENARIO]], D$5, FALSE)</f>
        <v>#N/A</v>
      </c>
      <c r="E491" s="22" t="e">
        <f>VLOOKUP($A491,TAB_CORRECAO_U[[Q_DIAS_U_PARC_TIR]:[V_FUT_U_CORC-02]],E$5, FALSE)</f>
        <v>#N/A</v>
      </c>
      <c r="F491" s="22" t="e">
        <f>VLOOKUP($A491,TAB_AMORTIZACAO_U[[Q_DIAS_U_PARC_TIR]:[V_FUT_U_PCPL-02]], F$5, FALSE)</f>
        <v>#N/A</v>
      </c>
      <c r="H491" s="20">
        <f t="shared" si="42"/>
        <v>0</v>
      </c>
      <c r="I491" s="21">
        <f t="shared" si="43"/>
        <v>0</v>
      </c>
      <c r="J491" s="22" t="e">
        <f>VLOOKUP($A491, TAB_JUROS_C[[DIAS_CORRIDOS]:[V_FUT_UTEIS]], J$5, FALSE)</f>
        <v>#N/A</v>
      </c>
      <c r="K491" s="22" t="e">
        <f>VLOOKUP($A491, TAB_CORRECAO_C[[DIAS_CORRIDOS]:[V_FUT_UTEIS]],K$5, FALSE)</f>
        <v>#N/A</v>
      </c>
      <c r="L491" s="22" t="e">
        <f>VLOOKUP($A491, TAB_AMORTIZACAO_C[[DIAS_CORRIDOS]:[V_FUT_UTEIS]], L$5, FALSE)</f>
        <v>#N/A</v>
      </c>
    </row>
    <row r="492" spans="1:12" hidden="1">
      <c r="A492" s="19">
        <f t="shared" si="44"/>
        <v>486</v>
      </c>
      <c r="B492" s="20">
        <f t="shared" si="40"/>
        <v>0</v>
      </c>
      <c r="C492" s="21">
        <f t="shared" si="41"/>
        <v>0</v>
      </c>
      <c r="D492" s="22" t="e">
        <f>VLOOKUP($A492, TAB_JUROS_U[[Q_DIAS_U_PARC_TIR]:[V_FUT_U_JURS CENARIO]], D$5, FALSE)</f>
        <v>#N/A</v>
      </c>
      <c r="E492" s="22" t="e">
        <f>VLOOKUP($A492,TAB_CORRECAO_U[[Q_DIAS_U_PARC_TIR]:[V_FUT_U_CORC-02]],E$5, FALSE)</f>
        <v>#N/A</v>
      </c>
      <c r="F492" s="22" t="e">
        <f>VLOOKUP($A492,TAB_AMORTIZACAO_U[[Q_DIAS_U_PARC_TIR]:[V_FUT_U_PCPL-02]], F$5, FALSE)</f>
        <v>#N/A</v>
      </c>
      <c r="H492" s="20">
        <f t="shared" si="42"/>
        <v>0</v>
      </c>
      <c r="I492" s="21">
        <f t="shared" si="43"/>
        <v>0</v>
      </c>
      <c r="J492" s="22" t="e">
        <f>VLOOKUP($A492, TAB_JUROS_C[[DIAS_CORRIDOS]:[V_FUT_UTEIS]], J$5, FALSE)</f>
        <v>#N/A</v>
      </c>
      <c r="K492" s="22" t="e">
        <f>VLOOKUP($A492, TAB_CORRECAO_C[[DIAS_CORRIDOS]:[V_FUT_UTEIS]],K$5, FALSE)</f>
        <v>#N/A</v>
      </c>
      <c r="L492" s="22" t="e">
        <f>VLOOKUP($A492, TAB_AMORTIZACAO_C[[DIAS_CORRIDOS]:[V_FUT_UTEIS]], L$5, FALSE)</f>
        <v>#N/A</v>
      </c>
    </row>
    <row r="493" spans="1:12" hidden="1">
      <c r="A493" s="19">
        <f t="shared" si="44"/>
        <v>487</v>
      </c>
      <c r="B493" s="20">
        <f t="shared" si="40"/>
        <v>0</v>
      </c>
      <c r="C493" s="21">
        <f t="shared" si="41"/>
        <v>0</v>
      </c>
      <c r="D493" s="22" t="e">
        <f>VLOOKUP($A493, TAB_JUROS_U[[Q_DIAS_U_PARC_TIR]:[V_FUT_U_JURS CENARIO]], D$5, FALSE)</f>
        <v>#N/A</v>
      </c>
      <c r="E493" s="22" t="e">
        <f>VLOOKUP($A493,TAB_CORRECAO_U[[Q_DIAS_U_PARC_TIR]:[V_FUT_U_CORC-02]],E$5, FALSE)</f>
        <v>#N/A</v>
      </c>
      <c r="F493" s="22" t="e">
        <f>VLOOKUP($A493,TAB_AMORTIZACAO_U[[Q_DIAS_U_PARC_TIR]:[V_FUT_U_PCPL-02]], F$5, FALSE)</f>
        <v>#N/A</v>
      </c>
      <c r="H493" s="20">
        <f t="shared" si="42"/>
        <v>0</v>
      </c>
      <c r="I493" s="21">
        <f t="shared" si="43"/>
        <v>0</v>
      </c>
      <c r="J493" s="22" t="e">
        <f>VLOOKUP($A493, TAB_JUROS_C[[DIAS_CORRIDOS]:[V_FUT_UTEIS]], J$5, FALSE)</f>
        <v>#N/A</v>
      </c>
      <c r="K493" s="22" t="e">
        <f>VLOOKUP($A493, TAB_CORRECAO_C[[DIAS_CORRIDOS]:[V_FUT_UTEIS]],K$5, FALSE)</f>
        <v>#N/A</v>
      </c>
      <c r="L493" s="22" t="e">
        <f>VLOOKUP($A493, TAB_AMORTIZACAO_C[[DIAS_CORRIDOS]:[V_FUT_UTEIS]], L$5, FALSE)</f>
        <v>#N/A</v>
      </c>
    </row>
    <row r="494" spans="1:12" hidden="1">
      <c r="A494" s="19">
        <f t="shared" si="44"/>
        <v>488</v>
      </c>
      <c r="B494" s="20">
        <f t="shared" si="40"/>
        <v>0</v>
      </c>
      <c r="C494" s="21">
        <f t="shared" si="41"/>
        <v>0</v>
      </c>
      <c r="D494" s="22" t="e">
        <f>VLOOKUP($A494, TAB_JUROS_U[[Q_DIAS_U_PARC_TIR]:[V_FUT_U_JURS CENARIO]], D$5, FALSE)</f>
        <v>#N/A</v>
      </c>
      <c r="E494" s="22" t="e">
        <f>VLOOKUP($A494,TAB_CORRECAO_U[[Q_DIAS_U_PARC_TIR]:[V_FUT_U_CORC-02]],E$5, FALSE)</f>
        <v>#N/A</v>
      </c>
      <c r="F494" s="22" t="e">
        <f>VLOOKUP($A494,TAB_AMORTIZACAO_U[[Q_DIAS_U_PARC_TIR]:[V_FUT_U_PCPL-02]], F$5, FALSE)</f>
        <v>#N/A</v>
      </c>
      <c r="H494" s="20">
        <f t="shared" si="42"/>
        <v>0</v>
      </c>
      <c r="I494" s="21">
        <f t="shared" si="43"/>
        <v>0</v>
      </c>
      <c r="J494" s="22" t="e">
        <f>VLOOKUP($A494, TAB_JUROS_C[[DIAS_CORRIDOS]:[V_FUT_UTEIS]], J$5, FALSE)</f>
        <v>#N/A</v>
      </c>
      <c r="K494" s="22" t="e">
        <f>VLOOKUP($A494, TAB_CORRECAO_C[[DIAS_CORRIDOS]:[V_FUT_UTEIS]],K$5, FALSE)</f>
        <v>#N/A</v>
      </c>
      <c r="L494" s="22" t="e">
        <f>VLOOKUP($A494, TAB_AMORTIZACAO_C[[DIAS_CORRIDOS]:[V_FUT_UTEIS]], L$5, FALSE)</f>
        <v>#N/A</v>
      </c>
    </row>
    <row r="495" spans="1:12" hidden="1">
      <c r="A495" s="19">
        <f t="shared" si="44"/>
        <v>489</v>
      </c>
      <c r="B495" s="20">
        <f t="shared" si="40"/>
        <v>0</v>
      </c>
      <c r="C495" s="21">
        <f t="shared" si="41"/>
        <v>0</v>
      </c>
      <c r="D495" s="22" t="e">
        <f>VLOOKUP($A495, TAB_JUROS_U[[Q_DIAS_U_PARC_TIR]:[V_FUT_U_JURS CENARIO]], D$5, FALSE)</f>
        <v>#N/A</v>
      </c>
      <c r="E495" s="22" t="e">
        <f>VLOOKUP($A495,TAB_CORRECAO_U[[Q_DIAS_U_PARC_TIR]:[V_FUT_U_CORC-02]],E$5, FALSE)</f>
        <v>#N/A</v>
      </c>
      <c r="F495" s="22" t="e">
        <f>VLOOKUP($A495,TAB_AMORTIZACAO_U[[Q_DIAS_U_PARC_TIR]:[V_FUT_U_PCPL-02]], F$5, FALSE)</f>
        <v>#N/A</v>
      </c>
      <c r="H495" s="20">
        <f t="shared" si="42"/>
        <v>0</v>
      </c>
      <c r="I495" s="21">
        <f t="shared" si="43"/>
        <v>0</v>
      </c>
      <c r="J495" s="22" t="e">
        <f>VLOOKUP($A495, TAB_JUROS_C[[DIAS_CORRIDOS]:[V_FUT_UTEIS]], J$5, FALSE)</f>
        <v>#N/A</v>
      </c>
      <c r="K495" s="22" t="e">
        <f>VLOOKUP($A495, TAB_CORRECAO_C[[DIAS_CORRIDOS]:[V_FUT_UTEIS]],K$5, FALSE)</f>
        <v>#N/A</v>
      </c>
      <c r="L495" s="22" t="e">
        <f>VLOOKUP($A495, TAB_AMORTIZACAO_C[[DIAS_CORRIDOS]:[V_FUT_UTEIS]], L$5, FALSE)</f>
        <v>#N/A</v>
      </c>
    </row>
    <row r="496" spans="1:12" hidden="1">
      <c r="A496" s="19">
        <f t="shared" si="44"/>
        <v>490</v>
      </c>
      <c r="B496" s="20">
        <f t="shared" si="40"/>
        <v>0</v>
      </c>
      <c r="C496" s="21">
        <f t="shared" si="41"/>
        <v>0</v>
      </c>
      <c r="D496" s="22" t="e">
        <f>VLOOKUP($A496, TAB_JUROS_U[[Q_DIAS_U_PARC_TIR]:[V_FUT_U_JURS CENARIO]], D$5, FALSE)</f>
        <v>#N/A</v>
      </c>
      <c r="E496" s="22" t="e">
        <f>VLOOKUP($A496,TAB_CORRECAO_U[[Q_DIAS_U_PARC_TIR]:[V_FUT_U_CORC-02]],E$5, FALSE)</f>
        <v>#N/A</v>
      </c>
      <c r="F496" s="22" t="e">
        <f>VLOOKUP($A496,TAB_AMORTIZACAO_U[[Q_DIAS_U_PARC_TIR]:[V_FUT_U_PCPL-02]], F$5, FALSE)</f>
        <v>#N/A</v>
      </c>
      <c r="H496" s="20">
        <f t="shared" si="42"/>
        <v>0</v>
      </c>
      <c r="I496" s="21">
        <f t="shared" si="43"/>
        <v>0</v>
      </c>
      <c r="J496" s="22" t="e">
        <f>VLOOKUP($A496, TAB_JUROS_C[[DIAS_CORRIDOS]:[V_FUT_UTEIS]], J$5, FALSE)</f>
        <v>#N/A</v>
      </c>
      <c r="K496" s="22" t="e">
        <f>VLOOKUP($A496, TAB_CORRECAO_C[[DIAS_CORRIDOS]:[V_FUT_UTEIS]],K$5, FALSE)</f>
        <v>#N/A</v>
      </c>
      <c r="L496" s="22" t="e">
        <f>VLOOKUP($A496, TAB_AMORTIZACAO_C[[DIAS_CORRIDOS]:[V_FUT_UTEIS]], L$5, FALSE)</f>
        <v>#N/A</v>
      </c>
    </row>
    <row r="497" spans="1:12" hidden="1">
      <c r="A497" s="19">
        <f t="shared" si="44"/>
        <v>491</v>
      </c>
      <c r="B497" s="20">
        <f t="shared" si="40"/>
        <v>0</v>
      </c>
      <c r="C497" s="21">
        <f t="shared" si="41"/>
        <v>0</v>
      </c>
      <c r="D497" s="22" t="e">
        <f>VLOOKUP($A497, TAB_JUROS_U[[Q_DIAS_U_PARC_TIR]:[V_FUT_U_JURS CENARIO]], D$5, FALSE)</f>
        <v>#N/A</v>
      </c>
      <c r="E497" s="22" t="e">
        <f>VLOOKUP($A497,TAB_CORRECAO_U[[Q_DIAS_U_PARC_TIR]:[V_FUT_U_CORC-02]],E$5, FALSE)</f>
        <v>#N/A</v>
      </c>
      <c r="F497" s="22" t="e">
        <f>VLOOKUP($A497,TAB_AMORTIZACAO_U[[Q_DIAS_U_PARC_TIR]:[V_FUT_U_PCPL-02]], F$5, FALSE)</f>
        <v>#N/A</v>
      </c>
      <c r="H497" s="20">
        <f t="shared" si="42"/>
        <v>0</v>
      </c>
      <c r="I497" s="21">
        <f t="shared" si="43"/>
        <v>0</v>
      </c>
      <c r="J497" s="22" t="e">
        <f>VLOOKUP($A497, TAB_JUROS_C[[DIAS_CORRIDOS]:[V_FUT_UTEIS]], J$5, FALSE)</f>
        <v>#N/A</v>
      </c>
      <c r="K497" s="22" t="e">
        <f>VLOOKUP($A497, TAB_CORRECAO_C[[DIAS_CORRIDOS]:[V_FUT_UTEIS]],K$5, FALSE)</f>
        <v>#N/A</v>
      </c>
      <c r="L497" s="22" t="e">
        <f>VLOOKUP($A497, TAB_AMORTIZACAO_C[[DIAS_CORRIDOS]:[V_FUT_UTEIS]], L$5, FALSE)</f>
        <v>#N/A</v>
      </c>
    </row>
    <row r="498" spans="1:12" hidden="1">
      <c r="A498" s="19">
        <f t="shared" si="44"/>
        <v>492</v>
      </c>
      <c r="B498" s="20">
        <f t="shared" si="40"/>
        <v>0</v>
      </c>
      <c r="C498" s="21">
        <f t="shared" si="41"/>
        <v>0</v>
      </c>
      <c r="D498" s="22" t="e">
        <f>VLOOKUP($A498, TAB_JUROS_U[[Q_DIAS_U_PARC_TIR]:[V_FUT_U_JURS CENARIO]], D$5, FALSE)</f>
        <v>#N/A</v>
      </c>
      <c r="E498" s="22" t="e">
        <f>VLOOKUP($A498,TAB_CORRECAO_U[[Q_DIAS_U_PARC_TIR]:[V_FUT_U_CORC-02]],E$5, FALSE)</f>
        <v>#N/A</v>
      </c>
      <c r="F498" s="22" t="e">
        <f>VLOOKUP($A498,TAB_AMORTIZACAO_U[[Q_DIAS_U_PARC_TIR]:[V_FUT_U_PCPL-02]], F$5, FALSE)</f>
        <v>#N/A</v>
      </c>
      <c r="H498" s="20">
        <f t="shared" si="42"/>
        <v>0</v>
      </c>
      <c r="I498" s="21">
        <f t="shared" si="43"/>
        <v>0</v>
      </c>
      <c r="J498" s="22" t="e">
        <f>VLOOKUP($A498, TAB_JUROS_C[[DIAS_CORRIDOS]:[V_FUT_UTEIS]], J$5, FALSE)</f>
        <v>#N/A</v>
      </c>
      <c r="K498" s="22" t="e">
        <f>VLOOKUP($A498, TAB_CORRECAO_C[[DIAS_CORRIDOS]:[V_FUT_UTEIS]],K$5, FALSE)</f>
        <v>#N/A</v>
      </c>
      <c r="L498" s="22" t="e">
        <f>VLOOKUP($A498, TAB_AMORTIZACAO_C[[DIAS_CORRIDOS]:[V_FUT_UTEIS]], L$5, FALSE)</f>
        <v>#N/A</v>
      </c>
    </row>
    <row r="499" spans="1:12">
      <c r="A499" s="19">
        <f t="shared" si="44"/>
        <v>493</v>
      </c>
      <c r="B499" s="20">
        <f t="shared" si="40"/>
        <v>1421.280887500634</v>
      </c>
      <c r="C499" s="21">
        <f t="shared" si="41"/>
        <v>1421.280887500634</v>
      </c>
      <c r="D499" s="22">
        <f>VLOOKUP($A499, TAB_JUROS_U[[Q_DIAS_U_PARC_TIR]:[V_FUT_U_JURS CENARIO]], D$5, FALSE)</f>
        <v>116.49569769279675</v>
      </c>
      <c r="E499" s="22">
        <f>VLOOKUP($A499,TAB_CORRECAO_U[[Q_DIAS_U_PARC_TIR]:[V_FUT_U_CORC-02]],E$5, FALSE)</f>
        <v>697.94548156600092</v>
      </c>
      <c r="F499" s="22">
        <f>VLOOKUP($A499,TAB_AMORTIZACAO_U[[Q_DIAS_U_PARC_TIR]:[V_FUT_U_PCPL-02]], F$5, FALSE)</f>
        <v>606.83970824183643</v>
      </c>
      <c r="H499" s="20">
        <f t="shared" si="42"/>
        <v>0</v>
      </c>
      <c r="I499" s="21">
        <f t="shared" si="43"/>
        <v>0</v>
      </c>
      <c r="J499" s="22" t="e">
        <f>VLOOKUP($A499, TAB_JUROS_C[[DIAS_CORRIDOS]:[V_FUT_UTEIS]], J$5, FALSE)</f>
        <v>#N/A</v>
      </c>
      <c r="K499" s="22" t="e">
        <f>VLOOKUP($A499, TAB_CORRECAO_C[[DIAS_CORRIDOS]:[V_FUT_UTEIS]],K$5, FALSE)</f>
        <v>#N/A</v>
      </c>
      <c r="L499" s="22" t="e">
        <f>VLOOKUP($A499, TAB_AMORTIZACAO_C[[DIAS_CORRIDOS]:[V_FUT_UTEIS]], L$5, FALSE)</f>
        <v>#N/A</v>
      </c>
    </row>
    <row r="500" spans="1:12" hidden="1">
      <c r="A500" s="19">
        <f t="shared" si="44"/>
        <v>494</v>
      </c>
      <c r="B500" s="20">
        <f t="shared" si="40"/>
        <v>0</v>
      </c>
      <c r="C500" s="21">
        <f t="shared" si="41"/>
        <v>0</v>
      </c>
      <c r="D500" s="22" t="e">
        <f>VLOOKUP($A500, TAB_JUROS_U[[Q_DIAS_U_PARC_TIR]:[V_FUT_U_JURS CENARIO]], D$5, FALSE)</f>
        <v>#N/A</v>
      </c>
      <c r="E500" s="22" t="e">
        <f>VLOOKUP($A500,TAB_CORRECAO_U[[Q_DIAS_U_PARC_TIR]:[V_FUT_U_CORC-02]],E$5, FALSE)</f>
        <v>#N/A</v>
      </c>
      <c r="F500" s="22" t="e">
        <f>VLOOKUP($A500,TAB_AMORTIZACAO_U[[Q_DIAS_U_PARC_TIR]:[V_FUT_U_PCPL-02]], F$5, FALSE)</f>
        <v>#N/A</v>
      </c>
      <c r="H500" s="20">
        <f t="shared" si="42"/>
        <v>0</v>
      </c>
      <c r="I500" s="21">
        <f t="shared" si="43"/>
        <v>0</v>
      </c>
      <c r="J500" s="22" t="e">
        <f>VLOOKUP($A500, TAB_JUROS_C[[DIAS_CORRIDOS]:[V_FUT_UTEIS]], J$5, FALSE)</f>
        <v>#N/A</v>
      </c>
      <c r="K500" s="22" t="e">
        <f>VLOOKUP($A500, TAB_CORRECAO_C[[DIAS_CORRIDOS]:[V_FUT_UTEIS]],K$5, FALSE)</f>
        <v>#N/A</v>
      </c>
      <c r="L500" s="22" t="e">
        <f>VLOOKUP($A500, TAB_AMORTIZACAO_C[[DIAS_CORRIDOS]:[V_FUT_UTEIS]], L$5, FALSE)</f>
        <v>#N/A</v>
      </c>
    </row>
    <row r="501" spans="1:12" hidden="1">
      <c r="A501" s="19">
        <f t="shared" si="44"/>
        <v>495</v>
      </c>
      <c r="B501" s="20">
        <f t="shared" si="40"/>
        <v>0</v>
      </c>
      <c r="C501" s="21">
        <f t="shared" si="41"/>
        <v>0</v>
      </c>
      <c r="D501" s="22" t="e">
        <f>VLOOKUP($A501, TAB_JUROS_U[[Q_DIAS_U_PARC_TIR]:[V_FUT_U_JURS CENARIO]], D$5, FALSE)</f>
        <v>#N/A</v>
      </c>
      <c r="E501" s="22" t="e">
        <f>VLOOKUP($A501,TAB_CORRECAO_U[[Q_DIAS_U_PARC_TIR]:[V_FUT_U_CORC-02]],E$5, FALSE)</f>
        <v>#N/A</v>
      </c>
      <c r="F501" s="22" t="e">
        <f>VLOOKUP($A501,TAB_AMORTIZACAO_U[[Q_DIAS_U_PARC_TIR]:[V_FUT_U_PCPL-02]], F$5, FALSE)</f>
        <v>#N/A</v>
      </c>
      <c r="H501" s="20">
        <f t="shared" si="42"/>
        <v>0</v>
      </c>
      <c r="I501" s="21">
        <f t="shared" si="43"/>
        <v>0</v>
      </c>
      <c r="J501" s="22" t="e">
        <f>VLOOKUP($A501, TAB_JUROS_C[[DIAS_CORRIDOS]:[V_FUT_UTEIS]], J$5, FALSE)</f>
        <v>#N/A</v>
      </c>
      <c r="K501" s="22" t="e">
        <f>VLOOKUP($A501, TAB_CORRECAO_C[[DIAS_CORRIDOS]:[V_FUT_UTEIS]],K$5, FALSE)</f>
        <v>#N/A</v>
      </c>
      <c r="L501" s="22" t="e">
        <f>VLOOKUP($A501, TAB_AMORTIZACAO_C[[DIAS_CORRIDOS]:[V_FUT_UTEIS]], L$5, FALSE)</f>
        <v>#N/A</v>
      </c>
    </row>
    <row r="502" spans="1:12" hidden="1">
      <c r="A502" s="19">
        <f t="shared" si="44"/>
        <v>496</v>
      </c>
      <c r="B502" s="20">
        <f t="shared" si="40"/>
        <v>0</v>
      </c>
      <c r="C502" s="21">
        <f t="shared" si="41"/>
        <v>0</v>
      </c>
      <c r="D502" s="22" t="e">
        <f>VLOOKUP($A502, TAB_JUROS_U[[Q_DIAS_U_PARC_TIR]:[V_FUT_U_JURS CENARIO]], D$5, FALSE)</f>
        <v>#N/A</v>
      </c>
      <c r="E502" s="22" t="e">
        <f>VLOOKUP($A502,TAB_CORRECAO_U[[Q_DIAS_U_PARC_TIR]:[V_FUT_U_CORC-02]],E$5, FALSE)</f>
        <v>#N/A</v>
      </c>
      <c r="F502" s="22" t="e">
        <f>VLOOKUP($A502,TAB_AMORTIZACAO_U[[Q_DIAS_U_PARC_TIR]:[V_FUT_U_PCPL-02]], F$5, FALSE)</f>
        <v>#N/A</v>
      </c>
      <c r="H502" s="20">
        <f t="shared" si="42"/>
        <v>0</v>
      </c>
      <c r="I502" s="21">
        <f t="shared" si="43"/>
        <v>0</v>
      </c>
      <c r="J502" s="22" t="e">
        <f>VLOOKUP($A502, TAB_JUROS_C[[DIAS_CORRIDOS]:[V_FUT_UTEIS]], J$5, FALSE)</f>
        <v>#N/A</v>
      </c>
      <c r="K502" s="22" t="e">
        <f>VLOOKUP($A502, TAB_CORRECAO_C[[DIAS_CORRIDOS]:[V_FUT_UTEIS]],K$5, FALSE)</f>
        <v>#N/A</v>
      </c>
      <c r="L502" s="22" t="e">
        <f>VLOOKUP($A502, TAB_AMORTIZACAO_C[[DIAS_CORRIDOS]:[V_FUT_UTEIS]], L$5, FALSE)</f>
        <v>#N/A</v>
      </c>
    </row>
    <row r="503" spans="1:12" hidden="1">
      <c r="A503" s="19">
        <f t="shared" si="44"/>
        <v>497</v>
      </c>
      <c r="B503" s="20">
        <f t="shared" si="40"/>
        <v>0</v>
      </c>
      <c r="C503" s="21">
        <f t="shared" si="41"/>
        <v>0</v>
      </c>
      <c r="D503" s="22" t="e">
        <f>VLOOKUP($A503, TAB_JUROS_U[[Q_DIAS_U_PARC_TIR]:[V_FUT_U_JURS CENARIO]], D$5, FALSE)</f>
        <v>#N/A</v>
      </c>
      <c r="E503" s="22" t="e">
        <f>VLOOKUP($A503,TAB_CORRECAO_U[[Q_DIAS_U_PARC_TIR]:[V_FUT_U_CORC-02]],E$5, FALSE)</f>
        <v>#N/A</v>
      </c>
      <c r="F503" s="22" t="e">
        <f>VLOOKUP($A503,TAB_AMORTIZACAO_U[[Q_DIAS_U_PARC_TIR]:[V_FUT_U_PCPL-02]], F$5, FALSE)</f>
        <v>#N/A</v>
      </c>
      <c r="H503" s="20">
        <f t="shared" si="42"/>
        <v>0</v>
      </c>
      <c r="I503" s="21">
        <f t="shared" si="43"/>
        <v>0</v>
      </c>
      <c r="J503" s="22" t="e">
        <f>VLOOKUP($A503, TAB_JUROS_C[[DIAS_CORRIDOS]:[V_FUT_UTEIS]], J$5, FALSE)</f>
        <v>#N/A</v>
      </c>
      <c r="K503" s="22" t="e">
        <f>VLOOKUP($A503, TAB_CORRECAO_C[[DIAS_CORRIDOS]:[V_FUT_UTEIS]],K$5, FALSE)</f>
        <v>#N/A</v>
      </c>
      <c r="L503" s="22" t="e">
        <f>VLOOKUP($A503, TAB_AMORTIZACAO_C[[DIAS_CORRIDOS]:[V_FUT_UTEIS]], L$5, FALSE)</f>
        <v>#N/A</v>
      </c>
    </row>
    <row r="504" spans="1:12" hidden="1">
      <c r="A504" s="19">
        <f t="shared" si="44"/>
        <v>498</v>
      </c>
      <c r="B504" s="20">
        <f t="shared" si="40"/>
        <v>0</v>
      </c>
      <c r="C504" s="21">
        <f t="shared" si="41"/>
        <v>0</v>
      </c>
      <c r="D504" s="22" t="e">
        <f>VLOOKUP($A504, TAB_JUROS_U[[Q_DIAS_U_PARC_TIR]:[V_FUT_U_JURS CENARIO]], D$5, FALSE)</f>
        <v>#N/A</v>
      </c>
      <c r="E504" s="22" t="e">
        <f>VLOOKUP($A504,TAB_CORRECAO_U[[Q_DIAS_U_PARC_TIR]:[V_FUT_U_CORC-02]],E$5, FALSE)</f>
        <v>#N/A</v>
      </c>
      <c r="F504" s="22" t="e">
        <f>VLOOKUP($A504,TAB_AMORTIZACAO_U[[Q_DIAS_U_PARC_TIR]:[V_FUT_U_PCPL-02]], F$5, FALSE)</f>
        <v>#N/A</v>
      </c>
      <c r="H504" s="20">
        <f t="shared" si="42"/>
        <v>1615.8348903643046</v>
      </c>
      <c r="I504" s="21">
        <f t="shared" si="43"/>
        <v>1615.8348903643046</v>
      </c>
      <c r="J504" s="22">
        <f>VLOOKUP($A504, TAB_JUROS_C[[DIAS_CORRIDOS]:[V_FUT_UTEIS]], J$5, FALSE)</f>
        <v>123.61623683663174</v>
      </c>
      <c r="K504" s="22">
        <f>VLOOKUP($A504, TAB_CORRECAO_C[[DIAS_CORRIDOS]:[V_FUT_UTEIS]],K$5, FALSE)</f>
        <v>747.55480219937488</v>
      </c>
      <c r="L504" s="22">
        <f>VLOOKUP($A504, TAB_AMORTIZACAO_C[[DIAS_CORRIDOS]:[V_FUT_UTEIS]], L$5, FALSE)</f>
        <v>744.66385132829805</v>
      </c>
    </row>
    <row r="505" spans="1:12" hidden="1">
      <c r="A505" s="19">
        <f t="shared" si="44"/>
        <v>499</v>
      </c>
      <c r="B505" s="20">
        <f t="shared" si="40"/>
        <v>0</v>
      </c>
      <c r="C505" s="21">
        <f t="shared" si="41"/>
        <v>0</v>
      </c>
      <c r="D505" s="22" t="e">
        <f>VLOOKUP($A505, TAB_JUROS_U[[Q_DIAS_U_PARC_TIR]:[V_FUT_U_JURS CENARIO]], D$5, FALSE)</f>
        <v>#N/A</v>
      </c>
      <c r="E505" s="22" t="e">
        <f>VLOOKUP($A505,TAB_CORRECAO_U[[Q_DIAS_U_PARC_TIR]:[V_FUT_U_CORC-02]],E$5, FALSE)</f>
        <v>#N/A</v>
      </c>
      <c r="F505" s="22" t="e">
        <f>VLOOKUP($A505,TAB_AMORTIZACAO_U[[Q_DIAS_U_PARC_TIR]:[V_FUT_U_PCPL-02]], F$5, FALSE)</f>
        <v>#N/A</v>
      </c>
      <c r="H505" s="20">
        <f t="shared" si="42"/>
        <v>0</v>
      </c>
      <c r="I505" s="21">
        <f t="shared" si="43"/>
        <v>0</v>
      </c>
      <c r="J505" s="22" t="e">
        <f>VLOOKUP($A505, TAB_JUROS_C[[DIAS_CORRIDOS]:[V_FUT_UTEIS]], J$5, FALSE)</f>
        <v>#N/A</v>
      </c>
      <c r="K505" s="22" t="e">
        <f>VLOOKUP($A505, TAB_CORRECAO_C[[DIAS_CORRIDOS]:[V_FUT_UTEIS]],K$5, FALSE)</f>
        <v>#N/A</v>
      </c>
      <c r="L505" s="22" t="e">
        <f>VLOOKUP($A505, TAB_AMORTIZACAO_C[[DIAS_CORRIDOS]:[V_FUT_UTEIS]], L$5, FALSE)</f>
        <v>#N/A</v>
      </c>
    </row>
    <row r="506" spans="1:12" hidden="1">
      <c r="A506" s="19">
        <f t="shared" si="44"/>
        <v>500</v>
      </c>
      <c r="B506" s="20">
        <f t="shared" si="40"/>
        <v>0</v>
      </c>
      <c r="C506" s="21">
        <f t="shared" si="41"/>
        <v>0</v>
      </c>
      <c r="D506" s="22" t="e">
        <f>VLOOKUP($A506, TAB_JUROS_U[[Q_DIAS_U_PARC_TIR]:[V_FUT_U_JURS CENARIO]], D$5, FALSE)</f>
        <v>#N/A</v>
      </c>
      <c r="E506" s="22" t="e">
        <f>VLOOKUP($A506,TAB_CORRECAO_U[[Q_DIAS_U_PARC_TIR]:[V_FUT_U_CORC-02]],E$5, FALSE)</f>
        <v>#N/A</v>
      </c>
      <c r="F506" s="22" t="e">
        <f>VLOOKUP($A506,TAB_AMORTIZACAO_U[[Q_DIAS_U_PARC_TIR]:[V_FUT_U_PCPL-02]], F$5, FALSE)</f>
        <v>#N/A</v>
      </c>
      <c r="H506" s="20">
        <f t="shared" si="42"/>
        <v>0</v>
      </c>
      <c r="I506" s="21">
        <f t="shared" si="43"/>
        <v>0</v>
      </c>
      <c r="J506" s="22" t="e">
        <f>VLOOKUP($A506, TAB_JUROS_C[[DIAS_CORRIDOS]:[V_FUT_UTEIS]], J$5, FALSE)</f>
        <v>#N/A</v>
      </c>
      <c r="K506" s="22" t="e">
        <f>VLOOKUP($A506, TAB_CORRECAO_C[[DIAS_CORRIDOS]:[V_FUT_UTEIS]],K$5, FALSE)</f>
        <v>#N/A</v>
      </c>
      <c r="L506" s="22" t="e">
        <f>VLOOKUP($A506, TAB_AMORTIZACAO_C[[DIAS_CORRIDOS]:[V_FUT_UTEIS]], L$5, FALSE)</f>
        <v>#N/A</v>
      </c>
    </row>
    <row r="507" spans="1:12" hidden="1">
      <c r="A507" s="19">
        <f t="shared" si="44"/>
        <v>501</v>
      </c>
      <c r="B507" s="20">
        <f t="shared" si="40"/>
        <v>0</v>
      </c>
      <c r="C507" s="21">
        <f t="shared" si="41"/>
        <v>0</v>
      </c>
      <c r="D507" s="22" t="e">
        <f>VLOOKUP($A507, TAB_JUROS_U[[Q_DIAS_U_PARC_TIR]:[V_FUT_U_JURS CENARIO]], D$5, FALSE)</f>
        <v>#N/A</v>
      </c>
      <c r="E507" s="22" t="e">
        <f>VLOOKUP($A507,TAB_CORRECAO_U[[Q_DIAS_U_PARC_TIR]:[V_FUT_U_CORC-02]],E$5, FALSE)</f>
        <v>#N/A</v>
      </c>
      <c r="F507" s="22" t="e">
        <f>VLOOKUP($A507,TAB_AMORTIZACAO_U[[Q_DIAS_U_PARC_TIR]:[V_FUT_U_PCPL-02]], F$5, FALSE)</f>
        <v>#N/A</v>
      </c>
      <c r="H507" s="20">
        <f t="shared" si="42"/>
        <v>0</v>
      </c>
      <c r="I507" s="21">
        <f t="shared" si="43"/>
        <v>0</v>
      </c>
      <c r="J507" s="22" t="e">
        <f>VLOOKUP($A507, TAB_JUROS_C[[DIAS_CORRIDOS]:[V_FUT_UTEIS]], J$5, FALSE)</f>
        <v>#N/A</v>
      </c>
      <c r="K507" s="22" t="e">
        <f>VLOOKUP($A507, TAB_CORRECAO_C[[DIAS_CORRIDOS]:[V_FUT_UTEIS]],K$5, FALSE)</f>
        <v>#N/A</v>
      </c>
      <c r="L507" s="22" t="e">
        <f>VLOOKUP($A507, TAB_AMORTIZACAO_C[[DIAS_CORRIDOS]:[V_FUT_UTEIS]], L$5, FALSE)</f>
        <v>#N/A</v>
      </c>
    </row>
    <row r="508" spans="1:12" hidden="1">
      <c r="A508" s="19">
        <f t="shared" si="44"/>
        <v>502</v>
      </c>
      <c r="B508" s="20">
        <f t="shared" si="40"/>
        <v>0</v>
      </c>
      <c r="C508" s="21">
        <f t="shared" si="41"/>
        <v>0</v>
      </c>
      <c r="D508" s="22" t="e">
        <f>VLOOKUP($A508, TAB_JUROS_U[[Q_DIAS_U_PARC_TIR]:[V_FUT_U_JURS CENARIO]], D$5, FALSE)</f>
        <v>#N/A</v>
      </c>
      <c r="E508" s="22" t="e">
        <f>VLOOKUP($A508,TAB_CORRECAO_U[[Q_DIAS_U_PARC_TIR]:[V_FUT_U_CORC-02]],E$5, FALSE)</f>
        <v>#N/A</v>
      </c>
      <c r="F508" s="22" t="e">
        <f>VLOOKUP($A508,TAB_AMORTIZACAO_U[[Q_DIAS_U_PARC_TIR]:[V_FUT_U_PCPL-02]], F$5, FALSE)</f>
        <v>#N/A</v>
      </c>
      <c r="H508" s="20">
        <f t="shared" si="42"/>
        <v>0</v>
      </c>
      <c r="I508" s="21">
        <f t="shared" si="43"/>
        <v>0</v>
      </c>
      <c r="J508" s="22" t="e">
        <f>VLOOKUP($A508, TAB_JUROS_C[[DIAS_CORRIDOS]:[V_FUT_UTEIS]], J$5, FALSE)</f>
        <v>#N/A</v>
      </c>
      <c r="K508" s="22" t="e">
        <f>VLOOKUP($A508, TAB_CORRECAO_C[[DIAS_CORRIDOS]:[V_FUT_UTEIS]],K$5, FALSE)</f>
        <v>#N/A</v>
      </c>
      <c r="L508" s="22" t="e">
        <f>VLOOKUP($A508, TAB_AMORTIZACAO_C[[DIAS_CORRIDOS]:[V_FUT_UTEIS]], L$5, FALSE)</f>
        <v>#N/A</v>
      </c>
    </row>
    <row r="509" spans="1:12" hidden="1">
      <c r="A509" s="19">
        <f t="shared" si="44"/>
        <v>503</v>
      </c>
      <c r="B509" s="20">
        <f t="shared" si="40"/>
        <v>0</v>
      </c>
      <c r="C509" s="21">
        <f t="shared" si="41"/>
        <v>0</v>
      </c>
      <c r="D509" s="22" t="e">
        <f>VLOOKUP($A509, TAB_JUROS_U[[Q_DIAS_U_PARC_TIR]:[V_FUT_U_JURS CENARIO]], D$5, FALSE)</f>
        <v>#N/A</v>
      </c>
      <c r="E509" s="22" t="e">
        <f>VLOOKUP($A509,TAB_CORRECAO_U[[Q_DIAS_U_PARC_TIR]:[V_FUT_U_CORC-02]],E$5, FALSE)</f>
        <v>#N/A</v>
      </c>
      <c r="F509" s="22" t="e">
        <f>VLOOKUP($A509,TAB_AMORTIZACAO_U[[Q_DIAS_U_PARC_TIR]:[V_FUT_U_PCPL-02]], F$5, FALSE)</f>
        <v>#N/A</v>
      </c>
      <c r="H509" s="20">
        <f t="shared" si="42"/>
        <v>0</v>
      </c>
      <c r="I509" s="21">
        <f t="shared" si="43"/>
        <v>0</v>
      </c>
      <c r="J509" s="22" t="e">
        <f>VLOOKUP($A509, TAB_JUROS_C[[DIAS_CORRIDOS]:[V_FUT_UTEIS]], J$5, FALSE)</f>
        <v>#N/A</v>
      </c>
      <c r="K509" s="22" t="e">
        <f>VLOOKUP($A509, TAB_CORRECAO_C[[DIAS_CORRIDOS]:[V_FUT_UTEIS]],K$5, FALSE)</f>
        <v>#N/A</v>
      </c>
      <c r="L509" s="22" t="e">
        <f>VLOOKUP($A509, TAB_AMORTIZACAO_C[[DIAS_CORRIDOS]:[V_FUT_UTEIS]], L$5, FALSE)</f>
        <v>#N/A</v>
      </c>
    </row>
    <row r="510" spans="1:12" hidden="1">
      <c r="A510" s="19">
        <f t="shared" si="44"/>
        <v>504</v>
      </c>
      <c r="B510" s="20">
        <f t="shared" si="40"/>
        <v>0</v>
      </c>
      <c r="C510" s="21">
        <f t="shared" si="41"/>
        <v>0</v>
      </c>
      <c r="D510" s="22" t="e">
        <f>VLOOKUP($A510, TAB_JUROS_U[[Q_DIAS_U_PARC_TIR]:[V_FUT_U_JURS CENARIO]], D$5, FALSE)</f>
        <v>#N/A</v>
      </c>
      <c r="E510" s="22" t="e">
        <f>VLOOKUP($A510,TAB_CORRECAO_U[[Q_DIAS_U_PARC_TIR]:[V_FUT_U_CORC-02]],E$5, FALSE)</f>
        <v>#N/A</v>
      </c>
      <c r="F510" s="22" t="e">
        <f>VLOOKUP($A510,TAB_AMORTIZACAO_U[[Q_DIAS_U_PARC_TIR]:[V_FUT_U_PCPL-02]], F$5, FALSE)</f>
        <v>#N/A</v>
      </c>
      <c r="H510" s="20">
        <f t="shared" si="42"/>
        <v>0</v>
      </c>
      <c r="I510" s="21">
        <f t="shared" si="43"/>
        <v>0</v>
      </c>
      <c r="J510" s="22" t="e">
        <f>VLOOKUP($A510, TAB_JUROS_C[[DIAS_CORRIDOS]:[V_FUT_UTEIS]], J$5, FALSE)</f>
        <v>#N/A</v>
      </c>
      <c r="K510" s="22" t="e">
        <f>VLOOKUP($A510, TAB_CORRECAO_C[[DIAS_CORRIDOS]:[V_FUT_UTEIS]],K$5, FALSE)</f>
        <v>#N/A</v>
      </c>
      <c r="L510" s="22" t="e">
        <f>VLOOKUP($A510, TAB_AMORTIZACAO_C[[DIAS_CORRIDOS]:[V_FUT_UTEIS]], L$5, FALSE)</f>
        <v>#N/A</v>
      </c>
    </row>
    <row r="511" spans="1:12" hidden="1">
      <c r="A511" s="19">
        <f t="shared" si="44"/>
        <v>505</v>
      </c>
      <c r="B511" s="20">
        <f t="shared" si="40"/>
        <v>0</v>
      </c>
      <c r="C511" s="21">
        <f t="shared" si="41"/>
        <v>0</v>
      </c>
      <c r="D511" s="22" t="e">
        <f>VLOOKUP($A511, TAB_JUROS_U[[Q_DIAS_U_PARC_TIR]:[V_FUT_U_JURS CENARIO]], D$5, FALSE)</f>
        <v>#N/A</v>
      </c>
      <c r="E511" s="22" t="e">
        <f>VLOOKUP($A511,TAB_CORRECAO_U[[Q_DIAS_U_PARC_TIR]:[V_FUT_U_CORC-02]],E$5, FALSE)</f>
        <v>#N/A</v>
      </c>
      <c r="F511" s="22" t="e">
        <f>VLOOKUP($A511,TAB_AMORTIZACAO_U[[Q_DIAS_U_PARC_TIR]:[V_FUT_U_PCPL-02]], F$5, FALSE)</f>
        <v>#N/A</v>
      </c>
      <c r="H511" s="20">
        <f t="shared" si="42"/>
        <v>0</v>
      </c>
      <c r="I511" s="21">
        <f t="shared" si="43"/>
        <v>0</v>
      </c>
      <c r="J511" s="22" t="e">
        <f>VLOOKUP($A511, TAB_JUROS_C[[DIAS_CORRIDOS]:[V_FUT_UTEIS]], J$5, FALSE)</f>
        <v>#N/A</v>
      </c>
      <c r="K511" s="22" t="e">
        <f>VLOOKUP($A511, TAB_CORRECAO_C[[DIAS_CORRIDOS]:[V_FUT_UTEIS]],K$5, FALSE)</f>
        <v>#N/A</v>
      </c>
      <c r="L511" s="22" t="e">
        <f>VLOOKUP($A511, TAB_AMORTIZACAO_C[[DIAS_CORRIDOS]:[V_FUT_UTEIS]], L$5, FALSE)</f>
        <v>#N/A</v>
      </c>
    </row>
    <row r="512" spans="1:12" hidden="1">
      <c r="A512" s="19">
        <f t="shared" si="44"/>
        <v>506</v>
      </c>
      <c r="B512" s="20">
        <f t="shared" si="40"/>
        <v>0</v>
      </c>
      <c r="C512" s="21">
        <f t="shared" si="41"/>
        <v>0</v>
      </c>
      <c r="D512" s="22" t="e">
        <f>VLOOKUP($A512, TAB_JUROS_U[[Q_DIAS_U_PARC_TIR]:[V_FUT_U_JURS CENARIO]], D$5, FALSE)</f>
        <v>#N/A</v>
      </c>
      <c r="E512" s="22" t="e">
        <f>VLOOKUP($A512,TAB_CORRECAO_U[[Q_DIAS_U_PARC_TIR]:[V_FUT_U_CORC-02]],E$5, FALSE)</f>
        <v>#N/A</v>
      </c>
      <c r="F512" s="22" t="e">
        <f>VLOOKUP($A512,TAB_AMORTIZACAO_U[[Q_DIAS_U_PARC_TIR]:[V_FUT_U_PCPL-02]], F$5, FALSE)</f>
        <v>#N/A</v>
      </c>
      <c r="H512" s="20">
        <f t="shared" si="42"/>
        <v>0</v>
      </c>
      <c r="I512" s="21">
        <f t="shared" si="43"/>
        <v>0</v>
      </c>
      <c r="J512" s="22" t="e">
        <f>VLOOKUP($A512, TAB_JUROS_C[[DIAS_CORRIDOS]:[V_FUT_UTEIS]], J$5, FALSE)</f>
        <v>#N/A</v>
      </c>
      <c r="K512" s="22" t="e">
        <f>VLOOKUP($A512, TAB_CORRECAO_C[[DIAS_CORRIDOS]:[V_FUT_UTEIS]],K$5, FALSE)</f>
        <v>#N/A</v>
      </c>
      <c r="L512" s="22" t="e">
        <f>VLOOKUP($A512, TAB_AMORTIZACAO_C[[DIAS_CORRIDOS]:[V_FUT_UTEIS]], L$5, FALSE)</f>
        <v>#N/A</v>
      </c>
    </row>
    <row r="513" spans="1:12" hidden="1">
      <c r="A513" s="19">
        <f t="shared" si="44"/>
        <v>507</v>
      </c>
      <c r="B513" s="20">
        <f t="shared" si="40"/>
        <v>0</v>
      </c>
      <c r="C513" s="21">
        <f t="shared" si="41"/>
        <v>0</v>
      </c>
      <c r="D513" s="22" t="e">
        <f>VLOOKUP($A513, TAB_JUROS_U[[Q_DIAS_U_PARC_TIR]:[V_FUT_U_JURS CENARIO]], D$5, FALSE)</f>
        <v>#N/A</v>
      </c>
      <c r="E513" s="22" t="e">
        <f>VLOOKUP($A513,TAB_CORRECAO_U[[Q_DIAS_U_PARC_TIR]:[V_FUT_U_CORC-02]],E$5, FALSE)</f>
        <v>#N/A</v>
      </c>
      <c r="F513" s="22" t="e">
        <f>VLOOKUP($A513,TAB_AMORTIZACAO_U[[Q_DIAS_U_PARC_TIR]:[V_FUT_U_PCPL-02]], F$5, FALSE)</f>
        <v>#N/A</v>
      </c>
      <c r="H513" s="20">
        <f t="shared" si="42"/>
        <v>0</v>
      </c>
      <c r="I513" s="21">
        <f t="shared" si="43"/>
        <v>0</v>
      </c>
      <c r="J513" s="22" t="e">
        <f>VLOOKUP($A513, TAB_JUROS_C[[DIAS_CORRIDOS]:[V_FUT_UTEIS]], J$5, FALSE)</f>
        <v>#N/A</v>
      </c>
      <c r="K513" s="22" t="e">
        <f>VLOOKUP($A513, TAB_CORRECAO_C[[DIAS_CORRIDOS]:[V_FUT_UTEIS]],K$5, FALSE)</f>
        <v>#N/A</v>
      </c>
      <c r="L513" s="22" t="e">
        <f>VLOOKUP($A513, TAB_AMORTIZACAO_C[[DIAS_CORRIDOS]:[V_FUT_UTEIS]], L$5, FALSE)</f>
        <v>#N/A</v>
      </c>
    </row>
    <row r="514" spans="1:12" hidden="1">
      <c r="A514" s="19">
        <f t="shared" si="44"/>
        <v>508</v>
      </c>
      <c r="B514" s="20">
        <f t="shared" si="40"/>
        <v>0</v>
      </c>
      <c r="C514" s="21">
        <f t="shared" si="41"/>
        <v>0</v>
      </c>
      <c r="D514" s="22" t="e">
        <f>VLOOKUP($A514, TAB_JUROS_U[[Q_DIAS_U_PARC_TIR]:[V_FUT_U_JURS CENARIO]], D$5, FALSE)</f>
        <v>#N/A</v>
      </c>
      <c r="E514" s="22" t="e">
        <f>VLOOKUP($A514,TAB_CORRECAO_U[[Q_DIAS_U_PARC_TIR]:[V_FUT_U_CORC-02]],E$5, FALSE)</f>
        <v>#N/A</v>
      </c>
      <c r="F514" s="22" t="e">
        <f>VLOOKUP($A514,TAB_AMORTIZACAO_U[[Q_DIAS_U_PARC_TIR]:[V_FUT_U_PCPL-02]], F$5, FALSE)</f>
        <v>#N/A</v>
      </c>
      <c r="H514" s="20">
        <f t="shared" si="42"/>
        <v>0</v>
      </c>
      <c r="I514" s="21">
        <f t="shared" si="43"/>
        <v>0</v>
      </c>
      <c r="J514" s="22" t="e">
        <f>VLOOKUP($A514, TAB_JUROS_C[[DIAS_CORRIDOS]:[V_FUT_UTEIS]], J$5, FALSE)</f>
        <v>#N/A</v>
      </c>
      <c r="K514" s="22" t="e">
        <f>VLOOKUP($A514, TAB_CORRECAO_C[[DIAS_CORRIDOS]:[V_FUT_UTEIS]],K$5, FALSE)</f>
        <v>#N/A</v>
      </c>
      <c r="L514" s="22" t="e">
        <f>VLOOKUP($A514, TAB_AMORTIZACAO_C[[DIAS_CORRIDOS]:[V_FUT_UTEIS]], L$5, FALSE)</f>
        <v>#N/A</v>
      </c>
    </row>
    <row r="515" spans="1:12" hidden="1">
      <c r="A515" s="19">
        <f t="shared" si="44"/>
        <v>509</v>
      </c>
      <c r="B515" s="20">
        <f t="shared" si="40"/>
        <v>0</v>
      </c>
      <c r="C515" s="21">
        <f t="shared" si="41"/>
        <v>0</v>
      </c>
      <c r="D515" s="22" t="e">
        <f>VLOOKUP($A515, TAB_JUROS_U[[Q_DIAS_U_PARC_TIR]:[V_FUT_U_JURS CENARIO]], D$5, FALSE)</f>
        <v>#N/A</v>
      </c>
      <c r="E515" s="22" t="e">
        <f>VLOOKUP($A515,TAB_CORRECAO_U[[Q_DIAS_U_PARC_TIR]:[V_FUT_U_CORC-02]],E$5, FALSE)</f>
        <v>#N/A</v>
      </c>
      <c r="F515" s="22" t="e">
        <f>VLOOKUP($A515,TAB_AMORTIZACAO_U[[Q_DIAS_U_PARC_TIR]:[V_FUT_U_PCPL-02]], F$5, FALSE)</f>
        <v>#N/A</v>
      </c>
      <c r="H515" s="20">
        <f t="shared" si="42"/>
        <v>0</v>
      </c>
      <c r="I515" s="21">
        <f t="shared" si="43"/>
        <v>0</v>
      </c>
      <c r="J515" s="22" t="e">
        <f>VLOOKUP($A515, TAB_JUROS_C[[DIAS_CORRIDOS]:[V_FUT_UTEIS]], J$5, FALSE)</f>
        <v>#N/A</v>
      </c>
      <c r="K515" s="22" t="e">
        <f>VLOOKUP($A515, TAB_CORRECAO_C[[DIAS_CORRIDOS]:[V_FUT_UTEIS]],K$5, FALSE)</f>
        <v>#N/A</v>
      </c>
      <c r="L515" s="22" t="e">
        <f>VLOOKUP($A515, TAB_AMORTIZACAO_C[[DIAS_CORRIDOS]:[V_FUT_UTEIS]], L$5, FALSE)</f>
        <v>#N/A</v>
      </c>
    </row>
    <row r="516" spans="1:12" hidden="1">
      <c r="A516" s="19">
        <f t="shared" si="44"/>
        <v>510</v>
      </c>
      <c r="B516" s="20">
        <f t="shared" si="40"/>
        <v>0</v>
      </c>
      <c r="C516" s="21">
        <f t="shared" si="41"/>
        <v>0</v>
      </c>
      <c r="D516" s="22" t="e">
        <f>VLOOKUP($A516, TAB_JUROS_U[[Q_DIAS_U_PARC_TIR]:[V_FUT_U_JURS CENARIO]], D$5, FALSE)</f>
        <v>#N/A</v>
      </c>
      <c r="E516" s="22" t="e">
        <f>VLOOKUP($A516,TAB_CORRECAO_U[[Q_DIAS_U_PARC_TIR]:[V_FUT_U_CORC-02]],E$5, FALSE)</f>
        <v>#N/A</v>
      </c>
      <c r="F516" s="22" t="e">
        <f>VLOOKUP($A516,TAB_AMORTIZACAO_U[[Q_DIAS_U_PARC_TIR]:[V_FUT_U_PCPL-02]], F$5, FALSE)</f>
        <v>#N/A</v>
      </c>
      <c r="H516" s="20">
        <f t="shared" si="42"/>
        <v>0</v>
      </c>
      <c r="I516" s="21">
        <f t="shared" si="43"/>
        <v>0</v>
      </c>
      <c r="J516" s="22" t="e">
        <f>VLOOKUP($A516, TAB_JUROS_C[[DIAS_CORRIDOS]:[V_FUT_UTEIS]], J$5, FALSE)</f>
        <v>#N/A</v>
      </c>
      <c r="K516" s="22" t="e">
        <f>VLOOKUP($A516, TAB_CORRECAO_C[[DIAS_CORRIDOS]:[V_FUT_UTEIS]],K$5, FALSE)</f>
        <v>#N/A</v>
      </c>
      <c r="L516" s="22" t="e">
        <f>VLOOKUP($A516, TAB_AMORTIZACAO_C[[DIAS_CORRIDOS]:[V_FUT_UTEIS]], L$5, FALSE)</f>
        <v>#N/A</v>
      </c>
    </row>
    <row r="517" spans="1:12" hidden="1">
      <c r="A517" s="19">
        <f t="shared" si="44"/>
        <v>511</v>
      </c>
      <c r="B517" s="20">
        <f t="shared" si="40"/>
        <v>0</v>
      </c>
      <c r="C517" s="21">
        <f t="shared" si="41"/>
        <v>0</v>
      </c>
      <c r="D517" s="22" t="e">
        <f>VLOOKUP($A517, TAB_JUROS_U[[Q_DIAS_U_PARC_TIR]:[V_FUT_U_JURS CENARIO]], D$5, FALSE)</f>
        <v>#N/A</v>
      </c>
      <c r="E517" s="22" t="e">
        <f>VLOOKUP($A517,TAB_CORRECAO_U[[Q_DIAS_U_PARC_TIR]:[V_FUT_U_CORC-02]],E$5, FALSE)</f>
        <v>#N/A</v>
      </c>
      <c r="F517" s="22" t="e">
        <f>VLOOKUP($A517,TAB_AMORTIZACAO_U[[Q_DIAS_U_PARC_TIR]:[V_FUT_U_PCPL-02]], F$5, FALSE)</f>
        <v>#N/A</v>
      </c>
      <c r="H517" s="20">
        <f t="shared" si="42"/>
        <v>0</v>
      </c>
      <c r="I517" s="21">
        <f t="shared" si="43"/>
        <v>0</v>
      </c>
      <c r="J517" s="22" t="e">
        <f>VLOOKUP($A517, TAB_JUROS_C[[DIAS_CORRIDOS]:[V_FUT_UTEIS]], J$5, FALSE)</f>
        <v>#N/A</v>
      </c>
      <c r="K517" s="22" t="e">
        <f>VLOOKUP($A517, TAB_CORRECAO_C[[DIAS_CORRIDOS]:[V_FUT_UTEIS]],K$5, FALSE)</f>
        <v>#N/A</v>
      </c>
      <c r="L517" s="22" t="e">
        <f>VLOOKUP($A517, TAB_AMORTIZACAO_C[[DIAS_CORRIDOS]:[V_FUT_UTEIS]], L$5, FALSE)</f>
        <v>#N/A</v>
      </c>
    </row>
    <row r="518" spans="1:12" hidden="1">
      <c r="A518" s="19">
        <f t="shared" si="44"/>
        <v>512</v>
      </c>
      <c r="B518" s="20">
        <f t="shared" si="40"/>
        <v>0</v>
      </c>
      <c r="C518" s="21">
        <f t="shared" si="41"/>
        <v>0</v>
      </c>
      <c r="D518" s="22" t="e">
        <f>VLOOKUP($A518, TAB_JUROS_U[[Q_DIAS_U_PARC_TIR]:[V_FUT_U_JURS CENARIO]], D$5, FALSE)</f>
        <v>#N/A</v>
      </c>
      <c r="E518" s="22" t="e">
        <f>VLOOKUP($A518,TAB_CORRECAO_U[[Q_DIAS_U_PARC_TIR]:[V_FUT_U_CORC-02]],E$5, FALSE)</f>
        <v>#N/A</v>
      </c>
      <c r="F518" s="22" t="e">
        <f>VLOOKUP($A518,TAB_AMORTIZACAO_U[[Q_DIAS_U_PARC_TIR]:[V_FUT_U_PCPL-02]], F$5, FALSE)</f>
        <v>#N/A</v>
      </c>
      <c r="H518" s="20">
        <f t="shared" si="42"/>
        <v>0</v>
      </c>
      <c r="I518" s="21">
        <f t="shared" si="43"/>
        <v>0</v>
      </c>
      <c r="J518" s="22" t="e">
        <f>VLOOKUP($A518, TAB_JUROS_C[[DIAS_CORRIDOS]:[V_FUT_UTEIS]], J$5, FALSE)</f>
        <v>#N/A</v>
      </c>
      <c r="K518" s="22" t="e">
        <f>VLOOKUP($A518, TAB_CORRECAO_C[[DIAS_CORRIDOS]:[V_FUT_UTEIS]],K$5, FALSE)</f>
        <v>#N/A</v>
      </c>
      <c r="L518" s="22" t="e">
        <f>VLOOKUP($A518, TAB_AMORTIZACAO_C[[DIAS_CORRIDOS]:[V_FUT_UTEIS]], L$5, FALSE)</f>
        <v>#N/A</v>
      </c>
    </row>
    <row r="519" spans="1:12">
      <c r="A519" s="19">
        <f t="shared" si="44"/>
        <v>513</v>
      </c>
      <c r="B519" s="20">
        <f t="shared" si="40"/>
        <v>1494.2697445058138</v>
      </c>
      <c r="C519" s="21">
        <f t="shared" si="41"/>
        <v>1494.2697445058138</v>
      </c>
      <c r="D519" s="22">
        <f>VLOOKUP($A519, TAB_JUROS_U[[Q_DIAS_U_PARC_TIR]:[V_FUT_U_JURS CENARIO]], D$5, FALSE)</f>
        <v>113.9304038099183</v>
      </c>
      <c r="E519" s="22">
        <f>VLOOKUP($A519,TAB_CORRECAO_U[[Q_DIAS_U_PARC_TIR]:[V_FUT_U_CORC-02]],E$5, FALSE)</f>
        <v>720.37346278174437</v>
      </c>
      <c r="F519" s="22">
        <f>VLOOKUP($A519,TAB_AMORTIZACAO_U[[Q_DIAS_U_PARC_TIR]:[V_FUT_U_PCPL-02]], F$5, FALSE)</f>
        <v>659.96587791415106</v>
      </c>
      <c r="H519" s="20">
        <f t="shared" si="42"/>
        <v>0</v>
      </c>
      <c r="I519" s="21">
        <f t="shared" si="43"/>
        <v>0</v>
      </c>
      <c r="J519" s="22" t="e">
        <f>VLOOKUP($A519, TAB_JUROS_C[[DIAS_CORRIDOS]:[V_FUT_UTEIS]], J$5, FALSE)</f>
        <v>#N/A</v>
      </c>
      <c r="K519" s="22" t="e">
        <f>VLOOKUP($A519, TAB_CORRECAO_C[[DIAS_CORRIDOS]:[V_FUT_UTEIS]],K$5, FALSE)</f>
        <v>#N/A</v>
      </c>
      <c r="L519" s="22" t="e">
        <f>VLOOKUP($A519, TAB_AMORTIZACAO_C[[DIAS_CORRIDOS]:[V_FUT_UTEIS]], L$5, FALSE)</f>
        <v>#N/A</v>
      </c>
    </row>
    <row r="520" spans="1:12" hidden="1">
      <c r="A520" s="19">
        <f t="shared" si="44"/>
        <v>514</v>
      </c>
      <c r="B520" s="20">
        <f t="shared" si="40"/>
        <v>0</v>
      </c>
      <c r="C520" s="21">
        <f t="shared" si="41"/>
        <v>0</v>
      </c>
      <c r="D520" s="22" t="e">
        <f>VLOOKUP($A520, TAB_JUROS_U[[Q_DIAS_U_PARC_TIR]:[V_FUT_U_JURS CENARIO]], D$5, FALSE)</f>
        <v>#N/A</v>
      </c>
      <c r="E520" s="22" t="e">
        <f>VLOOKUP($A520,TAB_CORRECAO_U[[Q_DIAS_U_PARC_TIR]:[V_FUT_U_CORC-02]],E$5, FALSE)</f>
        <v>#N/A</v>
      </c>
      <c r="F520" s="22" t="e">
        <f>VLOOKUP($A520,TAB_AMORTIZACAO_U[[Q_DIAS_U_PARC_TIR]:[V_FUT_U_PCPL-02]], F$5, FALSE)</f>
        <v>#N/A</v>
      </c>
      <c r="H520" s="20">
        <f t="shared" si="42"/>
        <v>0</v>
      </c>
      <c r="I520" s="21">
        <f t="shared" si="43"/>
        <v>0</v>
      </c>
      <c r="J520" s="22" t="e">
        <f>VLOOKUP($A520, TAB_JUROS_C[[DIAS_CORRIDOS]:[V_FUT_UTEIS]], J$5, FALSE)</f>
        <v>#N/A</v>
      </c>
      <c r="K520" s="22" t="e">
        <f>VLOOKUP($A520, TAB_CORRECAO_C[[DIAS_CORRIDOS]:[V_FUT_UTEIS]],K$5, FALSE)</f>
        <v>#N/A</v>
      </c>
      <c r="L520" s="22" t="e">
        <f>VLOOKUP($A520, TAB_AMORTIZACAO_C[[DIAS_CORRIDOS]:[V_FUT_UTEIS]], L$5, FALSE)</f>
        <v>#N/A</v>
      </c>
    </row>
    <row r="521" spans="1:12" hidden="1">
      <c r="A521" s="19">
        <f t="shared" si="44"/>
        <v>515</v>
      </c>
      <c r="B521" s="20">
        <f t="shared" ref="B521:B584" si="45">IF(ISERROR(C521), 0, C521)</f>
        <v>0</v>
      </c>
      <c r="C521" s="21">
        <f t="shared" ref="C521:C584" si="46">SUMIF(D521:F521, "&gt;0", D521:F521)</f>
        <v>0</v>
      </c>
      <c r="D521" s="22" t="e">
        <f>VLOOKUP($A521, TAB_JUROS_U[[Q_DIAS_U_PARC_TIR]:[V_FUT_U_JURS CENARIO]], D$5, FALSE)</f>
        <v>#N/A</v>
      </c>
      <c r="E521" s="22" t="e">
        <f>VLOOKUP($A521,TAB_CORRECAO_U[[Q_DIAS_U_PARC_TIR]:[V_FUT_U_CORC-02]],E$5, FALSE)</f>
        <v>#N/A</v>
      </c>
      <c r="F521" s="22" t="e">
        <f>VLOOKUP($A521,TAB_AMORTIZACAO_U[[Q_DIAS_U_PARC_TIR]:[V_FUT_U_PCPL-02]], F$5, FALSE)</f>
        <v>#N/A</v>
      </c>
      <c r="H521" s="20">
        <f t="shared" ref="H521:H584" si="47">IF(ISERROR(I521), 0, I521)</f>
        <v>0</v>
      </c>
      <c r="I521" s="21">
        <f t="shared" ref="I521:I584" si="48">SUMIF(J521:L521, "&gt;0", J521:L521)</f>
        <v>0</v>
      </c>
      <c r="J521" s="22" t="e">
        <f>VLOOKUP($A521, TAB_JUROS_C[[DIAS_CORRIDOS]:[V_FUT_UTEIS]], J$5, FALSE)</f>
        <v>#N/A</v>
      </c>
      <c r="K521" s="22" t="e">
        <f>VLOOKUP($A521, TAB_CORRECAO_C[[DIAS_CORRIDOS]:[V_FUT_UTEIS]],K$5, FALSE)</f>
        <v>#N/A</v>
      </c>
      <c r="L521" s="22" t="e">
        <f>VLOOKUP($A521, TAB_AMORTIZACAO_C[[DIAS_CORRIDOS]:[V_FUT_UTEIS]], L$5, FALSE)</f>
        <v>#N/A</v>
      </c>
    </row>
    <row r="522" spans="1:12" hidden="1">
      <c r="A522" s="19">
        <f t="shared" ref="A522:A585" si="49">A521+1</f>
        <v>516</v>
      </c>
      <c r="B522" s="20">
        <f t="shared" si="45"/>
        <v>0</v>
      </c>
      <c r="C522" s="21">
        <f t="shared" si="46"/>
        <v>0</v>
      </c>
      <c r="D522" s="22" t="e">
        <f>VLOOKUP($A522, TAB_JUROS_U[[Q_DIAS_U_PARC_TIR]:[V_FUT_U_JURS CENARIO]], D$5, FALSE)</f>
        <v>#N/A</v>
      </c>
      <c r="E522" s="22" t="e">
        <f>VLOOKUP($A522,TAB_CORRECAO_U[[Q_DIAS_U_PARC_TIR]:[V_FUT_U_CORC-02]],E$5, FALSE)</f>
        <v>#N/A</v>
      </c>
      <c r="F522" s="22" t="e">
        <f>VLOOKUP($A522,TAB_AMORTIZACAO_U[[Q_DIAS_U_PARC_TIR]:[V_FUT_U_PCPL-02]], F$5, FALSE)</f>
        <v>#N/A</v>
      </c>
      <c r="H522" s="20">
        <f t="shared" si="47"/>
        <v>0</v>
      </c>
      <c r="I522" s="21">
        <f t="shared" si="48"/>
        <v>0</v>
      </c>
      <c r="J522" s="22" t="e">
        <f>VLOOKUP($A522, TAB_JUROS_C[[DIAS_CORRIDOS]:[V_FUT_UTEIS]], J$5, FALSE)</f>
        <v>#N/A</v>
      </c>
      <c r="K522" s="22" t="e">
        <f>VLOOKUP($A522, TAB_CORRECAO_C[[DIAS_CORRIDOS]:[V_FUT_UTEIS]],K$5, FALSE)</f>
        <v>#N/A</v>
      </c>
      <c r="L522" s="22" t="e">
        <f>VLOOKUP($A522, TAB_AMORTIZACAO_C[[DIAS_CORRIDOS]:[V_FUT_UTEIS]], L$5, FALSE)</f>
        <v>#N/A</v>
      </c>
    </row>
    <row r="523" spans="1:12" hidden="1">
      <c r="A523" s="19">
        <f t="shared" si="49"/>
        <v>517</v>
      </c>
      <c r="B523" s="20">
        <f t="shared" si="45"/>
        <v>0</v>
      </c>
      <c r="C523" s="21">
        <f t="shared" si="46"/>
        <v>0</v>
      </c>
      <c r="D523" s="22" t="e">
        <f>VLOOKUP($A523, TAB_JUROS_U[[Q_DIAS_U_PARC_TIR]:[V_FUT_U_JURS CENARIO]], D$5, FALSE)</f>
        <v>#N/A</v>
      </c>
      <c r="E523" s="22" t="e">
        <f>VLOOKUP($A523,TAB_CORRECAO_U[[Q_DIAS_U_PARC_TIR]:[V_FUT_U_CORC-02]],E$5, FALSE)</f>
        <v>#N/A</v>
      </c>
      <c r="F523" s="22" t="e">
        <f>VLOOKUP($A523,TAB_AMORTIZACAO_U[[Q_DIAS_U_PARC_TIR]:[V_FUT_U_PCPL-02]], F$5, FALSE)</f>
        <v>#N/A</v>
      </c>
      <c r="H523" s="20">
        <f t="shared" si="47"/>
        <v>0</v>
      </c>
      <c r="I523" s="21">
        <f t="shared" si="48"/>
        <v>0</v>
      </c>
      <c r="J523" s="22" t="e">
        <f>VLOOKUP($A523, TAB_JUROS_C[[DIAS_CORRIDOS]:[V_FUT_UTEIS]], J$5, FALSE)</f>
        <v>#N/A</v>
      </c>
      <c r="K523" s="22" t="e">
        <f>VLOOKUP($A523, TAB_CORRECAO_C[[DIAS_CORRIDOS]:[V_FUT_UTEIS]],K$5, FALSE)</f>
        <v>#N/A</v>
      </c>
      <c r="L523" s="22" t="e">
        <f>VLOOKUP($A523, TAB_AMORTIZACAO_C[[DIAS_CORRIDOS]:[V_FUT_UTEIS]], L$5, FALSE)</f>
        <v>#N/A</v>
      </c>
    </row>
    <row r="524" spans="1:12" hidden="1">
      <c r="A524" s="19">
        <f t="shared" si="49"/>
        <v>518</v>
      </c>
      <c r="B524" s="20">
        <f t="shared" si="45"/>
        <v>0</v>
      </c>
      <c r="C524" s="21">
        <f t="shared" si="46"/>
        <v>0</v>
      </c>
      <c r="D524" s="22" t="e">
        <f>VLOOKUP($A524, TAB_JUROS_U[[Q_DIAS_U_PARC_TIR]:[V_FUT_U_JURS CENARIO]], D$5, FALSE)</f>
        <v>#N/A</v>
      </c>
      <c r="E524" s="22" t="e">
        <f>VLOOKUP($A524,TAB_CORRECAO_U[[Q_DIAS_U_PARC_TIR]:[V_FUT_U_CORC-02]],E$5, FALSE)</f>
        <v>#N/A</v>
      </c>
      <c r="F524" s="22" t="e">
        <f>VLOOKUP($A524,TAB_AMORTIZACAO_U[[Q_DIAS_U_PARC_TIR]:[V_FUT_U_PCPL-02]], F$5, FALSE)</f>
        <v>#N/A</v>
      </c>
      <c r="H524" s="20">
        <f t="shared" si="47"/>
        <v>0</v>
      </c>
      <c r="I524" s="21">
        <f t="shared" si="48"/>
        <v>0</v>
      </c>
      <c r="J524" s="22" t="e">
        <f>VLOOKUP($A524, TAB_JUROS_C[[DIAS_CORRIDOS]:[V_FUT_UTEIS]], J$5, FALSE)</f>
        <v>#N/A</v>
      </c>
      <c r="K524" s="22" t="e">
        <f>VLOOKUP($A524, TAB_CORRECAO_C[[DIAS_CORRIDOS]:[V_FUT_UTEIS]],K$5, FALSE)</f>
        <v>#N/A</v>
      </c>
      <c r="L524" s="22" t="e">
        <f>VLOOKUP($A524, TAB_AMORTIZACAO_C[[DIAS_CORRIDOS]:[V_FUT_UTEIS]], L$5, FALSE)</f>
        <v>#N/A</v>
      </c>
    </row>
    <row r="525" spans="1:12" hidden="1">
      <c r="A525" s="19">
        <f t="shared" si="49"/>
        <v>519</v>
      </c>
      <c r="B525" s="20">
        <f t="shared" si="45"/>
        <v>0</v>
      </c>
      <c r="C525" s="21">
        <f t="shared" si="46"/>
        <v>0</v>
      </c>
      <c r="D525" s="22" t="e">
        <f>VLOOKUP($A525, TAB_JUROS_U[[Q_DIAS_U_PARC_TIR]:[V_FUT_U_JURS CENARIO]], D$5, FALSE)</f>
        <v>#N/A</v>
      </c>
      <c r="E525" s="22" t="e">
        <f>VLOOKUP($A525,TAB_CORRECAO_U[[Q_DIAS_U_PARC_TIR]:[V_FUT_U_CORC-02]],E$5, FALSE)</f>
        <v>#N/A</v>
      </c>
      <c r="F525" s="22" t="e">
        <f>VLOOKUP($A525,TAB_AMORTIZACAO_U[[Q_DIAS_U_PARC_TIR]:[V_FUT_U_PCPL-02]], F$5, FALSE)</f>
        <v>#N/A</v>
      </c>
      <c r="H525" s="20">
        <f t="shared" si="47"/>
        <v>0</v>
      </c>
      <c r="I525" s="21">
        <f t="shared" si="48"/>
        <v>0</v>
      </c>
      <c r="J525" s="22" t="e">
        <f>VLOOKUP($A525, TAB_JUROS_C[[DIAS_CORRIDOS]:[V_FUT_UTEIS]], J$5, FALSE)</f>
        <v>#N/A</v>
      </c>
      <c r="K525" s="22" t="e">
        <f>VLOOKUP($A525, TAB_CORRECAO_C[[DIAS_CORRIDOS]:[V_FUT_UTEIS]],K$5, FALSE)</f>
        <v>#N/A</v>
      </c>
      <c r="L525" s="22" t="e">
        <f>VLOOKUP($A525, TAB_AMORTIZACAO_C[[DIAS_CORRIDOS]:[V_FUT_UTEIS]], L$5, FALSE)</f>
        <v>#N/A</v>
      </c>
    </row>
    <row r="526" spans="1:12" hidden="1">
      <c r="A526" s="19">
        <f t="shared" si="49"/>
        <v>520</v>
      </c>
      <c r="B526" s="20">
        <f t="shared" si="45"/>
        <v>0</v>
      </c>
      <c r="C526" s="21">
        <f t="shared" si="46"/>
        <v>0</v>
      </c>
      <c r="D526" s="22" t="e">
        <f>VLOOKUP($A526, TAB_JUROS_U[[Q_DIAS_U_PARC_TIR]:[V_FUT_U_JURS CENARIO]], D$5, FALSE)</f>
        <v>#N/A</v>
      </c>
      <c r="E526" s="22" t="e">
        <f>VLOOKUP($A526,TAB_CORRECAO_U[[Q_DIAS_U_PARC_TIR]:[V_FUT_U_CORC-02]],E$5, FALSE)</f>
        <v>#N/A</v>
      </c>
      <c r="F526" s="22" t="e">
        <f>VLOOKUP($A526,TAB_AMORTIZACAO_U[[Q_DIAS_U_PARC_TIR]:[V_FUT_U_PCPL-02]], F$5, FALSE)</f>
        <v>#N/A</v>
      </c>
      <c r="H526" s="20">
        <f t="shared" si="47"/>
        <v>0</v>
      </c>
      <c r="I526" s="21">
        <f t="shared" si="48"/>
        <v>0</v>
      </c>
      <c r="J526" s="22" t="e">
        <f>VLOOKUP($A526, TAB_JUROS_C[[DIAS_CORRIDOS]:[V_FUT_UTEIS]], J$5, FALSE)</f>
        <v>#N/A</v>
      </c>
      <c r="K526" s="22" t="e">
        <f>VLOOKUP($A526, TAB_CORRECAO_C[[DIAS_CORRIDOS]:[V_FUT_UTEIS]],K$5, FALSE)</f>
        <v>#N/A</v>
      </c>
      <c r="L526" s="22" t="e">
        <f>VLOOKUP($A526, TAB_AMORTIZACAO_C[[DIAS_CORRIDOS]:[V_FUT_UTEIS]], L$5, FALSE)</f>
        <v>#N/A</v>
      </c>
    </row>
    <row r="527" spans="1:12" hidden="1">
      <c r="A527" s="19">
        <f t="shared" si="49"/>
        <v>521</v>
      </c>
      <c r="B527" s="20">
        <f t="shared" si="45"/>
        <v>0</v>
      </c>
      <c r="C527" s="21">
        <f t="shared" si="46"/>
        <v>0</v>
      </c>
      <c r="D527" s="22" t="e">
        <f>VLOOKUP($A527, TAB_JUROS_U[[Q_DIAS_U_PARC_TIR]:[V_FUT_U_JURS CENARIO]], D$5, FALSE)</f>
        <v>#N/A</v>
      </c>
      <c r="E527" s="22" t="e">
        <f>VLOOKUP($A527,TAB_CORRECAO_U[[Q_DIAS_U_PARC_TIR]:[V_FUT_U_CORC-02]],E$5, FALSE)</f>
        <v>#N/A</v>
      </c>
      <c r="F527" s="22" t="e">
        <f>VLOOKUP($A527,TAB_AMORTIZACAO_U[[Q_DIAS_U_PARC_TIR]:[V_FUT_U_PCPL-02]], F$5, FALSE)</f>
        <v>#N/A</v>
      </c>
      <c r="H527" s="20">
        <f t="shared" si="47"/>
        <v>0</v>
      </c>
      <c r="I527" s="21">
        <f t="shared" si="48"/>
        <v>0</v>
      </c>
      <c r="J527" s="22" t="e">
        <f>VLOOKUP($A527, TAB_JUROS_C[[DIAS_CORRIDOS]:[V_FUT_UTEIS]], J$5, FALSE)</f>
        <v>#N/A</v>
      </c>
      <c r="K527" s="22" t="e">
        <f>VLOOKUP($A527, TAB_CORRECAO_C[[DIAS_CORRIDOS]:[V_FUT_UTEIS]],K$5, FALSE)</f>
        <v>#N/A</v>
      </c>
      <c r="L527" s="22" t="e">
        <f>VLOOKUP($A527, TAB_AMORTIZACAO_C[[DIAS_CORRIDOS]:[V_FUT_UTEIS]], L$5, FALSE)</f>
        <v>#N/A</v>
      </c>
    </row>
    <row r="528" spans="1:12" hidden="1">
      <c r="A528" s="19">
        <f t="shared" si="49"/>
        <v>522</v>
      </c>
      <c r="B528" s="20">
        <f t="shared" si="45"/>
        <v>0</v>
      </c>
      <c r="C528" s="21">
        <f t="shared" si="46"/>
        <v>0</v>
      </c>
      <c r="D528" s="22" t="e">
        <f>VLOOKUP($A528, TAB_JUROS_U[[Q_DIAS_U_PARC_TIR]:[V_FUT_U_JURS CENARIO]], D$5, FALSE)</f>
        <v>#N/A</v>
      </c>
      <c r="E528" s="22" t="e">
        <f>VLOOKUP($A528,TAB_CORRECAO_U[[Q_DIAS_U_PARC_TIR]:[V_FUT_U_CORC-02]],E$5, FALSE)</f>
        <v>#N/A</v>
      </c>
      <c r="F528" s="22" t="e">
        <f>VLOOKUP($A528,TAB_AMORTIZACAO_U[[Q_DIAS_U_PARC_TIR]:[V_FUT_U_PCPL-02]], F$5, FALSE)</f>
        <v>#N/A</v>
      </c>
      <c r="H528" s="20">
        <f t="shared" si="47"/>
        <v>0</v>
      </c>
      <c r="I528" s="21">
        <f t="shared" si="48"/>
        <v>0</v>
      </c>
      <c r="J528" s="22" t="e">
        <f>VLOOKUP($A528, TAB_JUROS_C[[DIAS_CORRIDOS]:[V_FUT_UTEIS]], J$5, FALSE)</f>
        <v>#N/A</v>
      </c>
      <c r="K528" s="22" t="e">
        <f>VLOOKUP($A528, TAB_CORRECAO_C[[DIAS_CORRIDOS]:[V_FUT_UTEIS]],K$5, FALSE)</f>
        <v>#N/A</v>
      </c>
      <c r="L528" s="22" t="e">
        <f>VLOOKUP($A528, TAB_AMORTIZACAO_C[[DIAS_CORRIDOS]:[V_FUT_UTEIS]], L$5, FALSE)</f>
        <v>#N/A</v>
      </c>
    </row>
    <row r="529" spans="1:12" hidden="1">
      <c r="A529" s="19">
        <f t="shared" si="49"/>
        <v>523</v>
      </c>
      <c r="B529" s="20">
        <f t="shared" si="45"/>
        <v>0</v>
      </c>
      <c r="C529" s="21">
        <f t="shared" si="46"/>
        <v>0</v>
      </c>
      <c r="D529" s="22" t="e">
        <f>VLOOKUP($A529, TAB_JUROS_U[[Q_DIAS_U_PARC_TIR]:[V_FUT_U_JURS CENARIO]], D$5, FALSE)</f>
        <v>#N/A</v>
      </c>
      <c r="E529" s="22" t="e">
        <f>VLOOKUP($A529,TAB_CORRECAO_U[[Q_DIAS_U_PARC_TIR]:[V_FUT_U_CORC-02]],E$5, FALSE)</f>
        <v>#N/A</v>
      </c>
      <c r="F529" s="22" t="e">
        <f>VLOOKUP($A529,TAB_AMORTIZACAO_U[[Q_DIAS_U_PARC_TIR]:[V_FUT_U_PCPL-02]], F$5, FALSE)</f>
        <v>#N/A</v>
      </c>
      <c r="H529" s="20">
        <f t="shared" si="47"/>
        <v>0</v>
      </c>
      <c r="I529" s="21">
        <f t="shared" si="48"/>
        <v>0</v>
      </c>
      <c r="J529" s="22" t="e">
        <f>VLOOKUP($A529, TAB_JUROS_C[[DIAS_CORRIDOS]:[V_FUT_UTEIS]], J$5, FALSE)</f>
        <v>#N/A</v>
      </c>
      <c r="K529" s="22" t="e">
        <f>VLOOKUP($A529, TAB_CORRECAO_C[[DIAS_CORRIDOS]:[V_FUT_UTEIS]],K$5, FALSE)</f>
        <v>#N/A</v>
      </c>
      <c r="L529" s="22" t="e">
        <f>VLOOKUP($A529, TAB_AMORTIZACAO_C[[DIAS_CORRIDOS]:[V_FUT_UTEIS]], L$5, FALSE)</f>
        <v>#N/A</v>
      </c>
    </row>
    <row r="530" spans="1:12" hidden="1">
      <c r="A530" s="19">
        <f t="shared" si="49"/>
        <v>524</v>
      </c>
      <c r="B530" s="20">
        <f t="shared" si="45"/>
        <v>0</v>
      </c>
      <c r="C530" s="21">
        <f t="shared" si="46"/>
        <v>0</v>
      </c>
      <c r="D530" s="22" t="e">
        <f>VLOOKUP($A530, TAB_JUROS_U[[Q_DIAS_U_PARC_TIR]:[V_FUT_U_JURS CENARIO]], D$5, FALSE)</f>
        <v>#N/A</v>
      </c>
      <c r="E530" s="22" t="e">
        <f>VLOOKUP($A530,TAB_CORRECAO_U[[Q_DIAS_U_PARC_TIR]:[V_FUT_U_CORC-02]],E$5, FALSE)</f>
        <v>#N/A</v>
      </c>
      <c r="F530" s="22" t="e">
        <f>VLOOKUP($A530,TAB_AMORTIZACAO_U[[Q_DIAS_U_PARC_TIR]:[V_FUT_U_PCPL-02]], F$5, FALSE)</f>
        <v>#N/A</v>
      </c>
      <c r="H530" s="20">
        <f t="shared" si="47"/>
        <v>0</v>
      </c>
      <c r="I530" s="21">
        <f t="shared" si="48"/>
        <v>0</v>
      </c>
      <c r="J530" s="22" t="e">
        <f>VLOOKUP($A530, TAB_JUROS_C[[DIAS_CORRIDOS]:[V_FUT_UTEIS]], J$5, FALSE)</f>
        <v>#N/A</v>
      </c>
      <c r="K530" s="22" t="e">
        <f>VLOOKUP($A530, TAB_CORRECAO_C[[DIAS_CORRIDOS]:[V_FUT_UTEIS]],K$5, FALSE)</f>
        <v>#N/A</v>
      </c>
      <c r="L530" s="22" t="e">
        <f>VLOOKUP($A530, TAB_AMORTIZACAO_C[[DIAS_CORRIDOS]:[V_FUT_UTEIS]], L$5, FALSE)</f>
        <v>#N/A</v>
      </c>
    </row>
    <row r="531" spans="1:12" hidden="1">
      <c r="A531" s="19">
        <f t="shared" si="49"/>
        <v>525</v>
      </c>
      <c r="B531" s="20">
        <f t="shared" si="45"/>
        <v>0</v>
      </c>
      <c r="C531" s="21">
        <f t="shared" si="46"/>
        <v>0</v>
      </c>
      <c r="D531" s="22" t="e">
        <f>VLOOKUP($A531, TAB_JUROS_U[[Q_DIAS_U_PARC_TIR]:[V_FUT_U_JURS CENARIO]], D$5, FALSE)</f>
        <v>#N/A</v>
      </c>
      <c r="E531" s="22" t="e">
        <f>VLOOKUP($A531,TAB_CORRECAO_U[[Q_DIAS_U_PARC_TIR]:[V_FUT_U_CORC-02]],E$5, FALSE)</f>
        <v>#N/A</v>
      </c>
      <c r="F531" s="22" t="e">
        <f>VLOOKUP($A531,TAB_AMORTIZACAO_U[[Q_DIAS_U_PARC_TIR]:[V_FUT_U_PCPL-02]], F$5, FALSE)</f>
        <v>#N/A</v>
      </c>
      <c r="H531" s="20">
        <f t="shared" si="47"/>
        <v>0</v>
      </c>
      <c r="I531" s="21">
        <f t="shared" si="48"/>
        <v>0</v>
      </c>
      <c r="J531" s="22" t="e">
        <f>VLOOKUP($A531, TAB_JUROS_C[[DIAS_CORRIDOS]:[V_FUT_UTEIS]], J$5, FALSE)</f>
        <v>#N/A</v>
      </c>
      <c r="K531" s="22" t="e">
        <f>VLOOKUP($A531, TAB_CORRECAO_C[[DIAS_CORRIDOS]:[V_FUT_UTEIS]],K$5, FALSE)</f>
        <v>#N/A</v>
      </c>
      <c r="L531" s="22" t="e">
        <f>VLOOKUP($A531, TAB_AMORTIZACAO_C[[DIAS_CORRIDOS]:[V_FUT_UTEIS]], L$5, FALSE)</f>
        <v>#N/A</v>
      </c>
    </row>
    <row r="532" spans="1:12" hidden="1">
      <c r="A532" s="19">
        <f t="shared" si="49"/>
        <v>526</v>
      </c>
      <c r="B532" s="20">
        <f t="shared" si="45"/>
        <v>0</v>
      </c>
      <c r="C532" s="21">
        <f t="shared" si="46"/>
        <v>0</v>
      </c>
      <c r="D532" s="22" t="e">
        <f>VLOOKUP($A532, TAB_JUROS_U[[Q_DIAS_U_PARC_TIR]:[V_FUT_U_JURS CENARIO]], D$5, FALSE)</f>
        <v>#N/A</v>
      </c>
      <c r="E532" s="22" t="e">
        <f>VLOOKUP($A532,TAB_CORRECAO_U[[Q_DIAS_U_PARC_TIR]:[V_FUT_U_CORC-02]],E$5, FALSE)</f>
        <v>#N/A</v>
      </c>
      <c r="F532" s="22" t="e">
        <f>VLOOKUP($A532,TAB_AMORTIZACAO_U[[Q_DIAS_U_PARC_TIR]:[V_FUT_U_PCPL-02]], F$5, FALSE)</f>
        <v>#N/A</v>
      </c>
      <c r="H532" s="20">
        <f t="shared" si="47"/>
        <v>0</v>
      </c>
      <c r="I532" s="21">
        <f t="shared" si="48"/>
        <v>0</v>
      </c>
      <c r="J532" s="22" t="e">
        <f>VLOOKUP($A532, TAB_JUROS_C[[DIAS_CORRIDOS]:[V_FUT_UTEIS]], J$5, FALSE)</f>
        <v>#N/A</v>
      </c>
      <c r="K532" s="22" t="e">
        <f>VLOOKUP($A532, TAB_CORRECAO_C[[DIAS_CORRIDOS]:[V_FUT_UTEIS]],K$5, FALSE)</f>
        <v>#N/A</v>
      </c>
      <c r="L532" s="22" t="e">
        <f>VLOOKUP($A532, TAB_AMORTIZACAO_C[[DIAS_CORRIDOS]:[V_FUT_UTEIS]], L$5, FALSE)</f>
        <v>#N/A</v>
      </c>
    </row>
    <row r="533" spans="1:12" hidden="1">
      <c r="A533" s="19">
        <f t="shared" si="49"/>
        <v>527</v>
      </c>
      <c r="B533" s="20">
        <f t="shared" si="45"/>
        <v>0</v>
      </c>
      <c r="C533" s="21">
        <f t="shared" si="46"/>
        <v>0</v>
      </c>
      <c r="D533" s="22" t="e">
        <f>VLOOKUP($A533, TAB_JUROS_U[[Q_DIAS_U_PARC_TIR]:[V_FUT_U_JURS CENARIO]], D$5, FALSE)</f>
        <v>#N/A</v>
      </c>
      <c r="E533" s="22" t="e">
        <f>VLOOKUP($A533,TAB_CORRECAO_U[[Q_DIAS_U_PARC_TIR]:[V_FUT_U_CORC-02]],E$5, FALSE)</f>
        <v>#N/A</v>
      </c>
      <c r="F533" s="22" t="e">
        <f>VLOOKUP($A533,TAB_AMORTIZACAO_U[[Q_DIAS_U_PARC_TIR]:[V_FUT_U_PCPL-02]], F$5, FALSE)</f>
        <v>#N/A</v>
      </c>
      <c r="H533" s="20">
        <f t="shared" si="47"/>
        <v>0</v>
      </c>
      <c r="I533" s="21">
        <f t="shared" si="48"/>
        <v>0</v>
      </c>
      <c r="J533" s="22" t="e">
        <f>VLOOKUP($A533, TAB_JUROS_C[[DIAS_CORRIDOS]:[V_FUT_UTEIS]], J$5, FALSE)</f>
        <v>#N/A</v>
      </c>
      <c r="K533" s="22" t="e">
        <f>VLOOKUP($A533, TAB_CORRECAO_C[[DIAS_CORRIDOS]:[V_FUT_UTEIS]],K$5, FALSE)</f>
        <v>#N/A</v>
      </c>
      <c r="L533" s="22" t="e">
        <f>VLOOKUP($A533, TAB_AMORTIZACAO_C[[DIAS_CORRIDOS]:[V_FUT_UTEIS]], L$5, FALSE)</f>
        <v>#N/A</v>
      </c>
    </row>
    <row r="534" spans="1:12" hidden="1">
      <c r="A534" s="19">
        <f t="shared" si="49"/>
        <v>528</v>
      </c>
      <c r="B534" s="20">
        <f t="shared" si="45"/>
        <v>0</v>
      </c>
      <c r="C534" s="21">
        <f t="shared" si="46"/>
        <v>0</v>
      </c>
      <c r="D534" s="22" t="e">
        <f>VLOOKUP($A534, TAB_JUROS_U[[Q_DIAS_U_PARC_TIR]:[V_FUT_U_JURS CENARIO]], D$5, FALSE)</f>
        <v>#N/A</v>
      </c>
      <c r="E534" s="22" t="e">
        <f>VLOOKUP($A534,TAB_CORRECAO_U[[Q_DIAS_U_PARC_TIR]:[V_FUT_U_CORC-02]],E$5, FALSE)</f>
        <v>#N/A</v>
      </c>
      <c r="F534" s="22" t="e">
        <f>VLOOKUP($A534,TAB_AMORTIZACAO_U[[Q_DIAS_U_PARC_TIR]:[V_FUT_U_PCPL-02]], F$5, FALSE)</f>
        <v>#N/A</v>
      </c>
      <c r="H534" s="20">
        <f t="shared" si="47"/>
        <v>1790.7001535191503</v>
      </c>
      <c r="I534" s="21">
        <f t="shared" si="48"/>
        <v>1790.7001535191503</v>
      </c>
      <c r="J534" s="22">
        <f>VLOOKUP($A534, TAB_JUROS_C[[DIAS_CORRIDOS]:[V_FUT_UTEIS]], J$5, FALSE)</f>
        <v>147.88888313627047</v>
      </c>
      <c r="K534" s="22">
        <f>VLOOKUP($A534, TAB_CORRECAO_C[[DIAS_CORRIDOS]:[V_FUT_UTEIS]],K$5, FALSE)</f>
        <v>945.27350146180277</v>
      </c>
      <c r="L534" s="22">
        <f>VLOOKUP($A534, TAB_AMORTIZACAO_C[[DIAS_CORRIDOS]:[V_FUT_UTEIS]], L$5, FALSE)</f>
        <v>697.53776892107703</v>
      </c>
    </row>
    <row r="535" spans="1:12" hidden="1">
      <c r="A535" s="19">
        <f t="shared" si="49"/>
        <v>529</v>
      </c>
      <c r="B535" s="20">
        <f t="shared" si="45"/>
        <v>0</v>
      </c>
      <c r="C535" s="21">
        <f t="shared" si="46"/>
        <v>0</v>
      </c>
      <c r="D535" s="22" t="e">
        <f>VLOOKUP($A535, TAB_JUROS_U[[Q_DIAS_U_PARC_TIR]:[V_FUT_U_JURS CENARIO]], D$5, FALSE)</f>
        <v>#N/A</v>
      </c>
      <c r="E535" s="22" t="e">
        <f>VLOOKUP($A535,TAB_CORRECAO_U[[Q_DIAS_U_PARC_TIR]:[V_FUT_U_CORC-02]],E$5, FALSE)</f>
        <v>#N/A</v>
      </c>
      <c r="F535" s="22" t="e">
        <f>VLOOKUP($A535,TAB_AMORTIZACAO_U[[Q_DIAS_U_PARC_TIR]:[V_FUT_U_PCPL-02]], F$5, FALSE)</f>
        <v>#N/A</v>
      </c>
      <c r="H535" s="20">
        <f t="shared" si="47"/>
        <v>0</v>
      </c>
      <c r="I535" s="21">
        <f t="shared" si="48"/>
        <v>0</v>
      </c>
      <c r="J535" s="22" t="e">
        <f>VLOOKUP($A535, TAB_JUROS_C[[DIAS_CORRIDOS]:[V_FUT_UTEIS]], J$5, FALSE)</f>
        <v>#N/A</v>
      </c>
      <c r="K535" s="22" t="e">
        <f>VLOOKUP($A535, TAB_CORRECAO_C[[DIAS_CORRIDOS]:[V_FUT_UTEIS]],K$5, FALSE)</f>
        <v>#N/A</v>
      </c>
      <c r="L535" s="22" t="e">
        <f>VLOOKUP($A535, TAB_AMORTIZACAO_C[[DIAS_CORRIDOS]:[V_FUT_UTEIS]], L$5, FALSE)</f>
        <v>#N/A</v>
      </c>
    </row>
    <row r="536" spans="1:12" hidden="1">
      <c r="A536" s="19">
        <f t="shared" si="49"/>
        <v>530</v>
      </c>
      <c r="B536" s="20">
        <f t="shared" si="45"/>
        <v>0</v>
      </c>
      <c r="C536" s="21">
        <f t="shared" si="46"/>
        <v>0</v>
      </c>
      <c r="D536" s="22" t="e">
        <f>VLOOKUP($A536, TAB_JUROS_U[[Q_DIAS_U_PARC_TIR]:[V_FUT_U_JURS CENARIO]], D$5, FALSE)</f>
        <v>#N/A</v>
      </c>
      <c r="E536" s="22" t="e">
        <f>VLOOKUP($A536,TAB_CORRECAO_U[[Q_DIAS_U_PARC_TIR]:[V_FUT_U_CORC-02]],E$5, FALSE)</f>
        <v>#N/A</v>
      </c>
      <c r="F536" s="22" t="e">
        <f>VLOOKUP($A536,TAB_AMORTIZACAO_U[[Q_DIAS_U_PARC_TIR]:[V_FUT_U_PCPL-02]], F$5, FALSE)</f>
        <v>#N/A</v>
      </c>
      <c r="H536" s="20">
        <f t="shared" si="47"/>
        <v>0</v>
      </c>
      <c r="I536" s="21">
        <f t="shared" si="48"/>
        <v>0</v>
      </c>
      <c r="J536" s="22" t="e">
        <f>VLOOKUP($A536, TAB_JUROS_C[[DIAS_CORRIDOS]:[V_FUT_UTEIS]], J$5, FALSE)</f>
        <v>#N/A</v>
      </c>
      <c r="K536" s="22" t="e">
        <f>VLOOKUP($A536, TAB_CORRECAO_C[[DIAS_CORRIDOS]:[V_FUT_UTEIS]],K$5, FALSE)</f>
        <v>#N/A</v>
      </c>
      <c r="L536" s="22" t="e">
        <f>VLOOKUP($A536, TAB_AMORTIZACAO_C[[DIAS_CORRIDOS]:[V_FUT_UTEIS]], L$5, FALSE)</f>
        <v>#N/A</v>
      </c>
    </row>
    <row r="537" spans="1:12" hidden="1">
      <c r="A537" s="19">
        <f t="shared" si="49"/>
        <v>531</v>
      </c>
      <c r="B537" s="20">
        <f t="shared" si="45"/>
        <v>0</v>
      </c>
      <c r="C537" s="21">
        <f t="shared" si="46"/>
        <v>0</v>
      </c>
      <c r="D537" s="22" t="e">
        <f>VLOOKUP($A537, TAB_JUROS_U[[Q_DIAS_U_PARC_TIR]:[V_FUT_U_JURS CENARIO]], D$5, FALSE)</f>
        <v>#N/A</v>
      </c>
      <c r="E537" s="22" t="e">
        <f>VLOOKUP($A537,TAB_CORRECAO_U[[Q_DIAS_U_PARC_TIR]:[V_FUT_U_CORC-02]],E$5, FALSE)</f>
        <v>#N/A</v>
      </c>
      <c r="F537" s="22" t="e">
        <f>VLOOKUP($A537,TAB_AMORTIZACAO_U[[Q_DIAS_U_PARC_TIR]:[V_FUT_U_PCPL-02]], F$5, FALSE)</f>
        <v>#N/A</v>
      </c>
      <c r="H537" s="20">
        <f t="shared" si="47"/>
        <v>0</v>
      </c>
      <c r="I537" s="21">
        <f t="shared" si="48"/>
        <v>0</v>
      </c>
      <c r="J537" s="22" t="e">
        <f>VLOOKUP($A537, TAB_JUROS_C[[DIAS_CORRIDOS]:[V_FUT_UTEIS]], J$5, FALSE)</f>
        <v>#N/A</v>
      </c>
      <c r="K537" s="22" t="e">
        <f>VLOOKUP($A537, TAB_CORRECAO_C[[DIAS_CORRIDOS]:[V_FUT_UTEIS]],K$5, FALSE)</f>
        <v>#N/A</v>
      </c>
      <c r="L537" s="22" t="e">
        <f>VLOOKUP($A537, TAB_AMORTIZACAO_C[[DIAS_CORRIDOS]:[V_FUT_UTEIS]], L$5, FALSE)</f>
        <v>#N/A</v>
      </c>
    </row>
    <row r="538" spans="1:12" hidden="1">
      <c r="A538" s="19">
        <f t="shared" si="49"/>
        <v>532</v>
      </c>
      <c r="B538" s="20">
        <f t="shared" si="45"/>
        <v>0</v>
      </c>
      <c r="C538" s="21">
        <f t="shared" si="46"/>
        <v>0</v>
      </c>
      <c r="D538" s="22" t="e">
        <f>VLOOKUP($A538, TAB_JUROS_U[[Q_DIAS_U_PARC_TIR]:[V_FUT_U_JURS CENARIO]], D$5, FALSE)</f>
        <v>#N/A</v>
      </c>
      <c r="E538" s="22" t="e">
        <f>VLOOKUP($A538,TAB_CORRECAO_U[[Q_DIAS_U_PARC_TIR]:[V_FUT_U_CORC-02]],E$5, FALSE)</f>
        <v>#N/A</v>
      </c>
      <c r="F538" s="22" t="e">
        <f>VLOOKUP($A538,TAB_AMORTIZACAO_U[[Q_DIAS_U_PARC_TIR]:[V_FUT_U_PCPL-02]], F$5, FALSE)</f>
        <v>#N/A</v>
      </c>
      <c r="H538" s="20">
        <f t="shared" si="47"/>
        <v>0</v>
      </c>
      <c r="I538" s="21">
        <f t="shared" si="48"/>
        <v>0</v>
      </c>
      <c r="J538" s="22" t="e">
        <f>VLOOKUP($A538, TAB_JUROS_C[[DIAS_CORRIDOS]:[V_FUT_UTEIS]], J$5, FALSE)</f>
        <v>#N/A</v>
      </c>
      <c r="K538" s="22" t="e">
        <f>VLOOKUP($A538, TAB_CORRECAO_C[[DIAS_CORRIDOS]:[V_FUT_UTEIS]],K$5, FALSE)</f>
        <v>#N/A</v>
      </c>
      <c r="L538" s="22" t="e">
        <f>VLOOKUP($A538, TAB_AMORTIZACAO_C[[DIAS_CORRIDOS]:[V_FUT_UTEIS]], L$5, FALSE)</f>
        <v>#N/A</v>
      </c>
    </row>
    <row r="539" spans="1:12" hidden="1">
      <c r="A539" s="19">
        <f t="shared" si="49"/>
        <v>533</v>
      </c>
      <c r="B539" s="20">
        <f t="shared" si="45"/>
        <v>0</v>
      </c>
      <c r="C539" s="21">
        <f t="shared" si="46"/>
        <v>0</v>
      </c>
      <c r="D539" s="22" t="e">
        <f>VLOOKUP($A539, TAB_JUROS_U[[Q_DIAS_U_PARC_TIR]:[V_FUT_U_JURS CENARIO]], D$5, FALSE)</f>
        <v>#N/A</v>
      </c>
      <c r="E539" s="22" t="e">
        <f>VLOOKUP($A539,TAB_CORRECAO_U[[Q_DIAS_U_PARC_TIR]:[V_FUT_U_CORC-02]],E$5, FALSE)</f>
        <v>#N/A</v>
      </c>
      <c r="F539" s="22" t="e">
        <f>VLOOKUP($A539,TAB_AMORTIZACAO_U[[Q_DIAS_U_PARC_TIR]:[V_FUT_U_PCPL-02]], F$5, FALSE)</f>
        <v>#N/A</v>
      </c>
      <c r="H539" s="20">
        <f t="shared" si="47"/>
        <v>0</v>
      </c>
      <c r="I539" s="21">
        <f t="shared" si="48"/>
        <v>0</v>
      </c>
      <c r="J539" s="22" t="e">
        <f>VLOOKUP($A539, TAB_JUROS_C[[DIAS_CORRIDOS]:[V_FUT_UTEIS]], J$5, FALSE)</f>
        <v>#N/A</v>
      </c>
      <c r="K539" s="22" t="e">
        <f>VLOOKUP($A539, TAB_CORRECAO_C[[DIAS_CORRIDOS]:[V_FUT_UTEIS]],K$5, FALSE)</f>
        <v>#N/A</v>
      </c>
      <c r="L539" s="22" t="e">
        <f>VLOOKUP($A539, TAB_AMORTIZACAO_C[[DIAS_CORRIDOS]:[V_FUT_UTEIS]], L$5, FALSE)</f>
        <v>#N/A</v>
      </c>
    </row>
    <row r="540" spans="1:12" hidden="1">
      <c r="A540" s="19">
        <f t="shared" si="49"/>
        <v>534</v>
      </c>
      <c r="B540" s="20">
        <f t="shared" si="45"/>
        <v>0</v>
      </c>
      <c r="C540" s="21">
        <f t="shared" si="46"/>
        <v>0</v>
      </c>
      <c r="D540" s="22" t="e">
        <f>VLOOKUP($A540, TAB_JUROS_U[[Q_DIAS_U_PARC_TIR]:[V_FUT_U_JURS CENARIO]], D$5, FALSE)</f>
        <v>#N/A</v>
      </c>
      <c r="E540" s="22" t="e">
        <f>VLOOKUP($A540,TAB_CORRECAO_U[[Q_DIAS_U_PARC_TIR]:[V_FUT_U_CORC-02]],E$5, FALSE)</f>
        <v>#N/A</v>
      </c>
      <c r="F540" s="22" t="e">
        <f>VLOOKUP($A540,TAB_AMORTIZACAO_U[[Q_DIAS_U_PARC_TIR]:[V_FUT_U_PCPL-02]], F$5, FALSE)</f>
        <v>#N/A</v>
      </c>
      <c r="H540" s="20">
        <f t="shared" si="47"/>
        <v>0</v>
      </c>
      <c r="I540" s="21">
        <f t="shared" si="48"/>
        <v>0</v>
      </c>
      <c r="J540" s="22" t="e">
        <f>VLOOKUP($A540, TAB_JUROS_C[[DIAS_CORRIDOS]:[V_FUT_UTEIS]], J$5, FALSE)</f>
        <v>#N/A</v>
      </c>
      <c r="K540" s="22" t="e">
        <f>VLOOKUP($A540, TAB_CORRECAO_C[[DIAS_CORRIDOS]:[V_FUT_UTEIS]],K$5, FALSE)</f>
        <v>#N/A</v>
      </c>
      <c r="L540" s="22" t="e">
        <f>VLOOKUP($A540, TAB_AMORTIZACAO_C[[DIAS_CORRIDOS]:[V_FUT_UTEIS]], L$5, FALSE)</f>
        <v>#N/A</v>
      </c>
    </row>
    <row r="541" spans="1:12">
      <c r="A541" s="19">
        <f t="shared" si="49"/>
        <v>535</v>
      </c>
      <c r="B541" s="20">
        <f t="shared" si="45"/>
        <v>1604.8488991575091</v>
      </c>
      <c r="C541" s="21">
        <f t="shared" si="46"/>
        <v>1604.8488991575091</v>
      </c>
      <c r="D541" s="22">
        <f>VLOOKUP($A541, TAB_JUROS_U[[Q_DIAS_U_PARC_TIR]:[V_FUT_U_JURS CENARIO]], D$5, FALSE)</f>
        <v>122.50034226945877</v>
      </c>
      <c r="E541" s="22">
        <f>VLOOKUP($A541,TAB_CORRECAO_U[[Q_DIAS_U_PARC_TIR]:[V_FUT_U_CORC-02]],E$5, FALSE)</f>
        <v>851.19457204793139</v>
      </c>
      <c r="F541" s="22">
        <f>VLOOKUP($A541,TAB_AMORTIZACAO_U[[Q_DIAS_U_PARC_TIR]:[V_FUT_U_PCPL-02]], F$5, FALSE)</f>
        <v>631.15398484011882</v>
      </c>
      <c r="H541" s="20">
        <f t="shared" si="47"/>
        <v>0</v>
      </c>
      <c r="I541" s="21">
        <f t="shared" si="48"/>
        <v>0</v>
      </c>
      <c r="J541" s="22" t="e">
        <f>VLOOKUP($A541, TAB_JUROS_C[[DIAS_CORRIDOS]:[V_FUT_UTEIS]], J$5, FALSE)</f>
        <v>#N/A</v>
      </c>
      <c r="K541" s="22" t="e">
        <f>VLOOKUP($A541, TAB_CORRECAO_C[[DIAS_CORRIDOS]:[V_FUT_UTEIS]],K$5, FALSE)</f>
        <v>#N/A</v>
      </c>
      <c r="L541" s="22" t="e">
        <f>VLOOKUP($A541, TAB_AMORTIZACAO_C[[DIAS_CORRIDOS]:[V_FUT_UTEIS]], L$5, FALSE)</f>
        <v>#N/A</v>
      </c>
    </row>
    <row r="542" spans="1:12" hidden="1">
      <c r="A542" s="19">
        <f t="shared" si="49"/>
        <v>536</v>
      </c>
      <c r="B542" s="20">
        <f t="shared" si="45"/>
        <v>0</v>
      </c>
      <c r="C542" s="21">
        <f t="shared" si="46"/>
        <v>0</v>
      </c>
      <c r="D542" s="22" t="e">
        <f>VLOOKUP($A542, TAB_JUROS_U[[Q_DIAS_U_PARC_TIR]:[V_FUT_U_JURS CENARIO]], D$5, FALSE)</f>
        <v>#N/A</v>
      </c>
      <c r="E542" s="22" t="e">
        <f>VLOOKUP($A542,TAB_CORRECAO_U[[Q_DIAS_U_PARC_TIR]:[V_FUT_U_CORC-02]],E$5, FALSE)</f>
        <v>#N/A</v>
      </c>
      <c r="F542" s="22" t="e">
        <f>VLOOKUP($A542,TAB_AMORTIZACAO_U[[Q_DIAS_U_PARC_TIR]:[V_FUT_U_PCPL-02]], F$5, FALSE)</f>
        <v>#N/A</v>
      </c>
      <c r="H542" s="20">
        <f t="shared" si="47"/>
        <v>0</v>
      </c>
      <c r="I542" s="21">
        <f t="shared" si="48"/>
        <v>0</v>
      </c>
      <c r="J542" s="22" t="e">
        <f>VLOOKUP($A542, TAB_JUROS_C[[DIAS_CORRIDOS]:[V_FUT_UTEIS]], J$5, FALSE)</f>
        <v>#N/A</v>
      </c>
      <c r="K542" s="22" t="e">
        <f>VLOOKUP($A542, TAB_CORRECAO_C[[DIAS_CORRIDOS]:[V_FUT_UTEIS]],K$5, FALSE)</f>
        <v>#N/A</v>
      </c>
      <c r="L542" s="22" t="e">
        <f>VLOOKUP($A542, TAB_AMORTIZACAO_C[[DIAS_CORRIDOS]:[V_FUT_UTEIS]], L$5, FALSE)</f>
        <v>#N/A</v>
      </c>
    </row>
    <row r="543" spans="1:12" hidden="1">
      <c r="A543" s="19">
        <f t="shared" si="49"/>
        <v>537</v>
      </c>
      <c r="B543" s="20">
        <f t="shared" si="45"/>
        <v>0</v>
      </c>
      <c r="C543" s="21">
        <f t="shared" si="46"/>
        <v>0</v>
      </c>
      <c r="D543" s="22" t="e">
        <f>VLOOKUP($A543, TAB_JUROS_U[[Q_DIAS_U_PARC_TIR]:[V_FUT_U_JURS CENARIO]], D$5, FALSE)</f>
        <v>#N/A</v>
      </c>
      <c r="E543" s="22" t="e">
        <f>VLOOKUP($A543,TAB_CORRECAO_U[[Q_DIAS_U_PARC_TIR]:[V_FUT_U_CORC-02]],E$5, FALSE)</f>
        <v>#N/A</v>
      </c>
      <c r="F543" s="22" t="e">
        <f>VLOOKUP($A543,TAB_AMORTIZACAO_U[[Q_DIAS_U_PARC_TIR]:[V_FUT_U_PCPL-02]], F$5, FALSE)</f>
        <v>#N/A</v>
      </c>
      <c r="H543" s="20">
        <f t="shared" si="47"/>
        <v>0</v>
      </c>
      <c r="I543" s="21">
        <f t="shared" si="48"/>
        <v>0</v>
      </c>
      <c r="J543" s="22" t="e">
        <f>VLOOKUP($A543, TAB_JUROS_C[[DIAS_CORRIDOS]:[V_FUT_UTEIS]], J$5, FALSE)</f>
        <v>#N/A</v>
      </c>
      <c r="K543" s="22" t="e">
        <f>VLOOKUP($A543, TAB_CORRECAO_C[[DIAS_CORRIDOS]:[V_FUT_UTEIS]],K$5, FALSE)</f>
        <v>#N/A</v>
      </c>
      <c r="L543" s="22" t="e">
        <f>VLOOKUP($A543, TAB_AMORTIZACAO_C[[DIAS_CORRIDOS]:[V_FUT_UTEIS]], L$5, FALSE)</f>
        <v>#N/A</v>
      </c>
    </row>
    <row r="544" spans="1:12" hidden="1">
      <c r="A544" s="19">
        <f t="shared" si="49"/>
        <v>538</v>
      </c>
      <c r="B544" s="20">
        <f t="shared" si="45"/>
        <v>0</v>
      </c>
      <c r="C544" s="21">
        <f t="shared" si="46"/>
        <v>0</v>
      </c>
      <c r="D544" s="22" t="e">
        <f>VLOOKUP($A544, TAB_JUROS_U[[Q_DIAS_U_PARC_TIR]:[V_FUT_U_JURS CENARIO]], D$5, FALSE)</f>
        <v>#N/A</v>
      </c>
      <c r="E544" s="22" t="e">
        <f>VLOOKUP($A544,TAB_CORRECAO_U[[Q_DIAS_U_PARC_TIR]:[V_FUT_U_CORC-02]],E$5, FALSE)</f>
        <v>#N/A</v>
      </c>
      <c r="F544" s="22" t="e">
        <f>VLOOKUP($A544,TAB_AMORTIZACAO_U[[Q_DIAS_U_PARC_TIR]:[V_FUT_U_PCPL-02]], F$5, FALSE)</f>
        <v>#N/A</v>
      </c>
      <c r="H544" s="20">
        <f t="shared" si="47"/>
        <v>0</v>
      </c>
      <c r="I544" s="21">
        <f t="shared" si="48"/>
        <v>0</v>
      </c>
      <c r="J544" s="22" t="e">
        <f>VLOOKUP($A544, TAB_JUROS_C[[DIAS_CORRIDOS]:[V_FUT_UTEIS]], J$5, FALSE)</f>
        <v>#N/A</v>
      </c>
      <c r="K544" s="22" t="e">
        <f>VLOOKUP($A544, TAB_CORRECAO_C[[DIAS_CORRIDOS]:[V_FUT_UTEIS]],K$5, FALSE)</f>
        <v>#N/A</v>
      </c>
      <c r="L544" s="22" t="e">
        <f>VLOOKUP($A544, TAB_AMORTIZACAO_C[[DIAS_CORRIDOS]:[V_FUT_UTEIS]], L$5, FALSE)</f>
        <v>#N/A</v>
      </c>
    </row>
    <row r="545" spans="1:12" hidden="1">
      <c r="A545" s="19">
        <f t="shared" si="49"/>
        <v>539</v>
      </c>
      <c r="B545" s="20">
        <f t="shared" si="45"/>
        <v>0</v>
      </c>
      <c r="C545" s="21">
        <f t="shared" si="46"/>
        <v>0</v>
      </c>
      <c r="D545" s="22" t="e">
        <f>VLOOKUP($A545, TAB_JUROS_U[[Q_DIAS_U_PARC_TIR]:[V_FUT_U_JURS CENARIO]], D$5, FALSE)</f>
        <v>#N/A</v>
      </c>
      <c r="E545" s="22" t="e">
        <f>VLOOKUP($A545,TAB_CORRECAO_U[[Q_DIAS_U_PARC_TIR]:[V_FUT_U_CORC-02]],E$5, FALSE)</f>
        <v>#N/A</v>
      </c>
      <c r="F545" s="22" t="e">
        <f>VLOOKUP($A545,TAB_AMORTIZACAO_U[[Q_DIAS_U_PARC_TIR]:[V_FUT_U_PCPL-02]], F$5, FALSE)</f>
        <v>#N/A</v>
      </c>
      <c r="H545" s="20">
        <f t="shared" si="47"/>
        <v>0</v>
      </c>
      <c r="I545" s="21">
        <f t="shared" si="48"/>
        <v>0</v>
      </c>
      <c r="J545" s="22" t="e">
        <f>VLOOKUP($A545, TAB_JUROS_C[[DIAS_CORRIDOS]:[V_FUT_UTEIS]], J$5, FALSE)</f>
        <v>#N/A</v>
      </c>
      <c r="K545" s="22" t="e">
        <f>VLOOKUP($A545, TAB_CORRECAO_C[[DIAS_CORRIDOS]:[V_FUT_UTEIS]],K$5, FALSE)</f>
        <v>#N/A</v>
      </c>
      <c r="L545" s="22" t="e">
        <f>VLOOKUP($A545, TAB_AMORTIZACAO_C[[DIAS_CORRIDOS]:[V_FUT_UTEIS]], L$5, FALSE)</f>
        <v>#N/A</v>
      </c>
    </row>
    <row r="546" spans="1:12" hidden="1">
      <c r="A546" s="19">
        <f t="shared" si="49"/>
        <v>540</v>
      </c>
      <c r="B546" s="20">
        <f t="shared" si="45"/>
        <v>0</v>
      </c>
      <c r="C546" s="21">
        <f t="shared" si="46"/>
        <v>0</v>
      </c>
      <c r="D546" s="22" t="e">
        <f>VLOOKUP($A546, TAB_JUROS_U[[Q_DIAS_U_PARC_TIR]:[V_FUT_U_JURS CENARIO]], D$5, FALSE)</f>
        <v>#N/A</v>
      </c>
      <c r="E546" s="22" t="e">
        <f>VLOOKUP($A546,TAB_CORRECAO_U[[Q_DIAS_U_PARC_TIR]:[V_FUT_U_CORC-02]],E$5, FALSE)</f>
        <v>#N/A</v>
      </c>
      <c r="F546" s="22" t="e">
        <f>VLOOKUP($A546,TAB_AMORTIZACAO_U[[Q_DIAS_U_PARC_TIR]:[V_FUT_U_PCPL-02]], F$5, FALSE)</f>
        <v>#N/A</v>
      </c>
      <c r="H546" s="20">
        <f t="shared" si="47"/>
        <v>0</v>
      </c>
      <c r="I546" s="21">
        <f t="shared" si="48"/>
        <v>0</v>
      </c>
      <c r="J546" s="22" t="e">
        <f>VLOOKUP($A546, TAB_JUROS_C[[DIAS_CORRIDOS]:[V_FUT_UTEIS]], J$5, FALSE)</f>
        <v>#N/A</v>
      </c>
      <c r="K546" s="22" t="e">
        <f>VLOOKUP($A546, TAB_CORRECAO_C[[DIAS_CORRIDOS]:[V_FUT_UTEIS]],K$5, FALSE)</f>
        <v>#N/A</v>
      </c>
      <c r="L546" s="22" t="e">
        <f>VLOOKUP($A546, TAB_AMORTIZACAO_C[[DIAS_CORRIDOS]:[V_FUT_UTEIS]], L$5, FALSE)</f>
        <v>#N/A</v>
      </c>
    </row>
    <row r="547" spans="1:12" hidden="1">
      <c r="A547" s="19">
        <f t="shared" si="49"/>
        <v>541</v>
      </c>
      <c r="B547" s="20">
        <f t="shared" si="45"/>
        <v>0</v>
      </c>
      <c r="C547" s="21">
        <f t="shared" si="46"/>
        <v>0</v>
      </c>
      <c r="D547" s="22" t="e">
        <f>VLOOKUP($A547, TAB_JUROS_U[[Q_DIAS_U_PARC_TIR]:[V_FUT_U_JURS CENARIO]], D$5, FALSE)</f>
        <v>#N/A</v>
      </c>
      <c r="E547" s="22" t="e">
        <f>VLOOKUP($A547,TAB_CORRECAO_U[[Q_DIAS_U_PARC_TIR]:[V_FUT_U_CORC-02]],E$5, FALSE)</f>
        <v>#N/A</v>
      </c>
      <c r="F547" s="22" t="e">
        <f>VLOOKUP($A547,TAB_AMORTIZACAO_U[[Q_DIAS_U_PARC_TIR]:[V_FUT_U_PCPL-02]], F$5, FALSE)</f>
        <v>#N/A</v>
      </c>
      <c r="H547" s="20">
        <f t="shared" si="47"/>
        <v>0</v>
      </c>
      <c r="I547" s="21">
        <f t="shared" si="48"/>
        <v>0</v>
      </c>
      <c r="J547" s="22" t="e">
        <f>VLOOKUP($A547, TAB_JUROS_C[[DIAS_CORRIDOS]:[V_FUT_UTEIS]], J$5, FALSE)</f>
        <v>#N/A</v>
      </c>
      <c r="K547" s="22" t="e">
        <f>VLOOKUP($A547, TAB_CORRECAO_C[[DIAS_CORRIDOS]:[V_FUT_UTEIS]],K$5, FALSE)</f>
        <v>#N/A</v>
      </c>
      <c r="L547" s="22" t="e">
        <f>VLOOKUP($A547, TAB_AMORTIZACAO_C[[DIAS_CORRIDOS]:[V_FUT_UTEIS]], L$5, FALSE)</f>
        <v>#N/A</v>
      </c>
    </row>
    <row r="548" spans="1:12" hidden="1">
      <c r="A548" s="19">
        <f t="shared" si="49"/>
        <v>542</v>
      </c>
      <c r="B548" s="20">
        <f t="shared" si="45"/>
        <v>0</v>
      </c>
      <c r="C548" s="21">
        <f t="shared" si="46"/>
        <v>0</v>
      </c>
      <c r="D548" s="22" t="e">
        <f>VLOOKUP($A548, TAB_JUROS_U[[Q_DIAS_U_PARC_TIR]:[V_FUT_U_JURS CENARIO]], D$5, FALSE)</f>
        <v>#N/A</v>
      </c>
      <c r="E548" s="22" t="e">
        <f>VLOOKUP($A548,TAB_CORRECAO_U[[Q_DIAS_U_PARC_TIR]:[V_FUT_U_CORC-02]],E$5, FALSE)</f>
        <v>#N/A</v>
      </c>
      <c r="F548" s="22" t="e">
        <f>VLOOKUP($A548,TAB_AMORTIZACAO_U[[Q_DIAS_U_PARC_TIR]:[V_FUT_U_PCPL-02]], F$5, FALSE)</f>
        <v>#N/A</v>
      </c>
      <c r="H548" s="20">
        <f t="shared" si="47"/>
        <v>0</v>
      </c>
      <c r="I548" s="21">
        <f t="shared" si="48"/>
        <v>0</v>
      </c>
      <c r="J548" s="22" t="e">
        <f>VLOOKUP($A548, TAB_JUROS_C[[DIAS_CORRIDOS]:[V_FUT_UTEIS]], J$5, FALSE)</f>
        <v>#N/A</v>
      </c>
      <c r="K548" s="22" t="e">
        <f>VLOOKUP($A548, TAB_CORRECAO_C[[DIAS_CORRIDOS]:[V_FUT_UTEIS]],K$5, FALSE)</f>
        <v>#N/A</v>
      </c>
      <c r="L548" s="22" t="e">
        <f>VLOOKUP($A548, TAB_AMORTIZACAO_C[[DIAS_CORRIDOS]:[V_FUT_UTEIS]], L$5, FALSE)</f>
        <v>#N/A</v>
      </c>
    </row>
    <row r="549" spans="1:12" hidden="1">
      <c r="A549" s="19">
        <f t="shared" si="49"/>
        <v>543</v>
      </c>
      <c r="B549" s="20">
        <f t="shared" si="45"/>
        <v>0</v>
      </c>
      <c r="C549" s="21">
        <f t="shared" si="46"/>
        <v>0</v>
      </c>
      <c r="D549" s="22" t="e">
        <f>VLOOKUP($A549, TAB_JUROS_U[[Q_DIAS_U_PARC_TIR]:[V_FUT_U_JURS CENARIO]], D$5, FALSE)</f>
        <v>#N/A</v>
      </c>
      <c r="E549" s="22" t="e">
        <f>VLOOKUP($A549,TAB_CORRECAO_U[[Q_DIAS_U_PARC_TIR]:[V_FUT_U_CORC-02]],E$5, FALSE)</f>
        <v>#N/A</v>
      </c>
      <c r="F549" s="22" t="e">
        <f>VLOOKUP($A549,TAB_AMORTIZACAO_U[[Q_DIAS_U_PARC_TIR]:[V_FUT_U_PCPL-02]], F$5, FALSE)</f>
        <v>#N/A</v>
      </c>
      <c r="H549" s="20">
        <f t="shared" si="47"/>
        <v>0</v>
      </c>
      <c r="I549" s="21">
        <f t="shared" si="48"/>
        <v>0</v>
      </c>
      <c r="J549" s="22" t="e">
        <f>VLOOKUP($A549, TAB_JUROS_C[[DIAS_CORRIDOS]:[V_FUT_UTEIS]], J$5, FALSE)</f>
        <v>#N/A</v>
      </c>
      <c r="K549" s="22" t="e">
        <f>VLOOKUP($A549, TAB_CORRECAO_C[[DIAS_CORRIDOS]:[V_FUT_UTEIS]],K$5, FALSE)</f>
        <v>#N/A</v>
      </c>
      <c r="L549" s="22" t="e">
        <f>VLOOKUP($A549, TAB_AMORTIZACAO_C[[DIAS_CORRIDOS]:[V_FUT_UTEIS]], L$5, FALSE)</f>
        <v>#N/A</v>
      </c>
    </row>
    <row r="550" spans="1:12" hidden="1">
      <c r="A550" s="19">
        <f t="shared" si="49"/>
        <v>544</v>
      </c>
      <c r="B550" s="20">
        <f t="shared" si="45"/>
        <v>0</v>
      </c>
      <c r="C550" s="21">
        <f t="shared" si="46"/>
        <v>0</v>
      </c>
      <c r="D550" s="22" t="e">
        <f>VLOOKUP($A550, TAB_JUROS_U[[Q_DIAS_U_PARC_TIR]:[V_FUT_U_JURS CENARIO]], D$5, FALSE)</f>
        <v>#N/A</v>
      </c>
      <c r="E550" s="22" t="e">
        <f>VLOOKUP($A550,TAB_CORRECAO_U[[Q_DIAS_U_PARC_TIR]:[V_FUT_U_CORC-02]],E$5, FALSE)</f>
        <v>#N/A</v>
      </c>
      <c r="F550" s="22" t="e">
        <f>VLOOKUP($A550,TAB_AMORTIZACAO_U[[Q_DIAS_U_PARC_TIR]:[V_FUT_U_PCPL-02]], F$5, FALSE)</f>
        <v>#N/A</v>
      </c>
      <c r="H550" s="20">
        <f t="shared" si="47"/>
        <v>0</v>
      </c>
      <c r="I550" s="21">
        <f t="shared" si="48"/>
        <v>0</v>
      </c>
      <c r="J550" s="22" t="e">
        <f>VLOOKUP($A550, TAB_JUROS_C[[DIAS_CORRIDOS]:[V_FUT_UTEIS]], J$5, FALSE)</f>
        <v>#N/A</v>
      </c>
      <c r="K550" s="22" t="e">
        <f>VLOOKUP($A550, TAB_CORRECAO_C[[DIAS_CORRIDOS]:[V_FUT_UTEIS]],K$5, FALSE)</f>
        <v>#N/A</v>
      </c>
      <c r="L550" s="22" t="e">
        <f>VLOOKUP($A550, TAB_AMORTIZACAO_C[[DIAS_CORRIDOS]:[V_FUT_UTEIS]], L$5, FALSE)</f>
        <v>#N/A</v>
      </c>
    </row>
    <row r="551" spans="1:12" hidden="1">
      <c r="A551" s="19">
        <f t="shared" si="49"/>
        <v>545</v>
      </c>
      <c r="B551" s="20">
        <f t="shared" si="45"/>
        <v>0</v>
      </c>
      <c r="C551" s="21">
        <f t="shared" si="46"/>
        <v>0</v>
      </c>
      <c r="D551" s="22" t="e">
        <f>VLOOKUP($A551, TAB_JUROS_U[[Q_DIAS_U_PARC_TIR]:[V_FUT_U_JURS CENARIO]], D$5, FALSE)</f>
        <v>#N/A</v>
      </c>
      <c r="E551" s="22" t="e">
        <f>VLOOKUP($A551,TAB_CORRECAO_U[[Q_DIAS_U_PARC_TIR]:[V_FUT_U_CORC-02]],E$5, FALSE)</f>
        <v>#N/A</v>
      </c>
      <c r="F551" s="22" t="e">
        <f>VLOOKUP($A551,TAB_AMORTIZACAO_U[[Q_DIAS_U_PARC_TIR]:[V_FUT_U_PCPL-02]], F$5, FALSE)</f>
        <v>#N/A</v>
      </c>
      <c r="H551" s="20">
        <f t="shared" si="47"/>
        <v>0</v>
      </c>
      <c r="I551" s="21">
        <f t="shared" si="48"/>
        <v>0</v>
      </c>
      <c r="J551" s="22" t="e">
        <f>VLOOKUP($A551, TAB_JUROS_C[[DIAS_CORRIDOS]:[V_FUT_UTEIS]], J$5, FALSE)</f>
        <v>#N/A</v>
      </c>
      <c r="K551" s="22" t="e">
        <f>VLOOKUP($A551, TAB_CORRECAO_C[[DIAS_CORRIDOS]:[V_FUT_UTEIS]],K$5, FALSE)</f>
        <v>#N/A</v>
      </c>
      <c r="L551" s="22" t="e">
        <f>VLOOKUP($A551, TAB_AMORTIZACAO_C[[DIAS_CORRIDOS]:[V_FUT_UTEIS]], L$5, FALSE)</f>
        <v>#N/A</v>
      </c>
    </row>
    <row r="552" spans="1:12" hidden="1">
      <c r="A552" s="19">
        <f t="shared" si="49"/>
        <v>546</v>
      </c>
      <c r="B552" s="20">
        <f t="shared" si="45"/>
        <v>0</v>
      </c>
      <c r="C552" s="21">
        <f t="shared" si="46"/>
        <v>0</v>
      </c>
      <c r="D552" s="22" t="e">
        <f>VLOOKUP($A552, TAB_JUROS_U[[Q_DIAS_U_PARC_TIR]:[V_FUT_U_JURS CENARIO]], D$5, FALSE)</f>
        <v>#N/A</v>
      </c>
      <c r="E552" s="22" t="e">
        <f>VLOOKUP($A552,TAB_CORRECAO_U[[Q_DIAS_U_PARC_TIR]:[V_FUT_U_CORC-02]],E$5, FALSE)</f>
        <v>#N/A</v>
      </c>
      <c r="F552" s="22" t="e">
        <f>VLOOKUP($A552,TAB_AMORTIZACAO_U[[Q_DIAS_U_PARC_TIR]:[V_FUT_U_PCPL-02]], F$5, FALSE)</f>
        <v>#N/A</v>
      </c>
      <c r="H552" s="20">
        <f t="shared" si="47"/>
        <v>0</v>
      </c>
      <c r="I552" s="21">
        <f t="shared" si="48"/>
        <v>0</v>
      </c>
      <c r="J552" s="22" t="e">
        <f>VLOOKUP($A552, TAB_JUROS_C[[DIAS_CORRIDOS]:[V_FUT_UTEIS]], J$5, FALSE)</f>
        <v>#N/A</v>
      </c>
      <c r="K552" s="22" t="e">
        <f>VLOOKUP($A552, TAB_CORRECAO_C[[DIAS_CORRIDOS]:[V_FUT_UTEIS]],K$5, FALSE)</f>
        <v>#N/A</v>
      </c>
      <c r="L552" s="22" t="e">
        <f>VLOOKUP($A552, TAB_AMORTIZACAO_C[[DIAS_CORRIDOS]:[V_FUT_UTEIS]], L$5, FALSE)</f>
        <v>#N/A</v>
      </c>
    </row>
    <row r="553" spans="1:12" hidden="1">
      <c r="A553" s="19">
        <f t="shared" si="49"/>
        <v>547</v>
      </c>
      <c r="B553" s="20">
        <f t="shared" si="45"/>
        <v>0</v>
      </c>
      <c r="C553" s="21">
        <f t="shared" si="46"/>
        <v>0</v>
      </c>
      <c r="D553" s="22" t="e">
        <f>VLOOKUP($A553, TAB_JUROS_U[[Q_DIAS_U_PARC_TIR]:[V_FUT_U_JURS CENARIO]], D$5, FALSE)</f>
        <v>#N/A</v>
      </c>
      <c r="E553" s="22" t="e">
        <f>VLOOKUP($A553,TAB_CORRECAO_U[[Q_DIAS_U_PARC_TIR]:[V_FUT_U_CORC-02]],E$5, FALSE)</f>
        <v>#N/A</v>
      </c>
      <c r="F553" s="22" t="e">
        <f>VLOOKUP($A553,TAB_AMORTIZACAO_U[[Q_DIAS_U_PARC_TIR]:[V_FUT_U_PCPL-02]], F$5, FALSE)</f>
        <v>#N/A</v>
      </c>
      <c r="H553" s="20">
        <f t="shared" si="47"/>
        <v>0</v>
      </c>
      <c r="I553" s="21">
        <f t="shared" si="48"/>
        <v>0</v>
      </c>
      <c r="J553" s="22" t="e">
        <f>VLOOKUP($A553, TAB_JUROS_C[[DIAS_CORRIDOS]:[V_FUT_UTEIS]], J$5, FALSE)</f>
        <v>#N/A</v>
      </c>
      <c r="K553" s="22" t="e">
        <f>VLOOKUP($A553, TAB_CORRECAO_C[[DIAS_CORRIDOS]:[V_FUT_UTEIS]],K$5, FALSE)</f>
        <v>#N/A</v>
      </c>
      <c r="L553" s="22" t="e">
        <f>VLOOKUP($A553, TAB_AMORTIZACAO_C[[DIAS_CORRIDOS]:[V_FUT_UTEIS]], L$5, FALSE)</f>
        <v>#N/A</v>
      </c>
    </row>
    <row r="554" spans="1:12" hidden="1">
      <c r="A554" s="19">
        <f t="shared" si="49"/>
        <v>548</v>
      </c>
      <c r="B554" s="20">
        <f t="shared" si="45"/>
        <v>0</v>
      </c>
      <c r="C554" s="21">
        <f t="shared" si="46"/>
        <v>0</v>
      </c>
      <c r="D554" s="22" t="e">
        <f>VLOOKUP($A554, TAB_JUROS_U[[Q_DIAS_U_PARC_TIR]:[V_FUT_U_JURS CENARIO]], D$5, FALSE)</f>
        <v>#N/A</v>
      </c>
      <c r="E554" s="22" t="e">
        <f>VLOOKUP($A554,TAB_CORRECAO_U[[Q_DIAS_U_PARC_TIR]:[V_FUT_U_CORC-02]],E$5, FALSE)</f>
        <v>#N/A</v>
      </c>
      <c r="F554" s="22" t="e">
        <f>VLOOKUP($A554,TAB_AMORTIZACAO_U[[Q_DIAS_U_PARC_TIR]:[V_FUT_U_PCPL-02]], F$5, FALSE)</f>
        <v>#N/A</v>
      </c>
      <c r="H554" s="20">
        <f t="shared" si="47"/>
        <v>0</v>
      </c>
      <c r="I554" s="21">
        <f t="shared" si="48"/>
        <v>0</v>
      </c>
      <c r="J554" s="22" t="e">
        <f>VLOOKUP($A554, TAB_JUROS_C[[DIAS_CORRIDOS]:[V_FUT_UTEIS]], J$5, FALSE)</f>
        <v>#N/A</v>
      </c>
      <c r="K554" s="22" t="e">
        <f>VLOOKUP($A554, TAB_CORRECAO_C[[DIAS_CORRIDOS]:[V_FUT_UTEIS]],K$5, FALSE)</f>
        <v>#N/A</v>
      </c>
      <c r="L554" s="22" t="e">
        <f>VLOOKUP($A554, TAB_AMORTIZACAO_C[[DIAS_CORRIDOS]:[V_FUT_UTEIS]], L$5, FALSE)</f>
        <v>#N/A</v>
      </c>
    </row>
    <row r="555" spans="1:12" hidden="1">
      <c r="A555" s="19">
        <f t="shared" si="49"/>
        <v>549</v>
      </c>
      <c r="B555" s="20">
        <f t="shared" si="45"/>
        <v>0</v>
      </c>
      <c r="C555" s="21">
        <f t="shared" si="46"/>
        <v>0</v>
      </c>
      <c r="D555" s="22" t="e">
        <f>VLOOKUP($A555, TAB_JUROS_U[[Q_DIAS_U_PARC_TIR]:[V_FUT_U_JURS CENARIO]], D$5, FALSE)</f>
        <v>#N/A</v>
      </c>
      <c r="E555" s="22" t="e">
        <f>VLOOKUP($A555,TAB_CORRECAO_U[[Q_DIAS_U_PARC_TIR]:[V_FUT_U_CORC-02]],E$5, FALSE)</f>
        <v>#N/A</v>
      </c>
      <c r="F555" s="22" t="e">
        <f>VLOOKUP($A555,TAB_AMORTIZACAO_U[[Q_DIAS_U_PARC_TIR]:[V_FUT_U_PCPL-02]], F$5, FALSE)</f>
        <v>#N/A</v>
      </c>
      <c r="H555" s="20">
        <f t="shared" si="47"/>
        <v>0</v>
      </c>
      <c r="I555" s="21">
        <f t="shared" si="48"/>
        <v>0</v>
      </c>
      <c r="J555" s="22" t="e">
        <f>VLOOKUP($A555, TAB_JUROS_C[[DIAS_CORRIDOS]:[V_FUT_UTEIS]], J$5, FALSE)</f>
        <v>#N/A</v>
      </c>
      <c r="K555" s="22" t="e">
        <f>VLOOKUP($A555, TAB_CORRECAO_C[[DIAS_CORRIDOS]:[V_FUT_UTEIS]],K$5, FALSE)</f>
        <v>#N/A</v>
      </c>
      <c r="L555" s="22" t="e">
        <f>VLOOKUP($A555, TAB_AMORTIZACAO_C[[DIAS_CORRIDOS]:[V_FUT_UTEIS]], L$5, FALSE)</f>
        <v>#N/A</v>
      </c>
    </row>
    <row r="556" spans="1:12" hidden="1">
      <c r="A556" s="19">
        <f t="shared" si="49"/>
        <v>550</v>
      </c>
      <c r="B556" s="20">
        <f t="shared" si="45"/>
        <v>0</v>
      </c>
      <c r="C556" s="21">
        <f t="shared" si="46"/>
        <v>0</v>
      </c>
      <c r="D556" s="22" t="e">
        <f>VLOOKUP($A556, TAB_JUROS_U[[Q_DIAS_U_PARC_TIR]:[V_FUT_U_JURS CENARIO]], D$5, FALSE)</f>
        <v>#N/A</v>
      </c>
      <c r="E556" s="22" t="e">
        <f>VLOOKUP($A556,TAB_CORRECAO_U[[Q_DIAS_U_PARC_TIR]:[V_FUT_U_CORC-02]],E$5, FALSE)</f>
        <v>#N/A</v>
      </c>
      <c r="F556" s="22" t="e">
        <f>VLOOKUP($A556,TAB_AMORTIZACAO_U[[Q_DIAS_U_PARC_TIR]:[V_FUT_U_PCPL-02]], F$5, FALSE)</f>
        <v>#N/A</v>
      </c>
      <c r="H556" s="20">
        <f t="shared" si="47"/>
        <v>0</v>
      </c>
      <c r="I556" s="21">
        <f t="shared" si="48"/>
        <v>0</v>
      </c>
      <c r="J556" s="22" t="e">
        <f>VLOOKUP($A556, TAB_JUROS_C[[DIAS_CORRIDOS]:[V_FUT_UTEIS]], J$5, FALSE)</f>
        <v>#N/A</v>
      </c>
      <c r="K556" s="22" t="e">
        <f>VLOOKUP($A556, TAB_CORRECAO_C[[DIAS_CORRIDOS]:[V_FUT_UTEIS]],K$5, FALSE)</f>
        <v>#N/A</v>
      </c>
      <c r="L556" s="22" t="e">
        <f>VLOOKUP($A556, TAB_AMORTIZACAO_C[[DIAS_CORRIDOS]:[V_FUT_UTEIS]], L$5, FALSE)</f>
        <v>#N/A</v>
      </c>
    </row>
    <row r="557" spans="1:12" hidden="1">
      <c r="A557" s="19">
        <f t="shared" si="49"/>
        <v>551</v>
      </c>
      <c r="B557" s="20">
        <f t="shared" si="45"/>
        <v>0</v>
      </c>
      <c r="C557" s="21">
        <f t="shared" si="46"/>
        <v>0</v>
      </c>
      <c r="D557" s="22" t="e">
        <f>VLOOKUP($A557, TAB_JUROS_U[[Q_DIAS_U_PARC_TIR]:[V_FUT_U_JURS CENARIO]], D$5, FALSE)</f>
        <v>#N/A</v>
      </c>
      <c r="E557" s="22" t="e">
        <f>VLOOKUP($A557,TAB_CORRECAO_U[[Q_DIAS_U_PARC_TIR]:[V_FUT_U_CORC-02]],E$5, FALSE)</f>
        <v>#N/A</v>
      </c>
      <c r="F557" s="22" t="e">
        <f>VLOOKUP($A557,TAB_AMORTIZACAO_U[[Q_DIAS_U_PARC_TIR]:[V_FUT_U_PCPL-02]], F$5, FALSE)</f>
        <v>#N/A</v>
      </c>
      <c r="H557" s="20">
        <f t="shared" si="47"/>
        <v>0</v>
      </c>
      <c r="I557" s="21">
        <f t="shared" si="48"/>
        <v>0</v>
      </c>
      <c r="J557" s="22" t="e">
        <f>VLOOKUP($A557, TAB_JUROS_C[[DIAS_CORRIDOS]:[V_FUT_UTEIS]], J$5, FALSE)</f>
        <v>#N/A</v>
      </c>
      <c r="K557" s="22" t="e">
        <f>VLOOKUP($A557, TAB_CORRECAO_C[[DIAS_CORRIDOS]:[V_FUT_UTEIS]],K$5, FALSE)</f>
        <v>#N/A</v>
      </c>
      <c r="L557" s="22" t="e">
        <f>VLOOKUP($A557, TAB_AMORTIZACAO_C[[DIAS_CORRIDOS]:[V_FUT_UTEIS]], L$5, FALSE)</f>
        <v>#N/A</v>
      </c>
    </row>
    <row r="558" spans="1:12" hidden="1">
      <c r="A558" s="19">
        <f t="shared" si="49"/>
        <v>552</v>
      </c>
      <c r="B558" s="20">
        <f t="shared" si="45"/>
        <v>0</v>
      </c>
      <c r="C558" s="21">
        <f t="shared" si="46"/>
        <v>0</v>
      </c>
      <c r="D558" s="22" t="e">
        <f>VLOOKUP($A558, TAB_JUROS_U[[Q_DIAS_U_PARC_TIR]:[V_FUT_U_JURS CENARIO]], D$5, FALSE)</f>
        <v>#N/A</v>
      </c>
      <c r="E558" s="22" t="e">
        <f>VLOOKUP($A558,TAB_CORRECAO_U[[Q_DIAS_U_PARC_TIR]:[V_FUT_U_CORC-02]],E$5, FALSE)</f>
        <v>#N/A</v>
      </c>
      <c r="F558" s="22" t="e">
        <f>VLOOKUP($A558,TAB_AMORTIZACAO_U[[Q_DIAS_U_PARC_TIR]:[V_FUT_U_PCPL-02]], F$5, FALSE)</f>
        <v>#N/A</v>
      </c>
      <c r="H558" s="20">
        <f t="shared" si="47"/>
        <v>0</v>
      </c>
      <c r="I558" s="21">
        <f t="shared" si="48"/>
        <v>0</v>
      </c>
      <c r="J558" s="22" t="e">
        <f>VLOOKUP($A558, TAB_JUROS_C[[DIAS_CORRIDOS]:[V_FUT_UTEIS]], J$5, FALSE)</f>
        <v>#N/A</v>
      </c>
      <c r="K558" s="22" t="e">
        <f>VLOOKUP($A558, TAB_CORRECAO_C[[DIAS_CORRIDOS]:[V_FUT_UTEIS]],K$5, FALSE)</f>
        <v>#N/A</v>
      </c>
      <c r="L558" s="22" t="e">
        <f>VLOOKUP($A558, TAB_AMORTIZACAO_C[[DIAS_CORRIDOS]:[V_FUT_UTEIS]], L$5, FALSE)</f>
        <v>#N/A</v>
      </c>
    </row>
    <row r="559" spans="1:12">
      <c r="A559" s="19">
        <f t="shared" si="49"/>
        <v>553</v>
      </c>
      <c r="B559" s="20">
        <f t="shared" si="45"/>
        <v>1289.5757670896837</v>
      </c>
      <c r="C559" s="21">
        <f t="shared" si="46"/>
        <v>1289.5757670896837</v>
      </c>
      <c r="D559" s="22">
        <f>VLOOKUP($A559, TAB_JUROS_U[[Q_DIAS_U_PARC_TIR]:[V_FUT_U_JURS CENARIO]], D$5, FALSE)</f>
        <v>97.461314563451253</v>
      </c>
      <c r="E559" s="22">
        <f>VLOOKUP($A559,TAB_CORRECAO_U[[Q_DIAS_U_PARC_TIR]:[V_FUT_U_CORC-02]],E$5, FALSE)</f>
        <v>553.2981253955154</v>
      </c>
      <c r="F559" s="22">
        <f>VLOOKUP($A559,TAB_AMORTIZACAO_U[[Q_DIAS_U_PARC_TIR]:[V_FUT_U_PCPL-02]], F$5, FALSE)</f>
        <v>638.81632713071701</v>
      </c>
      <c r="H559" s="20">
        <f t="shared" si="47"/>
        <v>0</v>
      </c>
      <c r="I559" s="21">
        <f t="shared" si="48"/>
        <v>0</v>
      </c>
      <c r="J559" s="22" t="e">
        <f>VLOOKUP($A559, TAB_JUROS_C[[DIAS_CORRIDOS]:[V_FUT_UTEIS]], J$5, FALSE)</f>
        <v>#N/A</v>
      </c>
      <c r="K559" s="22" t="e">
        <f>VLOOKUP($A559, TAB_CORRECAO_C[[DIAS_CORRIDOS]:[V_FUT_UTEIS]],K$5, FALSE)</f>
        <v>#N/A</v>
      </c>
      <c r="L559" s="22" t="e">
        <f>VLOOKUP($A559, TAB_AMORTIZACAO_C[[DIAS_CORRIDOS]:[V_FUT_UTEIS]], L$5, FALSE)</f>
        <v>#N/A</v>
      </c>
    </row>
    <row r="560" spans="1:12" hidden="1">
      <c r="A560" s="19">
        <f t="shared" si="49"/>
        <v>554</v>
      </c>
      <c r="B560" s="20">
        <f t="shared" si="45"/>
        <v>0</v>
      </c>
      <c r="C560" s="21">
        <f t="shared" si="46"/>
        <v>0</v>
      </c>
      <c r="D560" s="22" t="e">
        <f>VLOOKUP($A560, TAB_JUROS_U[[Q_DIAS_U_PARC_TIR]:[V_FUT_U_JURS CENARIO]], D$5, FALSE)</f>
        <v>#N/A</v>
      </c>
      <c r="E560" s="22" t="e">
        <f>VLOOKUP($A560,TAB_CORRECAO_U[[Q_DIAS_U_PARC_TIR]:[V_FUT_U_CORC-02]],E$5, FALSE)</f>
        <v>#N/A</v>
      </c>
      <c r="F560" s="22" t="e">
        <f>VLOOKUP($A560,TAB_AMORTIZACAO_U[[Q_DIAS_U_PARC_TIR]:[V_FUT_U_PCPL-02]], F$5, FALSE)</f>
        <v>#N/A</v>
      </c>
      <c r="H560" s="20">
        <f t="shared" si="47"/>
        <v>0</v>
      </c>
      <c r="I560" s="21">
        <f t="shared" si="48"/>
        <v>0</v>
      </c>
      <c r="J560" s="22" t="e">
        <f>VLOOKUP($A560, TAB_JUROS_C[[DIAS_CORRIDOS]:[V_FUT_UTEIS]], J$5, FALSE)</f>
        <v>#N/A</v>
      </c>
      <c r="K560" s="22" t="e">
        <f>VLOOKUP($A560, TAB_CORRECAO_C[[DIAS_CORRIDOS]:[V_FUT_UTEIS]],K$5, FALSE)</f>
        <v>#N/A</v>
      </c>
      <c r="L560" s="22" t="e">
        <f>VLOOKUP($A560, TAB_AMORTIZACAO_C[[DIAS_CORRIDOS]:[V_FUT_UTEIS]], L$5, FALSE)</f>
        <v>#N/A</v>
      </c>
    </row>
    <row r="561" spans="1:12" hidden="1">
      <c r="A561" s="19">
        <f t="shared" si="49"/>
        <v>555</v>
      </c>
      <c r="B561" s="20">
        <f t="shared" si="45"/>
        <v>0</v>
      </c>
      <c r="C561" s="21">
        <f t="shared" si="46"/>
        <v>0</v>
      </c>
      <c r="D561" s="22" t="e">
        <f>VLOOKUP($A561, TAB_JUROS_U[[Q_DIAS_U_PARC_TIR]:[V_FUT_U_JURS CENARIO]], D$5, FALSE)</f>
        <v>#N/A</v>
      </c>
      <c r="E561" s="22" t="e">
        <f>VLOOKUP($A561,TAB_CORRECAO_U[[Q_DIAS_U_PARC_TIR]:[V_FUT_U_CORC-02]],E$5, FALSE)</f>
        <v>#N/A</v>
      </c>
      <c r="F561" s="22" t="e">
        <f>VLOOKUP($A561,TAB_AMORTIZACAO_U[[Q_DIAS_U_PARC_TIR]:[V_FUT_U_PCPL-02]], F$5, FALSE)</f>
        <v>#N/A</v>
      </c>
      <c r="H561" s="20">
        <f t="shared" si="47"/>
        <v>0</v>
      </c>
      <c r="I561" s="21">
        <f t="shared" si="48"/>
        <v>0</v>
      </c>
      <c r="J561" s="22" t="e">
        <f>VLOOKUP($A561, TAB_JUROS_C[[DIAS_CORRIDOS]:[V_FUT_UTEIS]], J$5, FALSE)</f>
        <v>#N/A</v>
      </c>
      <c r="K561" s="22" t="e">
        <f>VLOOKUP($A561, TAB_CORRECAO_C[[DIAS_CORRIDOS]:[V_FUT_UTEIS]],K$5, FALSE)</f>
        <v>#N/A</v>
      </c>
      <c r="L561" s="22" t="e">
        <f>VLOOKUP($A561, TAB_AMORTIZACAO_C[[DIAS_CORRIDOS]:[V_FUT_UTEIS]], L$5, FALSE)</f>
        <v>#N/A</v>
      </c>
    </row>
    <row r="562" spans="1:12" hidden="1">
      <c r="A562" s="19">
        <f t="shared" si="49"/>
        <v>556</v>
      </c>
      <c r="B562" s="20">
        <f t="shared" si="45"/>
        <v>0</v>
      </c>
      <c r="C562" s="21">
        <f t="shared" si="46"/>
        <v>0</v>
      </c>
      <c r="D562" s="22" t="e">
        <f>VLOOKUP($A562, TAB_JUROS_U[[Q_DIAS_U_PARC_TIR]:[V_FUT_U_JURS CENARIO]], D$5, FALSE)</f>
        <v>#N/A</v>
      </c>
      <c r="E562" s="22" t="e">
        <f>VLOOKUP($A562,TAB_CORRECAO_U[[Q_DIAS_U_PARC_TIR]:[V_FUT_U_CORC-02]],E$5, FALSE)</f>
        <v>#N/A</v>
      </c>
      <c r="F562" s="22" t="e">
        <f>VLOOKUP($A562,TAB_AMORTIZACAO_U[[Q_DIAS_U_PARC_TIR]:[V_FUT_U_PCPL-02]], F$5, FALSE)</f>
        <v>#N/A</v>
      </c>
      <c r="H562" s="20">
        <f t="shared" si="47"/>
        <v>0</v>
      </c>
      <c r="I562" s="21">
        <f t="shared" si="48"/>
        <v>0</v>
      </c>
      <c r="J562" s="22" t="e">
        <f>VLOOKUP($A562, TAB_JUROS_C[[DIAS_CORRIDOS]:[V_FUT_UTEIS]], J$5, FALSE)</f>
        <v>#N/A</v>
      </c>
      <c r="K562" s="22" t="e">
        <f>VLOOKUP($A562, TAB_CORRECAO_C[[DIAS_CORRIDOS]:[V_FUT_UTEIS]],K$5, FALSE)</f>
        <v>#N/A</v>
      </c>
      <c r="L562" s="22" t="e">
        <f>VLOOKUP($A562, TAB_AMORTIZACAO_C[[DIAS_CORRIDOS]:[V_FUT_UTEIS]], L$5, FALSE)</f>
        <v>#N/A</v>
      </c>
    </row>
    <row r="563" spans="1:12" hidden="1">
      <c r="A563" s="19">
        <f t="shared" si="49"/>
        <v>557</v>
      </c>
      <c r="B563" s="20">
        <f t="shared" si="45"/>
        <v>0</v>
      </c>
      <c r="C563" s="21">
        <f t="shared" si="46"/>
        <v>0</v>
      </c>
      <c r="D563" s="22" t="e">
        <f>VLOOKUP($A563, TAB_JUROS_U[[Q_DIAS_U_PARC_TIR]:[V_FUT_U_JURS CENARIO]], D$5, FALSE)</f>
        <v>#N/A</v>
      </c>
      <c r="E563" s="22" t="e">
        <f>VLOOKUP($A563,TAB_CORRECAO_U[[Q_DIAS_U_PARC_TIR]:[V_FUT_U_CORC-02]],E$5, FALSE)</f>
        <v>#N/A</v>
      </c>
      <c r="F563" s="22" t="e">
        <f>VLOOKUP($A563,TAB_AMORTIZACAO_U[[Q_DIAS_U_PARC_TIR]:[V_FUT_U_PCPL-02]], F$5, FALSE)</f>
        <v>#N/A</v>
      </c>
      <c r="H563" s="20">
        <f t="shared" si="47"/>
        <v>0</v>
      </c>
      <c r="I563" s="21">
        <f t="shared" si="48"/>
        <v>0</v>
      </c>
      <c r="J563" s="22" t="e">
        <f>VLOOKUP($A563, TAB_JUROS_C[[DIAS_CORRIDOS]:[V_FUT_UTEIS]], J$5, FALSE)</f>
        <v>#N/A</v>
      </c>
      <c r="K563" s="22" t="e">
        <f>VLOOKUP($A563, TAB_CORRECAO_C[[DIAS_CORRIDOS]:[V_FUT_UTEIS]],K$5, FALSE)</f>
        <v>#N/A</v>
      </c>
      <c r="L563" s="22" t="e">
        <f>VLOOKUP($A563, TAB_AMORTIZACAO_C[[DIAS_CORRIDOS]:[V_FUT_UTEIS]], L$5, FALSE)</f>
        <v>#N/A</v>
      </c>
    </row>
    <row r="564" spans="1:12" hidden="1">
      <c r="A564" s="19">
        <f t="shared" si="49"/>
        <v>558</v>
      </c>
      <c r="B564" s="20">
        <f t="shared" si="45"/>
        <v>0</v>
      </c>
      <c r="C564" s="21">
        <f t="shared" si="46"/>
        <v>0</v>
      </c>
      <c r="D564" s="22" t="e">
        <f>VLOOKUP($A564, TAB_JUROS_U[[Q_DIAS_U_PARC_TIR]:[V_FUT_U_JURS CENARIO]], D$5, FALSE)</f>
        <v>#N/A</v>
      </c>
      <c r="E564" s="22" t="e">
        <f>VLOOKUP($A564,TAB_CORRECAO_U[[Q_DIAS_U_PARC_TIR]:[V_FUT_U_CORC-02]],E$5, FALSE)</f>
        <v>#N/A</v>
      </c>
      <c r="F564" s="22" t="e">
        <f>VLOOKUP($A564,TAB_AMORTIZACAO_U[[Q_DIAS_U_PARC_TIR]:[V_FUT_U_PCPL-02]], F$5, FALSE)</f>
        <v>#N/A</v>
      </c>
      <c r="H564" s="20">
        <f t="shared" si="47"/>
        <v>0</v>
      </c>
      <c r="I564" s="21">
        <f t="shared" si="48"/>
        <v>0</v>
      </c>
      <c r="J564" s="22" t="e">
        <f>VLOOKUP($A564, TAB_JUROS_C[[DIAS_CORRIDOS]:[V_FUT_UTEIS]], J$5, FALSE)</f>
        <v>#N/A</v>
      </c>
      <c r="K564" s="22" t="e">
        <f>VLOOKUP($A564, TAB_CORRECAO_C[[DIAS_CORRIDOS]:[V_FUT_UTEIS]],K$5, FALSE)</f>
        <v>#N/A</v>
      </c>
      <c r="L564" s="22" t="e">
        <f>VLOOKUP($A564, TAB_AMORTIZACAO_C[[DIAS_CORRIDOS]:[V_FUT_UTEIS]], L$5, FALSE)</f>
        <v>#N/A</v>
      </c>
    </row>
    <row r="565" spans="1:12" hidden="1">
      <c r="A565" s="19">
        <f t="shared" si="49"/>
        <v>559</v>
      </c>
      <c r="B565" s="20">
        <f t="shared" si="45"/>
        <v>0</v>
      </c>
      <c r="C565" s="21">
        <f t="shared" si="46"/>
        <v>0</v>
      </c>
      <c r="D565" s="22" t="e">
        <f>VLOOKUP($A565, TAB_JUROS_U[[Q_DIAS_U_PARC_TIR]:[V_FUT_U_JURS CENARIO]], D$5, FALSE)</f>
        <v>#N/A</v>
      </c>
      <c r="E565" s="22" t="e">
        <f>VLOOKUP($A565,TAB_CORRECAO_U[[Q_DIAS_U_PARC_TIR]:[V_FUT_U_CORC-02]],E$5, FALSE)</f>
        <v>#N/A</v>
      </c>
      <c r="F565" s="22" t="e">
        <f>VLOOKUP($A565,TAB_AMORTIZACAO_U[[Q_DIAS_U_PARC_TIR]:[V_FUT_U_PCPL-02]], F$5, FALSE)</f>
        <v>#N/A</v>
      </c>
      <c r="H565" s="20">
        <f t="shared" si="47"/>
        <v>0</v>
      </c>
      <c r="I565" s="21">
        <f t="shared" si="48"/>
        <v>0</v>
      </c>
      <c r="J565" s="22" t="e">
        <f>VLOOKUP($A565, TAB_JUROS_C[[DIAS_CORRIDOS]:[V_FUT_UTEIS]], J$5, FALSE)</f>
        <v>#N/A</v>
      </c>
      <c r="K565" s="22" t="e">
        <f>VLOOKUP($A565, TAB_CORRECAO_C[[DIAS_CORRIDOS]:[V_FUT_UTEIS]],K$5, FALSE)</f>
        <v>#N/A</v>
      </c>
      <c r="L565" s="22" t="e">
        <f>VLOOKUP($A565, TAB_AMORTIZACAO_C[[DIAS_CORRIDOS]:[V_FUT_UTEIS]], L$5, FALSE)</f>
        <v>#N/A</v>
      </c>
    </row>
    <row r="566" spans="1:12" hidden="1">
      <c r="A566" s="19">
        <f t="shared" si="49"/>
        <v>560</v>
      </c>
      <c r="B566" s="20">
        <f t="shared" si="45"/>
        <v>0</v>
      </c>
      <c r="C566" s="21">
        <f t="shared" si="46"/>
        <v>0</v>
      </c>
      <c r="D566" s="22" t="e">
        <f>VLOOKUP($A566, TAB_JUROS_U[[Q_DIAS_U_PARC_TIR]:[V_FUT_U_JURS CENARIO]], D$5, FALSE)</f>
        <v>#N/A</v>
      </c>
      <c r="E566" s="22" t="e">
        <f>VLOOKUP($A566,TAB_CORRECAO_U[[Q_DIAS_U_PARC_TIR]:[V_FUT_U_CORC-02]],E$5, FALSE)</f>
        <v>#N/A</v>
      </c>
      <c r="F566" s="22" t="e">
        <f>VLOOKUP($A566,TAB_AMORTIZACAO_U[[Q_DIAS_U_PARC_TIR]:[V_FUT_U_PCPL-02]], F$5, FALSE)</f>
        <v>#N/A</v>
      </c>
      <c r="H566" s="20">
        <f t="shared" si="47"/>
        <v>1701.0114101751865</v>
      </c>
      <c r="I566" s="21">
        <f t="shared" si="48"/>
        <v>1701.0114101751865</v>
      </c>
      <c r="J566" s="22">
        <f>VLOOKUP($A566, TAB_JUROS_C[[DIAS_CORRIDOS]:[V_FUT_UTEIS]], J$5, FALSE)</f>
        <v>137.76735145511375</v>
      </c>
      <c r="K566" s="22">
        <f>VLOOKUP($A566, TAB_CORRECAO_C[[DIAS_CORRIDOS]:[V_FUT_UTEIS]],K$5, FALSE)</f>
        <v>877.91669548982884</v>
      </c>
      <c r="L566" s="22">
        <f>VLOOKUP($A566, TAB_AMORTIZACAO_C[[DIAS_CORRIDOS]:[V_FUT_UTEIS]], L$5, FALSE)</f>
        <v>685.3273632302438</v>
      </c>
    </row>
    <row r="567" spans="1:12" hidden="1">
      <c r="A567" s="19">
        <f t="shared" si="49"/>
        <v>561</v>
      </c>
      <c r="B567" s="20">
        <f t="shared" si="45"/>
        <v>0</v>
      </c>
      <c r="C567" s="21">
        <f t="shared" si="46"/>
        <v>0</v>
      </c>
      <c r="D567" s="22" t="e">
        <f>VLOOKUP($A567, TAB_JUROS_U[[Q_DIAS_U_PARC_TIR]:[V_FUT_U_JURS CENARIO]], D$5, FALSE)</f>
        <v>#N/A</v>
      </c>
      <c r="E567" s="22" t="e">
        <f>VLOOKUP($A567,TAB_CORRECAO_U[[Q_DIAS_U_PARC_TIR]:[V_FUT_U_CORC-02]],E$5, FALSE)</f>
        <v>#N/A</v>
      </c>
      <c r="F567" s="22" t="e">
        <f>VLOOKUP($A567,TAB_AMORTIZACAO_U[[Q_DIAS_U_PARC_TIR]:[V_FUT_U_PCPL-02]], F$5, FALSE)</f>
        <v>#N/A</v>
      </c>
      <c r="H567" s="20">
        <f t="shared" si="47"/>
        <v>0</v>
      </c>
      <c r="I567" s="21">
        <f t="shared" si="48"/>
        <v>0</v>
      </c>
      <c r="J567" s="22" t="e">
        <f>VLOOKUP($A567, TAB_JUROS_C[[DIAS_CORRIDOS]:[V_FUT_UTEIS]], J$5, FALSE)</f>
        <v>#N/A</v>
      </c>
      <c r="K567" s="22" t="e">
        <f>VLOOKUP($A567, TAB_CORRECAO_C[[DIAS_CORRIDOS]:[V_FUT_UTEIS]],K$5, FALSE)</f>
        <v>#N/A</v>
      </c>
      <c r="L567" s="22" t="e">
        <f>VLOOKUP($A567, TAB_AMORTIZACAO_C[[DIAS_CORRIDOS]:[V_FUT_UTEIS]], L$5, FALSE)</f>
        <v>#N/A</v>
      </c>
    </row>
    <row r="568" spans="1:12" hidden="1">
      <c r="A568" s="19">
        <f t="shared" si="49"/>
        <v>562</v>
      </c>
      <c r="B568" s="20">
        <f t="shared" si="45"/>
        <v>0</v>
      </c>
      <c r="C568" s="21">
        <f t="shared" si="46"/>
        <v>0</v>
      </c>
      <c r="D568" s="22" t="e">
        <f>VLOOKUP($A568, TAB_JUROS_U[[Q_DIAS_U_PARC_TIR]:[V_FUT_U_JURS CENARIO]], D$5, FALSE)</f>
        <v>#N/A</v>
      </c>
      <c r="E568" s="22" t="e">
        <f>VLOOKUP($A568,TAB_CORRECAO_U[[Q_DIAS_U_PARC_TIR]:[V_FUT_U_CORC-02]],E$5, FALSE)</f>
        <v>#N/A</v>
      </c>
      <c r="F568" s="22" t="e">
        <f>VLOOKUP($A568,TAB_AMORTIZACAO_U[[Q_DIAS_U_PARC_TIR]:[V_FUT_U_PCPL-02]], F$5, FALSE)</f>
        <v>#N/A</v>
      </c>
      <c r="H568" s="20">
        <f t="shared" si="47"/>
        <v>0</v>
      </c>
      <c r="I568" s="21">
        <f t="shared" si="48"/>
        <v>0</v>
      </c>
      <c r="J568" s="22" t="e">
        <f>VLOOKUP($A568, TAB_JUROS_C[[DIAS_CORRIDOS]:[V_FUT_UTEIS]], J$5, FALSE)</f>
        <v>#N/A</v>
      </c>
      <c r="K568" s="22" t="e">
        <f>VLOOKUP($A568, TAB_CORRECAO_C[[DIAS_CORRIDOS]:[V_FUT_UTEIS]],K$5, FALSE)</f>
        <v>#N/A</v>
      </c>
      <c r="L568" s="22" t="e">
        <f>VLOOKUP($A568, TAB_AMORTIZACAO_C[[DIAS_CORRIDOS]:[V_FUT_UTEIS]], L$5, FALSE)</f>
        <v>#N/A</v>
      </c>
    </row>
    <row r="569" spans="1:12" hidden="1">
      <c r="A569" s="19">
        <f t="shared" si="49"/>
        <v>563</v>
      </c>
      <c r="B569" s="20">
        <f t="shared" si="45"/>
        <v>0</v>
      </c>
      <c r="C569" s="21">
        <f t="shared" si="46"/>
        <v>0</v>
      </c>
      <c r="D569" s="22" t="e">
        <f>VLOOKUP($A569, TAB_JUROS_U[[Q_DIAS_U_PARC_TIR]:[V_FUT_U_JURS CENARIO]], D$5, FALSE)</f>
        <v>#N/A</v>
      </c>
      <c r="E569" s="22" t="e">
        <f>VLOOKUP($A569,TAB_CORRECAO_U[[Q_DIAS_U_PARC_TIR]:[V_FUT_U_CORC-02]],E$5, FALSE)</f>
        <v>#N/A</v>
      </c>
      <c r="F569" s="22" t="e">
        <f>VLOOKUP($A569,TAB_AMORTIZACAO_U[[Q_DIAS_U_PARC_TIR]:[V_FUT_U_PCPL-02]], F$5, FALSE)</f>
        <v>#N/A</v>
      </c>
      <c r="H569" s="20">
        <f t="shared" si="47"/>
        <v>0</v>
      </c>
      <c r="I569" s="21">
        <f t="shared" si="48"/>
        <v>0</v>
      </c>
      <c r="J569" s="22" t="e">
        <f>VLOOKUP($A569, TAB_JUROS_C[[DIAS_CORRIDOS]:[V_FUT_UTEIS]], J$5, FALSE)</f>
        <v>#N/A</v>
      </c>
      <c r="K569" s="22" t="e">
        <f>VLOOKUP($A569, TAB_CORRECAO_C[[DIAS_CORRIDOS]:[V_FUT_UTEIS]],K$5, FALSE)</f>
        <v>#N/A</v>
      </c>
      <c r="L569" s="22" t="e">
        <f>VLOOKUP($A569, TAB_AMORTIZACAO_C[[DIAS_CORRIDOS]:[V_FUT_UTEIS]], L$5, FALSE)</f>
        <v>#N/A</v>
      </c>
    </row>
    <row r="570" spans="1:12" hidden="1">
      <c r="A570" s="19">
        <f t="shared" si="49"/>
        <v>564</v>
      </c>
      <c r="B570" s="20">
        <f t="shared" si="45"/>
        <v>0</v>
      </c>
      <c r="C570" s="21">
        <f t="shared" si="46"/>
        <v>0</v>
      </c>
      <c r="D570" s="22" t="e">
        <f>VLOOKUP($A570, TAB_JUROS_U[[Q_DIAS_U_PARC_TIR]:[V_FUT_U_JURS CENARIO]], D$5, FALSE)</f>
        <v>#N/A</v>
      </c>
      <c r="E570" s="22" t="e">
        <f>VLOOKUP($A570,TAB_CORRECAO_U[[Q_DIAS_U_PARC_TIR]:[V_FUT_U_CORC-02]],E$5, FALSE)</f>
        <v>#N/A</v>
      </c>
      <c r="F570" s="22" t="e">
        <f>VLOOKUP($A570,TAB_AMORTIZACAO_U[[Q_DIAS_U_PARC_TIR]:[V_FUT_U_PCPL-02]], F$5, FALSE)</f>
        <v>#N/A</v>
      </c>
      <c r="H570" s="20">
        <f t="shared" si="47"/>
        <v>0</v>
      </c>
      <c r="I570" s="21">
        <f t="shared" si="48"/>
        <v>0</v>
      </c>
      <c r="J570" s="22" t="e">
        <f>VLOOKUP($A570, TAB_JUROS_C[[DIAS_CORRIDOS]:[V_FUT_UTEIS]], J$5, FALSE)</f>
        <v>#N/A</v>
      </c>
      <c r="K570" s="22" t="e">
        <f>VLOOKUP($A570, TAB_CORRECAO_C[[DIAS_CORRIDOS]:[V_FUT_UTEIS]],K$5, FALSE)</f>
        <v>#N/A</v>
      </c>
      <c r="L570" s="22" t="e">
        <f>VLOOKUP($A570, TAB_AMORTIZACAO_C[[DIAS_CORRIDOS]:[V_FUT_UTEIS]], L$5, FALSE)</f>
        <v>#N/A</v>
      </c>
    </row>
    <row r="571" spans="1:12" hidden="1">
      <c r="A571" s="19">
        <f t="shared" si="49"/>
        <v>565</v>
      </c>
      <c r="B571" s="20">
        <f t="shared" si="45"/>
        <v>0</v>
      </c>
      <c r="C571" s="21">
        <f t="shared" si="46"/>
        <v>0</v>
      </c>
      <c r="D571" s="22" t="e">
        <f>VLOOKUP($A571, TAB_JUROS_U[[Q_DIAS_U_PARC_TIR]:[V_FUT_U_JURS CENARIO]], D$5, FALSE)</f>
        <v>#N/A</v>
      </c>
      <c r="E571" s="22" t="e">
        <f>VLOOKUP($A571,TAB_CORRECAO_U[[Q_DIAS_U_PARC_TIR]:[V_FUT_U_CORC-02]],E$5, FALSE)</f>
        <v>#N/A</v>
      </c>
      <c r="F571" s="22" t="e">
        <f>VLOOKUP($A571,TAB_AMORTIZACAO_U[[Q_DIAS_U_PARC_TIR]:[V_FUT_U_PCPL-02]], F$5, FALSE)</f>
        <v>#N/A</v>
      </c>
      <c r="H571" s="20">
        <f t="shared" si="47"/>
        <v>0</v>
      </c>
      <c r="I571" s="21">
        <f t="shared" si="48"/>
        <v>0</v>
      </c>
      <c r="J571" s="22" t="e">
        <f>VLOOKUP($A571, TAB_JUROS_C[[DIAS_CORRIDOS]:[V_FUT_UTEIS]], J$5, FALSE)</f>
        <v>#N/A</v>
      </c>
      <c r="K571" s="22" t="e">
        <f>VLOOKUP($A571, TAB_CORRECAO_C[[DIAS_CORRIDOS]:[V_FUT_UTEIS]],K$5, FALSE)</f>
        <v>#N/A</v>
      </c>
      <c r="L571" s="22" t="e">
        <f>VLOOKUP($A571, TAB_AMORTIZACAO_C[[DIAS_CORRIDOS]:[V_FUT_UTEIS]], L$5, FALSE)</f>
        <v>#N/A</v>
      </c>
    </row>
    <row r="572" spans="1:12" hidden="1">
      <c r="A572" s="19">
        <f t="shared" si="49"/>
        <v>566</v>
      </c>
      <c r="B572" s="20">
        <f t="shared" si="45"/>
        <v>0</v>
      </c>
      <c r="C572" s="21">
        <f t="shared" si="46"/>
        <v>0</v>
      </c>
      <c r="D572" s="22" t="e">
        <f>VLOOKUP($A572, TAB_JUROS_U[[Q_DIAS_U_PARC_TIR]:[V_FUT_U_JURS CENARIO]], D$5, FALSE)</f>
        <v>#N/A</v>
      </c>
      <c r="E572" s="22" t="e">
        <f>VLOOKUP($A572,TAB_CORRECAO_U[[Q_DIAS_U_PARC_TIR]:[V_FUT_U_CORC-02]],E$5, FALSE)</f>
        <v>#N/A</v>
      </c>
      <c r="F572" s="22" t="e">
        <f>VLOOKUP($A572,TAB_AMORTIZACAO_U[[Q_DIAS_U_PARC_TIR]:[V_FUT_U_PCPL-02]], F$5, FALSE)</f>
        <v>#N/A</v>
      </c>
      <c r="H572" s="20">
        <f t="shared" si="47"/>
        <v>0</v>
      </c>
      <c r="I572" s="21">
        <f t="shared" si="48"/>
        <v>0</v>
      </c>
      <c r="J572" s="22" t="e">
        <f>VLOOKUP($A572, TAB_JUROS_C[[DIAS_CORRIDOS]:[V_FUT_UTEIS]], J$5, FALSE)</f>
        <v>#N/A</v>
      </c>
      <c r="K572" s="22" t="e">
        <f>VLOOKUP($A572, TAB_CORRECAO_C[[DIAS_CORRIDOS]:[V_FUT_UTEIS]],K$5, FALSE)</f>
        <v>#N/A</v>
      </c>
      <c r="L572" s="22" t="e">
        <f>VLOOKUP($A572, TAB_AMORTIZACAO_C[[DIAS_CORRIDOS]:[V_FUT_UTEIS]], L$5, FALSE)</f>
        <v>#N/A</v>
      </c>
    </row>
    <row r="573" spans="1:12" hidden="1">
      <c r="A573" s="19">
        <f t="shared" si="49"/>
        <v>567</v>
      </c>
      <c r="B573" s="20">
        <f t="shared" si="45"/>
        <v>0</v>
      </c>
      <c r="C573" s="21">
        <f t="shared" si="46"/>
        <v>0</v>
      </c>
      <c r="D573" s="22" t="e">
        <f>VLOOKUP($A573, TAB_JUROS_U[[Q_DIAS_U_PARC_TIR]:[V_FUT_U_JURS CENARIO]], D$5, FALSE)</f>
        <v>#N/A</v>
      </c>
      <c r="E573" s="22" t="e">
        <f>VLOOKUP($A573,TAB_CORRECAO_U[[Q_DIAS_U_PARC_TIR]:[V_FUT_U_CORC-02]],E$5, FALSE)</f>
        <v>#N/A</v>
      </c>
      <c r="F573" s="22" t="e">
        <f>VLOOKUP($A573,TAB_AMORTIZACAO_U[[Q_DIAS_U_PARC_TIR]:[V_FUT_U_PCPL-02]], F$5, FALSE)</f>
        <v>#N/A</v>
      </c>
      <c r="H573" s="20">
        <f t="shared" si="47"/>
        <v>0</v>
      </c>
      <c r="I573" s="21">
        <f t="shared" si="48"/>
        <v>0</v>
      </c>
      <c r="J573" s="22" t="e">
        <f>VLOOKUP($A573, TAB_JUROS_C[[DIAS_CORRIDOS]:[V_FUT_UTEIS]], J$5, FALSE)</f>
        <v>#N/A</v>
      </c>
      <c r="K573" s="22" t="e">
        <f>VLOOKUP($A573, TAB_CORRECAO_C[[DIAS_CORRIDOS]:[V_FUT_UTEIS]],K$5, FALSE)</f>
        <v>#N/A</v>
      </c>
      <c r="L573" s="22" t="e">
        <f>VLOOKUP($A573, TAB_AMORTIZACAO_C[[DIAS_CORRIDOS]:[V_FUT_UTEIS]], L$5, FALSE)</f>
        <v>#N/A</v>
      </c>
    </row>
    <row r="574" spans="1:12" hidden="1">
      <c r="A574" s="19">
        <f t="shared" si="49"/>
        <v>568</v>
      </c>
      <c r="B574" s="20">
        <f t="shared" si="45"/>
        <v>0</v>
      </c>
      <c r="C574" s="21">
        <f t="shared" si="46"/>
        <v>0</v>
      </c>
      <c r="D574" s="22" t="e">
        <f>VLOOKUP($A574, TAB_JUROS_U[[Q_DIAS_U_PARC_TIR]:[V_FUT_U_JURS CENARIO]], D$5, FALSE)</f>
        <v>#N/A</v>
      </c>
      <c r="E574" s="22" t="e">
        <f>VLOOKUP($A574,TAB_CORRECAO_U[[Q_DIAS_U_PARC_TIR]:[V_FUT_U_CORC-02]],E$5, FALSE)</f>
        <v>#N/A</v>
      </c>
      <c r="F574" s="22" t="e">
        <f>VLOOKUP($A574,TAB_AMORTIZACAO_U[[Q_DIAS_U_PARC_TIR]:[V_FUT_U_PCPL-02]], F$5, FALSE)</f>
        <v>#N/A</v>
      </c>
      <c r="H574" s="20">
        <f t="shared" si="47"/>
        <v>0</v>
      </c>
      <c r="I574" s="21">
        <f t="shared" si="48"/>
        <v>0</v>
      </c>
      <c r="J574" s="22" t="e">
        <f>VLOOKUP($A574, TAB_JUROS_C[[DIAS_CORRIDOS]:[V_FUT_UTEIS]], J$5, FALSE)</f>
        <v>#N/A</v>
      </c>
      <c r="K574" s="22" t="e">
        <f>VLOOKUP($A574, TAB_CORRECAO_C[[DIAS_CORRIDOS]:[V_FUT_UTEIS]],K$5, FALSE)</f>
        <v>#N/A</v>
      </c>
      <c r="L574" s="22" t="e">
        <f>VLOOKUP($A574, TAB_AMORTIZACAO_C[[DIAS_CORRIDOS]:[V_FUT_UTEIS]], L$5, FALSE)</f>
        <v>#N/A</v>
      </c>
    </row>
    <row r="575" spans="1:12" hidden="1">
      <c r="A575" s="19">
        <f t="shared" si="49"/>
        <v>569</v>
      </c>
      <c r="B575" s="20">
        <f t="shared" si="45"/>
        <v>0</v>
      </c>
      <c r="C575" s="21">
        <f t="shared" si="46"/>
        <v>0</v>
      </c>
      <c r="D575" s="22" t="e">
        <f>VLOOKUP($A575, TAB_JUROS_U[[Q_DIAS_U_PARC_TIR]:[V_FUT_U_JURS CENARIO]], D$5, FALSE)</f>
        <v>#N/A</v>
      </c>
      <c r="E575" s="22" t="e">
        <f>VLOOKUP($A575,TAB_CORRECAO_U[[Q_DIAS_U_PARC_TIR]:[V_FUT_U_CORC-02]],E$5, FALSE)</f>
        <v>#N/A</v>
      </c>
      <c r="F575" s="22" t="e">
        <f>VLOOKUP($A575,TAB_AMORTIZACAO_U[[Q_DIAS_U_PARC_TIR]:[V_FUT_U_PCPL-02]], F$5, FALSE)</f>
        <v>#N/A</v>
      </c>
      <c r="H575" s="20">
        <f t="shared" si="47"/>
        <v>0</v>
      </c>
      <c r="I575" s="21">
        <f t="shared" si="48"/>
        <v>0</v>
      </c>
      <c r="J575" s="22" t="e">
        <f>VLOOKUP($A575, TAB_JUROS_C[[DIAS_CORRIDOS]:[V_FUT_UTEIS]], J$5, FALSE)</f>
        <v>#N/A</v>
      </c>
      <c r="K575" s="22" t="e">
        <f>VLOOKUP($A575, TAB_CORRECAO_C[[DIAS_CORRIDOS]:[V_FUT_UTEIS]],K$5, FALSE)</f>
        <v>#N/A</v>
      </c>
      <c r="L575" s="22" t="e">
        <f>VLOOKUP($A575, TAB_AMORTIZACAO_C[[DIAS_CORRIDOS]:[V_FUT_UTEIS]], L$5, FALSE)</f>
        <v>#N/A</v>
      </c>
    </row>
    <row r="576" spans="1:12" hidden="1">
      <c r="A576" s="19">
        <f t="shared" si="49"/>
        <v>570</v>
      </c>
      <c r="B576" s="20">
        <f t="shared" si="45"/>
        <v>0</v>
      </c>
      <c r="C576" s="21">
        <f t="shared" si="46"/>
        <v>0</v>
      </c>
      <c r="D576" s="22" t="e">
        <f>VLOOKUP($A576, TAB_JUROS_U[[Q_DIAS_U_PARC_TIR]:[V_FUT_U_JURS CENARIO]], D$5, FALSE)</f>
        <v>#N/A</v>
      </c>
      <c r="E576" s="22" t="e">
        <f>VLOOKUP($A576,TAB_CORRECAO_U[[Q_DIAS_U_PARC_TIR]:[V_FUT_U_CORC-02]],E$5, FALSE)</f>
        <v>#N/A</v>
      </c>
      <c r="F576" s="22" t="e">
        <f>VLOOKUP($A576,TAB_AMORTIZACAO_U[[Q_DIAS_U_PARC_TIR]:[V_FUT_U_PCPL-02]], F$5, FALSE)</f>
        <v>#N/A</v>
      </c>
      <c r="H576" s="20">
        <f t="shared" si="47"/>
        <v>0</v>
      </c>
      <c r="I576" s="21">
        <f t="shared" si="48"/>
        <v>0</v>
      </c>
      <c r="J576" s="22" t="e">
        <f>VLOOKUP($A576, TAB_JUROS_C[[DIAS_CORRIDOS]:[V_FUT_UTEIS]], J$5, FALSE)</f>
        <v>#N/A</v>
      </c>
      <c r="K576" s="22" t="e">
        <f>VLOOKUP($A576, TAB_CORRECAO_C[[DIAS_CORRIDOS]:[V_FUT_UTEIS]],K$5, FALSE)</f>
        <v>#N/A</v>
      </c>
      <c r="L576" s="22" t="e">
        <f>VLOOKUP($A576, TAB_AMORTIZACAO_C[[DIAS_CORRIDOS]:[V_FUT_UTEIS]], L$5, FALSE)</f>
        <v>#N/A</v>
      </c>
    </row>
    <row r="577" spans="1:12" hidden="1">
      <c r="A577" s="19">
        <f t="shared" si="49"/>
        <v>571</v>
      </c>
      <c r="B577" s="20">
        <f t="shared" si="45"/>
        <v>0</v>
      </c>
      <c r="C577" s="21">
        <f t="shared" si="46"/>
        <v>0</v>
      </c>
      <c r="D577" s="22" t="e">
        <f>VLOOKUP($A577, TAB_JUROS_U[[Q_DIAS_U_PARC_TIR]:[V_FUT_U_JURS CENARIO]], D$5, FALSE)</f>
        <v>#N/A</v>
      </c>
      <c r="E577" s="22" t="e">
        <f>VLOOKUP($A577,TAB_CORRECAO_U[[Q_DIAS_U_PARC_TIR]:[V_FUT_U_CORC-02]],E$5, FALSE)</f>
        <v>#N/A</v>
      </c>
      <c r="F577" s="22" t="e">
        <f>VLOOKUP($A577,TAB_AMORTIZACAO_U[[Q_DIAS_U_PARC_TIR]:[V_FUT_U_PCPL-02]], F$5, FALSE)</f>
        <v>#N/A</v>
      </c>
      <c r="H577" s="20">
        <f t="shared" si="47"/>
        <v>0</v>
      </c>
      <c r="I577" s="21">
        <f t="shared" si="48"/>
        <v>0</v>
      </c>
      <c r="J577" s="22" t="e">
        <f>VLOOKUP($A577, TAB_JUROS_C[[DIAS_CORRIDOS]:[V_FUT_UTEIS]], J$5, FALSE)</f>
        <v>#N/A</v>
      </c>
      <c r="K577" s="22" t="e">
        <f>VLOOKUP($A577, TAB_CORRECAO_C[[DIAS_CORRIDOS]:[V_FUT_UTEIS]],K$5, FALSE)</f>
        <v>#N/A</v>
      </c>
      <c r="L577" s="22" t="e">
        <f>VLOOKUP($A577, TAB_AMORTIZACAO_C[[DIAS_CORRIDOS]:[V_FUT_UTEIS]], L$5, FALSE)</f>
        <v>#N/A</v>
      </c>
    </row>
    <row r="578" spans="1:12" hidden="1">
      <c r="A578" s="19">
        <f t="shared" si="49"/>
        <v>572</v>
      </c>
      <c r="B578" s="20">
        <f t="shared" si="45"/>
        <v>0</v>
      </c>
      <c r="C578" s="21">
        <f t="shared" si="46"/>
        <v>0</v>
      </c>
      <c r="D578" s="22" t="e">
        <f>VLOOKUP($A578, TAB_JUROS_U[[Q_DIAS_U_PARC_TIR]:[V_FUT_U_JURS CENARIO]], D$5, FALSE)</f>
        <v>#N/A</v>
      </c>
      <c r="E578" s="22" t="e">
        <f>VLOOKUP($A578,TAB_CORRECAO_U[[Q_DIAS_U_PARC_TIR]:[V_FUT_U_CORC-02]],E$5, FALSE)</f>
        <v>#N/A</v>
      </c>
      <c r="F578" s="22" t="e">
        <f>VLOOKUP($A578,TAB_AMORTIZACAO_U[[Q_DIAS_U_PARC_TIR]:[V_FUT_U_PCPL-02]], F$5, FALSE)</f>
        <v>#N/A</v>
      </c>
      <c r="H578" s="20">
        <f t="shared" si="47"/>
        <v>0</v>
      </c>
      <c r="I578" s="21">
        <f t="shared" si="48"/>
        <v>0</v>
      </c>
      <c r="J578" s="22" t="e">
        <f>VLOOKUP($A578, TAB_JUROS_C[[DIAS_CORRIDOS]:[V_FUT_UTEIS]], J$5, FALSE)</f>
        <v>#N/A</v>
      </c>
      <c r="K578" s="22" t="e">
        <f>VLOOKUP($A578, TAB_CORRECAO_C[[DIAS_CORRIDOS]:[V_FUT_UTEIS]],K$5, FALSE)</f>
        <v>#N/A</v>
      </c>
      <c r="L578" s="22" t="e">
        <f>VLOOKUP($A578, TAB_AMORTIZACAO_C[[DIAS_CORRIDOS]:[V_FUT_UTEIS]], L$5, FALSE)</f>
        <v>#N/A</v>
      </c>
    </row>
    <row r="579" spans="1:12" hidden="1">
      <c r="A579" s="19">
        <f t="shared" si="49"/>
        <v>573</v>
      </c>
      <c r="B579" s="20">
        <f t="shared" si="45"/>
        <v>0</v>
      </c>
      <c r="C579" s="21">
        <f t="shared" si="46"/>
        <v>0</v>
      </c>
      <c r="D579" s="22" t="e">
        <f>VLOOKUP($A579, TAB_JUROS_U[[Q_DIAS_U_PARC_TIR]:[V_FUT_U_JURS CENARIO]], D$5, FALSE)</f>
        <v>#N/A</v>
      </c>
      <c r="E579" s="22" t="e">
        <f>VLOOKUP($A579,TAB_CORRECAO_U[[Q_DIAS_U_PARC_TIR]:[V_FUT_U_CORC-02]],E$5, FALSE)</f>
        <v>#N/A</v>
      </c>
      <c r="F579" s="22" t="e">
        <f>VLOOKUP($A579,TAB_AMORTIZACAO_U[[Q_DIAS_U_PARC_TIR]:[V_FUT_U_PCPL-02]], F$5, FALSE)</f>
        <v>#N/A</v>
      </c>
      <c r="H579" s="20">
        <f t="shared" si="47"/>
        <v>0</v>
      </c>
      <c r="I579" s="21">
        <f t="shared" si="48"/>
        <v>0</v>
      </c>
      <c r="J579" s="22" t="e">
        <f>VLOOKUP($A579, TAB_JUROS_C[[DIAS_CORRIDOS]:[V_FUT_UTEIS]], J$5, FALSE)</f>
        <v>#N/A</v>
      </c>
      <c r="K579" s="22" t="e">
        <f>VLOOKUP($A579, TAB_CORRECAO_C[[DIAS_CORRIDOS]:[V_FUT_UTEIS]],K$5, FALSE)</f>
        <v>#N/A</v>
      </c>
      <c r="L579" s="22" t="e">
        <f>VLOOKUP($A579, TAB_AMORTIZACAO_C[[DIAS_CORRIDOS]:[V_FUT_UTEIS]], L$5, FALSE)</f>
        <v>#N/A</v>
      </c>
    </row>
    <row r="580" spans="1:12">
      <c r="A580" s="19">
        <f t="shared" si="49"/>
        <v>574</v>
      </c>
      <c r="B580" s="20">
        <f t="shared" si="45"/>
        <v>1427.2962381825009</v>
      </c>
      <c r="C580" s="21">
        <f t="shared" si="46"/>
        <v>1427.2962381825009</v>
      </c>
      <c r="D580" s="22">
        <f>VLOOKUP($A580, TAB_JUROS_U[[Q_DIAS_U_PARC_TIR]:[V_FUT_U_JURS CENARIO]], D$5, FALSE)</f>
        <v>111.25640780504429</v>
      </c>
      <c r="E580" s="22">
        <f>VLOOKUP($A580,TAB_CORRECAO_U[[Q_DIAS_U_PARC_TIR]:[V_FUT_U_CORC-02]],E$5, FALSE)</f>
        <v>709.34608867384702</v>
      </c>
      <c r="F580" s="22">
        <f>VLOOKUP($A580,TAB_AMORTIZACAO_U[[Q_DIAS_U_PARC_TIR]:[V_FUT_U_PCPL-02]], F$5, FALSE)</f>
        <v>606.69374170360959</v>
      </c>
      <c r="H580" s="20">
        <f t="shared" si="47"/>
        <v>0</v>
      </c>
      <c r="I580" s="21">
        <f t="shared" si="48"/>
        <v>0</v>
      </c>
      <c r="J580" s="22" t="e">
        <f>VLOOKUP($A580, TAB_JUROS_C[[DIAS_CORRIDOS]:[V_FUT_UTEIS]], J$5, FALSE)</f>
        <v>#N/A</v>
      </c>
      <c r="K580" s="22" t="e">
        <f>VLOOKUP($A580, TAB_CORRECAO_C[[DIAS_CORRIDOS]:[V_FUT_UTEIS]],K$5, FALSE)</f>
        <v>#N/A</v>
      </c>
      <c r="L580" s="22" t="e">
        <f>VLOOKUP($A580, TAB_AMORTIZACAO_C[[DIAS_CORRIDOS]:[V_FUT_UTEIS]], L$5, FALSE)</f>
        <v>#N/A</v>
      </c>
    </row>
    <row r="581" spans="1:12" hidden="1">
      <c r="A581" s="19">
        <f t="shared" si="49"/>
        <v>575</v>
      </c>
      <c r="B581" s="20">
        <f t="shared" si="45"/>
        <v>0</v>
      </c>
      <c r="C581" s="21">
        <f t="shared" si="46"/>
        <v>0</v>
      </c>
      <c r="D581" s="22" t="e">
        <f>VLOOKUP($A581, TAB_JUROS_U[[Q_DIAS_U_PARC_TIR]:[V_FUT_U_JURS CENARIO]], D$5, FALSE)</f>
        <v>#N/A</v>
      </c>
      <c r="E581" s="22" t="e">
        <f>VLOOKUP($A581,TAB_CORRECAO_U[[Q_DIAS_U_PARC_TIR]:[V_FUT_U_CORC-02]],E$5, FALSE)</f>
        <v>#N/A</v>
      </c>
      <c r="F581" s="22" t="e">
        <f>VLOOKUP($A581,TAB_AMORTIZACAO_U[[Q_DIAS_U_PARC_TIR]:[V_FUT_U_PCPL-02]], F$5, FALSE)</f>
        <v>#N/A</v>
      </c>
      <c r="H581" s="20">
        <f t="shared" si="47"/>
        <v>0</v>
      </c>
      <c r="I581" s="21">
        <f t="shared" si="48"/>
        <v>0</v>
      </c>
      <c r="J581" s="22" t="e">
        <f>VLOOKUP($A581, TAB_JUROS_C[[DIAS_CORRIDOS]:[V_FUT_UTEIS]], J$5, FALSE)</f>
        <v>#N/A</v>
      </c>
      <c r="K581" s="22" t="e">
        <f>VLOOKUP($A581, TAB_CORRECAO_C[[DIAS_CORRIDOS]:[V_FUT_UTEIS]],K$5, FALSE)</f>
        <v>#N/A</v>
      </c>
      <c r="L581" s="22" t="e">
        <f>VLOOKUP($A581, TAB_AMORTIZACAO_C[[DIAS_CORRIDOS]:[V_FUT_UTEIS]], L$5, FALSE)</f>
        <v>#N/A</v>
      </c>
    </row>
    <row r="582" spans="1:12" hidden="1">
      <c r="A582" s="19">
        <f t="shared" si="49"/>
        <v>576</v>
      </c>
      <c r="B582" s="20">
        <f t="shared" si="45"/>
        <v>0</v>
      </c>
      <c r="C582" s="21">
        <f t="shared" si="46"/>
        <v>0</v>
      </c>
      <c r="D582" s="22" t="e">
        <f>VLOOKUP($A582, TAB_JUROS_U[[Q_DIAS_U_PARC_TIR]:[V_FUT_U_JURS CENARIO]], D$5, FALSE)</f>
        <v>#N/A</v>
      </c>
      <c r="E582" s="22" t="e">
        <f>VLOOKUP($A582,TAB_CORRECAO_U[[Q_DIAS_U_PARC_TIR]:[V_FUT_U_CORC-02]],E$5, FALSE)</f>
        <v>#N/A</v>
      </c>
      <c r="F582" s="22" t="e">
        <f>VLOOKUP($A582,TAB_AMORTIZACAO_U[[Q_DIAS_U_PARC_TIR]:[V_FUT_U_PCPL-02]], F$5, FALSE)</f>
        <v>#N/A</v>
      </c>
      <c r="H582" s="20">
        <f t="shared" si="47"/>
        <v>0</v>
      </c>
      <c r="I582" s="21">
        <f t="shared" si="48"/>
        <v>0</v>
      </c>
      <c r="J582" s="22" t="e">
        <f>VLOOKUP($A582, TAB_JUROS_C[[DIAS_CORRIDOS]:[V_FUT_UTEIS]], J$5, FALSE)</f>
        <v>#N/A</v>
      </c>
      <c r="K582" s="22" t="e">
        <f>VLOOKUP($A582, TAB_CORRECAO_C[[DIAS_CORRIDOS]:[V_FUT_UTEIS]],K$5, FALSE)</f>
        <v>#N/A</v>
      </c>
      <c r="L582" s="22" t="e">
        <f>VLOOKUP($A582, TAB_AMORTIZACAO_C[[DIAS_CORRIDOS]:[V_FUT_UTEIS]], L$5, FALSE)</f>
        <v>#N/A</v>
      </c>
    </row>
    <row r="583" spans="1:12" hidden="1">
      <c r="A583" s="19">
        <f t="shared" si="49"/>
        <v>577</v>
      </c>
      <c r="B583" s="20">
        <f t="shared" si="45"/>
        <v>0</v>
      </c>
      <c r="C583" s="21">
        <f t="shared" si="46"/>
        <v>0</v>
      </c>
      <c r="D583" s="22" t="e">
        <f>VLOOKUP($A583, TAB_JUROS_U[[Q_DIAS_U_PARC_TIR]:[V_FUT_U_JURS CENARIO]], D$5, FALSE)</f>
        <v>#N/A</v>
      </c>
      <c r="E583" s="22" t="e">
        <f>VLOOKUP($A583,TAB_CORRECAO_U[[Q_DIAS_U_PARC_TIR]:[V_FUT_U_CORC-02]],E$5, FALSE)</f>
        <v>#N/A</v>
      </c>
      <c r="F583" s="22" t="e">
        <f>VLOOKUP($A583,TAB_AMORTIZACAO_U[[Q_DIAS_U_PARC_TIR]:[V_FUT_U_PCPL-02]], F$5, FALSE)</f>
        <v>#N/A</v>
      </c>
      <c r="H583" s="20">
        <f t="shared" si="47"/>
        <v>0</v>
      </c>
      <c r="I583" s="21">
        <f t="shared" si="48"/>
        <v>0</v>
      </c>
      <c r="J583" s="22" t="e">
        <f>VLOOKUP($A583, TAB_JUROS_C[[DIAS_CORRIDOS]:[V_FUT_UTEIS]], J$5, FALSE)</f>
        <v>#N/A</v>
      </c>
      <c r="K583" s="22" t="e">
        <f>VLOOKUP($A583, TAB_CORRECAO_C[[DIAS_CORRIDOS]:[V_FUT_UTEIS]],K$5, FALSE)</f>
        <v>#N/A</v>
      </c>
      <c r="L583" s="22" t="e">
        <f>VLOOKUP($A583, TAB_AMORTIZACAO_C[[DIAS_CORRIDOS]:[V_FUT_UTEIS]], L$5, FALSE)</f>
        <v>#N/A</v>
      </c>
    </row>
    <row r="584" spans="1:12" hidden="1">
      <c r="A584" s="19">
        <f t="shared" si="49"/>
        <v>578</v>
      </c>
      <c r="B584" s="20">
        <f t="shared" si="45"/>
        <v>0</v>
      </c>
      <c r="C584" s="21">
        <f t="shared" si="46"/>
        <v>0</v>
      </c>
      <c r="D584" s="22" t="e">
        <f>VLOOKUP($A584, TAB_JUROS_U[[Q_DIAS_U_PARC_TIR]:[V_FUT_U_JURS CENARIO]], D$5, FALSE)</f>
        <v>#N/A</v>
      </c>
      <c r="E584" s="22" t="e">
        <f>VLOOKUP($A584,TAB_CORRECAO_U[[Q_DIAS_U_PARC_TIR]:[V_FUT_U_CORC-02]],E$5, FALSE)</f>
        <v>#N/A</v>
      </c>
      <c r="F584" s="22" t="e">
        <f>VLOOKUP($A584,TAB_AMORTIZACAO_U[[Q_DIAS_U_PARC_TIR]:[V_FUT_U_PCPL-02]], F$5, FALSE)</f>
        <v>#N/A</v>
      </c>
      <c r="H584" s="20">
        <f t="shared" si="47"/>
        <v>0</v>
      </c>
      <c r="I584" s="21">
        <f t="shared" si="48"/>
        <v>0</v>
      </c>
      <c r="J584" s="22" t="e">
        <f>VLOOKUP($A584, TAB_JUROS_C[[DIAS_CORRIDOS]:[V_FUT_UTEIS]], J$5, FALSE)</f>
        <v>#N/A</v>
      </c>
      <c r="K584" s="22" t="e">
        <f>VLOOKUP($A584, TAB_CORRECAO_C[[DIAS_CORRIDOS]:[V_FUT_UTEIS]],K$5, FALSE)</f>
        <v>#N/A</v>
      </c>
      <c r="L584" s="22" t="e">
        <f>VLOOKUP($A584, TAB_AMORTIZACAO_C[[DIAS_CORRIDOS]:[V_FUT_UTEIS]], L$5, FALSE)</f>
        <v>#N/A</v>
      </c>
    </row>
    <row r="585" spans="1:12" hidden="1">
      <c r="A585" s="19">
        <f t="shared" si="49"/>
        <v>579</v>
      </c>
      <c r="B585" s="20">
        <f t="shared" ref="B585:B648" si="50">IF(ISERROR(C585), 0, C585)</f>
        <v>0</v>
      </c>
      <c r="C585" s="21">
        <f t="shared" ref="C585:C648" si="51">SUMIF(D585:F585, "&gt;0", D585:F585)</f>
        <v>0</v>
      </c>
      <c r="D585" s="22" t="e">
        <f>VLOOKUP($A585, TAB_JUROS_U[[Q_DIAS_U_PARC_TIR]:[V_FUT_U_JURS CENARIO]], D$5, FALSE)</f>
        <v>#N/A</v>
      </c>
      <c r="E585" s="22" t="e">
        <f>VLOOKUP($A585,TAB_CORRECAO_U[[Q_DIAS_U_PARC_TIR]:[V_FUT_U_CORC-02]],E$5, FALSE)</f>
        <v>#N/A</v>
      </c>
      <c r="F585" s="22" t="e">
        <f>VLOOKUP($A585,TAB_AMORTIZACAO_U[[Q_DIAS_U_PARC_TIR]:[V_FUT_U_PCPL-02]], F$5, FALSE)</f>
        <v>#N/A</v>
      </c>
      <c r="H585" s="20">
        <f t="shared" ref="H585:H648" si="52">IF(ISERROR(I585), 0, I585)</f>
        <v>0</v>
      </c>
      <c r="I585" s="21">
        <f t="shared" ref="I585:I648" si="53">SUMIF(J585:L585, "&gt;0", J585:L585)</f>
        <v>0</v>
      </c>
      <c r="J585" s="22" t="e">
        <f>VLOOKUP($A585, TAB_JUROS_C[[DIAS_CORRIDOS]:[V_FUT_UTEIS]], J$5, FALSE)</f>
        <v>#N/A</v>
      </c>
      <c r="K585" s="22" t="e">
        <f>VLOOKUP($A585, TAB_CORRECAO_C[[DIAS_CORRIDOS]:[V_FUT_UTEIS]],K$5, FALSE)</f>
        <v>#N/A</v>
      </c>
      <c r="L585" s="22" t="e">
        <f>VLOOKUP($A585, TAB_AMORTIZACAO_C[[DIAS_CORRIDOS]:[V_FUT_UTEIS]], L$5, FALSE)</f>
        <v>#N/A</v>
      </c>
    </row>
    <row r="586" spans="1:12" hidden="1">
      <c r="A586" s="19">
        <f t="shared" ref="A586:A649" si="54">A585+1</f>
        <v>580</v>
      </c>
      <c r="B586" s="20">
        <f t="shared" si="50"/>
        <v>0</v>
      </c>
      <c r="C586" s="21">
        <f t="shared" si="51"/>
        <v>0</v>
      </c>
      <c r="D586" s="22" t="e">
        <f>VLOOKUP($A586, TAB_JUROS_U[[Q_DIAS_U_PARC_TIR]:[V_FUT_U_JURS CENARIO]], D$5, FALSE)</f>
        <v>#N/A</v>
      </c>
      <c r="E586" s="22" t="e">
        <f>VLOOKUP($A586,TAB_CORRECAO_U[[Q_DIAS_U_PARC_TIR]:[V_FUT_U_CORC-02]],E$5, FALSE)</f>
        <v>#N/A</v>
      </c>
      <c r="F586" s="22" t="e">
        <f>VLOOKUP($A586,TAB_AMORTIZACAO_U[[Q_DIAS_U_PARC_TIR]:[V_FUT_U_PCPL-02]], F$5, FALSE)</f>
        <v>#N/A</v>
      </c>
      <c r="H586" s="20">
        <f t="shared" si="52"/>
        <v>0</v>
      </c>
      <c r="I586" s="21">
        <f t="shared" si="53"/>
        <v>0</v>
      </c>
      <c r="J586" s="22" t="e">
        <f>VLOOKUP($A586, TAB_JUROS_C[[DIAS_CORRIDOS]:[V_FUT_UTEIS]], J$5, FALSE)</f>
        <v>#N/A</v>
      </c>
      <c r="K586" s="22" t="e">
        <f>VLOOKUP($A586, TAB_CORRECAO_C[[DIAS_CORRIDOS]:[V_FUT_UTEIS]],K$5, FALSE)</f>
        <v>#N/A</v>
      </c>
      <c r="L586" s="22" t="e">
        <f>VLOOKUP($A586, TAB_AMORTIZACAO_C[[DIAS_CORRIDOS]:[V_FUT_UTEIS]], L$5, FALSE)</f>
        <v>#N/A</v>
      </c>
    </row>
    <row r="587" spans="1:12" hidden="1">
      <c r="A587" s="19">
        <f t="shared" si="54"/>
        <v>581</v>
      </c>
      <c r="B587" s="20">
        <f t="shared" si="50"/>
        <v>0</v>
      </c>
      <c r="C587" s="21">
        <f t="shared" si="51"/>
        <v>0</v>
      </c>
      <c r="D587" s="22" t="e">
        <f>VLOOKUP($A587, TAB_JUROS_U[[Q_DIAS_U_PARC_TIR]:[V_FUT_U_JURS CENARIO]], D$5, FALSE)</f>
        <v>#N/A</v>
      </c>
      <c r="E587" s="22" t="e">
        <f>VLOOKUP($A587,TAB_CORRECAO_U[[Q_DIAS_U_PARC_TIR]:[V_FUT_U_CORC-02]],E$5, FALSE)</f>
        <v>#N/A</v>
      </c>
      <c r="F587" s="22" t="e">
        <f>VLOOKUP($A587,TAB_AMORTIZACAO_U[[Q_DIAS_U_PARC_TIR]:[V_FUT_U_PCPL-02]], F$5, FALSE)</f>
        <v>#N/A</v>
      </c>
      <c r="H587" s="20">
        <f t="shared" si="52"/>
        <v>0</v>
      </c>
      <c r="I587" s="21">
        <f t="shared" si="53"/>
        <v>0</v>
      </c>
      <c r="J587" s="22" t="e">
        <f>VLOOKUP($A587, TAB_JUROS_C[[DIAS_CORRIDOS]:[V_FUT_UTEIS]], J$5, FALSE)</f>
        <v>#N/A</v>
      </c>
      <c r="K587" s="22" t="e">
        <f>VLOOKUP($A587, TAB_CORRECAO_C[[DIAS_CORRIDOS]:[V_FUT_UTEIS]],K$5, FALSE)</f>
        <v>#N/A</v>
      </c>
      <c r="L587" s="22" t="e">
        <f>VLOOKUP($A587, TAB_AMORTIZACAO_C[[DIAS_CORRIDOS]:[V_FUT_UTEIS]], L$5, FALSE)</f>
        <v>#N/A</v>
      </c>
    </row>
    <row r="588" spans="1:12" hidden="1">
      <c r="A588" s="19">
        <f t="shared" si="54"/>
        <v>582</v>
      </c>
      <c r="B588" s="20">
        <f t="shared" si="50"/>
        <v>0</v>
      </c>
      <c r="C588" s="21">
        <f t="shared" si="51"/>
        <v>0</v>
      </c>
      <c r="D588" s="22" t="e">
        <f>VLOOKUP($A588, TAB_JUROS_U[[Q_DIAS_U_PARC_TIR]:[V_FUT_U_JURS CENARIO]], D$5, FALSE)</f>
        <v>#N/A</v>
      </c>
      <c r="E588" s="22" t="e">
        <f>VLOOKUP($A588,TAB_CORRECAO_U[[Q_DIAS_U_PARC_TIR]:[V_FUT_U_CORC-02]],E$5, FALSE)</f>
        <v>#N/A</v>
      </c>
      <c r="F588" s="22" t="e">
        <f>VLOOKUP($A588,TAB_AMORTIZACAO_U[[Q_DIAS_U_PARC_TIR]:[V_FUT_U_PCPL-02]], F$5, FALSE)</f>
        <v>#N/A</v>
      </c>
      <c r="H588" s="20">
        <f t="shared" si="52"/>
        <v>0</v>
      </c>
      <c r="I588" s="21">
        <f t="shared" si="53"/>
        <v>0</v>
      </c>
      <c r="J588" s="22" t="e">
        <f>VLOOKUP($A588, TAB_JUROS_C[[DIAS_CORRIDOS]:[V_FUT_UTEIS]], J$5, FALSE)</f>
        <v>#N/A</v>
      </c>
      <c r="K588" s="22" t="e">
        <f>VLOOKUP($A588, TAB_CORRECAO_C[[DIAS_CORRIDOS]:[V_FUT_UTEIS]],K$5, FALSE)</f>
        <v>#N/A</v>
      </c>
      <c r="L588" s="22" t="e">
        <f>VLOOKUP($A588, TAB_AMORTIZACAO_C[[DIAS_CORRIDOS]:[V_FUT_UTEIS]], L$5, FALSE)</f>
        <v>#N/A</v>
      </c>
    </row>
    <row r="589" spans="1:12" hidden="1">
      <c r="A589" s="19">
        <f t="shared" si="54"/>
        <v>583</v>
      </c>
      <c r="B589" s="20">
        <f t="shared" si="50"/>
        <v>0</v>
      </c>
      <c r="C589" s="21">
        <f t="shared" si="51"/>
        <v>0</v>
      </c>
      <c r="D589" s="22" t="e">
        <f>VLOOKUP($A589, TAB_JUROS_U[[Q_DIAS_U_PARC_TIR]:[V_FUT_U_JURS CENARIO]], D$5, FALSE)</f>
        <v>#N/A</v>
      </c>
      <c r="E589" s="22" t="e">
        <f>VLOOKUP($A589,TAB_CORRECAO_U[[Q_DIAS_U_PARC_TIR]:[V_FUT_U_CORC-02]],E$5, FALSE)</f>
        <v>#N/A</v>
      </c>
      <c r="F589" s="22" t="e">
        <f>VLOOKUP($A589,TAB_AMORTIZACAO_U[[Q_DIAS_U_PARC_TIR]:[V_FUT_U_PCPL-02]], F$5, FALSE)</f>
        <v>#N/A</v>
      </c>
      <c r="H589" s="20">
        <f t="shared" si="52"/>
        <v>0</v>
      </c>
      <c r="I589" s="21">
        <f t="shared" si="53"/>
        <v>0</v>
      </c>
      <c r="J589" s="22" t="e">
        <f>VLOOKUP($A589, TAB_JUROS_C[[DIAS_CORRIDOS]:[V_FUT_UTEIS]], J$5, FALSE)</f>
        <v>#N/A</v>
      </c>
      <c r="K589" s="22" t="e">
        <f>VLOOKUP($A589, TAB_CORRECAO_C[[DIAS_CORRIDOS]:[V_FUT_UTEIS]],K$5, FALSE)</f>
        <v>#N/A</v>
      </c>
      <c r="L589" s="22" t="e">
        <f>VLOOKUP($A589, TAB_AMORTIZACAO_C[[DIAS_CORRIDOS]:[V_FUT_UTEIS]], L$5, FALSE)</f>
        <v>#N/A</v>
      </c>
    </row>
    <row r="590" spans="1:12" hidden="1">
      <c r="A590" s="19">
        <f t="shared" si="54"/>
        <v>584</v>
      </c>
      <c r="B590" s="20">
        <f t="shared" si="50"/>
        <v>0</v>
      </c>
      <c r="C590" s="21">
        <f t="shared" si="51"/>
        <v>0</v>
      </c>
      <c r="D590" s="22" t="e">
        <f>VLOOKUP($A590, TAB_JUROS_U[[Q_DIAS_U_PARC_TIR]:[V_FUT_U_JURS CENARIO]], D$5, FALSE)</f>
        <v>#N/A</v>
      </c>
      <c r="E590" s="22" t="e">
        <f>VLOOKUP($A590,TAB_CORRECAO_U[[Q_DIAS_U_PARC_TIR]:[V_FUT_U_CORC-02]],E$5, FALSE)</f>
        <v>#N/A</v>
      </c>
      <c r="F590" s="22" t="e">
        <f>VLOOKUP($A590,TAB_AMORTIZACAO_U[[Q_DIAS_U_PARC_TIR]:[V_FUT_U_PCPL-02]], F$5, FALSE)</f>
        <v>#N/A</v>
      </c>
      <c r="H590" s="20">
        <f t="shared" si="52"/>
        <v>0</v>
      </c>
      <c r="I590" s="21">
        <f t="shared" si="53"/>
        <v>0</v>
      </c>
      <c r="J590" s="22" t="e">
        <f>VLOOKUP($A590, TAB_JUROS_C[[DIAS_CORRIDOS]:[V_FUT_UTEIS]], J$5, FALSE)</f>
        <v>#N/A</v>
      </c>
      <c r="K590" s="22" t="e">
        <f>VLOOKUP($A590, TAB_CORRECAO_C[[DIAS_CORRIDOS]:[V_FUT_UTEIS]],K$5, FALSE)</f>
        <v>#N/A</v>
      </c>
      <c r="L590" s="22" t="e">
        <f>VLOOKUP($A590, TAB_AMORTIZACAO_C[[DIAS_CORRIDOS]:[V_FUT_UTEIS]], L$5, FALSE)</f>
        <v>#N/A</v>
      </c>
    </row>
    <row r="591" spans="1:12" hidden="1">
      <c r="A591" s="19">
        <f t="shared" si="54"/>
        <v>585</v>
      </c>
      <c r="B591" s="20">
        <f t="shared" si="50"/>
        <v>0</v>
      </c>
      <c r="C591" s="21">
        <f t="shared" si="51"/>
        <v>0</v>
      </c>
      <c r="D591" s="22" t="e">
        <f>VLOOKUP($A591, TAB_JUROS_U[[Q_DIAS_U_PARC_TIR]:[V_FUT_U_JURS CENARIO]], D$5, FALSE)</f>
        <v>#N/A</v>
      </c>
      <c r="E591" s="22" t="e">
        <f>VLOOKUP($A591,TAB_CORRECAO_U[[Q_DIAS_U_PARC_TIR]:[V_FUT_U_CORC-02]],E$5, FALSE)</f>
        <v>#N/A</v>
      </c>
      <c r="F591" s="22" t="e">
        <f>VLOOKUP($A591,TAB_AMORTIZACAO_U[[Q_DIAS_U_PARC_TIR]:[V_FUT_U_PCPL-02]], F$5, FALSE)</f>
        <v>#N/A</v>
      </c>
      <c r="H591" s="20">
        <f t="shared" si="52"/>
        <v>0</v>
      </c>
      <c r="I591" s="21">
        <f t="shared" si="53"/>
        <v>0</v>
      </c>
      <c r="J591" s="22" t="e">
        <f>VLOOKUP($A591, TAB_JUROS_C[[DIAS_CORRIDOS]:[V_FUT_UTEIS]], J$5, FALSE)</f>
        <v>#N/A</v>
      </c>
      <c r="K591" s="22" t="e">
        <f>VLOOKUP($A591, TAB_CORRECAO_C[[DIAS_CORRIDOS]:[V_FUT_UTEIS]],K$5, FALSE)</f>
        <v>#N/A</v>
      </c>
      <c r="L591" s="22" t="e">
        <f>VLOOKUP($A591, TAB_AMORTIZACAO_C[[DIAS_CORRIDOS]:[V_FUT_UTEIS]], L$5, FALSE)</f>
        <v>#N/A</v>
      </c>
    </row>
    <row r="592" spans="1:12" hidden="1">
      <c r="A592" s="19">
        <f t="shared" si="54"/>
        <v>586</v>
      </c>
      <c r="B592" s="20">
        <f t="shared" si="50"/>
        <v>0</v>
      </c>
      <c r="C592" s="21">
        <f t="shared" si="51"/>
        <v>0</v>
      </c>
      <c r="D592" s="22" t="e">
        <f>VLOOKUP($A592, TAB_JUROS_U[[Q_DIAS_U_PARC_TIR]:[V_FUT_U_JURS CENARIO]], D$5, FALSE)</f>
        <v>#N/A</v>
      </c>
      <c r="E592" s="22" t="e">
        <f>VLOOKUP($A592,TAB_CORRECAO_U[[Q_DIAS_U_PARC_TIR]:[V_FUT_U_CORC-02]],E$5, FALSE)</f>
        <v>#N/A</v>
      </c>
      <c r="F592" s="22" t="e">
        <f>VLOOKUP($A592,TAB_AMORTIZACAO_U[[Q_DIAS_U_PARC_TIR]:[V_FUT_U_PCPL-02]], F$5, FALSE)</f>
        <v>#N/A</v>
      </c>
      <c r="H592" s="20">
        <f t="shared" si="52"/>
        <v>0</v>
      </c>
      <c r="I592" s="21">
        <f t="shared" si="53"/>
        <v>0</v>
      </c>
      <c r="J592" s="22" t="e">
        <f>VLOOKUP($A592, TAB_JUROS_C[[DIAS_CORRIDOS]:[V_FUT_UTEIS]], J$5, FALSE)</f>
        <v>#N/A</v>
      </c>
      <c r="K592" s="22" t="e">
        <f>VLOOKUP($A592, TAB_CORRECAO_C[[DIAS_CORRIDOS]:[V_FUT_UTEIS]],K$5, FALSE)</f>
        <v>#N/A</v>
      </c>
      <c r="L592" s="22" t="e">
        <f>VLOOKUP($A592, TAB_AMORTIZACAO_C[[DIAS_CORRIDOS]:[V_FUT_UTEIS]], L$5, FALSE)</f>
        <v>#N/A</v>
      </c>
    </row>
    <row r="593" spans="1:12" hidden="1">
      <c r="A593" s="19">
        <f t="shared" si="54"/>
        <v>587</v>
      </c>
      <c r="B593" s="20">
        <f t="shared" si="50"/>
        <v>0</v>
      </c>
      <c r="C593" s="21">
        <f t="shared" si="51"/>
        <v>0</v>
      </c>
      <c r="D593" s="22" t="e">
        <f>VLOOKUP($A593, TAB_JUROS_U[[Q_DIAS_U_PARC_TIR]:[V_FUT_U_JURS CENARIO]], D$5, FALSE)</f>
        <v>#N/A</v>
      </c>
      <c r="E593" s="22" t="e">
        <f>VLOOKUP($A593,TAB_CORRECAO_U[[Q_DIAS_U_PARC_TIR]:[V_FUT_U_CORC-02]],E$5, FALSE)</f>
        <v>#N/A</v>
      </c>
      <c r="F593" s="22" t="e">
        <f>VLOOKUP($A593,TAB_AMORTIZACAO_U[[Q_DIAS_U_PARC_TIR]:[V_FUT_U_PCPL-02]], F$5, FALSE)</f>
        <v>#N/A</v>
      </c>
      <c r="H593" s="20">
        <f t="shared" si="52"/>
        <v>0</v>
      </c>
      <c r="I593" s="21">
        <f t="shared" si="53"/>
        <v>0</v>
      </c>
      <c r="J593" s="22" t="e">
        <f>VLOOKUP($A593, TAB_JUROS_C[[DIAS_CORRIDOS]:[V_FUT_UTEIS]], J$5, FALSE)</f>
        <v>#N/A</v>
      </c>
      <c r="K593" s="22" t="e">
        <f>VLOOKUP($A593, TAB_CORRECAO_C[[DIAS_CORRIDOS]:[V_FUT_UTEIS]],K$5, FALSE)</f>
        <v>#N/A</v>
      </c>
      <c r="L593" s="22" t="e">
        <f>VLOOKUP($A593, TAB_AMORTIZACAO_C[[DIAS_CORRIDOS]:[V_FUT_UTEIS]], L$5, FALSE)</f>
        <v>#N/A</v>
      </c>
    </row>
    <row r="594" spans="1:12" hidden="1">
      <c r="A594" s="19">
        <f t="shared" si="54"/>
        <v>588</v>
      </c>
      <c r="B594" s="20">
        <f t="shared" si="50"/>
        <v>0</v>
      </c>
      <c r="C594" s="21">
        <f t="shared" si="51"/>
        <v>0</v>
      </c>
      <c r="D594" s="22" t="e">
        <f>VLOOKUP($A594, TAB_JUROS_U[[Q_DIAS_U_PARC_TIR]:[V_FUT_U_JURS CENARIO]], D$5, FALSE)</f>
        <v>#N/A</v>
      </c>
      <c r="E594" s="22" t="e">
        <f>VLOOKUP($A594,TAB_CORRECAO_U[[Q_DIAS_U_PARC_TIR]:[V_FUT_U_CORC-02]],E$5, FALSE)</f>
        <v>#N/A</v>
      </c>
      <c r="F594" s="22" t="e">
        <f>VLOOKUP($A594,TAB_AMORTIZACAO_U[[Q_DIAS_U_PARC_TIR]:[V_FUT_U_PCPL-02]], F$5, FALSE)</f>
        <v>#N/A</v>
      </c>
      <c r="H594" s="20">
        <f t="shared" si="52"/>
        <v>0</v>
      </c>
      <c r="I594" s="21">
        <f t="shared" si="53"/>
        <v>0</v>
      </c>
      <c r="J594" s="22" t="e">
        <f>VLOOKUP($A594, TAB_JUROS_C[[DIAS_CORRIDOS]:[V_FUT_UTEIS]], J$5, FALSE)</f>
        <v>#N/A</v>
      </c>
      <c r="K594" s="22" t="e">
        <f>VLOOKUP($A594, TAB_CORRECAO_C[[DIAS_CORRIDOS]:[V_FUT_UTEIS]],K$5, FALSE)</f>
        <v>#N/A</v>
      </c>
      <c r="L594" s="22" t="e">
        <f>VLOOKUP($A594, TAB_AMORTIZACAO_C[[DIAS_CORRIDOS]:[V_FUT_UTEIS]], L$5, FALSE)</f>
        <v>#N/A</v>
      </c>
    </row>
    <row r="595" spans="1:12" hidden="1">
      <c r="A595" s="19">
        <f t="shared" si="54"/>
        <v>589</v>
      </c>
      <c r="B595" s="20">
        <f t="shared" si="50"/>
        <v>0</v>
      </c>
      <c r="C595" s="21">
        <f t="shared" si="51"/>
        <v>0</v>
      </c>
      <c r="D595" s="22" t="e">
        <f>VLOOKUP($A595, TAB_JUROS_U[[Q_DIAS_U_PARC_TIR]:[V_FUT_U_JURS CENARIO]], D$5, FALSE)</f>
        <v>#N/A</v>
      </c>
      <c r="E595" s="22" t="e">
        <f>VLOOKUP($A595,TAB_CORRECAO_U[[Q_DIAS_U_PARC_TIR]:[V_FUT_U_CORC-02]],E$5, FALSE)</f>
        <v>#N/A</v>
      </c>
      <c r="F595" s="22" t="e">
        <f>VLOOKUP($A595,TAB_AMORTIZACAO_U[[Q_DIAS_U_PARC_TIR]:[V_FUT_U_PCPL-02]], F$5, FALSE)</f>
        <v>#N/A</v>
      </c>
      <c r="H595" s="20">
        <f t="shared" si="52"/>
        <v>1649.9437333454468</v>
      </c>
      <c r="I595" s="21">
        <f t="shared" si="53"/>
        <v>1649.9437333454468</v>
      </c>
      <c r="J595" s="22">
        <f>VLOOKUP($A595, TAB_JUROS_C[[DIAS_CORRIDOS]:[V_FUT_UTEIS]], J$5, FALSE)</f>
        <v>134.52460364104107</v>
      </c>
      <c r="K595" s="22">
        <f>VLOOKUP($A595, TAB_CORRECAO_C[[DIAS_CORRIDOS]:[V_FUT_UTEIS]],K$5, FALSE)</f>
        <v>847.93101073133823</v>
      </c>
      <c r="L595" s="22">
        <f>VLOOKUP($A595, TAB_AMORTIZACAO_C[[DIAS_CORRIDOS]:[V_FUT_UTEIS]], L$5, FALSE)</f>
        <v>667.48811897306757</v>
      </c>
    </row>
    <row r="596" spans="1:12" hidden="1">
      <c r="A596" s="19">
        <f t="shared" si="54"/>
        <v>590</v>
      </c>
      <c r="B596" s="20">
        <f t="shared" si="50"/>
        <v>0</v>
      </c>
      <c r="C596" s="21">
        <f t="shared" si="51"/>
        <v>0</v>
      </c>
      <c r="D596" s="22" t="e">
        <f>VLOOKUP($A596, TAB_JUROS_U[[Q_DIAS_U_PARC_TIR]:[V_FUT_U_JURS CENARIO]], D$5, FALSE)</f>
        <v>#N/A</v>
      </c>
      <c r="E596" s="22" t="e">
        <f>VLOOKUP($A596,TAB_CORRECAO_U[[Q_DIAS_U_PARC_TIR]:[V_FUT_U_CORC-02]],E$5, FALSE)</f>
        <v>#N/A</v>
      </c>
      <c r="F596" s="22" t="e">
        <f>VLOOKUP($A596,TAB_AMORTIZACAO_U[[Q_DIAS_U_PARC_TIR]:[V_FUT_U_PCPL-02]], F$5, FALSE)</f>
        <v>#N/A</v>
      </c>
      <c r="H596" s="20">
        <f t="shared" si="52"/>
        <v>0</v>
      </c>
      <c r="I596" s="21">
        <f t="shared" si="53"/>
        <v>0</v>
      </c>
      <c r="J596" s="22" t="e">
        <f>VLOOKUP($A596, TAB_JUROS_C[[DIAS_CORRIDOS]:[V_FUT_UTEIS]], J$5, FALSE)</f>
        <v>#N/A</v>
      </c>
      <c r="K596" s="22" t="e">
        <f>VLOOKUP($A596, TAB_CORRECAO_C[[DIAS_CORRIDOS]:[V_FUT_UTEIS]],K$5, FALSE)</f>
        <v>#N/A</v>
      </c>
      <c r="L596" s="22" t="e">
        <f>VLOOKUP($A596, TAB_AMORTIZACAO_C[[DIAS_CORRIDOS]:[V_FUT_UTEIS]], L$5, FALSE)</f>
        <v>#N/A</v>
      </c>
    </row>
    <row r="597" spans="1:12" hidden="1">
      <c r="A597" s="19">
        <f t="shared" si="54"/>
        <v>591</v>
      </c>
      <c r="B597" s="20">
        <f t="shared" si="50"/>
        <v>0</v>
      </c>
      <c r="C597" s="21">
        <f t="shared" si="51"/>
        <v>0</v>
      </c>
      <c r="D597" s="22" t="e">
        <f>VLOOKUP($A597, TAB_JUROS_U[[Q_DIAS_U_PARC_TIR]:[V_FUT_U_JURS CENARIO]], D$5, FALSE)</f>
        <v>#N/A</v>
      </c>
      <c r="E597" s="22" t="e">
        <f>VLOOKUP($A597,TAB_CORRECAO_U[[Q_DIAS_U_PARC_TIR]:[V_FUT_U_CORC-02]],E$5, FALSE)</f>
        <v>#N/A</v>
      </c>
      <c r="F597" s="22" t="e">
        <f>VLOOKUP($A597,TAB_AMORTIZACAO_U[[Q_DIAS_U_PARC_TIR]:[V_FUT_U_PCPL-02]], F$5, FALSE)</f>
        <v>#N/A</v>
      </c>
      <c r="H597" s="20">
        <f t="shared" si="52"/>
        <v>0</v>
      </c>
      <c r="I597" s="21">
        <f t="shared" si="53"/>
        <v>0</v>
      </c>
      <c r="J597" s="22" t="e">
        <f>VLOOKUP($A597, TAB_JUROS_C[[DIAS_CORRIDOS]:[V_FUT_UTEIS]], J$5, FALSE)</f>
        <v>#N/A</v>
      </c>
      <c r="K597" s="22" t="e">
        <f>VLOOKUP($A597, TAB_CORRECAO_C[[DIAS_CORRIDOS]:[V_FUT_UTEIS]],K$5, FALSE)</f>
        <v>#N/A</v>
      </c>
      <c r="L597" s="22" t="e">
        <f>VLOOKUP($A597, TAB_AMORTIZACAO_C[[DIAS_CORRIDOS]:[V_FUT_UTEIS]], L$5, FALSE)</f>
        <v>#N/A</v>
      </c>
    </row>
    <row r="598" spans="1:12" hidden="1">
      <c r="A598" s="19">
        <f t="shared" si="54"/>
        <v>592</v>
      </c>
      <c r="B598" s="20">
        <f t="shared" si="50"/>
        <v>0</v>
      </c>
      <c r="C598" s="21">
        <f t="shared" si="51"/>
        <v>0</v>
      </c>
      <c r="D598" s="22" t="e">
        <f>VLOOKUP($A598, TAB_JUROS_U[[Q_DIAS_U_PARC_TIR]:[V_FUT_U_JURS CENARIO]], D$5, FALSE)</f>
        <v>#N/A</v>
      </c>
      <c r="E598" s="22" t="e">
        <f>VLOOKUP($A598,TAB_CORRECAO_U[[Q_DIAS_U_PARC_TIR]:[V_FUT_U_CORC-02]],E$5, FALSE)</f>
        <v>#N/A</v>
      </c>
      <c r="F598" s="22" t="e">
        <f>VLOOKUP($A598,TAB_AMORTIZACAO_U[[Q_DIAS_U_PARC_TIR]:[V_FUT_U_PCPL-02]], F$5, FALSE)</f>
        <v>#N/A</v>
      </c>
      <c r="H598" s="20">
        <f t="shared" si="52"/>
        <v>0</v>
      </c>
      <c r="I598" s="21">
        <f t="shared" si="53"/>
        <v>0</v>
      </c>
      <c r="J598" s="22" t="e">
        <f>VLOOKUP($A598, TAB_JUROS_C[[DIAS_CORRIDOS]:[V_FUT_UTEIS]], J$5, FALSE)</f>
        <v>#N/A</v>
      </c>
      <c r="K598" s="22" t="e">
        <f>VLOOKUP($A598, TAB_CORRECAO_C[[DIAS_CORRIDOS]:[V_FUT_UTEIS]],K$5, FALSE)</f>
        <v>#N/A</v>
      </c>
      <c r="L598" s="22" t="e">
        <f>VLOOKUP($A598, TAB_AMORTIZACAO_C[[DIAS_CORRIDOS]:[V_FUT_UTEIS]], L$5, FALSE)</f>
        <v>#N/A</v>
      </c>
    </row>
    <row r="599" spans="1:12" hidden="1">
      <c r="A599" s="19">
        <f t="shared" si="54"/>
        <v>593</v>
      </c>
      <c r="B599" s="20">
        <f t="shared" si="50"/>
        <v>0</v>
      </c>
      <c r="C599" s="21">
        <f t="shared" si="51"/>
        <v>0</v>
      </c>
      <c r="D599" s="22" t="e">
        <f>VLOOKUP($A599, TAB_JUROS_U[[Q_DIAS_U_PARC_TIR]:[V_FUT_U_JURS CENARIO]], D$5, FALSE)</f>
        <v>#N/A</v>
      </c>
      <c r="E599" s="22" t="e">
        <f>VLOOKUP($A599,TAB_CORRECAO_U[[Q_DIAS_U_PARC_TIR]:[V_FUT_U_CORC-02]],E$5, FALSE)</f>
        <v>#N/A</v>
      </c>
      <c r="F599" s="22" t="e">
        <f>VLOOKUP($A599,TAB_AMORTIZACAO_U[[Q_DIAS_U_PARC_TIR]:[V_FUT_U_PCPL-02]], F$5, FALSE)</f>
        <v>#N/A</v>
      </c>
      <c r="H599" s="20">
        <f t="shared" si="52"/>
        <v>0</v>
      </c>
      <c r="I599" s="21">
        <f t="shared" si="53"/>
        <v>0</v>
      </c>
      <c r="J599" s="22" t="e">
        <f>VLOOKUP($A599, TAB_JUROS_C[[DIAS_CORRIDOS]:[V_FUT_UTEIS]], J$5, FALSE)</f>
        <v>#N/A</v>
      </c>
      <c r="K599" s="22" t="e">
        <f>VLOOKUP($A599, TAB_CORRECAO_C[[DIAS_CORRIDOS]:[V_FUT_UTEIS]],K$5, FALSE)</f>
        <v>#N/A</v>
      </c>
      <c r="L599" s="22" t="e">
        <f>VLOOKUP($A599, TAB_AMORTIZACAO_C[[DIAS_CORRIDOS]:[V_FUT_UTEIS]], L$5, FALSE)</f>
        <v>#N/A</v>
      </c>
    </row>
    <row r="600" spans="1:12" hidden="1">
      <c r="A600" s="19">
        <f t="shared" si="54"/>
        <v>594</v>
      </c>
      <c r="B600" s="20">
        <f t="shared" si="50"/>
        <v>0</v>
      </c>
      <c r="C600" s="21">
        <f t="shared" si="51"/>
        <v>0</v>
      </c>
      <c r="D600" s="22" t="e">
        <f>VLOOKUP($A600, TAB_JUROS_U[[Q_DIAS_U_PARC_TIR]:[V_FUT_U_JURS CENARIO]], D$5, FALSE)</f>
        <v>#N/A</v>
      </c>
      <c r="E600" s="22" t="e">
        <f>VLOOKUP($A600,TAB_CORRECAO_U[[Q_DIAS_U_PARC_TIR]:[V_FUT_U_CORC-02]],E$5, FALSE)</f>
        <v>#N/A</v>
      </c>
      <c r="F600" s="22" t="e">
        <f>VLOOKUP($A600,TAB_AMORTIZACAO_U[[Q_DIAS_U_PARC_TIR]:[V_FUT_U_PCPL-02]], F$5, FALSE)</f>
        <v>#N/A</v>
      </c>
      <c r="H600" s="20">
        <f t="shared" si="52"/>
        <v>0</v>
      </c>
      <c r="I600" s="21">
        <f t="shared" si="53"/>
        <v>0</v>
      </c>
      <c r="J600" s="22" t="e">
        <f>VLOOKUP($A600, TAB_JUROS_C[[DIAS_CORRIDOS]:[V_FUT_UTEIS]], J$5, FALSE)</f>
        <v>#N/A</v>
      </c>
      <c r="K600" s="22" t="e">
        <f>VLOOKUP($A600, TAB_CORRECAO_C[[DIAS_CORRIDOS]:[V_FUT_UTEIS]],K$5, FALSE)</f>
        <v>#N/A</v>
      </c>
      <c r="L600" s="22" t="e">
        <f>VLOOKUP($A600, TAB_AMORTIZACAO_C[[DIAS_CORRIDOS]:[V_FUT_UTEIS]], L$5, FALSE)</f>
        <v>#N/A</v>
      </c>
    </row>
    <row r="601" spans="1:12">
      <c r="A601" s="19">
        <f t="shared" si="54"/>
        <v>595</v>
      </c>
      <c r="B601" s="20">
        <f t="shared" si="50"/>
        <v>1391.5074543185242</v>
      </c>
      <c r="C601" s="21">
        <f t="shared" si="51"/>
        <v>1391.5074543185242</v>
      </c>
      <c r="D601" s="22">
        <f>VLOOKUP($A601, TAB_JUROS_U[[Q_DIAS_U_PARC_TIR]:[V_FUT_U_JURS CENARIO]], D$5, FALSE)</f>
        <v>108.53576997443497</v>
      </c>
      <c r="E601" s="22">
        <f>VLOOKUP($A601,TAB_CORRECAO_U[[Q_DIAS_U_PARC_TIR]:[V_FUT_U_CORC-02]],E$5, FALSE)</f>
        <v>691.99785486243252</v>
      </c>
      <c r="F601" s="22">
        <f>VLOOKUP($A601,TAB_AMORTIZACAO_U[[Q_DIAS_U_PARC_TIR]:[V_FUT_U_PCPL-02]], F$5, FALSE)</f>
        <v>590.97382948165682</v>
      </c>
      <c r="H601" s="20">
        <f t="shared" si="52"/>
        <v>0</v>
      </c>
      <c r="I601" s="21">
        <f t="shared" si="53"/>
        <v>0</v>
      </c>
      <c r="J601" s="22" t="e">
        <f>VLOOKUP($A601, TAB_JUROS_C[[DIAS_CORRIDOS]:[V_FUT_UTEIS]], J$5, FALSE)</f>
        <v>#N/A</v>
      </c>
      <c r="K601" s="22" t="e">
        <f>VLOOKUP($A601, TAB_CORRECAO_C[[DIAS_CORRIDOS]:[V_FUT_UTEIS]],K$5, FALSE)</f>
        <v>#N/A</v>
      </c>
      <c r="L601" s="22" t="e">
        <f>VLOOKUP($A601, TAB_AMORTIZACAO_C[[DIAS_CORRIDOS]:[V_FUT_UTEIS]], L$5, FALSE)</f>
        <v>#N/A</v>
      </c>
    </row>
    <row r="602" spans="1:12" hidden="1">
      <c r="A602" s="19">
        <f t="shared" si="54"/>
        <v>596</v>
      </c>
      <c r="B602" s="20">
        <f t="shared" si="50"/>
        <v>0</v>
      </c>
      <c r="C602" s="21">
        <f t="shared" si="51"/>
        <v>0</v>
      </c>
      <c r="D602" s="22" t="e">
        <f>VLOOKUP($A602, TAB_JUROS_U[[Q_DIAS_U_PARC_TIR]:[V_FUT_U_JURS CENARIO]], D$5, FALSE)</f>
        <v>#N/A</v>
      </c>
      <c r="E602" s="22" t="e">
        <f>VLOOKUP($A602,TAB_CORRECAO_U[[Q_DIAS_U_PARC_TIR]:[V_FUT_U_CORC-02]],E$5, FALSE)</f>
        <v>#N/A</v>
      </c>
      <c r="F602" s="22" t="e">
        <f>VLOOKUP($A602,TAB_AMORTIZACAO_U[[Q_DIAS_U_PARC_TIR]:[V_FUT_U_PCPL-02]], F$5, FALSE)</f>
        <v>#N/A</v>
      </c>
      <c r="H602" s="20">
        <f t="shared" si="52"/>
        <v>0</v>
      </c>
      <c r="I602" s="21">
        <f t="shared" si="53"/>
        <v>0</v>
      </c>
      <c r="J602" s="22" t="e">
        <f>VLOOKUP($A602, TAB_JUROS_C[[DIAS_CORRIDOS]:[V_FUT_UTEIS]], J$5, FALSE)</f>
        <v>#N/A</v>
      </c>
      <c r="K602" s="22" t="e">
        <f>VLOOKUP($A602, TAB_CORRECAO_C[[DIAS_CORRIDOS]:[V_FUT_UTEIS]],K$5, FALSE)</f>
        <v>#N/A</v>
      </c>
      <c r="L602" s="22" t="e">
        <f>VLOOKUP($A602, TAB_AMORTIZACAO_C[[DIAS_CORRIDOS]:[V_FUT_UTEIS]], L$5, FALSE)</f>
        <v>#N/A</v>
      </c>
    </row>
    <row r="603" spans="1:12" hidden="1">
      <c r="A603" s="19">
        <f t="shared" si="54"/>
        <v>597</v>
      </c>
      <c r="B603" s="20">
        <f t="shared" si="50"/>
        <v>0</v>
      </c>
      <c r="C603" s="21">
        <f t="shared" si="51"/>
        <v>0</v>
      </c>
      <c r="D603" s="22" t="e">
        <f>VLOOKUP($A603, TAB_JUROS_U[[Q_DIAS_U_PARC_TIR]:[V_FUT_U_JURS CENARIO]], D$5, FALSE)</f>
        <v>#N/A</v>
      </c>
      <c r="E603" s="22" t="e">
        <f>VLOOKUP($A603,TAB_CORRECAO_U[[Q_DIAS_U_PARC_TIR]:[V_FUT_U_CORC-02]],E$5, FALSE)</f>
        <v>#N/A</v>
      </c>
      <c r="F603" s="22" t="e">
        <f>VLOOKUP($A603,TAB_AMORTIZACAO_U[[Q_DIAS_U_PARC_TIR]:[V_FUT_U_PCPL-02]], F$5, FALSE)</f>
        <v>#N/A</v>
      </c>
      <c r="H603" s="20">
        <f t="shared" si="52"/>
        <v>0</v>
      </c>
      <c r="I603" s="21">
        <f t="shared" si="53"/>
        <v>0</v>
      </c>
      <c r="J603" s="22" t="e">
        <f>VLOOKUP($A603, TAB_JUROS_C[[DIAS_CORRIDOS]:[V_FUT_UTEIS]], J$5, FALSE)</f>
        <v>#N/A</v>
      </c>
      <c r="K603" s="22" t="e">
        <f>VLOOKUP($A603, TAB_CORRECAO_C[[DIAS_CORRIDOS]:[V_FUT_UTEIS]],K$5, FALSE)</f>
        <v>#N/A</v>
      </c>
      <c r="L603" s="22" t="e">
        <f>VLOOKUP($A603, TAB_AMORTIZACAO_C[[DIAS_CORRIDOS]:[V_FUT_UTEIS]], L$5, FALSE)</f>
        <v>#N/A</v>
      </c>
    </row>
    <row r="604" spans="1:12" hidden="1">
      <c r="A604" s="19">
        <f t="shared" si="54"/>
        <v>598</v>
      </c>
      <c r="B604" s="20">
        <f t="shared" si="50"/>
        <v>0</v>
      </c>
      <c r="C604" s="21">
        <f t="shared" si="51"/>
        <v>0</v>
      </c>
      <c r="D604" s="22" t="e">
        <f>VLOOKUP($A604, TAB_JUROS_U[[Q_DIAS_U_PARC_TIR]:[V_FUT_U_JURS CENARIO]], D$5, FALSE)</f>
        <v>#N/A</v>
      </c>
      <c r="E604" s="22" t="e">
        <f>VLOOKUP($A604,TAB_CORRECAO_U[[Q_DIAS_U_PARC_TIR]:[V_FUT_U_CORC-02]],E$5, FALSE)</f>
        <v>#N/A</v>
      </c>
      <c r="F604" s="22" t="e">
        <f>VLOOKUP($A604,TAB_AMORTIZACAO_U[[Q_DIAS_U_PARC_TIR]:[V_FUT_U_PCPL-02]], F$5, FALSE)</f>
        <v>#N/A</v>
      </c>
      <c r="H604" s="20">
        <f t="shared" si="52"/>
        <v>0</v>
      </c>
      <c r="I604" s="21">
        <f t="shared" si="53"/>
        <v>0</v>
      </c>
      <c r="J604" s="22" t="e">
        <f>VLOOKUP($A604, TAB_JUROS_C[[DIAS_CORRIDOS]:[V_FUT_UTEIS]], J$5, FALSE)</f>
        <v>#N/A</v>
      </c>
      <c r="K604" s="22" t="e">
        <f>VLOOKUP($A604, TAB_CORRECAO_C[[DIAS_CORRIDOS]:[V_FUT_UTEIS]],K$5, FALSE)</f>
        <v>#N/A</v>
      </c>
      <c r="L604" s="22" t="e">
        <f>VLOOKUP($A604, TAB_AMORTIZACAO_C[[DIAS_CORRIDOS]:[V_FUT_UTEIS]], L$5, FALSE)</f>
        <v>#N/A</v>
      </c>
    </row>
    <row r="605" spans="1:12" hidden="1">
      <c r="A605" s="19">
        <f t="shared" si="54"/>
        <v>599</v>
      </c>
      <c r="B605" s="20">
        <f t="shared" si="50"/>
        <v>0</v>
      </c>
      <c r="C605" s="21">
        <f t="shared" si="51"/>
        <v>0</v>
      </c>
      <c r="D605" s="22" t="e">
        <f>VLOOKUP($A605, TAB_JUROS_U[[Q_DIAS_U_PARC_TIR]:[V_FUT_U_JURS CENARIO]], D$5, FALSE)</f>
        <v>#N/A</v>
      </c>
      <c r="E605" s="22" t="e">
        <f>VLOOKUP($A605,TAB_CORRECAO_U[[Q_DIAS_U_PARC_TIR]:[V_FUT_U_CORC-02]],E$5, FALSE)</f>
        <v>#N/A</v>
      </c>
      <c r="F605" s="22" t="e">
        <f>VLOOKUP($A605,TAB_AMORTIZACAO_U[[Q_DIAS_U_PARC_TIR]:[V_FUT_U_PCPL-02]], F$5, FALSE)</f>
        <v>#N/A</v>
      </c>
      <c r="H605" s="20">
        <f t="shared" si="52"/>
        <v>0</v>
      </c>
      <c r="I605" s="21">
        <f t="shared" si="53"/>
        <v>0</v>
      </c>
      <c r="J605" s="22" t="e">
        <f>VLOOKUP($A605, TAB_JUROS_C[[DIAS_CORRIDOS]:[V_FUT_UTEIS]], J$5, FALSE)</f>
        <v>#N/A</v>
      </c>
      <c r="K605" s="22" t="e">
        <f>VLOOKUP($A605, TAB_CORRECAO_C[[DIAS_CORRIDOS]:[V_FUT_UTEIS]],K$5, FALSE)</f>
        <v>#N/A</v>
      </c>
      <c r="L605" s="22" t="e">
        <f>VLOOKUP($A605, TAB_AMORTIZACAO_C[[DIAS_CORRIDOS]:[V_FUT_UTEIS]], L$5, FALSE)</f>
        <v>#N/A</v>
      </c>
    </row>
    <row r="606" spans="1:12" hidden="1">
      <c r="A606" s="19">
        <f t="shared" si="54"/>
        <v>600</v>
      </c>
      <c r="B606" s="20">
        <f t="shared" si="50"/>
        <v>0</v>
      </c>
      <c r="C606" s="21">
        <f t="shared" si="51"/>
        <v>0</v>
      </c>
      <c r="D606" s="22" t="e">
        <f>VLOOKUP($A606, TAB_JUROS_U[[Q_DIAS_U_PARC_TIR]:[V_FUT_U_JURS CENARIO]], D$5, FALSE)</f>
        <v>#N/A</v>
      </c>
      <c r="E606" s="22" t="e">
        <f>VLOOKUP($A606,TAB_CORRECAO_U[[Q_DIAS_U_PARC_TIR]:[V_FUT_U_CORC-02]],E$5, FALSE)</f>
        <v>#N/A</v>
      </c>
      <c r="F606" s="22" t="e">
        <f>VLOOKUP($A606,TAB_AMORTIZACAO_U[[Q_DIAS_U_PARC_TIR]:[V_FUT_U_PCPL-02]], F$5, FALSE)</f>
        <v>#N/A</v>
      </c>
      <c r="H606" s="20">
        <f t="shared" si="52"/>
        <v>0</v>
      </c>
      <c r="I606" s="21">
        <f t="shared" si="53"/>
        <v>0</v>
      </c>
      <c r="J606" s="22" t="e">
        <f>VLOOKUP($A606, TAB_JUROS_C[[DIAS_CORRIDOS]:[V_FUT_UTEIS]], J$5, FALSE)</f>
        <v>#N/A</v>
      </c>
      <c r="K606" s="22" t="e">
        <f>VLOOKUP($A606, TAB_CORRECAO_C[[DIAS_CORRIDOS]:[V_FUT_UTEIS]],K$5, FALSE)</f>
        <v>#N/A</v>
      </c>
      <c r="L606" s="22" t="e">
        <f>VLOOKUP($A606, TAB_AMORTIZACAO_C[[DIAS_CORRIDOS]:[V_FUT_UTEIS]], L$5, FALSE)</f>
        <v>#N/A</v>
      </c>
    </row>
    <row r="607" spans="1:12" hidden="1">
      <c r="A607" s="19">
        <f t="shared" si="54"/>
        <v>601</v>
      </c>
      <c r="B607" s="20">
        <f t="shared" si="50"/>
        <v>0</v>
      </c>
      <c r="C607" s="21">
        <f t="shared" si="51"/>
        <v>0</v>
      </c>
      <c r="D607" s="22" t="e">
        <f>VLOOKUP($A607, TAB_JUROS_U[[Q_DIAS_U_PARC_TIR]:[V_FUT_U_JURS CENARIO]], D$5, FALSE)</f>
        <v>#N/A</v>
      </c>
      <c r="E607" s="22" t="e">
        <f>VLOOKUP($A607,TAB_CORRECAO_U[[Q_DIAS_U_PARC_TIR]:[V_FUT_U_CORC-02]],E$5, FALSE)</f>
        <v>#N/A</v>
      </c>
      <c r="F607" s="22" t="e">
        <f>VLOOKUP($A607,TAB_AMORTIZACAO_U[[Q_DIAS_U_PARC_TIR]:[V_FUT_U_PCPL-02]], F$5, FALSE)</f>
        <v>#N/A</v>
      </c>
      <c r="H607" s="20">
        <f t="shared" si="52"/>
        <v>0</v>
      </c>
      <c r="I607" s="21">
        <f t="shared" si="53"/>
        <v>0</v>
      </c>
      <c r="J607" s="22" t="e">
        <f>VLOOKUP($A607, TAB_JUROS_C[[DIAS_CORRIDOS]:[V_FUT_UTEIS]], J$5, FALSE)</f>
        <v>#N/A</v>
      </c>
      <c r="K607" s="22" t="e">
        <f>VLOOKUP($A607, TAB_CORRECAO_C[[DIAS_CORRIDOS]:[V_FUT_UTEIS]],K$5, FALSE)</f>
        <v>#N/A</v>
      </c>
      <c r="L607" s="22" t="e">
        <f>VLOOKUP($A607, TAB_AMORTIZACAO_C[[DIAS_CORRIDOS]:[V_FUT_UTEIS]], L$5, FALSE)</f>
        <v>#N/A</v>
      </c>
    </row>
    <row r="608" spans="1:12" hidden="1">
      <c r="A608" s="19">
        <f t="shared" si="54"/>
        <v>602</v>
      </c>
      <c r="B608" s="20">
        <f t="shared" si="50"/>
        <v>0</v>
      </c>
      <c r="C608" s="21">
        <f t="shared" si="51"/>
        <v>0</v>
      </c>
      <c r="D608" s="22" t="e">
        <f>VLOOKUP($A608, TAB_JUROS_U[[Q_DIAS_U_PARC_TIR]:[V_FUT_U_JURS CENARIO]], D$5, FALSE)</f>
        <v>#N/A</v>
      </c>
      <c r="E608" s="22" t="e">
        <f>VLOOKUP($A608,TAB_CORRECAO_U[[Q_DIAS_U_PARC_TIR]:[V_FUT_U_CORC-02]],E$5, FALSE)</f>
        <v>#N/A</v>
      </c>
      <c r="F608" s="22" t="e">
        <f>VLOOKUP($A608,TAB_AMORTIZACAO_U[[Q_DIAS_U_PARC_TIR]:[V_FUT_U_PCPL-02]], F$5, FALSE)</f>
        <v>#N/A</v>
      </c>
      <c r="H608" s="20">
        <f t="shared" si="52"/>
        <v>0</v>
      </c>
      <c r="I608" s="21">
        <f t="shared" si="53"/>
        <v>0</v>
      </c>
      <c r="J608" s="22" t="e">
        <f>VLOOKUP($A608, TAB_JUROS_C[[DIAS_CORRIDOS]:[V_FUT_UTEIS]], J$5, FALSE)</f>
        <v>#N/A</v>
      </c>
      <c r="K608" s="22" t="e">
        <f>VLOOKUP($A608, TAB_CORRECAO_C[[DIAS_CORRIDOS]:[V_FUT_UTEIS]],K$5, FALSE)</f>
        <v>#N/A</v>
      </c>
      <c r="L608" s="22" t="e">
        <f>VLOOKUP($A608, TAB_AMORTIZACAO_C[[DIAS_CORRIDOS]:[V_FUT_UTEIS]], L$5, FALSE)</f>
        <v>#N/A</v>
      </c>
    </row>
    <row r="609" spans="1:12" hidden="1">
      <c r="A609" s="19">
        <f t="shared" si="54"/>
        <v>603</v>
      </c>
      <c r="B609" s="20">
        <f t="shared" si="50"/>
        <v>0</v>
      </c>
      <c r="C609" s="21">
        <f t="shared" si="51"/>
        <v>0</v>
      </c>
      <c r="D609" s="22" t="e">
        <f>VLOOKUP($A609, TAB_JUROS_U[[Q_DIAS_U_PARC_TIR]:[V_FUT_U_JURS CENARIO]], D$5, FALSE)</f>
        <v>#N/A</v>
      </c>
      <c r="E609" s="22" t="e">
        <f>VLOOKUP($A609,TAB_CORRECAO_U[[Q_DIAS_U_PARC_TIR]:[V_FUT_U_CORC-02]],E$5, FALSE)</f>
        <v>#N/A</v>
      </c>
      <c r="F609" s="22" t="e">
        <f>VLOOKUP($A609,TAB_AMORTIZACAO_U[[Q_DIAS_U_PARC_TIR]:[V_FUT_U_PCPL-02]], F$5, FALSE)</f>
        <v>#N/A</v>
      </c>
      <c r="H609" s="20">
        <f t="shared" si="52"/>
        <v>0</v>
      </c>
      <c r="I609" s="21">
        <f t="shared" si="53"/>
        <v>0</v>
      </c>
      <c r="J609" s="22" t="e">
        <f>VLOOKUP($A609, TAB_JUROS_C[[DIAS_CORRIDOS]:[V_FUT_UTEIS]], J$5, FALSE)</f>
        <v>#N/A</v>
      </c>
      <c r="K609" s="22" t="e">
        <f>VLOOKUP($A609, TAB_CORRECAO_C[[DIAS_CORRIDOS]:[V_FUT_UTEIS]],K$5, FALSE)</f>
        <v>#N/A</v>
      </c>
      <c r="L609" s="22" t="e">
        <f>VLOOKUP($A609, TAB_AMORTIZACAO_C[[DIAS_CORRIDOS]:[V_FUT_UTEIS]], L$5, FALSE)</f>
        <v>#N/A</v>
      </c>
    </row>
    <row r="610" spans="1:12" hidden="1">
      <c r="A610" s="19">
        <f t="shared" si="54"/>
        <v>604</v>
      </c>
      <c r="B610" s="20">
        <f t="shared" si="50"/>
        <v>0</v>
      </c>
      <c r="C610" s="21">
        <f t="shared" si="51"/>
        <v>0</v>
      </c>
      <c r="D610" s="22" t="e">
        <f>VLOOKUP($A610, TAB_JUROS_U[[Q_DIAS_U_PARC_TIR]:[V_FUT_U_JURS CENARIO]], D$5, FALSE)</f>
        <v>#N/A</v>
      </c>
      <c r="E610" s="22" t="e">
        <f>VLOOKUP($A610,TAB_CORRECAO_U[[Q_DIAS_U_PARC_TIR]:[V_FUT_U_CORC-02]],E$5, FALSE)</f>
        <v>#N/A</v>
      </c>
      <c r="F610" s="22" t="e">
        <f>VLOOKUP($A610,TAB_AMORTIZACAO_U[[Q_DIAS_U_PARC_TIR]:[V_FUT_U_PCPL-02]], F$5, FALSE)</f>
        <v>#N/A</v>
      </c>
      <c r="H610" s="20">
        <f t="shared" si="52"/>
        <v>0</v>
      </c>
      <c r="I610" s="21">
        <f t="shared" si="53"/>
        <v>0</v>
      </c>
      <c r="J610" s="22" t="e">
        <f>VLOOKUP($A610, TAB_JUROS_C[[DIAS_CORRIDOS]:[V_FUT_UTEIS]], J$5, FALSE)</f>
        <v>#N/A</v>
      </c>
      <c r="K610" s="22" t="e">
        <f>VLOOKUP($A610, TAB_CORRECAO_C[[DIAS_CORRIDOS]:[V_FUT_UTEIS]],K$5, FALSE)</f>
        <v>#N/A</v>
      </c>
      <c r="L610" s="22" t="e">
        <f>VLOOKUP($A610, TAB_AMORTIZACAO_C[[DIAS_CORRIDOS]:[V_FUT_UTEIS]], L$5, FALSE)</f>
        <v>#N/A</v>
      </c>
    </row>
    <row r="611" spans="1:12" hidden="1">
      <c r="A611" s="19">
        <f t="shared" si="54"/>
        <v>605</v>
      </c>
      <c r="B611" s="20">
        <f t="shared" si="50"/>
        <v>0</v>
      </c>
      <c r="C611" s="21">
        <f t="shared" si="51"/>
        <v>0</v>
      </c>
      <c r="D611" s="22" t="e">
        <f>VLOOKUP($A611, TAB_JUROS_U[[Q_DIAS_U_PARC_TIR]:[V_FUT_U_JURS CENARIO]], D$5, FALSE)</f>
        <v>#N/A</v>
      </c>
      <c r="E611" s="22" t="e">
        <f>VLOOKUP($A611,TAB_CORRECAO_U[[Q_DIAS_U_PARC_TIR]:[V_FUT_U_CORC-02]],E$5, FALSE)</f>
        <v>#N/A</v>
      </c>
      <c r="F611" s="22" t="e">
        <f>VLOOKUP($A611,TAB_AMORTIZACAO_U[[Q_DIAS_U_PARC_TIR]:[V_FUT_U_PCPL-02]], F$5, FALSE)</f>
        <v>#N/A</v>
      </c>
      <c r="H611" s="20">
        <f t="shared" si="52"/>
        <v>0</v>
      </c>
      <c r="I611" s="21">
        <f t="shared" si="53"/>
        <v>0</v>
      </c>
      <c r="J611" s="22" t="e">
        <f>VLOOKUP($A611, TAB_JUROS_C[[DIAS_CORRIDOS]:[V_FUT_UTEIS]], J$5, FALSE)</f>
        <v>#N/A</v>
      </c>
      <c r="K611" s="22" t="e">
        <f>VLOOKUP($A611, TAB_CORRECAO_C[[DIAS_CORRIDOS]:[V_FUT_UTEIS]],K$5, FALSE)</f>
        <v>#N/A</v>
      </c>
      <c r="L611" s="22" t="e">
        <f>VLOOKUP($A611, TAB_AMORTIZACAO_C[[DIAS_CORRIDOS]:[V_FUT_UTEIS]], L$5, FALSE)</f>
        <v>#N/A</v>
      </c>
    </row>
    <row r="612" spans="1:12" hidden="1">
      <c r="A612" s="19">
        <f t="shared" si="54"/>
        <v>606</v>
      </c>
      <c r="B612" s="20">
        <f t="shared" si="50"/>
        <v>0</v>
      </c>
      <c r="C612" s="21">
        <f t="shared" si="51"/>
        <v>0</v>
      </c>
      <c r="D612" s="22" t="e">
        <f>VLOOKUP($A612, TAB_JUROS_U[[Q_DIAS_U_PARC_TIR]:[V_FUT_U_JURS CENARIO]], D$5, FALSE)</f>
        <v>#N/A</v>
      </c>
      <c r="E612" s="22" t="e">
        <f>VLOOKUP($A612,TAB_CORRECAO_U[[Q_DIAS_U_PARC_TIR]:[V_FUT_U_CORC-02]],E$5, FALSE)</f>
        <v>#N/A</v>
      </c>
      <c r="F612" s="22" t="e">
        <f>VLOOKUP($A612,TAB_AMORTIZACAO_U[[Q_DIAS_U_PARC_TIR]:[V_FUT_U_PCPL-02]], F$5, FALSE)</f>
        <v>#N/A</v>
      </c>
      <c r="H612" s="20">
        <f t="shared" si="52"/>
        <v>0</v>
      </c>
      <c r="I612" s="21">
        <f t="shared" si="53"/>
        <v>0</v>
      </c>
      <c r="J612" s="22" t="e">
        <f>VLOOKUP($A612, TAB_JUROS_C[[DIAS_CORRIDOS]:[V_FUT_UTEIS]], J$5, FALSE)</f>
        <v>#N/A</v>
      </c>
      <c r="K612" s="22" t="e">
        <f>VLOOKUP($A612, TAB_CORRECAO_C[[DIAS_CORRIDOS]:[V_FUT_UTEIS]],K$5, FALSE)</f>
        <v>#N/A</v>
      </c>
      <c r="L612" s="22" t="e">
        <f>VLOOKUP($A612, TAB_AMORTIZACAO_C[[DIAS_CORRIDOS]:[V_FUT_UTEIS]], L$5, FALSE)</f>
        <v>#N/A</v>
      </c>
    </row>
    <row r="613" spans="1:12" hidden="1">
      <c r="A613" s="19">
        <f t="shared" si="54"/>
        <v>607</v>
      </c>
      <c r="B613" s="20">
        <f t="shared" si="50"/>
        <v>0</v>
      </c>
      <c r="C613" s="21">
        <f t="shared" si="51"/>
        <v>0</v>
      </c>
      <c r="D613" s="22" t="e">
        <f>VLOOKUP($A613, TAB_JUROS_U[[Q_DIAS_U_PARC_TIR]:[V_FUT_U_JURS CENARIO]], D$5, FALSE)</f>
        <v>#N/A</v>
      </c>
      <c r="E613" s="22" t="e">
        <f>VLOOKUP($A613,TAB_CORRECAO_U[[Q_DIAS_U_PARC_TIR]:[V_FUT_U_CORC-02]],E$5, FALSE)</f>
        <v>#N/A</v>
      </c>
      <c r="F613" s="22" t="e">
        <f>VLOOKUP($A613,TAB_AMORTIZACAO_U[[Q_DIAS_U_PARC_TIR]:[V_FUT_U_PCPL-02]], F$5, FALSE)</f>
        <v>#N/A</v>
      </c>
      <c r="H613" s="20">
        <f t="shared" si="52"/>
        <v>0</v>
      </c>
      <c r="I613" s="21">
        <f t="shared" si="53"/>
        <v>0</v>
      </c>
      <c r="J613" s="22" t="e">
        <f>VLOOKUP($A613, TAB_JUROS_C[[DIAS_CORRIDOS]:[V_FUT_UTEIS]], J$5, FALSE)</f>
        <v>#N/A</v>
      </c>
      <c r="K613" s="22" t="e">
        <f>VLOOKUP($A613, TAB_CORRECAO_C[[DIAS_CORRIDOS]:[V_FUT_UTEIS]],K$5, FALSE)</f>
        <v>#N/A</v>
      </c>
      <c r="L613" s="22" t="e">
        <f>VLOOKUP($A613, TAB_AMORTIZACAO_C[[DIAS_CORRIDOS]:[V_FUT_UTEIS]], L$5, FALSE)</f>
        <v>#N/A</v>
      </c>
    </row>
    <row r="614" spans="1:12" hidden="1">
      <c r="A614" s="19">
        <f t="shared" si="54"/>
        <v>608</v>
      </c>
      <c r="B614" s="20">
        <f t="shared" si="50"/>
        <v>0</v>
      </c>
      <c r="C614" s="21">
        <f t="shared" si="51"/>
        <v>0</v>
      </c>
      <c r="D614" s="22" t="e">
        <f>VLOOKUP($A614, TAB_JUROS_U[[Q_DIAS_U_PARC_TIR]:[V_FUT_U_JURS CENARIO]], D$5, FALSE)</f>
        <v>#N/A</v>
      </c>
      <c r="E614" s="22" t="e">
        <f>VLOOKUP($A614,TAB_CORRECAO_U[[Q_DIAS_U_PARC_TIR]:[V_FUT_U_CORC-02]],E$5, FALSE)</f>
        <v>#N/A</v>
      </c>
      <c r="F614" s="22" t="e">
        <f>VLOOKUP($A614,TAB_AMORTIZACAO_U[[Q_DIAS_U_PARC_TIR]:[V_FUT_U_PCPL-02]], F$5, FALSE)</f>
        <v>#N/A</v>
      </c>
      <c r="H614" s="20">
        <f t="shared" si="52"/>
        <v>0</v>
      </c>
      <c r="I614" s="21">
        <f t="shared" si="53"/>
        <v>0</v>
      </c>
      <c r="J614" s="22" t="e">
        <f>VLOOKUP($A614, TAB_JUROS_C[[DIAS_CORRIDOS]:[V_FUT_UTEIS]], J$5, FALSE)</f>
        <v>#N/A</v>
      </c>
      <c r="K614" s="22" t="e">
        <f>VLOOKUP($A614, TAB_CORRECAO_C[[DIAS_CORRIDOS]:[V_FUT_UTEIS]],K$5, FALSE)</f>
        <v>#N/A</v>
      </c>
      <c r="L614" s="22" t="e">
        <f>VLOOKUP($A614, TAB_AMORTIZACAO_C[[DIAS_CORRIDOS]:[V_FUT_UTEIS]], L$5, FALSE)</f>
        <v>#N/A</v>
      </c>
    </row>
    <row r="615" spans="1:12" hidden="1">
      <c r="A615" s="19">
        <f t="shared" si="54"/>
        <v>609</v>
      </c>
      <c r="B615" s="20">
        <f t="shared" si="50"/>
        <v>0</v>
      </c>
      <c r="C615" s="21">
        <f t="shared" si="51"/>
        <v>0</v>
      </c>
      <c r="D615" s="22" t="e">
        <f>VLOOKUP($A615, TAB_JUROS_U[[Q_DIAS_U_PARC_TIR]:[V_FUT_U_JURS CENARIO]], D$5, FALSE)</f>
        <v>#N/A</v>
      </c>
      <c r="E615" s="22" t="e">
        <f>VLOOKUP($A615,TAB_CORRECAO_U[[Q_DIAS_U_PARC_TIR]:[V_FUT_U_CORC-02]],E$5, FALSE)</f>
        <v>#N/A</v>
      </c>
      <c r="F615" s="22" t="e">
        <f>VLOOKUP($A615,TAB_AMORTIZACAO_U[[Q_DIAS_U_PARC_TIR]:[V_FUT_U_PCPL-02]], F$5, FALSE)</f>
        <v>#N/A</v>
      </c>
      <c r="H615" s="20">
        <f t="shared" si="52"/>
        <v>0</v>
      </c>
      <c r="I615" s="21">
        <f t="shared" si="53"/>
        <v>0</v>
      </c>
      <c r="J615" s="22" t="e">
        <f>VLOOKUP($A615, TAB_JUROS_C[[DIAS_CORRIDOS]:[V_FUT_UTEIS]], J$5, FALSE)</f>
        <v>#N/A</v>
      </c>
      <c r="K615" s="22" t="e">
        <f>VLOOKUP($A615, TAB_CORRECAO_C[[DIAS_CORRIDOS]:[V_FUT_UTEIS]],K$5, FALSE)</f>
        <v>#N/A</v>
      </c>
      <c r="L615" s="22" t="e">
        <f>VLOOKUP($A615, TAB_AMORTIZACAO_C[[DIAS_CORRIDOS]:[V_FUT_UTEIS]], L$5, FALSE)</f>
        <v>#N/A</v>
      </c>
    </row>
    <row r="616" spans="1:12" hidden="1">
      <c r="A616" s="19">
        <f t="shared" si="54"/>
        <v>610</v>
      </c>
      <c r="B616" s="20">
        <f t="shared" si="50"/>
        <v>0</v>
      </c>
      <c r="C616" s="21">
        <f t="shared" si="51"/>
        <v>0</v>
      </c>
      <c r="D616" s="22" t="e">
        <f>VLOOKUP($A616, TAB_JUROS_U[[Q_DIAS_U_PARC_TIR]:[V_FUT_U_JURS CENARIO]], D$5, FALSE)</f>
        <v>#N/A</v>
      </c>
      <c r="E616" s="22" t="e">
        <f>VLOOKUP($A616,TAB_CORRECAO_U[[Q_DIAS_U_PARC_TIR]:[V_FUT_U_CORC-02]],E$5, FALSE)</f>
        <v>#N/A</v>
      </c>
      <c r="F616" s="22" t="e">
        <f>VLOOKUP($A616,TAB_AMORTIZACAO_U[[Q_DIAS_U_PARC_TIR]:[V_FUT_U_PCPL-02]], F$5, FALSE)</f>
        <v>#N/A</v>
      </c>
      <c r="H616" s="20">
        <f t="shared" si="52"/>
        <v>0</v>
      </c>
      <c r="I616" s="21">
        <f t="shared" si="53"/>
        <v>0</v>
      </c>
      <c r="J616" s="22" t="e">
        <f>VLOOKUP($A616, TAB_JUROS_C[[DIAS_CORRIDOS]:[V_FUT_UTEIS]], J$5, FALSE)</f>
        <v>#N/A</v>
      </c>
      <c r="K616" s="22" t="e">
        <f>VLOOKUP($A616, TAB_CORRECAO_C[[DIAS_CORRIDOS]:[V_FUT_UTEIS]],K$5, FALSE)</f>
        <v>#N/A</v>
      </c>
      <c r="L616" s="22" t="e">
        <f>VLOOKUP($A616, TAB_AMORTIZACAO_C[[DIAS_CORRIDOS]:[V_FUT_UTEIS]], L$5, FALSE)</f>
        <v>#N/A</v>
      </c>
    </row>
    <row r="617" spans="1:12" hidden="1">
      <c r="A617" s="19">
        <f t="shared" si="54"/>
        <v>611</v>
      </c>
      <c r="B617" s="20">
        <f t="shared" si="50"/>
        <v>0</v>
      </c>
      <c r="C617" s="21">
        <f t="shared" si="51"/>
        <v>0</v>
      </c>
      <c r="D617" s="22" t="e">
        <f>VLOOKUP($A617, TAB_JUROS_U[[Q_DIAS_U_PARC_TIR]:[V_FUT_U_JURS CENARIO]], D$5, FALSE)</f>
        <v>#N/A</v>
      </c>
      <c r="E617" s="22" t="e">
        <f>VLOOKUP($A617,TAB_CORRECAO_U[[Q_DIAS_U_PARC_TIR]:[V_FUT_U_CORC-02]],E$5, FALSE)</f>
        <v>#N/A</v>
      </c>
      <c r="F617" s="22" t="e">
        <f>VLOOKUP($A617,TAB_AMORTIZACAO_U[[Q_DIAS_U_PARC_TIR]:[V_FUT_U_PCPL-02]], F$5, FALSE)</f>
        <v>#N/A</v>
      </c>
      <c r="H617" s="20">
        <f t="shared" si="52"/>
        <v>0</v>
      </c>
      <c r="I617" s="21">
        <f t="shared" si="53"/>
        <v>0</v>
      </c>
      <c r="J617" s="22" t="e">
        <f>VLOOKUP($A617, TAB_JUROS_C[[DIAS_CORRIDOS]:[V_FUT_UTEIS]], J$5, FALSE)</f>
        <v>#N/A</v>
      </c>
      <c r="K617" s="22" t="e">
        <f>VLOOKUP($A617, TAB_CORRECAO_C[[DIAS_CORRIDOS]:[V_FUT_UTEIS]],K$5, FALSE)</f>
        <v>#N/A</v>
      </c>
      <c r="L617" s="22" t="e">
        <f>VLOOKUP($A617, TAB_AMORTIZACAO_C[[DIAS_CORRIDOS]:[V_FUT_UTEIS]], L$5, FALSE)</f>
        <v>#N/A</v>
      </c>
    </row>
    <row r="618" spans="1:12" hidden="1">
      <c r="A618" s="19">
        <f t="shared" si="54"/>
        <v>612</v>
      </c>
      <c r="B618" s="20">
        <f t="shared" si="50"/>
        <v>0</v>
      </c>
      <c r="C618" s="21">
        <f t="shared" si="51"/>
        <v>0</v>
      </c>
      <c r="D618" s="22" t="e">
        <f>VLOOKUP($A618, TAB_JUROS_U[[Q_DIAS_U_PARC_TIR]:[V_FUT_U_JURS CENARIO]], D$5, FALSE)</f>
        <v>#N/A</v>
      </c>
      <c r="E618" s="22" t="e">
        <f>VLOOKUP($A618,TAB_CORRECAO_U[[Q_DIAS_U_PARC_TIR]:[V_FUT_U_CORC-02]],E$5, FALSE)</f>
        <v>#N/A</v>
      </c>
      <c r="F618" s="22" t="e">
        <f>VLOOKUP($A618,TAB_AMORTIZACAO_U[[Q_DIAS_U_PARC_TIR]:[V_FUT_U_PCPL-02]], F$5, FALSE)</f>
        <v>#N/A</v>
      </c>
      <c r="H618" s="20">
        <f t="shared" si="52"/>
        <v>0</v>
      </c>
      <c r="I618" s="21">
        <f t="shared" si="53"/>
        <v>0</v>
      </c>
      <c r="J618" s="22" t="e">
        <f>VLOOKUP($A618, TAB_JUROS_C[[DIAS_CORRIDOS]:[V_FUT_UTEIS]], J$5, FALSE)</f>
        <v>#N/A</v>
      </c>
      <c r="K618" s="22" t="e">
        <f>VLOOKUP($A618, TAB_CORRECAO_C[[DIAS_CORRIDOS]:[V_FUT_UTEIS]],K$5, FALSE)</f>
        <v>#N/A</v>
      </c>
      <c r="L618" s="22" t="e">
        <f>VLOOKUP($A618, TAB_AMORTIZACAO_C[[DIAS_CORRIDOS]:[V_FUT_UTEIS]], L$5, FALSE)</f>
        <v>#N/A</v>
      </c>
    </row>
    <row r="619" spans="1:12" hidden="1">
      <c r="A619" s="19">
        <f t="shared" si="54"/>
        <v>613</v>
      </c>
      <c r="B619" s="20">
        <f t="shared" si="50"/>
        <v>0</v>
      </c>
      <c r="C619" s="21">
        <f t="shared" si="51"/>
        <v>0</v>
      </c>
      <c r="D619" s="22" t="e">
        <f>VLOOKUP($A619, TAB_JUROS_U[[Q_DIAS_U_PARC_TIR]:[V_FUT_U_JURS CENARIO]], D$5, FALSE)</f>
        <v>#N/A</v>
      </c>
      <c r="E619" s="22" t="e">
        <f>VLOOKUP($A619,TAB_CORRECAO_U[[Q_DIAS_U_PARC_TIR]:[V_FUT_U_CORC-02]],E$5, FALSE)</f>
        <v>#N/A</v>
      </c>
      <c r="F619" s="22" t="e">
        <f>VLOOKUP($A619,TAB_AMORTIZACAO_U[[Q_DIAS_U_PARC_TIR]:[V_FUT_U_PCPL-02]], F$5, FALSE)</f>
        <v>#N/A</v>
      </c>
      <c r="H619" s="20">
        <f t="shared" si="52"/>
        <v>0</v>
      </c>
      <c r="I619" s="21">
        <f t="shared" si="53"/>
        <v>0</v>
      </c>
      <c r="J619" s="22" t="e">
        <f>VLOOKUP($A619, TAB_JUROS_C[[DIAS_CORRIDOS]:[V_FUT_UTEIS]], J$5, FALSE)</f>
        <v>#N/A</v>
      </c>
      <c r="K619" s="22" t="e">
        <f>VLOOKUP($A619, TAB_CORRECAO_C[[DIAS_CORRIDOS]:[V_FUT_UTEIS]],K$5, FALSE)</f>
        <v>#N/A</v>
      </c>
      <c r="L619" s="22" t="e">
        <f>VLOOKUP($A619, TAB_AMORTIZACAO_C[[DIAS_CORRIDOS]:[V_FUT_UTEIS]], L$5, FALSE)</f>
        <v>#N/A</v>
      </c>
    </row>
    <row r="620" spans="1:12" hidden="1">
      <c r="A620" s="19">
        <f t="shared" si="54"/>
        <v>614</v>
      </c>
      <c r="B620" s="20">
        <f t="shared" si="50"/>
        <v>0</v>
      </c>
      <c r="C620" s="21">
        <f t="shared" si="51"/>
        <v>0</v>
      </c>
      <c r="D620" s="22" t="e">
        <f>VLOOKUP($A620, TAB_JUROS_U[[Q_DIAS_U_PARC_TIR]:[V_FUT_U_JURS CENARIO]], D$5, FALSE)</f>
        <v>#N/A</v>
      </c>
      <c r="E620" s="22" t="e">
        <f>VLOOKUP($A620,TAB_CORRECAO_U[[Q_DIAS_U_PARC_TIR]:[V_FUT_U_CORC-02]],E$5, FALSE)</f>
        <v>#N/A</v>
      </c>
      <c r="F620" s="22" t="e">
        <f>VLOOKUP($A620,TAB_AMORTIZACAO_U[[Q_DIAS_U_PARC_TIR]:[V_FUT_U_PCPL-02]], F$5, FALSE)</f>
        <v>#N/A</v>
      </c>
      <c r="H620" s="20">
        <f t="shared" si="52"/>
        <v>0</v>
      </c>
      <c r="I620" s="21">
        <f t="shared" si="53"/>
        <v>0</v>
      </c>
      <c r="J620" s="22" t="e">
        <f>VLOOKUP($A620, TAB_JUROS_C[[DIAS_CORRIDOS]:[V_FUT_UTEIS]], J$5, FALSE)</f>
        <v>#N/A</v>
      </c>
      <c r="K620" s="22" t="e">
        <f>VLOOKUP($A620, TAB_CORRECAO_C[[DIAS_CORRIDOS]:[V_FUT_UTEIS]],K$5, FALSE)</f>
        <v>#N/A</v>
      </c>
      <c r="L620" s="22" t="e">
        <f>VLOOKUP($A620, TAB_AMORTIZACAO_C[[DIAS_CORRIDOS]:[V_FUT_UTEIS]], L$5, FALSE)</f>
        <v>#N/A</v>
      </c>
    </row>
    <row r="621" spans="1:12" hidden="1">
      <c r="A621" s="19">
        <f t="shared" si="54"/>
        <v>615</v>
      </c>
      <c r="B621" s="20">
        <f t="shared" si="50"/>
        <v>0</v>
      </c>
      <c r="C621" s="21">
        <f t="shared" si="51"/>
        <v>0</v>
      </c>
      <c r="D621" s="22" t="e">
        <f>VLOOKUP($A621, TAB_JUROS_U[[Q_DIAS_U_PARC_TIR]:[V_FUT_U_JURS CENARIO]], D$5, FALSE)</f>
        <v>#N/A</v>
      </c>
      <c r="E621" s="22" t="e">
        <f>VLOOKUP($A621,TAB_CORRECAO_U[[Q_DIAS_U_PARC_TIR]:[V_FUT_U_CORC-02]],E$5, FALSE)</f>
        <v>#N/A</v>
      </c>
      <c r="F621" s="22" t="e">
        <f>VLOOKUP($A621,TAB_AMORTIZACAO_U[[Q_DIAS_U_PARC_TIR]:[V_FUT_U_PCPL-02]], F$5, FALSE)</f>
        <v>#N/A</v>
      </c>
      <c r="H621" s="20">
        <f t="shared" si="52"/>
        <v>0</v>
      </c>
      <c r="I621" s="21">
        <f t="shared" si="53"/>
        <v>0</v>
      </c>
      <c r="J621" s="22" t="e">
        <f>VLOOKUP($A621, TAB_JUROS_C[[DIAS_CORRIDOS]:[V_FUT_UTEIS]], J$5, FALSE)</f>
        <v>#N/A</v>
      </c>
      <c r="K621" s="22" t="e">
        <f>VLOOKUP($A621, TAB_CORRECAO_C[[DIAS_CORRIDOS]:[V_FUT_UTEIS]],K$5, FALSE)</f>
        <v>#N/A</v>
      </c>
      <c r="L621" s="22" t="e">
        <f>VLOOKUP($A621, TAB_AMORTIZACAO_C[[DIAS_CORRIDOS]:[V_FUT_UTEIS]], L$5, FALSE)</f>
        <v>#N/A</v>
      </c>
    </row>
    <row r="622" spans="1:12">
      <c r="A622" s="19">
        <f t="shared" si="54"/>
        <v>616</v>
      </c>
      <c r="B622" s="20">
        <f t="shared" si="50"/>
        <v>1356.6404906477874</v>
      </c>
      <c r="C622" s="21">
        <f t="shared" si="51"/>
        <v>1356.6404906477874</v>
      </c>
      <c r="D622" s="22">
        <f>VLOOKUP($A622, TAB_JUROS_U[[Q_DIAS_U_PARC_TIR]:[V_FUT_U_JURS CENARIO]], D$5, FALSE)</f>
        <v>105.88345740188176</v>
      </c>
      <c r="E622" s="22">
        <f>VLOOKUP($A622,TAB_CORRECAO_U[[Q_DIAS_U_PARC_TIR]:[V_FUT_U_CORC-02]],E$5, FALSE)</f>
        <v>675.08735050922439</v>
      </c>
      <c r="F622" s="22">
        <f>VLOOKUP($A622,TAB_AMORTIZACAO_U[[Q_DIAS_U_PARC_TIR]:[V_FUT_U_PCPL-02]], F$5, FALSE)</f>
        <v>575.66968273668135</v>
      </c>
      <c r="H622" s="20">
        <f t="shared" si="52"/>
        <v>0</v>
      </c>
      <c r="I622" s="21">
        <f t="shared" si="53"/>
        <v>0</v>
      </c>
      <c r="J622" s="22" t="e">
        <f>VLOOKUP($A622, TAB_JUROS_C[[DIAS_CORRIDOS]:[V_FUT_UTEIS]], J$5, FALSE)</f>
        <v>#N/A</v>
      </c>
      <c r="K622" s="22" t="e">
        <f>VLOOKUP($A622, TAB_CORRECAO_C[[DIAS_CORRIDOS]:[V_FUT_UTEIS]],K$5, FALSE)</f>
        <v>#N/A</v>
      </c>
      <c r="L622" s="22" t="e">
        <f>VLOOKUP($A622, TAB_AMORTIZACAO_C[[DIAS_CORRIDOS]:[V_FUT_UTEIS]], L$5, FALSE)</f>
        <v>#N/A</v>
      </c>
    </row>
    <row r="623" spans="1:12" hidden="1">
      <c r="A623" s="19">
        <f t="shared" si="54"/>
        <v>617</v>
      </c>
      <c r="B623" s="20">
        <f t="shared" si="50"/>
        <v>0</v>
      </c>
      <c r="C623" s="21">
        <f t="shared" si="51"/>
        <v>0</v>
      </c>
      <c r="D623" s="22" t="e">
        <f>VLOOKUP($A623, TAB_JUROS_U[[Q_DIAS_U_PARC_TIR]:[V_FUT_U_JURS CENARIO]], D$5, FALSE)</f>
        <v>#N/A</v>
      </c>
      <c r="E623" s="22" t="e">
        <f>VLOOKUP($A623,TAB_CORRECAO_U[[Q_DIAS_U_PARC_TIR]:[V_FUT_U_CORC-02]],E$5, FALSE)</f>
        <v>#N/A</v>
      </c>
      <c r="F623" s="22" t="e">
        <f>VLOOKUP($A623,TAB_AMORTIZACAO_U[[Q_DIAS_U_PARC_TIR]:[V_FUT_U_PCPL-02]], F$5, FALSE)</f>
        <v>#N/A</v>
      </c>
      <c r="H623" s="20">
        <f t="shared" si="52"/>
        <v>0</v>
      </c>
      <c r="I623" s="21">
        <f t="shared" si="53"/>
        <v>0</v>
      </c>
      <c r="J623" s="22" t="e">
        <f>VLOOKUP($A623, TAB_JUROS_C[[DIAS_CORRIDOS]:[V_FUT_UTEIS]], J$5, FALSE)</f>
        <v>#N/A</v>
      </c>
      <c r="K623" s="22" t="e">
        <f>VLOOKUP($A623, TAB_CORRECAO_C[[DIAS_CORRIDOS]:[V_FUT_UTEIS]],K$5, FALSE)</f>
        <v>#N/A</v>
      </c>
      <c r="L623" s="22" t="e">
        <f>VLOOKUP($A623, TAB_AMORTIZACAO_C[[DIAS_CORRIDOS]:[V_FUT_UTEIS]], L$5, FALSE)</f>
        <v>#N/A</v>
      </c>
    </row>
    <row r="624" spans="1:12" hidden="1">
      <c r="A624" s="19">
        <f t="shared" si="54"/>
        <v>618</v>
      </c>
      <c r="B624" s="20">
        <f t="shared" si="50"/>
        <v>0</v>
      </c>
      <c r="C624" s="21">
        <f t="shared" si="51"/>
        <v>0</v>
      </c>
      <c r="D624" s="22" t="e">
        <f>VLOOKUP($A624, TAB_JUROS_U[[Q_DIAS_U_PARC_TIR]:[V_FUT_U_JURS CENARIO]], D$5, FALSE)</f>
        <v>#N/A</v>
      </c>
      <c r="E624" s="22" t="e">
        <f>VLOOKUP($A624,TAB_CORRECAO_U[[Q_DIAS_U_PARC_TIR]:[V_FUT_U_CORC-02]],E$5, FALSE)</f>
        <v>#N/A</v>
      </c>
      <c r="F624" s="22" t="e">
        <f>VLOOKUP($A624,TAB_AMORTIZACAO_U[[Q_DIAS_U_PARC_TIR]:[V_FUT_U_PCPL-02]], F$5, FALSE)</f>
        <v>#N/A</v>
      </c>
      <c r="H624" s="20">
        <f t="shared" si="52"/>
        <v>0</v>
      </c>
      <c r="I624" s="21">
        <f t="shared" si="53"/>
        <v>0</v>
      </c>
      <c r="J624" s="22" t="e">
        <f>VLOOKUP($A624, TAB_JUROS_C[[DIAS_CORRIDOS]:[V_FUT_UTEIS]], J$5, FALSE)</f>
        <v>#N/A</v>
      </c>
      <c r="K624" s="22" t="e">
        <f>VLOOKUP($A624, TAB_CORRECAO_C[[DIAS_CORRIDOS]:[V_FUT_UTEIS]],K$5, FALSE)</f>
        <v>#N/A</v>
      </c>
      <c r="L624" s="22" t="e">
        <f>VLOOKUP($A624, TAB_AMORTIZACAO_C[[DIAS_CORRIDOS]:[V_FUT_UTEIS]], L$5, FALSE)</f>
        <v>#N/A</v>
      </c>
    </row>
    <row r="625" spans="1:12" hidden="1">
      <c r="A625" s="19">
        <f t="shared" si="54"/>
        <v>619</v>
      </c>
      <c r="B625" s="20">
        <f t="shared" si="50"/>
        <v>0</v>
      </c>
      <c r="C625" s="21">
        <f t="shared" si="51"/>
        <v>0</v>
      </c>
      <c r="D625" s="22" t="e">
        <f>VLOOKUP($A625, TAB_JUROS_U[[Q_DIAS_U_PARC_TIR]:[V_FUT_U_JURS CENARIO]], D$5, FALSE)</f>
        <v>#N/A</v>
      </c>
      <c r="E625" s="22" t="e">
        <f>VLOOKUP($A625,TAB_CORRECAO_U[[Q_DIAS_U_PARC_TIR]:[V_FUT_U_CORC-02]],E$5, FALSE)</f>
        <v>#N/A</v>
      </c>
      <c r="F625" s="22" t="e">
        <f>VLOOKUP($A625,TAB_AMORTIZACAO_U[[Q_DIAS_U_PARC_TIR]:[V_FUT_U_PCPL-02]], F$5, FALSE)</f>
        <v>#N/A</v>
      </c>
      <c r="H625" s="20">
        <f t="shared" si="52"/>
        <v>0</v>
      </c>
      <c r="I625" s="21">
        <f t="shared" si="53"/>
        <v>0</v>
      </c>
      <c r="J625" s="22" t="e">
        <f>VLOOKUP($A625, TAB_JUROS_C[[DIAS_CORRIDOS]:[V_FUT_UTEIS]], J$5, FALSE)</f>
        <v>#N/A</v>
      </c>
      <c r="K625" s="22" t="e">
        <f>VLOOKUP($A625, TAB_CORRECAO_C[[DIAS_CORRIDOS]:[V_FUT_UTEIS]],K$5, FALSE)</f>
        <v>#N/A</v>
      </c>
      <c r="L625" s="22" t="e">
        <f>VLOOKUP($A625, TAB_AMORTIZACAO_C[[DIAS_CORRIDOS]:[V_FUT_UTEIS]], L$5, FALSE)</f>
        <v>#N/A</v>
      </c>
    </row>
    <row r="626" spans="1:12" hidden="1">
      <c r="A626" s="19">
        <f t="shared" si="54"/>
        <v>620</v>
      </c>
      <c r="B626" s="20">
        <f t="shared" si="50"/>
        <v>0</v>
      </c>
      <c r="C626" s="21">
        <f t="shared" si="51"/>
        <v>0</v>
      </c>
      <c r="D626" s="22" t="e">
        <f>VLOOKUP($A626, TAB_JUROS_U[[Q_DIAS_U_PARC_TIR]:[V_FUT_U_JURS CENARIO]], D$5, FALSE)</f>
        <v>#N/A</v>
      </c>
      <c r="E626" s="22" t="e">
        <f>VLOOKUP($A626,TAB_CORRECAO_U[[Q_DIAS_U_PARC_TIR]:[V_FUT_U_CORC-02]],E$5, FALSE)</f>
        <v>#N/A</v>
      </c>
      <c r="F626" s="22" t="e">
        <f>VLOOKUP($A626,TAB_AMORTIZACAO_U[[Q_DIAS_U_PARC_TIR]:[V_FUT_U_PCPL-02]], F$5, FALSE)</f>
        <v>#N/A</v>
      </c>
      <c r="H626" s="20">
        <f t="shared" si="52"/>
        <v>0</v>
      </c>
      <c r="I626" s="21">
        <f t="shared" si="53"/>
        <v>0</v>
      </c>
      <c r="J626" s="22" t="e">
        <f>VLOOKUP($A626, TAB_JUROS_C[[DIAS_CORRIDOS]:[V_FUT_UTEIS]], J$5, FALSE)</f>
        <v>#N/A</v>
      </c>
      <c r="K626" s="22" t="e">
        <f>VLOOKUP($A626, TAB_CORRECAO_C[[DIAS_CORRIDOS]:[V_FUT_UTEIS]],K$5, FALSE)</f>
        <v>#N/A</v>
      </c>
      <c r="L626" s="22" t="e">
        <f>VLOOKUP($A626, TAB_AMORTIZACAO_C[[DIAS_CORRIDOS]:[V_FUT_UTEIS]], L$5, FALSE)</f>
        <v>#N/A</v>
      </c>
    </row>
    <row r="627" spans="1:12" hidden="1">
      <c r="A627" s="19">
        <f t="shared" si="54"/>
        <v>621</v>
      </c>
      <c r="B627" s="20">
        <f t="shared" si="50"/>
        <v>0</v>
      </c>
      <c r="C627" s="21">
        <f t="shared" si="51"/>
        <v>0</v>
      </c>
      <c r="D627" s="22" t="e">
        <f>VLOOKUP($A627, TAB_JUROS_U[[Q_DIAS_U_PARC_TIR]:[V_FUT_U_JURS CENARIO]], D$5, FALSE)</f>
        <v>#N/A</v>
      </c>
      <c r="E627" s="22" t="e">
        <f>VLOOKUP($A627,TAB_CORRECAO_U[[Q_DIAS_U_PARC_TIR]:[V_FUT_U_CORC-02]],E$5, FALSE)</f>
        <v>#N/A</v>
      </c>
      <c r="F627" s="22" t="e">
        <f>VLOOKUP($A627,TAB_AMORTIZACAO_U[[Q_DIAS_U_PARC_TIR]:[V_FUT_U_PCPL-02]], F$5, FALSE)</f>
        <v>#N/A</v>
      </c>
      <c r="H627" s="20">
        <f t="shared" si="52"/>
        <v>0</v>
      </c>
      <c r="I627" s="21">
        <f t="shared" si="53"/>
        <v>0</v>
      </c>
      <c r="J627" s="22" t="e">
        <f>VLOOKUP($A627, TAB_JUROS_C[[DIAS_CORRIDOS]:[V_FUT_UTEIS]], J$5, FALSE)</f>
        <v>#N/A</v>
      </c>
      <c r="K627" s="22" t="e">
        <f>VLOOKUP($A627, TAB_CORRECAO_C[[DIAS_CORRIDOS]:[V_FUT_UTEIS]],K$5, FALSE)</f>
        <v>#N/A</v>
      </c>
      <c r="L627" s="22" t="e">
        <f>VLOOKUP($A627, TAB_AMORTIZACAO_C[[DIAS_CORRIDOS]:[V_FUT_UTEIS]], L$5, FALSE)</f>
        <v>#N/A</v>
      </c>
    </row>
    <row r="628" spans="1:12" hidden="1">
      <c r="A628" s="19">
        <f t="shared" si="54"/>
        <v>622</v>
      </c>
      <c r="B628" s="20">
        <f t="shared" si="50"/>
        <v>0</v>
      </c>
      <c r="C628" s="21">
        <f t="shared" si="51"/>
        <v>0</v>
      </c>
      <c r="D628" s="22" t="e">
        <f>VLOOKUP($A628, TAB_JUROS_U[[Q_DIAS_U_PARC_TIR]:[V_FUT_U_JURS CENARIO]], D$5, FALSE)</f>
        <v>#N/A</v>
      </c>
      <c r="E628" s="22" t="e">
        <f>VLOOKUP($A628,TAB_CORRECAO_U[[Q_DIAS_U_PARC_TIR]:[V_FUT_U_CORC-02]],E$5, FALSE)</f>
        <v>#N/A</v>
      </c>
      <c r="F628" s="22" t="e">
        <f>VLOOKUP($A628,TAB_AMORTIZACAO_U[[Q_DIAS_U_PARC_TIR]:[V_FUT_U_PCPL-02]], F$5, FALSE)</f>
        <v>#N/A</v>
      </c>
      <c r="H628" s="20">
        <f t="shared" si="52"/>
        <v>0</v>
      </c>
      <c r="I628" s="21">
        <f t="shared" si="53"/>
        <v>0</v>
      </c>
      <c r="J628" s="22" t="e">
        <f>VLOOKUP($A628, TAB_JUROS_C[[DIAS_CORRIDOS]:[V_FUT_UTEIS]], J$5, FALSE)</f>
        <v>#N/A</v>
      </c>
      <c r="K628" s="22" t="e">
        <f>VLOOKUP($A628, TAB_CORRECAO_C[[DIAS_CORRIDOS]:[V_FUT_UTEIS]],K$5, FALSE)</f>
        <v>#N/A</v>
      </c>
      <c r="L628" s="22" t="e">
        <f>VLOOKUP($A628, TAB_AMORTIZACAO_C[[DIAS_CORRIDOS]:[V_FUT_UTEIS]], L$5, FALSE)</f>
        <v>#N/A</v>
      </c>
    </row>
    <row r="629" spans="1:12" hidden="1">
      <c r="A629" s="19">
        <f t="shared" si="54"/>
        <v>623</v>
      </c>
      <c r="B629" s="20">
        <f t="shared" si="50"/>
        <v>0</v>
      </c>
      <c r="C629" s="21">
        <f t="shared" si="51"/>
        <v>0</v>
      </c>
      <c r="D629" s="22" t="e">
        <f>VLOOKUP($A629, TAB_JUROS_U[[Q_DIAS_U_PARC_TIR]:[V_FUT_U_JURS CENARIO]], D$5, FALSE)</f>
        <v>#N/A</v>
      </c>
      <c r="E629" s="22" t="e">
        <f>VLOOKUP($A629,TAB_CORRECAO_U[[Q_DIAS_U_PARC_TIR]:[V_FUT_U_CORC-02]],E$5, FALSE)</f>
        <v>#N/A</v>
      </c>
      <c r="F629" s="22" t="e">
        <f>VLOOKUP($A629,TAB_AMORTIZACAO_U[[Q_DIAS_U_PARC_TIR]:[V_FUT_U_PCPL-02]], F$5, FALSE)</f>
        <v>#N/A</v>
      </c>
      <c r="H629" s="20">
        <f t="shared" si="52"/>
        <v>1686.3542701237361</v>
      </c>
      <c r="I629" s="21">
        <f t="shared" si="53"/>
        <v>1686.3542701237361</v>
      </c>
      <c r="J629" s="22">
        <f>VLOOKUP($A629, TAB_JUROS_C[[DIAS_CORRIDOS]:[V_FUT_UTEIS]], J$5, FALSE)</f>
        <v>143.90533007628321</v>
      </c>
      <c r="K629" s="22">
        <f>VLOOKUP($A629, TAB_CORRECAO_C[[DIAS_CORRIDOS]:[V_FUT_UTEIS]],K$5, FALSE)</f>
        <v>906.40696768115436</v>
      </c>
      <c r="L629" s="22">
        <f>VLOOKUP($A629, TAB_AMORTIZACAO_C[[DIAS_CORRIDOS]:[V_FUT_UTEIS]], L$5, FALSE)</f>
        <v>636.04197236629864</v>
      </c>
    </row>
    <row r="630" spans="1:12" hidden="1">
      <c r="A630" s="19">
        <f t="shared" si="54"/>
        <v>624</v>
      </c>
      <c r="B630" s="20">
        <f t="shared" si="50"/>
        <v>0</v>
      </c>
      <c r="C630" s="21">
        <f t="shared" si="51"/>
        <v>0</v>
      </c>
      <c r="D630" s="22" t="e">
        <f>VLOOKUP($A630, TAB_JUROS_U[[Q_DIAS_U_PARC_TIR]:[V_FUT_U_JURS CENARIO]], D$5, FALSE)</f>
        <v>#N/A</v>
      </c>
      <c r="E630" s="22" t="e">
        <f>VLOOKUP($A630,TAB_CORRECAO_U[[Q_DIAS_U_PARC_TIR]:[V_FUT_U_CORC-02]],E$5, FALSE)</f>
        <v>#N/A</v>
      </c>
      <c r="F630" s="22" t="e">
        <f>VLOOKUP($A630,TAB_AMORTIZACAO_U[[Q_DIAS_U_PARC_TIR]:[V_FUT_U_PCPL-02]], F$5, FALSE)</f>
        <v>#N/A</v>
      </c>
      <c r="H630" s="20">
        <f t="shared" si="52"/>
        <v>0</v>
      </c>
      <c r="I630" s="21">
        <f t="shared" si="53"/>
        <v>0</v>
      </c>
      <c r="J630" s="22" t="e">
        <f>VLOOKUP($A630, TAB_JUROS_C[[DIAS_CORRIDOS]:[V_FUT_UTEIS]], J$5, FALSE)</f>
        <v>#N/A</v>
      </c>
      <c r="K630" s="22" t="e">
        <f>VLOOKUP($A630, TAB_CORRECAO_C[[DIAS_CORRIDOS]:[V_FUT_UTEIS]],K$5, FALSE)</f>
        <v>#N/A</v>
      </c>
      <c r="L630" s="22" t="e">
        <f>VLOOKUP($A630, TAB_AMORTIZACAO_C[[DIAS_CORRIDOS]:[V_FUT_UTEIS]], L$5, FALSE)</f>
        <v>#N/A</v>
      </c>
    </row>
    <row r="631" spans="1:12" hidden="1">
      <c r="A631" s="19">
        <f t="shared" si="54"/>
        <v>625</v>
      </c>
      <c r="B631" s="20">
        <f t="shared" si="50"/>
        <v>0</v>
      </c>
      <c r="C631" s="21">
        <f t="shared" si="51"/>
        <v>0</v>
      </c>
      <c r="D631" s="22" t="e">
        <f>VLOOKUP($A631, TAB_JUROS_U[[Q_DIAS_U_PARC_TIR]:[V_FUT_U_JURS CENARIO]], D$5, FALSE)</f>
        <v>#N/A</v>
      </c>
      <c r="E631" s="22" t="e">
        <f>VLOOKUP($A631,TAB_CORRECAO_U[[Q_DIAS_U_PARC_TIR]:[V_FUT_U_CORC-02]],E$5, FALSE)</f>
        <v>#N/A</v>
      </c>
      <c r="F631" s="22" t="e">
        <f>VLOOKUP($A631,TAB_AMORTIZACAO_U[[Q_DIAS_U_PARC_TIR]:[V_FUT_U_PCPL-02]], F$5, FALSE)</f>
        <v>#N/A</v>
      </c>
      <c r="H631" s="20">
        <f t="shared" si="52"/>
        <v>0</v>
      </c>
      <c r="I631" s="21">
        <f t="shared" si="53"/>
        <v>0</v>
      </c>
      <c r="J631" s="22" t="e">
        <f>VLOOKUP($A631, TAB_JUROS_C[[DIAS_CORRIDOS]:[V_FUT_UTEIS]], J$5, FALSE)</f>
        <v>#N/A</v>
      </c>
      <c r="K631" s="22" t="e">
        <f>VLOOKUP($A631, TAB_CORRECAO_C[[DIAS_CORRIDOS]:[V_FUT_UTEIS]],K$5, FALSE)</f>
        <v>#N/A</v>
      </c>
      <c r="L631" s="22" t="e">
        <f>VLOOKUP($A631, TAB_AMORTIZACAO_C[[DIAS_CORRIDOS]:[V_FUT_UTEIS]], L$5, FALSE)</f>
        <v>#N/A</v>
      </c>
    </row>
    <row r="632" spans="1:12" hidden="1">
      <c r="A632" s="19">
        <f t="shared" si="54"/>
        <v>626</v>
      </c>
      <c r="B632" s="20">
        <f t="shared" si="50"/>
        <v>0</v>
      </c>
      <c r="C632" s="21">
        <f t="shared" si="51"/>
        <v>0</v>
      </c>
      <c r="D632" s="22" t="e">
        <f>VLOOKUP($A632, TAB_JUROS_U[[Q_DIAS_U_PARC_TIR]:[V_FUT_U_JURS CENARIO]], D$5, FALSE)</f>
        <v>#N/A</v>
      </c>
      <c r="E632" s="22" t="e">
        <f>VLOOKUP($A632,TAB_CORRECAO_U[[Q_DIAS_U_PARC_TIR]:[V_FUT_U_CORC-02]],E$5, FALSE)</f>
        <v>#N/A</v>
      </c>
      <c r="F632" s="22" t="e">
        <f>VLOOKUP($A632,TAB_AMORTIZACAO_U[[Q_DIAS_U_PARC_TIR]:[V_FUT_U_PCPL-02]], F$5, FALSE)</f>
        <v>#N/A</v>
      </c>
      <c r="H632" s="20">
        <f t="shared" si="52"/>
        <v>0</v>
      </c>
      <c r="I632" s="21">
        <f t="shared" si="53"/>
        <v>0</v>
      </c>
      <c r="J632" s="22" t="e">
        <f>VLOOKUP($A632, TAB_JUROS_C[[DIAS_CORRIDOS]:[V_FUT_UTEIS]], J$5, FALSE)</f>
        <v>#N/A</v>
      </c>
      <c r="K632" s="22" t="e">
        <f>VLOOKUP($A632, TAB_CORRECAO_C[[DIAS_CORRIDOS]:[V_FUT_UTEIS]],K$5, FALSE)</f>
        <v>#N/A</v>
      </c>
      <c r="L632" s="22" t="e">
        <f>VLOOKUP($A632, TAB_AMORTIZACAO_C[[DIAS_CORRIDOS]:[V_FUT_UTEIS]], L$5, FALSE)</f>
        <v>#N/A</v>
      </c>
    </row>
    <row r="633" spans="1:12" hidden="1">
      <c r="A633" s="19">
        <f t="shared" si="54"/>
        <v>627</v>
      </c>
      <c r="B633" s="20">
        <f t="shared" si="50"/>
        <v>0</v>
      </c>
      <c r="C633" s="21">
        <f t="shared" si="51"/>
        <v>0</v>
      </c>
      <c r="D633" s="22" t="e">
        <f>VLOOKUP($A633, TAB_JUROS_U[[Q_DIAS_U_PARC_TIR]:[V_FUT_U_JURS CENARIO]], D$5, FALSE)</f>
        <v>#N/A</v>
      </c>
      <c r="E633" s="22" t="e">
        <f>VLOOKUP($A633,TAB_CORRECAO_U[[Q_DIAS_U_PARC_TIR]:[V_FUT_U_CORC-02]],E$5, FALSE)</f>
        <v>#N/A</v>
      </c>
      <c r="F633" s="22" t="e">
        <f>VLOOKUP($A633,TAB_AMORTIZACAO_U[[Q_DIAS_U_PARC_TIR]:[V_FUT_U_PCPL-02]], F$5, FALSE)</f>
        <v>#N/A</v>
      </c>
      <c r="H633" s="20">
        <f t="shared" si="52"/>
        <v>0</v>
      </c>
      <c r="I633" s="21">
        <f t="shared" si="53"/>
        <v>0</v>
      </c>
      <c r="J633" s="22" t="e">
        <f>VLOOKUP($A633, TAB_JUROS_C[[DIAS_CORRIDOS]:[V_FUT_UTEIS]], J$5, FALSE)</f>
        <v>#N/A</v>
      </c>
      <c r="K633" s="22" t="e">
        <f>VLOOKUP($A633, TAB_CORRECAO_C[[DIAS_CORRIDOS]:[V_FUT_UTEIS]],K$5, FALSE)</f>
        <v>#N/A</v>
      </c>
      <c r="L633" s="22" t="e">
        <f>VLOOKUP($A633, TAB_AMORTIZACAO_C[[DIAS_CORRIDOS]:[V_FUT_UTEIS]], L$5, FALSE)</f>
        <v>#N/A</v>
      </c>
    </row>
    <row r="634" spans="1:12" hidden="1">
      <c r="A634" s="19">
        <f t="shared" si="54"/>
        <v>628</v>
      </c>
      <c r="B634" s="20">
        <f t="shared" si="50"/>
        <v>0</v>
      </c>
      <c r="C634" s="21">
        <f t="shared" si="51"/>
        <v>0</v>
      </c>
      <c r="D634" s="22" t="e">
        <f>VLOOKUP($A634, TAB_JUROS_U[[Q_DIAS_U_PARC_TIR]:[V_FUT_U_JURS CENARIO]], D$5, FALSE)</f>
        <v>#N/A</v>
      </c>
      <c r="E634" s="22" t="e">
        <f>VLOOKUP($A634,TAB_CORRECAO_U[[Q_DIAS_U_PARC_TIR]:[V_FUT_U_CORC-02]],E$5, FALSE)</f>
        <v>#N/A</v>
      </c>
      <c r="F634" s="22" t="e">
        <f>VLOOKUP($A634,TAB_AMORTIZACAO_U[[Q_DIAS_U_PARC_TIR]:[V_FUT_U_PCPL-02]], F$5, FALSE)</f>
        <v>#N/A</v>
      </c>
      <c r="H634" s="20">
        <f t="shared" si="52"/>
        <v>0</v>
      </c>
      <c r="I634" s="21">
        <f t="shared" si="53"/>
        <v>0</v>
      </c>
      <c r="J634" s="22" t="e">
        <f>VLOOKUP($A634, TAB_JUROS_C[[DIAS_CORRIDOS]:[V_FUT_UTEIS]], J$5, FALSE)</f>
        <v>#N/A</v>
      </c>
      <c r="K634" s="22" t="e">
        <f>VLOOKUP($A634, TAB_CORRECAO_C[[DIAS_CORRIDOS]:[V_FUT_UTEIS]],K$5, FALSE)</f>
        <v>#N/A</v>
      </c>
      <c r="L634" s="22" t="e">
        <f>VLOOKUP($A634, TAB_AMORTIZACAO_C[[DIAS_CORRIDOS]:[V_FUT_UTEIS]], L$5, FALSE)</f>
        <v>#N/A</v>
      </c>
    </row>
    <row r="635" spans="1:12" hidden="1">
      <c r="A635" s="19">
        <f t="shared" si="54"/>
        <v>629</v>
      </c>
      <c r="B635" s="20">
        <f t="shared" si="50"/>
        <v>0</v>
      </c>
      <c r="C635" s="21">
        <f t="shared" si="51"/>
        <v>0</v>
      </c>
      <c r="D635" s="22" t="e">
        <f>VLOOKUP($A635, TAB_JUROS_U[[Q_DIAS_U_PARC_TIR]:[V_FUT_U_JURS CENARIO]], D$5, FALSE)</f>
        <v>#N/A</v>
      </c>
      <c r="E635" s="22" t="e">
        <f>VLOOKUP($A635,TAB_CORRECAO_U[[Q_DIAS_U_PARC_TIR]:[V_FUT_U_CORC-02]],E$5, FALSE)</f>
        <v>#N/A</v>
      </c>
      <c r="F635" s="22" t="e">
        <f>VLOOKUP($A635,TAB_AMORTIZACAO_U[[Q_DIAS_U_PARC_TIR]:[V_FUT_U_PCPL-02]], F$5, FALSE)</f>
        <v>#N/A</v>
      </c>
      <c r="H635" s="20">
        <f t="shared" si="52"/>
        <v>0</v>
      </c>
      <c r="I635" s="21">
        <f t="shared" si="53"/>
        <v>0</v>
      </c>
      <c r="J635" s="22" t="e">
        <f>VLOOKUP($A635, TAB_JUROS_C[[DIAS_CORRIDOS]:[V_FUT_UTEIS]], J$5, FALSE)</f>
        <v>#N/A</v>
      </c>
      <c r="K635" s="22" t="e">
        <f>VLOOKUP($A635, TAB_CORRECAO_C[[DIAS_CORRIDOS]:[V_FUT_UTEIS]],K$5, FALSE)</f>
        <v>#N/A</v>
      </c>
      <c r="L635" s="22" t="e">
        <f>VLOOKUP($A635, TAB_AMORTIZACAO_C[[DIAS_CORRIDOS]:[V_FUT_UTEIS]], L$5, FALSE)</f>
        <v>#N/A</v>
      </c>
    </row>
    <row r="636" spans="1:12" hidden="1">
      <c r="A636" s="19">
        <f t="shared" si="54"/>
        <v>630</v>
      </c>
      <c r="B636" s="20">
        <f t="shared" si="50"/>
        <v>0</v>
      </c>
      <c r="C636" s="21">
        <f t="shared" si="51"/>
        <v>0</v>
      </c>
      <c r="D636" s="22" t="e">
        <f>VLOOKUP($A636, TAB_JUROS_U[[Q_DIAS_U_PARC_TIR]:[V_FUT_U_JURS CENARIO]], D$5, FALSE)</f>
        <v>#N/A</v>
      </c>
      <c r="E636" s="22" t="e">
        <f>VLOOKUP($A636,TAB_CORRECAO_U[[Q_DIAS_U_PARC_TIR]:[V_FUT_U_CORC-02]],E$5, FALSE)</f>
        <v>#N/A</v>
      </c>
      <c r="F636" s="22" t="e">
        <f>VLOOKUP($A636,TAB_AMORTIZACAO_U[[Q_DIAS_U_PARC_TIR]:[V_FUT_U_PCPL-02]], F$5, FALSE)</f>
        <v>#N/A</v>
      </c>
      <c r="H636" s="20">
        <f t="shared" si="52"/>
        <v>0</v>
      </c>
      <c r="I636" s="21">
        <f t="shared" si="53"/>
        <v>0</v>
      </c>
      <c r="J636" s="22" t="e">
        <f>VLOOKUP($A636, TAB_JUROS_C[[DIAS_CORRIDOS]:[V_FUT_UTEIS]], J$5, FALSE)</f>
        <v>#N/A</v>
      </c>
      <c r="K636" s="22" t="e">
        <f>VLOOKUP($A636, TAB_CORRECAO_C[[DIAS_CORRIDOS]:[V_FUT_UTEIS]],K$5, FALSE)</f>
        <v>#N/A</v>
      </c>
      <c r="L636" s="22" t="e">
        <f>VLOOKUP($A636, TAB_AMORTIZACAO_C[[DIAS_CORRIDOS]:[V_FUT_UTEIS]], L$5, FALSE)</f>
        <v>#N/A</v>
      </c>
    </row>
    <row r="637" spans="1:12" hidden="1">
      <c r="A637" s="19">
        <f t="shared" si="54"/>
        <v>631</v>
      </c>
      <c r="B637" s="20">
        <f t="shared" si="50"/>
        <v>0</v>
      </c>
      <c r="C637" s="21">
        <f t="shared" si="51"/>
        <v>0</v>
      </c>
      <c r="D637" s="22" t="e">
        <f>VLOOKUP($A637, TAB_JUROS_U[[Q_DIAS_U_PARC_TIR]:[V_FUT_U_JURS CENARIO]], D$5, FALSE)</f>
        <v>#N/A</v>
      </c>
      <c r="E637" s="22" t="e">
        <f>VLOOKUP($A637,TAB_CORRECAO_U[[Q_DIAS_U_PARC_TIR]:[V_FUT_U_CORC-02]],E$5, FALSE)</f>
        <v>#N/A</v>
      </c>
      <c r="F637" s="22" t="e">
        <f>VLOOKUP($A637,TAB_AMORTIZACAO_U[[Q_DIAS_U_PARC_TIR]:[V_FUT_U_PCPL-02]], F$5, FALSE)</f>
        <v>#N/A</v>
      </c>
      <c r="H637" s="20">
        <f t="shared" si="52"/>
        <v>0</v>
      </c>
      <c r="I637" s="21">
        <f t="shared" si="53"/>
        <v>0</v>
      </c>
      <c r="J637" s="22" t="e">
        <f>VLOOKUP($A637, TAB_JUROS_C[[DIAS_CORRIDOS]:[V_FUT_UTEIS]], J$5, FALSE)</f>
        <v>#N/A</v>
      </c>
      <c r="K637" s="22" t="e">
        <f>VLOOKUP($A637, TAB_CORRECAO_C[[DIAS_CORRIDOS]:[V_FUT_UTEIS]],K$5, FALSE)</f>
        <v>#N/A</v>
      </c>
      <c r="L637" s="22" t="e">
        <f>VLOOKUP($A637, TAB_AMORTIZACAO_C[[DIAS_CORRIDOS]:[V_FUT_UTEIS]], L$5, FALSE)</f>
        <v>#N/A</v>
      </c>
    </row>
    <row r="638" spans="1:12" hidden="1">
      <c r="A638" s="19">
        <f t="shared" si="54"/>
        <v>632</v>
      </c>
      <c r="B638" s="20">
        <f t="shared" si="50"/>
        <v>0</v>
      </c>
      <c r="C638" s="21">
        <f t="shared" si="51"/>
        <v>0</v>
      </c>
      <c r="D638" s="22" t="e">
        <f>VLOOKUP($A638, TAB_JUROS_U[[Q_DIAS_U_PARC_TIR]:[V_FUT_U_JURS CENARIO]], D$5, FALSE)</f>
        <v>#N/A</v>
      </c>
      <c r="E638" s="22" t="e">
        <f>VLOOKUP($A638,TAB_CORRECAO_U[[Q_DIAS_U_PARC_TIR]:[V_FUT_U_CORC-02]],E$5, FALSE)</f>
        <v>#N/A</v>
      </c>
      <c r="F638" s="22" t="e">
        <f>VLOOKUP($A638,TAB_AMORTIZACAO_U[[Q_DIAS_U_PARC_TIR]:[V_FUT_U_PCPL-02]], F$5, FALSE)</f>
        <v>#N/A</v>
      </c>
      <c r="H638" s="20">
        <f t="shared" si="52"/>
        <v>0</v>
      </c>
      <c r="I638" s="21">
        <f t="shared" si="53"/>
        <v>0</v>
      </c>
      <c r="J638" s="22" t="e">
        <f>VLOOKUP($A638, TAB_JUROS_C[[DIAS_CORRIDOS]:[V_FUT_UTEIS]], J$5, FALSE)</f>
        <v>#N/A</v>
      </c>
      <c r="K638" s="22" t="e">
        <f>VLOOKUP($A638, TAB_CORRECAO_C[[DIAS_CORRIDOS]:[V_FUT_UTEIS]],K$5, FALSE)</f>
        <v>#N/A</v>
      </c>
      <c r="L638" s="22" t="e">
        <f>VLOOKUP($A638, TAB_AMORTIZACAO_C[[DIAS_CORRIDOS]:[V_FUT_UTEIS]], L$5, FALSE)</f>
        <v>#N/A</v>
      </c>
    </row>
    <row r="639" spans="1:12" hidden="1">
      <c r="A639" s="19">
        <f t="shared" si="54"/>
        <v>633</v>
      </c>
      <c r="B639" s="20">
        <f t="shared" si="50"/>
        <v>0</v>
      </c>
      <c r="C639" s="21">
        <f t="shared" si="51"/>
        <v>0</v>
      </c>
      <c r="D639" s="22" t="e">
        <f>VLOOKUP($A639, TAB_JUROS_U[[Q_DIAS_U_PARC_TIR]:[V_FUT_U_JURS CENARIO]], D$5, FALSE)</f>
        <v>#N/A</v>
      </c>
      <c r="E639" s="22" t="e">
        <f>VLOOKUP($A639,TAB_CORRECAO_U[[Q_DIAS_U_PARC_TIR]:[V_FUT_U_CORC-02]],E$5, FALSE)</f>
        <v>#N/A</v>
      </c>
      <c r="F639" s="22" t="e">
        <f>VLOOKUP($A639,TAB_AMORTIZACAO_U[[Q_DIAS_U_PARC_TIR]:[V_FUT_U_PCPL-02]], F$5, FALSE)</f>
        <v>#N/A</v>
      </c>
      <c r="H639" s="20">
        <f t="shared" si="52"/>
        <v>0</v>
      </c>
      <c r="I639" s="21">
        <f t="shared" si="53"/>
        <v>0</v>
      </c>
      <c r="J639" s="22" t="e">
        <f>VLOOKUP($A639, TAB_JUROS_C[[DIAS_CORRIDOS]:[V_FUT_UTEIS]], J$5, FALSE)</f>
        <v>#N/A</v>
      </c>
      <c r="K639" s="22" t="e">
        <f>VLOOKUP($A639, TAB_CORRECAO_C[[DIAS_CORRIDOS]:[V_FUT_UTEIS]],K$5, FALSE)</f>
        <v>#N/A</v>
      </c>
      <c r="L639" s="22" t="e">
        <f>VLOOKUP($A639, TAB_AMORTIZACAO_C[[DIAS_CORRIDOS]:[V_FUT_UTEIS]], L$5, FALSE)</f>
        <v>#N/A</v>
      </c>
    </row>
    <row r="640" spans="1:12" hidden="1">
      <c r="A640" s="19">
        <f t="shared" si="54"/>
        <v>634</v>
      </c>
      <c r="B640" s="20">
        <f t="shared" si="50"/>
        <v>0</v>
      </c>
      <c r="C640" s="21">
        <f t="shared" si="51"/>
        <v>0</v>
      </c>
      <c r="D640" s="22" t="e">
        <f>VLOOKUP($A640, TAB_JUROS_U[[Q_DIAS_U_PARC_TIR]:[V_FUT_U_JURS CENARIO]], D$5, FALSE)</f>
        <v>#N/A</v>
      </c>
      <c r="E640" s="22" t="e">
        <f>VLOOKUP($A640,TAB_CORRECAO_U[[Q_DIAS_U_PARC_TIR]:[V_FUT_U_CORC-02]],E$5, FALSE)</f>
        <v>#N/A</v>
      </c>
      <c r="F640" s="22" t="e">
        <f>VLOOKUP($A640,TAB_AMORTIZACAO_U[[Q_DIAS_U_PARC_TIR]:[V_FUT_U_PCPL-02]], F$5, FALSE)</f>
        <v>#N/A</v>
      </c>
      <c r="H640" s="20">
        <f t="shared" si="52"/>
        <v>0</v>
      </c>
      <c r="I640" s="21">
        <f t="shared" si="53"/>
        <v>0</v>
      </c>
      <c r="J640" s="22" t="e">
        <f>VLOOKUP($A640, TAB_JUROS_C[[DIAS_CORRIDOS]:[V_FUT_UTEIS]], J$5, FALSE)</f>
        <v>#N/A</v>
      </c>
      <c r="K640" s="22" t="e">
        <f>VLOOKUP($A640, TAB_CORRECAO_C[[DIAS_CORRIDOS]:[V_FUT_UTEIS]],K$5, FALSE)</f>
        <v>#N/A</v>
      </c>
      <c r="L640" s="22" t="e">
        <f>VLOOKUP($A640, TAB_AMORTIZACAO_C[[DIAS_CORRIDOS]:[V_FUT_UTEIS]], L$5, FALSE)</f>
        <v>#N/A</v>
      </c>
    </row>
    <row r="641" spans="1:12" hidden="1">
      <c r="A641" s="19">
        <f t="shared" si="54"/>
        <v>635</v>
      </c>
      <c r="B641" s="20">
        <f t="shared" si="50"/>
        <v>0</v>
      </c>
      <c r="C641" s="21">
        <f t="shared" si="51"/>
        <v>0</v>
      </c>
      <c r="D641" s="22" t="e">
        <f>VLOOKUP($A641, TAB_JUROS_U[[Q_DIAS_U_PARC_TIR]:[V_FUT_U_JURS CENARIO]], D$5, FALSE)</f>
        <v>#N/A</v>
      </c>
      <c r="E641" s="22" t="e">
        <f>VLOOKUP($A641,TAB_CORRECAO_U[[Q_DIAS_U_PARC_TIR]:[V_FUT_U_CORC-02]],E$5, FALSE)</f>
        <v>#N/A</v>
      </c>
      <c r="F641" s="22" t="e">
        <f>VLOOKUP($A641,TAB_AMORTIZACAO_U[[Q_DIAS_U_PARC_TIR]:[V_FUT_U_PCPL-02]], F$5, FALSE)</f>
        <v>#N/A</v>
      </c>
      <c r="H641" s="20">
        <f t="shared" si="52"/>
        <v>0</v>
      </c>
      <c r="I641" s="21">
        <f t="shared" si="53"/>
        <v>0</v>
      </c>
      <c r="J641" s="22" t="e">
        <f>VLOOKUP($A641, TAB_JUROS_C[[DIAS_CORRIDOS]:[V_FUT_UTEIS]], J$5, FALSE)</f>
        <v>#N/A</v>
      </c>
      <c r="K641" s="22" t="e">
        <f>VLOOKUP($A641, TAB_CORRECAO_C[[DIAS_CORRIDOS]:[V_FUT_UTEIS]],K$5, FALSE)</f>
        <v>#N/A</v>
      </c>
      <c r="L641" s="22" t="e">
        <f>VLOOKUP($A641, TAB_AMORTIZACAO_C[[DIAS_CORRIDOS]:[V_FUT_UTEIS]], L$5, FALSE)</f>
        <v>#N/A</v>
      </c>
    </row>
    <row r="642" spans="1:12" hidden="1">
      <c r="A642" s="19">
        <f t="shared" si="54"/>
        <v>636</v>
      </c>
      <c r="B642" s="20">
        <f t="shared" si="50"/>
        <v>0</v>
      </c>
      <c r="C642" s="21">
        <f t="shared" si="51"/>
        <v>0</v>
      </c>
      <c r="D642" s="22" t="e">
        <f>VLOOKUP($A642, TAB_JUROS_U[[Q_DIAS_U_PARC_TIR]:[V_FUT_U_JURS CENARIO]], D$5, FALSE)</f>
        <v>#N/A</v>
      </c>
      <c r="E642" s="22" t="e">
        <f>VLOOKUP($A642,TAB_CORRECAO_U[[Q_DIAS_U_PARC_TIR]:[V_FUT_U_CORC-02]],E$5, FALSE)</f>
        <v>#N/A</v>
      </c>
      <c r="F642" s="22" t="e">
        <f>VLOOKUP($A642,TAB_AMORTIZACAO_U[[Q_DIAS_U_PARC_TIR]:[V_FUT_U_PCPL-02]], F$5, FALSE)</f>
        <v>#N/A</v>
      </c>
      <c r="H642" s="20">
        <f t="shared" si="52"/>
        <v>0</v>
      </c>
      <c r="I642" s="21">
        <f t="shared" si="53"/>
        <v>0</v>
      </c>
      <c r="J642" s="22" t="e">
        <f>VLOOKUP($A642, TAB_JUROS_C[[DIAS_CORRIDOS]:[V_FUT_UTEIS]], J$5, FALSE)</f>
        <v>#N/A</v>
      </c>
      <c r="K642" s="22" t="e">
        <f>VLOOKUP($A642, TAB_CORRECAO_C[[DIAS_CORRIDOS]:[V_FUT_UTEIS]],K$5, FALSE)</f>
        <v>#N/A</v>
      </c>
      <c r="L642" s="22" t="e">
        <f>VLOOKUP($A642, TAB_AMORTIZACAO_C[[DIAS_CORRIDOS]:[V_FUT_UTEIS]], L$5, FALSE)</f>
        <v>#N/A</v>
      </c>
    </row>
    <row r="643" spans="1:12">
      <c r="A643" s="19">
        <f t="shared" si="54"/>
        <v>637</v>
      </c>
      <c r="B643" s="20">
        <f t="shared" si="50"/>
        <v>1322.3857598763798</v>
      </c>
      <c r="C643" s="21">
        <f t="shared" si="51"/>
        <v>1322.3857598763798</v>
      </c>
      <c r="D643" s="22">
        <f>VLOOKUP($A643, TAB_JUROS_U[[Q_DIAS_U_PARC_TIR]:[V_FUT_U_JURS CENARIO]], D$5, FALSE)</f>
        <v>103.32081060738798</v>
      </c>
      <c r="E643" s="22">
        <f>VLOOKUP($A643,TAB_CORRECAO_U[[Q_DIAS_U_PARC_TIR]:[V_FUT_U_CORC-02]],E$5, FALSE)</f>
        <v>658.16280458629649</v>
      </c>
      <c r="F643" s="22">
        <f>VLOOKUP($A643,TAB_AMORTIZACAO_U[[Q_DIAS_U_PARC_TIR]:[V_FUT_U_PCPL-02]], F$5, FALSE)</f>
        <v>560.90214468269539</v>
      </c>
      <c r="H643" s="20">
        <f t="shared" si="52"/>
        <v>0</v>
      </c>
      <c r="I643" s="21">
        <f t="shared" si="53"/>
        <v>0</v>
      </c>
      <c r="J643" s="22" t="e">
        <f>VLOOKUP($A643, TAB_JUROS_C[[DIAS_CORRIDOS]:[V_FUT_UTEIS]], J$5, FALSE)</f>
        <v>#N/A</v>
      </c>
      <c r="K643" s="22" t="e">
        <f>VLOOKUP($A643, TAB_CORRECAO_C[[DIAS_CORRIDOS]:[V_FUT_UTEIS]],K$5, FALSE)</f>
        <v>#N/A</v>
      </c>
      <c r="L643" s="22" t="e">
        <f>VLOOKUP($A643, TAB_AMORTIZACAO_C[[DIAS_CORRIDOS]:[V_FUT_UTEIS]], L$5, FALSE)</f>
        <v>#N/A</v>
      </c>
    </row>
    <row r="644" spans="1:12" hidden="1">
      <c r="A644" s="19">
        <f t="shared" si="54"/>
        <v>638</v>
      </c>
      <c r="B644" s="20">
        <f t="shared" si="50"/>
        <v>0</v>
      </c>
      <c r="C644" s="21">
        <f t="shared" si="51"/>
        <v>0</v>
      </c>
      <c r="D644" s="22" t="e">
        <f>VLOOKUP($A644, TAB_JUROS_U[[Q_DIAS_U_PARC_TIR]:[V_FUT_U_JURS CENARIO]], D$5, FALSE)</f>
        <v>#N/A</v>
      </c>
      <c r="E644" s="22" t="e">
        <f>VLOOKUP($A644,TAB_CORRECAO_U[[Q_DIAS_U_PARC_TIR]:[V_FUT_U_CORC-02]],E$5, FALSE)</f>
        <v>#N/A</v>
      </c>
      <c r="F644" s="22" t="e">
        <f>VLOOKUP($A644,TAB_AMORTIZACAO_U[[Q_DIAS_U_PARC_TIR]:[V_FUT_U_PCPL-02]], F$5, FALSE)</f>
        <v>#N/A</v>
      </c>
      <c r="H644" s="20">
        <f t="shared" si="52"/>
        <v>0</v>
      </c>
      <c r="I644" s="21">
        <f t="shared" si="53"/>
        <v>0</v>
      </c>
      <c r="J644" s="22" t="e">
        <f>VLOOKUP($A644, TAB_JUROS_C[[DIAS_CORRIDOS]:[V_FUT_UTEIS]], J$5, FALSE)</f>
        <v>#N/A</v>
      </c>
      <c r="K644" s="22" t="e">
        <f>VLOOKUP($A644, TAB_CORRECAO_C[[DIAS_CORRIDOS]:[V_FUT_UTEIS]],K$5, FALSE)</f>
        <v>#N/A</v>
      </c>
      <c r="L644" s="22" t="e">
        <f>VLOOKUP($A644, TAB_AMORTIZACAO_C[[DIAS_CORRIDOS]:[V_FUT_UTEIS]], L$5, FALSE)</f>
        <v>#N/A</v>
      </c>
    </row>
    <row r="645" spans="1:12" hidden="1">
      <c r="A645" s="19">
        <f t="shared" si="54"/>
        <v>639</v>
      </c>
      <c r="B645" s="20">
        <f t="shared" si="50"/>
        <v>0</v>
      </c>
      <c r="C645" s="21">
        <f t="shared" si="51"/>
        <v>0</v>
      </c>
      <c r="D645" s="22" t="e">
        <f>VLOOKUP($A645, TAB_JUROS_U[[Q_DIAS_U_PARC_TIR]:[V_FUT_U_JURS CENARIO]], D$5, FALSE)</f>
        <v>#N/A</v>
      </c>
      <c r="E645" s="22" t="e">
        <f>VLOOKUP($A645,TAB_CORRECAO_U[[Q_DIAS_U_PARC_TIR]:[V_FUT_U_CORC-02]],E$5, FALSE)</f>
        <v>#N/A</v>
      </c>
      <c r="F645" s="22" t="e">
        <f>VLOOKUP($A645,TAB_AMORTIZACAO_U[[Q_DIAS_U_PARC_TIR]:[V_FUT_U_PCPL-02]], F$5, FALSE)</f>
        <v>#N/A</v>
      </c>
      <c r="H645" s="20">
        <f t="shared" si="52"/>
        <v>0</v>
      </c>
      <c r="I645" s="21">
        <f t="shared" si="53"/>
        <v>0</v>
      </c>
      <c r="J645" s="22" t="e">
        <f>VLOOKUP($A645, TAB_JUROS_C[[DIAS_CORRIDOS]:[V_FUT_UTEIS]], J$5, FALSE)</f>
        <v>#N/A</v>
      </c>
      <c r="K645" s="22" t="e">
        <f>VLOOKUP($A645, TAB_CORRECAO_C[[DIAS_CORRIDOS]:[V_FUT_UTEIS]],K$5, FALSE)</f>
        <v>#N/A</v>
      </c>
      <c r="L645" s="22" t="e">
        <f>VLOOKUP($A645, TAB_AMORTIZACAO_C[[DIAS_CORRIDOS]:[V_FUT_UTEIS]], L$5, FALSE)</f>
        <v>#N/A</v>
      </c>
    </row>
    <row r="646" spans="1:12" hidden="1">
      <c r="A646" s="19">
        <f t="shared" si="54"/>
        <v>640</v>
      </c>
      <c r="B646" s="20">
        <f t="shared" si="50"/>
        <v>0</v>
      </c>
      <c r="C646" s="21">
        <f t="shared" si="51"/>
        <v>0</v>
      </c>
      <c r="D646" s="22" t="e">
        <f>VLOOKUP($A646, TAB_JUROS_U[[Q_DIAS_U_PARC_TIR]:[V_FUT_U_JURS CENARIO]], D$5, FALSE)</f>
        <v>#N/A</v>
      </c>
      <c r="E646" s="22" t="e">
        <f>VLOOKUP($A646,TAB_CORRECAO_U[[Q_DIAS_U_PARC_TIR]:[V_FUT_U_CORC-02]],E$5, FALSE)</f>
        <v>#N/A</v>
      </c>
      <c r="F646" s="22" t="e">
        <f>VLOOKUP($A646,TAB_AMORTIZACAO_U[[Q_DIAS_U_PARC_TIR]:[V_FUT_U_PCPL-02]], F$5, FALSE)</f>
        <v>#N/A</v>
      </c>
      <c r="H646" s="20">
        <f t="shared" si="52"/>
        <v>0</v>
      </c>
      <c r="I646" s="21">
        <f t="shared" si="53"/>
        <v>0</v>
      </c>
      <c r="J646" s="22" t="e">
        <f>VLOOKUP($A646, TAB_JUROS_C[[DIAS_CORRIDOS]:[V_FUT_UTEIS]], J$5, FALSE)</f>
        <v>#N/A</v>
      </c>
      <c r="K646" s="22" t="e">
        <f>VLOOKUP($A646, TAB_CORRECAO_C[[DIAS_CORRIDOS]:[V_FUT_UTEIS]],K$5, FALSE)</f>
        <v>#N/A</v>
      </c>
      <c r="L646" s="22" t="e">
        <f>VLOOKUP($A646, TAB_AMORTIZACAO_C[[DIAS_CORRIDOS]:[V_FUT_UTEIS]], L$5, FALSE)</f>
        <v>#N/A</v>
      </c>
    </row>
    <row r="647" spans="1:12" hidden="1">
      <c r="A647" s="19">
        <f t="shared" si="54"/>
        <v>641</v>
      </c>
      <c r="B647" s="20">
        <f t="shared" si="50"/>
        <v>0</v>
      </c>
      <c r="C647" s="21">
        <f t="shared" si="51"/>
        <v>0</v>
      </c>
      <c r="D647" s="22" t="e">
        <f>VLOOKUP($A647, TAB_JUROS_U[[Q_DIAS_U_PARC_TIR]:[V_FUT_U_JURS CENARIO]], D$5, FALSE)</f>
        <v>#N/A</v>
      </c>
      <c r="E647" s="22" t="e">
        <f>VLOOKUP($A647,TAB_CORRECAO_U[[Q_DIAS_U_PARC_TIR]:[V_FUT_U_CORC-02]],E$5, FALSE)</f>
        <v>#N/A</v>
      </c>
      <c r="F647" s="22" t="e">
        <f>VLOOKUP($A647,TAB_AMORTIZACAO_U[[Q_DIAS_U_PARC_TIR]:[V_FUT_U_PCPL-02]], F$5, FALSE)</f>
        <v>#N/A</v>
      </c>
      <c r="H647" s="20">
        <f t="shared" si="52"/>
        <v>0</v>
      </c>
      <c r="I647" s="21">
        <f t="shared" si="53"/>
        <v>0</v>
      </c>
      <c r="J647" s="22" t="e">
        <f>VLOOKUP($A647, TAB_JUROS_C[[DIAS_CORRIDOS]:[V_FUT_UTEIS]], J$5, FALSE)</f>
        <v>#N/A</v>
      </c>
      <c r="K647" s="22" t="e">
        <f>VLOOKUP($A647, TAB_CORRECAO_C[[DIAS_CORRIDOS]:[V_FUT_UTEIS]],K$5, FALSE)</f>
        <v>#N/A</v>
      </c>
      <c r="L647" s="22" t="e">
        <f>VLOOKUP($A647, TAB_AMORTIZACAO_C[[DIAS_CORRIDOS]:[V_FUT_UTEIS]], L$5, FALSE)</f>
        <v>#N/A</v>
      </c>
    </row>
    <row r="648" spans="1:12" hidden="1">
      <c r="A648" s="19">
        <f t="shared" si="54"/>
        <v>642</v>
      </c>
      <c r="B648" s="20">
        <f t="shared" si="50"/>
        <v>0</v>
      </c>
      <c r="C648" s="21">
        <f t="shared" si="51"/>
        <v>0</v>
      </c>
      <c r="D648" s="22" t="e">
        <f>VLOOKUP($A648, TAB_JUROS_U[[Q_DIAS_U_PARC_TIR]:[V_FUT_U_JURS CENARIO]], D$5, FALSE)</f>
        <v>#N/A</v>
      </c>
      <c r="E648" s="22" t="e">
        <f>VLOOKUP($A648,TAB_CORRECAO_U[[Q_DIAS_U_PARC_TIR]:[V_FUT_U_CORC-02]],E$5, FALSE)</f>
        <v>#N/A</v>
      </c>
      <c r="F648" s="22" t="e">
        <f>VLOOKUP($A648,TAB_AMORTIZACAO_U[[Q_DIAS_U_PARC_TIR]:[V_FUT_U_PCPL-02]], F$5, FALSE)</f>
        <v>#N/A</v>
      </c>
      <c r="H648" s="20">
        <f t="shared" si="52"/>
        <v>0</v>
      </c>
      <c r="I648" s="21">
        <f t="shared" si="53"/>
        <v>0</v>
      </c>
      <c r="J648" s="22" t="e">
        <f>VLOOKUP($A648, TAB_JUROS_C[[DIAS_CORRIDOS]:[V_FUT_UTEIS]], J$5, FALSE)</f>
        <v>#N/A</v>
      </c>
      <c r="K648" s="22" t="e">
        <f>VLOOKUP($A648, TAB_CORRECAO_C[[DIAS_CORRIDOS]:[V_FUT_UTEIS]],K$5, FALSE)</f>
        <v>#N/A</v>
      </c>
      <c r="L648" s="22" t="e">
        <f>VLOOKUP($A648, TAB_AMORTIZACAO_C[[DIAS_CORRIDOS]:[V_FUT_UTEIS]], L$5, FALSE)</f>
        <v>#N/A</v>
      </c>
    </row>
    <row r="649" spans="1:12" hidden="1">
      <c r="A649" s="19">
        <f t="shared" si="54"/>
        <v>643</v>
      </c>
      <c r="B649" s="20">
        <f t="shared" ref="B649:B712" si="55">IF(ISERROR(C649), 0, C649)</f>
        <v>0</v>
      </c>
      <c r="C649" s="21">
        <f t="shared" ref="C649:C712" si="56">SUMIF(D649:F649, "&gt;0", D649:F649)</f>
        <v>0</v>
      </c>
      <c r="D649" s="22" t="e">
        <f>VLOOKUP($A649, TAB_JUROS_U[[Q_DIAS_U_PARC_TIR]:[V_FUT_U_JURS CENARIO]], D$5, FALSE)</f>
        <v>#N/A</v>
      </c>
      <c r="E649" s="22" t="e">
        <f>VLOOKUP($A649,TAB_CORRECAO_U[[Q_DIAS_U_PARC_TIR]:[V_FUT_U_CORC-02]],E$5, FALSE)</f>
        <v>#N/A</v>
      </c>
      <c r="F649" s="22" t="e">
        <f>VLOOKUP($A649,TAB_AMORTIZACAO_U[[Q_DIAS_U_PARC_TIR]:[V_FUT_U_PCPL-02]], F$5, FALSE)</f>
        <v>#N/A</v>
      </c>
      <c r="H649" s="20">
        <f t="shared" ref="H649:H712" si="57">IF(ISERROR(I649), 0, I649)</f>
        <v>0</v>
      </c>
      <c r="I649" s="21">
        <f t="shared" ref="I649:I712" si="58">SUMIF(J649:L649, "&gt;0", J649:L649)</f>
        <v>0</v>
      </c>
      <c r="J649" s="22" t="e">
        <f>VLOOKUP($A649, TAB_JUROS_C[[DIAS_CORRIDOS]:[V_FUT_UTEIS]], J$5, FALSE)</f>
        <v>#N/A</v>
      </c>
      <c r="K649" s="22" t="e">
        <f>VLOOKUP($A649, TAB_CORRECAO_C[[DIAS_CORRIDOS]:[V_FUT_UTEIS]],K$5, FALSE)</f>
        <v>#N/A</v>
      </c>
      <c r="L649" s="22" t="e">
        <f>VLOOKUP($A649, TAB_AMORTIZACAO_C[[DIAS_CORRIDOS]:[V_FUT_UTEIS]], L$5, FALSE)</f>
        <v>#N/A</v>
      </c>
    </row>
    <row r="650" spans="1:12" hidden="1">
      <c r="A650" s="19">
        <f t="shared" ref="A650:A713" si="59">A649+1</f>
        <v>644</v>
      </c>
      <c r="B650" s="20">
        <f t="shared" si="55"/>
        <v>0</v>
      </c>
      <c r="C650" s="21">
        <f t="shared" si="56"/>
        <v>0</v>
      </c>
      <c r="D650" s="22" t="e">
        <f>VLOOKUP($A650, TAB_JUROS_U[[Q_DIAS_U_PARC_TIR]:[V_FUT_U_JURS CENARIO]], D$5, FALSE)</f>
        <v>#N/A</v>
      </c>
      <c r="E650" s="22" t="e">
        <f>VLOOKUP($A650,TAB_CORRECAO_U[[Q_DIAS_U_PARC_TIR]:[V_FUT_U_CORC-02]],E$5, FALSE)</f>
        <v>#N/A</v>
      </c>
      <c r="F650" s="22" t="e">
        <f>VLOOKUP($A650,TAB_AMORTIZACAO_U[[Q_DIAS_U_PARC_TIR]:[V_FUT_U_PCPL-02]], F$5, FALSE)</f>
        <v>#N/A</v>
      </c>
      <c r="H650" s="20">
        <f t="shared" si="57"/>
        <v>0</v>
      </c>
      <c r="I650" s="21">
        <f t="shared" si="58"/>
        <v>0</v>
      </c>
      <c r="J650" s="22" t="e">
        <f>VLOOKUP($A650, TAB_JUROS_C[[DIAS_CORRIDOS]:[V_FUT_UTEIS]], J$5, FALSE)</f>
        <v>#N/A</v>
      </c>
      <c r="K650" s="22" t="e">
        <f>VLOOKUP($A650, TAB_CORRECAO_C[[DIAS_CORRIDOS]:[V_FUT_UTEIS]],K$5, FALSE)</f>
        <v>#N/A</v>
      </c>
      <c r="L650" s="22" t="e">
        <f>VLOOKUP($A650, TAB_AMORTIZACAO_C[[DIAS_CORRIDOS]:[V_FUT_UTEIS]], L$5, FALSE)</f>
        <v>#N/A</v>
      </c>
    </row>
    <row r="651" spans="1:12" hidden="1">
      <c r="A651" s="19">
        <f t="shared" si="59"/>
        <v>645</v>
      </c>
      <c r="B651" s="20">
        <f t="shared" si="55"/>
        <v>0</v>
      </c>
      <c r="C651" s="21">
        <f t="shared" si="56"/>
        <v>0</v>
      </c>
      <c r="D651" s="22" t="e">
        <f>VLOOKUP($A651, TAB_JUROS_U[[Q_DIAS_U_PARC_TIR]:[V_FUT_U_JURS CENARIO]], D$5, FALSE)</f>
        <v>#N/A</v>
      </c>
      <c r="E651" s="22" t="e">
        <f>VLOOKUP($A651,TAB_CORRECAO_U[[Q_DIAS_U_PARC_TIR]:[V_FUT_U_CORC-02]],E$5, FALSE)</f>
        <v>#N/A</v>
      </c>
      <c r="F651" s="22" t="e">
        <f>VLOOKUP($A651,TAB_AMORTIZACAO_U[[Q_DIAS_U_PARC_TIR]:[V_FUT_U_PCPL-02]], F$5, FALSE)</f>
        <v>#N/A</v>
      </c>
      <c r="H651" s="20">
        <f t="shared" si="57"/>
        <v>0</v>
      </c>
      <c r="I651" s="21">
        <f t="shared" si="58"/>
        <v>0</v>
      </c>
      <c r="J651" s="22" t="e">
        <f>VLOOKUP($A651, TAB_JUROS_C[[DIAS_CORRIDOS]:[V_FUT_UTEIS]], J$5, FALSE)</f>
        <v>#N/A</v>
      </c>
      <c r="K651" s="22" t="e">
        <f>VLOOKUP($A651, TAB_CORRECAO_C[[DIAS_CORRIDOS]:[V_FUT_UTEIS]],K$5, FALSE)</f>
        <v>#N/A</v>
      </c>
      <c r="L651" s="22" t="e">
        <f>VLOOKUP($A651, TAB_AMORTIZACAO_C[[DIAS_CORRIDOS]:[V_FUT_UTEIS]], L$5, FALSE)</f>
        <v>#N/A</v>
      </c>
    </row>
    <row r="652" spans="1:12" hidden="1">
      <c r="A652" s="19">
        <f t="shared" si="59"/>
        <v>646</v>
      </c>
      <c r="B652" s="20">
        <f t="shared" si="55"/>
        <v>0</v>
      </c>
      <c r="C652" s="21">
        <f t="shared" si="56"/>
        <v>0</v>
      </c>
      <c r="D652" s="22" t="e">
        <f>VLOOKUP($A652, TAB_JUROS_U[[Q_DIAS_U_PARC_TIR]:[V_FUT_U_JURS CENARIO]], D$5, FALSE)</f>
        <v>#N/A</v>
      </c>
      <c r="E652" s="22" t="e">
        <f>VLOOKUP($A652,TAB_CORRECAO_U[[Q_DIAS_U_PARC_TIR]:[V_FUT_U_CORC-02]],E$5, FALSE)</f>
        <v>#N/A</v>
      </c>
      <c r="F652" s="22" t="e">
        <f>VLOOKUP($A652,TAB_AMORTIZACAO_U[[Q_DIAS_U_PARC_TIR]:[V_FUT_U_PCPL-02]], F$5, FALSE)</f>
        <v>#N/A</v>
      </c>
      <c r="H652" s="20">
        <f t="shared" si="57"/>
        <v>0</v>
      </c>
      <c r="I652" s="21">
        <f t="shared" si="58"/>
        <v>0</v>
      </c>
      <c r="J652" s="22" t="e">
        <f>VLOOKUP($A652, TAB_JUROS_C[[DIAS_CORRIDOS]:[V_FUT_UTEIS]], J$5, FALSE)</f>
        <v>#N/A</v>
      </c>
      <c r="K652" s="22" t="e">
        <f>VLOOKUP($A652, TAB_CORRECAO_C[[DIAS_CORRIDOS]:[V_FUT_UTEIS]],K$5, FALSE)</f>
        <v>#N/A</v>
      </c>
      <c r="L652" s="22" t="e">
        <f>VLOOKUP($A652, TAB_AMORTIZACAO_C[[DIAS_CORRIDOS]:[V_FUT_UTEIS]], L$5, FALSE)</f>
        <v>#N/A</v>
      </c>
    </row>
    <row r="653" spans="1:12" hidden="1">
      <c r="A653" s="19">
        <f t="shared" si="59"/>
        <v>647</v>
      </c>
      <c r="B653" s="20">
        <f t="shared" si="55"/>
        <v>0</v>
      </c>
      <c r="C653" s="21">
        <f t="shared" si="56"/>
        <v>0</v>
      </c>
      <c r="D653" s="22" t="e">
        <f>VLOOKUP($A653, TAB_JUROS_U[[Q_DIAS_U_PARC_TIR]:[V_FUT_U_JURS CENARIO]], D$5, FALSE)</f>
        <v>#N/A</v>
      </c>
      <c r="E653" s="22" t="e">
        <f>VLOOKUP($A653,TAB_CORRECAO_U[[Q_DIAS_U_PARC_TIR]:[V_FUT_U_CORC-02]],E$5, FALSE)</f>
        <v>#N/A</v>
      </c>
      <c r="F653" s="22" t="e">
        <f>VLOOKUP($A653,TAB_AMORTIZACAO_U[[Q_DIAS_U_PARC_TIR]:[V_FUT_U_PCPL-02]], F$5, FALSE)</f>
        <v>#N/A</v>
      </c>
      <c r="H653" s="20">
        <f t="shared" si="57"/>
        <v>0</v>
      </c>
      <c r="I653" s="21">
        <f t="shared" si="58"/>
        <v>0</v>
      </c>
      <c r="J653" s="22" t="e">
        <f>VLOOKUP($A653, TAB_JUROS_C[[DIAS_CORRIDOS]:[V_FUT_UTEIS]], J$5, FALSE)</f>
        <v>#N/A</v>
      </c>
      <c r="K653" s="22" t="e">
        <f>VLOOKUP($A653, TAB_CORRECAO_C[[DIAS_CORRIDOS]:[V_FUT_UTEIS]],K$5, FALSE)</f>
        <v>#N/A</v>
      </c>
      <c r="L653" s="22" t="e">
        <f>VLOOKUP($A653, TAB_AMORTIZACAO_C[[DIAS_CORRIDOS]:[V_FUT_UTEIS]], L$5, FALSE)</f>
        <v>#N/A</v>
      </c>
    </row>
    <row r="654" spans="1:12" hidden="1">
      <c r="A654" s="19">
        <f t="shared" si="59"/>
        <v>648</v>
      </c>
      <c r="B654" s="20">
        <f t="shared" si="55"/>
        <v>0</v>
      </c>
      <c r="C654" s="21">
        <f t="shared" si="56"/>
        <v>0</v>
      </c>
      <c r="D654" s="22" t="e">
        <f>VLOOKUP($A654, TAB_JUROS_U[[Q_DIAS_U_PARC_TIR]:[V_FUT_U_JURS CENARIO]], D$5, FALSE)</f>
        <v>#N/A</v>
      </c>
      <c r="E654" s="22" t="e">
        <f>VLOOKUP($A654,TAB_CORRECAO_U[[Q_DIAS_U_PARC_TIR]:[V_FUT_U_CORC-02]],E$5, FALSE)</f>
        <v>#N/A</v>
      </c>
      <c r="F654" s="22" t="e">
        <f>VLOOKUP($A654,TAB_AMORTIZACAO_U[[Q_DIAS_U_PARC_TIR]:[V_FUT_U_PCPL-02]], F$5, FALSE)</f>
        <v>#N/A</v>
      </c>
      <c r="H654" s="20">
        <f t="shared" si="57"/>
        <v>0</v>
      </c>
      <c r="I654" s="21">
        <f t="shared" si="58"/>
        <v>0</v>
      </c>
      <c r="J654" s="22" t="e">
        <f>VLOOKUP($A654, TAB_JUROS_C[[DIAS_CORRIDOS]:[V_FUT_UTEIS]], J$5, FALSE)</f>
        <v>#N/A</v>
      </c>
      <c r="K654" s="22" t="e">
        <f>VLOOKUP($A654, TAB_CORRECAO_C[[DIAS_CORRIDOS]:[V_FUT_UTEIS]],K$5, FALSE)</f>
        <v>#N/A</v>
      </c>
      <c r="L654" s="22" t="e">
        <f>VLOOKUP($A654, TAB_AMORTIZACAO_C[[DIAS_CORRIDOS]:[V_FUT_UTEIS]], L$5, FALSE)</f>
        <v>#N/A</v>
      </c>
    </row>
    <row r="655" spans="1:12" hidden="1">
      <c r="A655" s="19">
        <f t="shared" si="59"/>
        <v>649</v>
      </c>
      <c r="B655" s="20">
        <f t="shared" si="55"/>
        <v>0</v>
      </c>
      <c r="C655" s="21">
        <f t="shared" si="56"/>
        <v>0</v>
      </c>
      <c r="D655" s="22" t="e">
        <f>VLOOKUP($A655, TAB_JUROS_U[[Q_DIAS_U_PARC_TIR]:[V_FUT_U_JURS CENARIO]], D$5, FALSE)</f>
        <v>#N/A</v>
      </c>
      <c r="E655" s="22" t="e">
        <f>VLOOKUP($A655,TAB_CORRECAO_U[[Q_DIAS_U_PARC_TIR]:[V_FUT_U_CORC-02]],E$5, FALSE)</f>
        <v>#N/A</v>
      </c>
      <c r="F655" s="22" t="e">
        <f>VLOOKUP($A655,TAB_AMORTIZACAO_U[[Q_DIAS_U_PARC_TIR]:[V_FUT_U_PCPL-02]], F$5, FALSE)</f>
        <v>#N/A</v>
      </c>
      <c r="H655" s="20">
        <f t="shared" si="57"/>
        <v>0</v>
      </c>
      <c r="I655" s="21">
        <f t="shared" si="58"/>
        <v>0</v>
      </c>
      <c r="J655" s="22" t="e">
        <f>VLOOKUP($A655, TAB_JUROS_C[[DIAS_CORRIDOS]:[V_FUT_UTEIS]], J$5, FALSE)</f>
        <v>#N/A</v>
      </c>
      <c r="K655" s="22" t="e">
        <f>VLOOKUP($A655, TAB_CORRECAO_C[[DIAS_CORRIDOS]:[V_FUT_UTEIS]],K$5, FALSE)</f>
        <v>#N/A</v>
      </c>
      <c r="L655" s="22" t="e">
        <f>VLOOKUP($A655, TAB_AMORTIZACAO_C[[DIAS_CORRIDOS]:[V_FUT_UTEIS]], L$5, FALSE)</f>
        <v>#N/A</v>
      </c>
    </row>
    <row r="656" spans="1:12" hidden="1">
      <c r="A656" s="19">
        <f t="shared" si="59"/>
        <v>650</v>
      </c>
      <c r="B656" s="20">
        <f t="shared" si="55"/>
        <v>0</v>
      </c>
      <c r="C656" s="21">
        <f t="shared" si="56"/>
        <v>0</v>
      </c>
      <c r="D656" s="22" t="e">
        <f>VLOOKUP($A656, TAB_JUROS_U[[Q_DIAS_U_PARC_TIR]:[V_FUT_U_JURS CENARIO]], D$5, FALSE)</f>
        <v>#N/A</v>
      </c>
      <c r="E656" s="22" t="e">
        <f>VLOOKUP($A656,TAB_CORRECAO_U[[Q_DIAS_U_PARC_TIR]:[V_FUT_U_CORC-02]],E$5, FALSE)</f>
        <v>#N/A</v>
      </c>
      <c r="F656" s="22" t="e">
        <f>VLOOKUP($A656,TAB_AMORTIZACAO_U[[Q_DIAS_U_PARC_TIR]:[V_FUT_U_PCPL-02]], F$5, FALSE)</f>
        <v>#N/A</v>
      </c>
      <c r="H656" s="20">
        <f t="shared" si="57"/>
        <v>0</v>
      </c>
      <c r="I656" s="21">
        <f t="shared" si="58"/>
        <v>0</v>
      </c>
      <c r="J656" s="22" t="e">
        <f>VLOOKUP($A656, TAB_JUROS_C[[DIAS_CORRIDOS]:[V_FUT_UTEIS]], J$5, FALSE)</f>
        <v>#N/A</v>
      </c>
      <c r="K656" s="22" t="e">
        <f>VLOOKUP($A656, TAB_CORRECAO_C[[DIAS_CORRIDOS]:[V_FUT_UTEIS]],K$5, FALSE)</f>
        <v>#N/A</v>
      </c>
      <c r="L656" s="22" t="e">
        <f>VLOOKUP($A656, TAB_AMORTIZACAO_C[[DIAS_CORRIDOS]:[V_FUT_UTEIS]], L$5, FALSE)</f>
        <v>#N/A</v>
      </c>
    </row>
    <row r="657" spans="1:12" hidden="1">
      <c r="A657" s="19">
        <f t="shared" si="59"/>
        <v>651</v>
      </c>
      <c r="B657" s="20">
        <f t="shared" si="55"/>
        <v>0</v>
      </c>
      <c r="C657" s="21">
        <f t="shared" si="56"/>
        <v>0</v>
      </c>
      <c r="D657" s="22" t="e">
        <f>VLOOKUP($A657, TAB_JUROS_U[[Q_DIAS_U_PARC_TIR]:[V_FUT_U_JURS CENARIO]], D$5, FALSE)</f>
        <v>#N/A</v>
      </c>
      <c r="E657" s="22" t="e">
        <f>VLOOKUP($A657,TAB_CORRECAO_U[[Q_DIAS_U_PARC_TIR]:[V_FUT_U_CORC-02]],E$5, FALSE)</f>
        <v>#N/A</v>
      </c>
      <c r="F657" s="22" t="e">
        <f>VLOOKUP($A657,TAB_AMORTIZACAO_U[[Q_DIAS_U_PARC_TIR]:[V_FUT_U_PCPL-02]], F$5, FALSE)</f>
        <v>#N/A</v>
      </c>
      <c r="H657" s="20">
        <f t="shared" si="57"/>
        <v>0</v>
      </c>
      <c r="I657" s="21">
        <f t="shared" si="58"/>
        <v>0</v>
      </c>
      <c r="J657" s="22" t="e">
        <f>VLOOKUP($A657, TAB_JUROS_C[[DIAS_CORRIDOS]:[V_FUT_UTEIS]], J$5, FALSE)</f>
        <v>#N/A</v>
      </c>
      <c r="K657" s="22" t="e">
        <f>VLOOKUP($A657, TAB_CORRECAO_C[[DIAS_CORRIDOS]:[V_FUT_UTEIS]],K$5, FALSE)</f>
        <v>#N/A</v>
      </c>
      <c r="L657" s="22" t="e">
        <f>VLOOKUP($A657, TAB_AMORTIZACAO_C[[DIAS_CORRIDOS]:[V_FUT_UTEIS]], L$5, FALSE)</f>
        <v>#N/A</v>
      </c>
    </row>
    <row r="658" spans="1:12" hidden="1">
      <c r="A658" s="19">
        <f t="shared" si="59"/>
        <v>652</v>
      </c>
      <c r="B658" s="20">
        <f t="shared" si="55"/>
        <v>0</v>
      </c>
      <c r="C658" s="21">
        <f t="shared" si="56"/>
        <v>0</v>
      </c>
      <c r="D658" s="22" t="e">
        <f>VLOOKUP($A658, TAB_JUROS_U[[Q_DIAS_U_PARC_TIR]:[V_FUT_U_JURS CENARIO]], D$5, FALSE)</f>
        <v>#N/A</v>
      </c>
      <c r="E658" s="22" t="e">
        <f>VLOOKUP($A658,TAB_CORRECAO_U[[Q_DIAS_U_PARC_TIR]:[V_FUT_U_CORC-02]],E$5, FALSE)</f>
        <v>#N/A</v>
      </c>
      <c r="F658" s="22" t="e">
        <f>VLOOKUP($A658,TAB_AMORTIZACAO_U[[Q_DIAS_U_PARC_TIR]:[V_FUT_U_PCPL-02]], F$5, FALSE)</f>
        <v>#N/A</v>
      </c>
      <c r="H658" s="20">
        <f t="shared" si="57"/>
        <v>1569.0124227545666</v>
      </c>
      <c r="I658" s="21">
        <f t="shared" si="58"/>
        <v>1569.0124227545666</v>
      </c>
      <c r="J658" s="22">
        <f>VLOOKUP($A658, TAB_JUROS_C[[DIAS_CORRIDOS]:[V_FUT_UTEIS]], J$5, FALSE)</f>
        <v>122.15767062649142</v>
      </c>
      <c r="K658" s="22">
        <f>VLOOKUP($A658, TAB_CORRECAO_C[[DIAS_CORRIDOS]:[V_FUT_UTEIS]],K$5, FALSE)</f>
        <v>808.48604251091308</v>
      </c>
      <c r="L658" s="22">
        <f>VLOOKUP($A658, TAB_AMORTIZACAO_C[[DIAS_CORRIDOS]:[V_FUT_UTEIS]], L$5, FALSE)</f>
        <v>638.36870961716215</v>
      </c>
    </row>
    <row r="659" spans="1:12" hidden="1">
      <c r="A659" s="19">
        <f t="shared" si="59"/>
        <v>653</v>
      </c>
      <c r="B659" s="20">
        <f t="shared" si="55"/>
        <v>0</v>
      </c>
      <c r="C659" s="21">
        <f t="shared" si="56"/>
        <v>0</v>
      </c>
      <c r="D659" s="22" t="e">
        <f>VLOOKUP($A659, TAB_JUROS_U[[Q_DIAS_U_PARC_TIR]:[V_FUT_U_JURS CENARIO]], D$5, FALSE)</f>
        <v>#N/A</v>
      </c>
      <c r="E659" s="22" t="e">
        <f>VLOOKUP($A659,TAB_CORRECAO_U[[Q_DIAS_U_PARC_TIR]:[V_FUT_U_CORC-02]],E$5, FALSE)</f>
        <v>#N/A</v>
      </c>
      <c r="F659" s="22" t="e">
        <f>VLOOKUP($A659,TAB_AMORTIZACAO_U[[Q_DIAS_U_PARC_TIR]:[V_FUT_U_PCPL-02]], F$5, FALSE)</f>
        <v>#N/A</v>
      </c>
      <c r="H659" s="20">
        <f t="shared" si="57"/>
        <v>0</v>
      </c>
      <c r="I659" s="21">
        <f t="shared" si="58"/>
        <v>0</v>
      </c>
      <c r="J659" s="22" t="e">
        <f>VLOOKUP($A659, TAB_JUROS_C[[DIAS_CORRIDOS]:[V_FUT_UTEIS]], J$5, FALSE)</f>
        <v>#N/A</v>
      </c>
      <c r="K659" s="22" t="e">
        <f>VLOOKUP($A659, TAB_CORRECAO_C[[DIAS_CORRIDOS]:[V_FUT_UTEIS]],K$5, FALSE)</f>
        <v>#N/A</v>
      </c>
      <c r="L659" s="22" t="e">
        <f>VLOOKUP($A659, TAB_AMORTIZACAO_C[[DIAS_CORRIDOS]:[V_FUT_UTEIS]], L$5, FALSE)</f>
        <v>#N/A</v>
      </c>
    </row>
    <row r="660" spans="1:12" hidden="1">
      <c r="A660" s="19">
        <f t="shared" si="59"/>
        <v>654</v>
      </c>
      <c r="B660" s="20">
        <f t="shared" si="55"/>
        <v>0</v>
      </c>
      <c r="C660" s="21">
        <f t="shared" si="56"/>
        <v>0</v>
      </c>
      <c r="D660" s="22" t="e">
        <f>VLOOKUP($A660, TAB_JUROS_U[[Q_DIAS_U_PARC_TIR]:[V_FUT_U_JURS CENARIO]], D$5, FALSE)</f>
        <v>#N/A</v>
      </c>
      <c r="E660" s="22" t="e">
        <f>VLOOKUP($A660,TAB_CORRECAO_U[[Q_DIAS_U_PARC_TIR]:[V_FUT_U_CORC-02]],E$5, FALSE)</f>
        <v>#N/A</v>
      </c>
      <c r="F660" s="22" t="e">
        <f>VLOOKUP($A660,TAB_AMORTIZACAO_U[[Q_DIAS_U_PARC_TIR]:[V_FUT_U_PCPL-02]], F$5, FALSE)</f>
        <v>#N/A</v>
      </c>
      <c r="H660" s="20">
        <f t="shared" si="57"/>
        <v>0</v>
      </c>
      <c r="I660" s="21">
        <f t="shared" si="58"/>
        <v>0</v>
      </c>
      <c r="J660" s="22" t="e">
        <f>VLOOKUP($A660, TAB_JUROS_C[[DIAS_CORRIDOS]:[V_FUT_UTEIS]], J$5, FALSE)</f>
        <v>#N/A</v>
      </c>
      <c r="K660" s="22" t="e">
        <f>VLOOKUP($A660, TAB_CORRECAO_C[[DIAS_CORRIDOS]:[V_FUT_UTEIS]],K$5, FALSE)</f>
        <v>#N/A</v>
      </c>
      <c r="L660" s="22" t="e">
        <f>VLOOKUP($A660, TAB_AMORTIZACAO_C[[DIAS_CORRIDOS]:[V_FUT_UTEIS]], L$5, FALSE)</f>
        <v>#N/A</v>
      </c>
    </row>
    <row r="661" spans="1:12" hidden="1">
      <c r="A661" s="19">
        <f t="shared" si="59"/>
        <v>655</v>
      </c>
      <c r="B661" s="20">
        <f t="shared" si="55"/>
        <v>0</v>
      </c>
      <c r="C661" s="21">
        <f t="shared" si="56"/>
        <v>0</v>
      </c>
      <c r="D661" s="22" t="e">
        <f>VLOOKUP($A661, TAB_JUROS_U[[Q_DIAS_U_PARC_TIR]:[V_FUT_U_JURS CENARIO]], D$5, FALSE)</f>
        <v>#N/A</v>
      </c>
      <c r="E661" s="22" t="e">
        <f>VLOOKUP($A661,TAB_CORRECAO_U[[Q_DIAS_U_PARC_TIR]:[V_FUT_U_CORC-02]],E$5, FALSE)</f>
        <v>#N/A</v>
      </c>
      <c r="F661" s="22" t="e">
        <f>VLOOKUP($A661,TAB_AMORTIZACAO_U[[Q_DIAS_U_PARC_TIR]:[V_FUT_U_PCPL-02]], F$5, FALSE)</f>
        <v>#N/A</v>
      </c>
      <c r="H661" s="20">
        <f t="shared" si="57"/>
        <v>0</v>
      </c>
      <c r="I661" s="21">
        <f t="shared" si="58"/>
        <v>0</v>
      </c>
      <c r="J661" s="22" t="e">
        <f>VLOOKUP($A661, TAB_JUROS_C[[DIAS_CORRIDOS]:[V_FUT_UTEIS]], J$5, FALSE)</f>
        <v>#N/A</v>
      </c>
      <c r="K661" s="22" t="e">
        <f>VLOOKUP($A661, TAB_CORRECAO_C[[DIAS_CORRIDOS]:[V_FUT_UTEIS]],K$5, FALSE)</f>
        <v>#N/A</v>
      </c>
      <c r="L661" s="22" t="e">
        <f>VLOOKUP($A661, TAB_AMORTIZACAO_C[[DIAS_CORRIDOS]:[V_FUT_UTEIS]], L$5, FALSE)</f>
        <v>#N/A</v>
      </c>
    </row>
    <row r="662" spans="1:12" hidden="1">
      <c r="A662" s="19">
        <f t="shared" si="59"/>
        <v>656</v>
      </c>
      <c r="B662" s="20">
        <f t="shared" si="55"/>
        <v>0</v>
      </c>
      <c r="C662" s="21">
        <f t="shared" si="56"/>
        <v>0</v>
      </c>
      <c r="D662" s="22" t="e">
        <f>VLOOKUP($A662, TAB_JUROS_U[[Q_DIAS_U_PARC_TIR]:[V_FUT_U_JURS CENARIO]], D$5, FALSE)</f>
        <v>#N/A</v>
      </c>
      <c r="E662" s="22" t="e">
        <f>VLOOKUP($A662,TAB_CORRECAO_U[[Q_DIAS_U_PARC_TIR]:[V_FUT_U_CORC-02]],E$5, FALSE)</f>
        <v>#N/A</v>
      </c>
      <c r="F662" s="22" t="e">
        <f>VLOOKUP($A662,TAB_AMORTIZACAO_U[[Q_DIAS_U_PARC_TIR]:[V_FUT_U_PCPL-02]], F$5, FALSE)</f>
        <v>#N/A</v>
      </c>
      <c r="H662" s="20">
        <f t="shared" si="57"/>
        <v>0</v>
      </c>
      <c r="I662" s="21">
        <f t="shared" si="58"/>
        <v>0</v>
      </c>
      <c r="J662" s="22" t="e">
        <f>VLOOKUP($A662, TAB_JUROS_C[[DIAS_CORRIDOS]:[V_FUT_UTEIS]], J$5, FALSE)</f>
        <v>#N/A</v>
      </c>
      <c r="K662" s="22" t="e">
        <f>VLOOKUP($A662, TAB_CORRECAO_C[[DIAS_CORRIDOS]:[V_FUT_UTEIS]],K$5, FALSE)</f>
        <v>#N/A</v>
      </c>
      <c r="L662" s="22" t="e">
        <f>VLOOKUP($A662, TAB_AMORTIZACAO_C[[DIAS_CORRIDOS]:[V_FUT_UTEIS]], L$5, FALSE)</f>
        <v>#N/A</v>
      </c>
    </row>
    <row r="663" spans="1:12" hidden="1">
      <c r="A663" s="19">
        <f t="shared" si="59"/>
        <v>657</v>
      </c>
      <c r="B663" s="20">
        <f t="shared" si="55"/>
        <v>0</v>
      </c>
      <c r="C663" s="21">
        <f t="shared" si="56"/>
        <v>0</v>
      </c>
      <c r="D663" s="22" t="e">
        <f>VLOOKUP($A663, TAB_JUROS_U[[Q_DIAS_U_PARC_TIR]:[V_FUT_U_JURS CENARIO]], D$5, FALSE)</f>
        <v>#N/A</v>
      </c>
      <c r="E663" s="22" t="e">
        <f>VLOOKUP($A663,TAB_CORRECAO_U[[Q_DIAS_U_PARC_TIR]:[V_FUT_U_CORC-02]],E$5, FALSE)</f>
        <v>#N/A</v>
      </c>
      <c r="F663" s="22" t="e">
        <f>VLOOKUP($A663,TAB_AMORTIZACAO_U[[Q_DIAS_U_PARC_TIR]:[V_FUT_U_PCPL-02]], F$5, FALSE)</f>
        <v>#N/A</v>
      </c>
      <c r="H663" s="20">
        <f t="shared" si="57"/>
        <v>0</v>
      </c>
      <c r="I663" s="21">
        <f t="shared" si="58"/>
        <v>0</v>
      </c>
      <c r="J663" s="22" t="e">
        <f>VLOOKUP($A663, TAB_JUROS_C[[DIAS_CORRIDOS]:[V_FUT_UTEIS]], J$5, FALSE)</f>
        <v>#N/A</v>
      </c>
      <c r="K663" s="22" t="e">
        <f>VLOOKUP($A663, TAB_CORRECAO_C[[DIAS_CORRIDOS]:[V_FUT_UTEIS]],K$5, FALSE)</f>
        <v>#N/A</v>
      </c>
      <c r="L663" s="22" t="e">
        <f>VLOOKUP($A663, TAB_AMORTIZACAO_C[[DIAS_CORRIDOS]:[V_FUT_UTEIS]], L$5, FALSE)</f>
        <v>#N/A</v>
      </c>
    </row>
    <row r="664" spans="1:12" hidden="1">
      <c r="A664" s="19">
        <f t="shared" si="59"/>
        <v>658</v>
      </c>
      <c r="B664" s="20">
        <f t="shared" si="55"/>
        <v>0</v>
      </c>
      <c r="C664" s="21">
        <f t="shared" si="56"/>
        <v>0</v>
      </c>
      <c r="D664" s="22" t="e">
        <f>VLOOKUP($A664, TAB_JUROS_U[[Q_DIAS_U_PARC_TIR]:[V_FUT_U_JURS CENARIO]], D$5, FALSE)</f>
        <v>#N/A</v>
      </c>
      <c r="E664" s="22" t="e">
        <f>VLOOKUP($A664,TAB_CORRECAO_U[[Q_DIAS_U_PARC_TIR]:[V_FUT_U_CORC-02]],E$5, FALSE)</f>
        <v>#N/A</v>
      </c>
      <c r="F664" s="22" t="e">
        <f>VLOOKUP($A664,TAB_AMORTIZACAO_U[[Q_DIAS_U_PARC_TIR]:[V_FUT_U_PCPL-02]], F$5, FALSE)</f>
        <v>#N/A</v>
      </c>
      <c r="H664" s="20">
        <f t="shared" si="57"/>
        <v>0</v>
      </c>
      <c r="I664" s="21">
        <f t="shared" si="58"/>
        <v>0</v>
      </c>
      <c r="J664" s="22" t="e">
        <f>VLOOKUP($A664, TAB_JUROS_C[[DIAS_CORRIDOS]:[V_FUT_UTEIS]], J$5, FALSE)</f>
        <v>#N/A</v>
      </c>
      <c r="K664" s="22" t="e">
        <f>VLOOKUP($A664, TAB_CORRECAO_C[[DIAS_CORRIDOS]:[V_FUT_UTEIS]],K$5, FALSE)</f>
        <v>#N/A</v>
      </c>
      <c r="L664" s="22" t="e">
        <f>VLOOKUP($A664, TAB_AMORTIZACAO_C[[DIAS_CORRIDOS]:[V_FUT_UTEIS]], L$5, FALSE)</f>
        <v>#N/A</v>
      </c>
    </row>
    <row r="665" spans="1:12">
      <c r="A665" s="19">
        <f t="shared" si="59"/>
        <v>659</v>
      </c>
      <c r="B665" s="20">
        <f t="shared" si="55"/>
        <v>1318.0011688734789</v>
      </c>
      <c r="C665" s="21">
        <f t="shared" si="56"/>
        <v>1318.0011688734789</v>
      </c>
      <c r="D665" s="22">
        <f>VLOOKUP($A665, TAB_JUROS_U[[Q_DIAS_U_PARC_TIR]:[V_FUT_U_JURS CENARIO]], D$5, FALSE)</f>
        <v>105.66037199967053</v>
      </c>
      <c r="E665" s="22">
        <f>VLOOKUP($A665,TAB_CORRECAO_U[[Q_DIAS_U_PARC_TIR]:[V_FUT_U_CORC-02]],E$5, FALSE)</f>
        <v>670.90660247011112</v>
      </c>
      <c r="F665" s="22">
        <f>VLOOKUP($A665,TAB_AMORTIZACAO_U[[Q_DIAS_U_PARC_TIR]:[V_FUT_U_PCPL-02]], F$5, FALSE)</f>
        <v>541.43419440369723</v>
      </c>
      <c r="H665" s="20">
        <f t="shared" si="57"/>
        <v>0</v>
      </c>
      <c r="I665" s="21">
        <f t="shared" si="58"/>
        <v>0</v>
      </c>
      <c r="J665" s="22" t="e">
        <f>VLOOKUP($A665, TAB_JUROS_C[[DIAS_CORRIDOS]:[V_FUT_UTEIS]], J$5, FALSE)</f>
        <v>#N/A</v>
      </c>
      <c r="K665" s="22" t="e">
        <f>VLOOKUP($A665, TAB_CORRECAO_C[[DIAS_CORRIDOS]:[V_FUT_UTEIS]],K$5, FALSE)</f>
        <v>#N/A</v>
      </c>
      <c r="L665" s="22" t="e">
        <f>VLOOKUP($A665, TAB_AMORTIZACAO_C[[DIAS_CORRIDOS]:[V_FUT_UTEIS]], L$5, FALSE)</f>
        <v>#N/A</v>
      </c>
    </row>
    <row r="666" spans="1:12" hidden="1">
      <c r="A666" s="19">
        <f t="shared" si="59"/>
        <v>660</v>
      </c>
      <c r="B666" s="20">
        <f t="shared" si="55"/>
        <v>0</v>
      </c>
      <c r="C666" s="21">
        <f t="shared" si="56"/>
        <v>0</v>
      </c>
      <c r="D666" s="22" t="e">
        <f>VLOOKUP($A666, TAB_JUROS_U[[Q_DIAS_U_PARC_TIR]:[V_FUT_U_JURS CENARIO]], D$5, FALSE)</f>
        <v>#N/A</v>
      </c>
      <c r="E666" s="22" t="e">
        <f>VLOOKUP($A666,TAB_CORRECAO_U[[Q_DIAS_U_PARC_TIR]:[V_FUT_U_CORC-02]],E$5, FALSE)</f>
        <v>#N/A</v>
      </c>
      <c r="F666" s="22" t="e">
        <f>VLOOKUP($A666,TAB_AMORTIZACAO_U[[Q_DIAS_U_PARC_TIR]:[V_FUT_U_PCPL-02]], F$5, FALSE)</f>
        <v>#N/A</v>
      </c>
      <c r="H666" s="20">
        <f t="shared" si="57"/>
        <v>0</v>
      </c>
      <c r="I666" s="21">
        <f t="shared" si="58"/>
        <v>0</v>
      </c>
      <c r="J666" s="22" t="e">
        <f>VLOOKUP($A666, TAB_JUROS_C[[DIAS_CORRIDOS]:[V_FUT_UTEIS]], J$5, FALSE)</f>
        <v>#N/A</v>
      </c>
      <c r="K666" s="22" t="e">
        <f>VLOOKUP($A666, TAB_CORRECAO_C[[DIAS_CORRIDOS]:[V_FUT_UTEIS]],K$5, FALSE)</f>
        <v>#N/A</v>
      </c>
      <c r="L666" s="22" t="e">
        <f>VLOOKUP($A666, TAB_AMORTIZACAO_C[[DIAS_CORRIDOS]:[V_FUT_UTEIS]], L$5, FALSE)</f>
        <v>#N/A</v>
      </c>
    </row>
    <row r="667" spans="1:12" hidden="1">
      <c r="A667" s="19">
        <f t="shared" si="59"/>
        <v>661</v>
      </c>
      <c r="B667" s="20">
        <f t="shared" si="55"/>
        <v>0</v>
      </c>
      <c r="C667" s="21">
        <f t="shared" si="56"/>
        <v>0</v>
      </c>
      <c r="D667" s="22" t="e">
        <f>VLOOKUP($A667, TAB_JUROS_U[[Q_DIAS_U_PARC_TIR]:[V_FUT_U_JURS CENARIO]], D$5, FALSE)</f>
        <v>#N/A</v>
      </c>
      <c r="E667" s="22" t="e">
        <f>VLOOKUP($A667,TAB_CORRECAO_U[[Q_DIAS_U_PARC_TIR]:[V_FUT_U_CORC-02]],E$5, FALSE)</f>
        <v>#N/A</v>
      </c>
      <c r="F667" s="22" t="e">
        <f>VLOOKUP($A667,TAB_AMORTIZACAO_U[[Q_DIAS_U_PARC_TIR]:[V_FUT_U_PCPL-02]], F$5, FALSE)</f>
        <v>#N/A</v>
      </c>
      <c r="H667" s="20">
        <f t="shared" si="57"/>
        <v>0</v>
      </c>
      <c r="I667" s="21">
        <f t="shared" si="58"/>
        <v>0</v>
      </c>
      <c r="J667" s="22" t="e">
        <f>VLOOKUP($A667, TAB_JUROS_C[[DIAS_CORRIDOS]:[V_FUT_UTEIS]], J$5, FALSE)</f>
        <v>#N/A</v>
      </c>
      <c r="K667" s="22" t="e">
        <f>VLOOKUP($A667, TAB_CORRECAO_C[[DIAS_CORRIDOS]:[V_FUT_UTEIS]],K$5, FALSE)</f>
        <v>#N/A</v>
      </c>
      <c r="L667" s="22" t="e">
        <f>VLOOKUP($A667, TAB_AMORTIZACAO_C[[DIAS_CORRIDOS]:[V_FUT_UTEIS]], L$5, FALSE)</f>
        <v>#N/A</v>
      </c>
    </row>
    <row r="668" spans="1:12" hidden="1">
      <c r="A668" s="19">
        <f t="shared" si="59"/>
        <v>662</v>
      </c>
      <c r="B668" s="20">
        <f t="shared" si="55"/>
        <v>0</v>
      </c>
      <c r="C668" s="21">
        <f t="shared" si="56"/>
        <v>0</v>
      </c>
      <c r="D668" s="22" t="e">
        <f>VLOOKUP($A668, TAB_JUROS_U[[Q_DIAS_U_PARC_TIR]:[V_FUT_U_JURS CENARIO]], D$5, FALSE)</f>
        <v>#N/A</v>
      </c>
      <c r="E668" s="22" t="e">
        <f>VLOOKUP($A668,TAB_CORRECAO_U[[Q_DIAS_U_PARC_TIR]:[V_FUT_U_CORC-02]],E$5, FALSE)</f>
        <v>#N/A</v>
      </c>
      <c r="F668" s="22" t="e">
        <f>VLOOKUP($A668,TAB_AMORTIZACAO_U[[Q_DIAS_U_PARC_TIR]:[V_FUT_U_PCPL-02]], F$5, FALSE)</f>
        <v>#N/A</v>
      </c>
      <c r="H668" s="20">
        <f t="shared" si="57"/>
        <v>0</v>
      </c>
      <c r="I668" s="21">
        <f t="shared" si="58"/>
        <v>0</v>
      </c>
      <c r="J668" s="22" t="e">
        <f>VLOOKUP($A668, TAB_JUROS_C[[DIAS_CORRIDOS]:[V_FUT_UTEIS]], J$5, FALSE)</f>
        <v>#N/A</v>
      </c>
      <c r="K668" s="22" t="e">
        <f>VLOOKUP($A668, TAB_CORRECAO_C[[DIAS_CORRIDOS]:[V_FUT_UTEIS]],K$5, FALSE)</f>
        <v>#N/A</v>
      </c>
      <c r="L668" s="22" t="e">
        <f>VLOOKUP($A668, TAB_AMORTIZACAO_C[[DIAS_CORRIDOS]:[V_FUT_UTEIS]], L$5, FALSE)</f>
        <v>#N/A</v>
      </c>
    </row>
    <row r="669" spans="1:12" hidden="1">
      <c r="A669" s="19">
        <f t="shared" si="59"/>
        <v>663</v>
      </c>
      <c r="B669" s="20">
        <f t="shared" si="55"/>
        <v>0</v>
      </c>
      <c r="C669" s="21">
        <f t="shared" si="56"/>
        <v>0</v>
      </c>
      <c r="D669" s="22" t="e">
        <f>VLOOKUP($A669, TAB_JUROS_U[[Q_DIAS_U_PARC_TIR]:[V_FUT_U_JURS CENARIO]], D$5, FALSE)</f>
        <v>#N/A</v>
      </c>
      <c r="E669" s="22" t="e">
        <f>VLOOKUP($A669,TAB_CORRECAO_U[[Q_DIAS_U_PARC_TIR]:[V_FUT_U_CORC-02]],E$5, FALSE)</f>
        <v>#N/A</v>
      </c>
      <c r="F669" s="22" t="e">
        <f>VLOOKUP($A669,TAB_AMORTIZACAO_U[[Q_DIAS_U_PARC_TIR]:[V_FUT_U_PCPL-02]], F$5, FALSE)</f>
        <v>#N/A</v>
      </c>
      <c r="H669" s="20">
        <f t="shared" si="57"/>
        <v>0</v>
      </c>
      <c r="I669" s="21">
        <f t="shared" si="58"/>
        <v>0</v>
      </c>
      <c r="J669" s="22" t="e">
        <f>VLOOKUP($A669, TAB_JUROS_C[[DIAS_CORRIDOS]:[V_FUT_UTEIS]], J$5, FALSE)</f>
        <v>#N/A</v>
      </c>
      <c r="K669" s="22" t="e">
        <f>VLOOKUP($A669, TAB_CORRECAO_C[[DIAS_CORRIDOS]:[V_FUT_UTEIS]],K$5, FALSE)</f>
        <v>#N/A</v>
      </c>
      <c r="L669" s="22" t="e">
        <f>VLOOKUP($A669, TAB_AMORTIZACAO_C[[DIAS_CORRIDOS]:[V_FUT_UTEIS]], L$5, FALSE)</f>
        <v>#N/A</v>
      </c>
    </row>
    <row r="670" spans="1:12" hidden="1">
      <c r="A670" s="19">
        <f t="shared" si="59"/>
        <v>664</v>
      </c>
      <c r="B670" s="20">
        <f t="shared" si="55"/>
        <v>0</v>
      </c>
      <c r="C670" s="21">
        <f t="shared" si="56"/>
        <v>0</v>
      </c>
      <c r="D670" s="22" t="e">
        <f>VLOOKUP($A670, TAB_JUROS_U[[Q_DIAS_U_PARC_TIR]:[V_FUT_U_JURS CENARIO]], D$5, FALSE)</f>
        <v>#N/A</v>
      </c>
      <c r="E670" s="22" t="e">
        <f>VLOOKUP($A670,TAB_CORRECAO_U[[Q_DIAS_U_PARC_TIR]:[V_FUT_U_CORC-02]],E$5, FALSE)</f>
        <v>#N/A</v>
      </c>
      <c r="F670" s="22" t="e">
        <f>VLOOKUP($A670,TAB_AMORTIZACAO_U[[Q_DIAS_U_PARC_TIR]:[V_FUT_U_PCPL-02]], F$5, FALSE)</f>
        <v>#N/A</v>
      </c>
      <c r="H670" s="20">
        <f t="shared" si="57"/>
        <v>0</v>
      </c>
      <c r="I670" s="21">
        <f t="shared" si="58"/>
        <v>0</v>
      </c>
      <c r="J670" s="22" t="e">
        <f>VLOOKUP($A670, TAB_JUROS_C[[DIAS_CORRIDOS]:[V_FUT_UTEIS]], J$5, FALSE)</f>
        <v>#N/A</v>
      </c>
      <c r="K670" s="22" t="e">
        <f>VLOOKUP($A670, TAB_CORRECAO_C[[DIAS_CORRIDOS]:[V_FUT_UTEIS]],K$5, FALSE)</f>
        <v>#N/A</v>
      </c>
      <c r="L670" s="22" t="e">
        <f>VLOOKUP($A670, TAB_AMORTIZACAO_C[[DIAS_CORRIDOS]:[V_FUT_UTEIS]], L$5, FALSE)</f>
        <v>#N/A</v>
      </c>
    </row>
    <row r="671" spans="1:12" hidden="1">
      <c r="A671" s="19">
        <f t="shared" si="59"/>
        <v>665</v>
      </c>
      <c r="B671" s="20">
        <f t="shared" si="55"/>
        <v>0</v>
      </c>
      <c r="C671" s="21">
        <f t="shared" si="56"/>
        <v>0</v>
      </c>
      <c r="D671" s="22" t="e">
        <f>VLOOKUP($A671, TAB_JUROS_U[[Q_DIAS_U_PARC_TIR]:[V_FUT_U_JURS CENARIO]], D$5, FALSE)</f>
        <v>#N/A</v>
      </c>
      <c r="E671" s="22" t="e">
        <f>VLOOKUP($A671,TAB_CORRECAO_U[[Q_DIAS_U_PARC_TIR]:[V_FUT_U_CORC-02]],E$5, FALSE)</f>
        <v>#N/A</v>
      </c>
      <c r="F671" s="22" t="e">
        <f>VLOOKUP($A671,TAB_AMORTIZACAO_U[[Q_DIAS_U_PARC_TIR]:[V_FUT_U_PCPL-02]], F$5, FALSE)</f>
        <v>#N/A</v>
      </c>
      <c r="H671" s="20">
        <f t="shared" si="57"/>
        <v>0</v>
      </c>
      <c r="I671" s="21">
        <f t="shared" si="58"/>
        <v>0</v>
      </c>
      <c r="J671" s="22" t="e">
        <f>VLOOKUP($A671, TAB_JUROS_C[[DIAS_CORRIDOS]:[V_FUT_UTEIS]], J$5, FALSE)</f>
        <v>#N/A</v>
      </c>
      <c r="K671" s="22" t="e">
        <f>VLOOKUP($A671, TAB_CORRECAO_C[[DIAS_CORRIDOS]:[V_FUT_UTEIS]],K$5, FALSE)</f>
        <v>#N/A</v>
      </c>
      <c r="L671" s="22" t="e">
        <f>VLOOKUP($A671, TAB_AMORTIZACAO_C[[DIAS_CORRIDOS]:[V_FUT_UTEIS]], L$5, FALSE)</f>
        <v>#N/A</v>
      </c>
    </row>
    <row r="672" spans="1:12" hidden="1">
      <c r="A672" s="19">
        <f t="shared" si="59"/>
        <v>666</v>
      </c>
      <c r="B672" s="20">
        <f t="shared" si="55"/>
        <v>0</v>
      </c>
      <c r="C672" s="21">
        <f t="shared" si="56"/>
        <v>0</v>
      </c>
      <c r="D672" s="22" t="e">
        <f>VLOOKUP($A672, TAB_JUROS_U[[Q_DIAS_U_PARC_TIR]:[V_FUT_U_JURS CENARIO]], D$5, FALSE)</f>
        <v>#N/A</v>
      </c>
      <c r="E672" s="22" t="e">
        <f>VLOOKUP($A672,TAB_CORRECAO_U[[Q_DIAS_U_PARC_TIR]:[V_FUT_U_CORC-02]],E$5, FALSE)</f>
        <v>#N/A</v>
      </c>
      <c r="F672" s="22" t="e">
        <f>VLOOKUP($A672,TAB_AMORTIZACAO_U[[Q_DIAS_U_PARC_TIR]:[V_FUT_U_PCPL-02]], F$5, FALSE)</f>
        <v>#N/A</v>
      </c>
      <c r="H672" s="20">
        <f t="shared" si="57"/>
        <v>0</v>
      </c>
      <c r="I672" s="21">
        <f t="shared" si="58"/>
        <v>0</v>
      </c>
      <c r="J672" s="22" t="e">
        <f>VLOOKUP($A672, TAB_JUROS_C[[DIAS_CORRIDOS]:[V_FUT_UTEIS]], J$5, FALSE)</f>
        <v>#N/A</v>
      </c>
      <c r="K672" s="22" t="e">
        <f>VLOOKUP($A672, TAB_CORRECAO_C[[DIAS_CORRIDOS]:[V_FUT_UTEIS]],K$5, FALSE)</f>
        <v>#N/A</v>
      </c>
      <c r="L672" s="22" t="e">
        <f>VLOOKUP($A672, TAB_AMORTIZACAO_C[[DIAS_CORRIDOS]:[V_FUT_UTEIS]], L$5, FALSE)</f>
        <v>#N/A</v>
      </c>
    </row>
    <row r="673" spans="1:12" hidden="1">
      <c r="A673" s="19">
        <f t="shared" si="59"/>
        <v>667</v>
      </c>
      <c r="B673" s="20">
        <f t="shared" si="55"/>
        <v>0</v>
      </c>
      <c r="C673" s="21">
        <f t="shared" si="56"/>
        <v>0</v>
      </c>
      <c r="D673" s="22" t="e">
        <f>VLOOKUP($A673, TAB_JUROS_U[[Q_DIAS_U_PARC_TIR]:[V_FUT_U_JURS CENARIO]], D$5, FALSE)</f>
        <v>#N/A</v>
      </c>
      <c r="E673" s="22" t="e">
        <f>VLOOKUP($A673,TAB_CORRECAO_U[[Q_DIAS_U_PARC_TIR]:[V_FUT_U_CORC-02]],E$5, FALSE)</f>
        <v>#N/A</v>
      </c>
      <c r="F673" s="22" t="e">
        <f>VLOOKUP($A673,TAB_AMORTIZACAO_U[[Q_DIAS_U_PARC_TIR]:[V_FUT_U_PCPL-02]], F$5, FALSE)</f>
        <v>#N/A</v>
      </c>
      <c r="H673" s="20">
        <f t="shared" si="57"/>
        <v>0</v>
      </c>
      <c r="I673" s="21">
        <f t="shared" si="58"/>
        <v>0</v>
      </c>
      <c r="J673" s="22" t="e">
        <f>VLOOKUP($A673, TAB_JUROS_C[[DIAS_CORRIDOS]:[V_FUT_UTEIS]], J$5, FALSE)</f>
        <v>#N/A</v>
      </c>
      <c r="K673" s="22" t="e">
        <f>VLOOKUP($A673, TAB_CORRECAO_C[[DIAS_CORRIDOS]:[V_FUT_UTEIS]],K$5, FALSE)</f>
        <v>#N/A</v>
      </c>
      <c r="L673" s="22" t="e">
        <f>VLOOKUP($A673, TAB_AMORTIZACAO_C[[DIAS_CORRIDOS]:[V_FUT_UTEIS]], L$5, FALSE)</f>
        <v>#N/A</v>
      </c>
    </row>
    <row r="674" spans="1:12" hidden="1">
      <c r="A674" s="19">
        <f t="shared" si="59"/>
        <v>668</v>
      </c>
      <c r="B674" s="20">
        <f t="shared" si="55"/>
        <v>0</v>
      </c>
      <c r="C674" s="21">
        <f t="shared" si="56"/>
        <v>0</v>
      </c>
      <c r="D674" s="22" t="e">
        <f>VLOOKUP($A674, TAB_JUROS_U[[Q_DIAS_U_PARC_TIR]:[V_FUT_U_JURS CENARIO]], D$5, FALSE)</f>
        <v>#N/A</v>
      </c>
      <c r="E674" s="22" t="e">
        <f>VLOOKUP($A674,TAB_CORRECAO_U[[Q_DIAS_U_PARC_TIR]:[V_FUT_U_CORC-02]],E$5, FALSE)</f>
        <v>#N/A</v>
      </c>
      <c r="F674" s="22" t="e">
        <f>VLOOKUP($A674,TAB_AMORTIZACAO_U[[Q_DIAS_U_PARC_TIR]:[V_FUT_U_PCPL-02]], F$5, FALSE)</f>
        <v>#N/A</v>
      </c>
      <c r="H674" s="20">
        <f t="shared" si="57"/>
        <v>0</v>
      </c>
      <c r="I674" s="21">
        <f t="shared" si="58"/>
        <v>0</v>
      </c>
      <c r="J674" s="22" t="e">
        <f>VLOOKUP($A674, TAB_JUROS_C[[DIAS_CORRIDOS]:[V_FUT_UTEIS]], J$5, FALSE)</f>
        <v>#N/A</v>
      </c>
      <c r="K674" s="22" t="e">
        <f>VLOOKUP($A674, TAB_CORRECAO_C[[DIAS_CORRIDOS]:[V_FUT_UTEIS]],K$5, FALSE)</f>
        <v>#N/A</v>
      </c>
      <c r="L674" s="22" t="e">
        <f>VLOOKUP($A674, TAB_AMORTIZACAO_C[[DIAS_CORRIDOS]:[V_FUT_UTEIS]], L$5, FALSE)</f>
        <v>#N/A</v>
      </c>
    </row>
    <row r="675" spans="1:12" hidden="1">
      <c r="A675" s="19">
        <f t="shared" si="59"/>
        <v>669</v>
      </c>
      <c r="B675" s="20">
        <f t="shared" si="55"/>
        <v>0</v>
      </c>
      <c r="C675" s="21">
        <f t="shared" si="56"/>
        <v>0</v>
      </c>
      <c r="D675" s="22" t="e">
        <f>VLOOKUP($A675, TAB_JUROS_U[[Q_DIAS_U_PARC_TIR]:[V_FUT_U_JURS CENARIO]], D$5, FALSE)</f>
        <v>#N/A</v>
      </c>
      <c r="E675" s="22" t="e">
        <f>VLOOKUP($A675,TAB_CORRECAO_U[[Q_DIAS_U_PARC_TIR]:[V_FUT_U_CORC-02]],E$5, FALSE)</f>
        <v>#N/A</v>
      </c>
      <c r="F675" s="22" t="e">
        <f>VLOOKUP($A675,TAB_AMORTIZACAO_U[[Q_DIAS_U_PARC_TIR]:[V_FUT_U_PCPL-02]], F$5, FALSE)</f>
        <v>#N/A</v>
      </c>
      <c r="H675" s="20">
        <f t="shared" si="57"/>
        <v>0</v>
      </c>
      <c r="I675" s="21">
        <f t="shared" si="58"/>
        <v>0</v>
      </c>
      <c r="J675" s="22" t="e">
        <f>VLOOKUP($A675, TAB_JUROS_C[[DIAS_CORRIDOS]:[V_FUT_UTEIS]], J$5, FALSE)</f>
        <v>#N/A</v>
      </c>
      <c r="K675" s="22" t="e">
        <f>VLOOKUP($A675, TAB_CORRECAO_C[[DIAS_CORRIDOS]:[V_FUT_UTEIS]],K$5, FALSE)</f>
        <v>#N/A</v>
      </c>
      <c r="L675" s="22" t="e">
        <f>VLOOKUP($A675, TAB_AMORTIZACAO_C[[DIAS_CORRIDOS]:[V_FUT_UTEIS]], L$5, FALSE)</f>
        <v>#N/A</v>
      </c>
    </row>
    <row r="676" spans="1:12" hidden="1">
      <c r="A676" s="19">
        <f t="shared" si="59"/>
        <v>670</v>
      </c>
      <c r="B676" s="20">
        <f t="shared" si="55"/>
        <v>0</v>
      </c>
      <c r="C676" s="21">
        <f t="shared" si="56"/>
        <v>0</v>
      </c>
      <c r="D676" s="22" t="e">
        <f>VLOOKUP($A676, TAB_JUROS_U[[Q_DIAS_U_PARC_TIR]:[V_FUT_U_JURS CENARIO]], D$5, FALSE)</f>
        <v>#N/A</v>
      </c>
      <c r="E676" s="22" t="e">
        <f>VLOOKUP($A676,TAB_CORRECAO_U[[Q_DIAS_U_PARC_TIR]:[V_FUT_U_CORC-02]],E$5, FALSE)</f>
        <v>#N/A</v>
      </c>
      <c r="F676" s="22" t="e">
        <f>VLOOKUP($A676,TAB_AMORTIZACAO_U[[Q_DIAS_U_PARC_TIR]:[V_FUT_U_PCPL-02]], F$5, FALSE)</f>
        <v>#N/A</v>
      </c>
      <c r="H676" s="20">
        <f t="shared" si="57"/>
        <v>0</v>
      </c>
      <c r="I676" s="21">
        <f t="shared" si="58"/>
        <v>0</v>
      </c>
      <c r="J676" s="22" t="e">
        <f>VLOOKUP($A676, TAB_JUROS_C[[DIAS_CORRIDOS]:[V_FUT_UTEIS]], J$5, FALSE)</f>
        <v>#N/A</v>
      </c>
      <c r="K676" s="22" t="e">
        <f>VLOOKUP($A676, TAB_CORRECAO_C[[DIAS_CORRIDOS]:[V_FUT_UTEIS]],K$5, FALSE)</f>
        <v>#N/A</v>
      </c>
      <c r="L676" s="22" t="e">
        <f>VLOOKUP($A676, TAB_AMORTIZACAO_C[[DIAS_CORRIDOS]:[V_FUT_UTEIS]], L$5, FALSE)</f>
        <v>#N/A</v>
      </c>
    </row>
    <row r="677" spans="1:12" hidden="1">
      <c r="A677" s="19">
        <f t="shared" si="59"/>
        <v>671</v>
      </c>
      <c r="B677" s="20">
        <f t="shared" si="55"/>
        <v>0</v>
      </c>
      <c r="C677" s="21">
        <f t="shared" si="56"/>
        <v>0</v>
      </c>
      <c r="D677" s="22" t="e">
        <f>VLOOKUP($A677, TAB_JUROS_U[[Q_DIAS_U_PARC_TIR]:[V_FUT_U_JURS CENARIO]], D$5, FALSE)</f>
        <v>#N/A</v>
      </c>
      <c r="E677" s="22" t="e">
        <f>VLOOKUP($A677,TAB_CORRECAO_U[[Q_DIAS_U_PARC_TIR]:[V_FUT_U_CORC-02]],E$5, FALSE)</f>
        <v>#N/A</v>
      </c>
      <c r="F677" s="22" t="e">
        <f>VLOOKUP($A677,TAB_AMORTIZACAO_U[[Q_DIAS_U_PARC_TIR]:[V_FUT_U_PCPL-02]], F$5, FALSE)</f>
        <v>#N/A</v>
      </c>
      <c r="H677" s="20">
        <f t="shared" si="57"/>
        <v>0</v>
      </c>
      <c r="I677" s="21">
        <f t="shared" si="58"/>
        <v>0</v>
      </c>
      <c r="J677" s="22" t="e">
        <f>VLOOKUP($A677, TAB_JUROS_C[[DIAS_CORRIDOS]:[V_FUT_UTEIS]], J$5, FALSE)</f>
        <v>#N/A</v>
      </c>
      <c r="K677" s="22" t="e">
        <f>VLOOKUP($A677, TAB_CORRECAO_C[[DIAS_CORRIDOS]:[V_FUT_UTEIS]],K$5, FALSE)</f>
        <v>#N/A</v>
      </c>
      <c r="L677" s="22" t="e">
        <f>VLOOKUP($A677, TAB_AMORTIZACAO_C[[DIAS_CORRIDOS]:[V_FUT_UTEIS]], L$5, FALSE)</f>
        <v>#N/A</v>
      </c>
    </row>
    <row r="678" spans="1:12" hidden="1">
      <c r="A678" s="19">
        <f t="shared" si="59"/>
        <v>672</v>
      </c>
      <c r="B678" s="20">
        <f t="shared" si="55"/>
        <v>0</v>
      </c>
      <c r="C678" s="21">
        <f t="shared" si="56"/>
        <v>0</v>
      </c>
      <c r="D678" s="22" t="e">
        <f>VLOOKUP($A678, TAB_JUROS_U[[Q_DIAS_U_PARC_TIR]:[V_FUT_U_JURS CENARIO]], D$5, FALSE)</f>
        <v>#N/A</v>
      </c>
      <c r="E678" s="22" t="e">
        <f>VLOOKUP($A678,TAB_CORRECAO_U[[Q_DIAS_U_PARC_TIR]:[V_FUT_U_CORC-02]],E$5, FALSE)</f>
        <v>#N/A</v>
      </c>
      <c r="F678" s="22" t="e">
        <f>VLOOKUP($A678,TAB_AMORTIZACAO_U[[Q_DIAS_U_PARC_TIR]:[V_FUT_U_PCPL-02]], F$5, FALSE)</f>
        <v>#N/A</v>
      </c>
      <c r="H678" s="20">
        <f t="shared" si="57"/>
        <v>0</v>
      </c>
      <c r="I678" s="21">
        <f t="shared" si="58"/>
        <v>0</v>
      </c>
      <c r="J678" s="22" t="e">
        <f>VLOOKUP($A678, TAB_JUROS_C[[DIAS_CORRIDOS]:[V_FUT_UTEIS]], J$5, FALSE)</f>
        <v>#N/A</v>
      </c>
      <c r="K678" s="22" t="e">
        <f>VLOOKUP($A678, TAB_CORRECAO_C[[DIAS_CORRIDOS]:[V_FUT_UTEIS]],K$5, FALSE)</f>
        <v>#N/A</v>
      </c>
      <c r="L678" s="22" t="e">
        <f>VLOOKUP($A678, TAB_AMORTIZACAO_C[[DIAS_CORRIDOS]:[V_FUT_UTEIS]], L$5, FALSE)</f>
        <v>#N/A</v>
      </c>
    </row>
    <row r="679" spans="1:12" hidden="1">
      <c r="A679" s="19">
        <f t="shared" si="59"/>
        <v>673</v>
      </c>
      <c r="B679" s="20">
        <f t="shared" si="55"/>
        <v>0</v>
      </c>
      <c r="C679" s="21">
        <f t="shared" si="56"/>
        <v>0</v>
      </c>
      <c r="D679" s="22" t="e">
        <f>VLOOKUP($A679, TAB_JUROS_U[[Q_DIAS_U_PARC_TIR]:[V_FUT_U_JURS CENARIO]], D$5, FALSE)</f>
        <v>#N/A</v>
      </c>
      <c r="E679" s="22" t="e">
        <f>VLOOKUP($A679,TAB_CORRECAO_U[[Q_DIAS_U_PARC_TIR]:[V_FUT_U_CORC-02]],E$5, FALSE)</f>
        <v>#N/A</v>
      </c>
      <c r="F679" s="22" t="e">
        <f>VLOOKUP($A679,TAB_AMORTIZACAO_U[[Q_DIAS_U_PARC_TIR]:[V_FUT_U_PCPL-02]], F$5, FALSE)</f>
        <v>#N/A</v>
      </c>
      <c r="H679" s="20">
        <f t="shared" si="57"/>
        <v>0</v>
      </c>
      <c r="I679" s="21">
        <f t="shared" si="58"/>
        <v>0</v>
      </c>
      <c r="J679" s="22" t="e">
        <f>VLOOKUP($A679, TAB_JUROS_C[[DIAS_CORRIDOS]:[V_FUT_UTEIS]], J$5, FALSE)</f>
        <v>#N/A</v>
      </c>
      <c r="K679" s="22" t="e">
        <f>VLOOKUP($A679, TAB_CORRECAO_C[[DIAS_CORRIDOS]:[V_FUT_UTEIS]],K$5, FALSE)</f>
        <v>#N/A</v>
      </c>
      <c r="L679" s="22" t="e">
        <f>VLOOKUP($A679, TAB_AMORTIZACAO_C[[DIAS_CORRIDOS]:[V_FUT_UTEIS]], L$5, FALSE)</f>
        <v>#N/A</v>
      </c>
    </row>
    <row r="680" spans="1:12" hidden="1">
      <c r="A680" s="19">
        <f t="shared" si="59"/>
        <v>674</v>
      </c>
      <c r="B680" s="20">
        <f t="shared" si="55"/>
        <v>0</v>
      </c>
      <c r="C680" s="21">
        <f t="shared" si="56"/>
        <v>0</v>
      </c>
      <c r="D680" s="22" t="e">
        <f>VLOOKUP($A680, TAB_JUROS_U[[Q_DIAS_U_PARC_TIR]:[V_FUT_U_JURS CENARIO]], D$5, FALSE)</f>
        <v>#N/A</v>
      </c>
      <c r="E680" s="22" t="e">
        <f>VLOOKUP($A680,TAB_CORRECAO_U[[Q_DIAS_U_PARC_TIR]:[V_FUT_U_CORC-02]],E$5, FALSE)</f>
        <v>#N/A</v>
      </c>
      <c r="F680" s="22" t="e">
        <f>VLOOKUP($A680,TAB_AMORTIZACAO_U[[Q_DIAS_U_PARC_TIR]:[V_FUT_U_PCPL-02]], F$5, FALSE)</f>
        <v>#N/A</v>
      </c>
      <c r="H680" s="20">
        <f t="shared" si="57"/>
        <v>0</v>
      </c>
      <c r="I680" s="21">
        <f t="shared" si="58"/>
        <v>0</v>
      </c>
      <c r="J680" s="22" t="e">
        <f>VLOOKUP($A680, TAB_JUROS_C[[DIAS_CORRIDOS]:[V_FUT_UTEIS]], J$5, FALSE)</f>
        <v>#N/A</v>
      </c>
      <c r="K680" s="22" t="e">
        <f>VLOOKUP($A680, TAB_CORRECAO_C[[DIAS_CORRIDOS]:[V_FUT_UTEIS]],K$5, FALSE)</f>
        <v>#N/A</v>
      </c>
      <c r="L680" s="22" t="e">
        <f>VLOOKUP($A680, TAB_AMORTIZACAO_C[[DIAS_CORRIDOS]:[V_FUT_UTEIS]], L$5, FALSE)</f>
        <v>#N/A</v>
      </c>
    </row>
    <row r="681" spans="1:12" hidden="1">
      <c r="A681" s="19">
        <f t="shared" si="59"/>
        <v>675</v>
      </c>
      <c r="B681" s="20">
        <f t="shared" si="55"/>
        <v>0</v>
      </c>
      <c r="C681" s="21">
        <f t="shared" si="56"/>
        <v>0</v>
      </c>
      <c r="D681" s="22" t="e">
        <f>VLOOKUP($A681, TAB_JUROS_U[[Q_DIAS_U_PARC_TIR]:[V_FUT_U_JURS CENARIO]], D$5, FALSE)</f>
        <v>#N/A</v>
      </c>
      <c r="E681" s="22" t="e">
        <f>VLOOKUP($A681,TAB_CORRECAO_U[[Q_DIAS_U_PARC_TIR]:[V_FUT_U_CORC-02]],E$5, FALSE)</f>
        <v>#N/A</v>
      </c>
      <c r="F681" s="22" t="e">
        <f>VLOOKUP($A681,TAB_AMORTIZACAO_U[[Q_DIAS_U_PARC_TIR]:[V_FUT_U_PCPL-02]], F$5, FALSE)</f>
        <v>#N/A</v>
      </c>
      <c r="H681" s="20">
        <f t="shared" si="57"/>
        <v>0</v>
      </c>
      <c r="I681" s="21">
        <f t="shared" si="58"/>
        <v>0</v>
      </c>
      <c r="J681" s="22" t="e">
        <f>VLOOKUP($A681, TAB_JUROS_C[[DIAS_CORRIDOS]:[V_FUT_UTEIS]], J$5, FALSE)</f>
        <v>#N/A</v>
      </c>
      <c r="K681" s="22" t="e">
        <f>VLOOKUP($A681, TAB_CORRECAO_C[[DIAS_CORRIDOS]:[V_FUT_UTEIS]],K$5, FALSE)</f>
        <v>#N/A</v>
      </c>
      <c r="L681" s="22" t="e">
        <f>VLOOKUP($A681, TAB_AMORTIZACAO_C[[DIAS_CORRIDOS]:[V_FUT_UTEIS]], L$5, FALSE)</f>
        <v>#N/A</v>
      </c>
    </row>
    <row r="682" spans="1:12" hidden="1">
      <c r="A682" s="19">
        <f t="shared" si="59"/>
        <v>676</v>
      </c>
      <c r="B682" s="20">
        <f t="shared" si="55"/>
        <v>0</v>
      </c>
      <c r="C682" s="21">
        <f t="shared" si="56"/>
        <v>0</v>
      </c>
      <c r="D682" s="22" t="e">
        <f>VLOOKUP($A682, TAB_JUROS_U[[Q_DIAS_U_PARC_TIR]:[V_FUT_U_JURS CENARIO]], D$5, FALSE)</f>
        <v>#N/A</v>
      </c>
      <c r="E682" s="22" t="e">
        <f>VLOOKUP($A682,TAB_CORRECAO_U[[Q_DIAS_U_PARC_TIR]:[V_FUT_U_CORC-02]],E$5, FALSE)</f>
        <v>#N/A</v>
      </c>
      <c r="F682" s="22" t="e">
        <f>VLOOKUP($A682,TAB_AMORTIZACAO_U[[Q_DIAS_U_PARC_TIR]:[V_FUT_U_PCPL-02]], F$5, FALSE)</f>
        <v>#N/A</v>
      </c>
      <c r="H682" s="20">
        <f t="shared" si="57"/>
        <v>0</v>
      </c>
      <c r="I682" s="21">
        <f t="shared" si="58"/>
        <v>0</v>
      </c>
      <c r="J682" s="22" t="e">
        <f>VLOOKUP($A682, TAB_JUROS_C[[DIAS_CORRIDOS]:[V_FUT_UTEIS]], J$5, FALSE)</f>
        <v>#N/A</v>
      </c>
      <c r="K682" s="22" t="e">
        <f>VLOOKUP($A682, TAB_CORRECAO_C[[DIAS_CORRIDOS]:[V_FUT_UTEIS]],K$5, FALSE)</f>
        <v>#N/A</v>
      </c>
      <c r="L682" s="22" t="e">
        <f>VLOOKUP($A682, TAB_AMORTIZACAO_C[[DIAS_CORRIDOS]:[V_FUT_UTEIS]], L$5, FALSE)</f>
        <v>#N/A</v>
      </c>
    </row>
    <row r="683" spans="1:12" hidden="1">
      <c r="A683" s="19">
        <f t="shared" si="59"/>
        <v>677</v>
      </c>
      <c r="B683" s="20">
        <f t="shared" si="55"/>
        <v>0</v>
      </c>
      <c r="C683" s="21">
        <f t="shared" si="56"/>
        <v>0</v>
      </c>
      <c r="D683" s="22" t="e">
        <f>VLOOKUP($A683, TAB_JUROS_U[[Q_DIAS_U_PARC_TIR]:[V_FUT_U_JURS CENARIO]], D$5, FALSE)</f>
        <v>#N/A</v>
      </c>
      <c r="E683" s="22" t="e">
        <f>VLOOKUP($A683,TAB_CORRECAO_U[[Q_DIAS_U_PARC_TIR]:[V_FUT_U_CORC-02]],E$5, FALSE)</f>
        <v>#N/A</v>
      </c>
      <c r="F683" s="22" t="e">
        <f>VLOOKUP($A683,TAB_AMORTIZACAO_U[[Q_DIAS_U_PARC_TIR]:[V_FUT_U_PCPL-02]], F$5, FALSE)</f>
        <v>#N/A</v>
      </c>
      <c r="H683" s="20">
        <f t="shared" si="57"/>
        <v>0</v>
      </c>
      <c r="I683" s="21">
        <f t="shared" si="58"/>
        <v>0</v>
      </c>
      <c r="J683" s="22" t="e">
        <f>VLOOKUP($A683, TAB_JUROS_C[[DIAS_CORRIDOS]:[V_FUT_UTEIS]], J$5, FALSE)</f>
        <v>#N/A</v>
      </c>
      <c r="K683" s="22" t="e">
        <f>VLOOKUP($A683, TAB_CORRECAO_C[[DIAS_CORRIDOS]:[V_FUT_UTEIS]],K$5, FALSE)</f>
        <v>#N/A</v>
      </c>
      <c r="L683" s="22" t="e">
        <f>VLOOKUP($A683, TAB_AMORTIZACAO_C[[DIAS_CORRIDOS]:[V_FUT_UTEIS]], L$5, FALSE)</f>
        <v>#N/A</v>
      </c>
    </row>
    <row r="684" spans="1:12" hidden="1">
      <c r="A684" s="19">
        <f t="shared" si="59"/>
        <v>678</v>
      </c>
      <c r="B684" s="20">
        <f t="shared" si="55"/>
        <v>0</v>
      </c>
      <c r="C684" s="21">
        <f t="shared" si="56"/>
        <v>0</v>
      </c>
      <c r="D684" s="22" t="e">
        <f>VLOOKUP($A684, TAB_JUROS_U[[Q_DIAS_U_PARC_TIR]:[V_FUT_U_JURS CENARIO]], D$5, FALSE)</f>
        <v>#N/A</v>
      </c>
      <c r="E684" s="22" t="e">
        <f>VLOOKUP($A684,TAB_CORRECAO_U[[Q_DIAS_U_PARC_TIR]:[V_FUT_U_CORC-02]],E$5, FALSE)</f>
        <v>#N/A</v>
      </c>
      <c r="F684" s="22" t="e">
        <f>VLOOKUP($A684,TAB_AMORTIZACAO_U[[Q_DIAS_U_PARC_TIR]:[V_FUT_U_PCPL-02]], F$5, FALSE)</f>
        <v>#N/A</v>
      </c>
      <c r="H684" s="20">
        <f t="shared" si="57"/>
        <v>0</v>
      </c>
      <c r="I684" s="21">
        <f t="shared" si="58"/>
        <v>0</v>
      </c>
      <c r="J684" s="22" t="e">
        <f>VLOOKUP($A684, TAB_JUROS_C[[DIAS_CORRIDOS]:[V_FUT_UTEIS]], J$5, FALSE)</f>
        <v>#N/A</v>
      </c>
      <c r="K684" s="22" t="e">
        <f>VLOOKUP($A684, TAB_CORRECAO_C[[DIAS_CORRIDOS]:[V_FUT_UTEIS]],K$5, FALSE)</f>
        <v>#N/A</v>
      </c>
      <c r="L684" s="22" t="e">
        <f>VLOOKUP($A684, TAB_AMORTIZACAO_C[[DIAS_CORRIDOS]:[V_FUT_UTEIS]], L$5, FALSE)</f>
        <v>#N/A</v>
      </c>
    </row>
    <row r="685" spans="1:12" hidden="1">
      <c r="A685" s="19">
        <f t="shared" si="59"/>
        <v>679</v>
      </c>
      <c r="B685" s="20">
        <f t="shared" si="55"/>
        <v>0</v>
      </c>
      <c r="C685" s="21">
        <f t="shared" si="56"/>
        <v>0</v>
      </c>
      <c r="D685" s="22" t="e">
        <f>VLOOKUP($A685, TAB_JUROS_U[[Q_DIAS_U_PARC_TIR]:[V_FUT_U_JURS CENARIO]], D$5, FALSE)</f>
        <v>#N/A</v>
      </c>
      <c r="E685" s="22" t="e">
        <f>VLOOKUP($A685,TAB_CORRECAO_U[[Q_DIAS_U_PARC_TIR]:[V_FUT_U_CORC-02]],E$5, FALSE)</f>
        <v>#N/A</v>
      </c>
      <c r="F685" s="22" t="e">
        <f>VLOOKUP($A685,TAB_AMORTIZACAO_U[[Q_DIAS_U_PARC_TIR]:[V_FUT_U_PCPL-02]], F$5, FALSE)</f>
        <v>#N/A</v>
      </c>
      <c r="H685" s="20">
        <f t="shared" si="57"/>
        <v>0</v>
      </c>
      <c r="I685" s="21">
        <f t="shared" si="58"/>
        <v>0</v>
      </c>
      <c r="J685" s="22" t="e">
        <f>VLOOKUP($A685, TAB_JUROS_C[[DIAS_CORRIDOS]:[V_FUT_UTEIS]], J$5, FALSE)</f>
        <v>#N/A</v>
      </c>
      <c r="K685" s="22" t="e">
        <f>VLOOKUP($A685, TAB_CORRECAO_C[[DIAS_CORRIDOS]:[V_FUT_UTEIS]],K$5, FALSE)</f>
        <v>#N/A</v>
      </c>
      <c r="L685" s="22" t="e">
        <f>VLOOKUP($A685, TAB_AMORTIZACAO_C[[DIAS_CORRIDOS]:[V_FUT_UTEIS]], L$5, FALSE)</f>
        <v>#N/A</v>
      </c>
    </row>
    <row r="686" spans="1:12" hidden="1">
      <c r="A686" s="19">
        <f t="shared" si="59"/>
        <v>680</v>
      </c>
      <c r="B686" s="20">
        <f t="shared" si="55"/>
        <v>0</v>
      </c>
      <c r="C686" s="21">
        <f t="shared" si="56"/>
        <v>0</v>
      </c>
      <c r="D686" s="22" t="e">
        <f>VLOOKUP($A686, TAB_JUROS_U[[Q_DIAS_U_PARC_TIR]:[V_FUT_U_JURS CENARIO]], D$5, FALSE)</f>
        <v>#N/A</v>
      </c>
      <c r="E686" s="22" t="e">
        <f>VLOOKUP($A686,TAB_CORRECAO_U[[Q_DIAS_U_PARC_TIR]:[V_FUT_U_CORC-02]],E$5, FALSE)</f>
        <v>#N/A</v>
      </c>
      <c r="F686" s="22" t="e">
        <f>VLOOKUP($A686,TAB_AMORTIZACAO_U[[Q_DIAS_U_PARC_TIR]:[V_FUT_U_PCPL-02]], F$5, FALSE)</f>
        <v>#N/A</v>
      </c>
      <c r="H686" s="20">
        <f t="shared" si="57"/>
        <v>0</v>
      </c>
      <c r="I686" s="21">
        <f t="shared" si="58"/>
        <v>0</v>
      </c>
      <c r="J686" s="22" t="e">
        <f>VLOOKUP($A686, TAB_JUROS_C[[DIAS_CORRIDOS]:[V_FUT_UTEIS]], J$5, FALSE)</f>
        <v>#N/A</v>
      </c>
      <c r="K686" s="22" t="e">
        <f>VLOOKUP($A686, TAB_CORRECAO_C[[DIAS_CORRIDOS]:[V_FUT_UTEIS]],K$5, FALSE)</f>
        <v>#N/A</v>
      </c>
      <c r="L686" s="22" t="e">
        <f>VLOOKUP($A686, TAB_AMORTIZACAO_C[[DIAS_CORRIDOS]:[V_FUT_UTEIS]], L$5, FALSE)</f>
        <v>#N/A</v>
      </c>
    </row>
    <row r="687" spans="1:12" hidden="1">
      <c r="A687" s="19">
        <f t="shared" si="59"/>
        <v>681</v>
      </c>
      <c r="B687" s="20">
        <f t="shared" si="55"/>
        <v>0</v>
      </c>
      <c r="C687" s="21">
        <f t="shared" si="56"/>
        <v>0</v>
      </c>
      <c r="D687" s="22" t="e">
        <f>VLOOKUP($A687, TAB_JUROS_U[[Q_DIAS_U_PARC_TIR]:[V_FUT_U_JURS CENARIO]], D$5, FALSE)</f>
        <v>#N/A</v>
      </c>
      <c r="E687" s="22" t="e">
        <f>VLOOKUP($A687,TAB_CORRECAO_U[[Q_DIAS_U_PARC_TIR]:[V_FUT_U_CORC-02]],E$5, FALSE)</f>
        <v>#N/A</v>
      </c>
      <c r="F687" s="22" t="e">
        <f>VLOOKUP($A687,TAB_AMORTIZACAO_U[[Q_DIAS_U_PARC_TIR]:[V_FUT_U_PCPL-02]], F$5, FALSE)</f>
        <v>#N/A</v>
      </c>
      <c r="H687" s="20">
        <f t="shared" si="57"/>
        <v>0</v>
      </c>
      <c r="I687" s="21">
        <f t="shared" si="58"/>
        <v>0</v>
      </c>
      <c r="J687" s="22" t="e">
        <f>VLOOKUP($A687, TAB_JUROS_C[[DIAS_CORRIDOS]:[V_FUT_UTEIS]], J$5, FALSE)</f>
        <v>#N/A</v>
      </c>
      <c r="K687" s="22" t="e">
        <f>VLOOKUP($A687, TAB_CORRECAO_C[[DIAS_CORRIDOS]:[V_FUT_UTEIS]],K$5, FALSE)</f>
        <v>#N/A</v>
      </c>
      <c r="L687" s="22" t="e">
        <f>VLOOKUP($A687, TAB_AMORTIZACAO_C[[DIAS_CORRIDOS]:[V_FUT_UTEIS]], L$5, FALSE)</f>
        <v>#N/A</v>
      </c>
    </row>
    <row r="688" spans="1:12">
      <c r="A688" s="19">
        <f t="shared" si="59"/>
        <v>682</v>
      </c>
      <c r="B688" s="20">
        <f t="shared" si="55"/>
        <v>1313.7166825475515</v>
      </c>
      <c r="C688" s="21">
        <f t="shared" si="56"/>
        <v>1313.7166825475515</v>
      </c>
      <c r="D688" s="22">
        <f>VLOOKUP($A688, TAB_JUROS_U[[Q_DIAS_U_PARC_TIR]:[V_FUT_U_JURS CENARIO]], D$5, FALSE)</f>
        <v>107.78116040655489</v>
      </c>
      <c r="E688" s="22">
        <f>VLOOKUP($A688,TAB_CORRECAO_U[[Q_DIAS_U_PARC_TIR]:[V_FUT_U_CORC-02]],E$5, FALSE)</f>
        <v>684.12522486340868</v>
      </c>
      <c r="F688" s="22">
        <f>VLOOKUP($A688,TAB_AMORTIZACAO_U[[Q_DIAS_U_PARC_TIR]:[V_FUT_U_PCPL-02]], F$5, FALSE)</f>
        <v>521.81029727758801</v>
      </c>
      <c r="H688" s="20">
        <f t="shared" si="57"/>
        <v>0</v>
      </c>
      <c r="I688" s="21">
        <f t="shared" si="58"/>
        <v>0</v>
      </c>
      <c r="J688" s="22" t="e">
        <f>VLOOKUP($A688, TAB_JUROS_C[[DIAS_CORRIDOS]:[V_FUT_UTEIS]], J$5, FALSE)</f>
        <v>#N/A</v>
      </c>
      <c r="K688" s="22" t="e">
        <f>VLOOKUP($A688, TAB_CORRECAO_C[[DIAS_CORRIDOS]:[V_FUT_UTEIS]],K$5, FALSE)</f>
        <v>#N/A</v>
      </c>
      <c r="L688" s="22" t="e">
        <f>VLOOKUP($A688, TAB_AMORTIZACAO_C[[DIAS_CORRIDOS]:[V_FUT_UTEIS]], L$5, FALSE)</f>
        <v>#N/A</v>
      </c>
    </row>
    <row r="689" spans="1:12" hidden="1">
      <c r="A689" s="19">
        <f t="shared" si="59"/>
        <v>683</v>
      </c>
      <c r="B689" s="20">
        <f t="shared" si="55"/>
        <v>0</v>
      </c>
      <c r="C689" s="21">
        <f t="shared" si="56"/>
        <v>0</v>
      </c>
      <c r="D689" s="22" t="e">
        <f>VLOOKUP($A689, TAB_JUROS_U[[Q_DIAS_U_PARC_TIR]:[V_FUT_U_JURS CENARIO]], D$5, FALSE)</f>
        <v>#N/A</v>
      </c>
      <c r="E689" s="22" t="e">
        <f>VLOOKUP($A689,TAB_CORRECAO_U[[Q_DIAS_U_PARC_TIR]:[V_FUT_U_CORC-02]],E$5, FALSE)</f>
        <v>#N/A</v>
      </c>
      <c r="F689" s="22" t="e">
        <f>VLOOKUP($A689,TAB_AMORTIZACAO_U[[Q_DIAS_U_PARC_TIR]:[V_FUT_U_PCPL-02]], F$5, FALSE)</f>
        <v>#N/A</v>
      </c>
      <c r="H689" s="20">
        <f t="shared" si="57"/>
        <v>1530.9872347028959</v>
      </c>
      <c r="I689" s="21">
        <f t="shared" si="58"/>
        <v>1530.9872347028959</v>
      </c>
      <c r="J689" s="22">
        <f>VLOOKUP($A689, TAB_JUROS_C[[DIAS_CORRIDOS]:[V_FUT_UTEIS]], J$5, FALSE)</f>
        <v>125.29496334802913</v>
      </c>
      <c r="K689" s="22">
        <f>VLOOKUP($A689, TAB_CORRECAO_C[[DIAS_CORRIDOS]:[V_FUT_UTEIS]],K$5, FALSE)</f>
        <v>789.64245765883209</v>
      </c>
      <c r="L689" s="22">
        <f>VLOOKUP($A689, TAB_AMORTIZACAO_C[[DIAS_CORRIDOS]:[V_FUT_UTEIS]], L$5, FALSE)</f>
        <v>616.04981369603468</v>
      </c>
    </row>
    <row r="690" spans="1:12" hidden="1">
      <c r="A690" s="19">
        <f t="shared" si="59"/>
        <v>684</v>
      </c>
      <c r="B690" s="20">
        <f t="shared" si="55"/>
        <v>0</v>
      </c>
      <c r="C690" s="21">
        <f t="shared" si="56"/>
        <v>0</v>
      </c>
      <c r="D690" s="22" t="e">
        <f>VLOOKUP($A690, TAB_JUROS_U[[Q_DIAS_U_PARC_TIR]:[V_FUT_U_JURS CENARIO]], D$5, FALSE)</f>
        <v>#N/A</v>
      </c>
      <c r="E690" s="22" t="e">
        <f>VLOOKUP($A690,TAB_CORRECAO_U[[Q_DIAS_U_PARC_TIR]:[V_FUT_U_CORC-02]],E$5, FALSE)</f>
        <v>#N/A</v>
      </c>
      <c r="F690" s="22" t="e">
        <f>VLOOKUP($A690,TAB_AMORTIZACAO_U[[Q_DIAS_U_PARC_TIR]:[V_FUT_U_PCPL-02]], F$5, FALSE)</f>
        <v>#N/A</v>
      </c>
      <c r="H690" s="20">
        <f t="shared" si="57"/>
        <v>0</v>
      </c>
      <c r="I690" s="21">
        <f t="shared" si="58"/>
        <v>0</v>
      </c>
      <c r="J690" s="22" t="e">
        <f>VLOOKUP($A690, TAB_JUROS_C[[DIAS_CORRIDOS]:[V_FUT_UTEIS]], J$5, FALSE)</f>
        <v>#N/A</v>
      </c>
      <c r="K690" s="22" t="e">
        <f>VLOOKUP($A690, TAB_CORRECAO_C[[DIAS_CORRIDOS]:[V_FUT_UTEIS]],K$5, FALSE)</f>
        <v>#N/A</v>
      </c>
      <c r="L690" s="22" t="e">
        <f>VLOOKUP($A690, TAB_AMORTIZACAO_C[[DIAS_CORRIDOS]:[V_FUT_UTEIS]], L$5, FALSE)</f>
        <v>#N/A</v>
      </c>
    </row>
    <row r="691" spans="1:12" hidden="1">
      <c r="A691" s="19">
        <f t="shared" si="59"/>
        <v>685</v>
      </c>
      <c r="B691" s="20">
        <f t="shared" si="55"/>
        <v>0</v>
      </c>
      <c r="C691" s="21">
        <f t="shared" si="56"/>
        <v>0</v>
      </c>
      <c r="D691" s="22" t="e">
        <f>VLOOKUP($A691, TAB_JUROS_U[[Q_DIAS_U_PARC_TIR]:[V_FUT_U_JURS CENARIO]], D$5, FALSE)</f>
        <v>#N/A</v>
      </c>
      <c r="E691" s="22" t="e">
        <f>VLOOKUP($A691,TAB_CORRECAO_U[[Q_DIAS_U_PARC_TIR]:[V_FUT_U_CORC-02]],E$5, FALSE)</f>
        <v>#N/A</v>
      </c>
      <c r="F691" s="22" t="e">
        <f>VLOOKUP($A691,TAB_AMORTIZACAO_U[[Q_DIAS_U_PARC_TIR]:[V_FUT_U_PCPL-02]], F$5, FALSE)</f>
        <v>#N/A</v>
      </c>
      <c r="H691" s="20">
        <f t="shared" si="57"/>
        <v>0</v>
      </c>
      <c r="I691" s="21">
        <f t="shared" si="58"/>
        <v>0</v>
      </c>
      <c r="J691" s="22" t="e">
        <f>VLOOKUP($A691, TAB_JUROS_C[[DIAS_CORRIDOS]:[V_FUT_UTEIS]], J$5, FALSE)</f>
        <v>#N/A</v>
      </c>
      <c r="K691" s="22" t="e">
        <f>VLOOKUP($A691, TAB_CORRECAO_C[[DIAS_CORRIDOS]:[V_FUT_UTEIS]],K$5, FALSE)</f>
        <v>#N/A</v>
      </c>
      <c r="L691" s="22" t="e">
        <f>VLOOKUP($A691, TAB_AMORTIZACAO_C[[DIAS_CORRIDOS]:[V_FUT_UTEIS]], L$5, FALSE)</f>
        <v>#N/A</v>
      </c>
    </row>
    <row r="692" spans="1:12" hidden="1">
      <c r="A692" s="19">
        <f t="shared" si="59"/>
        <v>686</v>
      </c>
      <c r="B692" s="20">
        <f t="shared" si="55"/>
        <v>0</v>
      </c>
      <c r="C692" s="21">
        <f t="shared" si="56"/>
        <v>0</v>
      </c>
      <c r="D692" s="22" t="e">
        <f>VLOOKUP($A692, TAB_JUROS_U[[Q_DIAS_U_PARC_TIR]:[V_FUT_U_JURS CENARIO]], D$5, FALSE)</f>
        <v>#N/A</v>
      </c>
      <c r="E692" s="22" t="e">
        <f>VLOOKUP($A692,TAB_CORRECAO_U[[Q_DIAS_U_PARC_TIR]:[V_FUT_U_CORC-02]],E$5, FALSE)</f>
        <v>#N/A</v>
      </c>
      <c r="F692" s="22" t="e">
        <f>VLOOKUP($A692,TAB_AMORTIZACAO_U[[Q_DIAS_U_PARC_TIR]:[V_FUT_U_PCPL-02]], F$5, FALSE)</f>
        <v>#N/A</v>
      </c>
      <c r="H692" s="20">
        <f t="shared" si="57"/>
        <v>0</v>
      </c>
      <c r="I692" s="21">
        <f t="shared" si="58"/>
        <v>0</v>
      </c>
      <c r="J692" s="22" t="e">
        <f>VLOOKUP($A692, TAB_JUROS_C[[DIAS_CORRIDOS]:[V_FUT_UTEIS]], J$5, FALSE)</f>
        <v>#N/A</v>
      </c>
      <c r="K692" s="22" t="e">
        <f>VLOOKUP($A692, TAB_CORRECAO_C[[DIAS_CORRIDOS]:[V_FUT_UTEIS]],K$5, FALSE)</f>
        <v>#N/A</v>
      </c>
      <c r="L692" s="22" t="e">
        <f>VLOOKUP($A692, TAB_AMORTIZACAO_C[[DIAS_CORRIDOS]:[V_FUT_UTEIS]], L$5, FALSE)</f>
        <v>#N/A</v>
      </c>
    </row>
    <row r="693" spans="1:12" hidden="1">
      <c r="A693" s="19">
        <f t="shared" si="59"/>
        <v>687</v>
      </c>
      <c r="B693" s="20">
        <f t="shared" si="55"/>
        <v>0</v>
      </c>
      <c r="C693" s="21">
        <f t="shared" si="56"/>
        <v>0</v>
      </c>
      <c r="D693" s="22" t="e">
        <f>VLOOKUP($A693, TAB_JUROS_U[[Q_DIAS_U_PARC_TIR]:[V_FUT_U_JURS CENARIO]], D$5, FALSE)</f>
        <v>#N/A</v>
      </c>
      <c r="E693" s="22" t="e">
        <f>VLOOKUP($A693,TAB_CORRECAO_U[[Q_DIAS_U_PARC_TIR]:[V_FUT_U_CORC-02]],E$5, FALSE)</f>
        <v>#N/A</v>
      </c>
      <c r="F693" s="22" t="e">
        <f>VLOOKUP($A693,TAB_AMORTIZACAO_U[[Q_DIAS_U_PARC_TIR]:[V_FUT_U_PCPL-02]], F$5, FALSE)</f>
        <v>#N/A</v>
      </c>
      <c r="H693" s="20">
        <f t="shared" si="57"/>
        <v>0</v>
      </c>
      <c r="I693" s="21">
        <f t="shared" si="58"/>
        <v>0</v>
      </c>
      <c r="J693" s="22" t="e">
        <f>VLOOKUP($A693, TAB_JUROS_C[[DIAS_CORRIDOS]:[V_FUT_UTEIS]], J$5, FALSE)</f>
        <v>#N/A</v>
      </c>
      <c r="K693" s="22" t="e">
        <f>VLOOKUP($A693, TAB_CORRECAO_C[[DIAS_CORRIDOS]:[V_FUT_UTEIS]],K$5, FALSE)</f>
        <v>#N/A</v>
      </c>
      <c r="L693" s="22" t="e">
        <f>VLOOKUP($A693, TAB_AMORTIZACAO_C[[DIAS_CORRIDOS]:[V_FUT_UTEIS]], L$5, FALSE)</f>
        <v>#N/A</v>
      </c>
    </row>
    <row r="694" spans="1:12" hidden="1">
      <c r="A694" s="19">
        <f t="shared" si="59"/>
        <v>688</v>
      </c>
      <c r="B694" s="20">
        <f t="shared" si="55"/>
        <v>0</v>
      </c>
      <c r="C694" s="21">
        <f t="shared" si="56"/>
        <v>0</v>
      </c>
      <c r="D694" s="22" t="e">
        <f>VLOOKUP($A694, TAB_JUROS_U[[Q_DIAS_U_PARC_TIR]:[V_FUT_U_JURS CENARIO]], D$5, FALSE)</f>
        <v>#N/A</v>
      </c>
      <c r="E694" s="22" t="e">
        <f>VLOOKUP($A694,TAB_CORRECAO_U[[Q_DIAS_U_PARC_TIR]:[V_FUT_U_CORC-02]],E$5, FALSE)</f>
        <v>#N/A</v>
      </c>
      <c r="F694" s="22" t="e">
        <f>VLOOKUP($A694,TAB_AMORTIZACAO_U[[Q_DIAS_U_PARC_TIR]:[V_FUT_U_PCPL-02]], F$5, FALSE)</f>
        <v>#N/A</v>
      </c>
      <c r="H694" s="20">
        <f t="shared" si="57"/>
        <v>0</v>
      </c>
      <c r="I694" s="21">
        <f t="shared" si="58"/>
        <v>0</v>
      </c>
      <c r="J694" s="22" t="e">
        <f>VLOOKUP($A694, TAB_JUROS_C[[DIAS_CORRIDOS]:[V_FUT_UTEIS]], J$5, FALSE)</f>
        <v>#N/A</v>
      </c>
      <c r="K694" s="22" t="e">
        <f>VLOOKUP($A694, TAB_CORRECAO_C[[DIAS_CORRIDOS]:[V_FUT_UTEIS]],K$5, FALSE)</f>
        <v>#N/A</v>
      </c>
      <c r="L694" s="22" t="e">
        <f>VLOOKUP($A694, TAB_AMORTIZACAO_C[[DIAS_CORRIDOS]:[V_FUT_UTEIS]], L$5, FALSE)</f>
        <v>#N/A</v>
      </c>
    </row>
    <row r="695" spans="1:12" hidden="1">
      <c r="A695" s="19">
        <f t="shared" si="59"/>
        <v>689</v>
      </c>
      <c r="B695" s="20">
        <f t="shared" si="55"/>
        <v>0</v>
      </c>
      <c r="C695" s="21">
        <f t="shared" si="56"/>
        <v>0</v>
      </c>
      <c r="D695" s="22" t="e">
        <f>VLOOKUP($A695, TAB_JUROS_U[[Q_DIAS_U_PARC_TIR]:[V_FUT_U_JURS CENARIO]], D$5, FALSE)</f>
        <v>#N/A</v>
      </c>
      <c r="E695" s="22" t="e">
        <f>VLOOKUP($A695,TAB_CORRECAO_U[[Q_DIAS_U_PARC_TIR]:[V_FUT_U_CORC-02]],E$5, FALSE)</f>
        <v>#N/A</v>
      </c>
      <c r="F695" s="22" t="e">
        <f>VLOOKUP($A695,TAB_AMORTIZACAO_U[[Q_DIAS_U_PARC_TIR]:[V_FUT_U_PCPL-02]], F$5, FALSE)</f>
        <v>#N/A</v>
      </c>
      <c r="H695" s="20">
        <f t="shared" si="57"/>
        <v>0</v>
      </c>
      <c r="I695" s="21">
        <f t="shared" si="58"/>
        <v>0</v>
      </c>
      <c r="J695" s="22" t="e">
        <f>VLOOKUP($A695, TAB_JUROS_C[[DIAS_CORRIDOS]:[V_FUT_UTEIS]], J$5, FALSE)</f>
        <v>#N/A</v>
      </c>
      <c r="K695" s="22" t="e">
        <f>VLOOKUP($A695, TAB_CORRECAO_C[[DIAS_CORRIDOS]:[V_FUT_UTEIS]],K$5, FALSE)</f>
        <v>#N/A</v>
      </c>
      <c r="L695" s="22" t="e">
        <f>VLOOKUP($A695, TAB_AMORTIZACAO_C[[DIAS_CORRIDOS]:[V_FUT_UTEIS]], L$5, FALSE)</f>
        <v>#N/A</v>
      </c>
    </row>
    <row r="696" spans="1:12" hidden="1">
      <c r="A696" s="19">
        <f t="shared" si="59"/>
        <v>690</v>
      </c>
      <c r="B696" s="20">
        <f t="shared" si="55"/>
        <v>0</v>
      </c>
      <c r="C696" s="21">
        <f t="shared" si="56"/>
        <v>0</v>
      </c>
      <c r="D696" s="22" t="e">
        <f>VLOOKUP($A696, TAB_JUROS_U[[Q_DIAS_U_PARC_TIR]:[V_FUT_U_JURS CENARIO]], D$5, FALSE)</f>
        <v>#N/A</v>
      </c>
      <c r="E696" s="22" t="e">
        <f>VLOOKUP($A696,TAB_CORRECAO_U[[Q_DIAS_U_PARC_TIR]:[V_FUT_U_CORC-02]],E$5, FALSE)</f>
        <v>#N/A</v>
      </c>
      <c r="F696" s="22" t="e">
        <f>VLOOKUP($A696,TAB_AMORTIZACAO_U[[Q_DIAS_U_PARC_TIR]:[V_FUT_U_PCPL-02]], F$5, FALSE)</f>
        <v>#N/A</v>
      </c>
      <c r="H696" s="20">
        <f t="shared" si="57"/>
        <v>0</v>
      </c>
      <c r="I696" s="21">
        <f t="shared" si="58"/>
        <v>0</v>
      </c>
      <c r="J696" s="22" t="e">
        <f>VLOOKUP($A696, TAB_JUROS_C[[DIAS_CORRIDOS]:[V_FUT_UTEIS]], J$5, FALSE)</f>
        <v>#N/A</v>
      </c>
      <c r="K696" s="22" t="e">
        <f>VLOOKUP($A696, TAB_CORRECAO_C[[DIAS_CORRIDOS]:[V_FUT_UTEIS]],K$5, FALSE)</f>
        <v>#N/A</v>
      </c>
      <c r="L696" s="22" t="e">
        <f>VLOOKUP($A696, TAB_AMORTIZACAO_C[[DIAS_CORRIDOS]:[V_FUT_UTEIS]], L$5, FALSE)</f>
        <v>#N/A</v>
      </c>
    </row>
    <row r="697" spans="1:12" hidden="1">
      <c r="A697" s="19">
        <f t="shared" si="59"/>
        <v>691</v>
      </c>
      <c r="B697" s="20">
        <f t="shared" si="55"/>
        <v>0</v>
      </c>
      <c r="C697" s="21">
        <f t="shared" si="56"/>
        <v>0</v>
      </c>
      <c r="D697" s="22" t="e">
        <f>VLOOKUP($A697, TAB_JUROS_U[[Q_DIAS_U_PARC_TIR]:[V_FUT_U_JURS CENARIO]], D$5, FALSE)</f>
        <v>#N/A</v>
      </c>
      <c r="E697" s="22" t="e">
        <f>VLOOKUP($A697,TAB_CORRECAO_U[[Q_DIAS_U_PARC_TIR]:[V_FUT_U_CORC-02]],E$5, FALSE)</f>
        <v>#N/A</v>
      </c>
      <c r="F697" s="22" t="e">
        <f>VLOOKUP($A697,TAB_AMORTIZACAO_U[[Q_DIAS_U_PARC_TIR]:[V_FUT_U_PCPL-02]], F$5, FALSE)</f>
        <v>#N/A</v>
      </c>
      <c r="H697" s="20">
        <f t="shared" si="57"/>
        <v>0</v>
      </c>
      <c r="I697" s="21">
        <f t="shared" si="58"/>
        <v>0</v>
      </c>
      <c r="J697" s="22" t="e">
        <f>VLOOKUP($A697, TAB_JUROS_C[[DIAS_CORRIDOS]:[V_FUT_UTEIS]], J$5, FALSE)</f>
        <v>#N/A</v>
      </c>
      <c r="K697" s="22" t="e">
        <f>VLOOKUP($A697, TAB_CORRECAO_C[[DIAS_CORRIDOS]:[V_FUT_UTEIS]],K$5, FALSE)</f>
        <v>#N/A</v>
      </c>
      <c r="L697" s="22" t="e">
        <f>VLOOKUP($A697, TAB_AMORTIZACAO_C[[DIAS_CORRIDOS]:[V_FUT_UTEIS]], L$5, FALSE)</f>
        <v>#N/A</v>
      </c>
    </row>
    <row r="698" spans="1:12" hidden="1">
      <c r="A698" s="19">
        <f t="shared" si="59"/>
        <v>692</v>
      </c>
      <c r="B698" s="20">
        <f t="shared" si="55"/>
        <v>0</v>
      </c>
      <c r="C698" s="21">
        <f t="shared" si="56"/>
        <v>0</v>
      </c>
      <c r="D698" s="22" t="e">
        <f>VLOOKUP($A698, TAB_JUROS_U[[Q_DIAS_U_PARC_TIR]:[V_FUT_U_JURS CENARIO]], D$5, FALSE)</f>
        <v>#N/A</v>
      </c>
      <c r="E698" s="22" t="e">
        <f>VLOOKUP($A698,TAB_CORRECAO_U[[Q_DIAS_U_PARC_TIR]:[V_FUT_U_CORC-02]],E$5, FALSE)</f>
        <v>#N/A</v>
      </c>
      <c r="F698" s="22" t="e">
        <f>VLOOKUP($A698,TAB_AMORTIZACAO_U[[Q_DIAS_U_PARC_TIR]:[V_FUT_U_PCPL-02]], F$5, FALSE)</f>
        <v>#N/A</v>
      </c>
      <c r="H698" s="20">
        <f t="shared" si="57"/>
        <v>0</v>
      </c>
      <c r="I698" s="21">
        <f t="shared" si="58"/>
        <v>0</v>
      </c>
      <c r="J698" s="22" t="e">
        <f>VLOOKUP($A698, TAB_JUROS_C[[DIAS_CORRIDOS]:[V_FUT_UTEIS]], J$5, FALSE)</f>
        <v>#N/A</v>
      </c>
      <c r="K698" s="22" t="e">
        <f>VLOOKUP($A698, TAB_CORRECAO_C[[DIAS_CORRIDOS]:[V_FUT_UTEIS]],K$5, FALSE)</f>
        <v>#N/A</v>
      </c>
      <c r="L698" s="22" t="e">
        <f>VLOOKUP($A698, TAB_AMORTIZACAO_C[[DIAS_CORRIDOS]:[V_FUT_UTEIS]], L$5, FALSE)</f>
        <v>#N/A</v>
      </c>
    </row>
    <row r="699" spans="1:12" hidden="1">
      <c r="A699" s="19">
        <f t="shared" si="59"/>
        <v>693</v>
      </c>
      <c r="B699" s="20">
        <f t="shared" si="55"/>
        <v>0</v>
      </c>
      <c r="C699" s="21">
        <f t="shared" si="56"/>
        <v>0</v>
      </c>
      <c r="D699" s="22" t="e">
        <f>VLOOKUP($A699, TAB_JUROS_U[[Q_DIAS_U_PARC_TIR]:[V_FUT_U_JURS CENARIO]], D$5, FALSE)</f>
        <v>#N/A</v>
      </c>
      <c r="E699" s="22" t="e">
        <f>VLOOKUP($A699,TAB_CORRECAO_U[[Q_DIAS_U_PARC_TIR]:[V_FUT_U_CORC-02]],E$5, FALSE)</f>
        <v>#N/A</v>
      </c>
      <c r="F699" s="22" t="e">
        <f>VLOOKUP($A699,TAB_AMORTIZACAO_U[[Q_DIAS_U_PARC_TIR]:[V_FUT_U_PCPL-02]], F$5, FALSE)</f>
        <v>#N/A</v>
      </c>
      <c r="H699" s="20">
        <f t="shared" si="57"/>
        <v>0</v>
      </c>
      <c r="I699" s="21">
        <f t="shared" si="58"/>
        <v>0</v>
      </c>
      <c r="J699" s="22" t="e">
        <f>VLOOKUP($A699, TAB_JUROS_C[[DIAS_CORRIDOS]:[V_FUT_UTEIS]], J$5, FALSE)</f>
        <v>#N/A</v>
      </c>
      <c r="K699" s="22" t="e">
        <f>VLOOKUP($A699, TAB_CORRECAO_C[[DIAS_CORRIDOS]:[V_FUT_UTEIS]],K$5, FALSE)</f>
        <v>#N/A</v>
      </c>
      <c r="L699" s="22" t="e">
        <f>VLOOKUP($A699, TAB_AMORTIZACAO_C[[DIAS_CORRIDOS]:[V_FUT_UTEIS]], L$5, FALSE)</f>
        <v>#N/A</v>
      </c>
    </row>
    <row r="700" spans="1:12" hidden="1">
      <c r="A700" s="19">
        <f t="shared" si="59"/>
        <v>694</v>
      </c>
      <c r="B700" s="20">
        <f t="shared" si="55"/>
        <v>0</v>
      </c>
      <c r="C700" s="21">
        <f t="shared" si="56"/>
        <v>0</v>
      </c>
      <c r="D700" s="22" t="e">
        <f>VLOOKUP($A700, TAB_JUROS_U[[Q_DIAS_U_PARC_TIR]:[V_FUT_U_JURS CENARIO]], D$5, FALSE)</f>
        <v>#N/A</v>
      </c>
      <c r="E700" s="22" t="e">
        <f>VLOOKUP($A700,TAB_CORRECAO_U[[Q_DIAS_U_PARC_TIR]:[V_FUT_U_CORC-02]],E$5, FALSE)</f>
        <v>#N/A</v>
      </c>
      <c r="F700" s="22" t="e">
        <f>VLOOKUP($A700,TAB_AMORTIZACAO_U[[Q_DIAS_U_PARC_TIR]:[V_FUT_U_PCPL-02]], F$5, FALSE)</f>
        <v>#N/A</v>
      </c>
      <c r="H700" s="20">
        <f t="shared" si="57"/>
        <v>0</v>
      </c>
      <c r="I700" s="21">
        <f t="shared" si="58"/>
        <v>0</v>
      </c>
      <c r="J700" s="22" t="e">
        <f>VLOOKUP($A700, TAB_JUROS_C[[DIAS_CORRIDOS]:[V_FUT_UTEIS]], J$5, FALSE)</f>
        <v>#N/A</v>
      </c>
      <c r="K700" s="22" t="e">
        <f>VLOOKUP($A700, TAB_CORRECAO_C[[DIAS_CORRIDOS]:[V_FUT_UTEIS]],K$5, FALSE)</f>
        <v>#N/A</v>
      </c>
      <c r="L700" s="22" t="e">
        <f>VLOOKUP($A700, TAB_AMORTIZACAO_C[[DIAS_CORRIDOS]:[V_FUT_UTEIS]], L$5, FALSE)</f>
        <v>#N/A</v>
      </c>
    </row>
    <row r="701" spans="1:12" hidden="1">
      <c r="A701" s="19">
        <f t="shared" si="59"/>
        <v>695</v>
      </c>
      <c r="B701" s="20">
        <f t="shared" si="55"/>
        <v>0</v>
      </c>
      <c r="C701" s="21">
        <f t="shared" si="56"/>
        <v>0</v>
      </c>
      <c r="D701" s="22" t="e">
        <f>VLOOKUP($A701, TAB_JUROS_U[[Q_DIAS_U_PARC_TIR]:[V_FUT_U_JURS CENARIO]], D$5, FALSE)</f>
        <v>#N/A</v>
      </c>
      <c r="E701" s="22" t="e">
        <f>VLOOKUP($A701,TAB_CORRECAO_U[[Q_DIAS_U_PARC_TIR]:[V_FUT_U_CORC-02]],E$5, FALSE)</f>
        <v>#N/A</v>
      </c>
      <c r="F701" s="22" t="e">
        <f>VLOOKUP($A701,TAB_AMORTIZACAO_U[[Q_DIAS_U_PARC_TIR]:[V_FUT_U_PCPL-02]], F$5, FALSE)</f>
        <v>#N/A</v>
      </c>
      <c r="H701" s="20">
        <f t="shared" si="57"/>
        <v>0</v>
      </c>
      <c r="I701" s="21">
        <f t="shared" si="58"/>
        <v>0</v>
      </c>
      <c r="J701" s="22" t="e">
        <f>VLOOKUP($A701, TAB_JUROS_C[[DIAS_CORRIDOS]:[V_FUT_UTEIS]], J$5, FALSE)</f>
        <v>#N/A</v>
      </c>
      <c r="K701" s="22" t="e">
        <f>VLOOKUP($A701, TAB_CORRECAO_C[[DIAS_CORRIDOS]:[V_FUT_UTEIS]],K$5, FALSE)</f>
        <v>#N/A</v>
      </c>
      <c r="L701" s="22" t="e">
        <f>VLOOKUP($A701, TAB_AMORTIZACAO_C[[DIAS_CORRIDOS]:[V_FUT_UTEIS]], L$5, FALSE)</f>
        <v>#N/A</v>
      </c>
    </row>
    <row r="702" spans="1:12" hidden="1">
      <c r="A702" s="19">
        <f t="shared" si="59"/>
        <v>696</v>
      </c>
      <c r="B702" s="20">
        <f t="shared" si="55"/>
        <v>0</v>
      </c>
      <c r="C702" s="21">
        <f t="shared" si="56"/>
        <v>0</v>
      </c>
      <c r="D702" s="22" t="e">
        <f>VLOOKUP($A702, TAB_JUROS_U[[Q_DIAS_U_PARC_TIR]:[V_FUT_U_JURS CENARIO]], D$5, FALSE)</f>
        <v>#N/A</v>
      </c>
      <c r="E702" s="22" t="e">
        <f>VLOOKUP($A702,TAB_CORRECAO_U[[Q_DIAS_U_PARC_TIR]:[V_FUT_U_CORC-02]],E$5, FALSE)</f>
        <v>#N/A</v>
      </c>
      <c r="F702" s="22" t="e">
        <f>VLOOKUP($A702,TAB_AMORTIZACAO_U[[Q_DIAS_U_PARC_TIR]:[V_FUT_U_PCPL-02]], F$5, FALSE)</f>
        <v>#N/A</v>
      </c>
      <c r="H702" s="20">
        <f t="shared" si="57"/>
        <v>0</v>
      </c>
      <c r="I702" s="21">
        <f t="shared" si="58"/>
        <v>0</v>
      </c>
      <c r="J702" s="22" t="e">
        <f>VLOOKUP($A702, TAB_JUROS_C[[DIAS_CORRIDOS]:[V_FUT_UTEIS]], J$5, FALSE)</f>
        <v>#N/A</v>
      </c>
      <c r="K702" s="22" t="e">
        <f>VLOOKUP($A702, TAB_CORRECAO_C[[DIAS_CORRIDOS]:[V_FUT_UTEIS]],K$5, FALSE)</f>
        <v>#N/A</v>
      </c>
      <c r="L702" s="22" t="e">
        <f>VLOOKUP($A702, TAB_AMORTIZACAO_C[[DIAS_CORRIDOS]:[V_FUT_UTEIS]], L$5, FALSE)</f>
        <v>#N/A</v>
      </c>
    </row>
    <row r="703" spans="1:12" hidden="1">
      <c r="A703" s="19">
        <f t="shared" si="59"/>
        <v>697</v>
      </c>
      <c r="B703" s="20">
        <f t="shared" si="55"/>
        <v>0</v>
      </c>
      <c r="C703" s="21">
        <f t="shared" si="56"/>
        <v>0</v>
      </c>
      <c r="D703" s="22" t="e">
        <f>VLOOKUP($A703, TAB_JUROS_U[[Q_DIAS_U_PARC_TIR]:[V_FUT_U_JURS CENARIO]], D$5, FALSE)</f>
        <v>#N/A</v>
      </c>
      <c r="E703" s="22" t="e">
        <f>VLOOKUP($A703,TAB_CORRECAO_U[[Q_DIAS_U_PARC_TIR]:[V_FUT_U_CORC-02]],E$5, FALSE)</f>
        <v>#N/A</v>
      </c>
      <c r="F703" s="22" t="e">
        <f>VLOOKUP($A703,TAB_AMORTIZACAO_U[[Q_DIAS_U_PARC_TIR]:[V_FUT_U_PCPL-02]], F$5, FALSE)</f>
        <v>#N/A</v>
      </c>
      <c r="H703" s="20">
        <f t="shared" si="57"/>
        <v>0</v>
      </c>
      <c r="I703" s="21">
        <f t="shared" si="58"/>
        <v>0</v>
      </c>
      <c r="J703" s="22" t="e">
        <f>VLOOKUP($A703, TAB_JUROS_C[[DIAS_CORRIDOS]:[V_FUT_UTEIS]], J$5, FALSE)</f>
        <v>#N/A</v>
      </c>
      <c r="K703" s="22" t="e">
        <f>VLOOKUP($A703, TAB_CORRECAO_C[[DIAS_CORRIDOS]:[V_FUT_UTEIS]],K$5, FALSE)</f>
        <v>#N/A</v>
      </c>
      <c r="L703" s="22" t="e">
        <f>VLOOKUP($A703, TAB_AMORTIZACAO_C[[DIAS_CORRIDOS]:[V_FUT_UTEIS]], L$5, FALSE)</f>
        <v>#N/A</v>
      </c>
    </row>
    <row r="704" spans="1:12" hidden="1">
      <c r="A704" s="19">
        <f t="shared" si="59"/>
        <v>698</v>
      </c>
      <c r="B704" s="20">
        <f t="shared" si="55"/>
        <v>0</v>
      </c>
      <c r="C704" s="21">
        <f t="shared" si="56"/>
        <v>0</v>
      </c>
      <c r="D704" s="22" t="e">
        <f>VLOOKUP($A704, TAB_JUROS_U[[Q_DIAS_U_PARC_TIR]:[V_FUT_U_JURS CENARIO]], D$5, FALSE)</f>
        <v>#N/A</v>
      </c>
      <c r="E704" s="22" t="e">
        <f>VLOOKUP($A704,TAB_CORRECAO_U[[Q_DIAS_U_PARC_TIR]:[V_FUT_U_CORC-02]],E$5, FALSE)</f>
        <v>#N/A</v>
      </c>
      <c r="F704" s="22" t="e">
        <f>VLOOKUP($A704,TAB_AMORTIZACAO_U[[Q_DIAS_U_PARC_TIR]:[V_FUT_U_PCPL-02]], F$5, FALSE)</f>
        <v>#N/A</v>
      </c>
      <c r="H704" s="20">
        <f t="shared" si="57"/>
        <v>0</v>
      </c>
      <c r="I704" s="21">
        <f t="shared" si="58"/>
        <v>0</v>
      </c>
      <c r="J704" s="22" t="e">
        <f>VLOOKUP($A704, TAB_JUROS_C[[DIAS_CORRIDOS]:[V_FUT_UTEIS]], J$5, FALSE)</f>
        <v>#N/A</v>
      </c>
      <c r="K704" s="22" t="e">
        <f>VLOOKUP($A704, TAB_CORRECAO_C[[DIAS_CORRIDOS]:[V_FUT_UTEIS]],K$5, FALSE)</f>
        <v>#N/A</v>
      </c>
      <c r="L704" s="22" t="e">
        <f>VLOOKUP($A704, TAB_AMORTIZACAO_C[[DIAS_CORRIDOS]:[V_FUT_UTEIS]], L$5, FALSE)</f>
        <v>#N/A</v>
      </c>
    </row>
    <row r="705" spans="1:12" hidden="1">
      <c r="A705" s="19">
        <f t="shared" si="59"/>
        <v>699</v>
      </c>
      <c r="B705" s="20">
        <f t="shared" si="55"/>
        <v>0</v>
      </c>
      <c r="C705" s="21">
        <f t="shared" si="56"/>
        <v>0</v>
      </c>
      <c r="D705" s="22" t="e">
        <f>VLOOKUP($A705, TAB_JUROS_U[[Q_DIAS_U_PARC_TIR]:[V_FUT_U_JURS CENARIO]], D$5, FALSE)</f>
        <v>#N/A</v>
      </c>
      <c r="E705" s="22" t="e">
        <f>VLOOKUP($A705,TAB_CORRECAO_U[[Q_DIAS_U_PARC_TIR]:[V_FUT_U_CORC-02]],E$5, FALSE)</f>
        <v>#N/A</v>
      </c>
      <c r="F705" s="22" t="e">
        <f>VLOOKUP($A705,TAB_AMORTIZACAO_U[[Q_DIAS_U_PARC_TIR]:[V_FUT_U_PCPL-02]], F$5, FALSE)</f>
        <v>#N/A</v>
      </c>
      <c r="H705" s="20">
        <f t="shared" si="57"/>
        <v>0</v>
      </c>
      <c r="I705" s="21">
        <f t="shared" si="58"/>
        <v>0</v>
      </c>
      <c r="J705" s="22" t="e">
        <f>VLOOKUP($A705, TAB_JUROS_C[[DIAS_CORRIDOS]:[V_FUT_UTEIS]], J$5, FALSE)</f>
        <v>#N/A</v>
      </c>
      <c r="K705" s="22" t="e">
        <f>VLOOKUP($A705, TAB_CORRECAO_C[[DIAS_CORRIDOS]:[V_FUT_UTEIS]],K$5, FALSE)</f>
        <v>#N/A</v>
      </c>
      <c r="L705" s="22" t="e">
        <f>VLOOKUP($A705, TAB_AMORTIZACAO_C[[DIAS_CORRIDOS]:[V_FUT_UTEIS]], L$5, FALSE)</f>
        <v>#N/A</v>
      </c>
    </row>
    <row r="706" spans="1:12" hidden="1">
      <c r="A706" s="19">
        <f t="shared" si="59"/>
        <v>700</v>
      </c>
      <c r="B706" s="20">
        <f t="shared" si="55"/>
        <v>0</v>
      </c>
      <c r="C706" s="21">
        <f t="shared" si="56"/>
        <v>0</v>
      </c>
      <c r="D706" s="22" t="e">
        <f>VLOOKUP($A706, TAB_JUROS_U[[Q_DIAS_U_PARC_TIR]:[V_FUT_U_JURS CENARIO]], D$5, FALSE)</f>
        <v>#N/A</v>
      </c>
      <c r="E706" s="22" t="e">
        <f>VLOOKUP($A706,TAB_CORRECAO_U[[Q_DIAS_U_PARC_TIR]:[V_FUT_U_CORC-02]],E$5, FALSE)</f>
        <v>#N/A</v>
      </c>
      <c r="F706" s="22" t="e">
        <f>VLOOKUP($A706,TAB_AMORTIZACAO_U[[Q_DIAS_U_PARC_TIR]:[V_FUT_U_PCPL-02]], F$5, FALSE)</f>
        <v>#N/A</v>
      </c>
      <c r="H706" s="20">
        <f t="shared" si="57"/>
        <v>0</v>
      </c>
      <c r="I706" s="21">
        <f t="shared" si="58"/>
        <v>0</v>
      </c>
      <c r="J706" s="22" t="e">
        <f>VLOOKUP($A706, TAB_JUROS_C[[DIAS_CORRIDOS]:[V_FUT_UTEIS]], J$5, FALSE)</f>
        <v>#N/A</v>
      </c>
      <c r="K706" s="22" t="e">
        <f>VLOOKUP($A706, TAB_CORRECAO_C[[DIAS_CORRIDOS]:[V_FUT_UTEIS]],K$5, FALSE)</f>
        <v>#N/A</v>
      </c>
      <c r="L706" s="22" t="e">
        <f>VLOOKUP($A706, TAB_AMORTIZACAO_C[[DIAS_CORRIDOS]:[V_FUT_UTEIS]], L$5, FALSE)</f>
        <v>#N/A</v>
      </c>
    </row>
    <row r="707" spans="1:12">
      <c r="A707" s="19">
        <f t="shared" si="59"/>
        <v>701</v>
      </c>
      <c r="B707" s="20">
        <f t="shared" si="55"/>
        <v>1195.9708732239401</v>
      </c>
      <c r="C707" s="21">
        <f t="shared" si="56"/>
        <v>1195.9708732239401</v>
      </c>
      <c r="D707" s="22">
        <f>VLOOKUP($A707, TAB_JUROS_U[[Q_DIAS_U_PARC_TIR]:[V_FUT_U_JURS CENARIO]], D$5, FALSE)</f>
        <v>86.855729843985259</v>
      </c>
      <c r="E707" s="22">
        <f>VLOOKUP($A707,TAB_CORRECAO_U[[Q_DIAS_U_PARC_TIR]:[V_FUT_U_CORC-02]],E$5, FALSE)</f>
        <v>580.93789655664239</v>
      </c>
      <c r="F707" s="22">
        <f>VLOOKUP($A707,TAB_AMORTIZACAO_U[[Q_DIAS_U_PARC_TIR]:[V_FUT_U_PCPL-02]], F$5, FALSE)</f>
        <v>528.17724682331232</v>
      </c>
      <c r="H707" s="20">
        <f t="shared" si="57"/>
        <v>0</v>
      </c>
      <c r="I707" s="21">
        <f t="shared" si="58"/>
        <v>0</v>
      </c>
      <c r="J707" s="22" t="e">
        <f>VLOOKUP($A707, TAB_JUROS_C[[DIAS_CORRIDOS]:[V_FUT_UTEIS]], J$5, FALSE)</f>
        <v>#N/A</v>
      </c>
      <c r="K707" s="22" t="e">
        <f>VLOOKUP($A707, TAB_CORRECAO_C[[DIAS_CORRIDOS]:[V_FUT_UTEIS]],K$5, FALSE)</f>
        <v>#N/A</v>
      </c>
      <c r="L707" s="22" t="e">
        <f>VLOOKUP($A707, TAB_AMORTIZACAO_C[[DIAS_CORRIDOS]:[V_FUT_UTEIS]], L$5, FALSE)</f>
        <v>#N/A</v>
      </c>
    </row>
    <row r="708" spans="1:12" hidden="1">
      <c r="A708" s="19">
        <f t="shared" si="59"/>
        <v>702</v>
      </c>
      <c r="B708" s="20">
        <f t="shared" si="55"/>
        <v>0</v>
      </c>
      <c r="C708" s="21">
        <f t="shared" si="56"/>
        <v>0</v>
      </c>
      <c r="D708" s="22" t="e">
        <f>VLOOKUP($A708, TAB_JUROS_U[[Q_DIAS_U_PARC_TIR]:[V_FUT_U_JURS CENARIO]], D$5, FALSE)</f>
        <v>#N/A</v>
      </c>
      <c r="E708" s="22" t="e">
        <f>VLOOKUP($A708,TAB_CORRECAO_U[[Q_DIAS_U_PARC_TIR]:[V_FUT_U_CORC-02]],E$5, FALSE)</f>
        <v>#N/A</v>
      </c>
      <c r="F708" s="22" t="e">
        <f>VLOOKUP($A708,TAB_AMORTIZACAO_U[[Q_DIAS_U_PARC_TIR]:[V_FUT_U_PCPL-02]], F$5, FALSE)</f>
        <v>#N/A</v>
      </c>
      <c r="H708" s="20">
        <f t="shared" si="57"/>
        <v>0</v>
      </c>
      <c r="I708" s="21">
        <f t="shared" si="58"/>
        <v>0</v>
      </c>
      <c r="J708" s="22" t="e">
        <f>VLOOKUP($A708, TAB_JUROS_C[[DIAS_CORRIDOS]:[V_FUT_UTEIS]], J$5, FALSE)</f>
        <v>#N/A</v>
      </c>
      <c r="K708" s="22" t="e">
        <f>VLOOKUP($A708, TAB_CORRECAO_C[[DIAS_CORRIDOS]:[V_FUT_UTEIS]],K$5, FALSE)</f>
        <v>#N/A</v>
      </c>
      <c r="L708" s="22" t="e">
        <f>VLOOKUP($A708, TAB_AMORTIZACAO_C[[DIAS_CORRIDOS]:[V_FUT_UTEIS]], L$5, FALSE)</f>
        <v>#N/A</v>
      </c>
    </row>
    <row r="709" spans="1:12" hidden="1">
      <c r="A709" s="19">
        <f t="shared" si="59"/>
        <v>703</v>
      </c>
      <c r="B709" s="20">
        <f t="shared" si="55"/>
        <v>0</v>
      </c>
      <c r="C709" s="21">
        <f t="shared" si="56"/>
        <v>0</v>
      </c>
      <c r="D709" s="22" t="e">
        <f>VLOOKUP($A709, TAB_JUROS_U[[Q_DIAS_U_PARC_TIR]:[V_FUT_U_JURS CENARIO]], D$5, FALSE)</f>
        <v>#N/A</v>
      </c>
      <c r="E709" s="22" t="e">
        <f>VLOOKUP($A709,TAB_CORRECAO_U[[Q_DIAS_U_PARC_TIR]:[V_FUT_U_CORC-02]],E$5, FALSE)</f>
        <v>#N/A</v>
      </c>
      <c r="F709" s="22" t="e">
        <f>VLOOKUP($A709,TAB_AMORTIZACAO_U[[Q_DIAS_U_PARC_TIR]:[V_FUT_U_PCPL-02]], F$5, FALSE)</f>
        <v>#N/A</v>
      </c>
      <c r="H709" s="20">
        <f t="shared" si="57"/>
        <v>0</v>
      </c>
      <c r="I709" s="21">
        <f t="shared" si="58"/>
        <v>0</v>
      </c>
      <c r="J709" s="22" t="e">
        <f>VLOOKUP($A709, TAB_JUROS_C[[DIAS_CORRIDOS]:[V_FUT_UTEIS]], J$5, FALSE)</f>
        <v>#N/A</v>
      </c>
      <c r="K709" s="22" t="e">
        <f>VLOOKUP($A709, TAB_CORRECAO_C[[DIAS_CORRIDOS]:[V_FUT_UTEIS]],K$5, FALSE)</f>
        <v>#N/A</v>
      </c>
      <c r="L709" s="22" t="e">
        <f>VLOOKUP($A709, TAB_AMORTIZACAO_C[[DIAS_CORRIDOS]:[V_FUT_UTEIS]], L$5, FALSE)</f>
        <v>#N/A</v>
      </c>
    </row>
    <row r="710" spans="1:12" hidden="1">
      <c r="A710" s="19">
        <f t="shared" si="59"/>
        <v>704</v>
      </c>
      <c r="B710" s="20">
        <f t="shared" si="55"/>
        <v>0</v>
      </c>
      <c r="C710" s="21">
        <f t="shared" si="56"/>
        <v>0</v>
      </c>
      <c r="D710" s="22" t="e">
        <f>VLOOKUP($A710, TAB_JUROS_U[[Q_DIAS_U_PARC_TIR]:[V_FUT_U_JURS CENARIO]], D$5, FALSE)</f>
        <v>#N/A</v>
      </c>
      <c r="E710" s="22" t="e">
        <f>VLOOKUP($A710,TAB_CORRECAO_U[[Q_DIAS_U_PARC_TIR]:[V_FUT_U_CORC-02]],E$5, FALSE)</f>
        <v>#N/A</v>
      </c>
      <c r="F710" s="22" t="e">
        <f>VLOOKUP($A710,TAB_AMORTIZACAO_U[[Q_DIAS_U_PARC_TIR]:[V_FUT_U_PCPL-02]], F$5, FALSE)</f>
        <v>#N/A</v>
      </c>
      <c r="H710" s="20">
        <f t="shared" si="57"/>
        <v>0</v>
      </c>
      <c r="I710" s="21">
        <f t="shared" si="58"/>
        <v>0</v>
      </c>
      <c r="J710" s="22" t="e">
        <f>VLOOKUP($A710, TAB_JUROS_C[[DIAS_CORRIDOS]:[V_FUT_UTEIS]], J$5, FALSE)</f>
        <v>#N/A</v>
      </c>
      <c r="K710" s="22" t="e">
        <f>VLOOKUP($A710, TAB_CORRECAO_C[[DIAS_CORRIDOS]:[V_FUT_UTEIS]],K$5, FALSE)</f>
        <v>#N/A</v>
      </c>
      <c r="L710" s="22" t="e">
        <f>VLOOKUP($A710, TAB_AMORTIZACAO_C[[DIAS_CORRIDOS]:[V_FUT_UTEIS]], L$5, FALSE)</f>
        <v>#N/A</v>
      </c>
    </row>
    <row r="711" spans="1:12" hidden="1">
      <c r="A711" s="19">
        <f t="shared" si="59"/>
        <v>705</v>
      </c>
      <c r="B711" s="20">
        <f t="shared" si="55"/>
        <v>0</v>
      </c>
      <c r="C711" s="21">
        <f t="shared" si="56"/>
        <v>0</v>
      </c>
      <c r="D711" s="22" t="e">
        <f>VLOOKUP($A711, TAB_JUROS_U[[Q_DIAS_U_PARC_TIR]:[V_FUT_U_JURS CENARIO]], D$5, FALSE)</f>
        <v>#N/A</v>
      </c>
      <c r="E711" s="22" t="e">
        <f>VLOOKUP($A711,TAB_CORRECAO_U[[Q_DIAS_U_PARC_TIR]:[V_FUT_U_CORC-02]],E$5, FALSE)</f>
        <v>#N/A</v>
      </c>
      <c r="F711" s="22" t="e">
        <f>VLOOKUP($A711,TAB_AMORTIZACAO_U[[Q_DIAS_U_PARC_TIR]:[V_FUT_U_PCPL-02]], F$5, FALSE)</f>
        <v>#N/A</v>
      </c>
      <c r="H711" s="20">
        <f t="shared" si="57"/>
        <v>0</v>
      </c>
      <c r="I711" s="21">
        <f t="shared" si="58"/>
        <v>0</v>
      </c>
      <c r="J711" s="22" t="e">
        <f>VLOOKUP($A711, TAB_JUROS_C[[DIAS_CORRIDOS]:[V_FUT_UTEIS]], J$5, FALSE)</f>
        <v>#N/A</v>
      </c>
      <c r="K711" s="22" t="e">
        <f>VLOOKUP($A711, TAB_CORRECAO_C[[DIAS_CORRIDOS]:[V_FUT_UTEIS]],K$5, FALSE)</f>
        <v>#N/A</v>
      </c>
      <c r="L711" s="22" t="e">
        <f>VLOOKUP($A711, TAB_AMORTIZACAO_C[[DIAS_CORRIDOS]:[V_FUT_UTEIS]], L$5, FALSE)</f>
        <v>#N/A</v>
      </c>
    </row>
    <row r="712" spans="1:12" hidden="1">
      <c r="A712" s="19">
        <f t="shared" si="59"/>
        <v>706</v>
      </c>
      <c r="B712" s="20">
        <f t="shared" si="55"/>
        <v>0</v>
      </c>
      <c r="C712" s="21">
        <f t="shared" si="56"/>
        <v>0</v>
      </c>
      <c r="D712" s="22" t="e">
        <f>VLOOKUP($A712, TAB_JUROS_U[[Q_DIAS_U_PARC_TIR]:[V_FUT_U_JURS CENARIO]], D$5, FALSE)</f>
        <v>#N/A</v>
      </c>
      <c r="E712" s="22" t="e">
        <f>VLOOKUP($A712,TAB_CORRECAO_U[[Q_DIAS_U_PARC_TIR]:[V_FUT_U_CORC-02]],E$5, FALSE)</f>
        <v>#N/A</v>
      </c>
      <c r="F712" s="22" t="e">
        <f>VLOOKUP($A712,TAB_AMORTIZACAO_U[[Q_DIAS_U_PARC_TIR]:[V_FUT_U_PCPL-02]], F$5, FALSE)</f>
        <v>#N/A</v>
      </c>
      <c r="H712" s="20">
        <f t="shared" si="57"/>
        <v>0</v>
      </c>
      <c r="I712" s="21">
        <f t="shared" si="58"/>
        <v>0</v>
      </c>
      <c r="J712" s="22" t="e">
        <f>VLOOKUP($A712, TAB_JUROS_C[[DIAS_CORRIDOS]:[V_FUT_UTEIS]], J$5, FALSE)</f>
        <v>#N/A</v>
      </c>
      <c r="K712" s="22" t="e">
        <f>VLOOKUP($A712, TAB_CORRECAO_C[[DIAS_CORRIDOS]:[V_FUT_UTEIS]],K$5, FALSE)</f>
        <v>#N/A</v>
      </c>
      <c r="L712" s="22" t="e">
        <f>VLOOKUP($A712, TAB_AMORTIZACAO_C[[DIAS_CORRIDOS]:[V_FUT_UTEIS]], L$5, FALSE)</f>
        <v>#N/A</v>
      </c>
    </row>
    <row r="713" spans="1:12" hidden="1">
      <c r="A713" s="19">
        <f t="shared" si="59"/>
        <v>707</v>
      </c>
      <c r="B713" s="20">
        <f t="shared" ref="B713:B776" si="60">IF(ISERROR(C713), 0, C713)</f>
        <v>0</v>
      </c>
      <c r="C713" s="21">
        <f t="shared" ref="C713:C776" si="61">SUMIF(D713:F713, "&gt;0", D713:F713)</f>
        <v>0</v>
      </c>
      <c r="D713" s="22" t="e">
        <f>VLOOKUP($A713, TAB_JUROS_U[[Q_DIAS_U_PARC_TIR]:[V_FUT_U_JURS CENARIO]], D$5, FALSE)</f>
        <v>#N/A</v>
      </c>
      <c r="E713" s="22" t="e">
        <f>VLOOKUP($A713,TAB_CORRECAO_U[[Q_DIAS_U_PARC_TIR]:[V_FUT_U_CORC-02]],E$5, FALSE)</f>
        <v>#N/A</v>
      </c>
      <c r="F713" s="22" t="e">
        <f>VLOOKUP($A713,TAB_AMORTIZACAO_U[[Q_DIAS_U_PARC_TIR]:[V_FUT_U_PCPL-02]], F$5, FALSE)</f>
        <v>#N/A</v>
      </c>
      <c r="H713" s="20">
        <f t="shared" ref="H713:H776" si="62">IF(ISERROR(I713), 0, I713)</f>
        <v>0</v>
      </c>
      <c r="I713" s="21">
        <f t="shared" ref="I713:I776" si="63">SUMIF(J713:L713, "&gt;0", J713:L713)</f>
        <v>0</v>
      </c>
      <c r="J713" s="22" t="e">
        <f>VLOOKUP($A713, TAB_JUROS_C[[DIAS_CORRIDOS]:[V_FUT_UTEIS]], J$5, FALSE)</f>
        <v>#N/A</v>
      </c>
      <c r="K713" s="22" t="e">
        <f>VLOOKUP($A713, TAB_CORRECAO_C[[DIAS_CORRIDOS]:[V_FUT_UTEIS]],K$5, FALSE)</f>
        <v>#N/A</v>
      </c>
      <c r="L713" s="22" t="e">
        <f>VLOOKUP($A713, TAB_AMORTIZACAO_C[[DIAS_CORRIDOS]:[V_FUT_UTEIS]], L$5, FALSE)</f>
        <v>#N/A</v>
      </c>
    </row>
    <row r="714" spans="1:12" hidden="1">
      <c r="A714" s="19">
        <f t="shared" ref="A714:A777" si="64">A713+1</f>
        <v>708</v>
      </c>
      <c r="B714" s="20">
        <f t="shared" si="60"/>
        <v>0</v>
      </c>
      <c r="C714" s="21">
        <f t="shared" si="61"/>
        <v>0</v>
      </c>
      <c r="D714" s="22" t="e">
        <f>VLOOKUP($A714, TAB_JUROS_U[[Q_DIAS_U_PARC_TIR]:[V_FUT_U_JURS CENARIO]], D$5, FALSE)</f>
        <v>#N/A</v>
      </c>
      <c r="E714" s="22" t="e">
        <f>VLOOKUP($A714,TAB_CORRECAO_U[[Q_DIAS_U_PARC_TIR]:[V_FUT_U_CORC-02]],E$5, FALSE)</f>
        <v>#N/A</v>
      </c>
      <c r="F714" s="22" t="e">
        <f>VLOOKUP($A714,TAB_AMORTIZACAO_U[[Q_DIAS_U_PARC_TIR]:[V_FUT_U_PCPL-02]], F$5, FALSE)</f>
        <v>#N/A</v>
      </c>
      <c r="H714" s="20">
        <f t="shared" si="62"/>
        <v>0</v>
      </c>
      <c r="I714" s="21">
        <f t="shared" si="63"/>
        <v>0</v>
      </c>
      <c r="J714" s="22" t="e">
        <f>VLOOKUP($A714, TAB_JUROS_C[[DIAS_CORRIDOS]:[V_FUT_UTEIS]], J$5, FALSE)</f>
        <v>#N/A</v>
      </c>
      <c r="K714" s="22" t="e">
        <f>VLOOKUP($A714, TAB_CORRECAO_C[[DIAS_CORRIDOS]:[V_FUT_UTEIS]],K$5, FALSE)</f>
        <v>#N/A</v>
      </c>
      <c r="L714" s="22" t="e">
        <f>VLOOKUP($A714, TAB_AMORTIZACAO_C[[DIAS_CORRIDOS]:[V_FUT_UTEIS]], L$5, FALSE)</f>
        <v>#N/A</v>
      </c>
    </row>
    <row r="715" spans="1:12" hidden="1">
      <c r="A715" s="19">
        <f t="shared" si="64"/>
        <v>709</v>
      </c>
      <c r="B715" s="20">
        <f t="shared" si="60"/>
        <v>0</v>
      </c>
      <c r="C715" s="21">
        <f t="shared" si="61"/>
        <v>0</v>
      </c>
      <c r="D715" s="22" t="e">
        <f>VLOOKUP($A715, TAB_JUROS_U[[Q_DIAS_U_PARC_TIR]:[V_FUT_U_JURS CENARIO]], D$5, FALSE)</f>
        <v>#N/A</v>
      </c>
      <c r="E715" s="22" t="e">
        <f>VLOOKUP($A715,TAB_CORRECAO_U[[Q_DIAS_U_PARC_TIR]:[V_FUT_U_CORC-02]],E$5, FALSE)</f>
        <v>#N/A</v>
      </c>
      <c r="F715" s="22" t="e">
        <f>VLOOKUP($A715,TAB_AMORTIZACAO_U[[Q_DIAS_U_PARC_TIR]:[V_FUT_U_PCPL-02]], F$5, FALSE)</f>
        <v>#N/A</v>
      </c>
      <c r="H715" s="20">
        <f t="shared" si="62"/>
        <v>0</v>
      </c>
      <c r="I715" s="21">
        <f t="shared" si="63"/>
        <v>0</v>
      </c>
      <c r="J715" s="22" t="e">
        <f>VLOOKUP($A715, TAB_JUROS_C[[DIAS_CORRIDOS]:[V_FUT_UTEIS]], J$5, FALSE)</f>
        <v>#N/A</v>
      </c>
      <c r="K715" s="22" t="e">
        <f>VLOOKUP($A715, TAB_CORRECAO_C[[DIAS_CORRIDOS]:[V_FUT_UTEIS]],K$5, FALSE)</f>
        <v>#N/A</v>
      </c>
      <c r="L715" s="22" t="e">
        <f>VLOOKUP($A715, TAB_AMORTIZACAO_C[[DIAS_CORRIDOS]:[V_FUT_UTEIS]], L$5, FALSE)</f>
        <v>#N/A</v>
      </c>
    </row>
    <row r="716" spans="1:12" hidden="1">
      <c r="A716" s="19">
        <f t="shared" si="64"/>
        <v>710</v>
      </c>
      <c r="B716" s="20">
        <f t="shared" si="60"/>
        <v>0</v>
      </c>
      <c r="C716" s="21">
        <f t="shared" si="61"/>
        <v>0</v>
      </c>
      <c r="D716" s="22" t="e">
        <f>VLOOKUP($A716, TAB_JUROS_U[[Q_DIAS_U_PARC_TIR]:[V_FUT_U_JURS CENARIO]], D$5, FALSE)</f>
        <v>#N/A</v>
      </c>
      <c r="E716" s="22" t="e">
        <f>VLOOKUP($A716,TAB_CORRECAO_U[[Q_DIAS_U_PARC_TIR]:[V_FUT_U_CORC-02]],E$5, FALSE)</f>
        <v>#N/A</v>
      </c>
      <c r="F716" s="22" t="e">
        <f>VLOOKUP($A716,TAB_AMORTIZACAO_U[[Q_DIAS_U_PARC_TIR]:[V_FUT_U_PCPL-02]], F$5, FALSE)</f>
        <v>#N/A</v>
      </c>
      <c r="H716" s="20">
        <f t="shared" si="62"/>
        <v>0</v>
      </c>
      <c r="I716" s="21">
        <f t="shared" si="63"/>
        <v>0</v>
      </c>
      <c r="J716" s="22" t="e">
        <f>VLOOKUP($A716, TAB_JUROS_C[[DIAS_CORRIDOS]:[V_FUT_UTEIS]], J$5, FALSE)</f>
        <v>#N/A</v>
      </c>
      <c r="K716" s="22" t="e">
        <f>VLOOKUP($A716, TAB_CORRECAO_C[[DIAS_CORRIDOS]:[V_FUT_UTEIS]],K$5, FALSE)</f>
        <v>#N/A</v>
      </c>
      <c r="L716" s="22" t="e">
        <f>VLOOKUP($A716, TAB_AMORTIZACAO_C[[DIAS_CORRIDOS]:[V_FUT_UTEIS]], L$5, FALSE)</f>
        <v>#N/A</v>
      </c>
    </row>
    <row r="717" spans="1:12" hidden="1">
      <c r="A717" s="19">
        <f t="shared" si="64"/>
        <v>711</v>
      </c>
      <c r="B717" s="20">
        <f t="shared" si="60"/>
        <v>0</v>
      </c>
      <c r="C717" s="21">
        <f t="shared" si="61"/>
        <v>0</v>
      </c>
      <c r="D717" s="22" t="e">
        <f>VLOOKUP($A717, TAB_JUROS_U[[Q_DIAS_U_PARC_TIR]:[V_FUT_U_JURS CENARIO]], D$5, FALSE)</f>
        <v>#N/A</v>
      </c>
      <c r="E717" s="22" t="e">
        <f>VLOOKUP($A717,TAB_CORRECAO_U[[Q_DIAS_U_PARC_TIR]:[V_FUT_U_CORC-02]],E$5, FALSE)</f>
        <v>#N/A</v>
      </c>
      <c r="F717" s="22" t="e">
        <f>VLOOKUP($A717,TAB_AMORTIZACAO_U[[Q_DIAS_U_PARC_TIR]:[V_FUT_U_PCPL-02]], F$5, FALSE)</f>
        <v>#N/A</v>
      </c>
      <c r="H717" s="20">
        <f t="shared" si="62"/>
        <v>1421.280887500634</v>
      </c>
      <c r="I717" s="21">
        <f t="shared" si="63"/>
        <v>1421.280887500634</v>
      </c>
      <c r="J717" s="22">
        <f>VLOOKUP($A717, TAB_JUROS_C[[DIAS_CORRIDOS]:[V_FUT_UTEIS]], J$5, FALSE)</f>
        <v>116.49569769279675</v>
      </c>
      <c r="K717" s="22">
        <f>VLOOKUP($A717, TAB_CORRECAO_C[[DIAS_CORRIDOS]:[V_FUT_UTEIS]],K$5, FALSE)</f>
        <v>697.94548156600092</v>
      </c>
      <c r="L717" s="22">
        <f>VLOOKUP($A717, TAB_AMORTIZACAO_C[[DIAS_CORRIDOS]:[V_FUT_UTEIS]], L$5, FALSE)</f>
        <v>606.83970824183643</v>
      </c>
    </row>
    <row r="718" spans="1:12" hidden="1">
      <c r="A718" s="19">
        <f t="shared" si="64"/>
        <v>712</v>
      </c>
      <c r="B718" s="20">
        <f t="shared" si="60"/>
        <v>0</v>
      </c>
      <c r="C718" s="21">
        <f t="shared" si="61"/>
        <v>0</v>
      </c>
      <c r="D718" s="22" t="e">
        <f>VLOOKUP($A718, TAB_JUROS_U[[Q_DIAS_U_PARC_TIR]:[V_FUT_U_JURS CENARIO]], D$5, FALSE)</f>
        <v>#N/A</v>
      </c>
      <c r="E718" s="22" t="e">
        <f>VLOOKUP($A718,TAB_CORRECAO_U[[Q_DIAS_U_PARC_TIR]:[V_FUT_U_CORC-02]],E$5, FALSE)</f>
        <v>#N/A</v>
      </c>
      <c r="F718" s="22" t="e">
        <f>VLOOKUP($A718,TAB_AMORTIZACAO_U[[Q_DIAS_U_PARC_TIR]:[V_FUT_U_PCPL-02]], F$5, FALSE)</f>
        <v>#N/A</v>
      </c>
      <c r="H718" s="20">
        <f t="shared" si="62"/>
        <v>0</v>
      </c>
      <c r="I718" s="21">
        <f t="shared" si="63"/>
        <v>0</v>
      </c>
      <c r="J718" s="22" t="e">
        <f>VLOOKUP($A718, TAB_JUROS_C[[DIAS_CORRIDOS]:[V_FUT_UTEIS]], J$5, FALSE)</f>
        <v>#N/A</v>
      </c>
      <c r="K718" s="22" t="e">
        <f>VLOOKUP($A718, TAB_CORRECAO_C[[DIAS_CORRIDOS]:[V_FUT_UTEIS]],K$5, FALSE)</f>
        <v>#N/A</v>
      </c>
      <c r="L718" s="22" t="e">
        <f>VLOOKUP($A718, TAB_AMORTIZACAO_C[[DIAS_CORRIDOS]:[V_FUT_UTEIS]], L$5, FALSE)</f>
        <v>#N/A</v>
      </c>
    </row>
    <row r="719" spans="1:12" hidden="1">
      <c r="A719" s="19">
        <f t="shared" si="64"/>
        <v>713</v>
      </c>
      <c r="B719" s="20">
        <f t="shared" si="60"/>
        <v>0</v>
      </c>
      <c r="C719" s="21">
        <f t="shared" si="61"/>
        <v>0</v>
      </c>
      <c r="D719" s="22" t="e">
        <f>VLOOKUP($A719, TAB_JUROS_U[[Q_DIAS_U_PARC_TIR]:[V_FUT_U_JURS CENARIO]], D$5, FALSE)</f>
        <v>#N/A</v>
      </c>
      <c r="E719" s="22" t="e">
        <f>VLOOKUP($A719,TAB_CORRECAO_U[[Q_DIAS_U_PARC_TIR]:[V_FUT_U_CORC-02]],E$5, FALSE)</f>
        <v>#N/A</v>
      </c>
      <c r="F719" s="22" t="e">
        <f>VLOOKUP($A719,TAB_AMORTIZACAO_U[[Q_DIAS_U_PARC_TIR]:[V_FUT_U_PCPL-02]], F$5, FALSE)</f>
        <v>#N/A</v>
      </c>
      <c r="H719" s="20">
        <f t="shared" si="62"/>
        <v>0</v>
      </c>
      <c r="I719" s="21">
        <f t="shared" si="63"/>
        <v>0</v>
      </c>
      <c r="J719" s="22" t="e">
        <f>VLOOKUP($A719, TAB_JUROS_C[[DIAS_CORRIDOS]:[V_FUT_UTEIS]], J$5, FALSE)</f>
        <v>#N/A</v>
      </c>
      <c r="K719" s="22" t="e">
        <f>VLOOKUP($A719, TAB_CORRECAO_C[[DIAS_CORRIDOS]:[V_FUT_UTEIS]],K$5, FALSE)</f>
        <v>#N/A</v>
      </c>
      <c r="L719" s="22" t="e">
        <f>VLOOKUP($A719, TAB_AMORTIZACAO_C[[DIAS_CORRIDOS]:[V_FUT_UTEIS]], L$5, FALSE)</f>
        <v>#N/A</v>
      </c>
    </row>
    <row r="720" spans="1:12" hidden="1">
      <c r="A720" s="19">
        <f t="shared" si="64"/>
        <v>714</v>
      </c>
      <c r="B720" s="20">
        <f t="shared" si="60"/>
        <v>0</v>
      </c>
      <c r="C720" s="21">
        <f t="shared" si="61"/>
        <v>0</v>
      </c>
      <c r="D720" s="22" t="e">
        <f>VLOOKUP($A720, TAB_JUROS_U[[Q_DIAS_U_PARC_TIR]:[V_FUT_U_JURS CENARIO]], D$5, FALSE)</f>
        <v>#N/A</v>
      </c>
      <c r="E720" s="22" t="e">
        <f>VLOOKUP($A720,TAB_CORRECAO_U[[Q_DIAS_U_PARC_TIR]:[V_FUT_U_CORC-02]],E$5, FALSE)</f>
        <v>#N/A</v>
      </c>
      <c r="F720" s="22" t="e">
        <f>VLOOKUP($A720,TAB_AMORTIZACAO_U[[Q_DIAS_U_PARC_TIR]:[V_FUT_U_PCPL-02]], F$5, FALSE)</f>
        <v>#N/A</v>
      </c>
      <c r="H720" s="20">
        <f t="shared" si="62"/>
        <v>0</v>
      </c>
      <c r="I720" s="21">
        <f t="shared" si="63"/>
        <v>0</v>
      </c>
      <c r="J720" s="22" t="e">
        <f>VLOOKUP($A720, TAB_JUROS_C[[DIAS_CORRIDOS]:[V_FUT_UTEIS]], J$5, FALSE)</f>
        <v>#N/A</v>
      </c>
      <c r="K720" s="22" t="e">
        <f>VLOOKUP($A720, TAB_CORRECAO_C[[DIAS_CORRIDOS]:[V_FUT_UTEIS]],K$5, FALSE)</f>
        <v>#N/A</v>
      </c>
      <c r="L720" s="22" t="e">
        <f>VLOOKUP($A720, TAB_AMORTIZACAO_C[[DIAS_CORRIDOS]:[V_FUT_UTEIS]], L$5, FALSE)</f>
        <v>#N/A</v>
      </c>
    </row>
    <row r="721" spans="1:12" hidden="1">
      <c r="A721" s="19">
        <f t="shared" si="64"/>
        <v>715</v>
      </c>
      <c r="B721" s="20">
        <f t="shared" si="60"/>
        <v>0</v>
      </c>
      <c r="C721" s="21">
        <f t="shared" si="61"/>
        <v>0</v>
      </c>
      <c r="D721" s="22" t="e">
        <f>VLOOKUP($A721, TAB_JUROS_U[[Q_DIAS_U_PARC_TIR]:[V_FUT_U_JURS CENARIO]], D$5, FALSE)</f>
        <v>#N/A</v>
      </c>
      <c r="E721" s="22" t="e">
        <f>VLOOKUP($A721,TAB_CORRECAO_U[[Q_DIAS_U_PARC_TIR]:[V_FUT_U_CORC-02]],E$5, FALSE)</f>
        <v>#N/A</v>
      </c>
      <c r="F721" s="22" t="e">
        <f>VLOOKUP($A721,TAB_AMORTIZACAO_U[[Q_DIAS_U_PARC_TIR]:[V_FUT_U_PCPL-02]], F$5, FALSE)</f>
        <v>#N/A</v>
      </c>
      <c r="H721" s="20">
        <f t="shared" si="62"/>
        <v>0</v>
      </c>
      <c r="I721" s="21">
        <f t="shared" si="63"/>
        <v>0</v>
      </c>
      <c r="J721" s="22" t="e">
        <f>VLOOKUP($A721, TAB_JUROS_C[[DIAS_CORRIDOS]:[V_FUT_UTEIS]], J$5, FALSE)</f>
        <v>#N/A</v>
      </c>
      <c r="K721" s="22" t="e">
        <f>VLOOKUP($A721, TAB_CORRECAO_C[[DIAS_CORRIDOS]:[V_FUT_UTEIS]],K$5, FALSE)</f>
        <v>#N/A</v>
      </c>
      <c r="L721" s="22" t="e">
        <f>VLOOKUP($A721, TAB_AMORTIZACAO_C[[DIAS_CORRIDOS]:[V_FUT_UTEIS]], L$5, FALSE)</f>
        <v>#N/A</v>
      </c>
    </row>
    <row r="722" spans="1:12" hidden="1">
      <c r="A722" s="19">
        <f t="shared" si="64"/>
        <v>716</v>
      </c>
      <c r="B722" s="20">
        <f t="shared" si="60"/>
        <v>0</v>
      </c>
      <c r="C722" s="21">
        <f t="shared" si="61"/>
        <v>0</v>
      </c>
      <c r="D722" s="22" t="e">
        <f>VLOOKUP($A722, TAB_JUROS_U[[Q_DIAS_U_PARC_TIR]:[V_FUT_U_JURS CENARIO]], D$5, FALSE)</f>
        <v>#N/A</v>
      </c>
      <c r="E722" s="22" t="e">
        <f>VLOOKUP($A722,TAB_CORRECAO_U[[Q_DIAS_U_PARC_TIR]:[V_FUT_U_CORC-02]],E$5, FALSE)</f>
        <v>#N/A</v>
      </c>
      <c r="F722" s="22" t="e">
        <f>VLOOKUP($A722,TAB_AMORTIZACAO_U[[Q_DIAS_U_PARC_TIR]:[V_FUT_U_PCPL-02]], F$5, FALSE)</f>
        <v>#N/A</v>
      </c>
      <c r="H722" s="20">
        <f t="shared" si="62"/>
        <v>0</v>
      </c>
      <c r="I722" s="21">
        <f t="shared" si="63"/>
        <v>0</v>
      </c>
      <c r="J722" s="22" t="e">
        <f>VLOOKUP($A722, TAB_JUROS_C[[DIAS_CORRIDOS]:[V_FUT_UTEIS]], J$5, FALSE)</f>
        <v>#N/A</v>
      </c>
      <c r="K722" s="22" t="e">
        <f>VLOOKUP($A722, TAB_CORRECAO_C[[DIAS_CORRIDOS]:[V_FUT_UTEIS]],K$5, FALSE)</f>
        <v>#N/A</v>
      </c>
      <c r="L722" s="22" t="e">
        <f>VLOOKUP($A722, TAB_AMORTIZACAO_C[[DIAS_CORRIDOS]:[V_FUT_UTEIS]], L$5, FALSE)</f>
        <v>#N/A</v>
      </c>
    </row>
    <row r="723" spans="1:12" hidden="1">
      <c r="A723" s="19">
        <f t="shared" si="64"/>
        <v>717</v>
      </c>
      <c r="B723" s="20">
        <f t="shared" si="60"/>
        <v>0</v>
      </c>
      <c r="C723" s="21">
        <f t="shared" si="61"/>
        <v>0</v>
      </c>
      <c r="D723" s="22" t="e">
        <f>VLOOKUP($A723, TAB_JUROS_U[[Q_DIAS_U_PARC_TIR]:[V_FUT_U_JURS CENARIO]], D$5, FALSE)</f>
        <v>#N/A</v>
      </c>
      <c r="E723" s="22" t="e">
        <f>VLOOKUP($A723,TAB_CORRECAO_U[[Q_DIAS_U_PARC_TIR]:[V_FUT_U_CORC-02]],E$5, FALSE)</f>
        <v>#N/A</v>
      </c>
      <c r="F723" s="22" t="e">
        <f>VLOOKUP($A723,TAB_AMORTIZACAO_U[[Q_DIAS_U_PARC_TIR]:[V_FUT_U_PCPL-02]], F$5, FALSE)</f>
        <v>#N/A</v>
      </c>
      <c r="H723" s="20">
        <f t="shared" si="62"/>
        <v>0</v>
      </c>
      <c r="I723" s="21">
        <f t="shared" si="63"/>
        <v>0</v>
      </c>
      <c r="J723" s="22" t="e">
        <f>VLOOKUP($A723, TAB_JUROS_C[[DIAS_CORRIDOS]:[V_FUT_UTEIS]], J$5, FALSE)</f>
        <v>#N/A</v>
      </c>
      <c r="K723" s="22" t="e">
        <f>VLOOKUP($A723, TAB_CORRECAO_C[[DIAS_CORRIDOS]:[V_FUT_UTEIS]],K$5, FALSE)</f>
        <v>#N/A</v>
      </c>
      <c r="L723" s="22" t="e">
        <f>VLOOKUP($A723, TAB_AMORTIZACAO_C[[DIAS_CORRIDOS]:[V_FUT_UTEIS]], L$5, FALSE)</f>
        <v>#N/A</v>
      </c>
    </row>
    <row r="724" spans="1:12" hidden="1">
      <c r="A724" s="19">
        <f t="shared" si="64"/>
        <v>718</v>
      </c>
      <c r="B724" s="20">
        <f t="shared" si="60"/>
        <v>0</v>
      </c>
      <c r="C724" s="21">
        <f t="shared" si="61"/>
        <v>0</v>
      </c>
      <c r="D724" s="22" t="e">
        <f>VLOOKUP($A724, TAB_JUROS_U[[Q_DIAS_U_PARC_TIR]:[V_FUT_U_JURS CENARIO]], D$5, FALSE)</f>
        <v>#N/A</v>
      </c>
      <c r="E724" s="22" t="e">
        <f>VLOOKUP($A724,TAB_CORRECAO_U[[Q_DIAS_U_PARC_TIR]:[V_FUT_U_CORC-02]],E$5, FALSE)</f>
        <v>#N/A</v>
      </c>
      <c r="F724" s="22" t="e">
        <f>VLOOKUP($A724,TAB_AMORTIZACAO_U[[Q_DIAS_U_PARC_TIR]:[V_FUT_U_PCPL-02]], F$5, FALSE)</f>
        <v>#N/A</v>
      </c>
      <c r="H724" s="20">
        <f t="shared" si="62"/>
        <v>0</v>
      </c>
      <c r="I724" s="21">
        <f t="shared" si="63"/>
        <v>0</v>
      </c>
      <c r="J724" s="22" t="e">
        <f>VLOOKUP($A724, TAB_JUROS_C[[DIAS_CORRIDOS]:[V_FUT_UTEIS]], J$5, FALSE)</f>
        <v>#N/A</v>
      </c>
      <c r="K724" s="22" t="e">
        <f>VLOOKUP($A724, TAB_CORRECAO_C[[DIAS_CORRIDOS]:[V_FUT_UTEIS]],K$5, FALSE)</f>
        <v>#N/A</v>
      </c>
      <c r="L724" s="22" t="e">
        <f>VLOOKUP($A724, TAB_AMORTIZACAO_C[[DIAS_CORRIDOS]:[V_FUT_UTEIS]], L$5, FALSE)</f>
        <v>#N/A</v>
      </c>
    </row>
    <row r="725" spans="1:12" hidden="1">
      <c r="A725" s="19">
        <f t="shared" si="64"/>
        <v>719</v>
      </c>
      <c r="B725" s="20">
        <f t="shared" si="60"/>
        <v>0</v>
      </c>
      <c r="C725" s="21">
        <f t="shared" si="61"/>
        <v>0</v>
      </c>
      <c r="D725" s="22" t="e">
        <f>VLOOKUP($A725, TAB_JUROS_U[[Q_DIAS_U_PARC_TIR]:[V_FUT_U_JURS CENARIO]], D$5, FALSE)</f>
        <v>#N/A</v>
      </c>
      <c r="E725" s="22" t="e">
        <f>VLOOKUP($A725,TAB_CORRECAO_U[[Q_DIAS_U_PARC_TIR]:[V_FUT_U_CORC-02]],E$5, FALSE)</f>
        <v>#N/A</v>
      </c>
      <c r="F725" s="22" t="e">
        <f>VLOOKUP($A725,TAB_AMORTIZACAO_U[[Q_DIAS_U_PARC_TIR]:[V_FUT_U_PCPL-02]], F$5, FALSE)</f>
        <v>#N/A</v>
      </c>
      <c r="H725" s="20">
        <f t="shared" si="62"/>
        <v>0</v>
      </c>
      <c r="I725" s="21">
        <f t="shared" si="63"/>
        <v>0</v>
      </c>
      <c r="J725" s="22" t="e">
        <f>VLOOKUP($A725, TAB_JUROS_C[[DIAS_CORRIDOS]:[V_FUT_UTEIS]], J$5, FALSE)</f>
        <v>#N/A</v>
      </c>
      <c r="K725" s="22" t="e">
        <f>VLOOKUP($A725, TAB_CORRECAO_C[[DIAS_CORRIDOS]:[V_FUT_UTEIS]],K$5, FALSE)</f>
        <v>#N/A</v>
      </c>
      <c r="L725" s="22" t="e">
        <f>VLOOKUP($A725, TAB_AMORTIZACAO_C[[DIAS_CORRIDOS]:[V_FUT_UTEIS]], L$5, FALSE)</f>
        <v>#N/A</v>
      </c>
    </row>
    <row r="726" spans="1:12" hidden="1">
      <c r="A726" s="19">
        <f t="shared" si="64"/>
        <v>720</v>
      </c>
      <c r="B726" s="20">
        <f t="shared" si="60"/>
        <v>0</v>
      </c>
      <c r="C726" s="21">
        <f t="shared" si="61"/>
        <v>0</v>
      </c>
      <c r="D726" s="22" t="e">
        <f>VLOOKUP($A726, TAB_JUROS_U[[Q_DIAS_U_PARC_TIR]:[V_FUT_U_JURS CENARIO]], D$5, FALSE)</f>
        <v>#N/A</v>
      </c>
      <c r="E726" s="22" t="e">
        <f>VLOOKUP($A726,TAB_CORRECAO_U[[Q_DIAS_U_PARC_TIR]:[V_FUT_U_CORC-02]],E$5, FALSE)</f>
        <v>#N/A</v>
      </c>
      <c r="F726" s="22" t="e">
        <f>VLOOKUP($A726,TAB_AMORTIZACAO_U[[Q_DIAS_U_PARC_TIR]:[V_FUT_U_PCPL-02]], F$5, FALSE)</f>
        <v>#N/A</v>
      </c>
      <c r="H726" s="20">
        <f t="shared" si="62"/>
        <v>0</v>
      </c>
      <c r="I726" s="21">
        <f t="shared" si="63"/>
        <v>0</v>
      </c>
      <c r="J726" s="22" t="e">
        <f>VLOOKUP($A726, TAB_JUROS_C[[DIAS_CORRIDOS]:[V_FUT_UTEIS]], J$5, FALSE)</f>
        <v>#N/A</v>
      </c>
      <c r="K726" s="22" t="e">
        <f>VLOOKUP($A726, TAB_CORRECAO_C[[DIAS_CORRIDOS]:[V_FUT_UTEIS]],K$5, FALSE)</f>
        <v>#N/A</v>
      </c>
      <c r="L726" s="22" t="e">
        <f>VLOOKUP($A726, TAB_AMORTIZACAO_C[[DIAS_CORRIDOS]:[V_FUT_UTEIS]], L$5, FALSE)</f>
        <v>#N/A</v>
      </c>
    </row>
    <row r="727" spans="1:12" hidden="1">
      <c r="A727" s="19">
        <f t="shared" si="64"/>
        <v>721</v>
      </c>
      <c r="B727" s="20">
        <f t="shared" si="60"/>
        <v>0</v>
      </c>
      <c r="C727" s="21">
        <f t="shared" si="61"/>
        <v>0</v>
      </c>
      <c r="D727" s="22" t="e">
        <f>VLOOKUP($A727, TAB_JUROS_U[[Q_DIAS_U_PARC_TIR]:[V_FUT_U_JURS CENARIO]], D$5, FALSE)</f>
        <v>#N/A</v>
      </c>
      <c r="E727" s="22" t="e">
        <f>VLOOKUP($A727,TAB_CORRECAO_U[[Q_DIAS_U_PARC_TIR]:[V_FUT_U_CORC-02]],E$5, FALSE)</f>
        <v>#N/A</v>
      </c>
      <c r="F727" s="22" t="e">
        <f>VLOOKUP($A727,TAB_AMORTIZACAO_U[[Q_DIAS_U_PARC_TIR]:[V_FUT_U_PCPL-02]], F$5, FALSE)</f>
        <v>#N/A</v>
      </c>
      <c r="H727" s="20">
        <f t="shared" si="62"/>
        <v>0</v>
      </c>
      <c r="I727" s="21">
        <f t="shared" si="63"/>
        <v>0</v>
      </c>
      <c r="J727" s="22" t="e">
        <f>VLOOKUP($A727, TAB_JUROS_C[[DIAS_CORRIDOS]:[V_FUT_UTEIS]], J$5, FALSE)</f>
        <v>#N/A</v>
      </c>
      <c r="K727" s="22" t="e">
        <f>VLOOKUP($A727, TAB_CORRECAO_C[[DIAS_CORRIDOS]:[V_FUT_UTEIS]],K$5, FALSE)</f>
        <v>#N/A</v>
      </c>
      <c r="L727" s="22" t="e">
        <f>VLOOKUP($A727, TAB_AMORTIZACAO_C[[DIAS_CORRIDOS]:[V_FUT_UTEIS]], L$5, FALSE)</f>
        <v>#N/A</v>
      </c>
    </row>
    <row r="728" spans="1:12" hidden="1">
      <c r="A728" s="19">
        <f t="shared" si="64"/>
        <v>722</v>
      </c>
      <c r="B728" s="20">
        <f t="shared" si="60"/>
        <v>0</v>
      </c>
      <c r="C728" s="21">
        <f t="shared" si="61"/>
        <v>0</v>
      </c>
      <c r="D728" s="22" t="e">
        <f>VLOOKUP($A728, TAB_JUROS_U[[Q_DIAS_U_PARC_TIR]:[V_FUT_U_JURS CENARIO]], D$5, FALSE)</f>
        <v>#N/A</v>
      </c>
      <c r="E728" s="22" t="e">
        <f>VLOOKUP($A728,TAB_CORRECAO_U[[Q_DIAS_U_PARC_TIR]:[V_FUT_U_CORC-02]],E$5, FALSE)</f>
        <v>#N/A</v>
      </c>
      <c r="F728" s="22" t="e">
        <f>VLOOKUP($A728,TAB_AMORTIZACAO_U[[Q_DIAS_U_PARC_TIR]:[V_FUT_U_PCPL-02]], F$5, FALSE)</f>
        <v>#N/A</v>
      </c>
      <c r="H728" s="20">
        <f t="shared" si="62"/>
        <v>0</v>
      </c>
      <c r="I728" s="21">
        <f t="shared" si="63"/>
        <v>0</v>
      </c>
      <c r="J728" s="22" t="e">
        <f>VLOOKUP($A728, TAB_JUROS_C[[DIAS_CORRIDOS]:[V_FUT_UTEIS]], J$5, FALSE)</f>
        <v>#N/A</v>
      </c>
      <c r="K728" s="22" t="e">
        <f>VLOOKUP($A728, TAB_CORRECAO_C[[DIAS_CORRIDOS]:[V_FUT_UTEIS]],K$5, FALSE)</f>
        <v>#N/A</v>
      </c>
      <c r="L728" s="22" t="e">
        <f>VLOOKUP($A728, TAB_AMORTIZACAO_C[[DIAS_CORRIDOS]:[V_FUT_UTEIS]], L$5, FALSE)</f>
        <v>#N/A</v>
      </c>
    </row>
    <row r="729" spans="1:12">
      <c r="A729" s="19">
        <f t="shared" si="64"/>
        <v>723</v>
      </c>
      <c r="B729" s="20">
        <f t="shared" si="60"/>
        <v>1222.956784778673</v>
      </c>
      <c r="C729" s="21">
        <f t="shared" si="61"/>
        <v>1222.956784778673</v>
      </c>
      <c r="D729" s="22">
        <f>VLOOKUP($A729, TAB_JUROS_U[[Q_DIAS_U_PARC_TIR]:[V_FUT_U_JURS CENARIO]], D$5, FALSE)</f>
        <v>98.225336946653087</v>
      </c>
      <c r="E729" s="22">
        <f>VLOOKUP($A729,TAB_CORRECAO_U[[Q_DIAS_U_PARC_TIR]:[V_FUT_U_CORC-02]],E$5, FALSE)</f>
        <v>623.54971521815378</v>
      </c>
      <c r="F729" s="22">
        <f>VLOOKUP($A729,TAB_AMORTIZACAO_U[[Q_DIAS_U_PARC_TIR]:[V_FUT_U_PCPL-02]], F$5, FALSE)</f>
        <v>501.18173261386607</v>
      </c>
      <c r="H729" s="20">
        <f t="shared" si="62"/>
        <v>0</v>
      </c>
      <c r="I729" s="21">
        <f t="shared" si="63"/>
        <v>0</v>
      </c>
      <c r="J729" s="22" t="e">
        <f>VLOOKUP($A729, TAB_JUROS_C[[DIAS_CORRIDOS]:[V_FUT_UTEIS]], J$5, FALSE)</f>
        <v>#N/A</v>
      </c>
      <c r="K729" s="22" t="e">
        <f>VLOOKUP($A729, TAB_CORRECAO_C[[DIAS_CORRIDOS]:[V_FUT_UTEIS]],K$5, FALSE)</f>
        <v>#N/A</v>
      </c>
      <c r="L729" s="22" t="e">
        <f>VLOOKUP($A729, TAB_AMORTIZACAO_C[[DIAS_CORRIDOS]:[V_FUT_UTEIS]], L$5, FALSE)</f>
        <v>#N/A</v>
      </c>
    </row>
    <row r="730" spans="1:12" hidden="1">
      <c r="A730" s="19">
        <f t="shared" si="64"/>
        <v>724</v>
      </c>
      <c r="B730" s="20">
        <f t="shared" si="60"/>
        <v>0</v>
      </c>
      <c r="C730" s="21">
        <f t="shared" si="61"/>
        <v>0</v>
      </c>
      <c r="D730" s="22" t="e">
        <f>VLOOKUP($A730, TAB_JUROS_U[[Q_DIAS_U_PARC_TIR]:[V_FUT_U_JURS CENARIO]], D$5, FALSE)</f>
        <v>#N/A</v>
      </c>
      <c r="E730" s="22" t="e">
        <f>VLOOKUP($A730,TAB_CORRECAO_U[[Q_DIAS_U_PARC_TIR]:[V_FUT_U_CORC-02]],E$5, FALSE)</f>
        <v>#N/A</v>
      </c>
      <c r="F730" s="22" t="e">
        <f>VLOOKUP($A730,TAB_AMORTIZACAO_U[[Q_DIAS_U_PARC_TIR]:[V_FUT_U_PCPL-02]], F$5, FALSE)</f>
        <v>#N/A</v>
      </c>
      <c r="H730" s="20">
        <f t="shared" si="62"/>
        <v>0</v>
      </c>
      <c r="I730" s="21">
        <f t="shared" si="63"/>
        <v>0</v>
      </c>
      <c r="J730" s="22" t="e">
        <f>VLOOKUP($A730, TAB_JUROS_C[[DIAS_CORRIDOS]:[V_FUT_UTEIS]], J$5, FALSE)</f>
        <v>#N/A</v>
      </c>
      <c r="K730" s="22" t="e">
        <f>VLOOKUP($A730, TAB_CORRECAO_C[[DIAS_CORRIDOS]:[V_FUT_UTEIS]],K$5, FALSE)</f>
        <v>#N/A</v>
      </c>
      <c r="L730" s="22" t="e">
        <f>VLOOKUP($A730, TAB_AMORTIZACAO_C[[DIAS_CORRIDOS]:[V_FUT_UTEIS]], L$5, FALSE)</f>
        <v>#N/A</v>
      </c>
    </row>
    <row r="731" spans="1:12" hidden="1">
      <c r="A731" s="19">
        <f t="shared" si="64"/>
        <v>725</v>
      </c>
      <c r="B731" s="20">
        <f t="shared" si="60"/>
        <v>0</v>
      </c>
      <c r="C731" s="21">
        <f t="shared" si="61"/>
        <v>0</v>
      </c>
      <c r="D731" s="22" t="e">
        <f>VLOOKUP($A731, TAB_JUROS_U[[Q_DIAS_U_PARC_TIR]:[V_FUT_U_JURS CENARIO]], D$5, FALSE)</f>
        <v>#N/A</v>
      </c>
      <c r="E731" s="22" t="e">
        <f>VLOOKUP($A731,TAB_CORRECAO_U[[Q_DIAS_U_PARC_TIR]:[V_FUT_U_CORC-02]],E$5, FALSE)</f>
        <v>#N/A</v>
      </c>
      <c r="F731" s="22" t="e">
        <f>VLOOKUP($A731,TAB_AMORTIZACAO_U[[Q_DIAS_U_PARC_TIR]:[V_FUT_U_PCPL-02]], F$5, FALSE)</f>
        <v>#N/A</v>
      </c>
      <c r="H731" s="20">
        <f t="shared" si="62"/>
        <v>0</v>
      </c>
      <c r="I731" s="21">
        <f t="shared" si="63"/>
        <v>0</v>
      </c>
      <c r="J731" s="22" t="e">
        <f>VLOOKUP($A731, TAB_JUROS_C[[DIAS_CORRIDOS]:[V_FUT_UTEIS]], J$5, FALSE)</f>
        <v>#N/A</v>
      </c>
      <c r="K731" s="22" t="e">
        <f>VLOOKUP($A731, TAB_CORRECAO_C[[DIAS_CORRIDOS]:[V_FUT_UTEIS]],K$5, FALSE)</f>
        <v>#N/A</v>
      </c>
      <c r="L731" s="22" t="e">
        <f>VLOOKUP($A731, TAB_AMORTIZACAO_C[[DIAS_CORRIDOS]:[V_FUT_UTEIS]], L$5, FALSE)</f>
        <v>#N/A</v>
      </c>
    </row>
    <row r="732" spans="1:12" hidden="1">
      <c r="A732" s="19">
        <f t="shared" si="64"/>
        <v>726</v>
      </c>
      <c r="B732" s="20">
        <f t="shared" si="60"/>
        <v>0</v>
      </c>
      <c r="C732" s="21">
        <f t="shared" si="61"/>
        <v>0</v>
      </c>
      <c r="D732" s="22" t="e">
        <f>VLOOKUP($A732, TAB_JUROS_U[[Q_DIAS_U_PARC_TIR]:[V_FUT_U_JURS CENARIO]], D$5, FALSE)</f>
        <v>#N/A</v>
      </c>
      <c r="E732" s="22" t="e">
        <f>VLOOKUP($A732,TAB_CORRECAO_U[[Q_DIAS_U_PARC_TIR]:[V_FUT_U_CORC-02]],E$5, FALSE)</f>
        <v>#N/A</v>
      </c>
      <c r="F732" s="22" t="e">
        <f>VLOOKUP($A732,TAB_AMORTIZACAO_U[[Q_DIAS_U_PARC_TIR]:[V_FUT_U_PCPL-02]], F$5, FALSE)</f>
        <v>#N/A</v>
      </c>
      <c r="H732" s="20">
        <f t="shared" si="62"/>
        <v>0</v>
      </c>
      <c r="I732" s="21">
        <f t="shared" si="63"/>
        <v>0</v>
      </c>
      <c r="J732" s="22" t="e">
        <f>VLOOKUP($A732, TAB_JUROS_C[[DIAS_CORRIDOS]:[V_FUT_UTEIS]], J$5, FALSE)</f>
        <v>#N/A</v>
      </c>
      <c r="K732" s="22" t="e">
        <f>VLOOKUP($A732, TAB_CORRECAO_C[[DIAS_CORRIDOS]:[V_FUT_UTEIS]],K$5, FALSE)</f>
        <v>#N/A</v>
      </c>
      <c r="L732" s="22" t="e">
        <f>VLOOKUP($A732, TAB_AMORTIZACAO_C[[DIAS_CORRIDOS]:[V_FUT_UTEIS]], L$5, FALSE)</f>
        <v>#N/A</v>
      </c>
    </row>
    <row r="733" spans="1:12" hidden="1">
      <c r="A733" s="19">
        <f t="shared" si="64"/>
        <v>727</v>
      </c>
      <c r="B733" s="20">
        <f t="shared" si="60"/>
        <v>0</v>
      </c>
      <c r="C733" s="21">
        <f t="shared" si="61"/>
        <v>0</v>
      </c>
      <c r="D733" s="22" t="e">
        <f>VLOOKUP($A733, TAB_JUROS_U[[Q_DIAS_U_PARC_TIR]:[V_FUT_U_JURS CENARIO]], D$5, FALSE)</f>
        <v>#N/A</v>
      </c>
      <c r="E733" s="22" t="e">
        <f>VLOOKUP($A733,TAB_CORRECAO_U[[Q_DIAS_U_PARC_TIR]:[V_FUT_U_CORC-02]],E$5, FALSE)</f>
        <v>#N/A</v>
      </c>
      <c r="F733" s="22" t="e">
        <f>VLOOKUP($A733,TAB_AMORTIZACAO_U[[Q_DIAS_U_PARC_TIR]:[V_FUT_U_PCPL-02]], F$5, FALSE)</f>
        <v>#N/A</v>
      </c>
      <c r="H733" s="20">
        <f t="shared" si="62"/>
        <v>0</v>
      </c>
      <c r="I733" s="21">
        <f t="shared" si="63"/>
        <v>0</v>
      </c>
      <c r="J733" s="22" t="e">
        <f>VLOOKUP($A733, TAB_JUROS_C[[DIAS_CORRIDOS]:[V_FUT_UTEIS]], J$5, FALSE)</f>
        <v>#N/A</v>
      </c>
      <c r="K733" s="22" t="e">
        <f>VLOOKUP($A733, TAB_CORRECAO_C[[DIAS_CORRIDOS]:[V_FUT_UTEIS]],K$5, FALSE)</f>
        <v>#N/A</v>
      </c>
      <c r="L733" s="22" t="e">
        <f>VLOOKUP($A733, TAB_AMORTIZACAO_C[[DIAS_CORRIDOS]:[V_FUT_UTEIS]], L$5, FALSE)</f>
        <v>#N/A</v>
      </c>
    </row>
    <row r="734" spans="1:12" hidden="1">
      <c r="A734" s="19">
        <f t="shared" si="64"/>
        <v>728</v>
      </c>
      <c r="B734" s="20">
        <f t="shared" si="60"/>
        <v>0</v>
      </c>
      <c r="C734" s="21">
        <f t="shared" si="61"/>
        <v>0</v>
      </c>
      <c r="D734" s="22" t="e">
        <f>VLOOKUP($A734, TAB_JUROS_U[[Q_DIAS_U_PARC_TIR]:[V_FUT_U_JURS CENARIO]], D$5, FALSE)</f>
        <v>#N/A</v>
      </c>
      <c r="E734" s="22" t="e">
        <f>VLOOKUP($A734,TAB_CORRECAO_U[[Q_DIAS_U_PARC_TIR]:[V_FUT_U_CORC-02]],E$5, FALSE)</f>
        <v>#N/A</v>
      </c>
      <c r="F734" s="22" t="e">
        <f>VLOOKUP($A734,TAB_AMORTIZACAO_U[[Q_DIAS_U_PARC_TIR]:[V_FUT_U_PCPL-02]], F$5, FALSE)</f>
        <v>#N/A</v>
      </c>
      <c r="H734" s="20">
        <f t="shared" si="62"/>
        <v>0</v>
      </c>
      <c r="I734" s="21">
        <f t="shared" si="63"/>
        <v>0</v>
      </c>
      <c r="J734" s="22" t="e">
        <f>VLOOKUP($A734, TAB_JUROS_C[[DIAS_CORRIDOS]:[V_FUT_UTEIS]], J$5, FALSE)</f>
        <v>#N/A</v>
      </c>
      <c r="K734" s="22" t="e">
        <f>VLOOKUP($A734, TAB_CORRECAO_C[[DIAS_CORRIDOS]:[V_FUT_UTEIS]],K$5, FALSE)</f>
        <v>#N/A</v>
      </c>
      <c r="L734" s="22" t="e">
        <f>VLOOKUP($A734, TAB_AMORTIZACAO_C[[DIAS_CORRIDOS]:[V_FUT_UTEIS]], L$5, FALSE)</f>
        <v>#N/A</v>
      </c>
    </row>
    <row r="735" spans="1:12" hidden="1">
      <c r="A735" s="19">
        <f t="shared" si="64"/>
        <v>729</v>
      </c>
      <c r="B735" s="20">
        <f t="shared" si="60"/>
        <v>0</v>
      </c>
      <c r="C735" s="21">
        <f t="shared" si="61"/>
        <v>0</v>
      </c>
      <c r="D735" s="22" t="e">
        <f>VLOOKUP($A735, TAB_JUROS_U[[Q_DIAS_U_PARC_TIR]:[V_FUT_U_JURS CENARIO]], D$5, FALSE)</f>
        <v>#N/A</v>
      </c>
      <c r="E735" s="22" t="e">
        <f>VLOOKUP($A735,TAB_CORRECAO_U[[Q_DIAS_U_PARC_TIR]:[V_FUT_U_CORC-02]],E$5, FALSE)</f>
        <v>#N/A</v>
      </c>
      <c r="F735" s="22" t="e">
        <f>VLOOKUP($A735,TAB_AMORTIZACAO_U[[Q_DIAS_U_PARC_TIR]:[V_FUT_U_PCPL-02]], F$5, FALSE)</f>
        <v>#N/A</v>
      </c>
      <c r="H735" s="20">
        <f t="shared" si="62"/>
        <v>0</v>
      </c>
      <c r="I735" s="21">
        <f t="shared" si="63"/>
        <v>0</v>
      </c>
      <c r="J735" s="22" t="e">
        <f>VLOOKUP($A735, TAB_JUROS_C[[DIAS_CORRIDOS]:[V_FUT_UTEIS]], J$5, FALSE)</f>
        <v>#N/A</v>
      </c>
      <c r="K735" s="22" t="e">
        <f>VLOOKUP($A735, TAB_CORRECAO_C[[DIAS_CORRIDOS]:[V_FUT_UTEIS]],K$5, FALSE)</f>
        <v>#N/A</v>
      </c>
      <c r="L735" s="22" t="e">
        <f>VLOOKUP($A735, TAB_AMORTIZACAO_C[[DIAS_CORRIDOS]:[V_FUT_UTEIS]], L$5, FALSE)</f>
        <v>#N/A</v>
      </c>
    </row>
    <row r="736" spans="1:12" hidden="1">
      <c r="A736" s="19">
        <f t="shared" si="64"/>
        <v>730</v>
      </c>
      <c r="B736" s="20">
        <f t="shared" si="60"/>
        <v>0</v>
      </c>
      <c r="C736" s="21">
        <f t="shared" si="61"/>
        <v>0</v>
      </c>
      <c r="D736" s="22" t="e">
        <f>VLOOKUP($A736, TAB_JUROS_U[[Q_DIAS_U_PARC_TIR]:[V_FUT_U_JURS CENARIO]], D$5, FALSE)</f>
        <v>#N/A</v>
      </c>
      <c r="E736" s="22" t="e">
        <f>VLOOKUP($A736,TAB_CORRECAO_U[[Q_DIAS_U_PARC_TIR]:[V_FUT_U_CORC-02]],E$5, FALSE)</f>
        <v>#N/A</v>
      </c>
      <c r="F736" s="22" t="e">
        <f>VLOOKUP($A736,TAB_AMORTIZACAO_U[[Q_DIAS_U_PARC_TIR]:[V_FUT_U_PCPL-02]], F$5, FALSE)</f>
        <v>#N/A</v>
      </c>
      <c r="H736" s="20">
        <f t="shared" si="62"/>
        <v>0</v>
      </c>
      <c r="I736" s="21">
        <f t="shared" si="63"/>
        <v>0</v>
      </c>
      <c r="J736" s="22" t="e">
        <f>VLOOKUP($A736, TAB_JUROS_C[[DIAS_CORRIDOS]:[V_FUT_UTEIS]], J$5, FALSE)</f>
        <v>#N/A</v>
      </c>
      <c r="K736" s="22" t="e">
        <f>VLOOKUP($A736, TAB_CORRECAO_C[[DIAS_CORRIDOS]:[V_FUT_UTEIS]],K$5, FALSE)</f>
        <v>#N/A</v>
      </c>
      <c r="L736" s="22" t="e">
        <f>VLOOKUP($A736, TAB_AMORTIZACAO_C[[DIAS_CORRIDOS]:[V_FUT_UTEIS]], L$5, FALSE)</f>
        <v>#N/A</v>
      </c>
    </row>
    <row r="737" spans="1:12" hidden="1">
      <c r="A737" s="19">
        <f t="shared" si="64"/>
        <v>731</v>
      </c>
      <c r="B737" s="20">
        <f t="shared" si="60"/>
        <v>0</v>
      </c>
      <c r="C737" s="21">
        <f t="shared" si="61"/>
        <v>0</v>
      </c>
      <c r="D737" s="22" t="e">
        <f>VLOOKUP($A737, TAB_JUROS_U[[Q_DIAS_U_PARC_TIR]:[V_FUT_U_JURS CENARIO]], D$5, FALSE)</f>
        <v>#N/A</v>
      </c>
      <c r="E737" s="22" t="e">
        <f>VLOOKUP($A737,TAB_CORRECAO_U[[Q_DIAS_U_PARC_TIR]:[V_FUT_U_CORC-02]],E$5, FALSE)</f>
        <v>#N/A</v>
      </c>
      <c r="F737" s="22" t="e">
        <f>VLOOKUP($A737,TAB_AMORTIZACAO_U[[Q_DIAS_U_PARC_TIR]:[V_FUT_U_PCPL-02]], F$5, FALSE)</f>
        <v>#N/A</v>
      </c>
      <c r="H737" s="20">
        <f t="shared" si="62"/>
        <v>0</v>
      </c>
      <c r="I737" s="21">
        <f t="shared" si="63"/>
        <v>0</v>
      </c>
      <c r="J737" s="22" t="e">
        <f>VLOOKUP($A737, TAB_JUROS_C[[DIAS_CORRIDOS]:[V_FUT_UTEIS]], J$5, FALSE)</f>
        <v>#N/A</v>
      </c>
      <c r="K737" s="22" t="e">
        <f>VLOOKUP($A737, TAB_CORRECAO_C[[DIAS_CORRIDOS]:[V_FUT_UTEIS]],K$5, FALSE)</f>
        <v>#N/A</v>
      </c>
      <c r="L737" s="22" t="e">
        <f>VLOOKUP($A737, TAB_AMORTIZACAO_C[[DIAS_CORRIDOS]:[V_FUT_UTEIS]], L$5, FALSE)</f>
        <v>#N/A</v>
      </c>
    </row>
    <row r="738" spans="1:12" hidden="1">
      <c r="A738" s="19">
        <f t="shared" si="64"/>
        <v>732</v>
      </c>
      <c r="B738" s="20">
        <f t="shared" si="60"/>
        <v>0</v>
      </c>
      <c r="C738" s="21">
        <f t="shared" si="61"/>
        <v>0</v>
      </c>
      <c r="D738" s="22" t="e">
        <f>VLOOKUP($A738, TAB_JUROS_U[[Q_DIAS_U_PARC_TIR]:[V_FUT_U_JURS CENARIO]], D$5, FALSE)</f>
        <v>#N/A</v>
      </c>
      <c r="E738" s="22" t="e">
        <f>VLOOKUP($A738,TAB_CORRECAO_U[[Q_DIAS_U_PARC_TIR]:[V_FUT_U_CORC-02]],E$5, FALSE)</f>
        <v>#N/A</v>
      </c>
      <c r="F738" s="22" t="e">
        <f>VLOOKUP($A738,TAB_AMORTIZACAO_U[[Q_DIAS_U_PARC_TIR]:[V_FUT_U_PCPL-02]], F$5, FALSE)</f>
        <v>#N/A</v>
      </c>
      <c r="H738" s="20">
        <f t="shared" si="62"/>
        <v>0</v>
      </c>
      <c r="I738" s="21">
        <f t="shared" si="63"/>
        <v>0</v>
      </c>
      <c r="J738" s="22" t="e">
        <f>VLOOKUP($A738, TAB_JUROS_C[[DIAS_CORRIDOS]:[V_FUT_UTEIS]], J$5, FALSE)</f>
        <v>#N/A</v>
      </c>
      <c r="K738" s="22" t="e">
        <f>VLOOKUP($A738, TAB_CORRECAO_C[[DIAS_CORRIDOS]:[V_FUT_UTEIS]],K$5, FALSE)</f>
        <v>#N/A</v>
      </c>
      <c r="L738" s="22" t="e">
        <f>VLOOKUP($A738, TAB_AMORTIZACAO_C[[DIAS_CORRIDOS]:[V_FUT_UTEIS]], L$5, FALSE)</f>
        <v>#N/A</v>
      </c>
    </row>
    <row r="739" spans="1:12" hidden="1">
      <c r="A739" s="19">
        <f t="shared" si="64"/>
        <v>733</v>
      </c>
      <c r="B739" s="20">
        <f t="shared" si="60"/>
        <v>0</v>
      </c>
      <c r="C739" s="21">
        <f t="shared" si="61"/>
        <v>0</v>
      </c>
      <c r="D739" s="22" t="e">
        <f>VLOOKUP($A739, TAB_JUROS_U[[Q_DIAS_U_PARC_TIR]:[V_FUT_U_JURS CENARIO]], D$5, FALSE)</f>
        <v>#N/A</v>
      </c>
      <c r="E739" s="22" t="e">
        <f>VLOOKUP($A739,TAB_CORRECAO_U[[Q_DIAS_U_PARC_TIR]:[V_FUT_U_CORC-02]],E$5, FALSE)</f>
        <v>#N/A</v>
      </c>
      <c r="F739" s="22" t="e">
        <f>VLOOKUP($A739,TAB_AMORTIZACAO_U[[Q_DIAS_U_PARC_TIR]:[V_FUT_U_PCPL-02]], F$5, FALSE)</f>
        <v>#N/A</v>
      </c>
      <c r="H739" s="20">
        <f t="shared" si="62"/>
        <v>0</v>
      </c>
      <c r="I739" s="21">
        <f t="shared" si="63"/>
        <v>0</v>
      </c>
      <c r="J739" s="22" t="e">
        <f>VLOOKUP($A739, TAB_JUROS_C[[DIAS_CORRIDOS]:[V_FUT_UTEIS]], J$5, FALSE)</f>
        <v>#N/A</v>
      </c>
      <c r="K739" s="22" t="e">
        <f>VLOOKUP($A739, TAB_CORRECAO_C[[DIAS_CORRIDOS]:[V_FUT_UTEIS]],K$5, FALSE)</f>
        <v>#N/A</v>
      </c>
      <c r="L739" s="22" t="e">
        <f>VLOOKUP($A739, TAB_AMORTIZACAO_C[[DIAS_CORRIDOS]:[V_FUT_UTEIS]], L$5, FALSE)</f>
        <v>#N/A</v>
      </c>
    </row>
    <row r="740" spans="1:12" hidden="1">
      <c r="A740" s="19">
        <f t="shared" si="64"/>
        <v>734</v>
      </c>
      <c r="B740" s="20">
        <f t="shared" si="60"/>
        <v>0</v>
      </c>
      <c r="C740" s="21">
        <f t="shared" si="61"/>
        <v>0</v>
      </c>
      <c r="D740" s="22" t="e">
        <f>VLOOKUP($A740, TAB_JUROS_U[[Q_DIAS_U_PARC_TIR]:[V_FUT_U_JURS CENARIO]], D$5, FALSE)</f>
        <v>#N/A</v>
      </c>
      <c r="E740" s="22" t="e">
        <f>VLOOKUP($A740,TAB_CORRECAO_U[[Q_DIAS_U_PARC_TIR]:[V_FUT_U_CORC-02]],E$5, FALSE)</f>
        <v>#N/A</v>
      </c>
      <c r="F740" s="22" t="e">
        <f>VLOOKUP($A740,TAB_AMORTIZACAO_U[[Q_DIAS_U_PARC_TIR]:[V_FUT_U_PCPL-02]], F$5, FALSE)</f>
        <v>#N/A</v>
      </c>
      <c r="H740" s="20">
        <f t="shared" si="62"/>
        <v>0</v>
      </c>
      <c r="I740" s="21">
        <f t="shared" si="63"/>
        <v>0</v>
      </c>
      <c r="J740" s="22" t="e">
        <f>VLOOKUP($A740, TAB_JUROS_C[[DIAS_CORRIDOS]:[V_FUT_UTEIS]], J$5, FALSE)</f>
        <v>#N/A</v>
      </c>
      <c r="K740" s="22" t="e">
        <f>VLOOKUP($A740, TAB_CORRECAO_C[[DIAS_CORRIDOS]:[V_FUT_UTEIS]],K$5, FALSE)</f>
        <v>#N/A</v>
      </c>
      <c r="L740" s="22" t="e">
        <f>VLOOKUP($A740, TAB_AMORTIZACAO_C[[DIAS_CORRIDOS]:[V_FUT_UTEIS]], L$5, FALSE)</f>
        <v>#N/A</v>
      </c>
    </row>
    <row r="741" spans="1:12" hidden="1">
      <c r="A741" s="19">
        <f t="shared" si="64"/>
        <v>735</v>
      </c>
      <c r="B741" s="20">
        <f t="shared" si="60"/>
        <v>0</v>
      </c>
      <c r="C741" s="21">
        <f t="shared" si="61"/>
        <v>0</v>
      </c>
      <c r="D741" s="22" t="e">
        <f>VLOOKUP($A741, TAB_JUROS_U[[Q_DIAS_U_PARC_TIR]:[V_FUT_U_JURS CENARIO]], D$5, FALSE)</f>
        <v>#N/A</v>
      </c>
      <c r="E741" s="22" t="e">
        <f>VLOOKUP($A741,TAB_CORRECAO_U[[Q_DIAS_U_PARC_TIR]:[V_FUT_U_CORC-02]],E$5, FALSE)</f>
        <v>#N/A</v>
      </c>
      <c r="F741" s="22" t="e">
        <f>VLOOKUP($A741,TAB_AMORTIZACAO_U[[Q_DIAS_U_PARC_TIR]:[V_FUT_U_PCPL-02]], F$5, FALSE)</f>
        <v>#N/A</v>
      </c>
      <c r="H741" s="20">
        <f t="shared" si="62"/>
        <v>0</v>
      </c>
      <c r="I741" s="21">
        <f t="shared" si="63"/>
        <v>0</v>
      </c>
      <c r="J741" s="22" t="e">
        <f>VLOOKUP($A741, TAB_JUROS_C[[DIAS_CORRIDOS]:[V_FUT_UTEIS]], J$5, FALSE)</f>
        <v>#N/A</v>
      </c>
      <c r="K741" s="22" t="e">
        <f>VLOOKUP($A741, TAB_CORRECAO_C[[DIAS_CORRIDOS]:[V_FUT_UTEIS]],K$5, FALSE)</f>
        <v>#N/A</v>
      </c>
      <c r="L741" s="22" t="e">
        <f>VLOOKUP($A741, TAB_AMORTIZACAO_C[[DIAS_CORRIDOS]:[V_FUT_UTEIS]], L$5, FALSE)</f>
        <v>#N/A</v>
      </c>
    </row>
    <row r="742" spans="1:12" hidden="1">
      <c r="A742" s="19">
        <f t="shared" si="64"/>
        <v>736</v>
      </c>
      <c r="B742" s="20">
        <f t="shared" si="60"/>
        <v>0</v>
      </c>
      <c r="C742" s="21">
        <f t="shared" si="61"/>
        <v>0</v>
      </c>
      <c r="D742" s="22" t="e">
        <f>VLOOKUP($A742, TAB_JUROS_U[[Q_DIAS_U_PARC_TIR]:[V_FUT_U_JURS CENARIO]], D$5, FALSE)</f>
        <v>#N/A</v>
      </c>
      <c r="E742" s="22" t="e">
        <f>VLOOKUP($A742,TAB_CORRECAO_U[[Q_DIAS_U_PARC_TIR]:[V_FUT_U_CORC-02]],E$5, FALSE)</f>
        <v>#N/A</v>
      </c>
      <c r="F742" s="22" t="e">
        <f>VLOOKUP($A742,TAB_AMORTIZACAO_U[[Q_DIAS_U_PARC_TIR]:[V_FUT_U_PCPL-02]], F$5, FALSE)</f>
        <v>#N/A</v>
      </c>
      <c r="H742" s="20">
        <f t="shared" si="62"/>
        <v>0</v>
      </c>
      <c r="I742" s="21">
        <f t="shared" si="63"/>
        <v>0</v>
      </c>
      <c r="J742" s="22" t="e">
        <f>VLOOKUP($A742, TAB_JUROS_C[[DIAS_CORRIDOS]:[V_FUT_UTEIS]], J$5, FALSE)</f>
        <v>#N/A</v>
      </c>
      <c r="K742" s="22" t="e">
        <f>VLOOKUP($A742, TAB_CORRECAO_C[[DIAS_CORRIDOS]:[V_FUT_UTEIS]],K$5, FALSE)</f>
        <v>#N/A</v>
      </c>
      <c r="L742" s="22" t="e">
        <f>VLOOKUP($A742, TAB_AMORTIZACAO_C[[DIAS_CORRIDOS]:[V_FUT_UTEIS]], L$5, FALSE)</f>
        <v>#N/A</v>
      </c>
    </row>
    <row r="743" spans="1:12" hidden="1">
      <c r="A743" s="19">
        <f t="shared" si="64"/>
        <v>737</v>
      </c>
      <c r="B743" s="20">
        <f t="shared" si="60"/>
        <v>0</v>
      </c>
      <c r="C743" s="21">
        <f t="shared" si="61"/>
        <v>0</v>
      </c>
      <c r="D743" s="22" t="e">
        <f>VLOOKUP($A743, TAB_JUROS_U[[Q_DIAS_U_PARC_TIR]:[V_FUT_U_JURS CENARIO]], D$5, FALSE)</f>
        <v>#N/A</v>
      </c>
      <c r="E743" s="22" t="e">
        <f>VLOOKUP($A743,TAB_CORRECAO_U[[Q_DIAS_U_PARC_TIR]:[V_FUT_U_CORC-02]],E$5, FALSE)</f>
        <v>#N/A</v>
      </c>
      <c r="F743" s="22" t="e">
        <f>VLOOKUP($A743,TAB_AMORTIZACAO_U[[Q_DIAS_U_PARC_TIR]:[V_FUT_U_PCPL-02]], F$5, FALSE)</f>
        <v>#N/A</v>
      </c>
      <c r="H743" s="20">
        <f t="shared" si="62"/>
        <v>0</v>
      </c>
      <c r="I743" s="21">
        <f t="shared" si="63"/>
        <v>0</v>
      </c>
      <c r="J743" s="22" t="e">
        <f>VLOOKUP($A743, TAB_JUROS_C[[DIAS_CORRIDOS]:[V_FUT_UTEIS]], J$5, FALSE)</f>
        <v>#N/A</v>
      </c>
      <c r="K743" s="22" t="e">
        <f>VLOOKUP($A743, TAB_CORRECAO_C[[DIAS_CORRIDOS]:[V_FUT_UTEIS]],K$5, FALSE)</f>
        <v>#N/A</v>
      </c>
      <c r="L743" s="22" t="e">
        <f>VLOOKUP($A743, TAB_AMORTIZACAO_C[[DIAS_CORRIDOS]:[V_FUT_UTEIS]], L$5, FALSE)</f>
        <v>#N/A</v>
      </c>
    </row>
    <row r="744" spans="1:12" hidden="1">
      <c r="A744" s="19">
        <f t="shared" si="64"/>
        <v>738</v>
      </c>
      <c r="B744" s="20">
        <f t="shared" si="60"/>
        <v>0</v>
      </c>
      <c r="C744" s="21">
        <f t="shared" si="61"/>
        <v>0</v>
      </c>
      <c r="D744" s="22" t="e">
        <f>VLOOKUP($A744, TAB_JUROS_U[[Q_DIAS_U_PARC_TIR]:[V_FUT_U_JURS CENARIO]], D$5, FALSE)</f>
        <v>#N/A</v>
      </c>
      <c r="E744" s="22" t="e">
        <f>VLOOKUP($A744,TAB_CORRECAO_U[[Q_DIAS_U_PARC_TIR]:[V_FUT_U_CORC-02]],E$5, FALSE)</f>
        <v>#N/A</v>
      </c>
      <c r="F744" s="22" t="e">
        <f>VLOOKUP($A744,TAB_AMORTIZACAO_U[[Q_DIAS_U_PARC_TIR]:[V_FUT_U_PCPL-02]], F$5, FALSE)</f>
        <v>#N/A</v>
      </c>
      <c r="H744" s="20">
        <f t="shared" si="62"/>
        <v>0</v>
      </c>
      <c r="I744" s="21">
        <f t="shared" si="63"/>
        <v>0</v>
      </c>
      <c r="J744" s="22" t="e">
        <f>VLOOKUP($A744, TAB_JUROS_C[[DIAS_CORRIDOS]:[V_FUT_UTEIS]], J$5, FALSE)</f>
        <v>#N/A</v>
      </c>
      <c r="K744" s="22" t="e">
        <f>VLOOKUP($A744, TAB_CORRECAO_C[[DIAS_CORRIDOS]:[V_FUT_UTEIS]],K$5, FALSE)</f>
        <v>#N/A</v>
      </c>
      <c r="L744" s="22" t="e">
        <f>VLOOKUP($A744, TAB_AMORTIZACAO_C[[DIAS_CORRIDOS]:[V_FUT_UTEIS]], L$5, FALSE)</f>
        <v>#N/A</v>
      </c>
    </row>
    <row r="745" spans="1:12" hidden="1">
      <c r="A745" s="19">
        <f t="shared" si="64"/>
        <v>739</v>
      </c>
      <c r="B745" s="20">
        <f t="shared" si="60"/>
        <v>0</v>
      </c>
      <c r="C745" s="21">
        <f t="shared" si="61"/>
        <v>0</v>
      </c>
      <c r="D745" s="22" t="e">
        <f>VLOOKUP($A745, TAB_JUROS_U[[Q_DIAS_U_PARC_TIR]:[V_FUT_U_JURS CENARIO]], D$5, FALSE)</f>
        <v>#N/A</v>
      </c>
      <c r="E745" s="22" t="e">
        <f>VLOOKUP($A745,TAB_CORRECAO_U[[Q_DIAS_U_PARC_TIR]:[V_FUT_U_CORC-02]],E$5, FALSE)</f>
        <v>#N/A</v>
      </c>
      <c r="F745" s="22" t="e">
        <f>VLOOKUP($A745,TAB_AMORTIZACAO_U[[Q_DIAS_U_PARC_TIR]:[V_FUT_U_PCPL-02]], F$5, FALSE)</f>
        <v>#N/A</v>
      </c>
      <c r="H745" s="20">
        <f t="shared" si="62"/>
        <v>0</v>
      </c>
      <c r="I745" s="21">
        <f t="shared" si="63"/>
        <v>0</v>
      </c>
      <c r="J745" s="22" t="e">
        <f>VLOOKUP($A745, TAB_JUROS_C[[DIAS_CORRIDOS]:[V_FUT_UTEIS]], J$5, FALSE)</f>
        <v>#N/A</v>
      </c>
      <c r="K745" s="22" t="e">
        <f>VLOOKUP($A745, TAB_CORRECAO_C[[DIAS_CORRIDOS]:[V_FUT_UTEIS]],K$5, FALSE)</f>
        <v>#N/A</v>
      </c>
      <c r="L745" s="22" t="e">
        <f>VLOOKUP($A745, TAB_AMORTIZACAO_C[[DIAS_CORRIDOS]:[V_FUT_UTEIS]], L$5, FALSE)</f>
        <v>#N/A</v>
      </c>
    </row>
    <row r="746" spans="1:12" hidden="1">
      <c r="A746" s="19">
        <f t="shared" si="64"/>
        <v>740</v>
      </c>
      <c r="B746" s="20">
        <f t="shared" si="60"/>
        <v>0</v>
      </c>
      <c r="C746" s="21">
        <f t="shared" si="61"/>
        <v>0</v>
      </c>
      <c r="D746" s="22" t="e">
        <f>VLOOKUP($A746, TAB_JUROS_U[[Q_DIAS_U_PARC_TIR]:[V_FUT_U_JURS CENARIO]], D$5, FALSE)</f>
        <v>#N/A</v>
      </c>
      <c r="E746" s="22" t="e">
        <f>VLOOKUP($A746,TAB_CORRECAO_U[[Q_DIAS_U_PARC_TIR]:[V_FUT_U_CORC-02]],E$5, FALSE)</f>
        <v>#N/A</v>
      </c>
      <c r="F746" s="22" t="e">
        <f>VLOOKUP($A746,TAB_AMORTIZACAO_U[[Q_DIAS_U_PARC_TIR]:[V_FUT_U_PCPL-02]], F$5, FALSE)</f>
        <v>#N/A</v>
      </c>
      <c r="H746" s="20">
        <f t="shared" si="62"/>
        <v>0</v>
      </c>
      <c r="I746" s="21">
        <f t="shared" si="63"/>
        <v>0</v>
      </c>
      <c r="J746" s="22" t="e">
        <f>VLOOKUP($A746, TAB_JUROS_C[[DIAS_CORRIDOS]:[V_FUT_UTEIS]], J$5, FALSE)</f>
        <v>#N/A</v>
      </c>
      <c r="K746" s="22" t="e">
        <f>VLOOKUP($A746, TAB_CORRECAO_C[[DIAS_CORRIDOS]:[V_FUT_UTEIS]],K$5, FALSE)</f>
        <v>#N/A</v>
      </c>
      <c r="L746" s="22" t="e">
        <f>VLOOKUP($A746, TAB_AMORTIZACAO_C[[DIAS_CORRIDOS]:[V_FUT_UTEIS]], L$5, FALSE)</f>
        <v>#N/A</v>
      </c>
    </row>
    <row r="747" spans="1:12" hidden="1">
      <c r="A747" s="19">
        <f t="shared" si="64"/>
        <v>741</v>
      </c>
      <c r="B747" s="20">
        <f t="shared" si="60"/>
        <v>0</v>
      </c>
      <c r="C747" s="21">
        <f t="shared" si="61"/>
        <v>0</v>
      </c>
      <c r="D747" s="22" t="e">
        <f>VLOOKUP($A747, TAB_JUROS_U[[Q_DIAS_U_PARC_TIR]:[V_FUT_U_JURS CENARIO]], D$5, FALSE)</f>
        <v>#N/A</v>
      </c>
      <c r="E747" s="22" t="e">
        <f>VLOOKUP($A747,TAB_CORRECAO_U[[Q_DIAS_U_PARC_TIR]:[V_FUT_U_CORC-02]],E$5, FALSE)</f>
        <v>#N/A</v>
      </c>
      <c r="F747" s="22" t="e">
        <f>VLOOKUP($A747,TAB_AMORTIZACAO_U[[Q_DIAS_U_PARC_TIR]:[V_FUT_U_PCPL-02]], F$5, FALSE)</f>
        <v>#N/A</v>
      </c>
      <c r="H747" s="20">
        <f t="shared" si="62"/>
        <v>0</v>
      </c>
      <c r="I747" s="21">
        <f t="shared" si="63"/>
        <v>0</v>
      </c>
      <c r="J747" s="22" t="e">
        <f>VLOOKUP($A747, TAB_JUROS_C[[DIAS_CORRIDOS]:[V_FUT_UTEIS]], J$5, FALSE)</f>
        <v>#N/A</v>
      </c>
      <c r="K747" s="22" t="e">
        <f>VLOOKUP($A747, TAB_CORRECAO_C[[DIAS_CORRIDOS]:[V_FUT_UTEIS]],K$5, FALSE)</f>
        <v>#N/A</v>
      </c>
      <c r="L747" s="22" t="e">
        <f>VLOOKUP($A747, TAB_AMORTIZACAO_C[[DIAS_CORRIDOS]:[V_FUT_UTEIS]], L$5, FALSE)</f>
        <v>#N/A</v>
      </c>
    </row>
    <row r="748" spans="1:12" hidden="1">
      <c r="A748" s="19">
        <f t="shared" si="64"/>
        <v>742</v>
      </c>
      <c r="B748" s="20">
        <f t="shared" si="60"/>
        <v>0</v>
      </c>
      <c r="C748" s="21">
        <f t="shared" si="61"/>
        <v>0</v>
      </c>
      <c r="D748" s="22" t="e">
        <f>VLOOKUP($A748, TAB_JUROS_U[[Q_DIAS_U_PARC_TIR]:[V_FUT_U_JURS CENARIO]], D$5, FALSE)</f>
        <v>#N/A</v>
      </c>
      <c r="E748" s="22" t="e">
        <f>VLOOKUP($A748,TAB_CORRECAO_U[[Q_DIAS_U_PARC_TIR]:[V_FUT_U_CORC-02]],E$5, FALSE)</f>
        <v>#N/A</v>
      </c>
      <c r="F748" s="22" t="e">
        <f>VLOOKUP($A748,TAB_AMORTIZACAO_U[[Q_DIAS_U_PARC_TIR]:[V_FUT_U_PCPL-02]], F$5, FALSE)</f>
        <v>#N/A</v>
      </c>
      <c r="H748" s="20">
        <f t="shared" si="62"/>
        <v>0</v>
      </c>
      <c r="I748" s="21">
        <f t="shared" si="63"/>
        <v>0</v>
      </c>
      <c r="J748" s="22" t="e">
        <f>VLOOKUP($A748, TAB_JUROS_C[[DIAS_CORRIDOS]:[V_FUT_UTEIS]], J$5, FALSE)</f>
        <v>#N/A</v>
      </c>
      <c r="K748" s="22" t="e">
        <f>VLOOKUP($A748, TAB_CORRECAO_C[[DIAS_CORRIDOS]:[V_FUT_UTEIS]],K$5, FALSE)</f>
        <v>#N/A</v>
      </c>
      <c r="L748" s="22" t="e">
        <f>VLOOKUP($A748, TAB_AMORTIZACAO_C[[DIAS_CORRIDOS]:[V_FUT_UTEIS]], L$5, FALSE)</f>
        <v>#N/A</v>
      </c>
    </row>
    <row r="749" spans="1:12">
      <c r="A749" s="19">
        <f t="shared" si="64"/>
        <v>743</v>
      </c>
      <c r="B749" s="20">
        <f t="shared" si="60"/>
        <v>1110.5830239371458</v>
      </c>
      <c r="C749" s="21">
        <f t="shared" si="61"/>
        <v>1110.5830239371458</v>
      </c>
      <c r="D749" s="22">
        <f>VLOOKUP($A749, TAB_JUROS_U[[Q_DIAS_U_PARC_TIR]:[V_FUT_U_JURS CENARIO]], D$5, FALSE)</f>
        <v>87.053727812853552</v>
      </c>
      <c r="E749" s="22">
        <f>VLOOKUP($A749,TAB_CORRECAO_U[[Q_DIAS_U_PARC_TIR]:[V_FUT_U_CORC-02]],E$5, FALSE)</f>
        <v>525.54366854892817</v>
      </c>
      <c r="F749" s="22">
        <f>VLOOKUP($A749,TAB_AMORTIZACAO_U[[Q_DIAS_U_PARC_TIR]:[V_FUT_U_PCPL-02]], F$5, FALSE)</f>
        <v>497.98562757536411</v>
      </c>
      <c r="H749" s="20">
        <f t="shared" si="62"/>
        <v>1494.2697445058138</v>
      </c>
      <c r="I749" s="21">
        <f t="shared" si="63"/>
        <v>1494.2697445058138</v>
      </c>
      <c r="J749" s="22">
        <f>VLOOKUP($A749, TAB_JUROS_C[[DIAS_CORRIDOS]:[V_FUT_UTEIS]], J$5, FALSE)</f>
        <v>113.9304038099183</v>
      </c>
      <c r="K749" s="22">
        <f>VLOOKUP($A749, TAB_CORRECAO_C[[DIAS_CORRIDOS]:[V_FUT_UTEIS]],K$5, FALSE)</f>
        <v>720.37346278174437</v>
      </c>
      <c r="L749" s="22">
        <f>VLOOKUP($A749, TAB_AMORTIZACAO_C[[DIAS_CORRIDOS]:[V_FUT_UTEIS]], L$5, FALSE)</f>
        <v>659.96587791415106</v>
      </c>
    </row>
    <row r="750" spans="1:12" hidden="1">
      <c r="A750" s="19">
        <f t="shared" si="64"/>
        <v>744</v>
      </c>
      <c r="B750" s="20">
        <f t="shared" si="60"/>
        <v>0</v>
      </c>
      <c r="C750" s="21">
        <f t="shared" si="61"/>
        <v>0</v>
      </c>
      <c r="D750" s="22" t="e">
        <f>VLOOKUP($A750, TAB_JUROS_U[[Q_DIAS_U_PARC_TIR]:[V_FUT_U_JURS CENARIO]], D$5, FALSE)</f>
        <v>#N/A</v>
      </c>
      <c r="E750" s="22" t="e">
        <f>VLOOKUP($A750,TAB_CORRECAO_U[[Q_DIAS_U_PARC_TIR]:[V_FUT_U_CORC-02]],E$5, FALSE)</f>
        <v>#N/A</v>
      </c>
      <c r="F750" s="22" t="e">
        <f>VLOOKUP($A750,TAB_AMORTIZACAO_U[[Q_DIAS_U_PARC_TIR]:[V_FUT_U_PCPL-02]], F$5, FALSE)</f>
        <v>#N/A</v>
      </c>
      <c r="H750" s="20">
        <f t="shared" si="62"/>
        <v>0</v>
      </c>
      <c r="I750" s="21">
        <f t="shared" si="63"/>
        <v>0</v>
      </c>
      <c r="J750" s="22" t="e">
        <f>VLOOKUP($A750, TAB_JUROS_C[[DIAS_CORRIDOS]:[V_FUT_UTEIS]], J$5, FALSE)</f>
        <v>#N/A</v>
      </c>
      <c r="K750" s="22" t="e">
        <f>VLOOKUP($A750, TAB_CORRECAO_C[[DIAS_CORRIDOS]:[V_FUT_UTEIS]],K$5, FALSE)</f>
        <v>#N/A</v>
      </c>
      <c r="L750" s="22" t="e">
        <f>VLOOKUP($A750, TAB_AMORTIZACAO_C[[DIAS_CORRIDOS]:[V_FUT_UTEIS]], L$5, FALSE)</f>
        <v>#N/A</v>
      </c>
    </row>
    <row r="751" spans="1:12" hidden="1">
      <c r="A751" s="19">
        <f t="shared" si="64"/>
        <v>745</v>
      </c>
      <c r="B751" s="20">
        <f t="shared" si="60"/>
        <v>0</v>
      </c>
      <c r="C751" s="21">
        <f t="shared" si="61"/>
        <v>0</v>
      </c>
      <c r="D751" s="22" t="e">
        <f>VLOOKUP($A751, TAB_JUROS_U[[Q_DIAS_U_PARC_TIR]:[V_FUT_U_JURS CENARIO]], D$5, FALSE)</f>
        <v>#N/A</v>
      </c>
      <c r="E751" s="22" t="e">
        <f>VLOOKUP($A751,TAB_CORRECAO_U[[Q_DIAS_U_PARC_TIR]:[V_FUT_U_CORC-02]],E$5, FALSE)</f>
        <v>#N/A</v>
      </c>
      <c r="F751" s="22" t="e">
        <f>VLOOKUP($A751,TAB_AMORTIZACAO_U[[Q_DIAS_U_PARC_TIR]:[V_FUT_U_PCPL-02]], F$5, FALSE)</f>
        <v>#N/A</v>
      </c>
      <c r="H751" s="20">
        <f t="shared" si="62"/>
        <v>0</v>
      </c>
      <c r="I751" s="21">
        <f t="shared" si="63"/>
        <v>0</v>
      </c>
      <c r="J751" s="22" t="e">
        <f>VLOOKUP($A751, TAB_JUROS_C[[DIAS_CORRIDOS]:[V_FUT_UTEIS]], J$5, FALSE)</f>
        <v>#N/A</v>
      </c>
      <c r="K751" s="22" t="e">
        <f>VLOOKUP($A751, TAB_CORRECAO_C[[DIAS_CORRIDOS]:[V_FUT_UTEIS]],K$5, FALSE)</f>
        <v>#N/A</v>
      </c>
      <c r="L751" s="22" t="e">
        <f>VLOOKUP($A751, TAB_AMORTIZACAO_C[[DIAS_CORRIDOS]:[V_FUT_UTEIS]], L$5, FALSE)</f>
        <v>#N/A</v>
      </c>
    </row>
    <row r="752" spans="1:12" hidden="1">
      <c r="A752" s="19">
        <f t="shared" si="64"/>
        <v>746</v>
      </c>
      <c r="B752" s="20">
        <f t="shared" si="60"/>
        <v>0</v>
      </c>
      <c r="C752" s="21">
        <f t="shared" si="61"/>
        <v>0</v>
      </c>
      <c r="D752" s="22" t="e">
        <f>VLOOKUP($A752, TAB_JUROS_U[[Q_DIAS_U_PARC_TIR]:[V_FUT_U_JURS CENARIO]], D$5, FALSE)</f>
        <v>#N/A</v>
      </c>
      <c r="E752" s="22" t="e">
        <f>VLOOKUP($A752,TAB_CORRECAO_U[[Q_DIAS_U_PARC_TIR]:[V_FUT_U_CORC-02]],E$5, FALSE)</f>
        <v>#N/A</v>
      </c>
      <c r="F752" s="22" t="e">
        <f>VLOOKUP($A752,TAB_AMORTIZACAO_U[[Q_DIAS_U_PARC_TIR]:[V_FUT_U_PCPL-02]], F$5, FALSE)</f>
        <v>#N/A</v>
      </c>
      <c r="H752" s="20">
        <f t="shared" si="62"/>
        <v>0</v>
      </c>
      <c r="I752" s="21">
        <f t="shared" si="63"/>
        <v>0</v>
      </c>
      <c r="J752" s="22" t="e">
        <f>VLOOKUP($A752, TAB_JUROS_C[[DIAS_CORRIDOS]:[V_FUT_UTEIS]], J$5, FALSE)</f>
        <v>#N/A</v>
      </c>
      <c r="K752" s="22" t="e">
        <f>VLOOKUP($A752, TAB_CORRECAO_C[[DIAS_CORRIDOS]:[V_FUT_UTEIS]],K$5, FALSE)</f>
        <v>#N/A</v>
      </c>
      <c r="L752" s="22" t="e">
        <f>VLOOKUP($A752, TAB_AMORTIZACAO_C[[DIAS_CORRIDOS]:[V_FUT_UTEIS]], L$5, FALSE)</f>
        <v>#N/A</v>
      </c>
    </row>
    <row r="753" spans="1:12" hidden="1">
      <c r="A753" s="19">
        <f t="shared" si="64"/>
        <v>747</v>
      </c>
      <c r="B753" s="20">
        <f t="shared" si="60"/>
        <v>0</v>
      </c>
      <c r="C753" s="21">
        <f t="shared" si="61"/>
        <v>0</v>
      </c>
      <c r="D753" s="22" t="e">
        <f>VLOOKUP($A753, TAB_JUROS_U[[Q_DIAS_U_PARC_TIR]:[V_FUT_U_JURS CENARIO]], D$5, FALSE)</f>
        <v>#N/A</v>
      </c>
      <c r="E753" s="22" t="e">
        <f>VLOOKUP($A753,TAB_CORRECAO_U[[Q_DIAS_U_PARC_TIR]:[V_FUT_U_CORC-02]],E$5, FALSE)</f>
        <v>#N/A</v>
      </c>
      <c r="F753" s="22" t="e">
        <f>VLOOKUP($A753,TAB_AMORTIZACAO_U[[Q_DIAS_U_PARC_TIR]:[V_FUT_U_PCPL-02]], F$5, FALSE)</f>
        <v>#N/A</v>
      </c>
      <c r="H753" s="20">
        <f t="shared" si="62"/>
        <v>0</v>
      </c>
      <c r="I753" s="21">
        <f t="shared" si="63"/>
        <v>0</v>
      </c>
      <c r="J753" s="22" t="e">
        <f>VLOOKUP($A753, TAB_JUROS_C[[DIAS_CORRIDOS]:[V_FUT_UTEIS]], J$5, FALSE)</f>
        <v>#N/A</v>
      </c>
      <c r="K753" s="22" t="e">
        <f>VLOOKUP($A753, TAB_CORRECAO_C[[DIAS_CORRIDOS]:[V_FUT_UTEIS]],K$5, FALSE)</f>
        <v>#N/A</v>
      </c>
      <c r="L753" s="22" t="e">
        <f>VLOOKUP($A753, TAB_AMORTIZACAO_C[[DIAS_CORRIDOS]:[V_FUT_UTEIS]], L$5, FALSE)</f>
        <v>#N/A</v>
      </c>
    </row>
    <row r="754" spans="1:12" hidden="1">
      <c r="A754" s="19">
        <f t="shared" si="64"/>
        <v>748</v>
      </c>
      <c r="B754" s="20">
        <f t="shared" si="60"/>
        <v>0</v>
      </c>
      <c r="C754" s="21">
        <f t="shared" si="61"/>
        <v>0</v>
      </c>
      <c r="D754" s="22" t="e">
        <f>VLOOKUP($A754, TAB_JUROS_U[[Q_DIAS_U_PARC_TIR]:[V_FUT_U_JURS CENARIO]], D$5, FALSE)</f>
        <v>#N/A</v>
      </c>
      <c r="E754" s="22" t="e">
        <f>VLOOKUP($A754,TAB_CORRECAO_U[[Q_DIAS_U_PARC_TIR]:[V_FUT_U_CORC-02]],E$5, FALSE)</f>
        <v>#N/A</v>
      </c>
      <c r="F754" s="22" t="e">
        <f>VLOOKUP($A754,TAB_AMORTIZACAO_U[[Q_DIAS_U_PARC_TIR]:[V_FUT_U_PCPL-02]], F$5, FALSE)</f>
        <v>#N/A</v>
      </c>
      <c r="H754" s="20">
        <f t="shared" si="62"/>
        <v>0</v>
      </c>
      <c r="I754" s="21">
        <f t="shared" si="63"/>
        <v>0</v>
      </c>
      <c r="J754" s="22" t="e">
        <f>VLOOKUP($A754, TAB_JUROS_C[[DIAS_CORRIDOS]:[V_FUT_UTEIS]], J$5, FALSE)</f>
        <v>#N/A</v>
      </c>
      <c r="K754" s="22" t="e">
        <f>VLOOKUP($A754, TAB_CORRECAO_C[[DIAS_CORRIDOS]:[V_FUT_UTEIS]],K$5, FALSE)</f>
        <v>#N/A</v>
      </c>
      <c r="L754" s="22" t="e">
        <f>VLOOKUP($A754, TAB_AMORTIZACAO_C[[DIAS_CORRIDOS]:[V_FUT_UTEIS]], L$5, FALSE)</f>
        <v>#N/A</v>
      </c>
    </row>
    <row r="755" spans="1:12" hidden="1">
      <c r="A755" s="19">
        <f t="shared" si="64"/>
        <v>749</v>
      </c>
      <c r="B755" s="20">
        <f t="shared" si="60"/>
        <v>0</v>
      </c>
      <c r="C755" s="21">
        <f t="shared" si="61"/>
        <v>0</v>
      </c>
      <c r="D755" s="22" t="e">
        <f>VLOOKUP($A755, TAB_JUROS_U[[Q_DIAS_U_PARC_TIR]:[V_FUT_U_JURS CENARIO]], D$5, FALSE)</f>
        <v>#N/A</v>
      </c>
      <c r="E755" s="22" t="e">
        <f>VLOOKUP($A755,TAB_CORRECAO_U[[Q_DIAS_U_PARC_TIR]:[V_FUT_U_CORC-02]],E$5, FALSE)</f>
        <v>#N/A</v>
      </c>
      <c r="F755" s="22" t="e">
        <f>VLOOKUP($A755,TAB_AMORTIZACAO_U[[Q_DIAS_U_PARC_TIR]:[V_FUT_U_PCPL-02]], F$5, FALSE)</f>
        <v>#N/A</v>
      </c>
      <c r="H755" s="20">
        <f t="shared" si="62"/>
        <v>0</v>
      </c>
      <c r="I755" s="21">
        <f t="shared" si="63"/>
        <v>0</v>
      </c>
      <c r="J755" s="22" t="e">
        <f>VLOOKUP($A755, TAB_JUROS_C[[DIAS_CORRIDOS]:[V_FUT_UTEIS]], J$5, FALSE)</f>
        <v>#N/A</v>
      </c>
      <c r="K755" s="22" t="e">
        <f>VLOOKUP($A755, TAB_CORRECAO_C[[DIAS_CORRIDOS]:[V_FUT_UTEIS]],K$5, FALSE)</f>
        <v>#N/A</v>
      </c>
      <c r="L755" s="22" t="e">
        <f>VLOOKUP($A755, TAB_AMORTIZACAO_C[[DIAS_CORRIDOS]:[V_FUT_UTEIS]], L$5, FALSE)</f>
        <v>#N/A</v>
      </c>
    </row>
    <row r="756" spans="1:12" hidden="1">
      <c r="A756" s="19">
        <f t="shared" si="64"/>
        <v>750</v>
      </c>
      <c r="B756" s="20">
        <f t="shared" si="60"/>
        <v>0</v>
      </c>
      <c r="C756" s="21">
        <f t="shared" si="61"/>
        <v>0</v>
      </c>
      <c r="D756" s="22" t="e">
        <f>VLOOKUP($A756, TAB_JUROS_U[[Q_DIAS_U_PARC_TIR]:[V_FUT_U_JURS CENARIO]], D$5, FALSE)</f>
        <v>#N/A</v>
      </c>
      <c r="E756" s="22" t="e">
        <f>VLOOKUP($A756,TAB_CORRECAO_U[[Q_DIAS_U_PARC_TIR]:[V_FUT_U_CORC-02]],E$5, FALSE)</f>
        <v>#N/A</v>
      </c>
      <c r="F756" s="22" t="e">
        <f>VLOOKUP($A756,TAB_AMORTIZACAO_U[[Q_DIAS_U_PARC_TIR]:[V_FUT_U_PCPL-02]], F$5, FALSE)</f>
        <v>#N/A</v>
      </c>
      <c r="H756" s="20">
        <f t="shared" si="62"/>
        <v>0</v>
      </c>
      <c r="I756" s="21">
        <f t="shared" si="63"/>
        <v>0</v>
      </c>
      <c r="J756" s="22" t="e">
        <f>VLOOKUP($A756, TAB_JUROS_C[[DIAS_CORRIDOS]:[V_FUT_UTEIS]], J$5, FALSE)</f>
        <v>#N/A</v>
      </c>
      <c r="K756" s="22" t="e">
        <f>VLOOKUP($A756, TAB_CORRECAO_C[[DIAS_CORRIDOS]:[V_FUT_UTEIS]],K$5, FALSE)</f>
        <v>#N/A</v>
      </c>
      <c r="L756" s="22" t="e">
        <f>VLOOKUP($A756, TAB_AMORTIZACAO_C[[DIAS_CORRIDOS]:[V_FUT_UTEIS]], L$5, FALSE)</f>
        <v>#N/A</v>
      </c>
    </row>
    <row r="757" spans="1:12" hidden="1">
      <c r="A757" s="19">
        <f t="shared" si="64"/>
        <v>751</v>
      </c>
      <c r="B757" s="20">
        <f t="shared" si="60"/>
        <v>0</v>
      </c>
      <c r="C757" s="21">
        <f t="shared" si="61"/>
        <v>0</v>
      </c>
      <c r="D757" s="22" t="e">
        <f>VLOOKUP($A757, TAB_JUROS_U[[Q_DIAS_U_PARC_TIR]:[V_FUT_U_JURS CENARIO]], D$5, FALSE)</f>
        <v>#N/A</v>
      </c>
      <c r="E757" s="22" t="e">
        <f>VLOOKUP($A757,TAB_CORRECAO_U[[Q_DIAS_U_PARC_TIR]:[V_FUT_U_CORC-02]],E$5, FALSE)</f>
        <v>#N/A</v>
      </c>
      <c r="F757" s="22" t="e">
        <f>VLOOKUP($A757,TAB_AMORTIZACAO_U[[Q_DIAS_U_PARC_TIR]:[V_FUT_U_PCPL-02]], F$5, FALSE)</f>
        <v>#N/A</v>
      </c>
      <c r="H757" s="20">
        <f t="shared" si="62"/>
        <v>0</v>
      </c>
      <c r="I757" s="21">
        <f t="shared" si="63"/>
        <v>0</v>
      </c>
      <c r="J757" s="22" t="e">
        <f>VLOOKUP($A757, TAB_JUROS_C[[DIAS_CORRIDOS]:[V_FUT_UTEIS]], J$5, FALSE)</f>
        <v>#N/A</v>
      </c>
      <c r="K757" s="22" t="e">
        <f>VLOOKUP($A757, TAB_CORRECAO_C[[DIAS_CORRIDOS]:[V_FUT_UTEIS]],K$5, FALSE)</f>
        <v>#N/A</v>
      </c>
      <c r="L757" s="22" t="e">
        <f>VLOOKUP($A757, TAB_AMORTIZACAO_C[[DIAS_CORRIDOS]:[V_FUT_UTEIS]], L$5, FALSE)</f>
        <v>#N/A</v>
      </c>
    </row>
    <row r="758" spans="1:12" hidden="1">
      <c r="A758" s="19">
        <f t="shared" si="64"/>
        <v>752</v>
      </c>
      <c r="B758" s="20">
        <f t="shared" si="60"/>
        <v>0</v>
      </c>
      <c r="C758" s="21">
        <f t="shared" si="61"/>
        <v>0</v>
      </c>
      <c r="D758" s="22" t="e">
        <f>VLOOKUP($A758, TAB_JUROS_U[[Q_DIAS_U_PARC_TIR]:[V_FUT_U_JURS CENARIO]], D$5, FALSE)</f>
        <v>#N/A</v>
      </c>
      <c r="E758" s="22" t="e">
        <f>VLOOKUP($A758,TAB_CORRECAO_U[[Q_DIAS_U_PARC_TIR]:[V_FUT_U_CORC-02]],E$5, FALSE)</f>
        <v>#N/A</v>
      </c>
      <c r="F758" s="22" t="e">
        <f>VLOOKUP($A758,TAB_AMORTIZACAO_U[[Q_DIAS_U_PARC_TIR]:[V_FUT_U_PCPL-02]], F$5, FALSE)</f>
        <v>#N/A</v>
      </c>
      <c r="H758" s="20">
        <f t="shared" si="62"/>
        <v>0</v>
      </c>
      <c r="I758" s="21">
        <f t="shared" si="63"/>
        <v>0</v>
      </c>
      <c r="J758" s="22" t="e">
        <f>VLOOKUP($A758, TAB_JUROS_C[[DIAS_CORRIDOS]:[V_FUT_UTEIS]], J$5, FALSE)</f>
        <v>#N/A</v>
      </c>
      <c r="K758" s="22" t="e">
        <f>VLOOKUP($A758, TAB_CORRECAO_C[[DIAS_CORRIDOS]:[V_FUT_UTEIS]],K$5, FALSE)</f>
        <v>#N/A</v>
      </c>
      <c r="L758" s="22" t="e">
        <f>VLOOKUP($A758, TAB_AMORTIZACAO_C[[DIAS_CORRIDOS]:[V_FUT_UTEIS]], L$5, FALSE)</f>
        <v>#N/A</v>
      </c>
    </row>
    <row r="759" spans="1:12" hidden="1">
      <c r="A759" s="19">
        <f t="shared" si="64"/>
        <v>753</v>
      </c>
      <c r="B759" s="20">
        <f t="shared" si="60"/>
        <v>0</v>
      </c>
      <c r="C759" s="21">
        <f t="shared" si="61"/>
        <v>0</v>
      </c>
      <c r="D759" s="22" t="e">
        <f>VLOOKUP($A759, TAB_JUROS_U[[Q_DIAS_U_PARC_TIR]:[V_FUT_U_JURS CENARIO]], D$5, FALSE)</f>
        <v>#N/A</v>
      </c>
      <c r="E759" s="22" t="e">
        <f>VLOOKUP($A759,TAB_CORRECAO_U[[Q_DIAS_U_PARC_TIR]:[V_FUT_U_CORC-02]],E$5, FALSE)</f>
        <v>#N/A</v>
      </c>
      <c r="F759" s="22" t="e">
        <f>VLOOKUP($A759,TAB_AMORTIZACAO_U[[Q_DIAS_U_PARC_TIR]:[V_FUT_U_PCPL-02]], F$5, FALSE)</f>
        <v>#N/A</v>
      </c>
      <c r="H759" s="20">
        <f t="shared" si="62"/>
        <v>0</v>
      </c>
      <c r="I759" s="21">
        <f t="shared" si="63"/>
        <v>0</v>
      </c>
      <c r="J759" s="22" t="e">
        <f>VLOOKUP($A759, TAB_JUROS_C[[DIAS_CORRIDOS]:[V_FUT_UTEIS]], J$5, FALSE)</f>
        <v>#N/A</v>
      </c>
      <c r="K759" s="22" t="e">
        <f>VLOOKUP($A759, TAB_CORRECAO_C[[DIAS_CORRIDOS]:[V_FUT_UTEIS]],K$5, FALSE)</f>
        <v>#N/A</v>
      </c>
      <c r="L759" s="22" t="e">
        <f>VLOOKUP($A759, TAB_AMORTIZACAO_C[[DIAS_CORRIDOS]:[V_FUT_UTEIS]], L$5, FALSE)</f>
        <v>#N/A</v>
      </c>
    </row>
    <row r="760" spans="1:12" hidden="1">
      <c r="A760" s="19">
        <f t="shared" si="64"/>
        <v>754</v>
      </c>
      <c r="B760" s="20">
        <f t="shared" si="60"/>
        <v>0</v>
      </c>
      <c r="C760" s="21">
        <f t="shared" si="61"/>
        <v>0</v>
      </c>
      <c r="D760" s="22" t="e">
        <f>VLOOKUP($A760, TAB_JUROS_U[[Q_DIAS_U_PARC_TIR]:[V_FUT_U_JURS CENARIO]], D$5, FALSE)</f>
        <v>#N/A</v>
      </c>
      <c r="E760" s="22" t="e">
        <f>VLOOKUP($A760,TAB_CORRECAO_U[[Q_DIAS_U_PARC_TIR]:[V_FUT_U_CORC-02]],E$5, FALSE)</f>
        <v>#N/A</v>
      </c>
      <c r="F760" s="22" t="e">
        <f>VLOOKUP($A760,TAB_AMORTIZACAO_U[[Q_DIAS_U_PARC_TIR]:[V_FUT_U_PCPL-02]], F$5, FALSE)</f>
        <v>#N/A</v>
      </c>
      <c r="H760" s="20">
        <f t="shared" si="62"/>
        <v>0</v>
      </c>
      <c r="I760" s="21">
        <f t="shared" si="63"/>
        <v>0</v>
      </c>
      <c r="J760" s="22" t="e">
        <f>VLOOKUP($A760, TAB_JUROS_C[[DIAS_CORRIDOS]:[V_FUT_UTEIS]], J$5, FALSE)</f>
        <v>#N/A</v>
      </c>
      <c r="K760" s="22" t="e">
        <f>VLOOKUP($A760, TAB_CORRECAO_C[[DIAS_CORRIDOS]:[V_FUT_UTEIS]],K$5, FALSE)</f>
        <v>#N/A</v>
      </c>
      <c r="L760" s="22" t="e">
        <f>VLOOKUP($A760, TAB_AMORTIZACAO_C[[DIAS_CORRIDOS]:[V_FUT_UTEIS]], L$5, FALSE)</f>
        <v>#N/A</v>
      </c>
    </row>
    <row r="761" spans="1:12" hidden="1">
      <c r="A761" s="19">
        <f t="shared" si="64"/>
        <v>755</v>
      </c>
      <c r="B761" s="20">
        <f t="shared" si="60"/>
        <v>0</v>
      </c>
      <c r="C761" s="21">
        <f t="shared" si="61"/>
        <v>0</v>
      </c>
      <c r="D761" s="22" t="e">
        <f>VLOOKUP($A761, TAB_JUROS_U[[Q_DIAS_U_PARC_TIR]:[V_FUT_U_JURS CENARIO]], D$5, FALSE)</f>
        <v>#N/A</v>
      </c>
      <c r="E761" s="22" t="e">
        <f>VLOOKUP($A761,TAB_CORRECAO_U[[Q_DIAS_U_PARC_TIR]:[V_FUT_U_CORC-02]],E$5, FALSE)</f>
        <v>#N/A</v>
      </c>
      <c r="F761" s="22" t="e">
        <f>VLOOKUP($A761,TAB_AMORTIZACAO_U[[Q_DIAS_U_PARC_TIR]:[V_FUT_U_PCPL-02]], F$5, FALSE)</f>
        <v>#N/A</v>
      </c>
      <c r="H761" s="20">
        <f t="shared" si="62"/>
        <v>0</v>
      </c>
      <c r="I761" s="21">
        <f t="shared" si="63"/>
        <v>0</v>
      </c>
      <c r="J761" s="22" t="e">
        <f>VLOOKUP($A761, TAB_JUROS_C[[DIAS_CORRIDOS]:[V_FUT_UTEIS]], J$5, FALSE)</f>
        <v>#N/A</v>
      </c>
      <c r="K761" s="22" t="e">
        <f>VLOOKUP($A761, TAB_CORRECAO_C[[DIAS_CORRIDOS]:[V_FUT_UTEIS]],K$5, FALSE)</f>
        <v>#N/A</v>
      </c>
      <c r="L761" s="22" t="e">
        <f>VLOOKUP($A761, TAB_AMORTIZACAO_C[[DIAS_CORRIDOS]:[V_FUT_UTEIS]], L$5, FALSE)</f>
        <v>#N/A</v>
      </c>
    </row>
    <row r="762" spans="1:12" hidden="1">
      <c r="A762" s="19">
        <f t="shared" si="64"/>
        <v>756</v>
      </c>
      <c r="B762" s="20">
        <f t="shared" si="60"/>
        <v>0</v>
      </c>
      <c r="C762" s="21">
        <f t="shared" si="61"/>
        <v>0</v>
      </c>
      <c r="D762" s="22" t="e">
        <f>VLOOKUP($A762, TAB_JUROS_U[[Q_DIAS_U_PARC_TIR]:[V_FUT_U_JURS CENARIO]], D$5, FALSE)</f>
        <v>#N/A</v>
      </c>
      <c r="E762" s="22" t="e">
        <f>VLOOKUP($A762,TAB_CORRECAO_U[[Q_DIAS_U_PARC_TIR]:[V_FUT_U_CORC-02]],E$5, FALSE)</f>
        <v>#N/A</v>
      </c>
      <c r="F762" s="22" t="e">
        <f>VLOOKUP($A762,TAB_AMORTIZACAO_U[[Q_DIAS_U_PARC_TIR]:[V_FUT_U_PCPL-02]], F$5, FALSE)</f>
        <v>#N/A</v>
      </c>
      <c r="H762" s="20">
        <f t="shared" si="62"/>
        <v>0</v>
      </c>
      <c r="I762" s="21">
        <f t="shared" si="63"/>
        <v>0</v>
      </c>
      <c r="J762" s="22" t="e">
        <f>VLOOKUP($A762, TAB_JUROS_C[[DIAS_CORRIDOS]:[V_FUT_UTEIS]], J$5, FALSE)</f>
        <v>#N/A</v>
      </c>
      <c r="K762" s="22" t="e">
        <f>VLOOKUP($A762, TAB_CORRECAO_C[[DIAS_CORRIDOS]:[V_FUT_UTEIS]],K$5, FALSE)</f>
        <v>#N/A</v>
      </c>
      <c r="L762" s="22" t="e">
        <f>VLOOKUP($A762, TAB_AMORTIZACAO_C[[DIAS_CORRIDOS]:[V_FUT_UTEIS]], L$5, FALSE)</f>
        <v>#N/A</v>
      </c>
    </row>
    <row r="763" spans="1:12" hidden="1">
      <c r="A763" s="19">
        <f t="shared" si="64"/>
        <v>757</v>
      </c>
      <c r="B763" s="20">
        <f t="shared" si="60"/>
        <v>0</v>
      </c>
      <c r="C763" s="21">
        <f t="shared" si="61"/>
        <v>0</v>
      </c>
      <c r="D763" s="22" t="e">
        <f>VLOOKUP($A763, TAB_JUROS_U[[Q_DIAS_U_PARC_TIR]:[V_FUT_U_JURS CENARIO]], D$5, FALSE)</f>
        <v>#N/A</v>
      </c>
      <c r="E763" s="22" t="e">
        <f>VLOOKUP($A763,TAB_CORRECAO_U[[Q_DIAS_U_PARC_TIR]:[V_FUT_U_CORC-02]],E$5, FALSE)</f>
        <v>#N/A</v>
      </c>
      <c r="F763" s="22" t="e">
        <f>VLOOKUP($A763,TAB_AMORTIZACAO_U[[Q_DIAS_U_PARC_TIR]:[V_FUT_U_PCPL-02]], F$5, FALSE)</f>
        <v>#N/A</v>
      </c>
      <c r="H763" s="20">
        <f t="shared" si="62"/>
        <v>0</v>
      </c>
      <c r="I763" s="21">
        <f t="shared" si="63"/>
        <v>0</v>
      </c>
      <c r="J763" s="22" t="e">
        <f>VLOOKUP($A763, TAB_JUROS_C[[DIAS_CORRIDOS]:[V_FUT_UTEIS]], J$5, FALSE)</f>
        <v>#N/A</v>
      </c>
      <c r="K763" s="22" t="e">
        <f>VLOOKUP($A763, TAB_CORRECAO_C[[DIAS_CORRIDOS]:[V_FUT_UTEIS]],K$5, FALSE)</f>
        <v>#N/A</v>
      </c>
      <c r="L763" s="22" t="e">
        <f>VLOOKUP($A763, TAB_AMORTIZACAO_C[[DIAS_CORRIDOS]:[V_FUT_UTEIS]], L$5, FALSE)</f>
        <v>#N/A</v>
      </c>
    </row>
    <row r="764" spans="1:12" hidden="1">
      <c r="A764" s="19">
        <f t="shared" si="64"/>
        <v>758</v>
      </c>
      <c r="B764" s="20">
        <f t="shared" si="60"/>
        <v>0</v>
      </c>
      <c r="C764" s="21">
        <f t="shared" si="61"/>
        <v>0</v>
      </c>
      <c r="D764" s="22" t="e">
        <f>VLOOKUP($A764, TAB_JUROS_U[[Q_DIAS_U_PARC_TIR]:[V_FUT_U_JURS CENARIO]], D$5, FALSE)</f>
        <v>#N/A</v>
      </c>
      <c r="E764" s="22" t="e">
        <f>VLOOKUP($A764,TAB_CORRECAO_U[[Q_DIAS_U_PARC_TIR]:[V_FUT_U_CORC-02]],E$5, FALSE)</f>
        <v>#N/A</v>
      </c>
      <c r="F764" s="22" t="e">
        <f>VLOOKUP($A764,TAB_AMORTIZACAO_U[[Q_DIAS_U_PARC_TIR]:[V_FUT_U_PCPL-02]], F$5, FALSE)</f>
        <v>#N/A</v>
      </c>
      <c r="H764" s="20">
        <f t="shared" si="62"/>
        <v>0</v>
      </c>
      <c r="I764" s="21">
        <f t="shared" si="63"/>
        <v>0</v>
      </c>
      <c r="J764" s="22" t="e">
        <f>VLOOKUP($A764, TAB_JUROS_C[[DIAS_CORRIDOS]:[V_FUT_UTEIS]], J$5, FALSE)</f>
        <v>#N/A</v>
      </c>
      <c r="K764" s="22" t="e">
        <f>VLOOKUP($A764, TAB_CORRECAO_C[[DIAS_CORRIDOS]:[V_FUT_UTEIS]],K$5, FALSE)</f>
        <v>#N/A</v>
      </c>
      <c r="L764" s="22" t="e">
        <f>VLOOKUP($A764, TAB_AMORTIZACAO_C[[DIAS_CORRIDOS]:[V_FUT_UTEIS]], L$5, FALSE)</f>
        <v>#N/A</v>
      </c>
    </row>
    <row r="765" spans="1:12" hidden="1">
      <c r="A765" s="19">
        <f t="shared" si="64"/>
        <v>759</v>
      </c>
      <c r="B765" s="20">
        <f t="shared" si="60"/>
        <v>0</v>
      </c>
      <c r="C765" s="21">
        <f t="shared" si="61"/>
        <v>0</v>
      </c>
      <c r="D765" s="22" t="e">
        <f>VLOOKUP($A765, TAB_JUROS_U[[Q_DIAS_U_PARC_TIR]:[V_FUT_U_JURS CENARIO]], D$5, FALSE)</f>
        <v>#N/A</v>
      </c>
      <c r="E765" s="22" t="e">
        <f>VLOOKUP($A765,TAB_CORRECAO_U[[Q_DIAS_U_PARC_TIR]:[V_FUT_U_CORC-02]],E$5, FALSE)</f>
        <v>#N/A</v>
      </c>
      <c r="F765" s="22" t="e">
        <f>VLOOKUP($A765,TAB_AMORTIZACAO_U[[Q_DIAS_U_PARC_TIR]:[V_FUT_U_PCPL-02]], F$5, FALSE)</f>
        <v>#N/A</v>
      </c>
      <c r="H765" s="20">
        <f t="shared" si="62"/>
        <v>0</v>
      </c>
      <c r="I765" s="21">
        <f t="shared" si="63"/>
        <v>0</v>
      </c>
      <c r="J765" s="22" t="e">
        <f>VLOOKUP($A765, TAB_JUROS_C[[DIAS_CORRIDOS]:[V_FUT_UTEIS]], J$5, FALSE)</f>
        <v>#N/A</v>
      </c>
      <c r="K765" s="22" t="e">
        <f>VLOOKUP($A765, TAB_CORRECAO_C[[DIAS_CORRIDOS]:[V_FUT_UTEIS]],K$5, FALSE)</f>
        <v>#N/A</v>
      </c>
      <c r="L765" s="22" t="e">
        <f>VLOOKUP($A765, TAB_AMORTIZACAO_C[[DIAS_CORRIDOS]:[V_FUT_UTEIS]], L$5, FALSE)</f>
        <v>#N/A</v>
      </c>
    </row>
    <row r="766" spans="1:12" hidden="1">
      <c r="A766" s="19">
        <f t="shared" si="64"/>
        <v>760</v>
      </c>
      <c r="B766" s="20">
        <f t="shared" si="60"/>
        <v>0</v>
      </c>
      <c r="C766" s="21">
        <f t="shared" si="61"/>
        <v>0</v>
      </c>
      <c r="D766" s="22" t="e">
        <f>VLOOKUP($A766, TAB_JUROS_U[[Q_DIAS_U_PARC_TIR]:[V_FUT_U_JURS CENARIO]], D$5, FALSE)</f>
        <v>#N/A</v>
      </c>
      <c r="E766" s="22" t="e">
        <f>VLOOKUP($A766,TAB_CORRECAO_U[[Q_DIAS_U_PARC_TIR]:[V_FUT_U_CORC-02]],E$5, FALSE)</f>
        <v>#N/A</v>
      </c>
      <c r="F766" s="22" t="e">
        <f>VLOOKUP($A766,TAB_AMORTIZACAO_U[[Q_DIAS_U_PARC_TIR]:[V_FUT_U_PCPL-02]], F$5, FALSE)</f>
        <v>#N/A</v>
      </c>
      <c r="H766" s="20">
        <f t="shared" si="62"/>
        <v>0</v>
      </c>
      <c r="I766" s="21">
        <f t="shared" si="63"/>
        <v>0</v>
      </c>
      <c r="J766" s="22" t="e">
        <f>VLOOKUP($A766, TAB_JUROS_C[[DIAS_CORRIDOS]:[V_FUT_UTEIS]], J$5, FALSE)</f>
        <v>#N/A</v>
      </c>
      <c r="K766" s="22" t="e">
        <f>VLOOKUP($A766, TAB_CORRECAO_C[[DIAS_CORRIDOS]:[V_FUT_UTEIS]],K$5, FALSE)</f>
        <v>#N/A</v>
      </c>
      <c r="L766" s="22" t="e">
        <f>VLOOKUP($A766, TAB_AMORTIZACAO_C[[DIAS_CORRIDOS]:[V_FUT_UTEIS]], L$5, FALSE)</f>
        <v>#N/A</v>
      </c>
    </row>
    <row r="767" spans="1:12" hidden="1">
      <c r="A767" s="19">
        <f t="shared" si="64"/>
        <v>761</v>
      </c>
      <c r="B767" s="20">
        <f t="shared" si="60"/>
        <v>0</v>
      </c>
      <c r="C767" s="21">
        <f t="shared" si="61"/>
        <v>0</v>
      </c>
      <c r="D767" s="22" t="e">
        <f>VLOOKUP($A767, TAB_JUROS_U[[Q_DIAS_U_PARC_TIR]:[V_FUT_U_JURS CENARIO]], D$5, FALSE)</f>
        <v>#N/A</v>
      </c>
      <c r="E767" s="22" t="e">
        <f>VLOOKUP($A767,TAB_CORRECAO_U[[Q_DIAS_U_PARC_TIR]:[V_FUT_U_CORC-02]],E$5, FALSE)</f>
        <v>#N/A</v>
      </c>
      <c r="F767" s="22" t="e">
        <f>VLOOKUP($A767,TAB_AMORTIZACAO_U[[Q_DIAS_U_PARC_TIR]:[V_FUT_U_PCPL-02]], F$5, FALSE)</f>
        <v>#N/A</v>
      </c>
      <c r="H767" s="20">
        <f t="shared" si="62"/>
        <v>0</v>
      </c>
      <c r="I767" s="21">
        <f t="shared" si="63"/>
        <v>0</v>
      </c>
      <c r="J767" s="22" t="e">
        <f>VLOOKUP($A767, TAB_JUROS_C[[DIAS_CORRIDOS]:[V_FUT_UTEIS]], J$5, FALSE)</f>
        <v>#N/A</v>
      </c>
      <c r="K767" s="22" t="e">
        <f>VLOOKUP($A767, TAB_CORRECAO_C[[DIAS_CORRIDOS]:[V_FUT_UTEIS]],K$5, FALSE)</f>
        <v>#N/A</v>
      </c>
      <c r="L767" s="22" t="e">
        <f>VLOOKUP($A767, TAB_AMORTIZACAO_C[[DIAS_CORRIDOS]:[V_FUT_UTEIS]], L$5, FALSE)</f>
        <v>#N/A</v>
      </c>
    </row>
    <row r="768" spans="1:12" hidden="1">
      <c r="A768" s="19">
        <f t="shared" si="64"/>
        <v>762</v>
      </c>
      <c r="B768" s="20">
        <f t="shared" si="60"/>
        <v>0</v>
      </c>
      <c r="C768" s="21">
        <f t="shared" si="61"/>
        <v>0</v>
      </c>
      <c r="D768" s="22" t="e">
        <f>VLOOKUP($A768, TAB_JUROS_U[[Q_DIAS_U_PARC_TIR]:[V_FUT_U_JURS CENARIO]], D$5, FALSE)</f>
        <v>#N/A</v>
      </c>
      <c r="E768" s="22" t="e">
        <f>VLOOKUP($A768,TAB_CORRECAO_U[[Q_DIAS_U_PARC_TIR]:[V_FUT_U_CORC-02]],E$5, FALSE)</f>
        <v>#N/A</v>
      </c>
      <c r="F768" s="22" t="e">
        <f>VLOOKUP($A768,TAB_AMORTIZACAO_U[[Q_DIAS_U_PARC_TIR]:[V_FUT_U_PCPL-02]], F$5, FALSE)</f>
        <v>#N/A</v>
      </c>
      <c r="H768" s="20">
        <f t="shared" si="62"/>
        <v>0</v>
      </c>
      <c r="I768" s="21">
        <f t="shared" si="63"/>
        <v>0</v>
      </c>
      <c r="J768" s="22" t="e">
        <f>VLOOKUP($A768, TAB_JUROS_C[[DIAS_CORRIDOS]:[V_FUT_UTEIS]], J$5, FALSE)</f>
        <v>#N/A</v>
      </c>
      <c r="K768" s="22" t="e">
        <f>VLOOKUP($A768, TAB_CORRECAO_C[[DIAS_CORRIDOS]:[V_FUT_UTEIS]],K$5, FALSE)</f>
        <v>#N/A</v>
      </c>
      <c r="L768" s="22" t="e">
        <f>VLOOKUP($A768, TAB_AMORTIZACAO_C[[DIAS_CORRIDOS]:[V_FUT_UTEIS]], L$5, FALSE)</f>
        <v>#N/A</v>
      </c>
    </row>
    <row r="769" spans="1:12">
      <c r="A769" s="19">
        <f t="shared" si="64"/>
        <v>763</v>
      </c>
      <c r="B769" s="20">
        <f t="shared" si="60"/>
        <v>1149.9153656503458</v>
      </c>
      <c r="C769" s="21">
        <f t="shared" si="61"/>
        <v>1149.9153656503458</v>
      </c>
      <c r="D769" s="22">
        <f>VLOOKUP($A769, TAB_JUROS_U[[Q_DIAS_U_PARC_TIR]:[V_FUT_U_JURS CENARIO]], D$5, FALSE)</f>
        <v>85.060376270617368</v>
      </c>
      <c r="E769" s="22">
        <f>VLOOKUP($A769,TAB_CORRECAO_U[[Q_DIAS_U_PARC_TIR]:[V_FUT_U_CORC-02]],E$5, FALSE)</f>
        <v>536.04518261654118</v>
      </c>
      <c r="F769" s="22">
        <f>VLOOKUP($A769,TAB_AMORTIZACAO_U[[Q_DIAS_U_PARC_TIR]:[V_FUT_U_PCPL-02]], F$5, FALSE)</f>
        <v>528.80980676318723</v>
      </c>
      <c r="H769" s="20">
        <f t="shared" si="62"/>
        <v>0</v>
      </c>
      <c r="I769" s="21">
        <f t="shared" si="63"/>
        <v>0</v>
      </c>
      <c r="J769" s="22" t="e">
        <f>VLOOKUP($A769, TAB_JUROS_C[[DIAS_CORRIDOS]:[V_FUT_UTEIS]], J$5, FALSE)</f>
        <v>#N/A</v>
      </c>
      <c r="K769" s="22" t="e">
        <f>VLOOKUP($A769, TAB_CORRECAO_C[[DIAS_CORRIDOS]:[V_FUT_UTEIS]],K$5, FALSE)</f>
        <v>#N/A</v>
      </c>
      <c r="L769" s="22" t="e">
        <f>VLOOKUP($A769, TAB_AMORTIZACAO_C[[DIAS_CORRIDOS]:[V_FUT_UTEIS]], L$5, FALSE)</f>
        <v>#N/A</v>
      </c>
    </row>
    <row r="770" spans="1:12" hidden="1">
      <c r="A770" s="19">
        <f t="shared" si="64"/>
        <v>764</v>
      </c>
      <c r="B770" s="20">
        <f t="shared" si="60"/>
        <v>0</v>
      </c>
      <c r="C770" s="21">
        <f t="shared" si="61"/>
        <v>0</v>
      </c>
      <c r="D770" s="22" t="e">
        <f>VLOOKUP($A770, TAB_JUROS_U[[Q_DIAS_U_PARC_TIR]:[V_FUT_U_JURS CENARIO]], D$5, FALSE)</f>
        <v>#N/A</v>
      </c>
      <c r="E770" s="22" t="e">
        <f>VLOOKUP($A770,TAB_CORRECAO_U[[Q_DIAS_U_PARC_TIR]:[V_FUT_U_CORC-02]],E$5, FALSE)</f>
        <v>#N/A</v>
      </c>
      <c r="F770" s="22" t="e">
        <f>VLOOKUP($A770,TAB_AMORTIZACAO_U[[Q_DIAS_U_PARC_TIR]:[V_FUT_U_PCPL-02]], F$5, FALSE)</f>
        <v>#N/A</v>
      </c>
      <c r="H770" s="20">
        <f t="shared" si="62"/>
        <v>0</v>
      </c>
      <c r="I770" s="21">
        <f t="shared" si="63"/>
        <v>0</v>
      </c>
      <c r="J770" s="22" t="e">
        <f>VLOOKUP($A770, TAB_JUROS_C[[DIAS_CORRIDOS]:[V_FUT_UTEIS]], J$5, FALSE)</f>
        <v>#N/A</v>
      </c>
      <c r="K770" s="22" t="e">
        <f>VLOOKUP($A770, TAB_CORRECAO_C[[DIAS_CORRIDOS]:[V_FUT_UTEIS]],K$5, FALSE)</f>
        <v>#N/A</v>
      </c>
      <c r="L770" s="22" t="e">
        <f>VLOOKUP($A770, TAB_AMORTIZACAO_C[[DIAS_CORRIDOS]:[V_FUT_UTEIS]], L$5, FALSE)</f>
        <v>#N/A</v>
      </c>
    </row>
    <row r="771" spans="1:12" hidden="1">
      <c r="A771" s="19">
        <f t="shared" si="64"/>
        <v>765</v>
      </c>
      <c r="B771" s="20">
        <f t="shared" si="60"/>
        <v>0</v>
      </c>
      <c r="C771" s="21">
        <f t="shared" si="61"/>
        <v>0</v>
      </c>
      <c r="D771" s="22" t="e">
        <f>VLOOKUP($A771, TAB_JUROS_U[[Q_DIAS_U_PARC_TIR]:[V_FUT_U_JURS CENARIO]], D$5, FALSE)</f>
        <v>#N/A</v>
      </c>
      <c r="E771" s="22" t="e">
        <f>VLOOKUP($A771,TAB_CORRECAO_U[[Q_DIAS_U_PARC_TIR]:[V_FUT_U_CORC-02]],E$5, FALSE)</f>
        <v>#N/A</v>
      </c>
      <c r="F771" s="22" t="e">
        <f>VLOOKUP($A771,TAB_AMORTIZACAO_U[[Q_DIAS_U_PARC_TIR]:[V_FUT_U_PCPL-02]], F$5, FALSE)</f>
        <v>#N/A</v>
      </c>
      <c r="H771" s="20">
        <f t="shared" si="62"/>
        <v>0</v>
      </c>
      <c r="I771" s="21">
        <f t="shared" si="63"/>
        <v>0</v>
      </c>
      <c r="J771" s="22" t="e">
        <f>VLOOKUP($A771, TAB_JUROS_C[[DIAS_CORRIDOS]:[V_FUT_UTEIS]], J$5, FALSE)</f>
        <v>#N/A</v>
      </c>
      <c r="K771" s="22" t="e">
        <f>VLOOKUP($A771, TAB_CORRECAO_C[[DIAS_CORRIDOS]:[V_FUT_UTEIS]],K$5, FALSE)</f>
        <v>#N/A</v>
      </c>
      <c r="L771" s="22" t="e">
        <f>VLOOKUP($A771, TAB_AMORTIZACAO_C[[DIAS_CORRIDOS]:[V_FUT_UTEIS]], L$5, FALSE)</f>
        <v>#N/A</v>
      </c>
    </row>
    <row r="772" spans="1:12" hidden="1">
      <c r="A772" s="19">
        <f t="shared" si="64"/>
        <v>766</v>
      </c>
      <c r="B772" s="20">
        <f t="shared" si="60"/>
        <v>0</v>
      </c>
      <c r="C772" s="21">
        <f t="shared" si="61"/>
        <v>0</v>
      </c>
      <c r="D772" s="22" t="e">
        <f>VLOOKUP($A772, TAB_JUROS_U[[Q_DIAS_U_PARC_TIR]:[V_FUT_U_JURS CENARIO]], D$5, FALSE)</f>
        <v>#N/A</v>
      </c>
      <c r="E772" s="22" t="e">
        <f>VLOOKUP($A772,TAB_CORRECAO_U[[Q_DIAS_U_PARC_TIR]:[V_FUT_U_CORC-02]],E$5, FALSE)</f>
        <v>#N/A</v>
      </c>
      <c r="F772" s="22" t="e">
        <f>VLOOKUP($A772,TAB_AMORTIZACAO_U[[Q_DIAS_U_PARC_TIR]:[V_FUT_U_PCPL-02]], F$5, FALSE)</f>
        <v>#N/A</v>
      </c>
      <c r="H772" s="20">
        <f t="shared" si="62"/>
        <v>0</v>
      </c>
      <c r="I772" s="21">
        <f t="shared" si="63"/>
        <v>0</v>
      </c>
      <c r="J772" s="22" t="e">
        <f>VLOOKUP($A772, TAB_JUROS_C[[DIAS_CORRIDOS]:[V_FUT_UTEIS]], J$5, FALSE)</f>
        <v>#N/A</v>
      </c>
      <c r="K772" s="22" t="e">
        <f>VLOOKUP($A772, TAB_CORRECAO_C[[DIAS_CORRIDOS]:[V_FUT_UTEIS]],K$5, FALSE)</f>
        <v>#N/A</v>
      </c>
      <c r="L772" s="22" t="e">
        <f>VLOOKUP($A772, TAB_AMORTIZACAO_C[[DIAS_CORRIDOS]:[V_FUT_UTEIS]], L$5, FALSE)</f>
        <v>#N/A</v>
      </c>
    </row>
    <row r="773" spans="1:12" hidden="1">
      <c r="A773" s="19">
        <f t="shared" si="64"/>
        <v>767</v>
      </c>
      <c r="B773" s="20">
        <f t="shared" si="60"/>
        <v>0</v>
      </c>
      <c r="C773" s="21">
        <f t="shared" si="61"/>
        <v>0</v>
      </c>
      <c r="D773" s="22" t="e">
        <f>VLOOKUP($A773, TAB_JUROS_U[[Q_DIAS_U_PARC_TIR]:[V_FUT_U_JURS CENARIO]], D$5, FALSE)</f>
        <v>#N/A</v>
      </c>
      <c r="E773" s="22" t="e">
        <f>VLOOKUP($A773,TAB_CORRECAO_U[[Q_DIAS_U_PARC_TIR]:[V_FUT_U_CORC-02]],E$5, FALSE)</f>
        <v>#N/A</v>
      </c>
      <c r="F773" s="22" t="e">
        <f>VLOOKUP($A773,TAB_AMORTIZACAO_U[[Q_DIAS_U_PARC_TIR]:[V_FUT_U_PCPL-02]], F$5, FALSE)</f>
        <v>#N/A</v>
      </c>
      <c r="H773" s="20">
        <f t="shared" si="62"/>
        <v>0</v>
      </c>
      <c r="I773" s="21">
        <f t="shared" si="63"/>
        <v>0</v>
      </c>
      <c r="J773" s="22" t="e">
        <f>VLOOKUP($A773, TAB_JUROS_C[[DIAS_CORRIDOS]:[V_FUT_UTEIS]], J$5, FALSE)</f>
        <v>#N/A</v>
      </c>
      <c r="K773" s="22" t="e">
        <f>VLOOKUP($A773, TAB_CORRECAO_C[[DIAS_CORRIDOS]:[V_FUT_UTEIS]],K$5, FALSE)</f>
        <v>#N/A</v>
      </c>
      <c r="L773" s="22" t="e">
        <f>VLOOKUP($A773, TAB_AMORTIZACAO_C[[DIAS_CORRIDOS]:[V_FUT_UTEIS]], L$5, FALSE)</f>
        <v>#N/A</v>
      </c>
    </row>
    <row r="774" spans="1:12" hidden="1">
      <c r="A774" s="19">
        <f t="shared" si="64"/>
        <v>768</v>
      </c>
      <c r="B774" s="20">
        <f t="shared" si="60"/>
        <v>0</v>
      </c>
      <c r="C774" s="21">
        <f t="shared" si="61"/>
        <v>0</v>
      </c>
      <c r="D774" s="22" t="e">
        <f>VLOOKUP($A774, TAB_JUROS_U[[Q_DIAS_U_PARC_TIR]:[V_FUT_U_JURS CENARIO]], D$5, FALSE)</f>
        <v>#N/A</v>
      </c>
      <c r="E774" s="22" t="e">
        <f>VLOOKUP($A774,TAB_CORRECAO_U[[Q_DIAS_U_PARC_TIR]:[V_FUT_U_CORC-02]],E$5, FALSE)</f>
        <v>#N/A</v>
      </c>
      <c r="F774" s="22" t="e">
        <f>VLOOKUP($A774,TAB_AMORTIZACAO_U[[Q_DIAS_U_PARC_TIR]:[V_FUT_U_PCPL-02]], F$5, FALSE)</f>
        <v>#N/A</v>
      </c>
      <c r="H774" s="20">
        <f t="shared" si="62"/>
        <v>0</v>
      </c>
      <c r="I774" s="21">
        <f t="shared" si="63"/>
        <v>0</v>
      </c>
      <c r="J774" s="22" t="e">
        <f>VLOOKUP($A774, TAB_JUROS_C[[DIAS_CORRIDOS]:[V_FUT_UTEIS]], J$5, FALSE)</f>
        <v>#N/A</v>
      </c>
      <c r="K774" s="22" t="e">
        <f>VLOOKUP($A774, TAB_CORRECAO_C[[DIAS_CORRIDOS]:[V_FUT_UTEIS]],K$5, FALSE)</f>
        <v>#N/A</v>
      </c>
      <c r="L774" s="22" t="e">
        <f>VLOOKUP($A774, TAB_AMORTIZACAO_C[[DIAS_CORRIDOS]:[V_FUT_UTEIS]], L$5, FALSE)</f>
        <v>#N/A</v>
      </c>
    </row>
    <row r="775" spans="1:12" hidden="1">
      <c r="A775" s="19">
        <f t="shared" si="64"/>
        <v>769</v>
      </c>
      <c r="B775" s="20">
        <f t="shared" si="60"/>
        <v>0</v>
      </c>
      <c r="C775" s="21">
        <f t="shared" si="61"/>
        <v>0</v>
      </c>
      <c r="D775" s="22" t="e">
        <f>VLOOKUP($A775, TAB_JUROS_U[[Q_DIAS_U_PARC_TIR]:[V_FUT_U_JURS CENARIO]], D$5, FALSE)</f>
        <v>#N/A</v>
      </c>
      <c r="E775" s="22" t="e">
        <f>VLOOKUP($A775,TAB_CORRECAO_U[[Q_DIAS_U_PARC_TIR]:[V_FUT_U_CORC-02]],E$5, FALSE)</f>
        <v>#N/A</v>
      </c>
      <c r="F775" s="22" t="e">
        <f>VLOOKUP($A775,TAB_AMORTIZACAO_U[[Q_DIAS_U_PARC_TIR]:[V_FUT_U_PCPL-02]], F$5, FALSE)</f>
        <v>#N/A</v>
      </c>
      <c r="H775" s="20">
        <f t="shared" si="62"/>
        <v>0</v>
      </c>
      <c r="I775" s="21">
        <f t="shared" si="63"/>
        <v>0</v>
      </c>
      <c r="J775" s="22" t="e">
        <f>VLOOKUP($A775, TAB_JUROS_C[[DIAS_CORRIDOS]:[V_FUT_UTEIS]], J$5, FALSE)</f>
        <v>#N/A</v>
      </c>
      <c r="K775" s="22" t="e">
        <f>VLOOKUP($A775, TAB_CORRECAO_C[[DIAS_CORRIDOS]:[V_FUT_UTEIS]],K$5, FALSE)</f>
        <v>#N/A</v>
      </c>
      <c r="L775" s="22" t="e">
        <f>VLOOKUP($A775, TAB_AMORTIZACAO_C[[DIAS_CORRIDOS]:[V_FUT_UTEIS]], L$5, FALSE)</f>
        <v>#N/A</v>
      </c>
    </row>
    <row r="776" spans="1:12" hidden="1">
      <c r="A776" s="19">
        <f t="shared" si="64"/>
        <v>770</v>
      </c>
      <c r="B776" s="20">
        <f t="shared" si="60"/>
        <v>0</v>
      </c>
      <c r="C776" s="21">
        <f t="shared" si="61"/>
        <v>0</v>
      </c>
      <c r="D776" s="22" t="e">
        <f>VLOOKUP($A776, TAB_JUROS_U[[Q_DIAS_U_PARC_TIR]:[V_FUT_U_JURS CENARIO]], D$5, FALSE)</f>
        <v>#N/A</v>
      </c>
      <c r="E776" s="22" t="e">
        <f>VLOOKUP($A776,TAB_CORRECAO_U[[Q_DIAS_U_PARC_TIR]:[V_FUT_U_CORC-02]],E$5, FALSE)</f>
        <v>#N/A</v>
      </c>
      <c r="F776" s="22" t="e">
        <f>VLOOKUP($A776,TAB_AMORTIZACAO_U[[Q_DIAS_U_PARC_TIR]:[V_FUT_U_PCPL-02]], F$5, FALSE)</f>
        <v>#N/A</v>
      </c>
      <c r="H776" s="20">
        <f t="shared" si="62"/>
        <v>0</v>
      </c>
      <c r="I776" s="21">
        <f t="shared" si="63"/>
        <v>0</v>
      </c>
      <c r="J776" s="22" t="e">
        <f>VLOOKUP($A776, TAB_JUROS_C[[DIAS_CORRIDOS]:[V_FUT_UTEIS]], J$5, FALSE)</f>
        <v>#N/A</v>
      </c>
      <c r="K776" s="22" t="e">
        <f>VLOOKUP($A776, TAB_CORRECAO_C[[DIAS_CORRIDOS]:[V_FUT_UTEIS]],K$5, FALSE)</f>
        <v>#N/A</v>
      </c>
      <c r="L776" s="22" t="e">
        <f>VLOOKUP($A776, TAB_AMORTIZACAO_C[[DIAS_CORRIDOS]:[V_FUT_UTEIS]], L$5, FALSE)</f>
        <v>#N/A</v>
      </c>
    </row>
    <row r="777" spans="1:12" hidden="1">
      <c r="A777" s="19">
        <f t="shared" si="64"/>
        <v>771</v>
      </c>
      <c r="B777" s="20">
        <f t="shared" ref="B777:B840" si="65">IF(ISERROR(C777), 0, C777)</f>
        <v>0</v>
      </c>
      <c r="C777" s="21">
        <f t="shared" ref="C777:C840" si="66">SUMIF(D777:F777, "&gt;0", D777:F777)</f>
        <v>0</v>
      </c>
      <c r="D777" s="22" t="e">
        <f>VLOOKUP($A777, TAB_JUROS_U[[Q_DIAS_U_PARC_TIR]:[V_FUT_U_JURS CENARIO]], D$5, FALSE)</f>
        <v>#N/A</v>
      </c>
      <c r="E777" s="22" t="e">
        <f>VLOOKUP($A777,TAB_CORRECAO_U[[Q_DIAS_U_PARC_TIR]:[V_FUT_U_CORC-02]],E$5, FALSE)</f>
        <v>#N/A</v>
      </c>
      <c r="F777" s="22" t="e">
        <f>VLOOKUP($A777,TAB_AMORTIZACAO_U[[Q_DIAS_U_PARC_TIR]:[V_FUT_U_PCPL-02]], F$5, FALSE)</f>
        <v>#N/A</v>
      </c>
      <c r="H777" s="20">
        <f t="shared" ref="H777:H840" si="67">IF(ISERROR(I777), 0, I777)</f>
        <v>0</v>
      </c>
      <c r="I777" s="21">
        <f t="shared" ref="I777:I840" si="68">SUMIF(J777:L777, "&gt;0", J777:L777)</f>
        <v>0</v>
      </c>
      <c r="J777" s="22" t="e">
        <f>VLOOKUP($A777, TAB_JUROS_C[[DIAS_CORRIDOS]:[V_FUT_UTEIS]], J$5, FALSE)</f>
        <v>#N/A</v>
      </c>
      <c r="K777" s="22" t="e">
        <f>VLOOKUP($A777, TAB_CORRECAO_C[[DIAS_CORRIDOS]:[V_FUT_UTEIS]],K$5, FALSE)</f>
        <v>#N/A</v>
      </c>
      <c r="L777" s="22" t="e">
        <f>VLOOKUP($A777, TAB_AMORTIZACAO_C[[DIAS_CORRIDOS]:[V_FUT_UTEIS]], L$5, FALSE)</f>
        <v>#N/A</v>
      </c>
    </row>
    <row r="778" spans="1:12" hidden="1">
      <c r="A778" s="19">
        <f t="shared" ref="A778:A841" si="69">A777+1</f>
        <v>772</v>
      </c>
      <c r="B778" s="20">
        <f t="shared" si="65"/>
        <v>0</v>
      </c>
      <c r="C778" s="21">
        <f t="shared" si="66"/>
        <v>0</v>
      </c>
      <c r="D778" s="22" t="e">
        <f>VLOOKUP($A778, TAB_JUROS_U[[Q_DIAS_U_PARC_TIR]:[V_FUT_U_JURS CENARIO]], D$5, FALSE)</f>
        <v>#N/A</v>
      </c>
      <c r="E778" s="22" t="e">
        <f>VLOOKUP($A778,TAB_CORRECAO_U[[Q_DIAS_U_PARC_TIR]:[V_FUT_U_CORC-02]],E$5, FALSE)</f>
        <v>#N/A</v>
      </c>
      <c r="F778" s="22" t="e">
        <f>VLOOKUP($A778,TAB_AMORTIZACAO_U[[Q_DIAS_U_PARC_TIR]:[V_FUT_U_PCPL-02]], F$5, FALSE)</f>
        <v>#N/A</v>
      </c>
      <c r="H778" s="20">
        <f t="shared" si="67"/>
        <v>0</v>
      </c>
      <c r="I778" s="21">
        <f t="shared" si="68"/>
        <v>0</v>
      </c>
      <c r="J778" s="22" t="e">
        <f>VLOOKUP($A778, TAB_JUROS_C[[DIAS_CORRIDOS]:[V_FUT_UTEIS]], J$5, FALSE)</f>
        <v>#N/A</v>
      </c>
      <c r="K778" s="22" t="e">
        <f>VLOOKUP($A778, TAB_CORRECAO_C[[DIAS_CORRIDOS]:[V_FUT_UTEIS]],K$5, FALSE)</f>
        <v>#N/A</v>
      </c>
      <c r="L778" s="22" t="e">
        <f>VLOOKUP($A778, TAB_AMORTIZACAO_C[[DIAS_CORRIDOS]:[V_FUT_UTEIS]], L$5, FALSE)</f>
        <v>#N/A</v>
      </c>
    </row>
    <row r="779" spans="1:12" hidden="1">
      <c r="A779" s="19">
        <f t="shared" si="69"/>
        <v>773</v>
      </c>
      <c r="B779" s="20">
        <f t="shared" si="65"/>
        <v>0</v>
      </c>
      <c r="C779" s="21">
        <f t="shared" si="66"/>
        <v>0</v>
      </c>
      <c r="D779" s="22" t="e">
        <f>VLOOKUP($A779, TAB_JUROS_U[[Q_DIAS_U_PARC_TIR]:[V_FUT_U_JURS CENARIO]], D$5, FALSE)</f>
        <v>#N/A</v>
      </c>
      <c r="E779" s="22" t="e">
        <f>VLOOKUP($A779,TAB_CORRECAO_U[[Q_DIAS_U_PARC_TIR]:[V_FUT_U_CORC-02]],E$5, FALSE)</f>
        <v>#N/A</v>
      </c>
      <c r="F779" s="22" t="e">
        <f>VLOOKUP($A779,TAB_AMORTIZACAO_U[[Q_DIAS_U_PARC_TIR]:[V_FUT_U_PCPL-02]], F$5, FALSE)</f>
        <v>#N/A</v>
      </c>
      <c r="H779" s="20">
        <f t="shared" si="67"/>
        <v>0</v>
      </c>
      <c r="I779" s="21">
        <f t="shared" si="68"/>
        <v>0</v>
      </c>
      <c r="J779" s="22" t="e">
        <f>VLOOKUP($A779, TAB_JUROS_C[[DIAS_CORRIDOS]:[V_FUT_UTEIS]], J$5, FALSE)</f>
        <v>#N/A</v>
      </c>
      <c r="K779" s="22" t="e">
        <f>VLOOKUP($A779, TAB_CORRECAO_C[[DIAS_CORRIDOS]:[V_FUT_UTEIS]],K$5, FALSE)</f>
        <v>#N/A</v>
      </c>
      <c r="L779" s="22" t="e">
        <f>VLOOKUP($A779, TAB_AMORTIZACAO_C[[DIAS_CORRIDOS]:[V_FUT_UTEIS]], L$5, FALSE)</f>
        <v>#N/A</v>
      </c>
    </row>
    <row r="780" spans="1:12" hidden="1">
      <c r="A780" s="19">
        <f t="shared" si="69"/>
        <v>774</v>
      </c>
      <c r="B780" s="20">
        <f t="shared" si="65"/>
        <v>0</v>
      </c>
      <c r="C780" s="21">
        <f t="shared" si="66"/>
        <v>0</v>
      </c>
      <c r="D780" s="22" t="e">
        <f>VLOOKUP($A780, TAB_JUROS_U[[Q_DIAS_U_PARC_TIR]:[V_FUT_U_JURS CENARIO]], D$5, FALSE)</f>
        <v>#N/A</v>
      </c>
      <c r="E780" s="22" t="e">
        <f>VLOOKUP($A780,TAB_CORRECAO_U[[Q_DIAS_U_PARC_TIR]:[V_FUT_U_CORC-02]],E$5, FALSE)</f>
        <v>#N/A</v>
      </c>
      <c r="F780" s="22" t="e">
        <f>VLOOKUP($A780,TAB_AMORTIZACAO_U[[Q_DIAS_U_PARC_TIR]:[V_FUT_U_PCPL-02]], F$5, FALSE)</f>
        <v>#N/A</v>
      </c>
      <c r="H780" s="20">
        <f t="shared" si="67"/>
        <v>0</v>
      </c>
      <c r="I780" s="21">
        <f t="shared" si="68"/>
        <v>0</v>
      </c>
      <c r="J780" s="22" t="e">
        <f>VLOOKUP($A780, TAB_JUROS_C[[DIAS_CORRIDOS]:[V_FUT_UTEIS]], J$5, FALSE)</f>
        <v>#N/A</v>
      </c>
      <c r="K780" s="22" t="e">
        <f>VLOOKUP($A780, TAB_CORRECAO_C[[DIAS_CORRIDOS]:[V_FUT_UTEIS]],K$5, FALSE)</f>
        <v>#N/A</v>
      </c>
      <c r="L780" s="22" t="e">
        <f>VLOOKUP($A780, TAB_AMORTIZACAO_C[[DIAS_CORRIDOS]:[V_FUT_UTEIS]], L$5, FALSE)</f>
        <v>#N/A</v>
      </c>
    </row>
    <row r="781" spans="1:12" hidden="1">
      <c r="A781" s="19">
        <f t="shared" si="69"/>
        <v>775</v>
      </c>
      <c r="B781" s="20">
        <f t="shared" si="65"/>
        <v>0</v>
      </c>
      <c r="C781" s="21">
        <f t="shared" si="66"/>
        <v>0</v>
      </c>
      <c r="D781" s="22" t="e">
        <f>VLOOKUP($A781, TAB_JUROS_U[[Q_DIAS_U_PARC_TIR]:[V_FUT_U_JURS CENARIO]], D$5, FALSE)</f>
        <v>#N/A</v>
      </c>
      <c r="E781" s="22" t="e">
        <f>VLOOKUP($A781,TAB_CORRECAO_U[[Q_DIAS_U_PARC_TIR]:[V_FUT_U_CORC-02]],E$5, FALSE)</f>
        <v>#N/A</v>
      </c>
      <c r="F781" s="22" t="e">
        <f>VLOOKUP($A781,TAB_AMORTIZACAO_U[[Q_DIAS_U_PARC_TIR]:[V_FUT_U_PCPL-02]], F$5, FALSE)</f>
        <v>#N/A</v>
      </c>
      <c r="H781" s="20">
        <f t="shared" si="67"/>
        <v>0</v>
      </c>
      <c r="I781" s="21">
        <f t="shared" si="68"/>
        <v>0</v>
      </c>
      <c r="J781" s="22" t="e">
        <f>VLOOKUP($A781, TAB_JUROS_C[[DIAS_CORRIDOS]:[V_FUT_UTEIS]], J$5, FALSE)</f>
        <v>#N/A</v>
      </c>
      <c r="K781" s="22" t="e">
        <f>VLOOKUP($A781, TAB_CORRECAO_C[[DIAS_CORRIDOS]:[V_FUT_UTEIS]],K$5, FALSE)</f>
        <v>#N/A</v>
      </c>
      <c r="L781" s="22" t="e">
        <f>VLOOKUP($A781, TAB_AMORTIZACAO_C[[DIAS_CORRIDOS]:[V_FUT_UTEIS]], L$5, FALSE)</f>
        <v>#N/A</v>
      </c>
    </row>
    <row r="782" spans="1:12" hidden="1">
      <c r="A782" s="19">
        <f t="shared" si="69"/>
        <v>776</v>
      </c>
      <c r="B782" s="20">
        <f t="shared" si="65"/>
        <v>0</v>
      </c>
      <c r="C782" s="21">
        <f t="shared" si="66"/>
        <v>0</v>
      </c>
      <c r="D782" s="22" t="e">
        <f>VLOOKUP($A782, TAB_JUROS_U[[Q_DIAS_U_PARC_TIR]:[V_FUT_U_JURS CENARIO]], D$5, FALSE)</f>
        <v>#N/A</v>
      </c>
      <c r="E782" s="22" t="e">
        <f>VLOOKUP($A782,TAB_CORRECAO_U[[Q_DIAS_U_PARC_TIR]:[V_FUT_U_CORC-02]],E$5, FALSE)</f>
        <v>#N/A</v>
      </c>
      <c r="F782" s="22" t="e">
        <f>VLOOKUP($A782,TAB_AMORTIZACAO_U[[Q_DIAS_U_PARC_TIR]:[V_FUT_U_PCPL-02]], F$5, FALSE)</f>
        <v>#N/A</v>
      </c>
      <c r="H782" s="20">
        <f t="shared" si="67"/>
        <v>0</v>
      </c>
      <c r="I782" s="21">
        <f t="shared" si="68"/>
        <v>0</v>
      </c>
      <c r="J782" s="22" t="e">
        <f>VLOOKUP($A782, TAB_JUROS_C[[DIAS_CORRIDOS]:[V_FUT_UTEIS]], J$5, FALSE)</f>
        <v>#N/A</v>
      </c>
      <c r="K782" s="22" t="e">
        <f>VLOOKUP($A782, TAB_CORRECAO_C[[DIAS_CORRIDOS]:[V_FUT_UTEIS]],K$5, FALSE)</f>
        <v>#N/A</v>
      </c>
      <c r="L782" s="22" t="e">
        <f>VLOOKUP($A782, TAB_AMORTIZACAO_C[[DIAS_CORRIDOS]:[V_FUT_UTEIS]], L$5, FALSE)</f>
        <v>#N/A</v>
      </c>
    </row>
    <row r="783" spans="1:12" hidden="1">
      <c r="A783" s="19">
        <f t="shared" si="69"/>
        <v>777</v>
      </c>
      <c r="B783" s="20">
        <f t="shared" si="65"/>
        <v>0</v>
      </c>
      <c r="C783" s="21">
        <f t="shared" si="66"/>
        <v>0</v>
      </c>
      <c r="D783" s="22" t="e">
        <f>VLOOKUP($A783, TAB_JUROS_U[[Q_DIAS_U_PARC_TIR]:[V_FUT_U_JURS CENARIO]], D$5, FALSE)</f>
        <v>#N/A</v>
      </c>
      <c r="E783" s="22" t="e">
        <f>VLOOKUP($A783,TAB_CORRECAO_U[[Q_DIAS_U_PARC_TIR]:[V_FUT_U_CORC-02]],E$5, FALSE)</f>
        <v>#N/A</v>
      </c>
      <c r="F783" s="22" t="e">
        <f>VLOOKUP($A783,TAB_AMORTIZACAO_U[[Q_DIAS_U_PARC_TIR]:[V_FUT_U_PCPL-02]], F$5, FALSE)</f>
        <v>#N/A</v>
      </c>
      <c r="H783" s="20">
        <f t="shared" si="67"/>
        <v>0</v>
      </c>
      <c r="I783" s="21">
        <f t="shared" si="68"/>
        <v>0</v>
      </c>
      <c r="J783" s="22" t="e">
        <f>VLOOKUP($A783, TAB_JUROS_C[[DIAS_CORRIDOS]:[V_FUT_UTEIS]], J$5, FALSE)</f>
        <v>#N/A</v>
      </c>
      <c r="K783" s="22" t="e">
        <f>VLOOKUP($A783, TAB_CORRECAO_C[[DIAS_CORRIDOS]:[V_FUT_UTEIS]],K$5, FALSE)</f>
        <v>#N/A</v>
      </c>
      <c r="L783" s="22" t="e">
        <f>VLOOKUP($A783, TAB_AMORTIZACAO_C[[DIAS_CORRIDOS]:[V_FUT_UTEIS]], L$5, FALSE)</f>
        <v>#N/A</v>
      </c>
    </row>
    <row r="784" spans="1:12" hidden="1">
      <c r="A784" s="19">
        <f t="shared" si="69"/>
        <v>778</v>
      </c>
      <c r="B784" s="20">
        <f t="shared" si="65"/>
        <v>0</v>
      </c>
      <c r="C784" s="21">
        <f t="shared" si="66"/>
        <v>0</v>
      </c>
      <c r="D784" s="22" t="e">
        <f>VLOOKUP($A784, TAB_JUROS_U[[Q_DIAS_U_PARC_TIR]:[V_FUT_U_JURS CENARIO]], D$5, FALSE)</f>
        <v>#N/A</v>
      </c>
      <c r="E784" s="22" t="e">
        <f>VLOOKUP($A784,TAB_CORRECAO_U[[Q_DIAS_U_PARC_TIR]:[V_FUT_U_CORC-02]],E$5, FALSE)</f>
        <v>#N/A</v>
      </c>
      <c r="F784" s="22" t="e">
        <f>VLOOKUP($A784,TAB_AMORTIZACAO_U[[Q_DIAS_U_PARC_TIR]:[V_FUT_U_PCPL-02]], F$5, FALSE)</f>
        <v>#N/A</v>
      </c>
      <c r="H784" s="20">
        <f t="shared" si="67"/>
        <v>0</v>
      </c>
      <c r="I784" s="21">
        <f t="shared" si="68"/>
        <v>0</v>
      </c>
      <c r="J784" s="22" t="e">
        <f>VLOOKUP($A784, TAB_JUROS_C[[DIAS_CORRIDOS]:[V_FUT_UTEIS]], J$5, FALSE)</f>
        <v>#N/A</v>
      </c>
      <c r="K784" s="22" t="e">
        <f>VLOOKUP($A784, TAB_CORRECAO_C[[DIAS_CORRIDOS]:[V_FUT_UTEIS]],K$5, FALSE)</f>
        <v>#N/A</v>
      </c>
      <c r="L784" s="22" t="e">
        <f>VLOOKUP($A784, TAB_AMORTIZACAO_C[[DIAS_CORRIDOS]:[V_FUT_UTEIS]], L$5, FALSE)</f>
        <v>#N/A</v>
      </c>
    </row>
    <row r="785" spans="1:12" hidden="1">
      <c r="A785" s="19">
        <f t="shared" si="69"/>
        <v>779</v>
      </c>
      <c r="B785" s="20">
        <f t="shared" si="65"/>
        <v>0</v>
      </c>
      <c r="C785" s="21">
        <f t="shared" si="66"/>
        <v>0</v>
      </c>
      <c r="D785" s="22" t="e">
        <f>VLOOKUP($A785, TAB_JUROS_U[[Q_DIAS_U_PARC_TIR]:[V_FUT_U_JURS CENARIO]], D$5, FALSE)</f>
        <v>#N/A</v>
      </c>
      <c r="E785" s="22" t="e">
        <f>VLOOKUP($A785,TAB_CORRECAO_U[[Q_DIAS_U_PARC_TIR]:[V_FUT_U_CORC-02]],E$5, FALSE)</f>
        <v>#N/A</v>
      </c>
      <c r="F785" s="22" t="e">
        <f>VLOOKUP($A785,TAB_AMORTIZACAO_U[[Q_DIAS_U_PARC_TIR]:[V_FUT_U_PCPL-02]], F$5, FALSE)</f>
        <v>#N/A</v>
      </c>
      <c r="H785" s="20">
        <f t="shared" si="67"/>
        <v>1604.8488991575091</v>
      </c>
      <c r="I785" s="21">
        <f t="shared" si="68"/>
        <v>1604.8488991575091</v>
      </c>
      <c r="J785" s="22">
        <f>VLOOKUP($A785, TAB_JUROS_C[[DIAS_CORRIDOS]:[V_FUT_UTEIS]], J$5, FALSE)</f>
        <v>122.50034226945877</v>
      </c>
      <c r="K785" s="22">
        <f>VLOOKUP($A785, TAB_CORRECAO_C[[DIAS_CORRIDOS]:[V_FUT_UTEIS]],K$5, FALSE)</f>
        <v>851.19457204793139</v>
      </c>
      <c r="L785" s="22">
        <f>VLOOKUP($A785, TAB_AMORTIZACAO_C[[DIAS_CORRIDOS]:[V_FUT_UTEIS]], L$5, FALSE)</f>
        <v>631.15398484011882</v>
      </c>
    </row>
    <row r="786" spans="1:12" hidden="1">
      <c r="A786" s="19">
        <f t="shared" si="69"/>
        <v>780</v>
      </c>
      <c r="B786" s="20">
        <f t="shared" si="65"/>
        <v>0</v>
      </c>
      <c r="C786" s="21">
        <f t="shared" si="66"/>
        <v>0</v>
      </c>
      <c r="D786" s="22" t="e">
        <f>VLOOKUP($A786, TAB_JUROS_U[[Q_DIAS_U_PARC_TIR]:[V_FUT_U_JURS CENARIO]], D$5, FALSE)</f>
        <v>#N/A</v>
      </c>
      <c r="E786" s="22" t="e">
        <f>VLOOKUP($A786,TAB_CORRECAO_U[[Q_DIAS_U_PARC_TIR]:[V_FUT_U_CORC-02]],E$5, FALSE)</f>
        <v>#N/A</v>
      </c>
      <c r="F786" s="22" t="e">
        <f>VLOOKUP($A786,TAB_AMORTIZACAO_U[[Q_DIAS_U_PARC_TIR]:[V_FUT_U_PCPL-02]], F$5, FALSE)</f>
        <v>#N/A</v>
      </c>
      <c r="H786" s="20">
        <f t="shared" si="67"/>
        <v>0</v>
      </c>
      <c r="I786" s="21">
        <f t="shared" si="68"/>
        <v>0</v>
      </c>
      <c r="J786" s="22" t="e">
        <f>VLOOKUP($A786, TAB_JUROS_C[[DIAS_CORRIDOS]:[V_FUT_UTEIS]], J$5, FALSE)</f>
        <v>#N/A</v>
      </c>
      <c r="K786" s="22" t="e">
        <f>VLOOKUP($A786, TAB_CORRECAO_C[[DIAS_CORRIDOS]:[V_FUT_UTEIS]],K$5, FALSE)</f>
        <v>#N/A</v>
      </c>
      <c r="L786" s="22" t="e">
        <f>VLOOKUP($A786, TAB_AMORTIZACAO_C[[DIAS_CORRIDOS]:[V_FUT_UTEIS]], L$5, FALSE)</f>
        <v>#N/A</v>
      </c>
    </row>
    <row r="787" spans="1:12" hidden="1">
      <c r="A787" s="19">
        <f t="shared" si="69"/>
        <v>781</v>
      </c>
      <c r="B787" s="20">
        <f t="shared" si="65"/>
        <v>0</v>
      </c>
      <c r="C787" s="21">
        <f t="shared" si="66"/>
        <v>0</v>
      </c>
      <c r="D787" s="22" t="e">
        <f>VLOOKUP($A787, TAB_JUROS_U[[Q_DIAS_U_PARC_TIR]:[V_FUT_U_JURS CENARIO]], D$5, FALSE)</f>
        <v>#N/A</v>
      </c>
      <c r="E787" s="22" t="e">
        <f>VLOOKUP($A787,TAB_CORRECAO_U[[Q_DIAS_U_PARC_TIR]:[V_FUT_U_CORC-02]],E$5, FALSE)</f>
        <v>#N/A</v>
      </c>
      <c r="F787" s="22" t="e">
        <f>VLOOKUP($A787,TAB_AMORTIZACAO_U[[Q_DIAS_U_PARC_TIR]:[V_FUT_U_PCPL-02]], F$5, FALSE)</f>
        <v>#N/A</v>
      </c>
      <c r="H787" s="20">
        <f t="shared" si="67"/>
        <v>0</v>
      </c>
      <c r="I787" s="21">
        <f t="shared" si="68"/>
        <v>0</v>
      </c>
      <c r="J787" s="22" t="e">
        <f>VLOOKUP($A787, TAB_JUROS_C[[DIAS_CORRIDOS]:[V_FUT_UTEIS]], J$5, FALSE)</f>
        <v>#N/A</v>
      </c>
      <c r="K787" s="22" t="e">
        <f>VLOOKUP($A787, TAB_CORRECAO_C[[DIAS_CORRIDOS]:[V_FUT_UTEIS]],K$5, FALSE)</f>
        <v>#N/A</v>
      </c>
      <c r="L787" s="22" t="e">
        <f>VLOOKUP($A787, TAB_AMORTIZACAO_C[[DIAS_CORRIDOS]:[V_FUT_UTEIS]], L$5, FALSE)</f>
        <v>#N/A</v>
      </c>
    </row>
    <row r="788" spans="1:12" hidden="1">
      <c r="A788" s="19">
        <f t="shared" si="69"/>
        <v>782</v>
      </c>
      <c r="B788" s="20">
        <f t="shared" si="65"/>
        <v>0</v>
      </c>
      <c r="C788" s="21">
        <f t="shared" si="66"/>
        <v>0</v>
      </c>
      <c r="D788" s="22" t="e">
        <f>VLOOKUP($A788, TAB_JUROS_U[[Q_DIAS_U_PARC_TIR]:[V_FUT_U_JURS CENARIO]], D$5, FALSE)</f>
        <v>#N/A</v>
      </c>
      <c r="E788" s="22" t="e">
        <f>VLOOKUP($A788,TAB_CORRECAO_U[[Q_DIAS_U_PARC_TIR]:[V_FUT_U_CORC-02]],E$5, FALSE)</f>
        <v>#N/A</v>
      </c>
      <c r="F788" s="22" t="e">
        <f>VLOOKUP($A788,TAB_AMORTIZACAO_U[[Q_DIAS_U_PARC_TIR]:[V_FUT_U_PCPL-02]], F$5, FALSE)</f>
        <v>#N/A</v>
      </c>
      <c r="H788" s="20">
        <f t="shared" si="67"/>
        <v>0</v>
      </c>
      <c r="I788" s="21">
        <f t="shared" si="68"/>
        <v>0</v>
      </c>
      <c r="J788" s="22" t="e">
        <f>VLOOKUP($A788, TAB_JUROS_C[[DIAS_CORRIDOS]:[V_FUT_UTEIS]], J$5, FALSE)</f>
        <v>#N/A</v>
      </c>
      <c r="K788" s="22" t="e">
        <f>VLOOKUP($A788, TAB_CORRECAO_C[[DIAS_CORRIDOS]:[V_FUT_UTEIS]],K$5, FALSE)</f>
        <v>#N/A</v>
      </c>
      <c r="L788" s="22" t="e">
        <f>VLOOKUP($A788, TAB_AMORTIZACAO_C[[DIAS_CORRIDOS]:[V_FUT_UTEIS]], L$5, FALSE)</f>
        <v>#N/A</v>
      </c>
    </row>
    <row r="789" spans="1:12" hidden="1">
      <c r="A789" s="19">
        <f t="shared" si="69"/>
        <v>783</v>
      </c>
      <c r="B789" s="20">
        <f t="shared" si="65"/>
        <v>0</v>
      </c>
      <c r="C789" s="21">
        <f t="shared" si="66"/>
        <v>0</v>
      </c>
      <c r="D789" s="22" t="e">
        <f>VLOOKUP($A789, TAB_JUROS_U[[Q_DIAS_U_PARC_TIR]:[V_FUT_U_JURS CENARIO]], D$5, FALSE)</f>
        <v>#N/A</v>
      </c>
      <c r="E789" s="22" t="e">
        <f>VLOOKUP($A789,TAB_CORRECAO_U[[Q_DIAS_U_PARC_TIR]:[V_FUT_U_CORC-02]],E$5, FALSE)</f>
        <v>#N/A</v>
      </c>
      <c r="F789" s="22" t="e">
        <f>VLOOKUP($A789,TAB_AMORTIZACAO_U[[Q_DIAS_U_PARC_TIR]:[V_FUT_U_PCPL-02]], F$5, FALSE)</f>
        <v>#N/A</v>
      </c>
      <c r="H789" s="20">
        <f t="shared" si="67"/>
        <v>0</v>
      </c>
      <c r="I789" s="21">
        <f t="shared" si="68"/>
        <v>0</v>
      </c>
      <c r="J789" s="22" t="e">
        <f>VLOOKUP($A789, TAB_JUROS_C[[DIAS_CORRIDOS]:[V_FUT_UTEIS]], J$5, FALSE)</f>
        <v>#N/A</v>
      </c>
      <c r="K789" s="22" t="e">
        <f>VLOOKUP($A789, TAB_CORRECAO_C[[DIAS_CORRIDOS]:[V_FUT_UTEIS]],K$5, FALSE)</f>
        <v>#N/A</v>
      </c>
      <c r="L789" s="22" t="e">
        <f>VLOOKUP($A789, TAB_AMORTIZACAO_C[[DIAS_CORRIDOS]:[V_FUT_UTEIS]], L$5, FALSE)</f>
        <v>#N/A</v>
      </c>
    </row>
    <row r="790" spans="1:12" hidden="1">
      <c r="A790" s="19">
        <f t="shared" si="69"/>
        <v>784</v>
      </c>
      <c r="B790" s="20">
        <f t="shared" si="65"/>
        <v>0</v>
      </c>
      <c r="C790" s="21">
        <f t="shared" si="66"/>
        <v>0</v>
      </c>
      <c r="D790" s="22" t="e">
        <f>VLOOKUP($A790, TAB_JUROS_U[[Q_DIAS_U_PARC_TIR]:[V_FUT_U_JURS CENARIO]], D$5, FALSE)</f>
        <v>#N/A</v>
      </c>
      <c r="E790" s="22" t="e">
        <f>VLOOKUP($A790,TAB_CORRECAO_U[[Q_DIAS_U_PARC_TIR]:[V_FUT_U_CORC-02]],E$5, FALSE)</f>
        <v>#N/A</v>
      </c>
      <c r="F790" s="22" t="e">
        <f>VLOOKUP($A790,TAB_AMORTIZACAO_U[[Q_DIAS_U_PARC_TIR]:[V_FUT_U_PCPL-02]], F$5, FALSE)</f>
        <v>#N/A</v>
      </c>
      <c r="H790" s="20">
        <f t="shared" si="67"/>
        <v>0</v>
      </c>
      <c r="I790" s="21">
        <f t="shared" si="68"/>
        <v>0</v>
      </c>
      <c r="J790" s="22" t="e">
        <f>VLOOKUP($A790, TAB_JUROS_C[[DIAS_CORRIDOS]:[V_FUT_UTEIS]], J$5, FALSE)</f>
        <v>#N/A</v>
      </c>
      <c r="K790" s="22" t="e">
        <f>VLOOKUP($A790, TAB_CORRECAO_C[[DIAS_CORRIDOS]:[V_FUT_UTEIS]],K$5, FALSE)</f>
        <v>#N/A</v>
      </c>
      <c r="L790" s="22" t="e">
        <f>VLOOKUP($A790, TAB_AMORTIZACAO_C[[DIAS_CORRIDOS]:[V_FUT_UTEIS]], L$5, FALSE)</f>
        <v>#N/A</v>
      </c>
    </row>
    <row r="791" spans="1:12">
      <c r="A791" s="19">
        <f t="shared" si="69"/>
        <v>785</v>
      </c>
      <c r="B791" s="20">
        <f t="shared" si="65"/>
        <v>1159.1295395226784</v>
      </c>
      <c r="C791" s="21">
        <f t="shared" si="66"/>
        <v>1159.1295395226784</v>
      </c>
      <c r="D791" s="22">
        <f>VLOOKUP($A791, TAB_JUROS_U[[Q_DIAS_U_PARC_TIR]:[V_FUT_U_JURS CENARIO]], D$5, FALSE)</f>
        <v>91.259072089192969</v>
      </c>
      <c r="E791" s="22">
        <f>VLOOKUP($A791,TAB_CORRECAO_U[[Q_DIAS_U_PARC_TIR]:[V_FUT_U_CORC-02]],E$5, FALSE)</f>
        <v>560.79971866571657</v>
      </c>
      <c r="F791" s="22">
        <f>VLOOKUP($A791,TAB_AMORTIZACAO_U[[Q_DIAS_U_PARC_TIR]:[V_FUT_U_PCPL-02]], F$5, FALSE)</f>
        <v>507.07074876776898</v>
      </c>
      <c r="H791" s="20">
        <f t="shared" si="67"/>
        <v>0</v>
      </c>
      <c r="I791" s="21">
        <f t="shared" si="68"/>
        <v>0</v>
      </c>
      <c r="J791" s="22" t="e">
        <f>VLOOKUP($A791, TAB_JUROS_C[[DIAS_CORRIDOS]:[V_FUT_UTEIS]], J$5, FALSE)</f>
        <v>#N/A</v>
      </c>
      <c r="K791" s="22" t="e">
        <f>VLOOKUP($A791, TAB_CORRECAO_C[[DIAS_CORRIDOS]:[V_FUT_UTEIS]],K$5, FALSE)</f>
        <v>#N/A</v>
      </c>
      <c r="L791" s="22" t="e">
        <f>VLOOKUP($A791, TAB_AMORTIZACAO_C[[DIAS_CORRIDOS]:[V_FUT_UTEIS]], L$5, FALSE)</f>
        <v>#N/A</v>
      </c>
    </row>
    <row r="792" spans="1:12" hidden="1">
      <c r="A792" s="19">
        <f t="shared" si="69"/>
        <v>786</v>
      </c>
      <c r="B792" s="20">
        <f t="shared" si="65"/>
        <v>0</v>
      </c>
      <c r="C792" s="21">
        <f t="shared" si="66"/>
        <v>0</v>
      </c>
      <c r="D792" s="22" t="e">
        <f>VLOOKUP($A792, TAB_JUROS_U[[Q_DIAS_U_PARC_TIR]:[V_FUT_U_JURS CENARIO]], D$5, FALSE)</f>
        <v>#N/A</v>
      </c>
      <c r="E792" s="22" t="e">
        <f>VLOOKUP($A792,TAB_CORRECAO_U[[Q_DIAS_U_PARC_TIR]:[V_FUT_U_CORC-02]],E$5, FALSE)</f>
        <v>#N/A</v>
      </c>
      <c r="F792" s="22" t="e">
        <f>VLOOKUP($A792,TAB_AMORTIZACAO_U[[Q_DIAS_U_PARC_TIR]:[V_FUT_U_PCPL-02]], F$5, FALSE)</f>
        <v>#N/A</v>
      </c>
      <c r="H792" s="20">
        <f t="shared" si="67"/>
        <v>0</v>
      </c>
      <c r="I792" s="21">
        <f t="shared" si="68"/>
        <v>0</v>
      </c>
      <c r="J792" s="22" t="e">
        <f>VLOOKUP($A792, TAB_JUROS_C[[DIAS_CORRIDOS]:[V_FUT_UTEIS]], J$5, FALSE)</f>
        <v>#N/A</v>
      </c>
      <c r="K792" s="22" t="e">
        <f>VLOOKUP($A792, TAB_CORRECAO_C[[DIAS_CORRIDOS]:[V_FUT_UTEIS]],K$5, FALSE)</f>
        <v>#N/A</v>
      </c>
      <c r="L792" s="22" t="e">
        <f>VLOOKUP($A792, TAB_AMORTIZACAO_C[[DIAS_CORRIDOS]:[V_FUT_UTEIS]], L$5, FALSE)</f>
        <v>#N/A</v>
      </c>
    </row>
    <row r="793" spans="1:12" hidden="1">
      <c r="A793" s="19">
        <f t="shared" si="69"/>
        <v>787</v>
      </c>
      <c r="B793" s="20">
        <f t="shared" si="65"/>
        <v>0</v>
      </c>
      <c r="C793" s="21">
        <f t="shared" si="66"/>
        <v>0</v>
      </c>
      <c r="D793" s="22" t="e">
        <f>VLOOKUP($A793, TAB_JUROS_U[[Q_DIAS_U_PARC_TIR]:[V_FUT_U_JURS CENARIO]], D$5, FALSE)</f>
        <v>#N/A</v>
      </c>
      <c r="E793" s="22" t="e">
        <f>VLOOKUP($A793,TAB_CORRECAO_U[[Q_DIAS_U_PARC_TIR]:[V_FUT_U_CORC-02]],E$5, FALSE)</f>
        <v>#N/A</v>
      </c>
      <c r="F793" s="22" t="e">
        <f>VLOOKUP($A793,TAB_AMORTIZACAO_U[[Q_DIAS_U_PARC_TIR]:[V_FUT_U_PCPL-02]], F$5, FALSE)</f>
        <v>#N/A</v>
      </c>
      <c r="H793" s="20">
        <f t="shared" si="67"/>
        <v>0</v>
      </c>
      <c r="I793" s="21">
        <f t="shared" si="68"/>
        <v>0</v>
      </c>
      <c r="J793" s="22" t="e">
        <f>VLOOKUP($A793, TAB_JUROS_C[[DIAS_CORRIDOS]:[V_FUT_UTEIS]], J$5, FALSE)</f>
        <v>#N/A</v>
      </c>
      <c r="K793" s="22" t="e">
        <f>VLOOKUP($A793, TAB_CORRECAO_C[[DIAS_CORRIDOS]:[V_FUT_UTEIS]],K$5, FALSE)</f>
        <v>#N/A</v>
      </c>
      <c r="L793" s="22" t="e">
        <f>VLOOKUP($A793, TAB_AMORTIZACAO_C[[DIAS_CORRIDOS]:[V_FUT_UTEIS]], L$5, FALSE)</f>
        <v>#N/A</v>
      </c>
    </row>
    <row r="794" spans="1:12" hidden="1">
      <c r="A794" s="19">
        <f t="shared" si="69"/>
        <v>788</v>
      </c>
      <c r="B794" s="20">
        <f t="shared" si="65"/>
        <v>0</v>
      </c>
      <c r="C794" s="21">
        <f t="shared" si="66"/>
        <v>0</v>
      </c>
      <c r="D794" s="22" t="e">
        <f>VLOOKUP($A794, TAB_JUROS_U[[Q_DIAS_U_PARC_TIR]:[V_FUT_U_JURS CENARIO]], D$5, FALSE)</f>
        <v>#N/A</v>
      </c>
      <c r="E794" s="22" t="e">
        <f>VLOOKUP($A794,TAB_CORRECAO_U[[Q_DIAS_U_PARC_TIR]:[V_FUT_U_CORC-02]],E$5, FALSE)</f>
        <v>#N/A</v>
      </c>
      <c r="F794" s="22" t="e">
        <f>VLOOKUP($A794,TAB_AMORTIZACAO_U[[Q_DIAS_U_PARC_TIR]:[V_FUT_U_PCPL-02]], F$5, FALSE)</f>
        <v>#N/A</v>
      </c>
      <c r="H794" s="20">
        <f t="shared" si="67"/>
        <v>0</v>
      </c>
      <c r="I794" s="21">
        <f t="shared" si="68"/>
        <v>0</v>
      </c>
      <c r="J794" s="22" t="e">
        <f>VLOOKUP($A794, TAB_JUROS_C[[DIAS_CORRIDOS]:[V_FUT_UTEIS]], J$5, FALSE)</f>
        <v>#N/A</v>
      </c>
      <c r="K794" s="22" t="e">
        <f>VLOOKUP($A794, TAB_CORRECAO_C[[DIAS_CORRIDOS]:[V_FUT_UTEIS]],K$5, FALSE)</f>
        <v>#N/A</v>
      </c>
      <c r="L794" s="22" t="e">
        <f>VLOOKUP($A794, TAB_AMORTIZACAO_C[[DIAS_CORRIDOS]:[V_FUT_UTEIS]], L$5, FALSE)</f>
        <v>#N/A</v>
      </c>
    </row>
    <row r="795" spans="1:12" hidden="1">
      <c r="A795" s="19">
        <f t="shared" si="69"/>
        <v>789</v>
      </c>
      <c r="B795" s="20">
        <f t="shared" si="65"/>
        <v>0</v>
      </c>
      <c r="C795" s="21">
        <f t="shared" si="66"/>
        <v>0</v>
      </c>
      <c r="D795" s="22" t="e">
        <f>VLOOKUP($A795, TAB_JUROS_U[[Q_DIAS_U_PARC_TIR]:[V_FUT_U_JURS CENARIO]], D$5, FALSE)</f>
        <v>#N/A</v>
      </c>
      <c r="E795" s="22" t="e">
        <f>VLOOKUP($A795,TAB_CORRECAO_U[[Q_DIAS_U_PARC_TIR]:[V_FUT_U_CORC-02]],E$5, FALSE)</f>
        <v>#N/A</v>
      </c>
      <c r="F795" s="22" t="e">
        <f>VLOOKUP($A795,TAB_AMORTIZACAO_U[[Q_DIAS_U_PARC_TIR]:[V_FUT_U_PCPL-02]], F$5, FALSE)</f>
        <v>#N/A</v>
      </c>
      <c r="H795" s="20">
        <f t="shared" si="67"/>
        <v>0</v>
      </c>
      <c r="I795" s="21">
        <f t="shared" si="68"/>
        <v>0</v>
      </c>
      <c r="J795" s="22" t="e">
        <f>VLOOKUP($A795, TAB_JUROS_C[[DIAS_CORRIDOS]:[V_FUT_UTEIS]], J$5, FALSE)</f>
        <v>#N/A</v>
      </c>
      <c r="K795" s="22" t="e">
        <f>VLOOKUP($A795, TAB_CORRECAO_C[[DIAS_CORRIDOS]:[V_FUT_UTEIS]],K$5, FALSE)</f>
        <v>#N/A</v>
      </c>
      <c r="L795" s="22" t="e">
        <f>VLOOKUP($A795, TAB_AMORTIZACAO_C[[DIAS_CORRIDOS]:[V_FUT_UTEIS]], L$5, FALSE)</f>
        <v>#N/A</v>
      </c>
    </row>
    <row r="796" spans="1:12" hidden="1">
      <c r="A796" s="19">
        <f t="shared" si="69"/>
        <v>790</v>
      </c>
      <c r="B796" s="20">
        <f t="shared" si="65"/>
        <v>0</v>
      </c>
      <c r="C796" s="21">
        <f t="shared" si="66"/>
        <v>0</v>
      </c>
      <c r="D796" s="22" t="e">
        <f>VLOOKUP($A796, TAB_JUROS_U[[Q_DIAS_U_PARC_TIR]:[V_FUT_U_JURS CENARIO]], D$5, FALSE)</f>
        <v>#N/A</v>
      </c>
      <c r="E796" s="22" t="e">
        <f>VLOOKUP($A796,TAB_CORRECAO_U[[Q_DIAS_U_PARC_TIR]:[V_FUT_U_CORC-02]],E$5, FALSE)</f>
        <v>#N/A</v>
      </c>
      <c r="F796" s="22" t="e">
        <f>VLOOKUP($A796,TAB_AMORTIZACAO_U[[Q_DIAS_U_PARC_TIR]:[V_FUT_U_PCPL-02]], F$5, FALSE)</f>
        <v>#N/A</v>
      </c>
      <c r="H796" s="20">
        <f t="shared" si="67"/>
        <v>0</v>
      </c>
      <c r="I796" s="21">
        <f t="shared" si="68"/>
        <v>0</v>
      </c>
      <c r="J796" s="22" t="e">
        <f>VLOOKUP($A796, TAB_JUROS_C[[DIAS_CORRIDOS]:[V_FUT_UTEIS]], J$5, FALSE)</f>
        <v>#N/A</v>
      </c>
      <c r="K796" s="22" t="e">
        <f>VLOOKUP($A796, TAB_CORRECAO_C[[DIAS_CORRIDOS]:[V_FUT_UTEIS]],K$5, FALSE)</f>
        <v>#N/A</v>
      </c>
      <c r="L796" s="22" t="e">
        <f>VLOOKUP($A796, TAB_AMORTIZACAO_C[[DIAS_CORRIDOS]:[V_FUT_UTEIS]], L$5, FALSE)</f>
        <v>#N/A</v>
      </c>
    </row>
    <row r="797" spans="1:12" hidden="1">
      <c r="A797" s="19">
        <f t="shared" si="69"/>
        <v>791</v>
      </c>
      <c r="B797" s="20">
        <f t="shared" si="65"/>
        <v>0</v>
      </c>
      <c r="C797" s="21">
        <f t="shared" si="66"/>
        <v>0</v>
      </c>
      <c r="D797" s="22" t="e">
        <f>VLOOKUP($A797, TAB_JUROS_U[[Q_DIAS_U_PARC_TIR]:[V_FUT_U_JURS CENARIO]], D$5, FALSE)</f>
        <v>#N/A</v>
      </c>
      <c r="E797" s="22" t="e">
        <f>VLOOKUP($A797,TAB_CORRECAO_U[[Q_DIAS_U_PARC_TIR]:[V_FUT_U_CORC-02]],E$5, FALSE)</f>
        <v>#N/A</v>
      </c>
      <c r="F797" s="22" t="e">
        <f>VLOOKUP($A797,TAB_AMORTIZACAO_U[[Q_DIAS_U_PARC_TIR]:[V_FUT_U_PCPL-02]], F$5, FALSE)</f>
        <v>#N/A</v>
      </c>
      <c r="H797" s="20">
        <f t="shared" si="67"/>
        <v>0</v>
      </c>
      <c r="I797" s="21">
        <f t="shared" si="68"/>
        <v>0</v>
      </c>
      <c r="J797" s="22" t="e">
        <f>VLOOKUP($A797, TAB_JUROS_C[[DIAS_CORRIDOS]:[V_FUT_UTEIS]], J$5, FALSE)</f>
        <v>#N/A</v>
      </c>
      <c r="K797" s="22" t="e">
        <f>VLOOKUP($A797, TAB_CORRECAO_C[[DIAS_CORRIDOS]:[V_FUT_UTEIS]],K$5, FALSE)</f>
        <v>#N/A</v>
      </c>
      <c r="L797" s="22" t="e">
        <f>VLOOKUP($A797, TAB_AMORTIZACAO_C[[DIAS_CORRIDOS]:[V_FUT_UTEIS]], L$5, FALSE)</f>
        <v>#N/A</v>
      </c>
    </row>
    <row r="798" spans="1:12" hidden="1">
      <c r="A798" s="19">
        <f t="shared" si="69"/>
        <v>792</v>
      </c>
      <c r="B798" s="20">
        <f t="shared" si="65"/>
        <v>0</v>
      </c>
      <c r="C798" s="21">
        <f t="shared" si="66"/>
        <v>0</v>
      </c>
      <c r="D798" s="22" t="e">
        <f>VLOOKUP($A798, TAB_JUROS_U[[Q_DIAS_U_PARC_TIR]:[V_FUT_U_JURS CENARIO]], D$5, FALSE)</f>
        <v>#N/A</v>
      </c>
      <c r="E798" s="22" t="e">
        <f>VLOOKUP($A798,TAB_CORRECAO_U[[Q_DIAS_U_PARC_TIR]:[V_FUT_U_CORC-02]],E$5, FALSE)</f>
        <v>#N/A</v>
      </c>
      <c r="F798" s="22" t="e">
        <f>VLOOKUP($A798,TAB_AMORTIZACAO_U[[Q_DIAS_U_PARC_TIR]:[V_FUT_U_PCPL-02]], F$5, FALSE)</f>
        <v>#N/A</v>
      </c>
      <c r="H798" s="20">
        <f t="shared" si="67"/>
        <v>0</v>
      </c>
      <c r="I798" s="21">
        <f t="shared" si="68"/>
        <v>0</v>
      </c>
      <c r="J798" s="22" t="e">
        <f>VLOOKUP($A798, TAB_JUROS_C[[DIAS_CORRIDOS]:[V_FUT_UTEIS]], J$5, FALSE)</f>
        <v>#N/A</v>
      </c>
      <c r="K798" s="22" t="e">
        <f>VLOOKUP($A798, TAB_CORRECAO_C[[DIAS_CORRIDOS]:[V_FUT_UTEIS]],K$5, FALSE)</f>
        <v>#N/A</v>
      </c>
      <c r="L798" s="22" t="e">
        <f>VLOOKUP($A798, TAB_AMORTIZACAO_C[[DIAS_CORRIDOS]:[V_FUT_UTEIS]], L$5, FALSE)</f>
        <v>#N/A</v>
      </c>
    </row>
    <row r="799" spans="1:12" hidden="1">
      <c r="A799" s="19">
        <f t="shared" si="69"/>
        <v>793</v>
      </c>
      <c r="B799" s="20">
        <f t="shared" si="65"/>
        <v>0</v>
      </c>
      <c r="C799" s="21">
        <f t="shared" si="66"/>
        <v>0</v>
      </c>
      <c r="D799" s="22" t="e">
        <f>VLOOKUP($A799, TAB_JUROS_U[[Q_DIAS_U_PARC_TIR]:[V_FUT_U_JURS CENARIO]], D$5, FALSE)</f>
        <v>#N/A</v>
      </c>
      <c r="E799" s="22" t="e">
        <f>VLOOKUP($A799,TAB_CORRECAO_U[[Q_DIAS_U_PARC_TIR]:[V_FUT_U_CORC-02]],E$5, FALSE)</f>
        <v>#N/A</v>
      </c>
      <c r="F799" s="22" t="e">
        <f>VLOOKUP($A799,TAB_AMORTIZACAO_U[[Q_DIAS_U_PARC_TIR]:[V_FUT_U_PCPL-02]], F$5, FALSE)</f>
        <v>#N/A</v>
      </c>
      <c r="H799" s="20">
        <f t="shared" si="67"/>
        <v>0</v>
      </c>
      <c r="I799" s="21">
        <f t="shared" si="68"/>
        <v>0</v>
      </c>
      <c r="J799" s="22" t="e">
        <f>VLOOKUP($A799, TAB_JUROS_C[[DIAS_CORRIDOS]:[V_FUT_UTEIS]], J$5, FALSE)</f>
        <v>#N/A</v>
      </c>
      <c r="K799" s="22" t="e">
        <f>VLOOKUP($A799, TAB_CORRECAO_C[[DIAS_CORRIDOS]:[V_FUT_UTEIS]],K$5, FALSE)</f>
        <v>#N/A</v>
      </c>
      <c r="L799" s="22" t="e">
        <f>VLOOKUP($A799, TAB_AMORTIZACAO_C[[DIAS_CORRIDOS]:[V_FUT_UTEIS]], L$5, FALSE)</f>
        <v>#N/A</v>
      </c>
    </row>
    <row r="800" spans="1:12" hidden="1">
      <c r="A800" s="19">
        <f t="shared" si="69"/>
        <v>794</v>
      </c>
      <c r="B800" s="20">
        <f t="shared" si="65"/>
        <v>0</v>
      </c>
      <c r="C800" s="21">
        <f t="shared" si="66"/>
        <v>0</v>
      </c>
      <c r="D800" s="22" t="e">
        <f>VLOOKUP($A800, TAB_JUROS_U[[Q_DIAS_U_PARC_TIR]:[V_FUT_U_JURS CENARIO]], D$5, FALSE)</f>
        <v>#N/A</v>
      </c>
      <c r="E800" s="22" t="e">
        <f>VLOOKUP($A800,TAB_CORRECAO_U[[Q_DIAS_U_PARC_TIR]:[V_FUT_U_CORC-02]],E$5, FALSE)</f>
        <v>#N/A</v>
      </c>
      <c r="F800" s="22" t="e">
        <f>VLOOKUP($A800,TAB_AMORTIZACAO_U[[Q_DIAS_U_PARC_TIR]:[V_FUT_U_PCPL-02]], F$5, FALSE)</f>
        <v>#N/A</v>
      </c>
      <c r="H800" s="20">
        <f t="shared" si="67"/>
        <v>0</v>
      </c>
      <c r="I800" s="21">
        <f t="shared" si="68"/>
        <v>0</v>
      </c>
      <c r="J800" s="22" t="e">
        <f>VLOOKUP($A800, TAB_JUROS_C[[DIAS_CORRIDOS]:[V_FUT_UTEIS]], J$5, FALSE)</f>
        <v>#N/A</v>
      </c>
      <c r="K800" s="22" t="e">
        <f>VLOOKUP($A800, TAB_CORRECAO_C[[DIAS_CORRIDOS]:[V_FUT_UTEIS]],K$5, FALSE)</f>
        <v>#N/A</v>
      </c>
      <c r="L800" s="22" t="e">
        <f>VLOOKUP($A800, TAB_AMORTIZACAO_C[[DIAS_CORRIDOS]:[V_FUT_UTEIS]], L$5, FALSE)</f>
        <v>#N/A</v>
      </c>
    </row>
    <row r="801" spans="1:12" hidden="1">
      <c r="A801" s="19">
        <f t="shared" si="69"/>
        <v>795</v>
      </c>
      <c r="B801" s="20">
        <f t="shared" si="65"/>
        <v>0</v>
      </c>
      <c r="C801" s="21">
        <f t="shared" si="66"/>
        <v>0</v>
      </c>
      <c r="D801" s="22" t="e">
        <f>VLOOKUP($A801, TAB_JUROS_U[[Q_DIAS_U_PARC_TIR]:[V_FUT_U_JURS CENARIO]], D$5, FALSE)</f>
        <v>#N/A</v>
      </c>
      <c r="E801" s="22" t="e">
        <f>VLOOKUP($A801,TAB_CORRECAO_U[[Q_DIAS_U_PARC_TIR]:[V_FUT_U_CORC-02]],E$5, FALSE)</f>
        <v>#N/A</v>
      </c>
      <c r="F801" s="22" t="e">
        <f>VLOOKUP($A801,TAB_AMORTIZACAO_U[[Q_DIAS_U_PARC_TIR]:[V_FUT_U_PCPL-02]], F$5, FALSE)</f>
        <v>#N/A</v>
      </c>
      <c r="H801" s="20">
        <f t="shared" si="67"/>
        <v>0</v>
      </c>
      <c r="I801" s="21">
        <f t="shared" si="68"/>
        <v>0</v>
      </c>
      <c r="J801" s="22" t="e">
        <f>VLOOKUP($A801, TAB_JUROS_C[[DIAS_CORRIDOS]:[V_FUT_UTEIS]], J$5, FALSE)</f>
        <v>#N/A</v>
      </c>
      <c r="K801" s="22" t="e">
        <f>VLOOKUP($A801, TAB_CORRECAO_C[[DIAS_CORRIDOS]:[V_FUT_UTEIS]],K$5, FALSE)</f>
        <v>#N/A</v>
      </c>
      <c r="L801" s="22" t="e">
        <f>VLOOKUP($A801, TAB_AMORTIZACAO_C[[DIAS_CORRIDOS]:[V_FUT_UTEIS]], L$5, FALSE)</f>
        <v>#N/A</v>
      </c>
    </row>
    <row r="802" spans="1:12" hidden="1">
      <c r="A802" s="19">
        <f t="shared" si="69"/>
        <v>796</v>
      </c>
      <c r="B802" s="20">
        <f t="shared" si="65"/>
        <v>0</v>
      </c>
      <c r="C802" s="21">
        <f t="shared" si="66"/>
        <v>0</v>
      </c>
      <c r="D802" s="22" t="e">
        <f>VLOOKUP($A802, TAB_JUROS_U[[Q_DIAS_U_PARC_TIR]:[V_FUT_U_JURS CENARIO]], D$5, FALSE)</f>
        <v>#N/A</v>
      </c>
      <c r="E802" s="22" t="e">
        <f>VLOOKUP($A802,TAB_CORRECAO_U[[Q_DIAS_U_PARC_TIR]:[V_FUT_U_CORC-02]],E$5, FALSE)</f>
        <v>#N/A</v>
      </c>
      <c r="F802" s="22" t="e">
        <f>VLOOKUP($A802,TAB_AMORTIZACAO_U[[Q_DIAS_U_PARC_TIR]:[V_FUT_U_PCPL-02]], F$5, FALSE)</f>
        <v>#N/A</v>
      </c>
      <c r="H802" s="20">
        <f t="shared" si="67"/>
        <v>0</v>
      </c>
      <c r="I802" s="21">
        <f t="shared" si="68"/>
        <v>0</v>
      </c>
      <c r="J802" s="22" t="e">
        <f>VLOOKUP($A802, TAB_JUROS_C[[DIAS_CORRIDOS]:[V_FUT_UTEIS]], J$5, FALSE)</f>
        <v>#N/A</v>
      </c>
      <c r="K802" s="22" t="e">
        <f>VLOOKUP($A802, TAB_CORRECAO_C[[DIAS_CORRIDOS]:[V_FUT_UTEIS]],K$5, FALSE)</f>
        <v>#N/A</v>
      </c>
      <c r="L802" s="22" t="e">
        <f>VLOOKUP($A802, TAB_AMORTIZACAO_C[[DIAS_CORRIDOS]:[V_FUT_UTEIS]], L$5, FALSE)</f>
        <v>#N/A</v>
      </c>
    </row>
    <row r="803" spans="1:12" hidden="1">
      <c r="A803" s="19">
        <f t="shared" si="69"/>
        <v>797</v>
      </c>
      <c r="B803" s="20">
        <f t="shared" si="65"/>
        <v>0</v>
      </c>
      <c r="C803" s="21">
        <f t="shared" si="66"/>
        <v>0</v>
      </c>
      <c r="D803" s="22" t="e">
        <f>VLOOKUP($A803, TAB_JUROS_U[[Q_DIAS_U_PARC_TIR]:[V_FUT_U_JURS CENARIO]], D$5, FALSE)</f>
        <v>#N/A</v>
      </c>
      <c r="E803" s="22" t="e">
        <f>VLOOKUP($A803,TAB_CORRECAO_U[[Q_DIAS_U_PARC_TIR]:[V_FUT_U_CORC-02]],E$5, FALSE)</f>
        <v>#N/A</v>
      </c>
      <c r="F803" s="22" t="e">
        <f>VLOOKUP($A803,TAB_AMORTIZACAO_U[[Q_DIAS_U_PARC_TIR]:[V_FUT_U_PCPL-02]], F$5, FALSE)</f>
        <v>#N/A</v>
      </c>
      <c r="H803" s="20">
        <f t="shared" si="67"/>
        <v>0</v>
      </c>
      <c r="I803" s="21">
        <f t="shared" si="68"/>
        <v>0</v>
      </c>
      <c r="J803" s="22" t="e">
        <f>VLOOKUP($A803, TAB_JUROS_C[[DIAS_CORRIDOS]:[V_FUT_UTEIS]], J$5, FALSE)</f>
        <v>#N/A</v>
      </c>
      <c r="K803" s="22" t="e">
        <f>VLOOKUP($A803, TAB_CORRECAO_C[[DIAS_CORRIDOS]:[V_FUT_UTEIS]],K$5, FALSE)</f>
        <v>#N/A</v>
      </c>
      <c r="L803" s="22" t="e">
        <f>VLOOKUP($A803, TAB_AMORTIZACAO_C[[DIAS_CORRIDOS]:[V_FUT_UTEIS]], L$5, FALSE)</f>
        <v>#N/A</v>
      </c>
    </row>
    <row r="804" spans="1:12" hidden="1">
      <c r="A804" s="19">
        <f t="shared" si="69"/>
        <v>798</v>
      </c>
      <c r="B804" s="20">
        <f t="shared" si="65"/>
        <v>0</v>
      </c>
      <c r="C804" s="21">
        <f t="shared" si="66"/>
        <v>0</v>
      </c>
      <c r="D804" s="22" t="e">
        <f>VLOOKUP($A804, TAB_JUROS_U[[Q_DIAS_U_PARC_TIR]:[V_FUT_U_JURS CENARIO]], D$5, FALSE)</f>
        <v>#N/A</v>
      </c>
      <c r="E804" s="22" t="e">
        <f>VLOOKUP($A804,TAB_CORRECAO_U[[Q_DIAS_U_PARC_TIR]:[V_FUT_U_CORC-02]],E$5, FALSE)</f>
        <v>#N/A</v>
      </c>
      <c r="F804" s="22" t="e">
        <f>VLOOKUP($A804,TAB_AMORTIZACAO_U[[Q_DIAS_U_PARC_TIR]:[V_FUT_U_PCPL-02]], F$5, FALSE)</f>
        <v>#N/A</v>
      </c>
      <c r="H804" s="20">
        <f t="shared" si="67"/>
        <v>0</v>
      </c>
      <c r="I804" s="21">
        <f t="shared" si="68"/>
        <v>0</v>
      </c>
      <c r="J804" s="22" t="e">
        <f>VLOOKUP($A804, TAB_JUROS_C[[DIAS_CORRIDOS]:[V_FUT_UTEIS]], J$5, FALSE)</f>
        <v>#N/A</v>
      </c>
      <c r="K804" s="22" t="e">
        <f>VLOOKUP($A804, TAB_CORRECAO_C[[DIAS_CORRIDOS]:[V_FUT_UTEIS]],K$5, FALSE)</f>
        <v>#N/A</v>
      </c>
      <c r="L804" s="22" t="e">
        <f>VLOOKUP($A804, TAB_AMORTIZACAO_C[[DIAS_CORRIDOS]:[V_FUT_UTEIS]], L$5, FALSE)</f>
        <v>#N/A</v>
      </c>
    </row>
    <row r="805" spans="1:12" hidden="1">
      <c r="A805" s="19">
        <f t="shared" si="69"/>
        <v>799</v>
      </c>
      <c r="B805" s="20">
        <f t="shared" si="65"/>
        <v>0</v>
      </c>
      <c r="C805" s="21">
        <f t="shared" si="66"/>
        <v>0</v>
      </c>
      <c r="D805" s="22" t="e">
        <f>VLOOKUP($A805, TAB_JUROS_U[[Q_DIAS_U_PARC_TIR]:[V_FUT_U_JURS CENARIO]], D$5, FALSE)</f>
        <v>#N/A</v>
      </c>
      <c r="E805" s="22" t="e">
        <f>VLOOKUP($A805,TAB_CORRECAO_U[[Q_DIAS_U_PARC_TIR]:[V_FUT_U_CORC-02]],E$5, FALSE)</f>
        <v>#N/A</v>
      </c>
      <c r="F805" s="22" t="e">
        <f>VLOOKUP($A805,TAB_AMORTIZACAO_U[[Q_DIAS_U_PARC_TIR]:[V_FUT_U_PCPL-02]], F$5, FALSE)</f>
        <v>#N/A</v>
      </c>
      <c r="H805" s="20">
        <f t="shared" si="67"/>
        <v>0</v>
      </c>
      <c r="I805" s="21">
        <f t="shared" si="68"/>
        <v>0</v>
      </c>
      <c r="J805" s="22" t="e">
        <f>VLOOKUP($A805, TAB_JUROS_C[[DIAS_CORRIDOS]:[V_FUT_UTEIS]], J$5, FALSE)</f>
        <v>#N/A</v>
      </c>
      <c r="K805" s="22" t="e">
        <f>VLOOKUP($A805, TAB_CORRECAO_C[[DIAS_CORRIDOS]:[V_FUT_UTEIS]],K$5, FALSE)</f>
        <v>#N/A</v>
      </c>
      <c r="L805" s="22" t="e">
        <f>VLOOKUP($A805, TAB_AMORTIZACAO_C[[DIAS_CORRIDOS]:[V_FUT_UTEIS]], L$5, FALSE)</f>
        <v>#N/A</v>
      </c>
    </row>
    <row r="806" spans="1:12" hidden="1">
      <c r="A806" s="19">
        <f t="shared" si="69"/>
        <v>800</v>
      </c>
      <c r="B806" s="20">
        <f t="shared" si="65"/>
        <v>0</v>
      </c>
      <c r="C806" s="21">
        <f t="shared" si="66"/>
        <v>0</v>
      </c>
      <c r="D806" s="22" t="e">
        <f>VLOOKUP($A806, TAB_JUROS_U[[Q_DIAS_U_PARC_TIR]:[V_FUT_U_JURS CENARIO]], D$5, FALSE)</f>
        <v>#N/A</v>
      </c>
      <c r="E806" s="22" t="e">
        <f>VLOOKUP($A806,TAB_CORRECAO_U[[Q_DIAS_U_PARC_TIR]:[V_FUT_U_CORC-02]],E$5, FALSE)</f>
        <v>#N/A</v>
      </c>
      <c r="F806" s="22" t="e">
        <f>VLOOKUP($A806,TAB_AMORTIZACAO_U[[Q_DIAS_U_PARC_TIR]:[V_FUT_U_PCPL-02]], F$5, FALSE)</f>
        <v>#N/A</v>
      </c>
      <c r="H806" s="20">
        <f t="shared" si="67"/>
        <v>0</v>
      </c>
      <c r="I806" s="21">
        <f t="shared" si="68"/>
        <v>0</v>
      </c>
      <c r="J806" s="22" t="e">
        <f>VLOOKUP($A806, TAB_JUROS_C[[DIAS_CORRIDOS]:[V_FUT_UTEIS]], J$5, FALSE)</f>
        <v>#N/A</v>
      </c>
      <c r="K806" s="22" t="e">
        <f>VLOOKUP($A806, TAB_CORRECAO_C[[DIAS_CORRIDOS]:[V_FUT_UTEIS]],K$5, FALSE)</f>
        <v>#N/A</v>
      </c>
      <c r="L806" s="22" t="e">
        <f>VLOOKUP($A806, TAB_AMORTIZACAO_C[[DIAS_CORRIDOS]:[V_FUT_UTEIS]], L$5, FALSE)</f>
        <v>#N/A</v>
      </c>
    </row>
    <row r="807" spans="1:12" hidden="1">
      <c r="A807" s="19">
        <f t="shared" si="69"/>
        <v>801</v>
      </c>
      <c r="B807" s="20">
        <f t="shared" si="65"/>
        <v>0</v>
      </c>
      <c r="C807" s="21">
        <f t="shared" si="66"/>
        <v>0</v>
      </c>
      <c r="D807" s="22" t="e">
        <f>VLOOKUP($A807, TAB_JUROS_U[[Q_DIAS_U_PARC_TIR]:[V_FUT_U_JURS CENARIO]], D$5, FALSE)</f>
        <v>#N/A</v>
      </c>
      <c r="E807" s="22" t="e">
        <f>VLOOKUP($A807,TAB_CORRECAO_U[[Q_DIAS_U_PARC_TIR]:[V_FUT_U_CORC-02]],E$5, FALSE)</f>
        <v>#N/A</v>
      </c>
      <c r="F807" s="22" t="e">
        <f>VLOOKUP($A807,TAB_AMORTIZACAO_U[[Q_DIAS_U_PARC_TIR]:[V_FUT_U_PCPL-02]], F$5, FALSE)</f>
        <v>#N/A</v>
      </c>
      <c r="H807" s="20">
        <f t="shared" si="67"/>
        <v>1289.5757670896837</v>
      </c>
      <c r="I807" s="21">
        <f t="shared" si="68"/>
        <v>1289.5757670896837</v>
      </c>
      <c r="J807" s="22">
        <f>VLOOKUP($A807, TAB_JUROS_C[[DIAS_CORRIDOS]:[V_FUT_UTEIS]], J$5, FALSE)</f>
        <v>97.461314563451253</v>
      </c>
      <c r="K807" s="22">
        <f>VLOOKUP($A807, TAB_CORRECAO_C[[DIAS_CORRIDOS]:[V_FUT_UTEIS]],K$5, FALSE)</f>
        <v>553.2981253955154</v>
      </c>
      <c r="L807" s="22">
        <f>VLOOKUP($A807, TAB_AMORTIZACAO_C[[DIAS_CORRIDOS]:[V_FUT_UTEIS]], L$5, FALSE)</f>
        <v>638.81632713071701</v>
      </c>
    </row>
    <row r="808" spans="1:12" hidden="1">
      <c r="A808" s="19">
        <f t="shared" si="69"/>
        <v>802</v>
      </c>
      <c r="B808" s="20">
        <f t="shared" si="65"/>
        <v>0</v>
      </c>
      <c r="C808" s="21">
        <f t="shared" si="66"/>
        <v>0</v>
      </c>
      <c r="D808" s="22" t="e">
        <f>VLOOKUP($A808, TAB_JUROS_U[[Q_DIAS_U_PARC_TIR]:[V_FUT_U_JURS CENARIO]], D$5, FALSE)</f>
        <v>#N/A</v>
      </c>
      <c r="E808" s="22" t="e">
        <f>VLOOKUP($A808,TAB_CORRECAO_U[[Q_DIAS_U_PARC_TIR]:[V_FUT_U_CORC-02]],E$5, FALSE)</f>
        <v>#N/A</v>
      </c>
      <c r="F808" s="22" t="e">
        <f>VLOOKUP($A808,TAB_AMORTIZACAO_U[[Q_DIAS_U_PARC_TIR]:[V_FUT_U_PCPL-02]], F$5, FALSE)</f>
        <v>#N/A</v>
      </c>
      <c r="H808" s="20">
        <f t="shared" si="67"/>
        <v>0</v>
      </c>
      <c r="I808" s="21">
        <f t="shared" si="68"/>
        <v>0</v>
      </c>
      <c r="J808" s="22" t="e">
        <f>VLOOKUP($A808, TAB_JUROS_C[[DIAS_CORRIDOS]:[V_FUT_UTEIS]], J$5, FALSE)</f>
        <v>#N/A</v>
      </c>
      <c r="K808" s="22" t="e">
        <f>VLOOKUP($A808, TAB_CORRECAO_C[[DIAS_CORRIDOS]:[V_FUT_UTEIS]],K$5, FALSE)</f>
        <v>#N/A</v>
      </c>
      <c r="L808" s="22" t="e">
        <f>VLOOKUP($A808, TAB_AMORTIZACAO_C[[DIAS_CORRIDOS]:[V_FUT_UTEIS]], L$5, FALSE)</f>
        <v>#N/A</v>
      </c>
    </row>
    <row r="809" spans="1:12" hidden="1">
      <c r="A809" s="19">
        <f t="shared" si="69"/>
        <v>803</v>
      </c>
      <c r="B809" s="20">
        <f t="shared" si="65"/>
        <v>0</v>
      </c>
      <c r="C809" s="21">
        <f t="shared" si="66"/>
        <v>0</v>
      </c>
      <c r="D809" s="22" t="e">
        <f>VLOOKUP($A809, TAB_JUROS_U[[Q_DIAS_U_PARC_TIR]:[V_FUT_U_JURS CENARIO]], D$5, FALSE)</f>
        <v>#N/A</v>
      </c>
      <c r="E809" s="22" t="e">
        <f>VLOOKUP($A809,TAB_CORRECAO_U[[Q_DIAS_U_PARC_TIR]:[V_FUT_U_CORC-02]],E$5, FALSE)</f>
        <v>#N/A</v>
      </c>
      <c r="F809" s="22" t="e">
        <f>VLOOKUP($A809,TAB_AMORTIZACAO_U[[Q_DIAS_U_PARC_TIR]:[V_FUT_U_PCPL-02]], F$5, FALSE)</f>
        <v>#N/A</v>
      </c>
      <c r="H809" s="20">
        <f t="shared" si="67"/>
        <v>0</v>
      </c>
      <c r="I809" s="21">
        <f t="shared" si="68"/>
        <v>0</v>
      </c>
      <c r="J809" s="22" t="e">
        <f>VLOOKUP($A809, TAB_JUROS_C[[DIAS_CORRIDOS]:[V_FUT_UTEIS]], J$5, FALSE)</f>
        <v>#N/A</v>
      </c>
      <c r="K809" s="22" t="e">
        <f>VLOOKUP($A809, TAB_CORRECAO_C[[DIAS_CORRIDOS]:[V_FUT_UTEIS]],K$5, FALSE)</f>
        <v>#N/A</v>
      </c>
      <c r="L809" s="22" t="e">
        <f>VLOOKUP($A809, TAB_AMORTIZACAO_C[[DIAS_CORRIDOS]:[V_FUT_UTEIS]], L$5, FALSE)</f>
        <v>#N/A</v>
      </c>
    </row>
    <row r="810" spans="1:12" hidden="1">
      <c r="A810" s="19">
        <f t="shared" si="69"/>
        <v>804</v>
      </c>
      <c r="B810" s="20">
        <f t="shared" si="65"/>
        <v>0</v>
      </c>
      <c r="C810" s="21">
        <f t="shared" si="66"/>
        <v>0</v>
      </c>
      <c r="D810" s="22" t="e">
        <f>VLOOKUP($A810, TAB_JUROS_U[[Q_DIAS_U_PARC_TIR]:[V_FUT_U_JURS CENARIO]], D$5, FALSE)</f>
        <v>#N/A</v>
      </c>
      <c r="E810" s="22" t="e">
        <f>VLOOKUP($A810,TAB_CORRECAO_U[[Q_DIAS_U_PARC_TIR]:[V_FUT_U_CORC-02]],E$5, FALSE)</f>
        <v>#N/A</v>
      </c>
      <c r="F810" s="22" t="e">
        <f>VLOOKUP($A810,TAB_AMORTIZACAO_U[[Q_DIAS_U_PARC_TIR]:[V_FUT_U_PCPL-02]], F$5, FALSE)</f>
        <v>#N/A</v>
      </c>
      <c r="H810" s="20">
        <f t="shared" si="67"/>
        <v>0</v>
      </c>
      <c r="I810" s="21">
        <f t="shared" si="68"/>
        <v>0</v>
      </c>
      <c r="J810" s="22" t="e">
        <f>VLOOKUP($A810, TAB_JUROS_C[[DIAS_CORRIDOS]:[V_FUT_UTEIS]], J$5, FALSE)</f>
        <v>#N/A</v>
      </c>
      <c r="K810" s="22" t="e">
        <f>VLOOKUP($A810, TAB_CORRECAO_C[[DIAS_CORRIDOS]:[V_FUT_UTEIS]],K$5, FALSE)</f>
        <v>#N/A</v>
      </c>
      <c r="L810" s="22" t="e">
        <f>VLOOKUP($A810, TAB_AMORTIZACAO_C[[DIAS_CORRIDOS]:[V_FUT_UTEIS]], L$5, FALSE)</f>
        <v>#N/A</v>
      </c>
    </row>
    <row r="811" spans="1:12">
      <c r="A811" s="19">
        <f t="shared" si="69"/>
        <v>805</v>
      </c>
      <c r="B811" s="20">
        <f t="shared" si="65"/>
        <v>1081.5228521722911</v>
      </c>
      <c r="C811" s="21">
        <f t="shared" si="66"/>
        <v>1081.5228521722911</v>
      </c>
      <c r="D811" s="22">
        <f>VLOOKUP($A811, TAB_JUROS_U[[Q_DIAS_U_PARC_TIR]:[V_FUT_U_JURS CENARIO]], D$5, FALSE)</f>
        <v>80.844642554878988</v>
      </c>
      <c r="E811" s="22">
        <f>VLOOKUP($A811,TAB_CORRECAO_U[[Q_DIAS_U_PARC_TIR]:[V_FUT_U_CORC-02]],E$5, FALSE)</f>
        <v>497.1512953648442</v>
      </c>
      <c r="F811" s="22">
        <f>VLOOKUP($A811,TAB_AMORTIZACAO_U[[Q_DIAS_U_PARC_TIR]:[V_FUT_U_PCPL-02]], F$5, FALSE)</f>
        <v>503.52691425256791</v>
      </c>
      <c r="H811" s="20">
        <f t="shared" si="67"/>
        <v>0</v>
      </c>
      <c r="I811" s="21">
        <f t="shared" si="68"/>
        <v>0</v>
      </c>
      <c r="J811" s="22" t="e">
        <f>VLOOKUP($A811, TAB_JUROS_C[[DIAS_CORRIDOS]:[V_FUT_UTEIS]], J$5, FALSE)</f>
        <v>#N/A</v>
      </c>
      <c r="K811" s="22" t="e">
        <f>VLOOKUP($A811, TAB_CORRECAO_C[[DIAS_CORRIDOS]:[V_FUT_UTEIS]],K$5, FALSE)</f>
        <v>#N/A</v>
      </c>
      <c r="L811" s="22" t="e">
        <f>VLOOKUP($A811, TAB_AMORTIZACAO_C[[DIAS_CORRIDOS]:[V_FUT_UTEIS]], L$5, FALSE)</f>
        <v>#N/A</v>
      </c>
    </row>
    <row r="812" spans="1:12" hidden="1">
      <c r="A812" s="19">
        <f t="shared" si="69"/>
        <v>806</v>
      </c>
      <c r="B812" s="20">
        <f t="shared" si="65"/>
        <v>0</v>
      </c>
      <c r="C812" s="21">
        <f t="shared" si="66"/>
        <v>0</v>
      </c>
      <c r="D812" s="22" t="e">
        <f>VLOOKUP($A812, TAB_JUROS_U[[Q_DIAS_U_PARC_TIR]:[V_FUT_U_JURS CENARIO]], D$5, FALSE)</f>
        <v>#N/A</v>
      </c>
      <c r="E812" s="22" t="e">
        <f>VLOOKUP($A812,TAB_CORRECAO_U[[Q_DIAS_U_PARC_TIR]:[V_FUT_U_CORC-02]],E$5, FALSE)</f>
        <v>#N/A</v>
      </c>
      <c r="F812" s="22" t="e">
        <f>VLOOKUP($A812,TAB_AMORTIZACAO_U[[Q_DIAS_U_PARC_TIR]:[V_FUT_U_PCPL-02]], F$5, FALSE)</f>
        <v>#N/A</v>
      </c>
      <c r="H812" s="20">
        <f t="shared" si="67"/>
        <v>0</v>
      </c>
      <c r="I812" s="21">
        <f t="shared" si="68"/>
        <v>0</v>
      </c>
      <c r="J812" s="22" t="e">
        <f>VLOOKUP($A812, TAB_JUROS_C[[DIAS_CORRIDOS]:[V_FUT_UTEIS]], J$5, FALSE)</f>
        <v>#N/A</v>
      </c>
      <c r="K812" s="22" t="e">
        <f>VLOOKUP($A812, TAB_CORRECAO_C[[DIAS_CORRIDOS]:[V_FUT_UTEIS]],K$5, FALSE)</f>
        <v>#N/A</v>
      </c>
      <c r="L812" s="22" t="e">
        <f>VLOOKUP($A812, TAB_AMORTIZACAO_C[[DIAS_CORRIDOS]:[V_FUT_UTEIS]], L$5, FALSE)</f>
        <v>#N/A</v>
      </c>
    </row>
    <row r="813" spans="1:12" hidden="1">
      <c r="A813" s="19">
        <f t="shared" si="69"/>
        <v>807</v>
      </c>
      <c r="B813" s="20">
        <f t="shared" si="65"/>
        <v>0</v>
      </c>
      <c r="C813" s="21">
        <f t="shared" si="66"/>
        <v>0</v>
      </c>
      <c r="D813" s="22" t="e">
        <f>VLOOKUP($A813, TAB_JUROS_U[[Q_DIAS_U_PARC_TIR]:[V_FUT_U_JURS CENARIO]], D$5, FALSE)</f>
        <v>#N/A</v>
      </c>
      <c r="E813" s="22" t="e">
        <f>VLOOKUP($A813,TAB_CORRECAO_U[[Q_DIAS_U_PARC_TIR]:[V_FUT_U_CORC-02]],E$5, FALSE)</f>
        <v>#N/A</v>
      </c>
      <c r="F813" s="22" t="e">
        <f>VLOOKUP($A813,TAB_AMORTIZACAO_U[[Q_DIAS_U_PARC_TIR]:[V_FUT_U_PCPL-02]], F$5, FALSE)</f>
        <v>#N/A</v>
      </c>
      <c r="H813" s="20">
        <f t="shared" si="67"/>
        <v>0</v>
      </c>
      <c r="I813" s="21">
        <f t="shared" si="68"/>
        <v>0</v>
      </c>
      <c r="J813" s="22" t="e">
        <f>VLOOKUP($A813, TAB_JUROS_C[[DIAS_CORRIDOS]:[V_FUT_UTEIS]], J$5, FALSE)</f>
        <v>#N/A</v>
      </c>
      <c r="K813" s="22" t="e">
        <f>VLOOKUP($A813, TAB_CORRECAO_C[[DIAS_CORRIDOS]:[V_FUT_UTEIS]],K$5, FALSE)</f>
        <v>#N/A</v>
      </c>
      <c r="L813" s="22" t="e">
        <f>VLOOKUP($A813, TAB_AMORTIZACAO_C[[DIAS_CORRIDOS]:[V_FUT_UTEIS]], L$5, FALSE)</f>
        <v>#N/A</v>
      </c>
    </row>
    <row r="814" spans="1:12" hidden="1">
      <c r="A814" s="19">
        <f t="shared" si="69"/>
        <v>808</v>
      </c>
      <c r="B814" s="20">
        <f t="shared" si="65"/>
        <v>0</v>
      </c>
      <c r="C814" s="21">
        <f t="shared" si="66"/>
        <v>0</v>
      </c>
      <c r="D814" s="22" t="e">
        <f>VLOOKUP($A814, TAB_JUROS_U[[Q_DIAS_U_PARC_TIR]:[V_FUT_U_JURS CENARIO]], D$5, FALSE)</f>
        <v>#N/A</v>
      </c>
      <c r="E814" s="22" t="e">
        <f>VLOOKUP($A814,TAB_CORRECAO_U[[Q_DIAS_U_PARC_TIR]:[V_FUT_U_CORC-02]],E$5, FALSE)</f>
        <v>#N/A</v>
      </c>
      <c r="F814" s="22" t="e">
        <f>VLOOKUP($A814,TAB_AMORTIZACAO_U[[Q_DIAS_U_PARC_TIR]:[V_FUT_U_PCPL-02]], F$5, FALSE)</f>
        <v>#N/A</v>
      </c>
      <c r="H814" s="20">
        <f t="shared" si="67"/>
        <v>0</v>
      </c>
      <c r="I814" s="21">
        <f t="shared" si="68"/>
        <v>0</v>
      </c>
      <c r="J814" s="22" t="e">
        <f>VLOOKUP($A814, TAB_JUROS_C[[DIAS_CORRIDOS]:[V_FUT_UTEIS]], J$5, FALSE)</f>
        <v>#N/A</v>
      </c>
      <c r="K814" s="22" t="e">
        <f>VLOOKUP($A814, TAB_CORRECAO_C[[DIAS_CORRIDOS]:[V_FUT_UTEIS]],K$5, FALSE)</f>
        <v>#N/A</v>
      </c>
      <c r="L814" s="22" t="e">
        <f>VLOOKUP($A814, TAB_AMORTIZACAO_C[[DIAS_CORRIDOS]:[V_FUT_UTEIS]], L$5, FALSE)</f>
        <v>#N/A</v>
      </c>
    </row>
    <row r="815" spans="1:12" hidden="1">
      <c r="A815" s="19">
        <f t="shared" si="69"/>
        <v>809</v>
      </c>
      <c r="B815" s="20">
        <f t="shared" si="65"/>
        <v>0</v>
      </c>
      <c r="C815" s="21">
        <f t="shared" si="66"/>
        <v>0</v>
      </c>
      <c r="D815" s="22" t="e">
        <f>VLOOKUP($A815, TAB_JUROS_U[[Q_DIAS_U_PARC_TIR]:[V_FUT_U_JURS CENARIO]], D$5, FALSE)</f>
        <v>#N/A</v>
      </c>
      <c r="E815" s="22" t="e">
        <f>VLOOKUP($A815,TAB_CORRECAO_U[[Q_DIAS_U_PARC_TIR]:[V_FUT_U_CORC-02]],E$5, FALSE)</f>
        <v>#N/A</v>
      </c>
      <c r="F815" s="22" t="e">
        <f>VLOOKUP($A815,TAB_AMORTIZACAO_U[[Q_DIAS_U_PARC_TIR]:[V_FUT_U_PCPL-02]], F$5, FALSE)</f>
        <v>#N/A</v>
      </c>
      <c r="H815" s="20">
        <f t="shared" si="67"/>
        <v>0</v>
      </c>
      <c r="I815" s="21">
        <f t="shared" si="68"/>
        <v>0</v>
      </c>
      <c r="J815" s="22" t="e">
        <f>VLOOKUP($A815, TAB_JUROS_C[[DIAS_CORRIDOS]:[V_FUT_UTEIS]], J$5, FALSE)</f>
        <v>#N/A</v>
      </c>
      <c r="K815" s="22" t="e">
        <f>VLOOKUP($A815, TAB_CORRECAO_C[[DIAS_CORRIDOS]:[V_FUT_UTEIS]],K$5, FALSE)</f>
        <v>#N/A</v>
      </c>
      <c r="L815" s="22" t="e">
        <f>VLOOKUP($A815, TAB_AMORTIZACAO_C[[DIAS_CORRIDOS]:[V_FUT_UTEIS]], L$5, FALSE)</f>
        <v>#N/A</v>
      </c>
    </row>
    <row r="816" spans="1:12" hidden="1">
      <c r="A816" s="19">
        <f t="shared" si="69"/>
        <v>810</v>
      </c>
      <c r="B816" s="20">
        <f t="shared" si="65"/>
        <v>0</v>
      </c>
      <c r="C816" s="21">
        <f t="shared" si="66"/>
        <v>0</v>
      </c>
      <c r="D816" s="22" t="e">
        <f>VLOOKUP($A816, TAB_JUROS_U[[Q_DIAS_U_PARC_TIR]:[V_FUT_U_JURS CENARIO]], D$5, FALSE)</f>
        <v>#N/A</v>
      </c>
      <c r="E816" s="22" t="e">
        <f>VLOOKUP($A816,TAB_CORRECAO_U[[Q_DIAS_U_PARC_TIR]:[V_FUT_U_CORC-02]],E$5, FALSE)</f>
        <v>#N/A</v>
      </c>
      <c r="F816" s="22" t="e">
        <f>VLOOKUP($A816,TAB_AMORTIZACAO_U[[Q_DIAS_U_PARC_TIR]:[V_FUT_U_PCPL-02]], F$5, FALSE)</f>
        <v>#N/A</v>
      </c>
      <c r="H816" s="20">
        <f t="shared" si="67"/>
        <v>0</v>
      </c>
      <c r="I816" s="21">
        <f t="shared" si="68"/>
        <v>0</v>
      </c>
      <c r="J816" s="22" t="e">
        <f>VLOOKUP($A816, TAB_JUROS_C[[DIAS_CORRIDOS]:[V_FUT_UTEIS]], J$5, FALSE)</f>
        <v>#N/A</v>
      </c>
      <c r="K816" s="22" t="e">
        <f>VLOOKUP($A816, TAB_CORRECAO_C[[DIAS_CORRIDOS]:[V_FUT_UTEIS]],K$5, FALSE)</f>
        <v>#N/A</v>
      </c>
      <c r="L816" s="22" t="e">
        <f>VLOOKUP($A816, TAB_AMORTIZACAO_C[[DIAS_CORRIDOS]:[V_FUT_UTEIS]], L$5, FALSE)</f>
        <v>#N/A</v>
      </c>
    </row>
    <row r="817" spans="1:12" hidden="1">
      <c r="A817" s="19">
        <f t="shared" si="69"/>
        <v>811</v>
      </c>
      <c r="B817" s="20">
        <f t="shared" si="65"/>
        <v>0</v>
      </c>
      <c r="C817" s="21">
        <f t="shared" si="66"/>
        <v>0</v>
      </c>
      <c r="D817" s="22" t="e">
        <f>VLOOKUP($A817, TAB_JUROS_U[[Q_DIAS_U_PARC_TIR]:[V_FUT_U_JURS CENARIO]], D$5, FALSE)</f>
        <v>#N/A</v>
      </c>
      <c r="E817" s="22" t="e">
        <f>VLOOKUP($A817,TAB_CORRECAO_U[[Q_DIAS_U_PARC_TIR]:[V_FUT_U_CORC-02]],E$5, FALSE)</f>
        <v>#N/A</v>
      </c>
      <c r="F817" s="22" t="e">
        <f>VLOOKUP($A817,TAB_AMORTIZACAO_U[[Q_DIAS_U_PARC_TIR]:[V_FUT_U_PCPL-02]], F$5, FALSE)</f>
        <v>#N/A</v>
      </c>
      <c r="H817" s="20">
        <f t="shared" si="67"/>
        <v>0</v>
      </c>
      <c r="I817" s="21">
        <f t="shared" si="68"/>
        <v>0</v>
      </c>
      <c r="J817" s="22" t="e">
        <f>VLOOKUP($A817, TAB_JUROS_C[[DIAS_CORRIDOS]:[V_FUT_UTEIS]], J$5, FALSE)</f>
        <v>#N/A</v>
      </c>
      <c r="K817" s="22" t="e">
        <f>VLOOKUP($A817, TAB_CORRECAO_C[[DIAS_CORRIDOS]:[V_FUT_UTEIS]],K$5, FALSE)</f>
        <v>#N/A</v>
      </c>
      <c r="L817" s="22" t="e">
        <f>VLOOKUP($A817, TAB_AMORTIZACAO_C[[DIAS_CORRIDOS]:[V_FUT_UTEIS]], L$5, FALSE)</f>
        <v>#N/A</v>
      </c>
    </row>
    <row r="818" spans="1:12" hidden="1">
      <c r="A818" s="19">
        <f t="shared" si="69"/>
        <v>812</v>
      </c>
      <c r="B818" s="20">
        <f t="shared" si="65"/>
        <v>0</v>
      </c>
      <c r="C818" s="21">
        <f t="shared" si="66"/>
        <v>0</v>
      </c>
      <c r="D818" s="22" t="e">
        <f>VLOOKUP($A818, TAB_JUROS_U[[Q_DIAS_U_PARC_TIR]:[V_FUT_U_JURS CENARIO]], D$5, FALSE)</f>
        <v>#N/A</v>
      </c>
      <c r="E818" s="22" t="e">
        <f>VLOOKUP($A818,TAB_CORRECAO_U[[Q_DIAS_U_PARC_TIR]:[V_FUT_U_CORC-02]],E$5, FALSE)</f>
        <v>#N/A</v>
      </c>
      <c r="F818" s="22" t="e">
        <f>VLOOKUP($A818,TAB_AMORTIZACAO_U[[Q_DIAS_U_PARC_TIR]:[V_FUT_U_PCPL-02]], F$5, FALSE)</f>
        <v>#N/A</v>
      </c>
      <c r="H818" s="20">
        <f t="shared" si="67"/>
        <v>0</v>
      </c>
      <c r="I818" s="21">
        <f t="shared" si="68"/>
        <v>0</v>
      </c>
      <c r="J818" s="22" t="e">
        <f>VLOOKUP($A818, TAB_JUROS_C[[DIAS_CORRIDOS]:[V_FUT_UTEIS]], J$5, FALSE)</f>
        <v>#N/A</v>
      </c>
      <c r="K818" s="22" t="e">
        <f>VLOOKUP($A818, TAB_CORRECAO_C[[DIAS_CORRIDOS]:[V_FUT_UTEIS]],K$5, FALSE)</f>
        <v>#N/A</v>
      </c>
      <c r="L818" s="22" t="e">
        <f>VLOOKUP($A818, TAB_AMORTIZACAO_C[[DIAS_CORRIDOS]:[V_FUT_UTEIS]], L$5, FALSE)</f>
        <v>#N/A</v>
      </c>
    </row>
    <row r="819" spans="1:12" hidden="1">
      <c r="A819" s="19">
        <f t="shared" si="69"/>
        <v>813</v>
      </c>
      <c r="B819" s="20">
        <f t="shared" si="65"/>
        <v>0</v>
      </c>
      <c r="C819" s="21">
        <f t="shared" si="66"/>
        <v>0</v>
      </c>
      <c r="D819" s="22" t="e">
        <f>VLOOKUP($A819, TAB_JUROS_U[[Q_DIAS_U_PARC_TIR]:[V_FUT_U_JURS CENARIO]], D$5, FALSE)</f>
        <v>#N/A</v>
      </c>
      <c r="E819" s="22" t="e">
        <f>VLOOKUP($A819,TAB_CORRECAO_U[[Q_DIAS_U_PARC_TIR]:[V_FUT_U_CORC-02]],E$5, FALSE)</f>
        <v>#N/A</v>
      </c>
      <c r="F819" s="22" t="e">
        <f>VLOOKUP($A819,TAB_AMORTIZACAO_U[[Q_DIAS_U_PARC_TIR]:[V_FUT_U_PCPL-02]], F$5, FALSE)</f>
        <v>#N/A</v>
      </c>
      <c r="H819" s="20">
        <f t="shared" si="67"/>
        <v>0</v>
      </c>
      <c r="I819" s="21">
        <f t="shared" si="68"/>
        <v>0</v>
      </c>
      <c r="J819" s="22" t="e">
        <f>VLOOKUP($A819, TAB_JUROS_C[[DIAS_CORRIDOS]:[V_FUT_UTEIS]], J$5, FALSE)</f>
        <v>#N/A</v>
      </c>
      <c r="K819" s="22" t="e">
        <f>VLOOKUP($A819, TAB_CORRECAO_C[[DIAS_CORRIDOS]:[V_FUT_UTEIS]],K$5, FALSE)</f>
        <v>#N/A</v>
      </c>
      <c r="L819" s="22" t="e">
        <f>VLOOKUP($A819, TAB_AMORTIZACAO_C[[DIAS_CORRIDOS]:[V_FUT_UTEIS]], L$5, FALSE)</f>
        <v>#N/A</v>
      </c>
    </row>
    <row r="820" spans="1:12" hidden="1">
      <c r="A820" s="19">
        <f t="shared" si="69"/>
        <v>814</v>
      </c>
      <c r="B820" s="20">
        <f t="shared" si="65"/>
        <v>0</v>
      </c>
      <c r="C820" s="21">
        <f t="shared" si="66"/>
        <v>0</v>
      </c>
      <c r="D820" s="22" t="e">
        <f>VLOOKUP($A820, TAB_JUROS_U[[Q_DIAS_U_PARC_TIR]:[V_FUT_U_JURS CENARIO]], D$5, FALSE)</f>
        <v>#N/A</v>
      </c>
      <c r="E820" s="22" t="e">
        <f>VLOOKUP($A820,TAB_CORRECAO_U[[Q_DIAS_U_PARC_TIR]:[V_FUT_U_CORC-02]],E$5, FALSE)</f>
        <v>#N/A</v>
      </c>
      <c r="F820" s="22" t="e">
        <f>VLOOKUP($A820,TAB_AMORTIZACAO_U[[Q_DIAS_U_PARC_TIR]:[V_FUT_U_PCPL-02]], F$5, FALSE)</f>
        <v>#N/A</v>
      </c>
      <c r="H820" s="20">
        <f t="shared" si="67"/>
        <v>0</v>
      </c>
      <c r="I820" s="21">
        <f t="shared" si="68"/>
        <v>0</v>
      </c>
      <c r="J820" s="22" t="e">
        <f>VLOOKUP($A820, TAB_JUROS_C[[DIAS_CORRIDOS]:[V_FUT_UTEIS]], J$5, FALSE)</f>
        <v>#N/A</v>
      </c>
      <c r="K820" s="22" t="e">
        <f>VLOOKUP($A820, TAB_CORRECAO_C[[DIAS_CORRIDOS]:[V_FUT_UTEIS]],K$5, FALSE)</f>
        <v>#N/A</v>
      </c>
      <c r="L820" s="22" t="e">
        <f>VLOOKUP($A820, TAB_AMORTIZACAO_C[[DIAS_CORRIDOS]:[V_FUT_UTEIS]], L$5, FALSE)</f>
        <v>#N/A</v>
      </c>
    </row>
    <row r="821" spans="1:12" hidden="1">
      <c r="A821" s="19">
        <f t="shared" si="69"/>
        <v>815</v>
      </c>
      <c r="B821" s="20">
        <f t="shared" si="65"/>
        <v>0</v>
      </c>
      <c r="C821" s="21">
        <f t="shared" si="66"/>
        <v>0</v>
      </c>
      <c r="D821" s="22" t="e">
        <f>VLOOKUP($A821, TAB_JUROS_U[[Q_DIAS_U_PARC_TIR]:[V_FUT_U_JURS CENARIO]], D$5, FALSE)</f>
        <v>#N/A</v>
      </c>
      <c r="E821" s="22" t="e">
        <f>VLOOKUP($A821,TAB_CORRECAO_U[[Q_DIAS_U_PARC_TIR]:[V_FUT_U_CORC-02]],E$5, FALSE)</f>
        <v>#N/A</v>
      </c>
      <c r="F821" s="22" t="e">
        <f>VLOOKUP($A821,TAB_AMORTIZACAO_U[[Q_DIAS_U_PARC_TIR]:[V_FUT_U_PCPL-02]], F$5, FALSE)</f>
        <v>#N/A</v>
      </c>
      <c r="H821" s="20">
        <f t="shared" si="67"/>
        <v>0</v>
      </c>
      <c r="I821" s="21">
        <f t="shared" si="68"/>
        <v>0</v>
      </c>
      <c r="J821" s="22" t="e">
        <f>VLOOKUP($A821, TAB_JUROS_C[[DIAS_CORRIDOS]:[V_FUT_UTEIS]], J$5, FALSE)</f>
        <v>#N/A</v>
      </c>
      <c r="K821" s="22" t="e">
        <f>VLOOKUP($A821, TAB_CORRECAO_C[[DIAS_CORRIDOS]:[V_FUT_UTEIS]],K$5, FALSE)</f>
        <v>#N/A</v>
      </c>
      <c r="L821" s="22" t="e">
        <f>VLOOKUP($A821, TAB_AMORTIZACAO_C[[DIAS_CORRIDOS]:[V_FUT_UTEIS]], L$5, FALSE)</f>
        <v>#N/A</v>
      </c>
    </row>
    <row r="822" spans="1:12" hidden="1">
      <c r="A822" s="19">
        <f t="shared" si="69"/>
        <v>816</v>
      </c>
      <c r="B822" s="20">
        <f t="shared" si="65"/>
        <v>0</v>
      </c>
      <c r="C822" s="21">
        <f t="shared" si="66"/>
        <v>0</v>
      </c>
      <c r="D822" s="22" t="e">
        <f>VLOOKUP($A822, TAB_JUROS_U[[Q_DIAS_U_PARC_TIR]:[V_FUT_U_JURS CENARIO]], D$5, FALSE)</f>
        <v>#N/A</v>
      </c>
      <c r="E822" s="22" t="e">
        <f>VLOOKUP($A822,TAB_CORRECAO_U[[Q_DIAS_U_PARC_TIR]:[V_FUT_U_CORC-02]],E$5, FALSE)</f>
        <v>#N/A</v>
      </c>
      <c r="F822" s="22" t="e">
        <f>VLOOKUP($A822,TAB_AMORTIZACAO_U[[Q_DIAS_U_PARC_TIR]:[V_FUT_U_PCPL-02]], F$5, FALSE)</f>
        <v>#N/A</v>
      </c>
      <c r="H822" s="20">
        <f t="shared" si="67"/>
        <v>0</v>
      </c>
      <c r="I822" s="21">
        <f t="shared" si="68"/>
        <v>0</v>
      </c>
      <c r="J822" s="22" t="e">
        <f>VLOOKUP($A822, TAB_JUROS_C[[DIAS_CORRIDOS]:[V_FUT_UTEIS]], J$5, FALSE)</f>
        <v>#N/A</v>
      </c>
      <c r="K822" s="22" t="e">
        <f>VLOOKUP($A822, TAB_CORRECAO_C[[DIAS_CORRIDOS]:[V_FUT_UTEIS]],K$5, FALSE)</f>
        <v>#N/A</v>
      </c>
      <c r="L822" s="22" t="e">
        <f>VLOOKUP($A822, TAB_AMORTIZACAO_C[[DIAS_CORRIDOS]:[V_FUT_UTEIS]], L$5, FALSE)</f>
        <v>#N/A</v>
      </c>
    </row>
    <row r="823" spans="1:12" hidden="1">
      <c r="A823" s="19">
        <f t="shared" si="69"/>
        <v>817</v>
      </c>
      <c r="B823" s="20">
        <f t="shared" si="65"/>
        <v>0</v>
      </c>
      <c r="C823" s="21">
        <f t="shared" si="66"/>
        <v>0</v>
      </c>
      <c r="D823" s="22" t="e">
        <f>VLOOKUP($A823, TAB_JUROS_U[[Q_DIAS_U_PARC_TIR]:[V_FUT_U_JURS CENARIO]], D$5, FALSE)</f>
        <v>#N/A</v>
      </c>
      <c r="E823" s="22" t="e">
        <f>VLOOKUP($A823,TAB_CORRECAO_U[[Q_DIAS_U_PARC_TIR]:[V_FUT_U_CORC-02]],E$5, FALSE)</f>
        <v>#N/A</v>
      </c>
      <c r="F823" s="22" t="e">
        <f>VLOOKUP($A823,TAB_AMORTIZACAO_U[[Q_DIAS_U_PARC_TIR]:[V_FUT_U_PCPL-02]], F$5, FALSE)</f>
        <v>#N/A</v>
      </c>
      <c r="H823" s="20">
        <f t="shared" si="67"/>
        <v>0</v>
      </c>
      <c r="I823" s="21">
        <f t="shared" si="68"/>
        <v>0</v>
      </c>
      <c r="J823" s="22" t="e">
        <f>VLOOKUP($A823, TAB_JUROS_C[[DIAS_CORRIDOS]:[V_FUT_UTEIS]], J$5, FALSE)</f>
        <v>#N/A</v>
      </c>
      <c r="K823" s="22" t="e">
        <f>VLOOKUP($A823, TAB_CORRECAO_C[[DIAS_CORRIDOS]:[V_FUT_UTEIS]],K$5, FALSE)</f>
        <v>#N/A</v>
      </c>
      <c r="L823" s="22" t="e">
        <f>VLOOKUP($A823, TAB_AMORTIZACAO_C[[DIAS_CORRIDOS]:[V_FUT_UTEIS]], L$5, FALSE)</f>
        <v>#N/A</v>
      </c>
    </row>
    <row r="824" spans="1:12" hidden="1">
      <c r="A824" s="19">
        <f t="shared" si="69"/>
        <v>818</v>
      </c>
      <c r="B824" s="20">
        <f t="shared" si="65"/>
        <v>0</v>
      </c>
      <c r="C824" s="21">
        <f t="shared" si="66"/>
        <v>0</v>
      </c>
      <c r="D824" s="22" t="e">
        <f>VLOOKUP($A824, TAB_JUROS_U[[Q_DIAS_U_PARC_TIR]:[V_FUT_U_JURS CENARIO]], D$5, FALSE)</f>
        <v>#N/A</v>
      </c>
      <c r="E824" s="22" t="e">
        <f>VLOOKUP($A824,TAB_CORRECAO_U[[Q_DIAS_U_PARC_TIR]:[V_FUT_U_CORC-02]],E$5, FALSE)</f>
        <v>#N/A</v>
      </c>
      <c r="F824" s="22" t="e">
        <f>VLOOKUP($A824,TAB_AMORTIZACAO_U[[Q_DIAS_U_PARC_TIR]:[V_FUT_U_PCPL-02]], F$5, FALSE)</f>
        <v>#N/A</v>
      </c>
      <c r="H824" s="20">
        <f t="shared" si="67"/>
        <v>0</v>
      </c>
      <c r="I824" s="21">
        <f t="shared" si="68"/>
        <v>0</v>
      </c>
      <c r="J824" s="22" t="e">
        <f>VLOOKUP($A824, TAB_JUROS_C[[DIAS_CORRIDOS]:[V_FUT_UTEIS]], J$5, FALSE)</f>
        <v>#N/A</v>
      </c>
      <c r="K824" s="22" t="e">
        <f>VLOOKUP($A824, TAB_CORRECAO_C[[DIAS_CORRIDOS]:[V_FUT_UTEIS]],K$5, FALSE)</f>
        <v>#N/A</v>
      </c>
      <c r="L824" s="22" t="e">
        <f>VLOOKUP($A824, TAB_AMORTIZACAO_C[[DIAS_CORRIDOS]:[V_FUT_UTEIS]], L$5, FALSE)</f>
        <v>#N/A</v>
      </c>
    </row>
    <row r="825" spans="1:12" hidden="1">
      <c r="A825" s="19">
        <f t="shared" si="69"/>
        <v>819</v>
      </c>
      <c r="B825" s="20">
        <f t="shared" si="65"/>
        <v>0</v>
      </c>
      <c r="C825" s="21">
        <f t="shared" si="66"/>
        <v>0</v>
      </c>
      <c r="D825" s="22" t="e">
        <f>VLOOKUP($A825, TAB_JUROS_U[[Q_DIAS_U_PARC_TIR]:[V_FUT_U_JURS CENARIO]], D$5, FALSE)</f>
        <v>#N/A</v>
      </c>
      <c r="E825" s="22" t="e">
        <f>VLOOKUP($A825,TAB_CORRECAO_U[[Q_DIAS_U_PARC_TIR]:[V_FUT_U_CORC-02]],E$5, FALSE)</f>
        <v>#N/A</v>
      </c>
      <c r="F825" s="22" t="e">
        <f>VLOOKUP($A825,TAB_AMORTIZACAO_U[[Q_DIAS_U_PARC_TIR]:[V_FUT_U_PCPL-02]], F$5, FALSE)</f>
        <v>#N/A</v>
      </c>
      <c r="H825" s="20">
        <f t="shared" si="67"/>
        <v>0</v>
      </c>
      <c r="I825" s="21">
        <f t="shared" si="68"/>
        <v>0</v>
      </c>
      <c r="J825" s="22" t="e">
        <f>VLOOKUP($A825, TAB_JUROS_C[[DIAS_CORRIDOS]:[V_FUT_UTEIS]], J$5, FALSE)</f>
        <v>#N/A</v>
      </c>
      <c r="K825" s="22" t="e">
        <f>VLOOKUP($A825, TAB_CORRECAO_C[[DIAS_CORRIDOS]:[V_FUT_UTEIS]],K$5, FALSE)</f>
        <v>#N/A</v>
      </c>
      <c r="L825" s="22" t="e">
        <f>VLOOKUP($A825, TAB_AMORTIZACAO_C[[DIAS_CORRIDOS]:[V_FUT_UTEIS]], L$5, FALSE)</f>
        <v>#N/A</v>
      </c>
    </row>
    <row r="826" spans="1:12" hidden="1">
      <c r="A826" s="19">
        <f t="shared" si="69"/>
        <v>820</v>
      </c>
      <c r="B826" s="20">
        <f t="shared" si="65"/>
        <v>0</v>
      </c>
      <c r="C826" s="21">
        <f t="shared" si="66"/>
        <v>0</v>
      </c>
      <c r="D826" s="22" t="e">
        <f>VLOOKUP($A826, TAB_JUROS_U[[Q_DIAS_U_PARC_TIR]:[V_FUT_U_JURS CENARIO]], D$5, FALSE)</f>
        <v>#N/A</v>
      </c>
      <c r="E826" s="22" t="e">
        <f>VLOOKUP($A826,TAB_CORRECAO_U[[Q_DIAS_U_PARC_TIR]:[V_FUT_U_CORC-02]],E$5, FALSE)</f>
        <v>#N/A</v>
      </c>
      <c r="F826" s="22" t="e">
        <f>VLOOKUP($A826,TAB_AMORTIZACAO_U[[Q_DIAS_U_PARC_TIR]:[V_FUT_U_PCPL-02]], F$5, FALSE)</f>
        <v>#N/A</v>
      </c>
      <c r="H826" s="20">
        <f t="shared" si="67"/>
        <v>0</v>
      </c>
      <c r="I826" s="21">
        <f t="shared" si="68"/>
        <v>0</v>
      </c>
      <c r="J826" s="22" t="e">
        <f>VLOOKUP($A826, TAB_JUROS_C[[DIAS_CORRIDOS]:[V_FUT_UTEIS]], J$5, FALSE)</f>
        <v>#N/A</v>
      </c>
      <c r="K826" s="22" t="e">
        <f>VLOOKUP($A826, TAB_CORRECAO_C[[DIAS_CORRIDOS]:[V_FUT_UTEIS]],K$5, FALSE)</f>
        <v>#N/A</v>
      </c>
      <c r="L826" s="22" t="e">
        <f>VLOOKUP($A826, TAB_AMORTIZACAO_C[[DIAS_CORRIDOS]:[V_FUT_UTEIS]], L$5, FALSE)</f>
        <v>#N/A</v>
      </c>
    </row>
    <row r="827" spans="1:12" hidden="1">
      <c r="A827" s="19">
        <f t="shared" si="69"/>
        <v>821</v>
      </c>
      <c r="B827" s="20">
        <f t="shared" si="65"/>
        <v>0</v>
      </c>
      <c r="C827" s="21">
        <f t="shared" si="66"/>
        <v>0</v>
      </c>
      <c r="D827" s="22" t="e">
        <f>VLOOKUP($A827, TAB_JUROS_U[[Q_DIAS_U_PARC_TIR]:[V_FUT_U_JURS CENARIO]], D$5, FALSE)</f>
        <v>#N/A</v>
      </c>
      <c r="E827" s="22" t="e">
        <f>VLOOKUP($A827,TAB_CORRECAO_U[[Q_DIAS_U_PARC_TIR]:[V_FUT_U_CORC-02]],E$5, FALSE)</f>
        <v>#N/A</v>
      </c>
      <c r="F827" s="22" t="e">
        <f>VLOOKUP($A827,TAB_AMORTIZACAO_U[[Q_DIAS_U_PARC_TIR]:[V_FUT_U_PCPL-02]], F$5, FALSE)</f>
        <v>#N/A</v>
      </c>
      <c r="H827" s="20">
        <f t="shared" si="67"/>
        <v>0</v>
      </c>
      <c r="I827" s="21">
        <f t="shared" si="68"/>
        <v>0</v>
      </c>
      <c r="J827" s="22" t="e">
        <f>VLOOKUP($A827, TAB_JUROS_C[[DIAS_CORRIDOS]:[V_FUT_UTEIS]], J$5, FALSE)</f>
        <v>#N/A</v>
      </c>
      <c r="K827" s="22" t="e">
        <f>VLOOKUP($A827, TAB_CORRECAO_C[[DIAS_CORRIDOS]:[V_FUT_UTEIS]],K$5, FALSE)</f>
        <v>#N/A</v>
      </c>
      <c r="L827" s="22" t="e">
        <f>VLOOKUP($A827, TAB_AMORTIZACAO_C[[DIAS_CORRIDOS]:[V_FUT_UTEIS]], L$5, FALSE)</f>
        <v>#N/A</v>
      </c>
    </row>
    <row r="828" spans="1:12" hidden="1">
      <c r="A828" s="19">
        <f t="shared" si="69"/>
        <v>822</v>
      </c>
      <c r="B828" s="20">
        <f t="shared" si="65"/>
        <v>0</v>
      </c>
      <c r="C828" s="21">
        <f t="shared" si="66"/>
        <v>0</v>
      </c>
      <c r="D828" s="22" t="e">
        <f>VLOOKUP($A828, TAB_JUROS_U[[Q_DIAS_U_PARC_TIR]:[V_FUT_U_JURS CENARIO]], D$5, FALSE)</f>
        <v>#N/A</v>
      </c>
      <c r="E828" s="22" t="e">
        <f>VLOOKUP($A828,TAB_CORRECAO_U[[Q_DIAS_U_PARC_TIR]:[V_FUT_U_CORC-02]],E$5, FALSE)</f>
        <v>#N/A</v>
      </c>
      <c r="F828" s="22" t="e">
        <f>VLOOKUP($A828,TAB_AMORTIZACAO_U[[Q_DIAS_U_PARC_TIR]:[V_FUT_U_PCPL-02]], F$5, FALSE)</f>
        <v>#N/A</v>
      </c>
      <c r="H828" s="20">
        <f t="shared" si="67"/>
        <v>0</v>
      </c>
      <c r="I828" s="21">
        <f t="shared" si="68"/>
        <v>0</v>
      </c>
      <c r="J828" s="22" t="e">
        <f>VLOOKUP($A828, TAB_JUROS_C[[DIAS_CORRIDOS]:[V_FUT_UTEIS]], J$5, FALSE)</f>
        <v>#N/A</v>
      </c>
      <c r="K828" s="22" t="e">
        <f>VLOOKUP($A828, TAB_CORRECAO_C[[DIAS_CORRIDOS]:[V_FUT_UTEIS]],K$5, FALSE)</f>
        <v>#N/A</v>
      </c>
      <c r="L828" s="22" t="e">
        <f>VLOOKUP($A828, TAB_AMORTIZACAO_C[[DIAS_CORRIDOS]:[V_FUT_UTEIS]], L$5, FALSE)</f>
        <v>#N/A</v>
      </c>
    </row>
    <row r="829" spans="1:12" hidden="1">
      <c r="A829" s="19">
        <f t="shared" si="69"/>
        <v>823</v>
      </c>
      <c r="B829" s="20">
        <f t="shared" si="65"/>
        <v>0</v>
      </c>
      <c r="C829" s="21">
        <f t="shared" si="66"/>
        <v>0</v>
      </c>
      <c r="D829" s="22" t="e">
        <f>VLOOKUP($A829, TAB_JUROS_U[[Q_DIAS_U_PARC_TIR]:[V_FUT_U_JURS CENARIO]], D$5, FALSE)</f>
        <v>#N/A</v>
      </c>
      <c r="E829" s="22" t="e">
        <f>VLOOKUP($A829,TAB_CORRECAO_U[[Q_DIAS_U_PARC_TIR]:[V_FUT_U_CORC-02]],E$5, FALSE)</f>
        <v>#N/A</v>
      </c>
      <c r="F829" s="22" t="e">
        <f>VLOOKUP($A829,TAB_AMORTIZACAO_U[[Q_DIAS_U_PARC_TIR]:[V_FUT_U_PCPL-02]], F$5, FALSE)</f>
        <v>#N/A</v>
      </c>
      <c r="H829" s="20">
        <f t="shared" si="67"/>
        <v>0</v>
      </c>
      <c r="I829" s="21">
        <f t="shared" si="68"/>
        <v>0</v>
      </c>
      <c r="J829" s="22" t="e">
        <f>VLOOKUP($A829, TAB_JUROS_C[[DIAS_CORRIDOS]:[V_FUT_UTEIS]], J$5, FALSE)</f>
        <v>#N/A</v>
      </c>
      <c r="K829" s="22" t="e">
        <f>VLOOKUP($A829, TAB_CORRECAO_C[[DIAS_CORRIDOS]:[V_FUT_UTEIS]],K$5, FALSE)</f>
        <v>#N/A</v>
      </c>
      <c r="L829" s="22" t="e">
        <f>VLOOKUP($A829, TAB_AMORTIZACAO_C[[DIAS_CORRIDOS]:[V_FUT_UTEIS]], L$5, FALSE)</f>
        <v>#N/A</v>
      </c>
    </row>
    <row r="830" spans="1:12">
      <c r="A830" s="19">
        <f t="shared" si="69"/>
        <v>824</v>
      </c>
      <c r="B830" s="20">
        <f t="shared" si="65"/>
        <v>1032.1479687319929</v>
      </c>
      <c r="C830" s="21">
        <f t="shared" si="66"/>
        <v>1032.1479687319929</v>
      </c>
      <c r="D830" s="22">
        <f>VLOOKUP($A830, TAB_JUROS_U[[Q_DIAS_U_PARC_TIR]:[V_FUT_U_JURS CENARIO]], D$5, FALSE)</f>
        <v>74.920960089565597</v>
      </c>
      <c r="E830" s="22">
        <f>VLOOKUP($A830,TAB_CORRECAO_U[[Q_DIAS_U_PARC_TIR]:[V_FUT_U_CORC-02]],E$5, FALSE)</f>
        <v>460.94433905658377</v>
      </c>
      <c r="F830" s="22">
        <f>VLOOKUP($A830,TAB_AMORTIZACAO_U[[Q_DIAS_U_PARC_TIR]:[V_FUT_U_PCPL-02]], F$5, FALSE)</f>
        <v>496.28266958584345</v>
      </c>
      <c r="H830" s="20">
        <f t="shared" si="67"/>
        <v>0</v>
      </c>
      <c r="I830" s="21">
        <f t="shared" si="68"/>
        <v>0</v>
      </c>
      <c r="J830" s="22" t="e">
        <f>VLOOKUP($A830, TAB_JUROS_C[[DIAS_CORRIDOS]:[V_FUT_UTEIS]], J$5, FALSE)</f>
        <v>#N/A</v>
      </c>
      <c r="K830" s="22" t="e">
        <f>VLOOKUP($A830, TAB_CORRECAO_C[[DIAS_CORRIDOS]:[V_FUT_UTEIS]],K$5, FALSE)</f>
        <v>#N/A</v>
      </c>
      <c r="L830" s="22" t="e">
        <f>VLOOKUP($A830, TAB_AMORTIZACAO_C[[DIAS_CORRIDOS]:[V_FUT_UTEIS]], L$5, FALSE)</f>
        <v>#N/A</v>
      </c>
    </row>
    <row r="831" spans="1:12" hidden="1">
      <c r="A831" s="19">
        <f t="shared" si="69"/>
        <v>825</v>
      </c>
      <c r="B831" s="20">
        <f t="shared" si="65"/>
        <v>0</v>
      </c>
      <c r="C831" s="21">
        <f t="shared" si="66"/>
        <v>0</v>
      </c>
      <c r="D831" s="22" t="e">
        <f>VLOOKUP($A831, TAB_JUROS_U[[Q_DIAS_U_PARC_TIR]:[V_FUT_U_JURS CENARIO]], D$5, FALSE)</f>
        <v>#N/A</v>
      </c>
      <c r="E831" s="22" t="e">
        <f>VLOOKUP($A831,TAB_CORRECAO_U[[Q_DIAS_U_PARC_TIR]:[V_FUT_U_CORC-02]],E$5, FALSE)</f>
        <v>#N/A</v>
      </c>
      <c r="F831" s="22" t="e">
        <f>VLOOKUP($A831,TAB_AMORTIZACAO_U[[Q_DIAS_U_PARC_TIR]:[V_FUT_U_PCPL-02]], F$5, FALSE)</f>
        <v>#N/A</v>
      </c>
      <c r="H831" s="20">
        <f t="shared" si="67"/>
        <v>0</v>
      </c>
      <c r="I831" s="21">
        <f t="shared" si="68"/>
        <v>0</v>
      </c>
      <c r="J831" s="22" t="e">
        <f>VLOOKUP($A831, TAB_JUROS_C[[DIAS_CORRIDOS]:[V_FUT_UTEIS]], J$5, FALSE)</f>
        <v>#N/A</v>
      </c>
      <c r="K831" s="22" t="e">
        <f>VLOOKUP($A831, TAB_CORRECAO_C[[DIAS_CORRIDOS]:[V_FUT_UTEIS]],K$5, FALSE)</f>
        <v>#N/A</v>
      </c>
      <c r="L831" s="22" t="e">
        <f>VLOOKUP($A831, TAB_AMORTIZACAO_C[[DIAS_CORRIDOS]:[V_FUT_UTEIS]], L$5, FALSE)</f>
        <v>#N/A</v>
      </c>
    </row>
    <row r="832" spans="1:12" hidden="1">
      <c r="A832" s="19">
        <f t="shared" si="69"/>
        <v>826</v>
      </c>
      <c r="B832" s="20">
        <f t="shared" si="65"/>
        <v>0</v>
      </c>
      <c r="C832" s="21">
        <f t="shared" si="66"/>
        <v>0</v>
      </c>
      <c r="D832" s="22" t="e">
        <f>VLOOKUP($A832, TAB_JUROS_U[[Q_DIAS_U_PARC_TIR]:[V_FUT_U_JURS CENARIO]], D$5, FALSE)</f>
        <v>#N/A</v>
      </c>
      <c r="E832" s="22" t="e">
        <f>VLOOKUP($A832,TAB_CORRECAO_U[[Q_DIAS_U_PARC_TIR]:[V_FUT_U_CORC-02]],E$5, FALSE)</f>
        <v>#N/A</v>
      </c>
      <c r="F832" s="22" t="e">
        <f>VLOOKUP($A832,TAB_AMORTIZACAO_U[[Q_DIAS_U_PARC_TIR]:[V_FUT_U_PCPL-02]], F$5, FALSE)</f>
        <v>#N/A</v>
      </c>
      <c r="H832" s="20">
        <f t="shared" si="67"/>
        <v>0</v>
      </c>
      <c r="I832" s="21">
        <f t="shared" si="68"/>
        <v>0</v>
      </c>
      <c r="J832" s="22" t="e">
        <f>VLOOKUP($A832, TAB_JUROS_C[[DIAS_CORRIDOS]:[V_FUT_UTEIS]], J$5, FALSE)</f>
        <v>#N/A</v>
      </c>
      <c r="K832" s="22" t="e">
        <f>VLOOKUP($A832, TAB_CORRECAO_C[[DIAS_CORRIDOS]:[V_FUT_UTEIS]],K$5, FALSE)</f>
        <v>#N/A</v>
      </c>
      <c r="L832" s="22" t="e">
        <f>VLOOKUP($A832, TAB_AMORTIZACAO_C[[DIAS_CORRIDOS]:[V_FUT_UTEIS]], L$5, FALSE)</f>
        <v>#N/A</v>
      </c>
    </row>
    <row r="833" spans="1:12" hidden="1">
      <c r="A833" s="19">
        <f t="shared" si="69"/>
        <v>827</v>
      </c>
      <c r="B833" s="20">
        <f t="shared" si="65"/>
        <v>0</v>
      </c>
      <c r="C833" s="21">
        <f t="shared" si="66"/>
        <v>0</v>
      </c>
      <c r="D833" s="22" t="e">
        <f>VLOOKUP($A833, TAB_JUROS_U[[Q_DIAS_U_PARC_TIR]:[V_FUT_U_JURS CENARIO]], D$5, FALSE)</f>
        <v>#N/A</v>
      </c>
      <c r="E833" s="22" t="e">
        <f>VLOOKUP($A833,TAB_CORRECAO_U[[Q_DIAS_U_PARC_TIR]:[V_FUT_U_CORC-02]],E$5, FALSE)</f>
        <v>#N/A</v>
      </c>
      <c r="F833" s="22" t="e">
        <f>VLOOKUP($A833,TAB_AMORTIZACAO_U[[Q_DIAS_U_PARC_TIR]:[V_FUT_U_PCPL-02]], F$5, FALSE)</f>
        <v>#N/A</v>
      </c>
      <c r="H833" s="20">
        <f t="shared" si="67"/>
        <v>0</v>
      </c>
      <c r="I833" s="21">
        <f t="shared" si="68"/>
        <v>0</v>
      </c>
      <c r="J833" s="22" t="e">
        <f>VLOOKUP($A833, TAB_JUROS_C[[DIAS_CORRIDOS]:[V_FUT_UTEIS]], J$5, FALSE)</f>
        <v>#N/A</v>
      </c>
      <c r="K833" s="22" t="e">
        <f>VLOOKUP($A833, TAB_CORRECAO_C[[DIAS_CORRIDOS]:[V_FUT_UTEIS]],K$5, FALSE)</f>
        <v>#N/A</v>
      </c>
      <c r="L833" s="22" t="e">
        <f>VLOOKUP($A833, TAB_AMORTIZACAO_C[[DIAS_CORRIDOS]:[V_FUT_UTEIS]], L$5, FALSE)</f>
        <v>#N/A</v>
      </c>
    </row>
    <row r="834" spans="1:12" hidden="1">
      <c r="A834" s="19">
        <f t="shared" si="69"/>
        <v>828</v>
      </c>
      <c r="B834" s="20">
        <f t="shared" si="65"/>
        <v>0</v>
      </c>
      <c r="C834" s="21">
        <f t="shared" si="66"/>
        <v>0</v>
      </c>
      <c r="D834" s="22" t="e">
        <f>VLOOKUP($A834, TAB_JUROS_U[[Q_DIAS_U_PARC_TIR]:[V_FUT_U_JURS CENARIO]], D$5, FALSE)</f>
        <v>#N/A</v>
      </c>
      <c r="E834" s="22" t="e">
        <f>VLOOKUP($A834,TAB_CORRECAO_U[[Q_DIAS_U_PARC_TIR]:[V_FUT_U_CORC-02]],E$5, FALSE)</f>
        <v>#N/A</v>
      </c>
      <c r="F834" s="22" t="e">
        <f>VLOOKUP($A834,TAB_AMORTIZACAO_U[[Q_DIAS_U_PARC_TIR]:[V_FUT_U_PCPL-02]], F$5, FALSE)</f>
        <v>#N/A</v>
      </c>
      <c r="H834" s="20">
        <f t="shared" si="67"/>
        <v>0</v>
      </c>
      <c r="I834" s="21">
        <f t="shared" si="68"/>
        <v>0</v>
      </c>
      <c r="J834" s="22" t="e">
        <f>VLOOKUP($A834, TAB_JUROS_C[[DIAS_CORRIDOS]:[V_FUT_UTEIS]], J$5, FALSE)</f>
        <v>#N/A</v>
      </c>
      <c r="K834" s="22" t="e">
        <f>VLOOKUP($A834, TAB_CORRECAO_C[[DIAS_CORRIDOS]:[V_FUT_UTEIS]],K$5, FALSE)</f>
        <v>#N/A</v>
      </c>
      <c r="L834" s="22" t="e">
        <f>VLOOKUP($A834, TAB_AMORTIZACAO_C[[DIAS_CORRIDOS]:[V_FUT_UTEIS]], L$5, FALSE)</f>
        <v>#N/A</v>
      </c>
    </row>
    <row r="835" spans="1:12" hidden="1">
      <c r="A835" s="19">
        <f t="shared" si="69"/>
        <v>829</v>
      </c>
      <c r="B835" s="20">
        <f t="shared" si="65"/>
        <v>0</v>
      </c>
      <c r="C835" s="21">
        <f t="shared" si="66"/>
        <v>0</v>
      </c>
      <c r="D835" s="22" t="e">
        <f>VLOOKUP($A835, TAB_JUROS_U[[Q_DIAS_U_PARC_TIR]:[V_FUT_U_JURS CENARIO]], D$5, FALSE)</f>
        <v>#N/A</v>
      </c>
      <c r="E835" s="22" t="e">
        <f>VLOOKUP($A835,TAB_CORRECAO_U[[Q_DIAS_U_PARC_TIR]:[V_FUT_U_CORC-02]],E$5, FALSE)</f>
        <v>#N/A</v>
      </c>
      <c r="F835" s="22" t="e">
        <f>VLOOKUP($A835,TAB_AMORTIZACAO_U[[Q_DIAS_U_PARC_TIR]:[V_FUT_U_PCPL-02]], F$5, FALSE)</f>
        <v>#N/A</v>
      </c>
      <c r="H835" s="20">
        <f t="shared" si="67"/>
        <v>0</v>
      </c>
      <c r="I835" s="21">
        <f t="shared" si="68"/>
        <v>0</v>
      </c>
      <c r="J835" s="22" t="e">
        <f>VLOOKUP($A835, TAB_JUROS_C[[DIAS_CORRIDOS]:[V_FUT_UTEIS]], J$5, FALSE)</f>
        <v>#N/A</v>
      </c>
      <c r="K835" s="22" t="e">
        <f>VLOOKUP($A835, TAB_CORRECAO_C[[DIAS_CORRIDOS]:[V_FUT_UTEIS]],K$5, FALSE)</f>
        <v>#N/A</v>
      </c>
      <c r="L835" s="22" t="e">
        <f>VLOOKUP($A835, TAB_AMORTIZACAO_C[[DIAS_CORRIDOS]:[V_FUT_UTEIS]], L$5, FALSE)</f>
        <v>#N/A</v>
      </c>
    </row>
    <row r="836" spans="1:12" hidden="1">
      <c r="A836" s="19">
        <f t="shared" si="69"/>
        <v>830</v>
      </c>
      <c r="B836" s="20">
        <f t="shared" si="65"/>
        <v>0</v>
      </c>
      <c r="C836" s="21">
        <f t="shared" si="66"/>
        <v>0</v>
      </c>
      <c r="D836" s="22" t="e">
        <f>VLOOKUP($A836, TAB_JUROS_U[[Q_DIAS_U_PARC_TIR]:[V_FUT_U_JURS CENARIO]], D$5, FALSE)</f>
        <v>#N/A</v>
      </c>
      <c r="E836" s="22" t="e">
        <f>VLOOKUP($A836,TAB_CORRECAO_U[[Q_DIAS_U_PARC_TIR]:[V_FUT_U_CORC-02]],E$5, FALSE)</f>
        <v>#N/A</v>
      </c>
      <c r="F836" s="22" t="e">
        <f>VLOOKUP($A836,TAB_AMORTIZACAO_U[[Q_DIAS_U_PARC_TIR]:[V_FUT_U_PCPL-02]], F$5, FALSE)</f>
        <v>#N/A</v>
      </c>
      <c r="H836" s="20">
        <f t="shared" si="67"/>
        <v>0</v>
      </c>
      <c r="I836" s="21">
        <f t="shared" si="68"/>
        <v>0</v>
      </c>
      <c r="J836" s="22" t="e">
        <f>VLOOKUP($A836, TAB_JUROS_C[[DIAS_CORRIDOS]:[V_FUT_UTEIS]], J$5, FALSE)</f>
        <v>#N/A</v>
      </c>
      <c r="K836" s="22" t="e">
        <f>VLOOKUP($A836, TAB_CORRECAO_C[[DIAS_CORRIDOS]:[V_FUT_UTEIS]],K$5, FALSE)</f>
        <v>#N/A</v>
      </c>
      <c r="L836" s="22" t="e">
        <f>VLOOKUP($A836, TAB_AMORTIZACAO_C[[DIAS_CORRIDOS]:[V_FUT_UTEIS]], L$5, FALSE)</f>
        <v>#N/A</v>
      </c>
    </row>
    <row r="837" spans="1:12" hidden="1">
      <c r="A837" s="19">
        <f t="shared" si="69"/>
        <v>831</v>
      </c>
      <c r="B837" s="20">
        <f t="shared" si="65"/>
        <v>0</v>
      </c>
      <c r="C837" s="21">
        <f t="shared" si="66"/>
        <v>0</v>
      </c>
      <c r="D837" s="22" t="e">
        <f>VLOOKUP($A837, TAB_JUROS_U[[Q_DIAS_U_PARC_TIR]:[V_FUT_U_JURS CENARIO]], D$5, FALSE)</f>
        <v>#N/A</v>
      </c>
      <c r="E837" s="22" t="e">
        <f>VLOOKUP($A837,TAB_CORRECAO_U[[Q_DIAS_U_PARC_TIR]:[V_FUT_U_CORC-02]],E$5, FALSE)</f>
        <v>#N/A</v>
      </c>
      <c r="F837" s="22" t="e">
        <f>VLOOKUP($A837,TAB_AMORTIZACAO_U[[Q_DIAS_U_PARC_TIR]:[V_FUT_U_PCPL-02]], F$5, FALSE)</f>
        <v>#N/A</v>
      </c>
      <c r="H837" s="20">
        <f t="shared" si="67"/>
        <v>0</v>
      </c>
      <c r="I837" s="21">
        <f t="shared" si="68"/>
        <v>0</v>
      </c>
      <c r="J837" s="22" t="e">
        <f>VLOOKUP($A837, TAB_JUROS_C[[DIAS_CORRIDOS]:[V_FUT_UTEIS]], J$5, FALSE)</f>
        <v>#N/A</v>
      </c>
      <c r="K837" s="22" t="e">
        <f>VLOOKUP($A837, TAB_CORRECAO_C[[DIAS_CORRIDOS]:[V_FUT_UTEIS]],K$5, FALSE)</f>
        <v>#N/A</v>
      </c>
      <c r="L837" s="22" t="e">
        <f>VLOOKUP($A837, TAB_AMORTIZACAO_C[[DIAS_CORRIDOS]:[V_FUT_UTEIS]], L$5, FALSE)</f>
        <v>#N/A</v>
      </c>
    </row>
    <row r="838" spans="1:12" hidden="1">
      <c r="A838" s="19">
        <f t="shared" si="69"/>
        <v>832</v>
      </c>
      <c r="B838" s="20">
        <f t="shared" si="65"/>
        <v>0</v>
      </c>
      <c r="C838" s="21">
        <f t="shared" si="66"/>
        <v>0</v>
      </c>
      <c r="D838" s="22" t="e">
        <f>VLOOKUP($A838, TAB_JUROS_U[[Q_DIAS_U_PARC_TIR]:[V_FUT_U_JURS CENARIO]], D$5, FALSE)</f>
        <v>#N/A</v>
      </c>
      <c r="E838" s="22" t="e">
        <f>VLOOKUP($A838,TAB_CORRECAO_U[[Q_DIAS_U_PARC_TIR]:[V_FUT_U_CORC-02]],E$5, FALSE)</f>
        <v>#N/A</v>
      </c>
      <c r="F838" s="22" t="e">
        <f>VLOOKUP($A838,TAB_AMORTIZACAO_U[[Q_DIAS_U_PARC_TIR]:[V_FUT_U_PCPL-02]], F$5, FALSE)</f>
        <v>#N/A</v>
      </c>
      <c r="H838" s="20">
        <f t="shared" si="67"/>
        <v>0</v>
      </c>
      <c r="I838" s="21">
        <f t="shared" si="68"/>
        <v>0</v>
      </c>
      <c r="J838" s="22" t="e">
        <f>VLOOKUP($A838, TAB_JUROS_C[[DIAS_CORRIDOS]:[V_FUT_UTEIS]], J$5, FALSE)</f>
        <v>#N/A</v>
      </c>
      <c r="K838" s="22" t="e">
        <f>VLOOKUP($A838, TAB_CORRECAO_C[[DIAS_CORRIDOS]:[V_FUT_UTEIS]],K$5, FALSE)</f>
        <v>#N/A</v>
      </c>
      <c r="L838" s="22" t="e">
        <f>VLOOKUP($A838, TAB_AMORTIZACAO_C[[DIAS_CORRIDOS]:[V_FUT_UTEIS]], L$5, FALSE)</f>
        <v>#N/A</v>
      </c>
    </row>
    <row r="839" spans="1:12" hidden="1">
      <c r="A839" s="19">
        <f t="shared" si="69"/>
        <v>833</v>
      </c>
      <c r="B839" s="20">
        <f t="shared" si="65"/>
        <v>0</v>
      </c>
      <c r="C839" s="21">
        <f t="shared" si="66"/>
        <v>0</v>
      </c>
      <c r="D839" s="22" t="e">
        <f>VLOOKUP($A839, TAB_JUROS_U[[Q_DIAS_U_PARC_TIR]:[V_FUT_U_JURS CENARIO]], D$5, FALSE)</f>
        <v>#N/A</v>
      </c>
      <c r="E839" s="22" t="e">
        <f>VLOOKUP($A839,TAB_CORRECAO_U[[Q_DIAS_U_PARC_TIR]:[V_FUT_U_CORC-02]],E$5, FALSE)</f>
        <v>#N/A</v>
      </c>
      <c r="F839" s="22" t="e">
        <f>VLOOKUP($A839,TAB_AMORTIZACAO_U[[Q_DIAS_U_PARC_TIR]:[V_FUT_U_PCPL-02]], F$5, FALSE)</f>
        <v>#N/A</v>
      </c>
      <c r="H839" s="20">
        <f t="shared" si="67"/>
        <v>1427.2962381825009</v>
      </c>
      <c r="I839" s="21">
        <f t="shared" si="68"/>
        <v>1427.2962381825009</v>
      </c>
      <c r="J839" s="22">
        <f>VLOOKUP($A839, TAB_JUROS_C[[DIAS_CORRIDOS]:[V_FUT_UTEIS]], J$5, FALSE)</f>
        <v>111.25640780504429</v>
      </c>
      <c r="K839" s="22">
        <f>VLOOKUP($A839, TAB_CORRECAO_C[[DIAS_CORRIDOS]:[V_FUT_UTEIS]],K$5, FALSE)</f>
        <v>709.34608867384702</v>
      </c>
      <c r="L839" s="22">
        <f>VLOOKUP($A839, TAB_AMORTIZACAO_C[[DIAS_CORRIDOS]:[V_FUT_UTEIS]], L$5, FALSE)</f>
        <v>606.69374170360959</v>
      </c>
    </row>
    <row r="840" spans="1:12" hidden="1">
      <c r="A840" s="19">
        <f t="shared" si="69"/>
        <v>834</v>
      </c>
      <c r="B840" s="20">
        <f t="shared" si="65"/>
        <v>0</v>
      </c>
      <c r="C840" s="21">
        <f t="shared" si="66"/>
        <v>0</v>
      </c>
      <c r="D840" s="22" t="e">
        <f>VLOOKUP($A840, TAB_JUROS_U[[Q_DIAS_U_PARC_TIR]:[V_FUT_U_JURS CENARIO]], D$5, FALSE)</f>
        <v>#N/A</v>
      </c>
      <c r="E840" s="22" t="e">
        <f>VLOOKUP($A840,TAB_CORRECAO_U[[Q_DIAS_U_PARC_TIR]:[V_FUT_U_CORC-02]],E$5, FALSE)</f>
        <v>#N/A</v>
      </c>
      <c r="F840" s="22" t="e">
        <f>VLOOKUP($A840,TAB_AMORTIZACAO_U[[Q_DIAS_U_PARC_TIR]:[V_FUT_U_PCPL-02]], F$5, FALSE)</f>
        <v>#N/A</v>
      </c>
      <c r="H840" s="20">
        <f t="shared" si="67"/>
        <v>0</v>
      </c>
      <c r="I840" s="21">
        <f t="shared" si="68"/>
        <v>0</v>
      </c>
      <c r="J840" s="22" t="e">
        <f>VLOOKUP($A840, TAB_JUROS_C[[DIAS_CORRIDOS]:[V_FUT_UTEIS]], J$5, FALSE)</f>
        <v>#N/A</v>
      </c>
      <c r="K840" s="22" t="e">
        <f>VLOOKUP($A840, TAB_CORRECAO_C[[DIAS_CORRIDOS]:[V_FUT_UTEIS]],K$5, FALSE)</f>
        <v>#N/A</v>
      </c>
      <c r="L840" s="22" t="e">
        <f>VLOOKUP($A840, TAB_AMORTIZACAO_C[[DIAS_CORRIDOS]:[V_FUT_UTEIS]], L$5, FALSE)</f>
        <v>#N/A</v>
      </c>
    </row>
    <row r="841" spans="1:12" hidden="1">
      <c r="A841" s="19">
        <f t="shared" si="69"/>
        <v>835</v>
      </c>
      <c r="B841" s="20">
        <f t="shared" ref="B841:B904" si="70">IF(ISERROR(C841), 0, C841)</f>
        <v>0</v>
      </c>
      <c r="C841" s="21">
        <f t="shared" ref="C841:C904" si="71">SUMIF(D841:F841, "&gt;0", D841:F841)</f>
        <v>0</v>
      </c>
      <c r="D841" s="22" t="e">
        <f>VLOOKUP($A841, TAB_JUROS_U[[Q_DIAS_U_PARC_TIR]:[V_FUT_U_JURS CENARIO]], D$5, FALSE)</f>
        <v>#N/A</v>
      </c>
      <c r="E841" s="22" t="e">
        <f>VLOOKUP($A841,TAB_CORRECAO_U[[Q_DIAS_U_PARC_TIR]:[V_FUT_U_CORC-02]],E$5, FALSE)</f>
        <v>#N/A</v>
      </c>
      <c r="F841" s="22" t="e">
        <f>VLOOKUP($A841,TAB_AMORTIZACAO_U[[Q_DIAS_U_PARC_TIR]:[V_FUT_U_PCPL-02]], F$5, FALSE)</f>
        <v>#N/A</v>
      </c>
      <c r="H841" s="20">
        <f t="shared" ref="H841:H904" si="72">IF(ISERROR(I841), 0, I841)</f>
        <v>0</v>
      </c>
      <c r="I841" s="21">
        <f t="shared" ref="I841:I904" si="73">SUMIF(J841:L841, "&gt;0", J841:L841)</f>
        <v>0</v>
      </c>
      <c r="J841" s="22" t="e">
        <f>VLOOKUP($A841, TAB_JUROS_C[[DIAS_CORRIDOS]:[V_FUT_UTEIS]], J$5, FALSE)</f>
        <v>#N/A</v>
      </c>
      <c r="K841" s="22" t="e">
        <f>VLOOKUP($A841, TAB_CORRECAO_C[[DIAS_CORRIDOS]:[V_FUT_UTEIS]],K$5, FALSE)</f>
        <v>#N/A</v>
      </c>
      <c r="L841" s="22" t="e">
        <f>VLOOKUP($A841, TAB_AMORTIZACAO_C[[DIAS_CORRIDOS]:[V_FUT_UTEIS]], L$5, FALSE)</f>
        <v>#N/A</v>
      </c>
    </row>
    <row r="842" spans="1:12" hidden="1">
      <c r="A842" s="19">
        <f t="shared" ref="A842:A905" si="74">A841+1</f>
        <v>836</v>
      </c>
      <c r="B842" s="20">
        <f t="shared" si="70"/>
        <v>0</v>
      </c>
      <c r="C842" s="21">
        <f t="shared" si="71"/>
        <v>0</v>
      </c>
      <c r="D842" s="22" t="e">
        <f>VLOOKUP($A842, TAB_JUROS_U[[Q_DIAS_U_PARC_TIR]:[V_FUT_U_JURS CENARIO]], D$5, FALSE)</f>
        <v>#N/A</v>
      </c>
      <c r="E842" s="22" t="e">
        <f>VLOOKUP($A842,TAB_CORRECAO_U[[Q_DIAS_U_PARC_TIR]:[V_FUT_U_CORC-02]],E$5, FALSE)</f>
        <v>#N/A</v>
      </c>
      <c r="F842" s="22" t="e">
        <f>VLOOKUP($A842,TAB_AMORTIZACAO_U[[Q_DIAS_U_PARC_TIR]:[V_FUT_U_PCPL-02]], F$5, FALSE)</f>
        <v>#N/A</v>
      </c>
      <c r="H842" s="20">
        <f t="shared" si="72"/>
        <v>0</v>
      </c>
      <c r="I842" s="21">
        <f t="shared" si="73"/>
        <v>0</v>
      </c>
      <c r="J842" s="22" t="e">
        <f>VLOOKUP($A842, TAB_JUROS_C[[DIAS_CORRIDOS]:[V_FUT_UTEIS]], J$5, FALSE)</f>
        <v>#N/A</v>
      </c>
      <c r="K842" s="22" t="e">
        <f>VLOOKUP($A842, TAB_CORRECAO_C[[DIAS_CORRIDOS]:[V_FUT_UTEIS]],K$5, FALSE)</f>
        <v>#N/A</v>
      </c>
      <c r="L842" s="22" t="e">
        <f>VLOOKUP($A842, TAB_AMORTIZACAO_C[[DIAS_CORRIDOS]:[V_FUT_UTEIS]], L$5, FALSE)</f>
        <v>#N/A</v>
      </c>
    </row>
    <row r="843" spans="1:12" hidden="1">
      <c r="A843" s="19">
        <f t="shared" si="74"/>
        <v>837</v>
      </c>
      <c r="B843" s="20">
        <f t="shared" si="70"/>
        <v>0</v>
      </c>
      <c r="C843" s="21">
        <f t="shared" si="71"/>
        <v>0</v>
      </c>
      <c r="D843" s="22" t="e">
        <f>VLOOKUP($A843, TAB_JUROS_U[[Q_DIAS_U_PARC_TIR]:[V_FUT_U_JURS CENARIO]], D$5, FALSE)</f>
        <v>#N/A</v>
      </c>
      <c r="E843" s="22" t="e">
        <f>VLOOKUP($A843,TAB_CORRECAO_U[[Q_DIAS_U_PARC_TIR]:[V_FUT_U_CORC-02]],E$5, FALSE)</f>
        <v>#N/A</v>
      </c>
      <c r="F843" s="22" t="e">
        <f>VLOOKUP($A843,TAB_AMORTIZACAO_U[[Q_DIAS_U_PARC_TIR]:[V_FUT_U_PCPL-02]], F$5, FALSE)</f>
        <v>#N/A</v>
      </c>
      <c r="H843" s="20">
        <f t="shared" si="72"/>
        <v>0</v>
      </c>
      <c r="I843" s="21">
        <f t="shared" si="73"/>
        <v>0</v>
      </c>
      <c r="J843" s="22" t="e">
        <f>VLOOKUP($A843, TAB_JUROS_C[[DIAS_CORRIDOS]:[V_FUT_UTEIS]], J$5, FALSE)</f>
        <v>#N/A</v>
      </c>
      <c r="K843" s="22" t="e">
        <f>VLOOKUP($A843, TAB_CORRECAO_C[[DIAS_CORRIDOS]:[V_FUT_UTEIS]],K$5, FALSE)</f>
        <v>#N/A</v>
      </c>
      <c r="L843" s="22" t="e">
        <f>VLOOKUP($A843, TAB_AMORTIZACAO_C[[DIAS_CORRIDOS]:[V_FUT_UTEIS]], L$5, FALSE)</f>
        <v>#N/A</v>
      </c>
    </row>
    <row r="844" spans="1:12" hidden="1">
      <c r="A844" s="19">
        <f t="shared" si="74"/>
        <v>838</v>
      </c>
      <c r="B844" s="20">
        <f t="shared" si="70"/>
        <v>0</v>
      </c>
      <c r="C844" s="21">
        <f t="shared" si="71"/>
        <v>0</v>
      </c>
      <c r="D844" s="22" t="e">
        <f>VLOOKUP($A844, TAB_JUROS_U[[Q_DIAS_U_PARC_TIR]:[V_FUT_U_JURS CENARIO]], D$5, FALSE)</f>
        <v>#N/A</v>
      </c>
      <c r="E844" s="22" t="e">
        <f>VLOOKUP($A844,TAB_CORRECAO_U[[Q_DIAS_U_PARC_TIR]:[V_FUT_U_CORC-02]],E$5, FALSE)</f>
        <v>#N/A</v>
      </c>
      <c r="F844" s="22" t="e">
        <f>VLOOKUP($A844,TAB_AMORTIZACAO_U[[Q_DIAS_U_PARC_TIR]:[V_FUT_U_PCPL-02]], F$5, FALSE)</f>
        <v>#N/A</v>
      </c>
      <c r="H844" s="20">
        <f t="shared" si="72"/>
        <v>0</v>
      </c>
      <c r="I844" s="21">
        <f t="shared" si="73"/>
        <v>0</v>
      </c>
      <c r="J844" s="22" t="e">
        <f>VLOOKUP($A844, TAB_JUROS_C[[DIAS_CORRIDOS]:[V_FUT_UTEIS]], J$5, FALSE)</f>
        <v>#N/A</v>
      </c>
      <c r="K844" s="22" t="e">
        <f>VLOOKUP($A844, TAB_CORRECAO_C[[DIAS_CORRIDOS]:[V_FUT_UTEIS]],K$5, FALSE)</f>
        <v>#N/A</v>
      </c>
      <c r="L844" s="22" t="e">
        <f>VLOOKUP($A844, TAB_AMORTIZACAO_C[[DIAS_CORRIDOS]:[V_FUT_UTEIS]], L$5, FALSE)</f>
        <v>#N/A</v>
      </c>
    </row>
    <row r="845" spans="1:12" hidden="1">
      <c r="A845" s="19">
        <f t="shared" si="74"/>
        <v>839</v>
      </c>
      <c r="B845" s="20">
        <f t="shared" si="70"/>
        <v>0</v>
      </c>
      <c r="C845" s="21">
        <f t="shared" si="71"/>
        <v>0</v>
      </c>
      <c r="D845" s="22" t="e">
        <f>VLOOKUP($A845, TAB_JUROS_U[[Q_DIAS_U_PARC_TIR]:[V_FUT_U_JURS CENARIO]], D$5, FALSE)</f>
        <v>#N/A</v>
      </c>
      <c r="E845" s="22" t="e">
        <f>VLOOKUP($A845,TAB_CORRECAO_U[[Q_DIAS_U_PARC_TIR]:[V_FUT_U_CORC-02]],E$5, FALSE)</f>
        <v>#N/A</v>
      </c>
      <c r="F845" s="22" t="e">
        <f>VLOOKUP($A845,TAB_AMORTIZACAO_U[[Q_DIAS_U_PARC_TIR]:[V_FUT_U_PCPL-02]], F$5, FALSE)</f>
        <v>#N/A</v>
      </c>
      <c r="H845" s="20">
        <f t="shared" si="72"/>
        <v>0</v>
      </c>
      <c r="I845" s="21">
        <f t="shared" si="73"/>
        <v>0</v>
      </c>
      <c r="J845" s="22" t="e">
        <f>VLOOKUP($A845, TAB_JUROS_C[[DIAS_CORRIDOS]:[V_FUT_UTEIS]], J$5, FALSE)</f>
        <v>#N/A</v>
      </c>
      <c r="K845" s="22" t="e">
        <f>VLOOKUP($A845, TAB_CORRECAO_C[[DIAS_CORRIDOS]:[V_FUT_UTEIS]],K$5, FALSE)</f>
        <v>#N/A</v>
      </c>
      <c r="L845" s="22" t="e">
        <f>VLOOKUP($A845, TAB_AMORTIZACAO_C[[DIAS_CORRIDOS]:[V_FUT_UTEIS]], L$5, FALSE)</f>
        <v>#N/A</v>
      </c>
    </row>
    <row r="846" spans="1:12" hidden="1">
      <c r="A846" s="19">
        <f t="shared" si="74"/>
        <v>840</v>
      </c>
      <c r="B846" s="20">
        <f t="shared" si="70"/>
        <v>0</v>
      </c>
      <c r="C846" s="21">
        <f t="shared" si="71"/>
        <v>0</v>
      </c>
      <c r="D846" s="22" t="e">
        <f>VLOOKUP($A846, TAB_JUROS_U[[Q_DIAS_U_PARC_TIR]:[V_FUT_U_JURS CENARIO]], D$5, FALSE)</f>
        <v>#N/A</v>
      </c>
      <c r="E846" s="22" t="e">
        <f>VLOOKUP($A846,TAB_CORRECAO_U[[Q_DIAS_U_PARC_TIR]:[V_FUT_U_CORC-02]],E$5, FALSE)</f>
        <v>#N/A</v>
      </c>
      <c r="F846" s="22" t="e">
        <f>VLOOKUP($A846,TAB_AMORTIZACAO_U[[Q_DIAS_U_PARC_TIR]:[V_FUT_U_PCPL-02]], F$5, FALSE)</f>
        <v>#N/A</v>
      </c>
      <c r="H846" s="20">
        <f t="shared" si="72"/>
        <v>0</v>
      </c>
      <c r="I846" s="21">
        <f t="shared" si="73"/>
        <v>0</v>
      </c>
      <c r="J846" s="22" t="e">
        <f>VLOOKUP($A846, TAB_JUROS_C[[DIAS_CORRIDOS]:[V_FUT_UTEIS]], J$5, FALSE)</f>
        <v>#N/A</v>
      </c>
      <c r="K846" s="22" t="e">
        <f>VLOOKUP($A846, TAB_CORRECAO_C[[DIAS_CORRIDOS]:[V_FUT_UTEIS]],K$5, FALSE)</f>
        <v>#N/A</v>
      </c>
      <c r="L846" s="22" t="e">
        <f>VLOOKUP($A846, TAB_AMORTIZACAO_C[[DIAS_CORRIDOS]:[V_FUT_UTEIS]], L$5, FALSE)</f>
        <v>#N/A</v>
      </c>
    </row>
    <row r="847" spans="1:12" hidden="1">
      <c r="A847" s="19">
        <f t="shared" si="74"/>
        <v>841</v>
      </c>
      <c r="B847" s="20">
        <f t="shared" si="70"/>
        <v>0</v>
      </c>
      <c r="C847" s="21">
        <f t="shared" si="71"/>
        <v>0</v>
      </c>
      <c r="D847" s="22" t="e">
        <f>VLOOKUP($A847, TAB_JUROS_U[[Q_DIAS_U_PARC_TIR]:[V_FUT_U_JURS CENARIO]], D$5, FALSE)</f>
        <v>#N/A</v>
      </c>
      <c r="E847" s="22" t="e">
        <f>VLOOKUP($A847,TAB_CORRECAO_U[[Q_DIAS_U_PARC_TIR]:[V_FUT_U_CORC-02]],E$5, FALSE)</f>
        <v>#N/A</v>
      </c>
      <c r="F847" s="22" t="e">
        <f>VLOOKUP($A847,TAB_AMORTIZACAO_U[[Q_DIAS_U_PARC_TIR]:[V_FUT_U_PCPL-02]], F$5, FALSE)</f>
        <v>#N/A</v>
      </c>
      <c r="H847" s="20">
        <f t="shared" si="72"/>
        <v>0</v>
      </c>
      <c r="I847" s="21">
        <f t="shared" si="73"/>
        <v>0</v>
      </c>
      <c r="J847" s="22" t="e">
        <f>VLOOKUP($A847, TAB_JUROS_C[[DIAS_CORRIDOS]:[V_FUT_UTEIS]], J$5, FALSE)</f>
        <v>#N/A</v>
      </c>
      <c r="K847" s="22" t="e">
        <f>VLOOKUP($A847, TAB_CORRECAO_C[[DIAS_CORRIDOS]:[V_FUT_UTEIS]],K$5, FALSE)</f>
        <v>#N/A</v>
      </c>
      <c r="L847" s="22" t="e">
        <f>VLOOKUP($A847, TAB_AMORTIZACAO_C[[DIAS_CORRIDOS]:[V_FUT_UTEIS]], L$5, FALSE)</f>
        <v>#N/A</v>
      </c>
    </row>
    <row r="848" spans="1:12" hidden="1">
      <c r="A848" s="19">
        <f t="shared" si="74"/>
        <v>842</v>
      </c>
      <c r="B848" s="20">
        <f t="shared" si="70"/>
        <v>0</v>
      </c>
      <c r="C848" s="21">
        <f t="shared" si="71"/>
        <v>0</v>
      </c>
      <c r="D848" s="22" t="e">
        <f>VLOOKUP($A848, TAB_JUROS_U[[Q_DIAS_U_PARC_TIR]:[V_FUT_U_JURS CENARIO]], D$5, FALSE)</f>
        <v>#N/A</v>
      </c>
      <c r="E848" s="22" t="e">
        <f>VLOOKUP($A848,TAB_CORRECAO_U[[Q_DIAS_U_PARC_TIR]:[V_FUT_U_CORC-02]],E$5, FALSE)</f>
        <v>#N/A</v>
      </c>
      <c r="F848" s="22" t="e">
        <f>VLOOKUP($A848,TAB_AMORTIZACAO_U[[Q_DIAS_U_PARC_TIR]:[V_FUT_U_PCPL-02]], F$5, FALSE)</f>
        <v>#N/A</v>
      </c>
      <c r="H848" s="20">
        <f t="shared" si="72"/>
        <v>0</v>
      </c>
      <c r="I848" s="21">
        <f t="shared" si="73"/>
        <v>0</v>
      </c>
      <c r="J848" s="22" t="e">
        <f>VLOOKUP($A848, TAB_JUROS_C[[DIAS_CORRIDOS]:[V_FUT_UTEIS]], J$5, FALSE)</f>
        <v>#N/A</v>
      </c>
      <c r="K848" s="22" t="e">
        <f>VLOOKUP($A848, TAB_CORRECAO_C[[DIAS_CORRIDOS]:[V_FUT_UTEIS]],K$5, FALSE)</f>
        <v>#N/A</v>
      </c>
      <c r="L848" s="22" t="e">
        <f>VLOOKUP($A848, TAB_AMORTIZACAO_C[[DIAS_CORRIDOS]:[V_FUT_UTEIS]], L$5, FALSE)</f>
        <v>#N/A</v>
      </c>
    </row>
    <row r="849" spans="1:12" hidden="1">
      <c r="A849" s="19">
        <f t="shared" si="74"/>
        <v>843</v>
      </c>
      <c r="B849" s="20">
        <f t="shared" si="70"/>
        <v>0</v>
      </c>
      <c r="C849" s="21">
        <f t="shared" si="71"/>
        <v>0</v>
      </c>
      <c r="D849" s="22" t="e">
        <f>VLOOKUP($A849, TAB_JUROS_U[[Q_DIAS_U_PARC_TIR]:[V_FUT_U_JURS CENARIO]], D$5, FALSE)</f>
        <v>#N/A</v>
      </c>
      <c r="E849" s="22" t="e">
        <f>VLOOKUP($A849,TAB_CORRECAO_U[[Q_DIAS_U_PARC_TIR]:[V_FUT_U_CORC-02]],E$5, FALSE)</f>
        <v>#N/A</v>
      </c>
      <c r="F849" s="22" t="e">
        <f>VLOOKUP($A849,TAB_AMORTIZACAO_U[[Q_DIAS_U_PARC_TIR]:[V_FUT_U_PCPL-02]], F$5, FALSE)</f>
        <v>#N/A</v>
      </c>
      <c r="H849" s="20">
        <f t="shared" si="72"/>
        <v>0</v>
      </c>
      <c r="I849" s="21">
        <f t="shared" si="73"/>
        <v>0</v>
      </c>
      <c r="J849" s="22" t="e">
        <f>VLOOKUP($A849, TAB_JUROS_C[[DIAS_CORRIDOS]:[V_FUT_UTEIS]], J$5, FALSE)</f>
        <v>#N/A</v>
      </c>
      <c r="K849" s="22" t="e">
        <f>VLOOKUP($A849, TAB_CORRECAO_C[[DIAS_CORRIDOS]:[V_FUT_UTEIS]],K$5, FALSE)</f>
        <v>#N/A</v>
      </c>
      <c r="L849" s="22" t="e">
        <f>VLOOKUP($A849, TAB_AMORTIZACAO_C[[DIAS_CORRIDOS]:[V_FUT_UTEIS]], L$5, FALSE)</f>
        <v>#N/A</v>
      </c>
    </row>
    <row r="850" spans="1:12" hidden="1">
      <c r="A850" s="19">
        <f t="shared" si="74"/>
        <v>844</v>
      </c>
      <c r="B850" s="20">
        <f t="shared" si="70"/>
        <v>0</v>
      </c>
      <c r="C850" s="21">
        <f t="shared" si="71"/>
        <v>0</v>
      </c>
      <c r="D850" s="22" t="e">
        <f>VLOOKUP($A850, TAB_JUROS_U[[Q_DIAS_U_PARC_TIR]:[V_FUT_U_JURS CENARIO]], D$5, FALSE)</f>
        <v>#N/A</v>
      </c>
      <c r="E850" s="22" t="e">
        <f>VLOOKUP($A850,TAB_CORRECAO_U[[Q_DIAS_U_PARC_TIR]:[V_FUT_U_CORC-02]],E$5, FALSE)</f>
        <v>#N/A</v>
      </c>
      <c r="F850" s="22" t="e">
        <f>VLOOKUP($A850,TAB_AMORTIZACAO_U[[Q_DIAS_U_PARC_TIR]:[V_FUT_U_PCPL-02]], F$5, FALSE)</f>
        <v>#N/A</v>
      </c>
      <c r="H850" s="20">
        <f t="shared" si="72"/>
        <v>0</v>
      </c>
      <c r="I850" s="21">
        <f t="shared" si="73"/>
        <v>0</v>
      </c>
      <c r="J850" s="22" t="e">
        <f>VLOOKUP($A850, TAB_JUROS_C[[DIAS_CORRIDOS]:[V_FUT_UTEIS]], J$5, FALSE)</f>
        <v>#N/A</v>
      </c>
      <c r="K850" s="22" t="e">
        <f>VLOOKUP($A850, TAB_CORRECAO_C[[DIAS_CORRIDOS]:[V_FUT_UTEIS]],K$5, FALSE)</f>
        <v>#N/A</v>
      </c>
      <c r="L850" s="22" t="e">
        <f>VLOOKUP($A850, TAB_AMORTIZACAO_C[[DIAS_CORRIDOS]:[V_FUT_UTEIS]], L$5, FALSE)</f>
        <v>#N/A</v>
      </c>
    </row>
    <row r="851" spans="1:12">
      <c r="A851" s="19">
        <f t="shared" si="74"/>
        <v>845</v>
      </c>
      <c r="B851" s="20">
        <f t="shared" si="70"/>
        <v>1054.1057403058931</v>
      </c>
      <c r="C851" s="21">
        <f t="shared" si="71"/>
        <v>1054.1057403058931</v>
      </c>
      <c r="D851" s="22">
        <f>VLOOKUP($A851, TAB_JUROS_U[[Q_DIAS_U_PARC_TIR]:[V_FUT_U_JURS CENARIO]], D$5, FALSE)</f>
        <v>80.829066067807901</v>
      </c>
      <c r="E851" s="22">
        <f>VLOOKUP($A851,TAB_CORRECAO_U[[Q_DIAS_U_PARC_TIR]:[V_FUT_U_CORC-02]],E$5, FALSE)</f>
        <v>497.12017295314149</v>
      </c>
      <c r="F851" s="22">
        <f>VLOOKUP($A851,TAB_AMORTIZACAO_U[[Q_DIAS_U_PARC_TIR]:[V_FUT_U_PCPL-02]], F$5, FALSE)</f>
        <v>476.15650128494366</v>
      </c>
      <c r="H851" s="20">
        <f t="shared" si="72"/>
        <v>0</v>
      </c>
      <c r="I851" s="21">
        <f t="shared" si="73"/>
        <v>0</v>
      </c>
      <c r="J851" s="22" t="e">
        <f>VLOOKUP($A851, TAB_JUROS_C[[DIAS_CORRIDOS]:[V_FUT_UTEIS]], J$5, FALSE)</f>
        <v>#N/A</v>
      </c>
      <c r="K851" s="22" t="e">
        <f>VLOOKUP($A851, TAB_CORRECAO_C[[DIAS_CORRIDOS]:[V_FUT_UTEIS]],K$5, FALSE)</f>
        <v>#N/A</v>
      </c>
      <c r="L851" s="22" t="e">
        <f>VLOOKUP($A851, TAB_AMORTIZACAO_C[[DIAS_CORRIDOS]:[V_FUT_UTEIS]], L$5, FALSE)</f>
        <v>#N/A</v>
      </c>
    </row>
    <row r="852" spans="1:12" hidden="1">
      <c r="A852" s="19">
        <f t="shared" si="74"/>
        <v>846</v>
      </c>
      <c r="B852" s="20">
        <f t="shared" si="70"/>
        <v>0</v>
      </c>
      <c r="C852" s="21">
        <f t="shared" si="71"/>
        <v>0</v>
      </c>
      <c r="D852" s="22" t="e">
        <f>VLOOKUP($A852, TAB_JUROS_U[[Q_DIAS_U_PARC_TIR]:[V_FUT_U_JURS CENARIO]], D$5, FALSE)</f>
        <v>#N/A</v>
      </c>
      <c r="E852" s="22" t="e">
        <f>VLOOKUP($A852,TAB_CORRECAO_U[[Q_DIAS_U_PARC_TIR]:[V_FUT_U_CORC-02]],E$5, FALSE)</f>
        <v>#N/A</v>
      </c>
      <c r="F852" s="22" t="e">
        <f>VLOOKUP($A852,TAB_AMORTIZACAO_U[[Q_DIAS_U_PARC_TIR]:[V_FUT_U_PCPL-02]], F$5, FALSE)</f>
        <v>#N/A</v>
      </c>
      <c r="H852" s="20">
        <f t="shared" si="72"/>
        <v>0</v>
      </c>
      <c r="I852" s="21">
        <f t="shared" si="73"/>
        <v>0</v>
      </c>
      <c r="J852" s="22" t="e">
        <f>VLOOKUP($A852, TAB_JUROS_C[[DIAS_CORRIDOS]:[V_FUT_UTEIS]], J$5, FALSE)</f>
        <v>#N/A</v>
      </c>
      <c r="K852" s="22" t="e">
        <f>VLOOKUP($A852, TAB_CORRECAO_C[[DIAS_CORRIDOS]:[V_FUT_UTEIS]],K$5, FALSE)</f>
        <v>#N/A</v>
      </c>
      <c r="L852" s="22" t="e">
        <f>VLOOKUP($A852, TAB_AMORTIZACAO_C[[DIAS_CORRIDOS]:[V_FUT_UTEIS]], L$5, FALSE)</f>
        <v>#N/A</v>
      </c>
    </row>
    <row r="853" spans="1:12" hidden="1">
      <c r="A853" s="19">
        <f t="shared" si="74"/>
        <v>847</v>
      </c>
      <c r="B853" s="20">
        <f t="shared" si="70"/>
        <v>0</v>
      </c>
      <c r="C853" s="21">
        <f t="shared" si="71"/>
        <v>0</v>
      </c>
      <c r="D853" s="22" t="e">
        <f>VLOOKUP($A853, TAB_JUROS_U[[Q_DIAS_U_PARC_TIR]:[V_FUT_U_JURS CENARIO]], D$5, FALSE)</f>
        <v>#N/A</v>
      </c>
      <c r="E853" s="22" t="e">
        <f>VLOOKUP($A853,TAB_CORRECAO_U[[Q_DIAS_U_PARC_TIR]:[V_FUT_U_CORC-02]],E$5, FALSE)</f>
        <v>#N/A</v>
      </c>
      <c r="F853" s="22" t="e">
        <f>VLOOKUP($A853,TAB_AMORTIZACAO_U[[Q_DIAS_U_PARC_TIR]:[V_FUT_U_PCPL-02]], F$5, FALSE)</f>
        <v>#N/A</v>
      </c>
      <c r="H853" s="20">
        <f t="shared" si="72"/>
        <v>0</v>
      </c>
      <c r="I853" s="21">
        <f t="shared" si="73"/>
        <v>0</v>
      </c>
      <c r="J853" s="22" t="e">
        <f>VLOOKUP($A853, TAB_JUROS_C[[DIAS_CORRIDOS]:[V_FUT_UTEIS]], J$5, FALSE)</f>
        <v>#N/A</v>
      </c>
      <c r="K853" s="22" t="e">
        <f>VLOOKUP($A853, TAB_CORRECAO_C[[DIAS_CORRIDOS]:[V_FUT_UTEIS]],K$5, FALSE)</f>
        <v>#N/A</v>
      </c>
      <c r="L853" s="22" t="e">
        <f>VLOOKUP($A853, TAB_AMORTIZACAO_C[[DIAS_CORRIDOS]:[V_FUT_UTEIS]], L$5, FALSE)</f>
        <v>#N/A</v>
      </c>
    </row>
    <row r="854" spans="1:12" hidden="1">
      <c r="A854" s="19">
        <f t="shared" si="74"/>
        <v>848</v>
      </c>
      <c r="B854" s="20">
        <f t="shared" si="70"/>
        <v>0</v>
      </c>
      <c r="C854" s="21">
        <f t="shared" si="71"/>
        <v>0</v>
      </c>
      <c r="D854" s="22" t="e">
        <f>VLOOKUP($A854, TAB_JUROS_U[[Q_DIAS_U_PARC_TIR]:[V_FUT_U_JURS CENARIO]], D$5, FALSE)</f>
        <v>#N/A</v>
      </c>
      <c r="E854" s="22" t="e">
        <f>VLOOKUP($A854,TAB_CORRECAO_U[[Q_DIAS_U_PARC_TIR]:[V_FUT_U_CORC-02]],E$5, FALSE)</f>
        <v>#N/A</v>
      </c>
      <c r="F854" s="22" t="e">
        <f>VLOOKUP($A854,TAB_AMORTIZACAO_U[[Q_DIAS_U_PARC_TIR]:[V_FUT_U_PCPL-02]], F$5, FALSE)</f>
        <v>#N/A</v>
      </c>
      <c r="H854" s="20">
        <f t="shared" si="72"/>
        <v>0</v>
      </c>
      <c r="I854" s="21">
        <f t="shared" si="73"/>
        <v>0</v>
      </c>
      <c r="J854" s="22" t="e">
        <f>VLOOKUP($A854, TAB_JUROS_C[[DIAS_CORRIDOS]:[V_FUT_UTEIS]], J$5, FALSE)</f>
        <v>#N/A</v>
      </c>
      <c r="K854" s="22" t="e">
        <f>VLOOKUP($A854, TAB_CORRECAO_C[[DIAS_CORRIDOS]:[V_FUT_UTEIS]],K$5, FALSE)</f>
        <v>#N/A</v>
      </c>
      <c r="L854" s="22" t="e">
        <f>VLOOKUP($A854, TAB_AMORTIZACAO_C[[DIAS_CORRIDOS]:[V_FUT_UTEIS]], L$5, FALSE)</f>
        <v>#N/A</v>
      </c>
    </row>
    <row r="855" spans="1:12" hidden="1">
      <c r="A855" s="19">
        <f t="shared" si="74"/>
        <v>849</v>
      </c>
      <c r="B855" s="20">
        <f t="shared" si="70"/>
        <v>0</v>
      </c>
      <c r="C855" s="21">
        <f t="shared" si="71"/>
        <v>0</v>
      </c>
      <c r="D855" s="22" t="e">
        <f>VLOOKUP($A855, TAB_JUROS_U[[Q_DIAS_U_PARC_TIR]:[V_FUT_U_JURS CENARIO]], D$5, FALSE)</f>
        <v>#N/A</v>
      </c>
      <c r="E855" s="22" t="e">
        <f>VLOOKUP($A855,TAB_CORRECAO_U[[Q_DIAS_U_PARC_TIR]:[V_FUT_U_CORC-02]],E$5, FALSE)</f>
        <v>#N/A</v>
      </c>
      <c r="F855" s="22" t="e">
        <f>VLOOKUP($A855,TAB_AMORTIZACAO_U[[Q_DIAS_U_PARC_TIR]:[V_FUT_U_PCPL-02]], F$5, FALSE)</f>
        <v>#N/A</v>
      </c>
      <c r="H855" s="20">
        <f t="shared" si="72"/>
        <v>0</v>
      </c>
      <c r="I855" s="21">
        <f t="shared" si="73"/>
        <v>0</v>
      </c>
      <c r="J855" s="22" t="e">
        <f>VLOOKUP($A855, TAB_JUROS_C[[DIAS_CORRIDOS]:[V_FUT_UTEIS]], J$5, FALSE)</f>
        <v>#N/A</v>
      </c>
      <c r="K855" s="22" t="e">
        <f>VLOOKUP($A855, TAB_CORRECAO_C[[DIAS_CORRIDOS]:[V_FUT_UTEIS]],K$5, FALSE)</f>
        <v>#N/A</v>
      </c>
      <c r="L855" s="22" t="e">
        <f>VLOOKUP($A855, TAB_AMORTIZACAO_C[[DIAS_CORRIDOS]:[V_FUT_UTEIS]], L$5, FALSE)</f>
        <v>#N/A</v>
      </c>
    </row>
    <row r="856" spans="1:12" hidden="1">
      <c r="A856" s="19">
        <f t="shared" si="74"/>
        <v>850</v>
      </c>
      <c r="B856" s="20">
        <f t="shared" si="70"/>
        <v>0</v>
      </c>
      <c r="C856" s="21">
        <f t="shared" si="71"/>
        <v>0</v>
      </c>
      <c r="D856" s="22" t="e">
        <f>VLOOKUP($A856, TAB_JUROS_U[[Q_DIAS_U_PARC_TIR]:[V_FUT_U_JURS CENARIO]], D$5, FALSE)</f>
        <v>#N/A</v>
      </c>
      <c r="E856" s="22" t="e">
        <f>VLOOKUP($A856,TAB_CORRECAO_U[[Q_DIAS_U_PARC_TIR]:[V_FUT_U_CORC-02]],E$5, FALSE)</f>
        <v>#N/A</v>
      </c>
      <c r="F856" s="22" t="e">
        <f>VLOOKUP($A856,TAB_AMORTIZACAO_U[[Q_DIAS_U_PARC_TIR]:[V_FUT_U_PCPL-02]], F$5, FALSE)</f>
        <v>#N/A</v>
      </c>
      <c r="H856" s="20">
        <f t="shared" si="72"/>
        <v>0</v>
      </c>
      <c r="I856" s="21">
        <f t="shared" si="73"/>
        <v>0</v>
      </c>
      <c r="J856" s="22" t="e">
        <f>VLOOKUP($A856, TAB_JUROS_C[[DIAS_CORRIDOS]:[V_FUT_UTEIS]], J$5, FALSE)</f>
        <v>#N/A</v>
      </c>
      <c r="K856" s="22" t="e">
        <f>VLOOKUP($A856, TAB_CORRECAO_C[[DIAS_CORRIDOS]:[V_FUT_UTEIS]],K$5, FALSE)</f>
        <v>#N/A</v>
      </c>
      <c r="L856" s="22" t="e">
        <f>VLOOKUP($A856, TAB_AMORTIZACAO_C[[DIAS_CORRIDOS]:[V_FUT_UTEIS]], L$5, FALSE)</f>
        <v>#N/A</v>
      </c>
    </row>
    <row r="857" spans="1:12" hidden="1">
      <c r="A857" s="19">
        <f t="shared" si="74"/>
        <v>851</v>
      </c>
      <c r="B857" s="20">
        <f t="shared" si="70"/>
        <v>0</v>
      </c>
      <c r="C857" s="21">
        <f t="shared" si="71"/>
        <v>0</v>
      </c>
      <c r="D857" s="22" t="e">
        <f>VLOOKUP($A857, TAB_JUROS_U[[Q_DIAS_U_PARC_TIR]:[V_FUT_U_JURS CENARIO]], D$5, FALSE)</f>
        <v>#N/A</v>
      </c>
      <c r="E857" s="22" t="e">
        <f>VLOOKUP($A857,TAB_CORRECAO_U[[Q_DIAS_U_PARC_TIR]:[V_FUT_U_CORC-02]],E$5, FALSE)</f>
        <v>#N/A</v>
      </c>
      <c r="F857" s="22" t="e">
        <f>VLOOKUP($A857,TAB_AMORTIZACAO_U[[Q_DIAS_U_PARC_TIR]:[V_FUT_U_PCPL-02]], F$5, FALSE)</f>
        <v>#N/A</v>
      </c>
      <c r="H857" s="20">
        <f t="shared" si="72"/>
        <v>0</v>
      </c>
      <c r="I857" s="21">
        <f t="shared" si="73"/>
        <v>0</v>
      </c>
      <c r="J857" s="22" t="e">
        <f>VLOOKUP($A857, TAB_JUROS_C[[DIAS_CORRIDOS]:[V_FUT_UTEIS]], J$5, FALSE)</f>
        <v>#N/A</v>
      </c>
      <c r="K857" s="22" t="e">
        <f>VLOOKUP($A857, TAB_CORRECAO_C[[DIAS_CORRIDOS]:[V_FUT_UTEIS]],K$5, FALSE)</f>
        <v>#N/A</v>
      </c>
      <c r="L857" s="22" t="e">
        <f>VLOOKUP($A857, TAB_AMORTIZACAO_C[[DIAS_CORRIDOS]:[V_FUT_UTEIS]], L$5, FALSE)</f>
        <v>#N/A</v>
      </c>
    </row>
    <row r="858" spans="1:12" hidden="1">
      <c r="A858" s="19">
        <f t="shared" si="74"/>
        <v>852</v>
      </c>
      <c r="B858" s="20">
        <f t="shared" si="70"/>
        <v>0</v>
      </c>
      <c r="C858" s="21">
        <f t="shared" si="71"/>
        <v>0</v>
      </c>
      <c r="D858" s="22" t="e">
        <f>VLOOKUP($A858, TAB_JUROS_U[[Q_DIAS_U_PARC_TIR]:[V_FUT_U_JURS CENARIO]], D$5, FALSE)</f>
        <v>#N/A</v>
      </c>
      <c r="E858" s="22" t="e">
        <f>VLOOKUP($A858,TAB_CORRECAO_U[[Q_DIAS_U_PARC_TIR]:[V_FUT_U_CORC-02]],E$5, FALSE)</f>
        <v>#N/A</v>
      </c>
      <c r="F858" s="22" t="e">
        <f>VLOOKUP($A858,TAB_AMORTIZACAO_U[[Q_DIAS_U_PARC_TIR]:[V_FUT_U_PCPL-02]], F$5, FALSE)</f>
        <v>#N/A</v>
      </c>
      <c r="H858" s="20">
        <f t="shared" si="72"/>
        <v>0</v>
      </c>
      <c r="I858" s="21">
        <f t="shared" si="73"/>
        <v>0</v>
      </c>
      <c r="J858" s="22" t="e">
        <f>VLOOKUP($A858, TAB_JUROS_C[[DIAS_CORRIDOS]:[V_FUT_UTEIS]], J$5, FALSE)</f>
        <v>#N/A</v>
      </c>
      <c r="K858" s="22" t="e">
        <f>VLOOKUP($A858, TAB_CORRECAO_C[[DIAS_CORRIDOS]:[V_FUT_UTEIS]],K$5, FALSE)</f>
        <v>#N/A</v>
      </c>
      <c r="L858" s="22" t="e">
        <f>VLOOKUP($A858, TAB_AMORTIZACAO_C[[DIAS_CORRIDOS]:[V_FUT_UTEIS]], L$5, FALSE)</f>
        <v>#N/A</v>
      </c>
    </row>
    <row r="859" spans="1:12" hidden="1">
      <c r="A859" s="19">
        <f t="shared" si="74"/>
        <v>853</v>
      </c>
      <c r="B859" s="20">
        <f t="shared" si="70"/>
        <v>0</v>
      </c>
      <c r="C859" s="21">
        <f t="shared" si="71"/>
        <v>0</v>
      </c>
      <c r="D859" s="22" t="e">
        <f>VLOOKUP($A859, TAB_JUROS_U[[Q_DIAS_U_PARC_TIR]:[V_FUT_U_JURS CENARIO]], D$5, FALSE)</f>
        <v>#N/A</v>
      </c>
      <c r="E859" s="22" t="e">
        <f>VLOOKUP($A859,TAB_CORRECAO_U[[Q_DIAS_U_PARC_TIR]:[V_FUT_U_CORC-02]],E$5, FALSE)</f>
        <v>#N/A</v>
      </c>
      <c r="F859" s="22" t="e">
        <f>VLOOKUP($A859,TAB_AMORTIZACAO_U[[Q_DIAS_U_PARC_TIR]:[V_FUT_U_PCPL-02]], F$5, FALSE)</f>
        <v>#N/A</v>
      </c>
      <c r="H859" s="20">
        <f t="shared" si="72"/>
        <v>0</v>
      </c>
      <c r="I859" s="21">
        <f t="shared" si="73"/>
        <v>0</v>
      </c>
      <c r="J859" s="22" t="e">
        <f>VLOOKUP($A859, TAB_JUROS_C[[DIAS_CORRIDOS]:[V_FUT_UTEIS]], J$5, FALSE)</f>
        <v>#N/A</v>
      </c>
      <c r="K859" s="22" t="e">
        <f>VLOOKUP($A859, TAB_CORRECAO_C[[DIAS_CORRIDOS]:[V_FUT_UTEIS]],K$5, FALSE)</f>
        <v>#N/A</v>
      </c>
      <c r="L859" s="22" t="e">
        <f>VLOOKUP($A859, TAB_AMORTIZACAO_C[[DIAS_CORRIDOS]:[V_FUT_UTEIS]], L$5, FALSE)</f>
        <v>#N/A</v>
      </c>
    </row>
    <row r="860" spans="1:12" hidden="1">
      <c r="A860" s="19">
        <f t="shared" si="74"/>
        <v>854</v>
      </c>
      <c r="B860" s="20">
        <f t="shared" si="70"/>
        <v>0</v>
      </c>
      <c r="C860" s="21">
        <f t="shared" si="71"/>
        <v>0</v>
      </c>
      <c r="D860" s="22" t="e">
        <f>VLOOKUP($A860, TAB_JUROS_U[[Q_DIAS_U_PARC_TIR]:[V_FUT_U_JURS CENARIO]], D$5, FALSE)</f>
        <v>#N/A</v>
      </c>
      <c r="E860" s="22" t="e">
        <f>VLOOKUP($A860,TAB_CORRECAO_U[[Q_DIAS_U_PARC_TIR]:[V_FUT_U_CORC-02]],E$5, FALSE)</f>
        <v>#N/A</v>
      </c>
      <c r="F860" s="22" t="e">
        <f>VLOOKUP($A860,TAB_AMORTIZACAO_U[[Q_DIAS_U_PARC_TIR]:[V_FUT_U_PCPL-02]], F$5, FALSE)</f>
        <v>#N/A</v>
      </c>
      <c r="H860" s="20">
        <f t="shared" si="72"/>
        <v>0</v>
      </c>
      <c r="I860" s="21">
        <f t="shared" si="73"/>
        <v>0</v>
      </c>
      <c r="J860" s="22" t="e">
        <f>VLOOKUP($A860, TAB_JUROS_C[[DIAS_CORRIDOS]:[V_FUT_UTEIS]], J$5, FALSE)</f>
        <v>#N/A</v>
      </c>
      <c r="K860" s="22" t="e">
        <f>VLOOKUP($A860, TAB_CORRECAO_C[[DIAS_CORRIDOS]:[V_FUT_UTEIS]],K$5, FALSE)</f>
        <v>#N/A</v>
      </c>
      <c r="L860" s="22" t="e">
        <f>VLOOKUP($A860, TAB_AMORTIZACAO_C[[DIAS_CORRIDOS]:[V_FUT_UTEIS]], L$5, FALSE)</f>
        <v>#N/A</v>
      </c>
    </row>
    <row r="861" spans="1:12" hidden="1">
      <c r="A861" s="19">
        <f t="shared" si="74"/>
        <v>855</v>
      </c>
      <c r="B861" s="20">
        <f t="shared" si="70"/>
        <v>0</v>
      </c>
      <c r="C861" s="21">
        <f t="shared" si="71"/>
        <v>0</v>
      </c>
      <c r="D861" s="22" t="e">
        <f>VLOOKUP($A861, TAB_JUROS_U[[Q_DIAS_U_PARC_TIR]:[V_FUT_U_JURS CENARIO]], D$5, FALSE)</f>
        <v>#N/A</v>
      </c>
      <c r="E861" s="22" t="e">
        <f>VLOOKUP($A861,TAB_CORRECAO_U[[Q_DIAS_U_PARC_TIR]:[V_FUT_U_CORC-02]],E$5, FALSE)</f>
        <v>#N/A</v>
      </c>
      <c r="F861" s="22" t="e">
        <f>VLOOKUP($A861,TAB_AMORTIZACAO_U[[Q_DIAS_U_PARC_TIR]:[V_FUT_U_PCPL-02]], F$5, FALSE)</f>
        <v>#N/A</v>
      </c>
      <c r="H861" s="20">
        <f t="shared" si="72"/>
        <v>0</v>
      </c>
      <c r="I861" s="21">
        <f t="shared" si="73"/>
        <v>0</v>
      </c>
      <c r="J861" s="22" t="e">
        <f>VLOOKUP($A861, TAB_JUROS_C[[DIAS_CORRIDOS]:[V_FUT_UTEIS]], J$5, FALSE)</f>
        <v>#N/A</v>
      </c>
      <c r="K861" s="22" t="e">
        <f>VLOOKUP($A861, TAB_CORRECAO_C[[DIAS_CORRIDOS]:[V_FUT_UTEIS]],K$5, FALSE)</f>
        <v>#N/A</v>
      </c>
      <c r="L861" s="22" t="e">
        <f>VLOOKUP($A861, TAB_AMORTIZACAO_C[[DIAS_CORRIDOS]:[V_FUT_UTEIS]], L$5, FALSE)</f>
        <v>#N/A</v>
      </c>
    </row>
    <row r="862" spans="1:12" hidden="1">
      <c r="A862" s="19">
        <f t="shared" si="74"/>
        <v>856</v>
      </c>
      <c r="B862" s="20">
        <f t="shared" si="70"/>
        <v>0</v>
      </c>
      <c r="C862" s="21">
        <f t="shared" si="71"/>
        <v>0</v>
      </c>
      <c r="D862" s="22" t="e">
        <f>VLOOKUP($A862, TAB_JUROS_U[[Q_DIAS_U_PARC_TIR]:[V_FUT_U_JURS CENARIO]], D$5, FALSE)</f>
        <v>#N/A</v>
      </c>
      <c r="E862" s="22" t="e">
        <f>VLOOKUP($A862,TAB_CORRECAO_U[[Q_DIAS_U_PARC_TIR]:[V_FUT_U_CORC-02]],E$5, FALSE)</f>
        <v>#N/A</v>
      </c>
      <c r="F862" s="22" t="e">
        <f>VLOOKUP($A862,TAB_AMORTIZACAO_U[[Q_DIAS_U_PARC_TIR]:[V_FUT_U_PCPL-02]], F$5, FALSE)</f>
        <v>#N/A</v>
      </c>
      <c r="H862" s="20">
        <f t="shared" si="72"/>
        <v>0</v>
      </c>
      <c r="I862" s="21">
        <f t="shared" si="73"/>
        <v>0</v>
      </c>
      <c r="J862" s="22" t="e">
        <f>VLOOKUP($A862, TAB_JUROS_C[[DIAS_CORRIDOS]:[V_FUT_UTEIS]], J$5, FALSE)</f>
        <v>#N/A</v>
      </c>
      <c r="K862" s="22" t="e">
        <f>VLOOKUP($A862, TAB_CORRECAO_C[[DIAS_CORRIDOS]:[V_FUT_UTEIS]],K$5, FALSE)</f>
        <v>#N/A</v>
      </c>
      <c r="L862" s="22" t="e">
        <f>VLOOKUP($A862, TAB_AMORTIZACAO_C[[DIAS_CORRIDOS]:[V_FUT_UTEIS]], L$5, FALSE)</f>
        <v>#N/A</v>
      </c>
    </row>
    <row r="863" spans="1:12" hidden="1">
      <c r="A863" s="19">
        <f t="shared" si="74"/>
        <v>857</v>
      </c>
      <c r="B863" s="20">
        <f t="shared" si="70"/>
        <v>0</v>
      </c>
      <c r="C863" s="21">
        <f t="shared" si="71"/>
        <v>0</v>
      </c>
      <c r="D863" s="22" t="e">
        <f>VLOOKUP($A863, TAB_JUROS_U[[Q_DIAS_U_PARC_TIR]:[V_FUT_U_JURS CENARIO]], D$5, FALSE)</f>
        <v>#N/A</v>
      </c>
      <c r="E863" s="22" t="e">
        <f>VLOOKUP($A863,TAB_CORRECAO_U[[Q_DIAS_U_PARC_TIR]:[V_FUT_U_CORC-02]],E$5, FALSE)</f>
        <v>#N/A</v>
      </c>
      <c r="F863" s="22" t="e">
        <f>VLOOKUP($A863,TAB_AMORTIZACAO_U[[Q_DIAS_U_PARC_TIR]:[V_FUT_U_PCPL-02]], F$5, FALSE)</f>
        <v>#N/A</v>
      </c>
      <c r="H863" s="20">
        <f t="shared" si="72"/>
        <v>0</v>
      </c>
      <c r="I863" s="21">
        <f t="shared" si="73"/>
        <v>0</v>
      </c>
      <c r="J863" s="22" t="e">
        <f>VLOOKUP($A863, TAB_JUROS_C[[DIAS_CORRIDOS]:[V_FUT_UTEIS]], J$5, FALSE)</f>
        <v>#N/A</v>
      </c>
      <c r="K863" s="22" t="e">
        <f>VLOOKUP($A863, TAB_CORRECAO_C[[DIAS_CORRIDOS]:[V_FUT_UTEIS]],K$5, FALSE)</f>
        <v>#N/A</v>
      </c>
      <c r="L863" s="22" t="e">
        <f>VLOOKUP($A863, TAB_AMORTIZACAO_C[[DIAS_CORRIDOS]:[V_FUT_UTEIS]], L$5, FALSE)</f>
        <v>#N/A</v>
      </c>
    </row>
    <row r="864" spans="1:12" hidden="1">
      <c r="A864" s="19">
        <f t="shared" si="74"/>
        <v>858</v>
      </c>
      <c r="B864" s="20">
        <f t="shared" si="70"/>
        <v>0</v>
      </c>
      <c r="C864" s="21">
        <f t="shared" si="71"/>
        <v>0</v>
      </c>
      <c r="D864" s="22" t="e">
        <f>VLOOKUP($A864, TAB_JUROS_U[[Q_DIAS_U_PARC_TIR]:[V_FUT_U_JURS CENARIO]], D$5, FALSE)</f>
        <v>#N/A</v>
      </c>
      <c r="E864" s="22" t="e">
        <f>VLOOKUP($A864,TAB_CORRECAO_U[[Q_DIAS_U_PARC_TIR]:[V_FUT_U_CORC-02]],E$5, FALSE)</f>
        <v>#N/A</v>
      </c>
      <c r="F864" s="22" t="e">
        <f>VLOOKUP($A864,TAB_AMORTIZACAO_U[[Q_DIAS_U_PARC_TIR]:[V_FUT_U_PCPL-02]], F$5, FALSE)</f>
        <v>#N/A</v>
      </c>
      <c r="H864" s="20">
        <f t="shared" si="72"/>
        <v>0</v>
      </c>
      <c r="I864" s="21">
        <f t="shared" si="73"/>
        <v>0</v>
      </c>
      <c r="J864" s="22" t="e">
        <f>VLOOKUP($A864, TAB_JUROS_C[[DIAS_CORRIDOS]:[V_FUT_UTEIS]], J$5, FALSE)</f>
        <v>#N/A</v>
      </c>
      <c r="K864" s="22" t="e">
        <f>VLOOKUP($A864, TAB_CORRECAO_C[[DIAS_CORRIDOS]:[V_FUT_UTEIS]],K$5, FALSE)</f>
        <v>#N/A</v>
      </c>
      <c r="L864" s="22" t="e">
        <f>VLOOKUP($A864, TAB_AMORTIZACAO_C[[DIAS_CORRIDOS]:[V_FUT_UTEIS]], L$5, FALSE)</f>
        <v>#N/A</v>
      </c>
    </row>
    <row r="865" spans="1:12" hidden="1">
      <c r="A865" s="19">
        <f t="shared" si="74"/>
        <v>859</v>
      </c>
      <c r="B865" s="20">
        <f t="shared" si="70"/>
        <v>0</v>
      </c>
      <c r="C865" s="21">
        <f t="shared" si="71"/>
        <v>0</v>
      </c>
      <c r="D865" s="22" t="e">
        <f>VLOOKUP($A865, TAB_JUROS_U[[Q_DIAS_U_PARC_TIR]:[V_FUT_U_JURS CENARIO]], D$5, FALSE)</f>
        <v>#N/A</v>
      </c>
      <c r="E865" s="22" t="e">
        <f>VLOOKUP($A865,TAB_CORRECAO_U[[Q_DIAS_U_PARC_TIR]:[V_FUT_U_CORC-02]],E$5, FALSE)</f>
        <v>#N/A</v>
      </c>
      <c r="F865" s="22" t="e">
        <f>VLOOKUP($A865,TAB_AMORTIZACAO_U[[Q_DIAS_U_PARC_TIR]:[V_FUT_U_PCPL-02]], F$5, FALSE)</f>
        <v>#N/A</v>
      </c>
      <c r="H865" s="20">
        <f t="shared" si="72"/>
        <v>0</v>
      </c>
      <c r="I865" s="21">
        <f t="shared" si="73"/>
        <v>0</v>
      </c>
      <c r="J865" s="22" t="e">
        <f>VLOOKUP($A865, TAB_JUROS_C[[DIAS_CORRIDOS]:[V_FUT_UTEIS]], J$5, FALSE)</f>
        <v>#N/A</v>
      </c>
      <c r="K865" s="22" t="e">
        <f>VLOOKUP($A865, TAB_CORRECAO_C[[DIAS_CORRIDOS]:[V_FUT_UTEIS]],K$5, FALSE)</f>
        <v>#N/A</v>
      </c>
      <c r="L865" s="22" t="e">
        <f>VLOOKUP($A865, TAB_AMORTIZACAO_C[[DIAS_CORRIDOS]:[V_FUT_UTEIS]], L$5, FALSE)</f>
        <v>#N/A</v>
      </c>
    </row>
    <row r="866" spans="1:12" hidden="1">
      <c r="A866" s="19">
        <f t="shared" si="74"/>
        <v>860</v>
      </c>
      <c r="B866" s="20">
        <f t="shared" si="70"/>
        <v>0</v>
      </c>
      <c r="C866" s="21">
        <f t="shared" si="71"/>
        <v>0</v>
      </c>
      <c r="D866" s="22" t="e">
        <f>VLOOKUP($A866, TAB_JUROS_U[[Q_DIAS_U_PARC_TIR]:[V_FUT_U_JURS CENARIO]], D$5, FALSE)</f>
        <v>#N/A</v>
      </c>
      <c r="E866" s="22" t="e">
        <f>VLOOKUP($A866,TAB_CORRECAO_U[[Q_DIAS_U_PARC_TIR]:[V_FUT_U_CORC-02]],E$5, FALSE)</f>
        <v>#N/A</v>
      </c>
      <c r="F866" s="22" t="e">
        <f>VLOOKUP($A866,TAB_AMORTIZACAO_U[[Q_DIAS_U_PARC_TIR]:[V_FUT_U_PCPL-02]], F$5, FALSE)</f>
        <v>#N/A</v>
      </c>
      <c r="H866" s="20">
        <f t="shared" si="72"/>
        <v>0</v>
      </c>
      <c r="I866" s="21">
        <f t="shared" si="73"/>
        <v>0</v>
      </c>
      <c r="J866" s="22" t="e">
        <f>VLOOKUP($A866, TAB_JUROS_C[[DIAS_CORRIDOS]:[V_FUT_UTEIS]], J$5, FALSE)</f>
        <v>#N/A</v>
      </c>
      <c r="K866" s="22" t="e">
        <f>VLOOKUP($A866, TAB_CORRECAO_C[[DIAS_CORRIDOS]:[V_FUT_UTEIS]],K$5, FALSE)</f>
        <v>#N/A</v>
      </c>
      <c r="L866" s="22" t="e">
        <f>VLOOKUP($A866, TAB_AMORTIZACAO_C[[DIAS_CORRIDOS]:[V_FUT_UTEIS]], L$5, FALSE)</f>
        <v>#N/A</v>
      </c>
    </row>
    <row r="867" spans="1:12" hidden="1">
      <c r="A867" s="19">
        <f t="shared" si="74"/>
        <v>861</v>
      </c>
      <c r="B867" s="20">
        <f t="shared" si="70"/>
        <v>0</v>
      </c>
      <c r="C867" s="21">
        <f t="shared" si="71"/>
        <v>0</v>
      </c>
      <c r="D867" s="22" t="e">
        <f>VLOOKUP($A867, TAB_JUROS_U[[Q_DIAS_U_PARC_TIR]:[V_FUT_U_JURS CENARIO]], D$5, FALSE)</f>
        <v>#N/A</v>
      </c>
      <c r="E867" s="22" t="e">
        <f>VLOOKUP($A867,TAB_CORRECAO_U[[Q_DIAS_U_PARC_TIR]:[V_FUT_U_CORC-02]],E$5, FALSE)</f>
        <v>#N/A</v>
      </c>
      <c r="F867" s="22" t="e">
        <f>VLOOKUP($A867,TAB_AMORTIZACAO_U[[Q_DIAS_U_PARC_TIR]:[V_FUT_U_PCPL-02]], F$5, FALSE)</f>
        <v>#N/A</v>
      </c>
      <c r="H867" s="20">
        <f t="shared" si="72"/>
        <v>0</v>
      </c>
      <c r="I867" s="21">
        <f t="shared" si="73"/>
        <v>0</v>
      </c>
      <c r="J867" s="22" t="e">
        <f>VLOOKUP($A867, TAB_JUROS_C[[DIAS_CORRIDOS]:[V_FUT_UTEIS]], J$5, FALSE)</f>
        <v>#N/A</v>
      </c>
      <c r="K867" s="22" t="e">
        <f>VLOOKUP($A867, TAB_CORRECAO_C[[DIAS_CORRIDOS]:[V_FUT_UTEIS]],K$5, FALSE)</f>
        <v>#N/A</v>
      </c>
      <c r="L867" s="22" t="e">
        <f>VLOOKUP($A867, TAB_AMORTIZACAO_C[[DIAS_CORRIDOS]:[V_FUT_UTEIS]], L$5, FALSE)</f>
        <v>#N/A</v>
      </c>
    </row>
    <row r="868" spans="1:12" hidden="1">
      <c r="A868" s="19">
        <f t="shared" si="74"/>
        <v>862</v>
      </c>
      <c r="B868" s="20">
        <f t="shared" si="70"/>
        <v>0</v>
      </c>
      <c r="C868" s="21">
        <f t="shared" si="71"/>
        <v>0</v>
      </c>
      <c r="D868" s="22" t="e">
        <f>VLOOKUP($A868, TAB_JUROS_U[[Q_DIAS_U_PARC_TIR]:[V_FUT_U_JURS CENARIO]], D$5, FALSE)</f>
        <v>#N/A</v>
      </c>
      <c r="E868" s="22" t="e">
        <f>VLOOKUP($A868,TAB_CORRECAO_U[[Q_DIAS_U_PARC_TIR]:[V_FUT_U_CORC-02]],E$5, FALSE)</f>
        <v>#N/A</v>
      </c>
      <c r="F868" s="22" t="e">
        <f>VLOOKUP($A868,TAB_AMORTIZACAO_U[[Q_DIAS_U_PARC_TIR]:[V_FUT_U_PCPL-02]], F$5, FALSE)</f>
        <v>#N/A</v>
      </c>
      <c r="H868" s="20">
        <f t="shared" si="72"/>
        <v>0</v>
      </c>
      <c r="I868" s="21">
        <f t="shared" si="73"/>
        <v>0</v>
      </c>
      <c r="J868" s="22" t="e">
        <f>VLOOKUP($A868, TAB_JUROS_C[[DIAS_CORRIDOS]:[V_FUT_UTEIS]], J$5, FALSE)</f>
        <v>#N/A</v>
      </c>
      <c r="K868" s="22" t="e">
        <f>VLOOKUP($A868, TAB_CORRECAO_C[[DIAS_CORRIDOS]:[V_FUT_UTEIS]],K$5, FALSE)</f>
        <v>#N/A</v>
      </c>
      <c r="L868" s="22" t="e">
        <f>VLOOKUP($A868, TAB_AMORTIZACAO_C[[DIAS_CORRIDOS]:[V_FUT_UTEIS]], L$5, FALSE)</f>
        <v>#N/A</v>
      </c>
    </row>
    <row r="869" spans="1:12" hidden="1">
      <c r="A869" s="19">
        <f t="shared" si="74"/>
        <v>863</v>
      </c>
      <c r="B869" s="20">
        <f t="shared" si="70"/>
        <v>0</v>
      </c>
      <c r="C869" s="21">
        <f t="shared" si="71"/>
        <v>0</v>
      </c>
      <c r="D869" s="22" t="e">
        <f>VLOOKUP($A869, TAB_JUROS_U[[Q_DIAS_U_PARC_TIR]:[V_FUT_U_JURS CENARIO]], D$5, FALSE)</f>
        <v>#N/A</v>
      </c>
      <c r="E869" s="22" t="e">
        <f>VLOOKUP($A869,TAB_CORRECAO_U[[Q_DIAS_U_PARC_TIR]:[V_FUT_U_CORC-02]],E$5, FALSE)</f>
        <v>#N/A</v>
      </c>
      <c r="F869" s="22" t="e">
        <f>VLOOKUP($A869,TAB_AMORTIZACAO_U[[Q_DIAS_U_PARC_TIR]:[V_FUT_U_PCPL-02]], F$5, FALSE)</f>
        <v>#N/A</v>
      </c>
      <c r="H869" s="20">
        <f t="shared" si="72"/>
        <v>1391.5074543185242</v>
      </c>
      <c r="I869" s="21">
        <f t="shared" si="73"/>
        <v>1391.5074543185242</v>
      </c>
      <c r="J869" s="22">
        <f>VLOOKUP($A869, TAB_JUROS_C[[DIAS_CORRIDOS]:[V_FUT_UTEIS]], J$5, FALSE)</f>
        <v>108.53576997443497</v>
      </c>
      <c r="K869" s="22">
        <f>VLOOKUP($A869, TAB_CORRECAO_C[[DIAS_CORRIDOS]:[V_FUT_UTEIS]],K$5, FALSE)</f>
        <v>691.99785486243252</v>
      </c>
      <c r="L869" s="22">
        <f>VLOOKUP($A869, TAB_AMORTIZACAO_C[[DIAS_CORRIDOS]:[V_FUT_UTEIS]], L$5, FALSE)</f>
        <v>590.97382948165682</v>
      </c>
    </row>
    <row r="870" spans="1:12" hidden="1">
      <c r="A870" s="19">
        <f t="shared" si="74"/>
        <v>864</v>
      </c>
      <c r="B870" s="20">
        <f t="shared" si="70"/>
        <v>0</v>
      </c>
      <c r="C870" s="21">
        <f t="shared" si="71"/>
        <v>0</v>
      </c>
      <c r="D870" s="22" t="e">
        <f>VLOOKUP($A870, TAB_JUROS_U[[Q_DIAS_U_PARC_TIR]:[V_FUT_U_JURS CENARIO]], D$5, FALSE)</f>
        <v>#N/A</v>
      </c>
      <c r="E870" s="22" t="e">
        <f>VLOOKUP($A870,TAB_CORRECAO_U[[Q_DIAS_U_PARC_TIR]:[V_FUT_U_CORC-02]],E$5, FALSE)</f>
        <v>#N/A</v>
      </c>
      <c r="F870" s="22" t="e">
        <f>VLOOKUP($A870,TAB_AMORTIZACAO_U[[Q_DIAS_U_PARC_TIR]:[V_FUT_U_PCPL-02]], F$5, FALSE)</f>
        <v>#N/A</v>
      </c>
      <c r="H870" s="20">
        <f t="shared" si="72"/>
        <v>0</v>
      </c>
      <c r="I870" s="21">
        <f t="shared" si="73"/>
        <v>0</v>
      </c>
      <c r="J870" s="22" t="e">
        <f>VLOOKUP($A870, TAB_JUROS_C[[DIAS_CORRIDOS]:[V_FUT_UTEIS]], J$5, FALSE)</f>
        <v>#N/A</v>
      </c>
      <c r="K870" s="22" t="e">
        <f>VLOOKUP($A870, TAB_CORRECAO_C[[DIAS_CORRIDOS]:[V_FUT_UTEIS]],K$5, FALSE)</f>
        <v>#N/A</v>
      </c>
      <c r="L870" s="22" t="e">
        <f>VLOOKUP($A870, TAB_AMORTIZACAO_C[[DIAS_CORRIDOS]:[V_FUT_UTEIS]], L$5, FALSE)</f>
        <v>#N/A</v>
      </c>
    </row>
    <row r="871" spans="1:12" hidden="1">
      <c r="A871" s="19">
        <f t="shared" si="74"/>
        <v>865</v>
      </c>
      <c r="B871" s="20">
        <f t="shared" si="70"/>
        <v>0</v>
      </c>
      <c r="C871" s="21">
        <f t="shared" si="71"/>
        <v>0</v>
      </c>
      <c r="D871" s="22" t="e">
        <f>VLOOKUP($A871, TAB_JUROS_U[[Q_DIAS_U_PARC_TIR]:[V_FUT_U_JURS CENARIO]], D$5, FALSE)</f>
        <v>#N/A</v>
      </c>
      <c r="E871" s="22" t="e">
        <f>VLOOKUP($A871,TAB_CORRECAO_U[[Q_DIAS_U_PARC_TIR]:[V_FUT_U_CORC-02]],E$5, FALSE)</f>
        <v>#N/A</v>
      </c>
      <c r="F871" s="22" t="e">
        <f>VLOOKUP($A871,TAB_AMORTIZACAO_U[[Q_DIAS_U_PARC_TIR]:[V_FUT_U_PCPL-02]], F$5, FALSE)</f>
        <v>#N/A</v>
      </c>
      <c r="H871" s="20">
        <f t="shared" si="72"/>
        <v>0</v>
      </c>
      <c r="I871" s="21">
        <f t="shared" si="73"/>
        <v>0</v>
      </c>
      <c r="J871" s="22" t="e">
        <f>VLOOKUP($A871, TAB_JUROS_C[[DIAS_CORRIDOS]:[V_FUT_UTEIS]], J$5, FALSE)</f>
        <v>#N/A</v>
      </c>
      <c r="K871" s="22" t="e">
        <f>VLOOKUP($A871, TAB_CORRECAO_C[[DIAS_CORRIDOS]:[V_FUT_UTEIS]],K$5, FALSE)</f>
        <v>#N/A</v>
      </c>
      <c r="L871" s="22" t="e">
        <f>VLOOKUP($A871, TAB_AMORTIZACAO_C[[DIAS_CORRIDOS]:[V_FUT_UTEIS]], L$5, FALSE)</f>
        <v>#N/A</v>
      </c>
    </row>
    <row r="872" spans="1:12" hidden="1">
      <c r="A872" s="19">
        <f t="shared" si="74"/>
        <v>866</v>
      </c>
      <c r="B872" s="20">
        <f t="shared" si="70"/>
        <v>0</v>
      </c>
      <c r="C872" s="21">
        <f t="shared" si="71"/>
        <v>0</v>
      </c>
      <c r="D872" s="22" t="e">
        <f>VLOOKUP($A872, TAB_JUROS_U[[Q_DIAS_U_PARC_TIR]:[V_FUT_U_JURS CENARIO]], D$5, FALSE)</f>
        <v>#N/A</v>
      </c>
      <c r="E872" s="22" t="e">
        <f>VLOOKUP($A872,TAB_CORRECAO_U[[Q_DIAS_U_PARC_TIR]:[V_FUT_U_CORC-02]],E$5, FALSE)</f>
        <v>#N/A</v>
      </c>
      <c r="F872" s="22" t="e">
        <f>VLOOKUP($A872,TAB_AMORTIZACAO_U[[Q_DIAS_U_PARC_TIR]:[V_FUT_U_PCPL-02]], F$5, FALSE)</f>
        <v>#N/A</v>
      </c>
      <c r="H872" s="20">
        <f t="shared" si="72"/>
        <v>0</v>
      </c>
      <c r="I872" s="21">
        <f t="shared" si="73"/>
        <v>0</v>
      </c>
      <c r="J872" s="22" t="e">
        <f>VLOOKUP($A872, TAB_JUROS_C[[DIAS_CORRIDOS]:[V_FUT_UTEIS]], J$5, FALSE)</f>
        <v>#N/A</v>
      </c>
      <c r="K872" s="22" t="e">
        <f>VLOOKUP($A872, TAB_CORRECAO_C[[DIAS_CORRIDOS]:[V_FUT_UTEIS]],K$5, FALSE)</f>
        <v>#N/A</v>
      </c>
      <c r="L872" s="22" t="e">
        <f>VLOOKUP($A872, TAB_AMORTIZACAO_C[[DIAS_CORRIDOS]:[V_FUT_UTEIS]], L$5, FALSE)</f>
        <v>#N/A</v>
      </c>
    </row>
    <row r="873" spans="1:12">
      <c r="A873" s="19">
        <f t="shared" si="74"/>
        <v>867</v>
      </c>
      <c r="B873" s="20">
        <f t="shared" si="70"/>
        <v>1050.0108928929101</v>
      </c>
      <c r="C873" s="21">
        <f t="shared" si="71"/>
        <v>1050.0108928929101</v>
      </c>
      <c r="D873" s="22">
        <f>VLOOKUP($A873, TAB_JUROS_U[[Q_DIAS_U_PARC_TIR]:[V_FUT_U_JURS CENARIO]], D$5, FALSE)</f>
        <v>82.565856515658808</v>
      </c>
      <c r="E873" s="22">
        <f>VLOOKUP($A873,TAB_CORRECAO_U[[Q_DIAS_U_PARC_TIR]:[V_FUT_U_CORC-02]],E$5, FALSE)</f>
        <v>507.62306749324739</v>
      </c>
      <c r="F873" s="22">
        <f>VLOOKUP($A873,TAB_AMORTIZACAO_U[[Q_DIAS_U_PARC_TIR]:[V_FUT_U_PCPL-02]], F$5, FALSE)</f>
        <v>459.82196888400392</v>
      </c>
      <c r="H873" s="20">
        <f t="shared" si="72"/>
        <v>0</v>
      </c>
      <c r="I873" s="21">
        <f t="shared" si="73"/>
        <v>0</v>
      </c>
      <c r="J873" s="22" t="e">
        <f>VLOOKUP($A873, TAB_JUROS_C[[DIAS_CORRIDOS]:[V_FUT_UTEIS]], J$5, FALSE)</f>
        <v>#N/A</v>
      </c>
      <c r="K873" s="22" t="e">
        <f>VLOOKUP($A873, TAB_CORRECAO_C[[DIAS_CORRIDOS]:[V_FUT_UTEIS]],K$5, FALSE)</f>
        <v>#N/A</v>
      </c>
      <c r="L873" s="22" t="e">
        <f>VLOOKUP($A873, TAB_AMORTIZACAO_C[[DIAS_CORRIDOS]:[V_FUT_UTEIS]], L$5, FALSE)</f>
        <v>#N/A</v>
      </c>
    </row>
    <row r="874" spans="1:12" hidden="1">
      <c r="A874" s="19">
        <f t="shared" si="74"/>
        <v>868</v>
      </c>
      <c r="B874" s="20">
        <f t="shared" si="70"/>
        <v>0</v>
      </c>
      <c r="C874" s="21">
        <f t="shared" si="71"/>
        <v>0</v>
      </c>
      <c r="D874" s="22" t="e">
        <f>VLOOKUP($A874, TAB_JUROS_U[[Q_DIAS_U_PARC_TIR]:[V_FUT_U_JURS CENARIO]], D$5, FALSE)</f>
        <v>#N/A</v>
      </c>
      <c r="E874" s="22" t="e">
        <f>VLOOKUP($A874,TAB_CORRECAO_U[[Q_DIAS_U_PARC_TIR]:[V_FUT_U_CORC-02]],E$5, FALSE)</f>
        <v>#N/A</v>
      </c>
      <c r="F874" s="22" t="e">
        <f>VLOOKUP($A874,TAB_AMORTIZACAO_U[[Q_DIAS_U_PARC_TIR]:[V_FUT_U_PCPL-02]], F$5, FALSE)</f>
        <v>#N/A</v>
      </c>
      <c r="H874" s="20">
        <f t="shared" si="72"/>
        <v>0</v>
      </c>
      <c r="I874" s="21">
        <f t="shared" si="73"/>
        <v>0</v>
      </c>
      <c r="J874" s="22" t="e">
        <f>VLOOKUP($A874, TAB_JUROS_C[[DIAS_CORRIDOS]:[V_FUT_UTEIS]], J$5, FALSE)</f>
        <v>#N/A</v>
      </c>
      <c r="K874" s="22" t="e">
        <f>VLOOKUP($A874, TAB_CORRECAO_C[[DIAS_CORRIDOS]:[V_FUT_UTEIS]],K$5, FALSE)</f>
        <v>#N/A</v>
      </c>
      <c r="L874" s="22" t="e">
        <f>VLOOKUP($A874, TAB_AMORTIZACAO_C[[DIAS_CORRIDOS]:[V_FUT_UTEIS]], L$5, FALSE)</f>
        <v>#N/A</v>
      </c>
    </row>
    <row r="875" spans="1:12" hidden="1">
      <c r="A875" s="19">
        <f t="shared" si="74"/>
        <v>869</v>
      </c>
      <c r="B875" s="20">
        <f t="shared" si="70"/>
        <v>0</v>
      </c>
      <c r="C875" s="21">
        <f t="shared" si="71"/>
        <v>0</v>
      </c>
      <c r="D875" s="22" t="e">
        <f>VLOOKUP($A875, TAB_JUROS_U[[Q_DIAS_U_PARC_TIR]:[V_FUT_U_JURS CENARIO]], D$5, FALSE)</f>
        <v>#N/A</v>
      </c>
      <c r="E875" s="22" t="e">
        <f>VLOOKUP($A875,TAB_CORRECAO_U[[Q_DIAS_U_PARC_TIR]:[V_FUT_U_CORC-02]],E$5, FALSE)</f>
        <v>#N/A</v>
      </c>
      <c r="F875" s="22" t="e">
        <f>VLOOKUP($A875,TAB_AMORTIZACAO_U[[Q_DIAS_U_PARC_TIR]:[V_FUT_U_PCPL-02]], F$5, FALSE)</f>
        <v>#N/A</v>
      </c>
      <c r="H875" s="20">
        <f t="shared" si="72"/>
        <v>0</v>
      </c>
      <c r="I875" s="21">
        <f t="shared" si="73"/>
        <v>0</v>
      </c>
      <c r="J875" s="22" t="e">
        <f>VLOOKUP($A875, TAB_JUROS_C[[DIAS_CORRIDOS]:[V_FUT_UTEIS]], J$5, FALSE)</f>
        <v>#N/A</v>
      </c>
      <c r="K875" s="22" t="e">
        <f>VLOOKUP($A875, TAB_CORRECAO_C[[DIAS_CORRIDOS]:[V_FUT_UTEIS]],K$5, FALSE)</f>
        <v>#N/A</v>
      </c>
      <c r="L875" s="22" t="e">
        <f>VLOOKUP($A875, TAB_AMORTIZACAO_C[[DIAS_CORRIDOS]:[V_FUT_UTEIS]], L$5, FALSE)</f>
        <v>#N/A</v>
      </c>
    </row>
    <row r="876" spans="1:12" hidden="1">
      <c r="A876" s="19">
        <f t="shared" si="74"/>
        <v>870</v>
      </c>
      <c r="B876" s="20">
        <f t="shared" si="70"/>
        <v>0</v>
      </c>
      <c r="C876" s="21">
        <f t="shared" si="71"/>
        <v>0</v>
      </c>
      <c r="D876" s="22" t="e">
        <f>VLOOKUP($A876, TAB_JUROS_U[[Q_DIAS_U_PARC_TIR]:[V_FUT_U_JURS CENARIO]], D$5, FALSE)</f>
        <v>#N/A</v>
      </c>
      <c r="E876" s="22" t="e">
        <f>VLOOKUP($A876,TAB_CORRECAO_U[[Q_DIAS_U_PARC_TIR]:[V_FUT_U_CORC-02]],E$5, FALSE)</f>
        <v>#N/A</v>
      </c>
      <c r="F876" s="22" t="e">
        <f>VLOOKUP($A876,TAB_AMORTIZACAO_U[[Q_DIAS_U_PARC_TIR]:[V_FUT_U_PCPL-02]], F$5, FALSE)</f>
        <v>#N/A</v>
      </c>
      <c r="H876" s="20">
        <f t="shared" si="72"/>
        <v>0</v>
      </c>
      <c r="I876" s="21">
        <f t="shared" si="73"/>
        <v>0</v>
      </c>
      <c r="J876" s="22" t="e">
        <f>VLOOKUP($A876, TAB_JUROS_C[[DIAS_CORRIDOS]:[V_FUT_UTEIS]], J$5, FALSE)</f>
        <v>#N/A</v>
      </c>
      <c r="K876" s="22" t="e">
        <f>VLOOKUP($A876, TAB_CORRECAO_C[[DIAS_CORRIDOS]:[V_FUT_UTEIS]],K$5, FALSE)</f>
        <v>#N/A</v>
      </c>
      <c r="L876" s="22" t="e">
        <f>VLOOKUP($A876, TAB_AMORTIZACAO_C[[DIAS_CORRIDOS]:[V_FUT_UTEIS]], L$5, FALSE)</f>
        <v>#N/A</v>
      </c>
    </row>
    <row r="877" spans="1:12" hidden="1">
      <c r="A877" s="19">
        <f t="shared" si="74"/>
        <v>871</v>
      </c>
      <c r="B877" s="20">
        <f t="shared" si="70"/>
        <v>0</v>
      </c>
      <c r="C877" s="21">
        <f t="shared" si="71"/>
        <v>0</v>
      </c>
      <c r="D877" s="22" t="e">
        <f>VLOOKUP($A877, TAB_JUROS_U[[Q_DIAS_U_PARC_TIR]:[V_FUT_U_JURS CENARIO]], D$5, FALSE)</f>
        <v>#N/A</v>
      </c>
      <c r="E877" s="22" t="e">
        <f>VLOOKUP($A877,TAB_CORRECAO_U[[Q_DIAS_U_PARC_TIR]:[V_FUT_U_CORC-02]],E$5, FALSE)</f>
        <v>#N/A</v>
      </c>
      <c r="F877" s="22" t="e">
        <f>VLOOKUP($A877,TAB_AMORTIZACAO_U[[Q_DIAS_U_PARC_TIR]:[V_FUT_U_PCPL-02]], F$5, FALSE)</f>
        <v>#N/A</v>
      </c>
      <c r="H877" s="20">
        <f t="shared" si="72"/>
        <v>0</v>
      </c>
      <c r="I877" s="21">
        <f t="shared" si="73"/>
        <v>0</v>
      </c>
      <c r="J877" s="22" t="e">
        <f>VLOOKUP($A877, TAB_JUROS_C[[DIAS_CORRIDOS]:[V_FUT_UTEIS]], J$5, FALSE)</f>
        <v>#N/A</v>
      </c>
      <c r="K877" s="22" t="e">
        <f>VLOOKUP($A877, TAB_CORRECAO_C[[DIAS_CORRIDOS]:[V_FUT_UTEIS]],K$5, FALSE)</f>
        <v>#N/A</v>
      </c>
      <c r="L877" s="22" t="e">
        <f>VLOOKUP($A877, TAB_AMORTIZACAO_C[[DIAS_CORRIDOS]:[V_FUT_UTEIS]], L$5, FALSE)</f>
        <v>#N/A</v>
      </c>
    </row>
    <row r="878" spans="1:12" hidden="1">
      <c r="A878" s="19">
        <f t="shared" si="74"/>
        <v>872</v>
      </c>
      <c r="B878" s="20">
        <f t="shared" si="70"/>
        <v>0</v>
      </c>
      <c r="C878" s="21">
        <f t="shared" si="71"/>
        <v>0</v>
      </c>
      <c r="D878" s="22" t="e">
        <f>VLOOKUP($A878, TAB_JUROS_U[[Q_DIAS_U_PARC_TIR]:[V_FUT_U_JURS CENARIO]], D$5, FALSE)</f>
        <v>#N/A</v>
      </c>
      <c r="E878" s="22" t="e">
        <f>VLOOKUP($A878,TAB_CORRECAO_U[[Q_DIAS_U_PARC_TIR]:[V_FUT_U_CORC-02]],E$5, FALSE)</f>
        <v>#N/A</v>
      </c>
      <c r="F878" s="22" t="e">
        <f>VLOOKUP($A878,TAB_AMORTIZACAO_U[[Q_DIAS_U_PARC_TIR]:[V_FUT_U_PCPL-02]], F$5, FALSE)</f>
        <v>#N/A</v>
      </c>
      <c r="H878" s="20">
        <f t="shared" si="72"/>
        <v>0</v>
      </c>
      <c r="I878" s="21">
        <f t="shared" si="73"/>
        <v>0</v>
      </c>
      <c r="J878" s="22" t="e">
        <f>VLOOKUP($A878, TAB_JUROS_C[[DIAS_CORRIDOS]:[V_FUT_UTEIS]], J$5, FALSE)</f>
        <v>#N/A</v>
      </c>
      <c r="K878" s="22" t="e">
        <f>VLOOKUP($A878, TAB_CORRECAO_C[[DIAS_CORRIDOS]:[V_FUT_UTEIS]],K$5, FALSE)</f>
        <v>#N/A</v>
      </c>
      <c r="L878" s="22" t="e">
        <f>VLOOKUP($A878, TAB_AMORTIZACAO_C[[DIAS_CORRIDOS]:[V_FUT_UTEIS]], L$5, FALSE)</f>
        <v>#N/A</v>
      </c>
    </row>
    <row r="879" spans="1:12" hidden="1">
      <c r="A879" s="19">
        <f t="shared" si="74"/>
        <v>873</v>
      </c>
      <c r="B879" s="20">
        <f t="shared" si="70"/>
        <v>0</v>
      </c>
      <c r="C879" s="21">
        <f t="shared" si="71"/>
        <v>0</v>
      </c>
      <c r="D879" s="22" t="e">
        <f>VLOOKUP($A879, TAB_JUROS_U[[Q_DIAS_U_PARC_TIR]:[V_FUT_U_JURS CENARIO]], D$5, FALSE)</f>
        <v>#N/A</v>
      </c>
      <c r="E879" s="22" t="e">
        <f>VLOOKUP($A879,TAB_CORRECAO_U[[Q_DIAS_U_PARC_TIR]:[V_FUT_U_CORC-02]],E$5, FALSE)</f>
        <v>#N/A</v>
      </c>
      <c r="F879" s="22" t="e">
        <f>VLOOKUP($A879,TAB_AMORTIZACAO_U[[Q_DIAS_U_PARC_TIR]:[V_FUT_U_PCPL-02]], F$5, FALSE)</f>
        <v>#N/A</v>
      </c>
      <c r="H879" s="20">
        <f t="shared" si="72"/>
        <v>0</v>
      </c>
      <c r="I879" s="21">
        <f t="shared" si="73"/>
        <v>0</v>
      </c>
      <c r="J879" s="22" t="e">
        <f>VLOOKUP($A879, TAB_JUROS_C[[DIAS_CORRIDOS]:[V_FUT_UTEIS]], J$5, FALSE)</f>
        <v>#N/A</v>
      </c>
      <c r="K879" s="22" t="e">
        <f>VLOOKUP($A879, TAB_CORRECAO_C[[DIAS_CORRIDOS]:[V_FUT_UTEIS]],K$5, FALSE)</f>
        <v>#N/A</v>
      </c>
      <c r="L879" s="22" t="e">
        <f>VLOOKUP($A879, TAB_AMORTIZACAO_C[[DIAS_CORRIDOS]:[V_FUT_UTEIS]], L$5, FALSE)</f>
        <v>#N/A</v>
      </c>
    </row>
    <row r="880" spans="1:12" hidden="1">
      <c r="A880" s="19">
        <f t="shared" si="74"/>
        <v>874</v>
      </c>
      <c r="B880" s="20">
        <f t="shared" si="70"/>
        <v>0</v>
      </c>
      <c r="C880" s="21">
        <f t="shared" si="71"/>
        <v>0</v>
      </c>
      <c r="D880" s="22" t="e">
        <f>VLOOKUP($A880, TAB_JUROS_U[[Q_DIAS_U_PARC_TIR]:[V_FUT_U_JURS CENARIO]], D$5, FALSE)</f>
        <v>#N/A</v>
      </c>
      <c r="E880" s="22" t="e">
        <f>VLOOKUP($A880,TAB_CORRECAO_U[[Q_DIAS_U_PARC_TIR]:[V_FUT_U_CORC-02]],E$5, FALSE)</f>
        <v>#N/A</v>
      </c>
      <c r="F880" s="22" t="e">
        <f>VLOOKUP($A880,TAB_AMORTIZACAO_U[[Q_DIAS_U_PARC_TIR]:[V_FUT_U_PCPL-02]], F$5, FALSE)</f>
        <v>#N/A</v>
      </c>
      <c r="H880" s="20">
        <f t="shared" si="72"/>
        <v>0</v>
      </c>
      <c r="I880" s="21">
        <f t="shared" si="73"/>
        <v>0</v>
      </c>
      <c r="J880" s="22" t="e">
        <f>VLOOKUP($A880, TAB_JUROS_C[[DIAS_CORRIDOS]:[V_FUT_UTEIS]], J$5, FALSE)</f>
        <v>#N/A</v>
      </c>
      <c r="K880" s="22" t="e">
        <f>VLOOKUP($A880, TAB_CORRECAO_C[[DIAS_CORRIDOS]:[V_FUT_UTEIS]],K$5, FALSE)</f>
        <v>#N/A</v>
      </c>
      <c r="L880" s="22" t="e">
        <f>VLOOKUP($A880, TAB_AMORTIZACAO_C[[DIAS_CORRIDOS]:[V_FUT_UTEIS]], L$5, FALSE)</f>
        <v>#N/A</v>
      </c>
    </row>
    <row r="881" spans="1:12" hidden="1">
      <c r="A881" s="19">
        <f t="shared" si="74"/>
        <v>875</v>
      </c>
      <c r="B881" s="20">
        <f t="shared" si="70"/>
        <v>0</v>
      </c>
      <c r="C881" s="21">
        <f t="shared" si="71"/>
        <v>0</v>
      </c>
      <c r="D881" s="22" t="e">
        <f>VLOOKUP($A881, TAB_JUROS_U[[Q_DIAS_U_PARC_TIR]:[V_FUT_U_JURS CENARIO]], D$5, FALSE)</f>
        <v>#N/A</v>
      </c>
      <c r="E881" s="22" t="e">
        <f>VLOOKUP($A881,TAB_CORRECAO_U[[Q_DIAS_U_PARC_TIR]:[V_FUT_U_CORC-02]],E$5, FALSE)</f>
        <v>#N/A</v>
      </c>
      <c r="F881" s="22" t="e">
        <f>VLOOKUP($A881,TAB_AMORTIZACAO_U[[Q_DIAS_U_PARC_TIR]:[V_FUT_U_PCPL-02]], F$5, FALSE)</f>
        <v>#N/A</v>
      </c>
      <c r="H881" s="20">
        <f t="shared" si="72"/>
        <v>0</v>
      </c>
      <c r="I881" s="21">
        <f t="shared" si="73"/>
        <v>0</v>
      </c>
      <c r="J881" s="22" t="e">
        <f>VLOOKUP($A881, TAB_JUROS_C[[DIAS_CORRIDOS]:[V_FUT_UTEIS]], J$5, FALSE)</f>
        <v>#N/A</v>
      </c>
      <c r="K881" s="22" t="e">
        <f>VLOOKUP($A881, TAB_CORRECAO_C[[DIAS_CORRIDOS]:[V_FUT_UTEIS]],K$5, FALSE)</f>
        <v>#N/A</v>
      </c>
      <c r="L881" s="22" t="e">
        <f>VLOOKUP($A881, TAB_AMORTIZACAO_C[[DIAS_CORRIDOS]:[V_FUT_UTEIS]], L$5, FALSE)</f>
        <v>#N/A</v>
      </c>
    </row>
    <row r="882" spans="1:12" hidden="1">
      <c r="A882" s="19">
        <f t="shared" si="74"/>
        <v>876</v>
      </c>
      <c r="B882" s="20">
        <f t="shared" si="70"/>
        <v>0</v>
      </c>
      <c r="C882" s="21">
        <f t="shared" si="71"/>
        <v>0</v>
      </c>
      <c r="D882" s="22" t="e">
        <f>VLOOKUP($A882, TAB_JUROS_U[[Q_DIAS_U_PARC_TIR]:[V_FUT_U_JURS CENARIO]], D$5, FALSE)</f>
        <v>#N/A</v>
      </c>
      <c r="E882" s="22" t="e">
        <f>VLOOKUP($A882,TAB_CORRECAO_U[[Q_DIAS_U_PARC_TIR]:[V_FUT_U_CORC-02]],E$5, FALSE)</f>
        <v>#N/A</v>
      </c>
      <c r="F882" s="22" t="e">
        <f>VLOOKUP($A882,TAB_AMORTIZACAO_U[[Q_DIAS_U_PARC_TIR]:[V_FUT_U_PCPL-02]], F$5, FALSE)</f>
        <v>#N/A</v>
      </c>
      <c r="H882" s="20">
        <f t="shared" si="72"/>
        <v>0</v>
      </c>
      <c r="I882" s="21">
        <f t="shared" si="73"/>
        <v>0</v>
      </c>
      <c r="J882" s="22" t="e">
        <f>VLOOKUP($A882, TAB_JUROS_C[[DIAS_CORRIDOS]:[V_FUT_UTEIS]], J$5, FALSE)</f>
        <v>#N/A</v>
      </c>
      <c r="K882" s="22" t="e">
        <f>VLOOKUP($A882, TAB_CORRECAO_C[[DIAS_CORRIDOS]:[V_FUT_UTEIS]],K$5, FALSE)</f>
        <v>#N/A</v>
      </c>
      <c r="L882" s="22" t="e">
        <f>VLOOKUP($A882, TAB_AMORTIZACAO_C[[DIAS_CORRIDOS]:[V_FUT_UTEIS]], L$5, FALSE)</f>
        <v>#N/A</v>
      </c>
    </row>
    <row r="883" spans="1:12" hidden="1">
      <c r="A883" s="19">
        <f t="shared" si="74"/>
        <v>877</v>
      </c>
      <c r="B883" s="20">
        <f t="shared" si="70"/>
        <v>0</v>
      </c>
      <c r="C883" s="21">
        <f t="shared" si="71"/>
        <v>0</v>
      </c>
      <c r="D883" s="22" t="e">
        <f>VLOOKUP($A883, TAB_JUROS_U[[Q_DIAS_U_PARC_TIR]:[V_FUT_U_JURS CENARIO]], D$5, FALSE)</f>
        <v>#N/A</v>
      </c>
      <c r="E883" s="22" t="e">
        <f>VLOOKUP($A883,TAB_CORRECAO_U[[Q_DIAS_U_PARC_TIR]:[V_FUT_U_CORC-02]],E$5, FALSE)</f>
        <v>#N/A</v>
      </c>
      <c r="F883" s="22" t="e">
        <f>VLOOKUP($A883,TAB_AMORTIZACAO_U[[Q_DIAS_U_PARC_TIR]:[V_FUT_U_PCPL-02]], F$5, FALSE)</f>
        <v>#N/A</v>
      </c>
      <c r="H883" s="20">
        <f t="shared" si="72"/>
        <v>0</v>
      </c>
      <c r="I883" s="21">
        <f t="shared" si="73"/>
        <v>0</v>
      </c>
      <c r="J883" s="22" t="e">
        <f>VLOOKUP($A883, TAB_JUROS_C[[DIAS_CORRIDOS]:[V_FUT_UTEIS]], J$5, FALSE)</f>
        <v>#N/A</v>
      </c>
      <c r="K883" s="22" t="e">
        <f>VLOOKUP($A883, TAB_CORRECAO_C[[DIAS_CORRIDOS]:[V_FUT_UTEIS]],K$5, FALSE)</f>
        <v>#N/A</v>
      </c>
      <c r="L883" s="22" t="e">
        <f>VLOOKUP($A883, TAB_AMORTIZACAO_C[[DIAS_CORRIDOS]:[V_FUT_UTEIS]], L$5, FALSE)</f>
        <v>#N/A</v>
      </c>
    </row>
    <row r="884" spans="1:12" hidden="1">
      <c r="A884" s="19">
        <f t="shared" si="74"/>
        <v>878</v>
      </c>
      <c r="B884" s="20">
        <f t="shared" si="70"/>
        <v>0</v>
      </c>
      <c r="C884" s="21">
        <f t="shared" si="71"/>
        <v>0</v>
      </c>
      <c r="D884" s="22" t="e">
        <f>VLOOKUP($A884, TAB_JUROS_U[[Q_DIAS_U_PARC_TIR]:[V_FUT_U_JURS CENARIO]], D$5, FALSE)</f>
        <v>#N/A</v>
      </c>
      <c r="E884" s="22" t="e">
        <f>VLOOKUP($A884,TAB_CORRECAO_U[[Q_DIAS_U_PARC_TIR]:[V_FUT_U_CORC-02]],E$5, FALSE)</f>
        <v>#N/A</v>
      </c>
      <c r="F884" s="22" t="e">
        <f>VLOOKUP($A884,TAB_AMORTIZACAO_U[[Q_DIAS_U_PARC_TIR]:[V_FUT_U_PCPL-02]], F$5, FALSE)</f>
        <v>#N/A</v>
      </c>
      <c r="H884" s="20">
        <f t="shared" si="72"/>
        <v>0</v>
      </c>
      <c r="I884" s="21">
        <f t="shared" si="73"/>
        <v>0</v>
      </c>
      <c r="J884" s="22" t="e">
        <f>VLOOKUP($A884, TAB_JUROS_C[[DIAS_CORRIDOS]:[V_FUT_UTEIS]], J$5, FALSE)</f>
        <v>#N/A</v>
      </c>
      <c r="K884" s="22" t="e">
        <f>VLOOKUP($A884, TAB_CORRECAO_C[[DIAS_CORRIDOS]:[V_FUT_UTEIS]],K$5, FALSE)</f>
        <v>#N/A</v>
      </c>
      <c r="L884" s="22" t="e">
        <f>VLOOKUP($A884, TAB_AMORTIZACAO_C[[DIAS_CORRIDOS]:[V_FUT_UTEIS]], L$5, FALSE)</f>
        <v>#N/A</v>
      </c>
    </row>
    <row r="885" spans="1:12" hidden="1">
      <c r="A885" s="19">
        <f t="shared" si="74"/>
        <v>879</v>
      </c>
      <c r="B885" s="20">
        <f t="shared" si="70"/>
        <v>0</v>
      </c>
      <c r="C885" s="21">
        <f t="shared" si="71"/>
        <v>0</v>
      </c>
      <c r="D885" s="22" t="e">
        <f>VLOOKUP($A885, TAB_JUROS_U[[Q_DIAS_U_PARC_TIR]:[V_FUT_U_JURS CENARIO]], D$5, FALSE)</f>
        <v>#N/A</v>
      </c>
      <c r="E885" s="22" t="e">
        <f>VLOOKUP($A885,TAB_CORRECAO_U[[Q_DIAS_U_PARC_TIR]:[V_FUT_U_CORC-02]],E$5, FALSE)</f>
        <v>#N/A</v>
      </c>
      <c r="F885" s="22" t="e">
        <f>VLOOKUP($A885,TAB_AMORTIZACAO_U[[Q_DIAS_U_PARC_TIR]:[V_FUT_U_PCPL-02]], F$5, FALSE)</f>
        <v>#N/A</v>
      </c>
      <c r="H885" s="20">
        <f t="shared" si="72"/>
        <v>0</v>
      </c>
      <c r="I885" s="21">
        <f t="shared" si="73"/>
        <v>0</v>
      </c>
      <c r="J885" s="22" t="e">
        <f>VLOOKUP($A885, TAB_JUROS_C[[DIAS_CORRIDOS]:[V_FUT_UTEIS]], J$5, FALSE)</f>
        <v>#N/A</v>
      </c>
      <c r="K885" s="22" t="e">
        <f>VLOOKUP($A885, TAB_CORRECAO_C[[DIAS_CORRIDOS]:[V_FUT_UTEIS]],K$5, FALSE)</f>
        <v>#N/A</v>
      </c>
      <c r="L885" s="22" t="e">
        <f>VLOOKUP($A885, TAB_AMORTIZACAO_C[[DIAS_CORRIDOS]:[V_FUT_UTEIS]], L$5, FALSE)</f>
        <v>#N/A</v>
      </c>
    </row>
    <row r="886" spans="1:12" hidden="1">
      <c r="A886" s="19">
        <f t="shared" si="74"/>
        <v>880</v>
      </c>
      <c r="B886" s="20">
        <f t="shared" si="70"/>
        <v>0</v>
      </c>
      <c r="C886" s="21">
        <f t="shared" si="71"/>
        <v>0</v>
      </c>
      <c r="D886" s="22" t="e">
        <f>VLOOKUP($A886, TAB_JUROS_U[[Q_DIAS_U_PARC_TIR]:[V_FUT_U_JURS CENARIO]], D$5, FALSE)</f>
        <v>#N/A</v>
      </c>
      <c r="E886" s="22" t="e">
        <f>VLOOKUP($A886,TAB_CORRECAO_U[[Q_DIAS_U_PARC_TIR]:[V_FUT_U_CORC-02]],E$5, FALSE)</f>
        <v>#N/A</v>
      </c>
      <c r="F886" s="22" t="e">
        <f>VLOOKUP($A886,TAB_AMORTIZACAO_U[[Q_DIAS_U_PARC_TIR]:[V_FUT_U_PCPL-02]], F$5, FALSE)</f>
        <v>#N/A</v>
      </c>
      <c r="H886" s="20">
        <f t="shared" si="72"/>
        <v>0</v>
      </c>
      <c r="I886" s="21">
        <f t="shared" si="73"/>
        <v>0</v>
      </c>
      <c r="J886" s="22" t="e">
        <f>VLOOKUP($A886, TAB_JUROS_C[[DIAS_CORRIDOS]:[V_FUT_UTEIS]], J$5, FALSE)</f>
        <v>#N/A</v>
      </c>
      <c r="K886" s="22" t="e">
        <f>VLOOKUP($A886, TAB_CORRECAO_C[[DIAS_CORRIDOS]:[V_FUT_UTEIS]],K$5, FALSE)</f>
        <v>#N/A</v>
      </c>
      <c r="L886" s="22" t="e">
        <f>VLOOKUP($A886, TAB_AMORTIZACAO_C[[DIAS_CORRIDOS]:[V_FUT_UTEIS]], L$5, FALSE)</f>
        <v>#N/A</v>
      </c>
    </row>
    <row r="887" spans="1:12" hidden="1">
      <c r="A887" s="19">
        <f t="shared" si="74"/>
        <v>881</v>
      </c>
      <c r="B887" s="20">
        <f t="shared" si="70"/>
        <v>0</v>
      </c>
      <c r="C887" s="21">
        <f t="shared" si="71"/>
        <v>0</v>
      </c>
      <c r="D887" s="22" t="e">
        <f>VLOOKUP($A887, TAB_JUROS_U[[Q_DIAS_U_PARC_TIR]:[V_FUT_U_JURS CENARIO]], D$5, FALSE)</f>
        <v>#N/A</v>
      </c>
      <c r="E887" s="22" t="e">
        <f>VLOOKUP($A887,TAB_CORRECAO_U[[Q_DIAS_U_PARC_TIR]:[V_FUT_U_CORC-02]],E$5, FALSE)</f>
        <v>#N/A</v>
      </c>
      <c r="F887" s="22" t="e">
        <f>VLOOKUP($A887,TAB_AMORTIZACAO_U[[Q_DIAS_U_PARC_TIR]:[V_FUT_U_PCPL-02]], F$5, FALSE)</f>
        <v>#N/A</v>
      </c>
      <c r="H887" s="20">
        <f t="shared" si="72"/>
        <v>0</v>
      </c>
      <c r="I887" s="21">
        <f t="shared" si="73"/>
        <v>0</v>
      </c>
      <c r="J887" s="22" t="e">
        <f>VLOOKUP($A887, TAB_JUROS_C[[DIAS_CORRIDOS]:[V_FUT_UTEIS]], J$5, FALSE)</f>
        <v>#N/A</v>
      </c>
      <c r="K887" s="22" t="e">
        <f>VLOOKUP($A887, TAB_CORRECAO_C[[DIAS_CORRIDOS]:[V_FUT_UTEIS]],K$5, FALSE)</f>
        <v>#N/A</v>
      </c>
      <c r="L887" s="22" t="e">
        <f>VLOOKUP($A887, TAB_AMORTIZACAO_C[[DIAS_CORRIDOS]:[V_FUT_UTEIS]], L$5, FALSE)</f>
        <v>#N/A</v>
      </c>
    </row>
    <row r="888" spans="1:12" hidden="1">
      <c r="A888" s="19">
        <f t="shared" si="74"/>
        <v>882</v>
      </c>
      <c r="B888" s="20">
        <f t="shared" si="70"/>
        <v>0</v>
      </c>
      <c r="C888" s="21">
        <f t="shared" si="71"/>
        <v>0</v>
      </c>
      <c r="D888" s="22" t="e">
        <f>VLOOKUP($A888, TAB_JUROS_U[[Q_DIAS_U_PARC_TIR]:[V_FUT_U_JURS CENARIO]], D$5, FALSE)</f>
        <v>#N/A</v>
      </c>
      <c r="E888" s="22" t="e">
        <f>VLOOKUP($A888,TAB_CORRECAO_U[[Q_DIAS_U_PARC_TIR]:[V_FUT_U_CORC-02]],E$5, FALSE)</f>
        <v>#N/A</v>
      </c>
      <c r="F888" s="22" t="e">
        <f>VLOOKUP($A888,TAB_AMORTIZACAO_U[[Q_DIAS_U_PARC_TIR]:[V_FUT_U_PCPL-02]], F$5, FALSE)</f>
        <v>#N/A</v>
      </c>
      <c r="H888" s="20">
        <f t="shared" si="72"/>
        <v>0</v>
      </c>
      <c r="I888" s="21">
        <f t="shared" si="73"/>
        <v>0</v>
      </c>
      <c r="J888" s="22" t="e">
        <f>VLOOKUP($A888, TAB_JUROS_C[[DIAS_CORRIDOS]:[V_FUT_UTEIS]], J$5, FALSE)</f>
        <v>#N/A</v>
      </c>
      <c r="K888" s="22" t="e">
        <f>VLOOKUP($A888, TAB_CORRECAO_C[[DIAS_CORRIDOS]:[V_FUT_UTEIS]],K$5, FALSE)</f>
        <v>#N/A</v>
      </c>
      <c r="L888" s="22" t="e">
        <f>VLOOKUP($A888, TAB_AMORTIZACAO_C[[DIAS_CORRIDOS]:[V_FUT_UTEIS]], L$5, FALSE)</f>
        <v>#N/A</v>
      </c>
    </row>
    <row r="889" spans="1:12" hidden="1">
      <c r="A889" s="19">
        <f t="shared" si="74"/>
        <v>883</v>
      </c>
      <c r="B889" s="20">
        <f t="shared" si="70"/>
        <v>0</v>
      </c>
      <c r="C889" s="21">
        <f t="shared" si="71"/>
        <v>0</v>
      </c>
      <c r="D889" s="22" t="e">
        <f>VLOOKUP($A889, TAB_JUROS_U[[Q_DIAS_U_PARC_TIR]:[V_FUT_U_JURS CENARIO]], D$5, FALSE)</f>
        <v>#N/A</v>
      </c>
      <c r="E889" s="22" t="e">
        <f>VLOOKUP($A889,TAB_CORRECAO_U[[Q_DIAS_U_PARC_TIR]:[V_FUT_U_CORC-02]],E$5, FALSE)</f>
        <v>#N/A</v>
      </c>
      <c r="F889" s="22" t="e">
        <f>VLOOKUP($A889,TAB_AMORTIZACAO_U[[Q_DIAS_U_PARC_TIR]:[V_FUT_U_PCPL-02]], F$5, FALSE)</f>
        <v>#N/A</v>
      </c>
      <c r="H889" s="20">
        <f t="shared" si="72"/>
        <v>0</v>
      </c>
      <c r="I889" s="21">
        <f t="shared" si="73"/>
        <v>0</v>
      </c>
      <c r="J889" s="22" t="e">
        <f>VLOOKUP($A889, TAB_JUROS_C[[DIAS_CORRIDOS]:[V_FUT_UTEIS]], J$5, FALSE)</f>
        <v>#N/A</v>
      </c>
      <c r="K889" s="22" t="e">
        <f>VLOOKUP($A889, TAB_CORRECAO_C[[DIAS_CORRIDOS]:[V_FUT_UTEIS]],K$5, FALSE)</f>
        <v>#N/A</v>
      </c>
      <c r="L889" s="22" t="e">
        <f>VLOOKUP($A889, TAB_AMORTIZACAO_C[[DIAS_CORRIDOS]:[V_FUT_UTEIS]], L$5, FALSE)</f>
        <v>#N/A</v>
      </c>
    </row>
    <row r="890" spans="1:12" hidden="1">
      <c r="A890" s="19">
        <f t="shared" si="74"/>
        <v>884</v>
      </c>
      <c r="B890" s="20">
        <f t="shared" si="70"/>
        <v>0</v>
      </c>
      <c r="C890" s="21">
        <f t="shared" si="71"/>
        <v>0</v>
      </c>
      <c r="D890" s="22" t="e">
        <f>VLOOKUP($A890, TAB_JUROS_U[[Q_DIAS_U_PARC_TIR]:[V_FUT_U_JURS CENARIO]], D$5, FALSE)</f>
        <v>#N/A</v>
      </c>
      <c r="E890" s="22" t="e">
        <f>VLOOKUP($A890,TAB_CORRECAO_U[[Q_DIAS_U_PARC_TIR]:[V_FUT_U_CORC-02]],E$5, FALSE)</f>
        <v>#N/A</v>
      </c>
      <c r="F890" s="22" t="e">
        <f>VLOOKUP($A890,TAB_AMORTIZACAO_U[[Q_DIAS_U_PARC_TIR]:[V_FUT_U_PCPL-02]], F$5, FALSE)</f>
        <v>#N/A</v>
      </c>
      <c r="H890" s="20">
        <f t="shared" si="72"/>
        <v>0</v>
      </c>
      <c r="I890" s="21">
        <f t="shared" si="73"/>
        <v>0</v>
      </c>
      <c r="J890" s="22" t="e">
        <f>VLOOKUP($A890, TAB_JUROS_C[[DIAS_CORRIDOS]:[V_FUT_UTEIS]], J$5, FALSE)</f>
        <v>#N/A</v>
      </c>
      <c r="K890" s="22" t="e">
        <f>VLOOKUP($A890, TAB_CORRECAO_C[[DIAS_CORRIDOS]:[V_FUT_UTEIS]],K$5, FALSE)</f>
        <v>#N/A</v>
      </c>
      <c r="L890" s="22" t="e">
        <f>VLOOKUP($A890, TAB_AMORTIZACAO_C[[DIAS_CORRIDOS]:[V_FUT_UTEIS]], L$5, FALSE)</f>
        <v>#N/A</v>
      </c>
    </row>
    <row r="891" spans="1:12" hidden="1">
      <c r="A891" s="19">
        <f t="shared" si="74"/>
        <v>885</v>
      </c>
      <c r="B891" s="20">
        <f t="shared" si="70"/>
        <v>0</v>
      </c>
      <c r="C891" s="21">
        <f t="shared" si="71"/>
        <v>0</v>
      </c>
      <c r="D891" s="22" t="e">
        <f>VLOOKUP($A891, TAB_JUROS_U[[Q_DIAS_U_PARC_TIR]:[V_FUT_U_JURS CENARIO]], D$5, FALSE)</f>
        <v>#N/A</v>
      </c>
      <c r="E891" s="22" t="e">
        <f>VLOOKUP($A891,TAB_CORRECAO_U[[Q_DIAS_U_PARC_TIR]:[V_FUT_U_CORC-02]],E$5, FALSE)</f>
        <v>#N/A</v>
      </c>
      <c r="F891" s="22" t="e">
        <f>VLOOKUP($A891,TAB_AMORTIZACAO_U[[Q_DIAS_U_PARC_TIR]:[V_FUT_U_PCPL-02]], F$5, FALSE)</f>
        <v>#N/A</v>
      </c>
      <c r="H891" s="20">
        <f t="shared" si="72"/>
        <v>0</v>
      </c>
      <c r="I891" s="21">
        <f t="shared" si="73"/>
        <v>0</v>
      </c>
      <c r="J891" s="22" t="e">
        <f>VLOOKUP($A891, TAB_JUROS_C[[DIAS_CORRIDOS]:[V_FUT_UTEIS]], J$5, FALSE)</f>
        <v>#N/A</v>
      </c>
      <c r="K891" s="22" t="e">
        <f>VLOOKUP($A891, TAB_CORRECAO_C[[DIAS_CORRIDOS]:[V_FUT_UTEIS]],K$5, FALSE)</f>
        <v>#N/A</v>
      </c>
      <c r="L891" s="22" t="e">
        <f>VLOOKUP($A891, TAB_AMORTIZACAO_C[[DIAS_CORRIDOS]:[V_FUT_UTEIS]], L$5, FALSE)</f>
        <v>#N/A</v>
      </c>
    </row>
    <row r="892" spans="1:12">
      <c r="A892" s="19">
        <f t="shared" si="74"/>
        <v>886</v>
      </c>
      <c r="B892" s="20">
        <f t="shared" si="70"/>
        <v>956.46366427949283</v>
      </c>
      <c r="C892" s="21">
        <f t="shared" si="71"/>
        <v>956.46366427949283</v>
      </c>
      <c r="D892" s="22">
        <f>VLOOKUP($A892, TAB_JUROS_U[[Q_DIAS_U_PARC_TIR]:[V_FUT_U_JURS CENARIO]], D$5, FALSE)</f>
        <v>69.493773135125352</v>
      </c>
      <c r="E892" s="22">
        <f>VLOOKUP($A892,TAB_CORRECAO_U[[Q_DIAS_U_PARC_TIR]:[V_FUT_U_CORC-02]],E$5, FALSE)</f>
        <v>426.4764388092575</v>
      </c>
      <c r="F892" s="22">
        <f>VLOOKUP($A892,TAB_AMORTIZACAO_U[[Q_DIAS_U_PARC_TIR]:[V_FUT_U_PCPL-02]], F$5, FALSE)</f>
        <v>460.49345233510996</v>
      </c>
      <c r="H892" s="20">
        <f t="shared" si="72"/>
        <v>0</v>
      </c>
      <c r="I892" s="21">
        <f t="shared" si="73"/>
        <v>0</v>
      </c>
      <c r="J892" s="22" t="e">
        <f>VLOOKUP($A892, TAB_JUROS_C[[DIAS_CORRIDOS]:[V_FUT_UTEIS]], J$5, FALSE)</f>
        <v>#N/A</v>
      </c>
      <c r="K892" s="22" t="e">
        <f>VLOOKUP($A892, TAB_CORRECAO_C[[DIAS_CORRIDOS]:[V_FUT_UTEIS]],K$5, FALSE)</f>
        <v>#N/A</v>
      </c>
      <c r="L892" s="22" t="e">
        <f>VLOOKUP($A892, TAB_AMORTIZACAO_C[[DIAS_CORRIDOS]:[V_FUT_UTEIS]], L$5, FALSE)</f>
        <v>#N/A</v>
      </c>
    </row>
    <row r="893" spans="1:12" hidden="1">
      <c r="A893" s="19">
        <f t="shared" si="74"/>
        <v>887</v>
      </c>
      <c r="B893" s="20">
        <f t="shared" si="70"/>
        <v>0</v>
      </c>
      <c r="C893" s="21">
        <f t="shared" si="71"/>
        <v>0</v>
      </c>
      <c r="D893" s="22" t="e">
        <f>VLOOKUP($A893, TAB_JUROS_U[[Q_DIAS_U_PARC_TIR]:[V_FUT_U_JURS CENARIO]], D$5, FALSE)</f>
        <v>#N/A</v>
      </c>
      <c r="E893" s="22" t="e">
        <f>VLOOKUP($A893,TAB_CORRECAO_U[[Q_DIAS_U_PARC_TIR]:[V_FUT_U_CORC-02]],E$5, FALSE)</f>
        <v>#N/A</v>
      </c>
      <c r="F893" s="22" t="e">
        <f>VLOOKUP($A893,TAB_AMORTIZACAO_U[[Q_DIAS_U_PARC_TIR]:[V_FUT_U_PCPL-02]], F$5, FALSE)</f>
        <v>#N/A</v>
      </c>
      <c r="H893" s="20">
        <f t="shared" si="72"/>
        <v>0</v>
      </c>
      <c r="I893" s="21">
        <f t="shared" si="73"/>
        <v>0</v>
      </c>
      <c r="J893" s="22" t="e">
        <f>VLOOKUP($A893, TAB_JUROS_C[[DIAS_CORRIDOS]:[V_FUT_UTEIS]], J$5, FALSE)</f>
        <v>#N/A</v>
      </c>
      <c r="K893" s="22" t="e">
        <f>VLOOKUP($A893, TAB_CORRECAO_C[[DIAS_CORRIDOS]:[V_FUT_UTEIS]],K$5, FALSE)</f>
        <v>#N/A</v>
      </c>
      <c r="L893" s="22" t="e">
        <f>VLOOKUP($A893, TAB_AMORTIZACAO_C[[DIAS_CORRIDOS]:[V_FUT_UTEIS]], L$5, FALSE)</f>
        <v>#N/A</v>
      </c>
    </row>
    <row r="894" spans="1:12" hidden="1">
      <c r="A894" s="19">
        <f t="shared" si="74"/>
        <v>888</v>
      </c>
      <c r="B894" s="20">
        <f t="shared" si="70"/>
        <v>0</v>
      </c>
      <c r="C894" s="21">
        <f t="shared" si="71"/>
        <v>0</v>
      </c>
      <c r="D894" s="22" t="e">
        <f>VLOOKUP($A894, TAB_JUROS_U[[Q_DIAS_U_PARC_TIR]:[V_FUT_U_JURS CENARIO]], D$5, FALSE)</f>
        <v>#N/A</v>
      </c>
      <c r="E894" s="22" t="e">
        <f>VLOOKUP($A894,TAB_CORRECAO_U[[Q_DIAS_U_PARC_TIR]:[V_FUT_U_CORC-02]],E$5, FALSE)</f>
        <v>#N/A</v>
      </c>
      <c r="F894" s="22" t="e">
        <f>VLOOKUP($A894,TAB_AMORTIZACAO_U[[Q_DIAS_U_PARC_TIR]:[V_FUT_U_PCPL-02]], F$5, FALSE)</f>
        <v>#N/A</v>
      </c>
      <c r="H894" s="20">
        <f t="shared" si="72"/>
        <v>0</v>
      </c>
      <c r="I894" s="21">
        <f t="shared" si="73"/>
        <v>0</v>
      </c>
      <c r="J894" s="22" t="e">
        <f>VLOOKUP($A894, TAB_JUROS_C[[DIAS_CORRIDOS]:[V_FUT_UTEIS]], J$5, FALSE)</f>
        <v>#N/A</v>
      </c>
      <c r="K894" s="22" t="e">
        <f>VLOOKUP($A894, TAB_CORRECAO_C[[DIAS_CORRIDOS]:[V_FUT_UTEIS]],K$5, FALSE)</f>
        <v>#N/A</v>
      </c>
      <c r="L894" s="22" t="e">
        <f>VLOOKUP($A894, TAB_AMORTIZACAO_C[[DIAS_CORRIDOS]:[V_FUT_UTEIS]], L$5, FALSE)</f>
        <v>#N/A</v>
      </c>
    </row>
    <row r="895" spans="1:12" hidden="1">
      <c r="A895" s="19">
        <f t="shared" si="74"/>
        <v>889</v>
      </c>
      <c r="B895" s="20">
        <f t="shared" si="70"/>
        <v>0</v>
      </c>
      <c r="C895" s="21">
        <f t="shared" si="71"/>
        <v>0</v>
      </c>
      <c r="D895" s="22" t="e">
        <f>VLOOKUP($A895, TAB_JUROS_U[[Q_DIAS_U_PARC_TIR]:[V_FUT_U_JURS CENARIO]], D$5, FALSE)</f>
        <v>#N/A</v>
      </c>
      <c r="E895" s="22" t="e">
        <f>VLOOKUP($A895,TAB_CORRECAO_U[[Q_DIAS_U_PARC_TIR]:[V_FUT_U_CORC-02]],E$5, FALSE)</f>
        <v>#N/A</v>
      </c>
      <c r="F895" s="22" t="e">
        <f>VLOOKUP($A895,TAB_AMORTIZACAO_U[[Q_DIAS_U_PARC_TIR]:[V_FUT_U_PCPL-02]], F$5, FALSE)</f>
        <v>#N/A</v>
      </c>
      <c r="H895" s="20">
        <f t="shared" si="72"/>
        <v>0</v>
      </c>
      <c r="I895" s="21">
        <f t="shared" si="73"/>
        <v>0</v>
      </c>
      <c r="J895" s="22" t="e">
        <f>VLOOKUP($A895, TAB_JUROS_C[[DIAS_CORRIDOS]:[V_FUT_UTEIS]], J$5, FALSE)</f>
        <v>#N/A</v>
      </c>
      <c r="K895" s="22" t="e">
        <f>VLOOKUP($A895, TAB_CORRECAO_C[[DIAS_CORRIDOS]:[V_FUT_UTEIS]],K$5, FALSE)</f>
        <v>#N/A</v>
      </c>
      <c r="L895" s="22" t="e">
        <f>VLOOKUP($A895, TAB_AMORTIZACAO_C[[DIAS_CORRIDOS]:[V_FUT_UTEIS]], L$5, FALSE)</f>
        <v>#N/A</v>
      </c>
    </row>
    <row r="896" spans="1:12" hidden="1">
      <c r="A896" s="19">
        <f t="shared" si="74"/>
        <v>890</v>
      </c>
      <c r="B896" s="20">
        <f t="shared" si="70"/>
        <v>0</v>
      </c>
      <c r="C896" s="21">
        <f t="shared" si="71"/>
        <v>0</v>
      </c>
      <c r="D896" s="22" t="e">
        <f>VLOOKUP($A896, TAB_JUROS_U[[Q_DIAS_U_PARC_TIR]:[V_FUT_U_JURS CENARIO]], D$5, FALSE)</f>
        <v>#N/A</v>
      </c>
      <c r="E896" s="22" t="e">
        <f>VLOOKUP($A896,TAB_CORRECAO_U[[Q_DIAS_U_PARC_TIR]:[V_FUT_U_CORC-02]],E$5, FALSE)</f>
        <v>#N/A</v>
      </c>
      <c r="F896" s="22" t="e">
        <f>VLOOKUP($A896,TAB_AMORTIZACAO_U[[Q_DIAS_U_PARC_TIR]:[V_FUT_U_PCPL-02]], F$5, FALSE)</f>
        <v>#N/A</v>
      </c>
      <c r="H896" s="20">
        <f t="shared" si="72"/>
        <v>0</v>
      </c>
      <c r="I896" s="21">
        <f t="shared" si="73"/>
        <v>0</v>
      </c>
      <c r="J896" s="22" t="e">
        <f>VLOOKUP($A896, TAB_JUROS_C[[DIAS_CORRIDOS]:[V_FUT_UTEIS]], J$5, FALSE)</f>
        <v>#N/A</v>
      </c>
      <c r="K896" s="22" t="e">
        <f>VLOOKUP($A896, TAB_CORRECAO_C[[DIAS_CORRIDOS]:[V_FUT_UTEIS]],K$5, FALSE)</f>
        <v>#N/A</v>
      </c>
      <c r="L896" s="22" t="e">
        <f>VLOOKUP($A896, TAB_AMORTIZACAO_C[[DIAS_CORRIDOS]:[V_FUT_UTEIS]], L$5, FALSE)</f>
        <v>#N/A</v>
      </c>
    </row>
    <row r="897" spans="1:12" hidden="1">
      <c r="A897" s="19">
        <f t="shared" si="74"/>
        <v>891</v>
      </c>
      <c r="B897" s="20">
        <f t="shared" si="70"/>
        <v>0</v>
      </c>
      <c r="C897" s="21">
        <f t="shared" si="71"/>
        <v>0</v>
      </c>
      <c r="D897" s="22" t="e">
        <f>VLOOKUP($A897, TAB_JUROS_U[[Q_DIAS_U_PARC_TIR]:[V_FUT_U_JURS CENARIO]], D$5, FALSE)</f>
        <v>#N/A</v>
      </c>
      <c r="E897" s="22" t="e">
        <f>VLOOKUP($A897,TAB_CORRECAO_U[[Q_DIAS_U_PARC_TIR]:[V_FUT_U_CORC-02]],E$5, FALSE)</f>
        <v>#N/A</v>
      </c>
      <c r="F897" s="22" t="e">
        <f>VLOOKUP($A897,TAB_AMORTIZACAO_U[[Q_DIAS_U_PARC_TIR]:[V_FUT_U_PCPL-02]], F$5, FALSE)</f>
        <v>#N/A</v>
      </c>
      <c r="H897" s="20">
        <f t="shared" si="72"/>
        <v>0</v>
      </c>
      <c r="I897" s="21">
        <f t="shared" si="73"/>
        <v>0</v>
      </c>
      <c r="J897" s="22" t="e">
        <f>VLOOKUP($A897, TAB_JUROS_C[[DIAS_CORRIDOS]:[V_FUT_UTEIS]], J$5, FALSE)</f>
        <v>#N/A</v>
      </c>
      <c r="K897" s="22" t="e">
        <f>VLOOKUP($A897, TAB_CORRECAO_C[[DIAS_CORRIDOS]:[V_FUT_UTEIS]],K$5, FALSE)</f>
        <v>#N/A</v>
      </c>
      <c r="L897" s="22" t="e">
        <f>VLOOKUP($A897, TAB_AMORTIZACAO_C[[DIAS_CORRIDOS]:[V_FUT_UTEIS]], L$5, FALSE)</f>
        <v>#N/A</v>
      </c>
    </row>
    <row r="898" spans="1:12" hidden="1">
      <c r="A898" s="19">
        <f t="shared" si="74"/>
        <v>892</v>
      </c>
      <c r="B898" s="20">
        <f t="shared" si="70"/>
        <v>0</v>
      </c>
      <c r="C898" s="21">
        <f t="shared" si="71"/>
        <v>0</v>
      </c>
      <c r="D898" s="22" t="e">
        <f>VLOOKUP($A898, TAB_JUROS_U[[Q_DIAS_U_PARC_TIR]:[V_FUT_U_JURS CENARIO]], D$5, FALSE)</f>
        <v>#N/A</v>
      </c>
      <c r="E898" s="22" t="e">
        <f>VLOOKUP($A898,TAB_CORRECAO_U[[Q_DIAS_U_PARC_TIR]:[V_FUT_U_CORC-02]],E$5, FALSE)</f>
        <v>#N/A</v>
      </c>
      <c r="F898" s="22" t="e">
        <f>VLOOKUP($A898,TAB_AMORTIZACAO_U[[Q_DIAS_U_PARC_TIR]:[V_FUT_U_PCPL-02]], F$5, FALSE)</f>
        <v>#N/A</v>
      </c>
      <c r="H898" s="20">
        <f t="shared" si="72"/>
        <v>0</v>
      </c>
      <c r="I898" s="21">
        <f t="shared" si="73"/>
        <v>0</v>
      </c>
      <c r="J898" s="22" t="e">
        <f>VLOOKUP($A898, TAB_JUROS_C[[DIAS_CORRIDOS]:[V_FUT_UTEIS]], J$5, FALSE)</f>
        <v>#N/A</v>
      </c>
      <c r="K898" s="22" t="e">
        <f>VLOOKUP($A898, TAB_CORRECAO_C[[DIAS_CORRIDOS]:[V_FUT_UTEIS]],K$5, FALSE)</f>
        <v>#N/A</v>
      </c>
      <c r="L898" s="22" t="e">
        <f>VLOOKUP($A898, TAB_AMORTIZACAO_C[[DIAS_CORRIDOS]:[V_FUT_UTEIS]], L$5, FALSE)</f>
        <v>#N/A</v>
      </c>
    </row>
    <row r="899" spans="1:12" hidden="1">
      <c r="A899" s="19">
        <f t="shared" si="74"/>
        <v>893</v>
      </c>
      <c r="B899" s="20">
        <f t="shared" si="70"/>
        <v>0</v>
      </c>
      <c r="C899" s="21">
        <f t="shared" si="71"/>
        <v>0</v>
      </c>
      <c r="D899" s="22" t="e">
        <f>VLOOKUP($A899, TAB_JUROS_U[[Q_DIAS_U_PARC_TIR]:[V_FUT_U_JURS CENARIO]], D$5, FALSE)</f>
        <v>#N/A</v>
      </c>
      <c r="E899" s="22" t="e">
        <f>VLOOKUP($A899,TAB_CORRECAO_U[[Q_DIAS_U_PARC_TIR]:[V_FUT_U_CORC-02]],E$5, FALSE)</f>
        <v>#N/A</v>
      </c>
      <c r="F899" s="22" t="e">
        <f>VLOOKUP($A899,TAB_AMORTIZACAO_U[[Q_DIAS_U_PARC_TIR]:[V_FUT_U_PCPL-02]], F$5, FALSE)</f>
        <v>#N/A</v>
      </c>
      <c r="H899" s="20">
        <f t="shared" si="72"/>
        <v>1356.6404906477874</v>
      </c>
      <c r="I899" s="21">
        <f t="shared" si="73"/>
        <v>1356.6404906477874</v>
      </c>
      <c r="J899" s="22">
        <f>VLOOKUP($A899, TAB_JUROS_C[[DIAS_CORRIDOS]:[V_FUT_UTEIS]], J$5, FALSE)</f>
        <v>105.88345740188176</v>
      </c>
      <c r="K899" s="22">
        <f>VLOOKUP($A899, TAB_CORRECAO_C[[DIAS_CORRIDOS]:[V_FUT_UTEIS]],K$5, FALSE)</f>
        <v>675.08735050922439</v>
      </c>
      <c r="L899" s="22">
        <f>VLOOKUP($A899, TAB_AMORTIZACAO_C[[DIAS_CORRIDOS]:[V_FUT_UTEIS]], L$5, FALSE)</f>
        <v>575.66968273668135</v>
      </c>
    </row>
    <row r="900" spans="1:12" hidden="1">
      <c r="A900" s="19">
        <f t="shared" si="74"/>
        <v>894</v>
      </c>
      <c r="B900" s="20">
        <f t="shared" si="70"/>
        <v>0</v>
      </c>
      <c r="C900" s="21">
        <f t="shared" si="71"/>
        <v>0</v>
      </c>
      <c r="D900" s="22" t="e">
        <f>VLOOKUP($A900, TAB_JUROS_U[[Q_DIAS_U_PARC_TIR]:[V_FUT_U_JURS CENARIO]], D$5, FALSE)</f>
        <v>#N/A</v>
      </c>
      <c r="E900" s="22" t="e">
        <f>VLOOKUP($A900,TAB_CORRECAO_U[[Q_DIAS_U_PARC_TIR]:[V_FUT_U_CORC-02]],E$5, FALSE)</f>
        <v>#N/A</v>
      </c>
      <c r="F900" s="22" t="e">
        <f>VLOOKUP($A900,TAB_AMORTIZACAO_U[[Q_DIAS_U_PARC_TIR]:[V_FUT_U_PCPL-02]], F$5, FALSE)</f>
        <v>#N/A</v>
      </c>
      <c r="H900" s="20">
        <f t="shared" si="72"/>
        <v>0</v>
      </c>
      <c r="I900" s="21">
        <f t="shared" si="73"/>
        <v>0</v>
      </c>
      <c r="J900" s="22" t="e">
        <f>VLOOKUP($A900, TAB_JUROS_C[[DIAS_CORRIDOS]:[V_FUT_UTEIS]], J$5, FALSE)</f>
        <v>#N/A</v>
      </c>
      <c r="K900" s="22" t="e">
        <f>VLOOKUP($A900, TAB_CORRECAO_C[[DIAS_CORRIDOS]:[V_FUT_UTEIS]],K$5, FALSE)</f>
        <v>#N/A</v>
      </c>
      <c r="L900" s="22" t="e">
        <f>VLOOKUP($A900, TAB_AMORTIZACAO_C[[DIAS_CORRIDOS]:[V_FUT_UTEIS]], L$5, FALSE)</f>
        <v>#N/A</v>
      </c>
    </row>
    <row r="901" spans="1:12" hidden="1">
      <c r="A901" s="19">
        <f t="shared" si="74"/>
        <v>895</v>
      </c>
      <c r="B901" s="20">
        <f t="shared" si="70"/>
        <v>0</v>
      </c>
      <c r="C901" s="21">
        <f t="shared" si="71"/>
        <v>0</v>
      </c>
      <c r="D901" s="22" t="e">
        <f>VLOOKUP($A901, TAB_JUROS_U[[Q_DIAS_U_PARC_TIR]:[V_FUT_U_JURS CENARIO]], D$5, FALSE)</f>
        <v>#N/A</v>
      </c>
      <c r="E901" s="22" t="e">
        <f>VLOOKUP($A901,TAB_CORRECAO_U[[Q_DIAS_U_PARC_TIR]:[V_FUT_U_CORC-02]],E$5, FALSE)</f>
        <v>#N/A</v>
      </c>
      <c r="F901" s="22" t="e">
        <f>VLOOKUP($A901,TAB_AMORTIZACAO_U[[Q_DIAS_U_PARC_TIR]:[V_FUT_U_PCPL-02]], F$5, FALSE)</f>
        <v>#N/A</v>
      </c>
      <c r="H901" s="20">
        <f t="shared" si="72"/>
        <v>0</v>
      </c>
      <c r="I901" s="21">
        <f t="shared" si="73"/>
        <v>0</v>
      </c>
      <c r="J901" s="22" t="e">
        <f>VLOOKUP($A901, TAB_JUROS_C[[DIAS_CORRIDOS]:[V_FUT_UTEIS]], J$5, FALSE)</f>
        <v>#N/A</v>
      </c>
      <c r="K901" s="22" t="e">
        <f>VLOOKUP($A901, TAB_CORRECAO_C[[DIAS_CORRIDOS]:[V_FUT_UTEIS]],K$5, FALSE)</f>
        <v>#N/A</v>
      </c>
      <c r="L901" s="22" t="e">
        <f>VLOOKUP($A901, TAB_AMORTIZACAO_C[[DIAS_CORRIDOS]:[V_FUT_UTEIS]], L$5, FALSE)</f>
        <v>#N/A</v>
      </c>
    </row>
    <row r="902" spans="1:12" hidden="1">
      <c r="A902" s="19">
        <f t="shared" si="74"/>
        <v>896</v>
      </c>
      <c r="B902" s="20">
        <f t="shared" si="70"/>
        <v>0</v>
      </c>
      <c r="C902" s="21">
        <f t="shared" si="71"/>
        <v>0</v>
      </c>
      <c r="D902" s="22" t="e">
        <f>VLOOKUP($A902, TAB_JUROS_U[[Q_DIAS_U_PARC_TIR]:[V_FUT_U_JURS CENARIO]], D$5, FALSE)</f>
        <v>#N/A</v>
      </c>
      <c r="E902" s="22" t="e">
        <f>VLOOKUP($A902,TAB_CORRECAO_U[[Q_DIAS_U_PARC_TIR]:[V_FUT_U_CORC-02]],E$5, FALSE)</f>
        <v>#N/A</v>
      </c>
      <c r="F902" s="22" t="e">
        <f>VLOOKUP($A902,TAB_AMORTIZACAO_U[[Q_DIAS_U_PARC_TIR]:[V_FUT_U_PCPL-02]], F$5, FALSE)</f>
        <v>#N/A</v>
      </c>
      <c r="H902" s="20">
        <f t="shared" si="72"/>
        <v>0</v>
      </c>
      <c r="I902" s="21">
        <f t="shared" si="73"/>
        <v>0</v>
      </c>
      <c r="J902" s="22" t="e">
        <f>VLOOKUP($A902, TAB_JUROS_C[[DIAS_CORRIDOS]:[V_FUT_UTEIS]], J$5, FALSE)</f>
        <v>#N/A</v>
      </c>
      <c r="K902" s="22" t="e">
        <f>VLOOKUP($A902, TAB_CORRECAO_C[[DIAS_CORRIDOS]:[V_FUT_UTEIS]],K$5, FALSE)</f>
        <v>#N/A</v>
      </c>
      <c r="L902" s="22" t="e">
        <f>VLOOKUP($A902, TAB_AMORTIZACAO_C[[DIAS_CORRIDOS]:[V_FUT_UTEIS]], L$5, FALSE)</f>
        <v>#N/A</v>
      </c>
    </row>
    <row r="903" spans="1:12" hidden="1">
      <c r="A903" s="19">
        <f t="shared" si="74"/>
        <v>897</v>
      </c>
      <c r="B903" s="20">
        <f t="shared" si="70"/>
        <v>0</v>
      </c>
      <c r="C903" s="21">
        <f t="shared" si="71"/>
        <v>0</v>
      </c>
      <c r="D903" s="22" t="e">
        <f>VLOOKUP($A903, TAB_JUROS_U[[Q_DIAS_U_PARC_TIR]:[V_FUT_U_JURS CENARIO]], D$5, FALSE)</f>
        <v>#N/A</v>
      </c>
      <c r="E903" s="22" t="e">
        <f>VLOOKUP($A903,TAB_CORRECAO_U[[Q_DIAS_U_PARC_TIR]:[V_FUT_U_CORC-02]],E$5, FALSE)</f>
        <v>#N/A</v>
      </c>
      <c r="F903" s="22" t="e">
        <f>VLOOKUP($A903,TAB_AMORTIZACAO_U[[Q_DIAS_U_PARC_TIR]:[V_FUT_U_PCPL-02]], F$5, FALSE)</f>
        <v>#N/A</v>
      </c>
      <c r="H903" s="20">
        <f t="shared" si="72"/>
        <v>0</v>
      </c>
      <c r="I903" s="21">
        <f t="shared" si="73"/>
        <v>0</v>
      </c>
      <c r="J903" s="22" t="e">
        <f>VLOOKUP($A903, TAB_JUROS_C[[DIAS_CORRIDOS]:[V_FUT_UTEIS]], J$5, FALSE)</f>
        <v>#N/A</v>
      </c>
      <c r="K903" s="22" t="e">
        <f>VLOOKUP($A903, TAB_CORRECAO_C[[DIAS_CORRIDOS]:[V_FUT_UTEIS]],K$5, FALSE)</f>
        <v>#N/A</v>
      </c>
      <c r="L903" s="22" t="e">
        <f>VLOOKUP($A903, TAB_AMORTIZACAO_C[[DIAS_CORRIDOS]:[V_FUT_UTEIS]], L$5, FALSE)</f>
        <v>#N/A</v>
      </c>
    </row>
    <row r="904" spans="1:12" hidden="1">
      <c r="A904" s="19">
        <f t="shared" si="74"/>
        <v>898</v>
      </c>
      <c r="B904" s="20">
        <f t="shared" si="70"/>
        <v>0</v>
      </c>
      <c r="C904" s="21">
        <f t="shared" si="71"/>
        <v>0</v>
      </c>
      <c r="D904" s="22" t="e">
        <f>VLOOKUP($A904, TAB_JUROS_U[[Q_DIAS_U_PARC_TIR]:[V_FUT_U_JURS CENARIO]], D$5, FALSE)</f>
        <v>#N/A</v>
      </c>
      <c r="E904" s="22" t="e">
        <f>VLOOKUP($A904,TAB_CORRECAO_U[[Q_DIAS_U_PARC_TIR]:[V_FUT_U_CORC-02]],E$5, FALSE)</f>
        <v>#N/A</v>
      </c>
      <c r="F904" s="22" t="e">
        <f>VLOOKUP($A904,TAB_AMORTIZACAO_U[[Q_DIAS_U_PARC_TIR]:[V_FUT_U_PCPL-02]], F$5, FALSE)</f>
        <v>#N/A</v>
      </c>
      <c r="H904" s="20">
        <f t="shared" si="72"/>
        <v>0</v>
      </c>
      <c r="I904" s="21">
        <f t="shared" si="73"/>
        <v>0</v>
      </c>
      <c r="J904" s="22" t="e">
        <f>VLOOKUP($A904, TAB_JUROS_C[[DIAS_CORRIDOS]:[V_FUT_UTEIS]], J$5, FALSE)</f>
        <v>#N/A</v>
      </c>
      <c r="K904" s="22" t="e">
        <f>VLOOKUP($A904, TAB_CORRECAO_C[[DIAS_CORRIDOS]:[V_FUT_UTEIS]],K$5, FALSE)</f>
        <v>#N/A</v>
      </c>
      <c r="L904" s="22" t="e">
        <f>VLOOKUP($A904, TAB_AMORTIZACAO_C[[DIAS_CORRIDOS]:[V_FUT_UTEIS]], L$5, FALSE)</f>
        <v>#N/A</v>
      </c>
    </row>
    <row r="905" spans="1:12" hidden="1">
      <c r="A905" s="19">
        <f t="shared" si="74"/>
        <v>899</v>
      </c>
      <c r="B905" s="20">
        <f t="shared" ref="B905:B968" si="75">IF(ISERROR(C905), 0, C905)</f>
        <v>0</v>
      </c>
      <c r="C905" s="21">
        <f t="shared" ref="C905:C968" si="76">SUMIF(D905:F905, "&gt;0", D905:F905)</f>
        <v>0</v>
      </c>
      <c r="D905" s="22" t="e">
        <f>VLOOKUP($A905, TAB_JUROS_U[[Q_DIAS_U_PARC_TIR]:[V_FUT_U_JURS CENARIO]], D$5, FALSE)</f>
        <v>#N/A</v>
      </c>
      <c r="E905" s="22" t="e">
        <f>VLOOKUP($A905,TAB_CORRECAO_U[[Q_DIAS_U_PARC_TIR]:[V_FUT_U_CORC-02]],E$5, FALSE)</f>
        <v>#N/A</v>
      </c>
      <c r="F905" s="22" t="e">
        <f>VLOOKUP($A905,TAB_AMORTIZACAO_U[[Q_DIAS_U_PARC_TIR]:[V_FUT_U_PCPL-02]], F$5, FALSE)</f>
        <v>#N/A</v>
      </c>
      <c r="H905" s="20">
        <f t="shared" ref="H905:H968" si="77">IF(ISERROR(I905), 0, I905)</f>
        <v>0</v>
      </c>
      <c r="I905" s="21">
        <f t="shared" ref="I905:I968" si="78">SUMIF(J905:L905, "&gt;0", J905:L905)</f>
        <v>0</v>
      </c>
      <c r="J905" s="22" t="e">
        <f>VLOOKUP($A905, TAB_JUROS_C[[DIAS_CORRIDOS]:[V_FUT_UTEIS]], J$5, FALSE)</f>
        <v>#N/A</v>
      </c>
      <c r="K905" s="22" t="e">
        <f>VLOOKUP($A905, TAB_CORRECAO_C[[DIAS_CORRIDOS]:[V_FUT_UTEIS]],K$5, FALSE)</f>
        <v>#N/A</v>
      </c>
      <c r="L905" s="22" t="e">
        <f>VLOOKUP($A905, TAB_AMORTIZACAO_C[[DIAS_CORRIDOS]:[V_FUT_UTEIS]], L$5, FALSE)</f>
        <v>#N/A</v>
      </c>
    </row>
    <row r="906" spans="1:12" hidden="1">
      <c r="A906" s="19">
        <f t="shared" ref="A906:A969" si="79">A905+1</f>
        <v>900</v>
      </c>
      <c r="B906" s="20">
        <f t="shared" si="75"/>
        <v>0</v>
      </c>
      <c r="C906" s="21">
        <f t="shared" si="76"/>
        <v>0</v>
      </c>
      <c r="D906" s="22" t="e">
        <f>VLOOKUP($A906, TAB_JUROS_U[[Q_DIAS_U_PARC_TIR]:[V_FUT_U_JURS CENARIO]], D$5, FALSE)</f>
        <v>#N/A</v>
      </c>
      <c r="E906" s="22" t="e">
        <f>VLOOKUP($A906,TAB_CORRECAO_U[[Q_DIAS_U_PARC_TIR]:[V_FUT_U_CORC-02]],E$5, FALSE)</f>
        <v>#N/A</v>
      </c>
      <c r="F906" s="22" t="e">
        <f>VLOOKUP($A906,TAB_AMORTIZACAO_U[[Q_DIAS_U_PARC_TIR]:[V_FUT_U_PCPL-02]], F$5, FALSE)</f>
        <v>#N/A</v>
      </c>
      <c r="H906" s="20">
        <f t="shared" si="77"/>
        <v>0</v>
      </c>
      <c r="I906" s="21">
        <f t="shared" si="78"/>
        <v>0</v>
      </c>
      <c r="J906" s="22" t="e">
        <f>VLOOKUP($A906, TAB_JUROS_C[[DIAS_CORRIDOS]:[V_FUT_UTEIS]], J$5, FALSE)</f>
        <v>#N/A</v>
      </c>
      <c r="K906" s="22" t="e">
        <f>VLOOKUP($A906, TAB_CORRECAO_C[[DIAS_CORRIDOS]:[V_FUT_UTEIS]],K$5, FALSE)</f>
        <v>#N/A</v>
      </c>
      <c r="L906" s="22" t="e">
        <f>VLOOKUP($A906, TAB_AMORTIZACAO_C[[DIAS_CORRIDOS]:[V_FUT_UTEIS]], L$5, FALSE)</f>
        <v>#N/A</v>
      </c>
    </row>
    <row r="907" spans="1:12" hidden="1">
      <c r="A907" s="19">
        <f t="shared" si="79"/>
        <v>901</v>
      </c>
      <c r="B907" s="20">
        <f t="shared" si="75"/>
        <v>0</v>
      </c>
      <c r="C907" s="21">
        <f t="shared" si="76"/>
        <v>0</v>
      </c>
      <c r="D907" s="22" t="e">
        <f>VLOOKUP($A907, TAB_JUROS_U[[Q_DIAS_U_PARC_TIR]:[V_FUT_U_JURS CENARIO]], D$5, FALSE)</f>
        <v>#N/A</v>
      </c>
      <c r="E907" s="22" t="e">
        <f>VLOOKUP($A907,TAB_CORRECAO_U[[Q_DIAS_U_PARC_TIR]:[V_FUT_U_CORC-02]],E$5, FALSE)</f>
        <v>#N/A</v>
      </c>
      <c r="F907" s="22" t="e">
        <f>VLOOKUP($A907,TAB_AMORTIZACAO_U[[Q_DIAS_U_PARC_TIR]:[V_FUT_U_PCPL-02]], F$5, FALSE)</f>
        <v>#N/A</v>
      </c>
      <c r="H907" s="20">
        <f t="shared" si="77"/>
        <v>0</v>
      </c>
      <c r="I907" s="21">
        <f t="shared" si="78"/>
        <v>0</v>
      </c>
      <c r="J907" s="22" t="e">
        <f>VLOOKUP($A907, TAB_JUROS_C[[DIAS_CORRIDOS]:[V_FUT_UTEIS]], J$5, FALSE)</f>
        <v>#N/A</v>
      </c>
      <c r="K907" s="22" t="e">
        <f>VLOOKUP($A907, TAB_CORRECAO_C[[DIAS_CORRIDOS]:[V_FUT_UTEIS]],K$5, FALSE)</f>
        <v>#N/A</v>
      </c>
      <c r="L907" s="22" t="e">
        <f>VLOOKUP($A907, TAB_AMORTIZACAO_C[[DIAS_CORRIDOS]:[V_FUT_UTEIS]], L$5, FALSE)</f>
        <v>#N/A</v>
      </c>
    </row>
    <row r="908" spans="1:12" hidden="1">
      <c r="A908" s="19">
        <f t="shared" si="79"/>
        <v>902</v>
      </c>
      <c r="B908" s="20">
        <f t="shared" si="75"/>
        <v>0</v>
      </c>
      <c r="C908" s="21">
        <f t="shared" si="76"/>
        <v>0</v>
      </c>
      <c r="D908" s="22" t="e">
        <f>VLOOKUP($A908, TAB_JUROS_U[[Q_DIAS_U_PARC_TIR]:[V_FUT_U_JURS CENARIO]], D$5, FALSE)</f>
        <v>#N/A</v>
      </c>
      <c r="E908" s="22" t="e">
        <f>VLOOKUP($A908,TAB_CORRECAO_U[[Q_DIAS_U_PARC_TIR]:[V_FUT_U_CORC-02]],E$5, FALSE)</f>
        <v>#N/A</v>
      </c>
      <c r="F908" s="22" t="e">
        <f>VLOOKUP($A908,TAB_AMORTIZACAO_U[[Q_DIAS_U_PARC_TIR]:[V_FUT_U_PCPL-02]], F$5, FALSE)</f>
        <v>#N/A</v>
      </c>
      <c r="H908" s="20">
        <f t="shared" si="77"/>
        <v>0</v>
      </c>
      <c r="I908" s="21">
        <f t="shared" si="78"/>
        <v>0</v>
      </c>
      <c r="J908" s="22" t="e">
        <f>VLOOKUP($A908, TAB_JUROS_C[[DIAS_CORRIDOS]:[V_FUT_UTEIS]], J$5, FALSE)</f>
        <v>#N/A</v>
      </c>
      <c r="K908" s="22" t="e">
        <f>VLOOKUP($A908, TAB_CORRECAO_C[[DIAS_CORRIDOS]:[V_FUT_UTEIS]],K$5, FALSE)</f>
        <v>#N/A</v>
      </c>
      <c r="L908" s="22" t="e">
        <f>VLOOKUP($A908, TAB_AMORTIZACAO_C[[DIAS_CORRIDOS]:[V_FUT_UTEIS]], L$5, FALSE)</f>
        <v>#N/A</v>
      </c>
    </row>
    <row r="909" spans="1:12" hidden="1">
      <c r="A909" s="19">
        <f t="shared" si="79"/>
        <v>903</v>
      </c>
      <c r="B909" s="20">
        <f t="shared" si="75"/>
        <v>0</v>
      </c>
      <c r="C909" s="21">
        <f t="shared" si="76"/>
        <v>0</v>
      </c>
      <c r="D909" s="22" t="e">
        <f>VLOOKUP($A909, TAB_JUROS_U[[Q_DIAS_U_PARC_TIR]:[V_FUT_U_JURS CENARIO]], D$5, FALSE)</f>
        <v>#N/A</v>
      </c>
      <c r="E909" s="22" t="e">
        <f>VLOOKUP($A909,TAB_CORRECAO_U[[Q_DIAS_U_PARC_TIR]:[V_FUT_U_CORC-02]],E$5, FALSE)</f>
        <v>#N/A</v>
      </c>
      <c r="F909" s="22" t="e">
        <f>VLOOKUP($A909,TAB_AMORTIZACAO_U[[Q_DIAS_U_PARC_TIR]:[V_FUT_U_PCPL-02]], F$5, FALSE)</f>
        <v>#N/A</v>
      </c>
      <c r="H909" s="20">
        <f t="shared" si="77"/>
        <v>0</v>
      </c>
      <c r="I909" s="21">
        <f t="shared" si="78"/>
        <v>0</v>
      </c>
      <c r="J909" s="22" t="e">
        <f>VLOOKUP($A909, TAB_JUROS_C[[DIAS_CORRIDOS]:[V_FUT_UTEIS]], J$5, FALSE)</f>
        <v>#N/A</v>
      </c>
      <c r="K909" s="22" t="e">
        <f>VLOOKUP($A909, TAB_CORRECAO_C[[DIAS_CORRIDOS]:[V_FUT_UTEIS]],K$5, FALSE)</f>
        <v>#N/A</v>
      </c>
      <c r="L909" s="22" t="e">
        <f>VLOOKUP($A909, TAB_AMORTIZACAO_C[[DIAS_CORRIDOS]:[V_FUT_UTEIS]], L$5, FALSE)</f>
        <v>#N/A</v>
      </c>
    </row>
    <row r="910" spans="1:12" hidden="1">
      <c r="A910" s="19">
        <f t="shared" si="79"/>
        <v>904</v>
      </c>
      <c r="B910" s="20">
        <f t="shared" si="75"/>
        <v>0</v>
      </c>
      <c r="C910" s="21">
        <f t="shared" si="76"/>
        <v>0</v>
      </c>
      <c r="D910" s="22" t="e">
        <f>VLOOKUP($A910, TAB_JUROS_U[[Q_DIAS_U_PARC_TIR]:[V_FUT_U_JURS CENARIO]], D$5, FALSE)</f>
        <v>#N/A</v>
      </c>
      <c r="E910" s="22" t="e">
        <f>VLOOKUP($A910,TAB_CORRECAO_U[[Q_DIAS_U_PARC_TIR]:[V_FUT_U_CORC-02]],E$5, FALSE)</f>
        <v>#N/A</v>
      </c>
      <c r="F910" s="22" t="e">
        <f>VLOOKUP($A910,TAB_AMORTIZACAO_U[[Q_DIAS_U_PARC_TIR]:[V_FUT_U_PCPL-02]], F$5, FALSE)</f>
        <v>#N/A</v>
      </c>
      <c r="H910" s="20">
        <f t="shared" si="77"/>
        <v>0</v>
      </c>
      <c r="I910" s="21">
        <f t="shared" si="78"/>
        <v>0</v>
      </c>
      <c r="J910" s="22" t="e">
        <f>VLOOKUP($A910, TAB_JUROS_C[[DIAS_CORRIDOS]:[V_FUT_UTEIS]], J$5, FALSE)</f>
        <v>#N/A</v>
      </c>
      <c r="K910" s="22" t="e">
        <f>VLOOKUP($A910, TAB_CORRECAO_C[[DIAS_CORRIDOS]:[V_FUT_UTEIS]],K$5, FALSE)</f>
        <v>#N/A</v>
      </c>
      <c r="L910" s="22" t="e">
        <f>VLOOKUP($A910, TAB_AMORTIZACAO_C[[DIAS_CORRIDOS]:[V_FUT_UTEIS]], L$5, FALSE)</f>
        <v>#N/A</v>
      </c>
    </row>
    <row r="911" spans="1:12" hidden="1">
      <c r="A911" s="19">
        <f t="shared" si="79"/>
        <v>905</v>
      </c>
      <c r="B911" s="20">
        <f t="shared" si="75"/>
        <v>0</v>
      </c>
      <c r="C911" s="21">
        <f t="shared" si="76"/>
        <v>0</v>
      </c>
      <c r="D911" s="22" t="e">
        <f>VLOOKUP($A911, TAB_JUROS_U[[Q_DIAS_U_PARC_TIR]:[V_FUT_U_JURS CENARIO]], D$5, FALSE)</f>
        <v>#N/A</v>
      </c>
      <c r="E911" s="22" t="e">
        <f>VLOOKUP($A911,TAB_CORRECAO_U[[Q_DIAS_U_PARC_TIR]:[V_FUT_U_CORC-02]],E$5, FALSE)</f>
        <v>#N/A</v>
      </c>
      <c r="F911" s="22" t="e">
        <f>VLOOKUP($A911,TAB_AMORTIZACAO_U[[Q_DIAS_U_PARC_TIR]:[V_FUT_U_PCPL-02]], F$5, FALSE)</f>
        <v>#N/A</v>
      </c>
      <c r="H911" s="20">
        <f t="shared" si="77"/>
        <v>0</v>
      </c>
      <c r="I911" s="21">
        <f t="shared" si="78"/>
        <v>0</v>
      </c>
      <c r="J911" s="22" t="e">
        <f>VLOOKUP($A911, TAB_JUROS_C[[DIAS_CORRIDOS]:[V_FUT_UTEIS]], J$5, FALSE)</f>
        <v>#N/A</v>
      </c>
      <c r="K911" s="22" t="e">
        <f>VLOOKUP($A911, TAB_CORRECAO_C[[DIAS_CORRIDOS]:[V_FUT_UTEIS]],K$5, FALSE)</f>
        <v>#N/A</v>
      </c>
      <c r="L911" s="22" t="e">
        <f>VLOOKUP($A911, TAB_AMORTIZACAO_C[[DIAS_CORRIDOS]:[V_FUT_UTEIS]], L$5, FALSE)</f>
        <v>#N/A</v>
      </c>
    </row>
    <row r="912" spans="1:12" hidden="1">
      <c r="A912" s="19">
        <f t="shared" si="79"/>
        <v>906</v>
      </c>
      <c r="B912" s="20">
        <f t="shared" si="75"/>
        <v>0</v>
      </c>
      <c r="C912" s="21">
        <f t="shared" si="76"/>
        <v>0</v>
      </c>
      <c r="D912" s="22" t="e">
        <f>VLOOKUP($A912, TAB_JUROS_U[[Q_DIAS_U_PARC_TIR]:[V_FUT_U_JURS CENARIO]], D$5, FALSE)</f>
        <v>#N/A</v>
      </c>
      <c r="E912" s="22" t="e">
        <f>VLOOKUP($A912,TAB_CORRECAO_U[[Q_DIAS_U_PARC_TIR]:[V_FUT_U_CORC-02]],E$5, FALSE)</f>
        <v>#N/A</v>
      </c>
      <c r="F912" s="22" t="e">
        <f>VLOOKUP($A912,TAB_AMORTIZACAO_U[[Q_DIAS_U_PARC_TIR]:[V_FUT_U_PCPL-02]], F$5, FALSE)</f>
        <v>#N/A</v>
      </c>
      <c r="H912" s="20">
        <f t="shared" si="77"/>
        <v>0</v>
      </c>
      <c r="I912" s="21">
        <f t="shared" si="78"/>
        <v>0</v>
      </c>
      <c r="J912" s="22" t="e">
        <f>VLOOKUP($A912, TAB_JUROS_C[[DIAS_CORRIDOS]:[V_FUT_UTEIS]], J$5, FALSE)</f>
        <v>#N/A</v>
      </c>
      <c r="K912" s="22" t="e">
        <f>VLOOKUP($A912, TAB_CORRECAO_C[[DIAS_CORRIDOS]:[V_FUT_UTEIS]],K$5, FALSE)</f>
        <v>#N/A</v>
      </c>
      <c r="L912" s="22" t="e">
        <f>VLOOKUP($A912, TAB_AMORTIZACAO_C[[DIAS_CORRIDOS]:[V_FUT_UTEIS]], L$5, FALSE)</f>
        <v>#N/A</v>
      </c>
    </row>
    <row r="913" spans="1:12" hidden="1">
      <c r="A913" s="19">
        <f t="shared" si="79"/>
        <v>907</v>
      </c>
      <c r="B913" s="20">
        <f t="shared" si="75"/>
        <v>0</v>
      </c>
      <c r="C913" s="21">
        <f t="shared" si="76"/>
        <v>0</v>
      </c>
      <c r="D913" s="22" t="e">
        <f>VLOOKUP($A913, TAB_JUROS_U[[Q_DIAS_U_PARC_TIR]:[V_FUT_U_JURS CENARIO]], D$5, FALSE)</f>
        <v>#N/A</v>
      </c>
      <c r="E913" s="22" t="e">
        <f>VLOOKUP($A913,TAB_CORRECAO_U[[Q_DIAS_U_PARC_TIR]:[V_FUT_U_CORC-02]],E$5, FALSE)</f>
        <v>#N/A</v>
      </c>
      <c r="F913" s="22" t="e">
        <f>VLOOKUP($A913,TAB_AMORTIZACAO_U[[Q_DIAS_U_PARC_TIR]:[V_FUT_U_PCPL-02]], F$5, FALSE)</f>
        <v>#N/A</v>
      </c>
      <c r="H913" s="20">
        <f t="shared" si="77"/>
        <v>0</v>
      </c>
      <c r="I913" s="21">
        <f t="shared" si="78"/>
        <v>0</v>
      </c>
      <c r="J913" s="22" t="e">
        <f>VLOOKUP($A913, TAB_JUROS_C[[DIAS_CORRIDOS]:[V_FUT_UTEIS]], J$5, FALSE)</f>
        <v>#N/A</v>
      </c>
      <c r="K913" s="22" t="e">
        <f>VLOOKUP($A913, TAB_CORRECAO_C[[DIAS_CORRIDOS]:[V_FUT_UTEIS]],K$5, FALSE)</f>
        <v>#N/A</v>
      </c>
      <c r="L913" s="22" t="e">
        <f>VLOOKUP($A913, TAB_AMORTIZACAO_C[[DIAS_CORRIDOS]:[V_FUT_UTEIS]], L$5, FALSE)</f>
        <v>#N/A</v>
      </c>
    </row>
    <row r="914" spans="1:12" hidden="1">
      <c r="A914" s="19">
        <f t="shared" si="79"/>
        <v>908</v>
      </c>
      <c r="B914" s="20">
        <f t="shared" si="75"/>
        <v>0</v>
      </c>
      <c r="C914" s="21">
        <f t="shared" si="76"/>
        <v>0</v>
      </c>
      <c r="D914" s="22" t="e">
        <f>VLOOKUP($A914, TAB_JUROS_U[[Q_DIAS_U_PARC_TIR]:[V_FUT_U_JURS CENARIO]], D$5, FALSE)</f>
        <v>#N/A</v>
      </c>
      <c r="E914" s="22" t="e">
        <f>VLOOKUP($A914,TAB_CORRECAO_U[[Q_DIAS_U_PARC_TIR]:[V_FUT_U_CORC-02]],E$5, FALSE)</f>
        <v>#N/A</v>
      </c>
      <c r="F914" s="22" t="e">
        <f>VLOOKUP($A914,TAB_AMORTIZACAO_U[[Q_DIAS_U_PARC_TIR]:[V_FUT_U_PCPL-02]], F$5, FALSE)</f>
        <v>#N/A</v>
      </c>
      <c r="H914" s="20">
        <f t="shared" si="77"/>
        <v>0</v>
      </c>
      <c r="I914" s="21">
        <f t="shared" si="78"/>
        <v>0</v>
      </c>
      <c r="J914" s="22" t="e">
        <f>VLOOKUP($A914, TAB_JUROS_C[[DIAS_CORRIDOS]:[V_FUT_UTEIS]], J$5, FALSE)</f>
        <v>#N/A</v>
      </c>
      <c r="K914" s="22" t="e">
        <f>VLOOKUP($A914, TAB_CORRECAO_C[[DIAS_CORRIDOS]:[V_FUT_UTEIS]],K$5, FALSE)</f>
        <v>#N/A</v>
      </c>
      <c r="L914" s="22" t="e">
        <f>VLOOKUP($A914, TAB_AMORTIZACAO_C[[DIAS_CORRIDOS]:[V_FUT_UTEIS]], L$5, FALSE)</f>
        <v>#N/A</v>
      </c>
    </row>
    <row r="915" spans="1:12">
      <c r="A915" s="19">
        <f t="shared" si="79"/>
        <v>909</v>
      </c>
      <c r="B915" s="20">
        <f t="shared" si="75"/>
        <v>1015.9421122258716</v>
      </c>
      <c r="C915" s="21">
        <f t="shared" si="76"/>
        <v>1015.9421122258716</v>
      </c>
      <c r="D915" s="22">
        <f>VLOOKUP($A915, TAB_JUROS_U[[Q_DIAS_U_PARC_TIR]:[V_FUT_U_JURS CENARIO]], D$5, FALSE)</f>
        <v>82.152796292589443</v>
      </c>
      <c r="E915" s="22">
        <f>VLOOKUP($A915,TAB_CORRECAO_U[[Q_DIAS_U_PARC_TIR]:[V_FUT_U_CORC-02]],E$5, FALSE)</f>
        <v>499.39654563034122</v>
      </c>
      <c r="F915" s="22">
        <f>VLOOKUP($A915,TAB_AMORTIZACAO_U[[Q_DIAS_U_PARC_TIR]:[V_FUT_U_PCPL-02]], F$5, FALSE)</f>
        <v>434.39277030294085</v>
      </c>
      <c r="H915" s="20">
        <f t="shared" si="77"/>
        <v>0</v>
      </c>
      <c r="I915" s="21">
        <f t="shared" si="78"/>
        <v>0</v>
      </c>
      <c r="J915" s="22" t="e">
        <f>VLOOKUP($A915, TAB_JUROS_C[[DIAS_CORRIDOS]:[V_FUT_UTEIS]], J$5, FALSE)</f>
        <v>#N/A</v>
      </c>
      <c r="K915" s="22" t="e">
        <f>VLOOKUP($A915, TAB_CORRECAO_C[[DIAS_CORRIDOS]:[V_FUT_UTEIS]],K$5, FALSE)</f>
        <v>#N/A</v>
      </c>
      <c r="L915" s="22" t="e">
        <f>VLOOKUP($A915, TAB_AMORTIZACAO_C[[DIAS_CORRIDOS]:[V_FUT_UTEIS]], L$5, FALSE)</f>
        <v>#N/A</v>
      </c>
    </row>
    <row r="916" spans="1:12" hidden="1">
      <c r="A916" s="19">
        <f t="shared" si="79"/>
        <v>910</v>
      </c>
      <c r="B916" s="20">
        <f t="shared" si="75"/>
        <v>0</v>
      </c>
      <c r="C916" s="21">
        <f t="shared" si="76"/>
        <v>0</v>
      </c>
      <c r="D916" s="22" t="e">
        <f>VLOOKUP($A916, TAB_JUROS_U[[Q_DIAS_U_PARC_TIR]:[V_FUT_U_JURS CENARIO]], D$5, FALSE)</f>
        <v>#N/A</v>
      </c>
      <c r="E916" s="22" t="e">
        <f>VLOOKUP($A916,TAB_CORRECAO_U[[Q_DIAS_U_PARC_TIR]:[V_FUT_U_CORC-02]],E$5, FALSE)</f>
        <v>#N/A</v>
      </c>
      <c r="F916" s="22" t="e">
        <f>VLOOKUP($A916,TAB_AMORTIZACAO_U[[Q_DIAS_U_PARC_TIR]:[V_FUT_U_PCPL-02]], F$5, FALSE)</f>
        <v>#N/A</v>
      </c>
      <c r="H916" s="20">
        <f t="shared" si="77"/>
        <v>0</v>
      </c>
      <c r="I916" s="21">
        <f t="shared" si="78"/>
        <v>0</v>
      </c>
      <c r="J916" s="22" t="e">
        <f>VLOOKUP($A916, TAB_JUROS_C[[DIAS_CORRIDOS]:[V_FUT_UTEIS]], J$5, FALSE)</f>
        <v>#N/A</v>
      </c>
      <c r="K916" s="22" t="e">
        <f>VLOOKUP($A916, TAB_CORRECAO_C[[DIAS_CORRIDOS]:[V_FUT_UTEIS]],K$5, FALSE)</f>
        <v>#N/A</v>
      </c>
      <c r="L916" s="22" t="e">
        <f>VLOOKUP($A916, TAB_AMORTIZACAO_C[[DIAS_CORRIDOS]:[V_FUT_UTEIS]], L$5, FALSE)</f>
        <v>#N/A</v>
      </c>
    </row>
    <row r="917" spans="1:12" hidden="1">
      <c r="A917" s="19">
        <f t="shared" si="79"/>
        <v>911</v>
      </c>
      <c r="B917" s="20">
        <f t="shared" si="75"/>
        <v>0</v>
      </c>
      <c r="C917" s="21">
        <f t="shared" si="76"/>
        <v>0</v>
      </c>
      <c r="D917" s="22" t="e">
        <f>VLOOKUP($A917, TAB_JUROS_U[[Q_DIAS_U_PARC_TIR]:[V_FUT_U_JURS CENARIO]], D$5, FALSE)</f>
        <v>#N/A</v>
      </c>
      <c r="E917" s="22" t="e">
        <f>VLOOKUP($A917,TAB_CORRECAO_U[[Q_DIAS_U_PARC_TIR]:[V_FUT_U_CORC-02]],E$5, FALSE)</f>
        <v>#N/A</v>
      </c>
      <c r="F917" s="22" t="e">
        <f>VLOOKUP($A917,TAB_AMORTIZACAO_U[[Q_DIAS_U_PARC_TIR]:[V_FUT_U_PCPL-02]], F$5, FALSE)</f>
        <v>#N/A</v>
      </c>
      <c r="H917" s="20">
        <f t="shared" si="77"/>
        <v>0</v>
      </c>
      <c r="I917" s="21">
        <f t="shared" si="78"/>
        <v>0</v>
      </c>
      <c r="J917" s="22" t="e">
        <f>VLOOKUP($A917, TAB_JUROS_C[[DIAS_CORRIDOS]:[V_FUT_UTEIS]], J$5, FALSE)</f>
        <v>#N/A</v>
      </c>
      <c r="K917" s="22" t="e">
        <f>VLOOKUP($A917, TAB_CORRECAO_C[[DIAS_CORRIDOS]:[V_FUT_UTEIS]],K$5, FALSE)</f>
        <v>#N/A</v>
      </c>
      <c r="L917" s="22" t="e">
        <f>VLOOKUP($A917, TAB_AMORTIZACAO_C[[DIAS_CORRIDOS]:[V_FUT_UTEIS]], L$5, FALSE)</f>
        <v>#N/A</v>
      </c>
    </row>
    <row r="918" spans="1:12" hidden="1">
      <c r="A918" s="19">
        <f t="shared" si="79"/>
        <v>912</v>
      </c>
      <c r="B918" s="20">
        <f t="shared" si="75"/>
        <v>0</v>
      </c>
      <c r="C918" s="21">
        <f t="shared" si="76"/>
        <v>0</v>
      </c>
      <c r="D918" s="22" t="e">
        <f>VLOOKUP($A918, TAB_JUROS_U[[Q_DIAS_U_PARC_TIR]:[V_FUT_U_JURS CENARIO]], D$5, FALSE)</f>
        <v>#N/A</v>
      </c>
      <c r="E918" s="22" t="e">
        <f>VLOOKUP($A918,TAB_CORRECAO_U[[Q_DIAS_U_PARC_TIR]:[V_FUT_U_CORC-02]],E$5, FALSE)</f>
        <v>#N/A</v>
      </c>
      <c r="F918" s="22" t="e">
        <f>VLOOKUP($A918,TAB_AMORTIZACAO_U[[Q_DIAS_U_PARC_TIR]:[V_FUT_U_PCPL-02]], F$5, FALSE)</f>
        <v>#N/A</v>
      </c>
      <c r="H918" s="20">
        <f t="shared" si="77"/>
        <v>0</v>
      </c>
      <c r="I918" s="21">
        <f t="shared" si="78"/>
        <v>0</v>
      </c>
      <c r="J918" s="22" t="e">
        <f>VLOOKUP($A918, TAB_JUROS_C[[DIAS_CORRIDOS]:[V_FUT_UTEIS]], J$5, FALSE)</f>
        <v>#N/A</v>
      </c>
      <c r="K918" s="22" t="e">
        <f>VLOOKUP($A918, TAB_CORRECAO_C[[DIAS_CORRIDOS]:[V_FUT_UTEIS]],K$5, FALSE)</f>
        <v>#N/A</v>
      </c>
      <c r="L918" s="22" t="e">
        <f>VLOOKUP($A918, TAB_AMORTIZACAO_C[[DIAS_CORRIDOS]:[V_FUT_UTEIS]], L$5, FALSE)</f>
        <v>#N/A</v>
      </c>
    </row>
    <row r="919" spans="1:12" hidden="1">
      <c r="A919" s="19">
        <f t="shared" si="79"/>
        <v>913</v>
      </c>
      <c r="B919" s="20">
        <f t="shared" si="75"/>
        <v>0</v>
      </c>
      <c r="C919" s="21">
        <f t="shared" si="76"/>
        <v>0</v>
      </c>
      <c r="D919" s="22" t="e">
        <f>VLOOKUP($A919, TAB_JUROS_U[[Q_DIAS_U_PARC_TIR]:[V_FUT_U_JURS CENARIO]], D$5, FALSE)</f>
        <v>#N/A</v>
      </c>
      <c r="E919" s="22" t="e">
        <f>VLOOKUP($A919,TAB_CORRECAO_U[[Q_DIAS_U_PARC_TIR]:[V_FUT_U_CORC-02]],E$5, FALSE)</f>
        <v>#N/A</v>
      </c>
      <c r="F919" s="22" t="e">
        <f>VLOOKUP($A919,TAB_AMORTIZACAO_U[[Q_DIAS_U_PARC_TIR]:[V_FUT_U_PCPL-02]], F$5, FALSE)</f>
        <v>#N/A</v>
      </c>
      <c r="H919" s="20">
        <f t="shared" si="77"/>
        <v>0</v>
      </c>
      <c r="I919" s="21">
        <f t="shared" si="78"/>
        <v>0</v>
      </c>
      <c r="J919" s="22" t="e">
        <f>VLOOKUP($A919, TAB_JUROS_C[[DIAS_CORRIDOS]:[V_FUT_UTEIS]], J$5, FALSE)</f>
        <v>#N/A</v>
      </c>
      <c r="K919" s="22" t="e">
        <f>VLOOKUP($A919, TAB_CORRECAO_C[[DIAS_CORRIDOS]:[V_FUT_UTEIS]],K$5, FALSE)</f>
        <v>#N/A</v>
      </c>
      <c r="L919" s="22" t="e">
        <f>VLOOKUP($A919, TAB_AMORTIZACAO_C[[DIAS_CORRIDOS]:[V_FUT_UTEIS]], L$5, FALSE)</f>
        <v>#N/A</v>
      </c>
    </row>
    <row r="920" spans="1:12" hidden="1">
      <c r="A920" s="19">
        <f t="shared" si="79"/>
        <v>914</v>
      </c>
      <c r="B920" s="20">
        <f t="shared" si="75"/>
        <v>0</v>
      </c>
      <c r="C920" s="21">
        <f t="shared" si="76"/>
        <v>0</v>
      </c>
      <c r="D920" s="22" t="e">
        <f>VLOOKUP($A920, TAB_JUROS_U[[Q_DIAS_U_PARC_TIR]:[V_FUT_U_JURS CENARIO]], D$5, FALSE)</f>
        <v>#N/A</v>
      </c>
      <c r="E920" s="22" t="e">
        <f>VLOOKUP($A920,TAB_CORRECAO_U[[Q_DIAS_U_PARC_TIR]:[V_FUT_U_CORC-02]],E$5, FALSE)</f>
        <v>#N/A</v>
      </c>
      <c r="F920" s="22" t="e">
        <f>VLOOKUP($A920,TAB_AMORTIZACAO_U[[Q_DIAS_U_PARC_TIR]:[V_FUT_U_PCPL-02]], F$5, FALSE)</f>
        <v>#N/A</v>
      </c>
      <c r="H920" s="20">
        <f t="shared" si="77"/>
        <v>0</v>
      </c>
      <c r="I920" s="21">
        <f t="shared" si="78"/>
        <v>0</v>
      </c>
      <c r="J920" s="22" t="e">
        <f>VLOOKUP($A920, TAB_JUROS_C[[DIAS_CORRIDOS]:[V_FUT_UTEIS]], J$5, FALSE)</f>
        <v>#N/A</v>
      </c>
      <c r="K920" s="22" t="e">
        <f>VLOOKUP($A920, TAB_CORRECAO_C[[DIAS_CORRIDOS]:[V_FUT_UTEIS]],K$5, FALSE)</f>
        <v>#N/A</v>
      </c>
      <c r="L920" s="22" t="e">
        <f>VLOOKUP($A920, TAB_AMORTIZACAO_C[[DIAS_CORRIDOS]:[V_FUT_UTEIS]], L$5, FALSE)</f>
        <v>#N/A</v>
      </c>
    </row>
    <row r="921" spans="1:12" hidden="1">
      <c r="A921" s="19">
        <f t="shared" si="79"/>
        <v>915</v>
      </c>
      <c r="B921" s="20">
        <f t="shared" si="75"/>
        <v>0</v>
      </c>
      <c r="C921" s="21">
        <f t="shared" si="76"/>
        <v>0</v>
      </c>
      <c r="D921" s="22" t="e">
        <f>VLOOKUP($A921, TAB_JUROS_U[[Q_DIAS_U_PARC_TIR]:[V_FUT_U_JURS CENARIO]], D$5, FALSE)</f>
        <v>#N/A</v>
      </c>
      <c r="E921" s="22" t="e">
        <f>VLOOKUP($A921,TAB_CORRECAO_U[[Q_DIAS_U_PARC_TIR]:[V_FUT_U_CORC-02]],E$5, FALSE)</f>
        <v>#N/A</v>
      </c>
      <c r="F921" s="22" t="e">
        <f>VLOOKUP($A921,TAB_AMORTIZACAO_U[[Q_DIAS_U_PARC_TIR]:[V_FUT_U_PCPL-02]], F$5, FALSE)</f>
        <v>#N/A</v>
      </c>
      <c r="H921" s="20">
        <f t="shared" si="77"/>
        <v>0</v>
      </c>
      <c r="I921" s="21">
        <f t="shared" si="78"/>
        <v>0</v>
      </c>
      <c r="J921" s="22" t="e">
        <f>VLOOKUP($A921, TAB_JUROS_C[[DIAS_CORRIDOS]:[V_FUT_UTEIS]], J$5, FALSE)</f>
        <v>#N/A</v>
      </c>
      <c r="K921" s="22" t="e">
        <f>VLOOKUP($A921, TAB_CORRECAO_C[[DIAS_CORRIDOS]:[V_FUT_UTEIS]],K$5, FALSE)</f>
        <v>#N/A</v>
      </c>
      <c r="L921" s="22" t="e">
        <f>VLOOKUP($A921, TAB_AMORTIZACAO_C[[DIAS_CORRIDOS]:[V_FUT_UTEIS]], L$5, FALSE)</f>
        <v>#N/A</v>
      </c>
    </row>
    <row r="922" spans="1:12" hidden="1">
      <c r="A922" s="19">
        <f t="shared" si="79"/>
        <v>916</v>
      </c>
      <c r="B922" s="20">
        <f t="shared" si="75"/>
        <v>0</v>
      </c>
      <c r="C922" s="21">
        <f t="shared" si="76"/>
        <v>0</v>
      </c>
      <c r="D922" s="22" t="e">
        <f>VLOOKUP($A922, TAB_JUROS_U[[Q_DIAS_U_PARC_TIR]:[V_FUT_U_JURS CENARIO]], D$5, FALSE)</f>
        <v>#N/A</v>
      </c>
      <c r="E922" s="22" t="e">
        <f>VLOOKUP($A922,TAB_CORRECAO_U[[Q_DIAS_U_PARC_TIR]:[V_FUT_U_CORC-02]],E$5, FALSE)</f>
        <v>#N/A</v>
      </c>
      <c r="F922" s="22" t="e">
        <f>VLOOKUP($A922,TAB_AMORTIZACAO_U[[Q_DIAS_U_PARC_TIR]:[V_FUT_U_PCPL-02]], F$5, FALSE)</f>
        <v>#N/A</v>
      </c>
      <c r="H922" s="20">
        <f t="shared" si="77"/>
        <v>0</v>
      </c>
      <c r="I922" s="21">
        <f t="shared" si="78"/>
        <v>0</v>
      </c>
      <c r="J922" s="22" t="e">
        <f>VLOOKUP($A922, TAB_JUROS_C[[DIAS_CORRIDOS]:[V_FUT_UTEIS]], J$5, FALSE)</f>
        <v>#N/A</v>
      </c>
      <c r="K922" s="22" t="e">
        <f>VLOOKUP($A922, TAB_CORRECAO_C[[DIAS_CORRIDOS]:[V_FUT_UTEIS]],K$5, FALSE)</f>
        <v>#N/A</v>
      </c>
      <c r="L922" s="22" t="e">
        <f>VLOOKUP($A922, TAB_AMORTIZACAO_C[[DIAS_CORRIDOS]:[V_FUT_UTEIS]], L$5, FALSE)</f>
        <v>#N/A</v>
      </c>
    </row>
    <row r="923" spans="1:12" hidden="1">
      <c r="A923" s="19">
        <f t="shared" si="79"/>
        <v>917</v>
      </c>
      <c r="B923" s="20">
        <f t="shared" si="75"/>
        <v>0</v>
      </c>
      <c r="C923" s="21">
        <f t="shared" si="76"/>
        <v>0</v>
      </c>
      <c r="D923" s="22" t="e">
        <f>VLOOKUP($A923, TAB_JUROS_U[[Q_DIAS_U_PARC_TIR]:[V_FUT_U_JURS CENARIO]], D$5, FALSE)</f>
        <v>#N/A</v>
      </c>
      <c r="E923" s="22" t="e">
        <f>VLOOKUP($A923,TAB_CORRECAO_U[[Q_DIAS_U_PARC_TIR]:[V_FUT_U_CORC-02]],E$5, FALSE)</f>
        <v>#N/A</v>
      </c>
      <c r="F923" s="22" t="e">
        <f>VLOOKUP($A923,TAB_AMORTIZACAO_U[[Q_DIAS_U_PARC_TIR]:[V_FUT_U_PCPL-02]], F$5, FALSE)</f>
        <v>#N/A</v>
      </c>
      <c r="H923" s="20">
        <f t="shared" si="77"/>
        <v>0</v>
      </c>
      <c r="I923" s="21">
        <f t="shared" si="78"/>
        <v>0</v>
      </c>
      <c r="J923" s="22" t="e">
        <f>VLOOKUP($A923, TAB_JUROS_C[[DIAS_CORRIDOS]:[V_FUT_UTEIS]], J$5, FALSE)</f>
        <v>#N/A</v>
      </c>
      <c r="K923" s="22" t="e">
        <f>VLOOKUP($A923, TAB_CORRECAO_C[[DIAS_CORRIDOS]:[V_FUT_UTEIS]],K$5, FALSE)</f>
        <v>#N/A</v>
      </c>
      <c r="L923" s="22" t="e">
        <f>VLOOKUP($A923, TAB_AMORTIZACAO_C[[DIAS_CORRIDOS]:[V_FUT_UTEIS]], L$5, FALSE)</f>
        <v>#N/A</v>
      </c>
    </row>
    <row r="924" spans="1:12" hidden="1">
      <c r="A924" s="19">
        <f t="shared" si="79"/>
        <v>918</v>
      </c>
      <c r="B924" s="20">
        <f t="shared" si="75"/>
        <v>0</v>
      </c>
      <c r="C924" s="21">
        <f t="shared" si="76"/>
        <v>0</v>
      </c>
      <c r="D924" s="22" t="e">
        <f>VLOOKUP($A924, TAB_JUROS_U[[Q_DIAS_U_PARC_TIR]:[V_FUT_U_JURS CENARIO]], D$5, FALSE)</f>
        <v>#N/A</v>
      </c>
      <c r="E924" s="22" t="e">
        <f>VLOOKUP($A924,TAB_CORRECAO_U[[Q_DIAS_U_PARC_TIR]:[V_FUT_U_CORC-02]],E$5, FALSE)</f>
        <v>#N/A</v>
      </c>
      <c r="F924" s="22" t="e">
        <f>VLOOKUP($A924,TAB_AMORTIZACAO_U[[Q_DIAS_U_PARC_TIR]:[V_FUT_U_PCPL-02]], F$5, FALSE)</f>
        <v>#N/A</v>
      </c>
      <c r="H924" s="20">
        <f t="shared" si="77"/>
        <v>0</v>
      </c>
      <c r="I924" s="21">
        <f t="shared" si="78"/>
        <v>0</v>
      </c>
      <c r="J924" s="22" t="e">
        <f>VLOOKUP($A924, TAB_JUROS_C[[DIAS_CORRIDOS]:[V_FUT_UTEIS]], J$5, FALSE)</f>
        <v>#N/A</v>
      </c>
      <c r="K924" s="22" t="e">
        <f>VLOOKUP($A924, TAB_CORRECAO_C[[DIAS_CORRIDOS]:[V_FUT_UTEIS]],K$5, FALSE)</f>
        <v>#N/A</v>
      </c>
      <c r="L924" s="22" t="e">
        <f>VLOOKUP($A924, TAB_AMORTIZACAO_C[[DIAS_CORRIDOS]:[V_FUT_UTEIS]], L$5, FALSE)</f>
        <v>#N/A</v>
      </c>
    </row>
    <row r="925" spans="1:12" hidden="1">
      <c r="A925" s="19">
        <f t="shared" si="79"/>
        <v>919</v>
      </c>
      <c r="B925" s="20">
        <f t="shared" si="75"/>
        <v>0</v>
      </c>
      <c r="C925" s="21">
        <f t="shared" si="76"/>
        <v>0</v>
      </c>
      <c r="D925" s="22" t="e">
        <f>VLOOKUP($A925, TAB_JUROS_U[[Q_DIAS_U_PARC_TIR]:[V_FUT_U_JURS CENARIO]], D$5, FALSE)</f>
        <v>#N/A</v>
      </c>
      <c r="E925" s="22" t="e">
        <f>VLOOKUP($A925,TAB_CORRECAO_U[[Q_DIAS_U_PARC_TIR]:[V_FUT_U_CORC-02]],E$5, FALSE)</f>
        <v>#N/A</v>
      </c>
      <c r="F925" s="22" t="e">
        <f>VLOOKUP($A925,TAB_AMORTIZACAO_U[[Q_DIAS_U_PARC_TIR]:[V_FUT_U_PCPL-02]], F$5, FALSE)</f>
        <v>#N/A</v>
      </c>
      <c r="H925" s="20">
        <f t="shared" si="77"/>
        <v>0</v>
      </c>
      <c r="I925" s="21">
        <f t="shared" si="78"/>
        <v>0</v>
      </c>
      <c r="J925" s="22" t="e">
        <f>VLOOKUP($A925, TAB_JUROS_C[[DIAS_CORRIDOS]:[V_FUT_UTEIS]], J$5, FALSE)</f>
        <v>#N/A</v>
      </c>
      <c r="K925" s="22" t="e">
        <f>VLOOKUP($A925, TAB_CORRECAO_C[[DIAS_CORRIDOS]:[V_FUT_UTEIS]],K$5, FALSE)</f>
        <v>#N/A</v>
      </c>
      <c r="L925" s="22" t="e">
        <f>VLOOKUP($A925, TAB_AMORTIZACAO_C[[DIAS_CORRIDOS]:[V_FUT_UTEIS]], L$5, FALSE)</f>
        <v>#N/A</v>
      </c>
    </row>
    <row r="926" spans="1:12" hidden="1">
      <c r="A926" s="19">
        <f t="shared" si="79"/>
        <v>920</v>
      </c>
      <c r="B926" s="20">
        <f t="shared" si="75"/>
        <v>0</v>
      </c>
      <c r="C926" s="21">
        <f t="shared" si="76"/>
        <v>0</v>
      </c>
      <c r="D926" s="22" t="e">
        <f>VLOOKUP($A926, TAB_JUROS_U[[Q_DIAS_U_PARC_TIR]:[V_FUT_U_JURS CENARIO]], D$5, FALSE)</f>
        <v>#N/A</v>
      </c>
      <c r="E926" s="22" t="e">
        <f>VLOOKUP($A926,TAB_CORRECAO_U[[Q_DIAS_U_PARC_TIR]:[V_FUT_U_CORC-02]],E$5, FALSE)</f>
        <v>#N/A</v>
      </c>
      <c r="F926" s="22" t="e">
        <f>VLOOKUP($A926,TAB_AMORTIZACAO_U[[Q_DIAS_U_PARC_TIR]:[V_FUT_U_PCPL-02]], F$5, FALSE)</f>
        <v>#N/A</v>
      </c>
      <c r="H926" s="20">
        <f t="shared" si="77"/>
        <v>0</v>
      </c>
      <c r="I926" s="21">
        <f t="shared" si="78"/>
        <v>0</v>
      </c>
      <c r="J926" s="22" t="e">
        <f>VLOOKUP($A926, TAB_JUROS_C[[DIAS_CORRIDOS]:[V_FUT_UTEIS]], J$5, FALSE)</f>
        <v>#N/A</v>
      </c>
      <c r="K926" s="22" t="e">
        <f>VLOOKUP($A926, TAB_CORRECAO_C[[DIAS_CORRIDOS]:[V_FUT_UTEIS]],K$5, FALSE)</f>
        <v>#N/A</v>
      </c>
      <c r="L926" s="22" t="e">
        <f>VLOOKUP($A926, TAB_AMORTIZACAO_C[[DIAS_CORRIDOS]:[V_FUT_UTEIS]], L$5, FALSE)</f>
        <v>#N/A</v>
      </c>
    </row>
    <row r="927" spans="1:12" hidden="1">
      <c r="A927" s="19">
        <f t="shared" si="79"/>
        <v>921</v>
      </c>
      <c r="B927" s="20">
        <f t="shared" si="75"/>
        <v>0</v>
      </c>
      <c r="C927" s="21">
        <f t="shared" si="76"/>
        <v>0</v>
      </c>
      <c r="D927" s="22" t="e">
        <f>VLOOKUP($A927, TAB_JUROS_U[[Q_DIAS_U_PARC_TIR]:[V_FUT_U_JURS CENARIO]], D$5, FALSE)</f>
        <v>#N/A</v>
      </c>
      <c r="E927" s="22" t="e">
        <f>VLOOKUP($A927,TAB_CORRECAO_U[[Q_DIAS_U_PARC_TIR]:[V_FUT_U_CORC-02]],E$5, FALSE)</f>
        <v>#N/A</v>
      </c>
      <c r="F927" s="22" t="e">
        <f>VLOOKUP($A927,TAB_AMORTIZACAO_U[[Q_DIAS_U_PARC_TIR]:[V_FUT_U_PCPL-02]], F$5, FALSE)</f>
        <v>#N/A</v>
      </c>
      <c r="H927" s="20">
        <f t="shared" si="77"/>
        <v>0</v>
      </c>
      <c r="I927" s="21">
        <f t="shared" si="78"/>
        <v>0</v>
      </c>
      <c r="J927" s="22" t="e">
        <f>VLOOKUP($A927, TAB_JUROS_C[[DIAS_CORRIDOS]:[V_FUT_UTEIS]], J$5, FALSE)</f>
        <v>#N/A</v>
      </c>
      <c r="K927" s="22" t="e">
        <f>VLOOKUP($A927, TAB_CORRECAO_C[[DIAS_CORRIDOS]:[V_FUT_UTEIS]],K$5, FALSE)</f>
        <v>#N/A</v>
      </c>
      <c r="L927" s="22" t="e">
        <f>VLOOKUP($A927, TAB_AMORTIZACAO_C[[DIAS_CORRIDOS]:[V_FUT_UTEIS]], L$5, FALSE)</f>
        <v>#N/A</v>
      </c>
    </row>
    <row r="928" spans="1:12" hidden="1">
      <c r="A928" s="19">
        <f t="shared" si="79"/>
        <v>922</v>
      </c>
      <c r="B928" s="20">
        <f t="shared" si="75"/>
        <v>0</v>
      </c>
      <c r="C928" s="21">
        <f t="shared" si="76"/>
        <v>0</v>
      </c>
      <c r="D928" s="22" t="e">
        <f>VLOOKUP($A928, TAB_JUROS_U[[Q_DIAS_U_PARC_TIR]:[V_FUT_U_JURS CENARIO]], D$5, FALSE)</f>
        <v>#N/A</v>
      </c>
      <c r="E928" s="22" t="e">
        <f>VLOOKUP($A928,TAB_CORRECAO_U[[Q_DIAS_U_PARC_TIR]:[V_FUT_U_CORC-02]],E$5, FALSE)</f>
        <v>#N/A</v>
      </c>
      <c r="F928" s="22" t="e">
        <f>VLOOKUP($A928,TAB_AMORTIZACAO_U[[Q_DIAS_U_PARC_TIR]:[V_FUT_U_PCPL-02]], F$5, FALSE)</f>
        <v>#N/A</v>
      </c>
      <c r="H928" s="20">
        <f t="shared" si="77"/>
        <v>0</v>
      </c>
      <c r="I928" s="21">
        <f t="shared" si="78"/>
        <v>0</v>
      </c>
      <c r="J928" s="22" t="e">
        <f>VLOOKUP($A928, TAB_JUROS_C[[DIAS_CORRIDOS]:[V_FUT_UTEIS]], J$5, FALSE)</f>
        <v>#N/A</v>
      </c>
      <c r="K928" s="22" t="e">
        <f>VLOOKUP($A928, TAB_CORRECAO_C[[DIAS_CORRIDOS]:[V_FUT_UTEIS]],K$5, FALSE)</f>
        <v>#N/A</v>
      </c>
      <c r="L928" s="22" t="e">
        <f>VLOOKUP($A928, TAB_AMORTIZACAO_C[[DIAS_CORRIDOS]:[V_FUT_UTEIS]], L$5, FALSE)</f>
        <v>#N/A</v>
      </c>
    </row>
    <row r="929" spans="1:12" hidden="1">
      <c r="A929" s="19">
        <f t="shared" si="79"/>
        <v>923</v>
      </c>
      <c r="B929" s="20">
        <f t="shared" si="75"/>
        <v>0</v>
      </c>
      <c r="C929" s="21">
        <f t="shared" si="76"/>
        <v>0</v>
      </c>
      <c r="D929" s="22" t="e">
        <f>VLOOKUP($A929, TAB_JUROS_U[[Q_DIAS_U_PARC_TIR]:[V_FUT_U_JURS CENARIO]], D$5, FALSE)</f>
        <v>#N/A</v>
      </c>
      <c r="E929" s="22" t="e">
        <f>VLOOKUP($A929,TAB_CORRECAO_U[[Q_DIAS_U_PARC_TIR]:[V_FUT_U_CORC-02]],E$5, FALSE)</f>
        <v>#N/A</v>
      </c>
      <c r="F929" s="22" t="e">
        <f>VLOOKUP($A929,TAB_AMORTIZACAO_U[[Q_DIAS_U_PARC_TIR]:[V_FUT_U_PCPL-02]], F$5, FALSE)</f>
        <v>#N/A</v>
      </c>
      <c r="H929" s="20">
        <f t="shared" si="77"/>
        <v>0</v>
      </c>
      <c r="I929" s="21">
        <f t="shared" si="78"/>
        <v>0</v>
      </c>
      <c r="J929" s="22" t="e">
        <f>VLOOKUP($A929, TAB_JUROS_C[[DIAS_CORRIDOS]:[V_FUT_UTEIS]], J$5, FALSE)</f>
        <v>#N/A</v>
      </c>
      <c r="K929" s="22" t="e">
        <f>VLOOKUP($A929, TAB_CORRECAO_C[[DIAS_CORRIDOS]:[V_FUT_UTEIS]],K$5, FALSE)</f>
        <v>#N/A</v>
      </c>
      <c r="L929" s="22" t="e">
        <f>VLOOKUP($A929, TAB_AMORTIZACAO_C[[DIAS_CORRIDOS]:[V_FUT_UTEIS]], L$5, FALSE)</f>
        <v>#N/A</v>
      </c>
    </row>
    <row r="930" spans="1:12" hidden="1">
      <c r="A930" s="19">
        <f t="shared" si="79"/>
        <v>924</v>
      </c>
      <c r="B930" s="20">
        <f t="shared" si="75"/>
        <v>0</v>
      </c>
      <c r="C930" s="21">
        <f t="shared" si="76"/>
        <v>0</v>
      </c>
      <c r="D930" s="22" t="e">
        <f>VLOOKUP($A930, TAB_JUROS_U[[Q_DIAS_U_PARC_TIR]:[V_FUT_U_JURS CENARIO]], D$5, FALSE)</f>
        <v>#N/A</v>
      </c>
      <c r="E930" s="22" t="e">
        <f>VLOOKUP($A930,TAB_CORRECAO_U[[Q_DIAS_U_PARC_TIR]:[V_FUT_U_CORC-02]],E$5, FALSE)</f>
        <v>#N/A</v>
      </c>
      <c r="F930" s="22" t="e">
        <f>VLOOKUP($A930,TAB_AMORTIZACAO_U[[Q_DIAS_U_PARC_TIR]:[V_FUT_U_PCPL-02]], F$5, FALSE)</f>
        <v>#N/A</v>
      </c>
      <c r="H930" s="20">
        <f t="shared" si="77"/>
        <v>1322.3857598763798</v>
      </c>
      <c r="I930" s="21">
        <f t="shared" si="78"/>
        <v>1322.3857598763798</v>
      </c>
      <c r="J930" s="22">
        <f>VLOOKUP($A930, TAB_JUROS_C[[DIAS_CORRIDOS]:[V_FUT_UTEIS]], J$5, FALSE)</f>
        <v>103.32081060738798</v>
      </c>
      <c r="K930" s="22">
        <f>VLOOKUP($A930, TAB_CORRECAO_C[[DIAS_CORRIDOS]:[V_FUT_UTEIS]],K$5, FALSE)</f>
        <v>658.16280458629649</v>
      </c>
      <c r="L930" s="22">
        <f>VLOOKUP($A930, TAB_AMORTIZACAO_C[[DIAS_CORRIDOS]:[V_FUT_UTEIS]], L$5, FALSE)</f>
        <v>560.90214468269539</v>
      </c>
    </row>
    <row r="931" spans="1:12" hidden="1">
      <c r="A931" s="19">
        <f t="shared" si="79"/>
        <v>925</v>
      </c>
      <c r="B931" s="20">
        <f t="shared" si="75"/>
        <v>0</v>
      </c>
      <c r="C931" s="21">
        <f t="shared" si="76"/>
        <v>0</v>
      </c>
      <c r="D931" s="22" t="e">
        <f>VLOOKUP($A931, TAB_JUROS_U[[Q_DIAS_U_PARC_TIR]:[V_FUT_U_JURS CENARIO]], D$5, FALSE)</f>
        <v>#N/A</v>
      </c>
      <c r="E931" s="22" t="e">
        <f>VLOOKUP($A931,TAB_CORRECAO_U[[Q_DIAS_U_PARC_TIR]:[V_FUT_U_CORC-02]],E$5, FALSE)</f>
        <v>#N/A</v>
      </c>
      <c r="F931" s="22" t="e">
        <f>VLOOKUP($A931,TAB_AMORTIZACAO_U[[Q_DIAS_U_PARC_TIR]:[V_FUT_U_PCPL-02]], F$5, FALSE)</f>
        <v>#N/A</v>
      </c>
      <c r="H931" s="20">
        <f t="shared" si="77"/>
        <v>0</v>
      </c>
      <c r="I931" s="21">
        <f t="shared" si="78"/>
        <v>0</v>
      </c>
      <c r="J931" s="22" t="e">
        <f>VLOOKUP($A931, TAB_JUROS_C[[DIAS_CORRIDOS]:[V_FUT_UTEIS]], J$5, FALSE)</f>
        <v>#N/A</v>
      </c>
      <c r="K931" s="22" t="e">
        <f>VLOOKUP($A931, TAB_CORRECAO_C[[DIAS_CORRIDOS]:[V_FUT_UTEIS]],K$5, FALSE)</f>
        <v>#N/A</v>
      </c>
      <c r="L931" s="22" t="e">
        <f>VLOOKUP($A931, TAB_AMORTIZACAO_C[[DIAS_CORRIDOS]:[V_FUT_UTEIS]], L$5, FALSE)</f>
        <v>#N/A</v>
      </c>
    </row>
    <row r="932" spans="1:12" hidden="1">
      <c r="A932" s="19">
        <f t="shared" si="79"/>
        <v>926</v>
      </c>
      <c r="B932" s="20">
        <f t="shared" si="75"/>
        <v>0</v>
      </c>
      <c r="C932" s="21">
        <f t="shared" si="76"/>
        <v>0</v>
      </c>
      <c r="D932" s="22" t="e">
        <f>VLOOKUP($A932, TAB_JUROS_U[[Q_DIAS_U_PARC_TIR]:[V_FUT_U_JURS CENARIO]], D$5, FALSE)</f>
        <v>#N/A</v>
      </c>
      <c r="E932" s="22" t="e">
        <f>VLOOKUP($A932,TAB_CORRECAO_U[[Q_DIAS_U_PARC_TIR]:[V_FUT_U_CORC-02]],E$5, FALSE)</f>
        <v>#N/A</v>
      </c>
      <c r="F932" s="22" t="e">
        <f>VLOOKUP($A932,TAB_AMORTIZACAO_U[[Q_DIAS_U_PARC_TIR]:[V_FUT_U_PCPL-02]], F$5, FALSE)</f>
        <v>#N/A</v>
      </c>
      <c r="H932" s="20">
        <f t="shared" si="77"/>
        <v>0</v>
      </c>
      <c r="I932" s="21">
        <f t="shared" si="78"/>
        <v>0</v>
      </c>
      <c r="J932" s="22" t="e">
        <f>VLOOKUP($A932, TAB_JUROS_C[[DIAS_CORRIDOS]:[V_FUT_UTEIS]], J$5, FALSE)</f>
        <v>#N/A</v>
      </c>
      <c r="K932" s="22" t="e">
        <f>VLOOKUP($A932, TAB_CORRECAO_C[[DIAS_CORRIDOS]:[V_FUT_UTEIS]],K$5, FALSE)</f>
        <v>#N/A</v>
      </c>
      <c r="L932" s="22" t="e">
        <f>VLOOKUP($A932, TAB_AMORTIZACAO_C[[DIAS_CORRIDOS]:[V_FUT_UTEIS]], L$5, FALSE)</f>
        <v>#N/A</v>
      </c>
    </row>
    <row r="933" spans="1:12" hidden="1">
      <c r="A933" s="19">
        <f t="shared" si="79"/>
        <v>927</v>
      </c>
      <c r="B933" s="20">
        <f t="shared" si="75"/>
        <v>0</v>
      </c>
      <c r="C933" s="21">
        <f t="shared" si="76"/>
        <v>0</v>
      </c>
      <c r="D933" s="22" t="e">
        <f>VLOOKUP($A933, TAB_JUROS_U[[Q_DIAS_U_PARC_TIR]:[V_FUT_U_JURS CENARIO]], D$5, FALSE)</f>
        <v>#N/A</v>
      </c>
      <c r="E933" s="22" t="e">
        <f>VLOOKUP($A933,TAB_CORRECAO_U[[Q_DIAS_U_PARC_TIR]:[V_FUT_U_CORC-02]],E$5, FALSE)</f>
        <v>#N/A</v>
      </c>
      <c r="F933" s="22" t="e">
        <f>VLOOKUP($A933,TAB_AMORTIZACAO_U[[Q_DIAS_U_PARC_TIR]:[V_FUT_U_PCPL-02]], F$5, FALSE)</f>
        <v>#N/A</v>
      </c>
      <c r="H933" s="20">
        <f t="shared" si="77"/>
        <v>0</v>
      </c>
      <c r="I933" s="21">
        <f t="shared" si="78"/>
        <v>0</v>
      </c>
      <c r="J933" s="22" t="e">
        <f>VLOOKUP($A933, TAB_JUROS_C[[DIAS_CORRIDOS]:[V_FUT_UTEIS]], J$5, FALSE)</f>
        <v>#N/A</v>
      </c>
      <c r="K933" s="22" t="e">
        <f>VLOOKUP($A933, TAB_CORRECAO_C[[DIAS_CORRIDOS]:[V_FUT_UTEIS]],K$5, FALSE)</f>
        <v>#N/A</v>
      </c>
      <c r="L933" s="22" t="e">
        <f>VLOOKUP($A933, TAB_AMORTIZACAO_C[[DIAS_CORRIDOS]:[V_FUT_UTEIS]], L$5, FALSE)</f>
        <v>#N/A</v>
      </c>
    </row>
    <row r="934" spans="1:12" hidden="1">
      <c r="A934" s="19">
        <f t="shared" si="79"/>
        <v>928</v>
      </c>
      <c r="B934" s="20">
        <f t="shared" si="75"/>
        <v>0</v>
      </c>
      <c r="C934" s="21">
        <f t="shared" si="76"/>
        <v>0</v>
      </c>
      <c r="D934" s="22" t="e">
        <f>VLOOKUP($A934, TAB_JUROS_U[[Q_DIAS_U_PARC_TIR]:[V_FUT_U_JURS CENARIO]], D$5, FALSE)</f>
        <v>#N/A</v>
      </c>
      <c r="E934" s="22" t="e">
        <f>VLOOKUP($A934,TAB_CORRECAO_U[[Q_DIAS_U_PARC_TIR]:[V_FUT_U_CORC-02]],E$5, FALSE)</f>
        <v>#N/A</v>
      </c>
      <c r="F934" s="22" t="e">
        <f>VLOOKUP($A934,TAB_AMORTIZACAO_U[[Q_DIAS_U_PARC_TIR]:[V_FUT_U_PCPL-02]], F$5, FALSE)</f>
        <v>#N/A</v>
      </c>
      <c r="H934" s="20">
        <f t="shared" si="77"/>
        <v>0</v>
      </c>
      <c r="I934" s="21">
        <f t="shared" si="78"/>
        <v>0</v>
      </c>
      <c r="J934" s="22" t="e">
        <f>VLOOKUP($A934, TAB_JUROS_C[[DIAS_CORRIDOS]:[V_FUT_UTEIS]], J$5, FALSE)</f>
        <v>#N/A</v>
      </c>
      <c r="K934" s="22" t="e">
        <f>VLOOKUP($A934, TAB_CORRECAO_C[[DIAS_CORRIDOS]:[V_FUT_UTEIS]],K$5, FALSE)</f>
        <v>#N/A</v>
      </c>
      <c r="L934" s="22" t="e">
        <f>VLOOKUP($A934, TAB_AMORTIZACAO_C[[DIAS_CORRIDOS]:[V_FUT_UTEIS]], L$5, FALSE)</f>
        <v>#N/A</v>
      </c>
    </row>
    <row r="935" spans="1:12" hidden="1">
      <c r="A935" s="19">
        <f t="shared" si="79"/>
        <v>929</v>
      </c>
      <c r="B935" s="20">
        <f t="shared" si="75"/>
        <v>0</v>
      </c>
      <c r="C935" s="21">
        <f t="shared" si="76"/>
        <v>0</v>
      </c>
      <c r="D935" s="22" t="e">
        <f>VLOOKUP($A935, TAB_JUROS_U[[Q_DIAS_U_PARC_TIR]:[V_FUT_U_JURS CENARIO]], D$5, FALSE)</f>
        <v>#N/A</v>
      </c>
      <c r="E935" s="22" t="e">
        <f>VLOOKUP($A935,TAB_CORRECAO_U[[Q_DIAS_U_PARC_TIR]:[V_FUT_U_CORC-02]],E$5, FALSE)</f>
        <v>#N/A</v>
      </c>
      <c r="F935" s="22" t="e">
        <f>VLOOKUP($A935,TAB_AMORTIZACAO_U[[Q_DIAS_U_PARC_TIR]:[V_FUT_U_PCPL-02]], F$5, FALSE)</f>
        <v>#N/A</v>
      </c>
      <c r="H935" s="20">
        <f t="shared" si="77"/>
        <v>0</v>
      </c>
      <c r="I935" s="21">
        <f t="shared" si="78"/>
        <v>0</v>
      </c>
      <c r="J935" s="22" t="e">
        <f>VLOOKUP($A935, TAB_JUROS_C[[DIAS_CORRIDOS]:[V_FUT_UTEIS]], J$5, FALSE)</f>
        <v>#N/A</v>
      </c>
      <c r="K935" s="22" t="e">
        <f>VLOOKUP($A935, TAB_CORRECAO_C[[DIAS_CORRIDOS]:[V_FUT_UTEIS]],K$5, FALSE)</f>
        <v>#N/A</v>
      </c>
      <c r="L935" s="22" t="e">
        <f>VLOOKUP($A935, TAB_AMORTIZACAO_C[[DIAS_CORRIDOS]:[V_FUT_UTEIS]], L$5, FALSE)</f>
        <v>#N/A</v>
      </c>
    </row>
    <row r="936" spans="1:12" hidden="1">
      <c r="A936" s="19">
        <f t="shared" si="79"/>
        <v>930</v>
      </c>
      <c r="B936" s="20">
        <f t="shared" si="75"/>
        <v>0</v>
      </c>
      <c r="C936" s="21">
        <f t="shared" si="76"/>
        <v>0</v>
      </c>
      <c r="D936" s="22" t="e">
        <f>VLOOKUP($A936, TAB_JUROS_U[[Q_DIAS_U_PARC_TIR]:[V_FUT_U_JURS CENARIO]], D$5, FALSE)</f>
        <v>#N/A</v>
      </c>
      <c r="E936" s="22" t="e">
        <f>VLOOKUP($A936,TAB_CORRECAO_U[[Q_DIAS_U_PARC_TIR]:[V_FUT_U_CORC-02]],E$5, FALSE)</f>
        <v>#N/A</v>
      </c>
      <c r="F936" s="22" t="e">
        <f>VLOOKUP($A936,TAB_AMORTIZACAO_U[[Q_DIAS_U_PARC_TIR]:[V_FUT_U_PCPL-02]], F$5, FALSE)</f>
        <v>#N/A</v>
      </c>
      <c r="H936" s="20">
        <f t="shared" si="77"/>
        <v>0</v>
      </c>
      <c r="I936" s="21">
        <f t="shared" si="78"/>
        <v>0</v>
      </c>
      <c r="J936" s="22" t="e">
        <f>VLOOKUP($A936, TAB_JUROS_C[[DIAS_CORRIDOS]:[V_FUT_UTEIS]], J$5, FALSE)</f>
        <v>#N/A</v>
      </c>
      <c r="K936" s="22" t="e">
        <f>VLOOKUP($A936, TAB_CORRECAO_C[[DIAS_CORRIDOS]:[V_FUT_UTEIS]],K$5, FALSE)</f>
        <v>#N/A</v>
      </c>
      <c r="L936" s="22" t="e">
        <f>VLOOKUP($A936, TAB_AMORTIZACAO_C[[DIAS_CORRIDOS]:[V_FUT_UTEIS]], L$5, FALSE)</f>
        <v>#N/A</v>
      </c>
    </row>
    <row r="937" spans="1:12">
      <c r="A937" s="19">
        <f t="shared" si="79"/>
        <v>931</v>
      </c>
      <c r="B937" s="20">
        <f t="shared" si="75"/>
        <v>969.12029585750247</v>
      </c>
      <c r="C937" s="21">
        <f t="shared" si="76"/>
        <v>969.12029585750247</v>
      </c>
      <c r="D937" s="22">
        <f>VLOOKUP($A937, TAB_JUROS_U[[Q_DIAS_U_PARC_TIR]:[V_FUT_U_JURS CENARIO]], D$5, FALSE)</f>
        <v>76.574024015796724</v>
      </c>
      <c r="E937" s="22">
        <f>VLOOKUP($A937,TAB_CORRECAO_U[[Q_DIAS_U_PARC_TIR]:[V_FUT_U_CORC-02]],E$5, FALSE)</f>
        <v>465.64595716965982</v>
      </c>
      <c r="F937" s="22">
        <f>VLOOKUP($A937,TAB_AMORTIZACAO_U[[Q_DIAS_U_PARC_TIR]:[V_FUT_U_PCPL-02]], F$5, FALSE)</f>
        <v>426.90031467204591</v>
      </c>
      <c r="H937" s="20">
        <f t="shared" si="77"/>
        <v>0</v>
      </c>
      <c r="I937" s="21">
        <f t="shared" si="78"/>
        <v>0</v>
      </c>
      <c r="J937" s="22" t="e">
        <f>VLOOKUP($A937, TAB_JUROS_C[[DIAS_CORRIDOS]:[V_FUT_UTEIS]], J$5, FALSE)</f>
        <v>#N/A</v>
      </c>
      <c r="K937" s="22" t="e">
        <f>VLOOKUP($A937, TAB_CORRECAO_C[[DIAS_CORRIDOS]:[V_FUT_UTEIS]],K$5, FALSE)</f>
        <v>#N/A</v>
      </c>
      <c r="L937" s="22" t="e">
        <f>VLOOKUP($A937, TAB_AMORTIZACAO_C[[DIAS_CORRIDOS]:[V_FUT_UTEIS]], L$5, FALSE)</f>
        <v>#N/A</v>
      </c>
    </row>
    <row r="938" spans="1:12" hidden="1">
      <c r="A938" s="19">
        <f t="shared" si="79"/>
        <v>932</v>
      </c>
      <c r="B938" s="20">
        <f t="shared" si="75"/>
        <v>0</v>
      </c>
      <c r="C938" s="21">
        <f t="shared" si="76"/>
        <v>0</v>
      </c>
      <c r="D938" s="22" t="e">
        <f>VLOOKUP($A938, TAB_JUROS_U[[Q_DIAS_U_PARC_TIR]:[V_FUT_U_JURS CENARIO]], D$5, FALSE)</f>
        <v>#N/A</v>
      </c>
      <c r="E938" s="22" t="e">
        <f>VLOOKUP($A938,TAB_CORRECAO_U[[Q_DIAS_U_PARC_TIR]:[V_FUT_U_CORC-02]],E$5, FALSE)</f>
        <v>#N/A</v>
      </c>
      <c r="F938" s="22" t="e">
        <f>VLOOKUP($A938,TAB_AMORTIZACAO_U[[Q_DIAS_U_PARC_TIR]:[V_FUT_U_PCPL-02]], F$5, FALSE)</f>
        <v>#N/A</v>
      </c>
      <c r="H938" s="20">
        <f t="shared" si="77"/>
        <v>0</v>
      </c>
      <c r="I938" s="21">
        <f t="shared" si="78"/>
        <v>0</v>
      </c>
      <c r="J938" s="22" t="e">
        <f>VLOOKUP($A938, TAB_JUROS_C[[DIAS_CORRIDOS]:[V_FUT_UTEIS]], J$5, FALSE)</f>
        <v>#N/A</v>
      </c>
      <c r="K938" s="22" t="e">
        <f>VLOOKUP($A938, TAB_CORRECAO_C[[DIAS_CORRIDOS]:[V_FUT_UTEIS]],K$5, FALSE)</f>
        <v>#N/A</v>
      </c>
      <c r="L938" s="22" t="e">
        <f>VLOOKUP($A938, TAB_AMORTIZACAO_C[[DIAS_CORRIDOS]:[V_FUT_UTEIS]], L$5, FALSE)</f>
        <v>#N/A</v>
      </c>
    </row>
    <row r="939" spans="1:12" hidden="1">
      <c r="A939" s="19">
        <f t="shared" si="79"/>
        <v>933</v>
      </c>
      <c r="B939" s="20">
        <f t="shared" si="75"/>
        <v>0</v>
      </c>
      <c r="C939" s="21">
        <f t="shared" si="76"/>
        <v>0</v>
      </c>
      <c r="D939" s="22" t="e">
        <f>VLOOKUP($A939, TAB_JUROS_U[[Q_DIAS_U_PARC_TIR]:[V_FUT_U_JURS CENARIO]], D$5, FALSE)</f>
        <v>#N/A</v>
      </c>
      <c r="E939" s="22" t="e">
        <f>VLOOKUP($A939,TAB_CORRECAO_U[[Q_DIAS_U_PARC_TIR]:[V_FUT_U_CORC-02]],E$5, FALSE)</f>
        <v>#N/A</v>
      </c>
      <c r="F939" s="22" t="e">
        <f>VLOOKUP($A939,TAB_AMORTIZACAO_U[[Q_DIAS_U_PARC_TIR]:[V_FUT_U_PCPL-02]], F$5, FALSE)</f>
        <v>#N/A</v>
      </c>
      <c r="H939" s="20">
        <f t="shared" si="77"/>
        <v>0</v>
      </c>
      <c r="I939" s="21">
        <f t="shared" si="78"/>
        <v>0</v>
      </c>
      <c r="J939" s="22" t="e">
        <f>VLOOKUP($A939, TAB_JUROS_C[[DIAS_CORRIDOS]:[V_FUT_UTEIS]], J$5, FALSE)</f>
        <v>#N/A</v>
      </c>
      <c r="K939" s="22" t="e">
        <f>VLOOKUP($A939, TAB_CORRECAO_C[[DIAS_CORRIDOS]:[V_FUT_UTEIS]],K$5, FALSE)</f>
        <v>#N/A</v>
      </c>
      <c r="L939" s="22" t="e">
        <f>VLOOKUP($A939, TAB_AMORTIZACAO_C[[DIAS_CORRIDOS]:[V_FUT_UTEIS]], L$5, FALSE)</f>
        <v>#N/A</v>
      </c>
    </row>
    <row r="940" spans="1:12" hidden="1">
      <c r="A940" s="19">
        <f t="shared" si="79"/>
        <v>934</v>
      </c>
      <c r="B940" s="20">
        <f t="shared" si="75"/>
        <v>0</v>
      </c>
      <c r="C940" s="21">
        <f t="shared" si="76"/>
        <v>0</v>
      </c>
      <c r="D940" s="22" t="e">
        <f>VLOOKUP($A940, TAB_JUROS_U[[Q_DIAS_U_PARC_TIR]:[V_FUT_U_JURS CENARIO]], D$5, FALSE)</f>
        <v>#N/A</v>
      </c>
      <c r="E940" s="22" t="e">
        <f>VLOOKUP($A940,TAB_CORRECAO_U[[Q_DIAS_U_PARC_TIR]:[V_FUT_U_CORC-02]],E$5, FALSE)</f>
        <v>#N/A</v>
      </c>
      <c r="F940" s="22" t="e">
        <f>VLOOKUP($A940,TAB_AMORTIZACAO_U[[Q_DIAS_U_PARC_TIR]:[V_FUT_U_PCPL-02]], F$5, FALSE)</f>
        <v>#N/A</v>
      </c>
      <c r="H940" s="20">
        <f t="shared" si="77"/>
        <v>0</v>
      </c>
      <c r="I940" s="21">
        <f t="shared" si="78"/>
        <v>0</v>
      </c>
      <c r="J940" s="22" t="e">
        <f>VLOOKUP($A940, TAB_JUROS_C[[DIAS_CORRIDOS]:[V_FUT_UTEIS]], J$5, FALSE)</f>
        <v>#N/A</v>
      </c>
      <c r="K940" s="22" t="e">
        <f>VLOOKUP($A940, TAB_CORRECAO_C[[DIAS_CORRIDOS]:[V_FUT_UTEIS]],K$5, FALSE)</f>
        <v>#N/A</v>
      </c>
      <c r="L940" s="22" t="e">
        <f>VLOOKUP($A940, TAB_AMORTIZACAO_C[[DIAS_CORRIDOS]:[V_FUT_UTEIS]], L$5, FALSE)</f>
        <v>#N/A</v>
      </c>
    </row>
    <row r="941" spans="1:12" hidden="1">
      <c r="A941" s="19">
        <f t="shared" si="79"/>
        <v>935</v>
      </c>
      <c r="B941" s="20">
        <f t="shared" si="75"/>
        <v>0</v>
      </c>
      <c r="C941" s="21">
        <f t="shared" si="76"/>
        <v>0</v>
      </c>
      <c r="D941" s="22" t="e">
        <f>VLOOKUP($A941, TAB_JUROS_U[[Q_DIAS_U_PARC_TIR]:[V_FUT_U_JURS CENARIO]], D$5, FALSE)</f>
        <v>#N/A</v>
      </c>
      <c r="E941" s="22" t="e">
        <f>VLOOKUP($A941,TAB_CORRECAO_U[[Q_DIAS_U_PARC_TIR]:[V_FUT_U_CORC-02]],E$5, FALSE)</f>
        <v>#N/A</v>
      </c>
      <c r="F941" s="22" t="e">
        <f>VLOOKUP($A941,TAB_AMORTIZACAO_U[[Q_DIAS_U_PARC_TIR]:[V_FUT_U_PCPL-02]], F$5, FALSE)</f>
        <v>#N/A</v>
      </c>
      <c r="H941" s="20">
        <f t="shared" si="77"/>
        <v>0</v>
      </c>
      <c r="I941" s="21">
        <f t="shared" si="78"/>
        <v>0</v>
      </c>
      <c r="J941" s="22" t="e">
        <f>VLOOKUP($A941, TAB_JUROS_C[[DIAS_CORRIDOS]:[V_FUT_UTEIS]], J$5, FALSE)</f>
        <v>#N/A</v>
      </c>
      <c r="K941" s="22" t="e">
        <f>VLOOKUP($A941, TAB_CORRECAO_C[[DIAS_CORRIDOS]:[V_FUT_UTEIS]],K$5, FALSE)</f>
        <v>#N/A</v>
      </c>
      <c r="L941" s="22" t="e">
        <f>VLOOKUP($A941, TAB_AMORTIZACAO_C[[DIAS_CORRIDOS]:[V_FUT_UTEIS]], L$5, FALSE)</f>
        <v>#N/A</v>
      </c>
    </row>
    <row r="942" spans="1:12" hidden="1">
      <c r="A942" s="19">
        <f t="shared" si="79"/>
        <v>936</v>
      </c>
      <c r="B942" s="20">
        <f t="shared" si="75"/>
        <v>0</v>
      </c>
      <c r="C942" s="21">
        <f t="shared" si="76"/>
        <v>0</v>
      </c>
      <c r="D942" s="22" t="e">
        <f>VLOOKUP($A942, TAB_JUROS_U[[Q_DIAS_U_PARC_TIR]:[V_FUT_U_JURS CENARIO]], D$5, FALSE)</f>
        <v>#N/A</v>
      </c>
      <c r="E942" s="22" t="e">
        <f>VLOOKUP($A942,TAB_CORRECAO_U[[Q_DIAS_U_PARC_TIR]:[V_FUT_U_CORC-02]],E$5, FALSE)</f>
        <v>#N/A</v>
      </c>
      <c r="F942" s="22" t="e">
        <f>VLOOKUP($A942,TAB_AMORTIZACAO_U[[Q_DIAS_U_PARC_TIR]:[V_FUT_U_PCPL-02]], F$5, FALSE)</f>
        <v>#N/A</v>
      </c>
      <c r="H942" s="20">
        <f t="shared" si="77"/>
        <v>0</v>
      </c>
      <c r="I942" s="21">
        <f t="shared" si="78"/>
        <v>0</v>
      </c>
      <c r="J942" s="22" t="e">
        <f>VLOOKUP($A942, TAB_JUROS_C[[DIAS_CORRIDOS]:[V_FUT_UTEIS]], J$5, FALSE)</f>
        <v>#N/A</v>
      </c>
      <c r="K942" s="22" t="e">
        <f>VLOOKUP($A942, TAB_CORRECAO_C[[DIAS_CORRIDOS]:[V_FUT_UTEIS]],K$5, FALSE)</f>
        <v>#N/A</v>
      </c>
      <c r="L942" s="22" t="e">
        <f>VLOOKUP($A942, TAB_AMORTIZACAO_C[[DIAS_CORRIDOS]:[V_FUT_UTEIS]], L$5, FALSE)</f>
        <v>#N/A</v>
      </c>
    </row>
    <row r="943" spans="1:12" hidden="1">
      <c r="A943" s="19">
        <f t="shared" si="79"/>
        <v>937</v>
      </c>
      <c r="B943" s="20">
        <f t="shared" si="75"/>
        <v>0</v>
      </c>
      <c r="C943" s="21">
        <f t="shared" si="76"/>
        <v>0</v>
      </c>
      <c r="D943" s="22" t="e">
        <f>VLOOKUP($A943, TAB_JUROS_U[[Q_DIAS_U_PARC_TIR]:[V_FUT_U_JURS CENARIO]], D$5, FALSE)</f>
        <v>#N/A</v>
      </c>
      <c r="E943" s="22" t="e">
        <f>VLOOKUP($A943,TAB_CORRECAO_U[[Q_DIAS_U_PARC_TIR]:[V_FUT_U_CORC-02]],E$5, FALSE)</f>
        <v>#N/A</v>
      </c>
      <c r="F943" s="22" t="e">
        <f>VLOOKUP($A943,TAB_AMORTIZACAO_U[[Q_DIAS_U_PARC_TIR]:[V_FUT_U_PCPL-02]], F$5, FALSE)</f>
        <v>#N/A</v>
      </c>
      <c r="H943" s="20">
        <f t="shared" si="77"/>
        <v>0</v>
      </c>
      <c r="I943" s="21">
        <f t="shared" si="78"/>
        <v>0</v>
      </c>
      <c r="J943" s="22" t="e">
        <f>VLOOKUP($A943, TAB_JUROS_C[[DIAS_CORRIDOS]:[V_FUT_UTEIS]], J$5, FALSE)</f>
        <v>#N/A</v>
      </c>
      <c r="K943" s="22" t="e">
        <f>VLOOKUP($A943, TAB_CORRECAO_C[[DIAS_CORRIDOS]:[V_FUT_UTEIS]],K$5, FALSE)</f>
        <v>#N/A</v>
      </c>
      <c r="L943" s="22" t="e">
        <f>VLOOKUP($A943, TAB_AMORTIZACAO_C[[DIAS_CORRIDOS]:[V_FUT_UTEIS]], L$5, FALSE)</f>
        <v>#N/A</v>
      </c>
    </row>
    <row r="944" spans="1:12" hidden="1">
      <c r="A944" s="19">
        <f t="shared" si="79"/>
        <v>938</v>
      </c>
      <c r="B944" s="20">
        <f t="shared" si="75"/>
        <v>0</v>
      </c>
      <c r="C944" s="21">
        <f t="shared" si="76"/>
        <v>0</v>
      </c>
      <c r="D944" s="22" t="e">
        <f>VLOOKUP($A944, TAB_JUROS_U[[Q_DIAS_U_PARC_TIR]:[V_FUT_U_JURS CENARIO]], D$5, FALSE)</f>
        <v>#N/A</v>
      </c>
      <c r="E944" s="22" t="e">
        <f>VLOOKUP($A944,TAB_CORRECAO_U[[Q_DIAS_U_PARC_TIR]:[V_FUT_U_CORC-02]],E$5, FALSE)</f>
        <v>#N/A</v>
      </c>
      <c r="F944" s="22" t="e">
        <f>VLOOKUP($A944,TAB_AMORTIZACAO_U[[Q_DIAS_U_PARC_TIR]:[V_FUT_U_PCPL-02]], F$5, FALSE)</f>
        <v>#N/A</v>
      </c>
      <c r="H944" s="20">
        <f t="shared" si="77"/>
        <v>0</v>
      </c>
      <c r="I944" s="21">
        <f t="shared" si="78"/>
        <v>0</v>
      </c>
      <c r="J944" s="22" t="e">
        <f>VLOOKUP($A944, TAB_JUROS_C[[DIAS_CORRIDOS]:[V_FUT_UTEIS]], J$5, FALSE)</f>
        <v>#N/A</v>
      </c>
      <c r="K944" s="22" t="e">
        <f>VLOOKUP($A944, TAB_CORRECAO_C[[DIAS_CORRIDOS]:[V_FUT_UTEIS]],K$5, FALSE)</f>
        <v>#N/A</v>
      </c>
      <c r="L944" s="22" t="e">
        <f>VLOOKUP($A944, TAB_AMORTIZACAO_C[[DIAS_CORRIDOS]:[V_FUT_UTEIS]], L$5, FALSE)</f>
        <v>#N/A</v>
      </c>
    </row>
    <row r="945" spans="1:12" hidden="1">
      <c r="A945" s="19">
        <f t="shared" si="79"/>
        <v>939</v>
      </c>
      <c r="B945" s="20">
        <f t="shared" si="75"/>
        <v>0</v>
      </c>
      <c r="C945" s="21">
        <f t="shared" si="76"/>
        <v>0</v>
      </c>
      <c r="D945" s="22" t="e">
        <f>VLOOKUP($A945, TAB_JUROS_U[[Q_DIAS_U_PARC_TIR]:[V_FUT_U_JURS CENARIO]], D$5, FALSE)</f>
        <v>#N/A</v>
      </c>
      <c r="E945" s="22" t="e">
        <f>VLOOKUP($A945,TAB_CORRECAO_U[[Q_DIAS_U_PARC_TIR]:[V_FUT_U_CORC-02]],E$5, FALSE)</f>
        <v>#N/A</v>
      </c>
      <c r="F945" s="22" t="e">
        <f>VLOOKUP($A945,TAB_AMORTIZACAO_U[[Q_DIAS_U_PARC_TIR]:[V_FUT_U_PCPL-02]], F$5, FALSE)</f>
        <v>#N/A</v>
      </c>
      <c r="H945" s="20">
        <f t="shared" si="77"/>
        <v>0</v>
      </c>
      <c r="I945" s="21">
        <f t="shared" si="78"/>
        <v>0</v>
      </c>
      <c r="J945" s="22" t="e">
        <f>VLOOKUP($A945, TAB_JUROS_C[[DIAS_CORRIDOS]:[V_FUT_UTEIS]], J$5, FALSE)</f>
        <v>#N/A</v>
      </c>
      <c r="K945" s="22" t="e">
        <f>VLOOKUP($A945, TAB_CORRECAO_C[[DIAS_CORRIDOS]:[V_FUT_UTEIS]],K$5, FALSE)</f>
        <v>#N/A</v>
      </c>
      <c r="L945" s="22" t="e">
        <f>VLOOKUP($A945, TAB_AMORTIZACAO_C[[DIAS_CORRIDOS]:[V_FUT_UTEIS]], L$5, FALSE)</f>
        <v>#N/A</v>
      </c>
    </row>
    <row r="946" spans="1:12" hidden="1">
      <c r="A946" s="19">
        <f t="shared" si="79"/>
        <v>940</v>
      </c>
      <c r="B946" s="20">
        <f t="shared" si="75"/>
        <v>0</v>
      </c>
      <c r="C946" s="21">
        <f t="shared" si="76"/>
        <v>0</v>
      </c>
      <c r="D946" s="22" t="e">
        <f>VLOOKUP($A946, TAB_JUROS_U[[Q_DIAS_U_PARC_TIR]:[V_FUT_U_JURS CENARIO]], D$5, FALSE)</f>
        <v>#N/A</v>
      </c>
      <c r="E946" s="22" t="e">
        <f>VLOOKUP($A946,TAB_CORRECAO_U[[Q_DIAS_U_PARC_TIR]:[V_FUT_U_CORC-02]],E$5, FALSE)</f>
        <v>#N/A</v>
      </c>
      <c r="F946" s="22" t="e">
        <f>VLOOKUP($A946,TAB_AMORTIZACAO_U[[Q_DIAS_U_PARC_TIR]:[V_FUT_U_PCPL-02]], F$5, FALSE)</f>
        <v>#N/A</v>
      </c>
      <c r="H946" s="20">
        <f t="shared" si="77"/>
        <v>0</v>
      </c>
      <c r="I946" s="21">
        <f t="shared" si="78"/>
        <v>0</v>
      </c>
      <c r="J946" s="22" t="e">
        <f>VLOOKUP($A946, TAB_JUROS_C[[DIAS_CORRIDOS]:[V_FUT_UTEIS]], J$5, FALSE)</f>
        <v>#N/A</v>
      </c>
      <c r="K946" s="22" t="e">
        <f>VLOOKUP($A946, TAB_CORRECAO_C[[DIAS_CORRIDOS]:[V_FUT_UTEIS]],K$5, FALSE)</f>
        <v>#N/A</v>
      </c>
      <c r="L946" s="22" t="e">
        <f>VLOOKUP($A946, TAB_AMORTIZACAO_C[[DIAS_CORRIDOS]:[V_FUT_UTEIS]], L$5, FALSE)</f>
        <v>#N/A</v>
      </c>
    </row>
    <row r="947" spans="1:12" hidden="1">
      <c r="A947" s="19">
        <f t="shared" si="79"/>
        <v>941</v>
      </c>
      <c r="B947" s="20">
        <f t="shared" si="75"/>
        <v>0</v>
      </c>
      <c r="C947" s="21">
        <f t="shared" si="76"/>
        <v>0</v>
      </c>
      <c r="D947" s="22" t="e">
        <f>VLOOKUP($A947, TAB_JUROS_U[[Q_DIAS_U_PARC_TIR]:[V_FUT_U_JURS CENARIO]], D$5, FALSE)</f>
        <v>#N/A</v>
      </c>
      <c r="E947" s="22" t="e">
        <f>VLOOKUP($A947,TAB_CORRECAO_U[[Q_DIAS_U_PARC_TIR]:[V_FUT_U_CORC-02]],E$5, FALSE)</f>
        <v>#N/A</v>
      </c>
      <c r="F947" s="22" t="e">
        <f>VLOOKUP($A947,TAB_AMORTIZACAO_U[[Q_DIAS_U_PARC_TIR]:[V_FUT_U_PCPL-02]], F$5, FALSE)</f>
        <v>#N/A</v>
      </c>
      <c r="H947" s="20">
        <f t="shared" si="77"/>
        <v>0</v>
      </c>
      <c r="I947" s="21">
        <f t="shared" si="78"/>
        <v>0</v>
      </c>
      <c r="J947" s="22" t="e">
        <f>VLOOKUP($A947, TAB_JUROS_C[[DIAS_CORRIDOS]:[V_FUT_UTEIS]], J$5, FALSE)</f>
        <v>#N/A</v>
      </c>
      <c r="K947" s="22" t="e">
        <f>VLOOKUP($A947, TAB_CORRECAO_C[[DIAS_CORRIDOS]:[V_FUT_UTEIS]],K$5, FALSE)</f>
        <v>#N/A</v>
      </c>
      <c r="L947" s="22" t="e">
        <f>VLOOKUP($A947, TAB_AMORTIZACAO_C[[DIAS_CORRIDOS]:[V_FUT_UTEIS]], L$5, FALSE)</f>
        <v>#N/A</v>
      </c>
    </row>
    <row r="948" spans="1:12" hidden="1">
      <c r="A948" s="19">
        <f t="shared" si="79"/>
        <v>942</v>
      </c>
      <c r="B948" s="20">
        <f t="shared" si="75"/>
        <v>0</v>
      </c>
      <c r="C948" s="21">
        <f t="shared" si="76"/>
        <v>0</v>
      </c>
      <c r="D948" s="22" t="e">
        <f>VLOOKUP($A948, TAB_JUROS_U[[Q_DIAS_U_PARC_TIR]:[V_FUT_U_JURS CENARIO]], D$5, FALSE)</f>
        <v>#N/A</v>
      </c>
      <c r="E948" s="22" t="e">
        <f>VLOOKUP($A948,TAB_CORRECAO_U[[Q_DIAS_U_PARC_TIR]:[V_FUT_U_CORC-02]],E$5, FALSE)</f>
        <v>#N/A</v>
      </c>
      <c r="F948" s="22" t="e">
        <f>VLOOKUP($A948,TAB_AMORTIZACAO_U[[Q_DIAS_U_PARC_TIR]:[V_FUT_U_PCPL-02]], F$5, FALSE)</f>
        <v>#N/A</v>
      </c>
      <c r="H948" s="20">
        <f t="shared" si="77"/>
        <v>0</v>
      </c>
      <c r="I948" s="21">
        <f t="shared" si="78"/>
        <v>0</v>
      </c>
      <c r="J948" s="22" t="e">
        <f>VLOOKUP($A948, TAB_JUROS_C[[DIAS_CORRIDOS]:[V_FUT_UTEIS]], J$5, FALSE)</f>
        <v>#N/A</v>
      </c>
      <c r="K948" s="22" t="e">
        <f>VLOOKUP($A948, TAB_CORRECAO_C[[DIAS_CORRIDOS]:[V_FUT_UTEIS]],K$5, FALSE)</f>
        <v>#N/A</v>
      </c>
      <c r="L948" s="22" t="e">
        <f>VLOOKUP($A948, TAB_AMORTIZACAO_C[[DIAS_CORRIDOS]:[V_FUT_UTEIS]], L$5, FALSE)</f>
        <v>#N/A</v>
      </c>
    </row>
    <row r="949" spans="1:12" hidden="1">
      <c r="A949" s="19">
        <f t="shared" si="79"/>
        <v>943</v>
      </c>
      <c r="B949" s="20">
        <f t="shared" si="75"/>
        <v>0</v>
      </c>
      <c r="C949" s="21">
        <f t="shared" si="76"/>
        <v>0</v>
      </c>
      <c r="D949" s="22" t="e">
        <f>VLOOKUP($A949, TAB_JUROS_U[[Q_DIAS_U_PARC_TIR]:[V_FUT_U_JURS CENARIO]], D$5, FALSE)</f>
        <v>#N/A</v>
      </c>
      <c r="E949" s="22" t="e">
        <f>VLOOKUP($A949,TAB_CORRECAO_U[[Q_DIAS_U_PARC_TIR]:[V_FUT_U_CORC-02]],E$5, FALSE)</f>
        <v>#N/A</v>
      </c>
      <c r="F949" s="22" t="e">
        <f>VLOOKUP($A949,TAB_AMORTIZACAO_U[[Q_DIAS_U_PARC_TIR]:[V_FUT_U_PCPL-02]], F$5, FALSE)</f>
        <v>#N/A</v>
      </c>
      <c r="H949" s="20">
        <f t="shared" si="77"/>
        <v>0</v>
      </c>
      <c r="I949" s="21">
        <f t="shared" si="78"/>
        <v>0</v>
      </c>
      <c r="J949" s="22" t="e">
        <f>VLOOKUP($A949, TAB_JUROS_C[[DIAS_CORRIDOS]:[V_FUT_UTEIS]], J$5, FALSE)</f>
        <v>#N/A</v>
      </c>
      <c r="K949" s="22" t="e">
        <f>VLOOKUP($A949, TAB_CORRECAO_C[[DIAS_CORRIDOS]:[V_FUT_UTEIS]],K$5, FALSE)</f>
        <v>#N/A</v>
      </c>
      <c r="L949" s="22" t="e">
        <f>VLOOKUP($A949, TAB_AMORTIZACAO_C[[DIAS_CORRIDOS]:[V_FUT_UTEIS]], L$5, FALSE)</f>
        <v>#N/A</v>
      </c>
    </row>
    <row r="950" spans="1:12" hidden="1">
      <c r="A950" s="19">
        <f t="shared" si="79"/>
        <v>944</v>
      </c>
      <c r="B950" s="20">
        <f t="shared" si="75"/>
        <v>0</v>
      </c>
      <c r="C950" s="21">
        <f t="shared" si="76"/>
        <v>0</v>
      </c>
      <c r="D950" s="22" t="e">
        <f>VLOOKUP($A950, TAB_JUROS_U[[Q_DIAS_U_PARC_TIR]:[V_FUT_U_JURS CENARIO]], D$5, FALSE)</f>
        <v>#N/A</v>
      </c>
      <c r="E950" s="22" t="e">
        <f>VLOOKUP($A950,TAB_CORRECAO_U[[Q_DIAS_U_PARC_TIR]:[V_FUT_U_CORC-02]],E$5, FALSE)</f>
        <v>#N/A</v>
      </c>
      <c r="F950" s="22" t="e">
        <f>VLOOKUP($A950,TAB_AMORTIZACAO_U[[Q_DIAS_U_PARC_TIR]:[V_FUT_U_PCPL-02]], F$5, FALSE)</f>
        <v>#N/A</v>
      </c>
      <c r="H950" s="20">
        <f t="shared" si="77"/>
        <v>0</v>
      </c>
      <c r="I950" s="21">
        <f t="shared" si="78"/>
        <v>0</v>
      </c>
      <c r="J950" s="22" t="e">
        <f>VLOOKUP($A950, TAB_JUROS_C[[DIAS_CORRIDOS]:[V_FUT_UTEIS]], J$5, FALSE)</f>
        <v>#N/A</v>
      </c>
      <c r="K950" s="22" t="e">
        <f>VLOOKUP($A950, TAB_CORRECAO_C[[DIAS_CORRIDOS]:[V_FUT_UTEIS]],K$5, FALSE)</f>
        <v>#N/A</v>
      </c>
      <c r="L950" s="22" t="e">
        <f>VLOOKUP($A950, TAB_AMORTIZACAO_C[[DIAS_CORRIDOS]:[V_FUT_UTEIS]], L$5, FALSE)</f>
        <v>#N/A</v>
      </c>
    </row>
    <row r="951" spans="1:12" hidden="1">
      <c r="A951" s="19">
        <f t="shared" si="79"/>
        <v>945</v>
      </c>
      <c r="B951" s="20">
        <f t="shared" si="75"/>
        <v>0</v>
      </c>
      <c r="C951" s="21">
        <f t="shared" si="76"/>
        <v>0</v>
      </c>
      <c r="D951" s="22" t="e">
        <f>VLOOKUP($A951, TAB_JUROS_U[[Q_DIAS_U_PARC_TIR]:[V_FUT_U_JURS CENARIO]], D$5, FALSE)</f>
        <v>#N/A</v>
      </c>
      <c r="E951" s="22" t="e">
        <f>VLOOKUP($A951,TAB_CORRECAO_U[[Q_DIAS_U_PARC_TIR]:[V_FUT_U_CORC-02]],E$5, FALSE)</f>
        <v>#N/A</v>
      </c>
      <c r="F951" s="22" t="e">
        <f>VLOOKUP($A951,TAB_AMORTIZACAO_U[[Q_DIAS_U_PARC_TIR]:[V_FUT_U_PCPL-02]], F$5, FALSE)</f>
        <v>#N/A</v>
      </c>
      <c r="H951" s="20">
        <f t="shared" si="77"/>
        <v>0</v>
      </c>
      <c r="I951" s="21">
        <f t="shared" si="78"/>
        <v>0</v>
      </c>
      <c r="J951" s="22" t="e">
        <f>VLOOKUP($A951, TAB_JUROS_C[[DIAS_CORRIDOS]:[V_FUT_UTEIS]], J$5, FALSE)</f>
        <v>#N/A</v>
      </c>
      <c r="K951" s="22" t="e">
        <f>VLOOKUP($A951, TAB_CORRECAO_C[[DIAS_CORRIDOS]:[V_FUT_UTEIS]],K$5, FALSE)</f>
        <v>#N/A</v>
      </c>
      <c r="L951" s="22" t="e">
        <f>VLOOKUP($A951, TAB_AMORTIZACAO_C[[DIAS_CORRIDOS]:[V_FUT_UTEIS]], L$5, FALSE)</f>
        <v>#N/A</v>
      </c>
    </row>
    <row r="952" spans="1:12" hidden="1">
      <c r="A952" s="19">
        <f t="shared" si="79"/>
        <v>946</v>
      </c>
      <c r="B952" s="20">
        <f t="shared" si="75"/>
        <v>0</v>
      </c>
      <c r="C952" s="21">
        <f t="shared" si="76"/>
        <v>0</v>
      </c>
      <c r="D952" s="22" t="e">
        <f>VLOOKUP($A952, TAB_JUROS_U[[Q_DIAS_U_PARC_TIR]:[V_FUT_U_JURS CENARIO]], D$5, FALSE)</f>
        <v>#N/A</v>
      </c>
      <c r="E952" s="22" t="e">
        <f>VLOOKUP($A952,TAB_CORRECAO_U[[Q_DIAS_U_PARC_TIR]:[V_FUT_U_CORC-02]],E$5, FALSE)</f>
        <v>#N/A</v>
      </c>
      <c r="F952" s="22" t="e">
        <f>VLOOKUP($A952,TAB_AMORTIZACAO_U[[Q_DIAS_U_PARC_TIR]:[V_FUT_U_PCPL-02]], F$5, FALSE)</f>
        <v>#N/A</v>
      </c>
      <c r="H952" s="20">
        <f t="shared" si="77"/>
        <v>0</v>
      </c>
      <c r="I952" s="21">
        <f t="shared" si="78"/>
        <v>0</v>
      </c>
      <c r="J952" s="22" t="e">
        <f>VLOOKUP($A952, TAB_JUROS_C[[DIAS_CORRIDOS]:[V_FUT_UTEIS]], J$5, FALSE)</f>
        <v>#N/A</v>
      </c>
      <c r="K952" s="22" t="e">
        <f>VLOOKUP($A952, TAB_CORRECAO_C[[DIAS_CORRIDOS]:[V_FUT_UTEIS]],K$5, FALSE)</f>
        <v>#N/A</v>
      </c>
      <c r="L952" s="22" t="e">
        <f>VLOOKUP($A952, TAB_AMORTIZACAO_C[[DIAS_CORRIDOS]:[V_FUT_UTEIS]], L$5, FALSE)</f>
        <v>#N/A</v>
      </c>
    </row>
    <row r="953" spans="1:12" hidden="1">
      <c r="A953" s="19">
        <f t="shared" si="79"/>
        <v>947</v>
      </c>
      <c r="B953" s="20">
        <f t="shared" si="75"/>
        <v>0</v>
      </c>
      <c r="C953" s="21">
        <f t="shared" si="76"/>
        <v>0</v>
      </c>
      <c r="D953" s="22" t="e">
        <f>VLOOKUP($A953, TAB_JUROS_U[[Q_DIAS_U_PARC_TIR]:[V_FUT_U_JURS CENARIO]], D$5, FALSE)</f>
        <v>#N/A</v>
      </c>
      <c r="E953" s="22" t="e">
        <f>VLOOKUP($A953,TAB_CORRECAO_U[[Q_DIAS_U_PARC_TIR]:[V_FUT_U_CORC-02]],E$5, FALSE)</f>
        <v>#N/A</v>
      </c>
      <c r="F953" s="22" t="e">
        <f>VLOOKUP($A953,TAB_AMORTIZACAO_U[[Q_DIAS_U_PARC_TIR]:[V_FUT_U_PCPL-02]], F$5, FALSE)</f>
        <v>#N/A</v>
      </c>
      <c r="H953" s="20">
        <f t="shared" si="77"/>
        <v>0</v>
      </c>
      <c r="I953" s="21">
        <f t="shared" si="78"/>
        <v>0</v>
      </c>
      <c r="J953" s="22" t="e">
        <f>VLOOKUP($A953, TAB_JUROS_C[[DIAS_CORRIDOS]:[V_FUT_UTEIS]], J$5, FALSE)</f>
        <v>#N/A</v>
      </c>
      <c r="K953" s="22" t="e">
        <f>VLOOKUP($A953, TAB_CORRECAO_C[[DIAS_CORRIDOS]:[V_FUT_UTEIS]],K$5, FALSE)</f>
        <v>#N/A</v>
      </c>
      <c r="L953" s="22" t="e">
        <f>VLOOKUP($A953, TAB_AMORTIZACAO_C[[DIAS_CORRIDOS]:[V_FUT_UTEIS]], L$5, FALSE)</f>
        <v>#N/A</v>
      </c>
    </row>
    <row r="954" spans="1:12" hidden="1">
      <c r="A954" s="19">
        <f t="shared" si="79"/>
        <v>948</v>
      </c>
      <c r="B954" s="20">
        <f t="shared" si="75"/>
        <v>0</v>
      </c>
      <c r="C954" s="21">
        <f t="shared" si="76"/>
        <v>0</v>
      </c>
      <c r="D954" s="22" t="e">
        <f>VLOOKUP($A954, TAB_JUROS_U[[Q_DIAS_U_PARC_TIR]:[V_FUT_U_JURS CENARIO]], D$5, FALSE)</f>
        <v>#N/A</v>
      </c>
      <c r="E954" s="22" t="e">
        <f>VLOOKUP($A954,TAB_CORRECAO_U[[Q_DIAS_U_PARC_TIR]:[V_FUT_U_CORC-02]],E$5, FALSE)</f>
        <v>#N/A</v>
      </c>
      <c r="F954" s="22" t="e">
        <f>VLOOKUP($A954,TAB_AMORTIZACAO_U[[Q_DIAS_U_PARC_TIR]:[V_FUT_U_PCPL-02]], F$5, FALSE)</f>
        <v>#N/A</v>
      </c>
      <c r="H954" s="20">
        <f t="shared" si="77"/>
        <v>0</v>
      </c>
      <c r="I954" s="21">
        <f t="shared" si="78"/>
        <v>0</v>
      </c>
      <c r="J954" s="22" t="e">
        <f>VLOOKUP($A954, TAB_JUROS_C[[DIAS_CORRIDOS]:[V_FUT_UTEIS]], J$5, FALSE)</f>
        <v>#N/A</v>
      </c>
      <c r="K954" s="22" t="e">
        <f>VLOOKUP($A954, TAB_CORRECAO_C[[DIAS_CORRIDOS]:[V_FUT_UTEIS]],K$5, FALSE)</f>
        <v>#N/A</v>
      </c>
      <c r="L954" s="22" t="e">
        <f>VLOOKUP($A954, TAB_AMORTIZACAO_C[[DIAS_CORRIDOS]:[V_FUT_UTEIS]], L$5, FALSE)</f>
        <v>#N/A</v>
      </c>
    </row>
    <row r="955" spans="1:12" hidden="1">
      <c r="A955" s="19">
        <f t="shared" si="79"/>
        <v>949</v>
      </c>
      <c r="B955" s="20">
        <f t="shared" si="75"/>
        <v>0</v>
      </c>
      <c r="C955" s="21">
        <f t="shared" si="76"/>
        <v>0</v>
      </c>
      <c r="D955" s="22" t="e">
        <f>VLOOKUP($A955, TAB_JUROS_U[[Q_DIAS_U_PARC_TIR]:[V_FUT_U_JURS CENARIO]], D$5, FALSE)</f>
        <v>#N/A</v>
      </c>
      <c r="E955" s="22" t="e">
        <f>VLOOKUP($A955,TAB_CORRECAO_U[[Q_DIAS_U_PARC_TIR]:[V_FUT_U_CORC-02]],E$5, FALSE)</f>
        <v>#N/A</v>
      </c>
      <c r="F955" s="22" t="e">
        <f>VLOOKUP($A955,TAB_AMORTIZACAO_U[[Q_DIAS_U_PARC_TIR]:[V_FUT_U_PCPL-02]], F$5, FALSE)</f>
        <v>#N/A</v>
      </c>
      <c r="H955" s="20">
        <f t="shared" si="77"/>
        <v>0</v>
      </c>
      <c r="I955" s="21">
        <f t="shared" si="78"/>
        <v>0</v>
      </c>
      <c r="J955" s="22" t="e">
        <f>VLOOKUP($A955, TAB_JUROS_C[[DIAS_CORRIDOS]:[V_FUT_UTEIS]], J$5, FALSE)</f>
        <v>#N/A</v>
      </c>
      <c r="K955" s="22" t="e">
        <f>VLOOKUP($A955, TAB_CORRECAO_C[[DIAS_CORRIDOS]:[V_FUT_UTEIS]],K$5, FALSE)</f>
        <v>#N/A</v>
      </c>
      <c r="L955" s="22" t="e">
        <f>VLOOKUP($A955, TAB_AMORTIZACAO_C[[DIAS_CORRIDOS]:[V_FUT_UTEIS]], L$5, FALSE)</f>
        <v>#N/A</v>
      </c>
    </row>
    <row r="956" spans="1:12" hidden="1">
      <c r="A956" s="19">
        <f t="shared" si="79"/>
        <v>950</v>
      </c>
      <c r="B956" s="20">
        <f t="shared" si="75"/>
        <v>0</v>
      </c>
      <c r="C956" s="21">
        <f t="shared" si="76"/>
        <v>0</v>
      </c>
      <c r="D956" s="22" t="e">
        <f>VLOOKUP($A956, TAB_JUROS_U[[Q_DIAS_U_PARC_TIR]:[V_FUT_U_JURS CENARIO]], D$5, FALSE)</f>
        <v>#N/A</v>
      </c>
      <c r="E956" s="22" t="e">
        <f>VLOOKUP($A956,TAB_CORRECAO_U[[Q_DIAS_U_PARC_TIR]:[V_FUT_U_CORC-02]],E$5, FALSE)</f>
        <v>#N/A</v>
      </c>
      <c r="F956" s="22" t="e">
        <f>VLOOKUP($A956,TAB_AMORTIZACAO_U[[Q_DIAS_U_PARC_TIR]:[V_FUT_U_PCPL-02]], F$5, FALSE)</f>
        <v>#N/A</v>
      </c>
      <c r="H956" s="20">
        <f t="shared" si="77"/>
        <v>0</v>
      </c>
      <c r="I956" s="21">
        <f t="shared" si="78"/>
        <v>0</v>
      </c>
      <c r="J956" s="22" t="e">
        <f>VLOOKUP($A956, TAB_JUROS_C[[DIAS_CORRIDOS]:[V_FUT_UTEIS]], J$5, FALSE)</f>
        <v>#N/A</v>
      </c>
      <c r="K956" s="22" t="e">
        <f>VLOOKUP($A956, TAB_CORRECAO_C[[DIAS_CORRIDOS]:[V_FUT_UTEIS]],K$5, FALSE)</f>
        <v>#N/A</v>
      </c>
      <c r="L956" s="22" t="e">
        <f>VLOOKUP($A956, TAB_AMORTIZACAO_C[[DIAS_CORRIDOS]:[V_FUT_UTEIS]], L$5, FALSE)</f>
        <v>#N/A</v>
      </c>
    </row>
    <row r="957" spans="1:12" hidden="1">
      <c r="A957" s="19">
        <f t="shared" si="79"/>
        <v>951</v>
      </c>
      <c r="B957" s="20">
        <f t="shared" si="75"/>
        <v>0</v>
      </c>
      <c r="C957" s="21">
        <f t="shared" si="76"/>
        <v>0</v>
      </c>
      <c r="D957" s="22" t="e">
        <f>VLOOKUP($A957, TAB_JUROS_U[[Q_DIAS_U_PARC_TIR]:[V_FUT_U_JURS CENARIO]], D$5, FALSE)</f>
        <v>#N/A</v>
      </c>
      <c r="E957" s="22" t="e">
        <f>VLOOKUP($A957,TAB_CORRECAO_U[[Q_DIAS_U_PARC_TIR]:[V_FUT_U_CORC-02]],E$5, FALSE)</f>
        <v>#N/A</v>
      </c>
      <c r="F957" s="22" t="e">
        <f>VLOOKUP($A957,TAB_AMORTIZACAO_U[[Q_DIAS_U_PARC_TIR]:[V_FUT_U_PCPL-02]], F$5, FALSE)</f>
        <v>#N/A</v>
      </c>
      <c r="H957" s="20">
        <f t="shared" si="77"/>
        <v>0</v>
      </c>
      <c r="I957" s="21">
        <f t="shared" si="78"/>
        <v>0</v>
      </c>
      <c r="J957" s="22" t="e">
        <f>VLOOKUP($A957, TAB_JUROS_C[[DIAS_CORRIDOS]:[V_FUT_UTEIS]], J$5, FALSE)</f>
        <v>#N/A</v>
      </c>
      <c r="K957" s="22" t="e">
        <f>VLOOKUP($A957, TAB_CORRECAO_C[[DIAS_CORRIDOS]:[V_FUT_UTEIS]],K$5, FALSE)</f>
        <v>#N/A</v>
      </c>
      <c r="L957" s="22" t="e">
        <f>VLOOKUP($A957, TAB_AMORTIZACAO_C[[DIAS_CORRIDOS]:[V_FUT_UTEIS]], L$5, FALSE)</f>
        <v>#N/A</v>
      </c>
    </row>
    <row r="958" spans="1:12">
      <c r="A958" s="19">
        <f t="shared" si="79"/>
        <v>952</v>
      </c>
      <c r="B958" s="20">
        <f t="shared" si="75"/>
        <v>924.76724241014438</v>
      </c>
      <c r="C958" s="21">
        <f t="shared" si="76"/>
        <v>924.76724241014438</v>
      </c>
      <c r="D958" s="22">
        <f>VLOOKUP($A958, TAB_JUROS_U[[Q_DIAS_U_PARC_TIR]:[V_FUT_U_JURS CENARIO]], D$5, FALSE)</f>
        <v>71.2619388767028</v>
      </c>
      <c r="E958" s="22">
        <f>VLOOKUP($A958,TAB_CORRECAO_U[[Q_DIAS_U_PARC_TIR]:[V_FUT_U_CORC-02]],E$5, FALSE)</f>
        <v>433.54720712522595</v>
      </c>
      <c r="F958" s="22">
        <f>VLOOKUP($A958,TAB_AMORTIZACAO_U[[Q_DIAS_U_PARC_TIR]:[V_FUT_U_PCPL-02]], F$5, FALSE)</f>
        <v>419.95809640821562</v>
      </c>
      <c r="H958" s="20">
        <f t="shared" si="77"/>
        <v>0</v>
      </c>
      <c r="I958" s="21">
        <f t="shared" si="78"/>
        <v>0</v>
      </c>
      <c r="J958" s="22" t="e">
        <f>VLOOKUP($A958, TAB_JUROS_C[[DIAS_CORRIDOS]:[V_FUT_UTEIS]], J$5, FALSE)</f>
        <v>#N/A</v>
      </c>
      <c r="K958" s="22" t="e">
        <f>VLOOKUP($A958, TAB_CORRECAO_C[[DIAS_CORRIDOS]:[V_FUT_UTEIS]],K$5, FALSE)</f>
        <v>#N/A</v>
      </c>
      <c r="L958" s="22" t="e">
        <f>VLOOKUP($A958, TAB_AMORTIZACAO_C[[DIAS_CORRIDOS]:[V_FUT_UTEIS]], L$5, FALSE)</f>
        <v>#N/A</v>
      </c>
    </row>
    <row r="959" spans="1:12" hidden="1">
      <c r="A959" s="19">
        <f t="shared" si="79"/>
        <v>953</v>
      </c>
      <c r="B959" s="20">
        <f t="shared" si="75"/>
        <v>0</v>
      </c>
      <c r="C959" s="21">
        <f t="shared" si="76"/>
        <v>0</v>
      </c>
      <c r="D959" s="22" t="e">
        <f>VLOOKUP($A959, TAB_JUROS_U[[Q_DIAS_U_PARC_TIR]:[V_FUT_U_JURS CENARIO]], D$5, FALSE)</f>
        <v>#N/A</v>
      </c>
      <c r="E959" s="22" t="e">
        <f>VLOOKUP($A959,TAB_CORRECAO_U[[Q_DIAS_U_PARC_TIR]:[V_FUT_U_CORC-02]],E$5, FALSE)</f>
        <v>#N/A</v>
      </c>
      <c r="F959" s="22" t="e">
        <f>VLOOKUP($A959,TAB_AMORTIZACAO_U[[Q_DIAS_U_PARC_TIR]:[V_FUT_U_PCPL-02]], F$5, FALSE)</f>
        <v>#N/A</v>
      </c>
      <c r="H959" s="20">
        <f t="shared" si="77"/>
        <v>0</v>
      </c>
      <c r="I959" s="21">
        <f t="shared" si="78"/>
        <v>0</v>
      </c>
      <c r="J959" s="22" t="e">
        <f>VLOOKUP($A959, TAB_JUROS_C[[DIAS_CORRIDOS]:[V_FUT_UTEIS]], J$5, FALSE)</f>
        <v>#N/A</v>
      </c>
      <c r="K959" s="22" t="e">
        <f>VLOOKUP($A959, TAB_CORRECAO_C[[DIAS_CORRIDOS]:[V_FUT_UTEIS]],K$5, FALSE)</f>
        <v>#N/A</v>
      </c>
      <c r="L959" s="22" t="e">
        <f>VLOOKUP($A959, TAB_AMORTIZACAO_C[[DIAS_CORRIDOS]:[V_FUT_UTEIS]], L$5, FALSE)</f>
        <v>#N/A</v>
      </c>
    </row>
    <row r="960" spans="1:12" hidden="1">
      <c r="A960" s="19">
        <f t="shared" si="79"/>
        <v>954</v>
      </c>
      <c r="B960" s="20">
        <f t="shared" si="75"/>
        <v>0</v>
      </c>
      <c r="C960" s="21">
        <f t="shared" si="76"/>
        <v>0</v>
      </c>
      <c r="D960" s="22" t="e">
        <f>VLOOKUP($A960, TAB_JUROS_U[[Q_DIAS_U_PARC_TIR]:[V_FUT_U_JURS CENARIO]], D$5, FALSE)</f>
        <v>#N/A</v>
      </c>
      <c r="E960" s="22" t="e">
        <f>VLOOKUP($A960,TAB_CORRECAO_U[[Q_DIAS_U_PARC_TIR]:[V_FUT_U_CORC-02]],E$5, FALSE)</f>
        <v>#N/A</v>
      </c>
      <c r="F960" s="22" t="e">
        <f>VLOOKUP($A960,TAB_AMORTIZACAO_U[[Q_DIAS_U_PARC_TIR]:[V_FUT_U_PCPL-02]], F$5, FALSE)</f>
        <v>#N/A</v>
      </c>
      <c r="H960" s="20">
        <f t="shared" si="77"/>
        <v>1318.0011688734789</v>
      </c>
      <c r="I960" s="21">
        <f t="shared" si="78"/>
        <v>1318.0011688734789</v>
      </c>
      <c r="J960" s="22">
        <f>VLOOKUP($A960, TAB_JUROS_C[[DIAS_CORRIDOS]:[V_FUT_UTEIS]], J$5, FALSE)</f>
        <v>105.66037199967053</v>
      </c>
      <c r="K960" s="22">
        <f>VLOOKUP($A960, TAB_CORRECAO_C[[DIAS_CORRIDOS]:[V_FUT_UTEIS]],K$5, FALSE)</f>
        <v>670.90660247011112</v>
      </c>
      <c r="L960" s="22">
        <f>VLOOKUP($A960, TAB_AMORTIZACAO_C[[DIAS_CORRIDOS]:[V_FUT_UTEIS]], L$5, FALSE)</f>
        <v>541.43419440369723</v>
      </c>
    </row>
    <row r="961" spans="1:12" hidden="1">
      <c r="A961" s="19">
        <f t="shared" si="79"/>
        <v>955</v>
      </c>
      <c r="B961" s="20">
        <f t="shared" si="75"/>
        <v>0</v>
      </c>
      <c r="C961" s="21">
        <f t="shared" si="76"/>
        <v>0</v>
      </c>
      <c r="D961" s="22" t="e">
        <f>VLOOKUP($A961, TAB_JUROS_U[[Q_DIAS_U_PARC_TIR]:[V_FUT_U_JURS CENARIO]], D$5, FALSE)</f>
        <v>#N/A</v>
      </c>
      <c r="E961" s="22" t="e">
        <f>VLOOKUP($A961,TAB_CORRECAO_U[[Q_DIAS_U_PARC_TIR]:[V_FUT_U_CORC-02]],E$5, FALSE)</f>
        <v>#N/A</v>
      </c>
      <c r="F961" s="22" t="e">
        <f>VLOOKUP($A961,TAB_AMORTIZACAO_U[[Q_DIAS_U_PARC_TIR]:[V_FUT_U_PCPL-02]], F$5, FALSE)</f>
        <v>#N/A</v>
      </c>
      <c r="H961" s="20">
        <f t="shared" si="77"/>
        <v>0</v>
      </c>
      <c r="I961" s="21">
        <f t="shared" si="78"/>
        <v>0</v>
      </c>
      <c r="J961" s="22" t="e">
        <f>VLOOKUP($A961, TAB_JUROS_C[[DIAS_CORRIDOS]:[V_FUT_UTEIS]], J$5, FALSE)</f>
        <v>#N/A</v>
      </c>
      <c r="K961" s="22" t="e">
        <f>VLOOKUP($A961, TAB_CORRECAO_C[[DIAS_CORRIDOS]:[V_FUT_UTEIS]],K$5, FALSE)</f>
        <v>#N/A</v>
      </c>
      <c r="L961" s="22" t="e">
        <f>VLOOKUP($A961, TAB_AMORTIZACAO_C[[DIAS_CORRIDOS]:[V_FUT_UTEIS]], L$5, FALSE)</f>
        <v>#N/A</v>
      </c>
    </row>
    <row r="962" spans="1:12" hidden="1">
      <c r="A962" s="19">
        <f t="shared" si="79"/>
        <v>956</v>
      </c>
      <c r="B962" s="20">
        <f t="shared" si="75"/>
        <v>0</v>
      </c>
      <c r="C962" s="21">
        <f t="shared" si="76"/>
        <v>0</v>
      </c>
      <c r="D962" s="22" t="e">
        <f>VLOOKUP($A962, TAB_JUROS_U[[Q_DIAS_U_PARC_TIR]:[V_FUT_U_JURS CENARIO]], D$5, FALSE)</f>
        <v>#N/A</v>
      </c>
      <c r="E962" s="22" t="e">
        <f>VLOOKUP($A962,TAB_CORRECAO_U[[Q_DIAS_U_PARC_TIR]:[V_FUT_U_CORC-02]],E$5, FALSE)</f>
        <v>#N/A</v>
      </c>
      <c r="F962" s="22" t="e">
        <f>VLOOKUP($A962,TAB_AMORTIZACAO_U[[Q_DIAS_U_PARC_TIR]:[V_FUT_U_PCPL-02]], F$5, FALSE)</f>
        <v>#N/A</v>
      </c>
      <c r="H962" s="20">
        <f t="shared" si="77"/>
        <v>0</v>
      </c>
      <c r="I962" s="21">
        <f t="shared" si="78"/>
        <v>0</v>
      </c>
      <c r="J962" s="22" t="e">
        <f>VLOOKUP($A962, TAB_JUROS_C[[DIAS_CORRIDOS]:[V_FUT_UTEIS]], J$5, FALSE)</f>
        <v>#N/A</v>
      </c>
      <c r="K962" s="22" t="e">
        <f>VLOOKUP($A962, TAB_CORRECAO_C[[DIAS_CORRIDOS]:[V_FUT_UTEIS]],K$5, FALSE)</f>
        <v>#N/A</v>
      </c>
      <c r="L962" s="22" t="e">
        <f>VLOOKUP($A962, TAB_AMORTIZACAO_C[[DIAS_CORRIDOS]:[V_FUT_UTEIS]], L$5, FALSE)</f>
        <v>#N/A</v>
      </c>
    </row>
    <row r="963" spans="1:12" hidden="1">
      <c r="A963" s="19">
        <f t="shared" si="79"/>
        <v>957</v>
      </c>
      <c r="B963" s="20">
        <f t="shared" si="75"/>
        <v>0</v>
      </c>
      <c r="C963" s="21">
        <f t="shared" si="76"/>
        <v>0</v>
      </c>
      <c r="D963" s="22" t="e">
        <f>VLOOKUP($A963, TAB_JUROS_U[[Q_DIAS_U_PARC_TIR]:[V_FUT_U_JURS CENARIO]], D$5, FALSE)</f>
        <v>#N/A</v>
      </c>
      <c r="E963" s="22" t="e">
        <f>VLOOKUP($A963,TAB_CORRECAO_U[[Q_DIAS_U_PARC_TIR]:[V_FUT_U_CORC-02]],E$5, FALSE)</f>
        <v>#N/A</v>
      </c>
      <c r="F963" s="22" t="e">
        <f>VLOOKUP($A963,TAB_AMORTIZACAO_U[[Q_DIAS_U_PARC_TIR]:[V_FUT_U_PCPL-02]], F$5, FALSE)</f>
        <v>#N/A</v>
      </c>
      <c r="H963" s="20">
        <f t="shared" si="77"/>
        <v>0</v>
      </c>
      <c r="I963" s="21">
        <f t="shared" si="78"/>
        <v>0</v>
      </c>
      <c r="J963" s="22" t="e">
        <f>VLOOKUP($A963, TAB_JUROS_C[[DIAS_CORRIDOS]:[V_FUT_UTEIS]], J$5, FALSE)</f>
        <v>#N/A</v>
      </c>
      <c r="K963" s="22" t="e">
        <f>VLOOKUP($A963, TAB_CORRECAO_C[[DIAS_CORRIDOS]:[V_FUT_UTEIS]],K$5, FALSE)</f>
        <v>#N/A</v>
      </c>
      <c r="L963" s="22" t="e">
        <f>VLOOKUP($A963, TAB_AMORTIZACAO_C[[DIAS_CORRIDOS]:[V_FUT_UTEIS]], L$5, FALSE)</f>
        <v>#N/A</v>
      </c>
    </row>
    <row r="964" spans="1:12" hidden="1">
      <c r="A964" s="19">
        <f t="shared" si="79"/>
        <v>958</v>
      </c>
      <c r="B964" s="20">
        <f t="shared" si="75"/>
        <v>0</v>
      </c>
      <c r="C964" s="21">
        <f t="shared" si="76"/>
        <v>0</v>
      </c>
      <c r="D964" s="22" t="e">
        <f>VLOOKUP($A964, TAB_JUROS_U[[Q_DIAS_U_PARC_TIR]:[V_FUT_U_JURS CENARIO]], D$5, FALSE)</f>
        <v>#N/A</v>
      </c>
      <c r="E964" s="22" t="e">
        <f>VLOOKUP($A964,TAB_CORRECAO_U[[Q_DIAS_U_PARC_TIR]:[V_FUT_U_CORC-02]],E$5, FALSE)</f>
        <v>#N/A</v>
      </c>
      <c r="F964" s="22" t="e">
        <f>VLOOKUP($A964,TAB_AMORTIZACAO_U[[Q_DIAS_U_PARC_TIR]:[V_FUT_U_PCPL-02]], F$5, FALSE)</f>
        <v>#N/A</v>
      </c>
      <c r="H964" s="20">
        <f t="shared" si="77"/>
        <v>0</v>
      </c>
      <c r="I964" s="21">
        <f t="shared" si="78"/>
        <v>0</v>
      </c>
      <c r="J964" s="22" t="e">
        <f>VLOOKUP($A964, TAB_JUROS_C[[DIAS_CORRIDOS]:[V_FUT_UTEIS]], J$5, FALSE)</f>
        <v>#N/A</v>
      </c>
      <c r="K964" s="22" t="e">
        <f>VLOOKUP($A964, TAB_CORRECAO_C[[DIAS_CORRIDOS]:[V_FUT_UTEIS]],K$5, FALSE)</f>
        <v>#N/A</v>
      </c>
      <c r="L964" s="22" t="e">
        <f>VLOOKUP($A964, TAB_AMORTIZACAO_C[[DIAS_CORRIDOS]:[V_FUT_UTEIS]], L$5, FALSE)</f>
        <v>#N/A</v>
      </c>
    </row>
    <row r="965" spans="1:12" hidden="1">
      <c r="A965" s="19">
        <f t="shared" si="79"/>
        <v>959</v>
      </c>
      <c r="B965" s="20">
        <f t="shared" si="75"/>
        <v>0</v>
      </c>
      <c r="C965" s="21">
        <f t="shared" si="76"/>
        <v>0</v>
      </c>
      <c r="D965" s="22" t="e">
        <f>VLOOKUP($A965, TAB_JUROS_U[[Q_DIAS_U_PARC_TIR]:[V_FUT_U_JURS CENARIO]], D$5, FALSE)</f>
        <v>#N/A</v>
      </c>
      <c r="E965" s="22" t="e">
        <f>VLOOKUP($A965,TAB_CORRECAO_U[[Q_DIAS_U_PARC_TIR]:[V_FUT_U_CORC-02]],E$5, FALSE)</f>
        <v>#N/A</v>
      </c>
      <c r="F965" s="22" t="e">
        <f>VLOOKUP($A965,TAB_AMORTIZACAO_U[[Q_DIAS_U_PARC_TIR]:[V_FUT_U_PCPL-02]], F$5, FALSE)</f>
        <v>#N/A</v>
      </c>
      <c r="H965" s="20">
        <f t="shared" si="77"/>
        <v>0</v>
      </c>
      <c r="I965" s="21">
        <f t="shared" si="78"/>
        <v>0</v>
      </c>
      <c r="J965" s="22" t="e">
        <f>VLOOKUP($A965, TAB_JUROS_C[[DIAS_CORRIDOS]:[V_FUT_UTEIS]], J$5, FALSE)</f>
        <v>#N/A</v>
      </c>
      <c r="K965" s="22" t="e">
        <f>VLOOKUP($A965, TAB_CORRECAO_C[[DIAS_CORRIDOS]:[V_FUT_UTEIS]],K$5, FALSE)</f>
        <v>#N/A</v>
      </c>
      <c r="L965" s="22" t="e">
        <f>VLOOKUP($A965, TAB_AMORTIZACAO_C[[DIAS_CORRIDOS]:[V_FUT_UTEIS]], L$5, FALSE)</f>
        <v>#N/A</v>
      </c>
    </row>
    <row r="966" spans="1:12" hidden="1">
      <c r="A966" s="19">
        <f t="shared" si="79"/>
        <v>960</v>
      </c>
      <c r="B966" s="20">
        <f t="shared" si="75"/>
        <v>0</v>
      </c>
      <c r="C966" s="21">
        <f t="shared" si="76"/>
        <v>0</v>
      </c>
      <c r="D966" s="22" t="e">
        <f>VLOOKUP($A966, TAB_JUROS_U[[Q_DIAS_U_PARC_TIR]:[V_FUT_U_JURS CENARIO]], D$5, FALSE)</f>
        <v>#N/A</v>
      </c>
      <c r="E966" s="22" t="e">
        <f>VLOOKUP($A966,TAB_CORRECAO_U[[Q_DIAS_U_PARC_TIR]:[V_FUT_U_CORC-02]],E$5, FALSE)</f>
        <v>#N/A</v>
      </c>
      <c r="F966" s="22" t="e">
        <f>VLOOKUP($A966,TAB_AMORTIZACAO_U[[Q_DIAS_U_PARC_TIR]:[V_FUT_U_PCPL-02]], F$5, FALSE)</f>
        <v>#N/A</v>
      </c>
      <c r="H966" s="20">
        <f t="shared" si="77"/>
        <v>0</v>
      </c>
      <c r="I966" s="21">
        <f t="shared" si="78"/>
        <v>0</v>
      </c>
      <c r="J966" s="22" t="e">
        <f>VLOOKUP($A966, TAB_JUROS_C[[DIAS_CORRIDOS]:[V_FUT_UTEIS]], J$5, FALSE)</f>
        <v>#N/A</v>
      </c>
      <c r="K966" s="22" t="e">
        <f>VLOOKUP($A966, TAB_CORRECAO_C[[DIAS_CORRIDOS]:[V_FUT_UTEIS]],K$5, FALSE)</f>
        <v>#N/A</v>
      </c>
      <c r="L966" s="22" t="e">
        <f>VLOOKUP($A966, TAB_AMORTIZACAO_C[[DIAS_CORRIDOS]:[V_FUT_UTEIS]], L$5, FALSE)</f>
        <v>#N/A</v>
      </c>
    </row>
    <row r="967" spans="1:12" hidden="1">
      <c r="A967" s="19">
        <f t="shared" si="79"/>
        <v>961</v>
      </c>
      <c r="B967" s="20">
        <f t="shared" si="75"/>
        <v>0</v>
      </c>
      <c r="C967" s="21">
        <f t="shared" si="76"/>
        <v>0</v>
      </c>
      <c r="D967" s="22" t="e">
        <f>VLOOKUP($A967, TAB_JUROS_U[[Q_DIAS_U_PARC_TIR]:[V_FUT_U_JURS CENARIO]], D$5, FALSE)</f>
        <v>#N/A</v>
      </c>
      <c r="E967" s="22" t="e">
        <f>VLOOKUP($A967,TAB_CORRECAO_U[[Q_DIAS_U_PARC_TIR]:[V_FUT_U_CORC-02]],E$5, FALSE)</f>
        <v>#N/A</v>
      </c>
      <c r="F967" s="22" t="e">
        <f>VLOOKUP($A967,TAB_AMORTIZACAO_U[[Q_DIAS_U_PARC_TIR]:[V_FUT_U_PCPL-02]], F$5, FALSE)</f>
        <v>#N/A</v>
      </c>
      <c r="H967" s="20">
        <f t="shared" si="77"/>
        <v>0</v>
      </c>
      <c r="I967" s="21">
        <f t="shared" si="78"/>
        <v>0</v>
      </c>
      <c r="J967" s="22" t="e">
        <f>VLOOKUP($A967, TAB_JUROS_C[[DIAS_CORRIDOS]:[V_FUT_UTEIS]], J$5, FALSE)</f>
        <v>#N/A</v>
      </c>
      <c r="K967" s="22" t="e">
        <f>VLOOKUP($A967, TAB_CORRECAO_C[[DIAS_CORRIDOS]:[V_FUT_UTEIS]],K$5, FALSE)</f>
        <v>#N/A</v>
      </c>
      <c r="L967" s="22" t="e">
        <f>VLOOKUP($A967, TAB_AMORTIZACAO_C[[DIAS_CORRIDOS]:[V_FUT_UTEIS]], L$5, FALSE)</f>
        <v>#N/A</v>
      </c>
    </row>
    <row r="968" spans="1:12" hidden="1">
      <c r="A968" s="19">
        <f t="shared" si="79"/>
        <v>962</v>
      </c>
      <c r="B968" s="20">
        <f t="shared" si="75"/>
        <v>0</v>
      </c>
      <c r="C968" s="21">
        <f t="shared" si="76"/>
        <v>0</v>
      </c>
      <c r="D968" s="22" t="e">
        <f>VLOOKUP($A968, TAB_JUROS_U[[Q_DIAS_U_PARC_TIR]:[V_FUT_U_JURS CENARIO]], D$5, FALSE)</f>
        <v>#N/A</v>
      </c>
      <c r="E968" s="22" t="e">
        <f>VLOOKUP($A968,TAB_CORRECAO_U[[Q_DIAS_U_PARC_TIR]:[V_FUT_U_CORC-02]],E$5, FALSE)</f>
        <v>#N/A</v>
      </c>
      <c r="F968" s="22" t="e">
        <f>VLOOKUP($A968,TAB_AMORTIZACAO_U[[Q_DIAS_U_PARC_TIR]:[V_FUT_U_PCPL-02]], F$5, FALSE)</f>
        <v>#N/A</v>
      </c>
      <c r="H968" s="20">
        <f t="shared" si="77"/>
        <v>0</v>
      </c>
      <c r="I968" s="21">
        <f t="shared" si="78"/>
        <v>0</v>
      </c>
      <c r="J968" s="22" t="e">
        <f>VLOOKUP($A968, TAB_JUROS_C[[DIAS_CORRIDOS]:[V_FUT_UTEIS]], J$5, FALSE)</f>
        <v>#N/A</v>
      </c>
      <c r="K968" s="22" t="e">
        <f>VLOOKUP($A968, TAB_CORRECAO_C[[DIAS_CORRIDOS]:[V_FUT_UTEIS]],K$5, FALSE)</f>
        <v>#N/A</v>
      </c>
      <c r="L968" s="22" t="e">
        <f>VLOOKUP($A968, TAB_AMORTIZACAO_C[[DIAS_CORRIDOS]:[V_FUT_UTEIS]], L$5, FALSE)</f>
        <v>#N/A</v>
      </c>
    </row>
    <row r="969" spans="1:12" hidden="1">
      <c r="A969" s="19">
        <f t="shared" si="79"/>
        <v>963</v>
      </c>
      <c r="B969" s="20">
        <f t="shared" ref="B969:B1032" si="80">IF(ISERROR(C969), 0, C969)</f>
        <v>0</v>
      </c>
      <c r="C969" s="21">
        <f t="shared" ref="C969:C1032" si="81">SUMIF(D969:F969, "&gt;0", D969:F969)</f>
        <v>0</v>
      </c>
      <c r="D969" s="22" t="e">
        <f>VLOOKUP($A969, TAB_JUROS_U[[Q_DIAS_U_PARC_TIR]:[V_FUT_U_JURS CENARIO]], D$5, FALSE)</f>
        <v>#N/A</v>
      </c>
      <c r="E969" s="22" t="e">
        <f>VLOOKUP($A969,TAB_CORRECAO_U[[Q_DIAS_U_PARC_TIR]:[V_FUT_U_CORC-02]],E$5, FALSE)</f>
        <v>#N/A</v>
      </c>
      <c r="F969" s="22" t="e">
        <f>VLOOKUP($A969,TAB_AMORTIZACAO_U[[Q_DIAS_U_PARC_TIR]:[V_FUT_U_PCPL-02]], F$5, FALSE)</f>
        <v>#N/A</v>
      </c>
      <c r="H969" s="20">
        <f t="shared" ref="H969:H1032" si="82">IF(ISERROR(I969), 0, I969)</f>
        <v>0</v>
      </c>
      <c r="I969" s="21">
        <f t="shared" ref="I969:I1032" si="83">SUMIF(J969:L969, "&gt;0", J969:L969)</f>
        <v>0</v>
      </c>
      <c r="J969" s="22" t="e">
        <f>VLOOKUP($A969, TAB_JUROS_C[[DIAS_CORRIDOS]:[V_FUT_UTEIS]], J$5, FALSE)</f>
        <v>#N/A</v>
      </c>
      <c r="K969" s="22" t="e">
        <f>VLOOKUP($A969, TAB_CORRECAO_C[[DIAS_CORRIDOS]:[V_FUT_UTEIS]],K$5, FALSE)</f>
        <v>#N/A</v>
      </c>
      <c r="L969" s="22" t="e">
        <f>VLOOKUP($A969, TAB_AMORTIZACAO_C[[DIAS_CORRIDOS]:[V_FUT_UTEIS]], L$5, FALSE)</f>
        <v>#N/A</v>
      </c>
    </row>
    <row r="970" spans="1:12" hidden="1">
      <c r="A970" s="19">
        <f t="shared" ref="A970:A1033" si="84">A969+1</f>
        <v>964</v>
      </c>
      <c r="B970" s="20">
        <f t="shared" si="80"/>
        <v>0</v>
      </c>
      <c r="C970" s="21">
        <f t="shared" si="81"/>
        <v>0</v>
      </c>
      <c r="D970" s="22" t="e">
        <f>VLOOKUP($A970, TAB_JUROS_U[[Q_DIAS_U_PARC_TIR]:[V_FUT_U_JURS CENARIO]], D$5, FALSE)</f>
        <v>#N/A</v>
      </c>
      <c r="E970" s="22" t="e">
        <f>VLOOKUP($A970,TAB_CORRECAO_U[[Q_DIAS_U_PARC_TIR]:[V_FUT_U_CORC-02]],E$5, FALSE)</f>
        <v>#N/A</v>
      </c>
      <c r="F970" s="22" t="e">
        <f>VLOOKUP($A970,TAB_AMORTIZACAO_U[[Q_DIAS_U_PARC_TIR]:[V_FUT_U_PCPL-02]], F$5, FALSE)</f>
        <v>#N/A</v>
      </c>
      <c r="H970" s="20">
        <f t="shared" si="82"/>
        <v>0</v>
      </c>
      <c r="I970" s="21">
        <f t="shared" si="83"/>
        <v>0</v>
      </c>
      <c r="J970" s="22" t="e">
        <f>VLOOKUP($A970, TAB_JUROS_C[[DIAS_CORRIDOS]:[V_FUT_UTEIS]], J$5, FALSE)</f>
        <v>#N/A</v>
      </c>
      <c r="K970" s="22" t="e">
        <f>VLOOKUP($A970, TAB_CORRECAO_C[[DIAS_CORRIDOS]:[V_FUT_UTEIS]],K$5, FALSE)</f>
        <v>#N/A</v>
      </c>
      <c r="L970" s="22" t="e">
        <f>VLOOKUP($A970, TAB_AMORTIZACAO_C[[DIAS_CORRIDOS]:[V_FUT_UTEIS]], L$5, FALSE)</f>
        <v>#N/A</v>
      </c>
    </row>
    <row r="971" spans="1:12" hidden="1">
      <c r="A971" s="19">
        <f t="shared" si="84"/>
        <v>965</v>
      </c>
      <c r="B971" s="20">
        <f t="shared" si="80"/>
        <v>0</v>
      </c>
      <c r="C971" s="21">
        <f t="shared" si="81"/>
        <v>0</v>
      </c>
      <c r="D971" s="22" t="e">
        <f>VLOOKUP($A971, TAB_JUROS_U[[Q_DIAS_U_PARC_TIR]:[V_FUT_U_JURS CENARIO]], D$5, FALSE)</f>
        <v>#N/A</v>
      </c>
      <c r="E971" s="22" t="e">
        <f>VLOOKUP($A971,TAB_CORRECAO_U[[Q_DIAS_U_PARC_TIR]:[V_FUT_U_CORC-02]],E$5, FALSE)</f>
        <v>#N/A</v>
      </c>
      <c r="F971" s="22" t="e">
        <f>VLOOKUP($A971,TAB_AMORTIZACAO_U[[Q_DIAS_U_PARC_TIR]:[V_FUT_U_PCPL-02]], F$5, FALSE)</f>
        <v>#N/A</v>
      </c>
      <c r="H971" s="20">
        <f t="shared" si="82"/>
        <v>0</v>
      </c>
      <c r="I971" s="21">
        <f t="shared" si="83"/>
        <v>0</v>
      </c>
      <c r="J971" s="22" t="e">
        <f>VLOOKUP($A971, TAB_JUROS_C[[DIAS_CORRIDOS]:[V_FUT_UTEIS]], J$5, FALSE)</f>
        <v>#N/A</v>
      </c>
      <c r="K971" s="22" t="e">
        <f>VLOOKUP($A971, TAB_CORRECAO_C[[DIAS_CORRIDOS]:[V_FUT_UTEIS]],K$5, FALSE)</f>
        <v>#N/A</v>
      </c>
      <c r="L971" s="22" t="e">
        <f>VLOOKUP($A971, TAB_AMORTIZACAO_C[[DIAS_CORRIDOS]:[V_FUT_UTEIS]], L$5, FALSE)</f>
        <v>#N/A</v>
      </c>
    </row>
    <row r="972" spans="1:12" hidden="1">
      <c r="A972" s="19">
        <f t="shared" si="84"/>
        <v>966</v>
      </c>
      <c r="B972" s="20">
        <f t="shared" si="80"/>
        <v>0</v>
      </c>
      <c r="C972" s="21">
        <f t="shared" si="81"/>
        <v>0</v>
      </c>
      <c r="D972" s="22" t="e">
        <f>VLOOKUP($A972, TAB_JUROS_U[[Q_DIAS_U_PARC_TIR]:[V_FUT_U_JURS CENARIO]], D$5, FALSE)</f>
        <v>#N/A</v>
      </c>
      <c r="E972" s="22" t="e">
        <f>VLOOKUP($A972,TAB_CORRECAO_U[[Q_DIAS_U_PARC_TIR]:[V_FUT_U_CORC-02]],E$5, FALSE)</f>
        <v>#N/A</v>
      </c>
      <c r="F972" s="22" t="e">
        <f>VLOOKUP($A972,TAB_AMORTIZACAO_U[[Q_DIAS_U_PARC_TIR]:[V_FUT_U_PCPL-02]], F$5, FALSE)</f>
        <v>#N/A</v>
      </c>
      <c r="H972" s="20">
        <f t="shared" si="82"/>
        <v>0</v>
      </c>
      <c r="I972" s="21">
        <f t="shared" si="83"/>
        <v>0</v>
      </c>
      <c r="J972" s="22" t="e">
        <f>VLOOKUP($A972, TAB_JUROS_C[[DIAS_CORRIDOS]:[V_FUT_UTEIS]], J$5, FALSE)</f>
        <v>#N/A</v>
      </c>
      <c r="K972" s="22" t="e">
        <f>VLOOKUP($A972, TAB_CORRECAO_C[[DIAS_CORRIDOS]:[V_FUT_UTEIS]],K$5, FALSE)</f>
        <v>#N/A</v>
      </c>
      <c r="L972" s="22" t="e">
        <f>VLOOKUP($A972, TAB_AMORTIZACAO_C[[DIAS_CORRIDOS]:[V_FUT_UTEIS]], L$5, FALSE)</f>
        <v>#N/A</v>
      </c>
    </row>
    <row r="973" spans="1:12" hidden="1">
      <c r="A973" s="19">
        <f t="shared" si="84"/>
        <v>967</v>
      </c>
      <c r="B973" s="20">
        <f t="shared" si="80"/>
        <v>0</v>
      </c>
      <c r="C973" s="21">
        <f t="shared" si="81"/>
        <v>0</v>
      </c>
      <c r="D973" s="22" t="e">
        <f>VLOOKUP($A973, TAB_JUROS_U[[Q_DIAS_U_PARC_TIR]:[V_FUT_U_JURS CENARIO]], D$5, FALSE)</f>
        <v>#N/A</v>
      </c>
      <c r="E973" s="22" t="e">
        <f>VLOOKUP($A973,TAB_CORRECAO_U[[Q_DIAS_U_PARC_TIR]:[V_FUT_U_CORC-02]],E$5, FALSE)</f>
        <v>#N/A</v>
      </c>
      <c r="F973" s="22" t="e">
        <f>VLOOKUP($A973,TAB_AMORTIZACAO_U[[Q_DIAS_U_PARC_TIR]:[V_FUT_U_PCPL-02]], F$5, FALSE)</f>
        <v>#N/A</v>
      </c>
      <c r="H973" s="20">
        <f t="shared" si="82"/>
        <v>0</v>
      </c>
      <c r="I973" s="21">
        <f t="shared" si="83"/>
        <v>0</v>
      </c>
      <c r="J973" s="22" t="e">
        <f>VLOOKUP($A973, TAB_JUROS_C[[DIAS_CORRIDOS]:[V_FUT_UTEIS]], J$5, FALSE)</f>
        <v>#N/A</v>
      </c>
      <c r="K973" s="22" t="e">
        <f>VLOOKUP($A973, TAB_CORRECAO_C[[DIAS_CORRIDOS]:[V_FUT_UTEIS]],K$5, FALSE)</f>
        <v>#N/A</v>
      </c>
      <c r="L973" s="22" t="e">
        <f>VLOOKUP($A973, TAB_AMORTIZACAO_C[[DIAS_CORRIDOS]:[V_FUT_UTEIS]], L$5, FALSE)</f>
        <v>#N/A</v>
      </c>
    </row>
    <row r="974" spans="1:12" hidden="1">
      <c r="A974" s="19">
        <f t="shared" si="84"/>
        <v>968</v>
      </c>
      <c r="B974" s="20">
        <f t="shared" si="80"/>
        <v>0</v>
      </c>
      <c r="C974" s="21">
        <f t="shared" si="81"/>
        <v>0</v>
      </c>
      <c r="D974" s="22" t="e">
        <f>VLOOKUP($A974, TAB_JUROS_U[[Q_DIAS_U_PARC_TIR]:[V_FUT_U_JURS CENARIO]], D$5, FALSE)</f>
        <v>#N/A</v>
      </c>
      <c r="E974" s="22" t="e">
        <f>VLOOKUP($A974,TAB_CORRECAO_U[[Q_DIAS_U_PARC_TIR]:[V_FUT_U_CORC-02]],E$5, FALSE)</f>
        <v>#N/A</v>
      </c>
      <c r="F974" s="22" t="e">
        <f>VLOOKUP($A974,TAB_AMORTIZACAO_U[[Q_DIAS_U_PARC_TIR]:[V_FUT_U_PCPL-02]], F$5, FALSE)</f>
        <v>#N/A</v>
      </c>
      <c r="H974" s="20">
        <f t="shared" si="82"/>
        <v>0</v>
      </c>
      <c r="I974" s="21">
        <f t="shared" si="83"/>
        <v>0</v>
      </c>
      <c r="J974" s="22" t="e">
        <f>VLOOKUP($A974, TAB_JUROS_C[[DIAS_CORRIDOS]:[V_FUT_UTEIS]], J$5, FALSE)</f>
        <v>#N/A</v>
      </c>
      <c r="K974" s="22" t="e">
        <f>VLOOKUP($A974, TAB_CORRECAO_C[[DIAS_CORRIDOS]:[V_FUT_UTEIS]],K$5, FALSE)</f>
        <v>#N/A</v>
      </c>
      <c r="L974" s="22" t="e">
        <f>VLOOKUP($A974, TAB_AMORTIZACAO_C[[DIAS_CORRIDOS]:[V_FUT_UTEIS]], L$5, FALSE)</f>
        <v>#N/A</v>
      </c>
    </row>
    <row r="975" spans="1:12" hidden="1">
      <c r="A975" s="19">
        <f t="shared" si="84"/>
        <v>969</v>
      </c>
      <c r="B975" s="20">
        <f t="shared" si="80"/>
        <v>0</v>
      </c>
      <c r="C975" s="21">
        <f t="shared" si="81"/>
        <v>0</v>
      </c>
      <c r="D975" s="22" t="e">
        <f>VLOOKUP($A975, TAB_JUROS_U[[Q_DIAS_U_PARC_TIR]:[V_FUT_U_JURS CENARIO]], D$5, FALSE)</f>
        <v>#N/A</v>
      </c>
      <c r="E975" s="22" t="e">
        <f>VLOOKUP($A975,TAB_CORRECAO_U[[Q_DIAS_U_PARC_TIR]:[V_FUT_U_CORC-02]],E$5, FALSE)</f>
        <v>#N/A</v>
      </c>
      <c r="F975" s="22" t="e">
        <f>VLOOKUP($A975,TAB_AMORTIZACAO_U[[Q_DIAS_U_PARC_TIR]:[V_FUT_U_PCPL-02]], F$5, FALSE)</f>
        <v>#N/A</v>
      </c>
      <c r="H975" s="20">
        <f t="shared" si="82"/>
        <v>0</v>
      </c>
      <c r="I975" s="21">
        <f t="shared" si="83"/>
        <v>0</v>
      </c>
      <c r="J975" s="22" t="e">
        <f>VLOOKUP($A975, TAB_JUROS_C[[DIAS_CORRIDOS]:[V_FUT_UTEIS]], J$5, FALSE)</f>
        <v>#N/A</v>
      </c>
      <c r="K975" s="22" t="e">
        <f>VLOOKUP($A975, TAB_CORRECAO_C[[DIAS_CORRIDOS]:[V_FUT_UTEIS]],K$5, FALSE)</f>
        <v>#N/A</v>
      </c>
      <c r="L975" s="22" t="e">
        <f>VLOOKUP($A975, TAB_AMORTIZACAO_C[[DIAS_CORRIDOS]:[V_FUT_UTEIS]], L$5, FALSE)</f>
        <v>#N/A</v>
      </c>
    </row>
    <row r="976" spans="1:12" hidden="1">
      <c r="A976" s="19">
        <f t="shared" si="84"/>
        <v>970</v>
      </c>
      <c r="B976" s="20">
        <f t="shared" si="80"/>
        <v>0</v>
      </c>
      <c r="C976" s="21">
        <f t="shared" si="81"/>
        <v>0</v>
      </c>
      <c r="D976" s="22" t="e">
        <f>VLOOKUP($A976, TAB_JUROS_U[[Q_DIAS_U_PARC_TIR]:[V_FUT_U_JURS CENARIO]], D$5, FALSE)</f>
        <v>#N/A</v>
      </c>
      <c r="E976" s="22" t="e">
        <f>VLOOKUP($A976,TAB_CORRECAO_U[[Q_DIAS_U_PARC_TIR]:[V_FUT_U_CORC-02]],E$5, FALSE)</f>
        <v>#N/A</v>
      </c>
      <c r="F976" s="22" t="e">
        <f>VLOOKUP($A976,TAB_AMORTIZACAO_U[[Q_DIAS_U_PARC_TIR]:[V_FUT_U_PCPL-02]], F$5, FALSE)</f>
        <v>#N/A</v>
      </c>
      <c r="H976" s="20">
        <f t="shared" si="82"/>
        <v>0</v>
      </c>
      <c r="I976" s="21">
        <f t="shared" si="83"/>
        <v>0</v>
      </c>
      <c r="J976" s="22" t="e">
        <f>VLOOKUP($A976, TAB_JUROS_C[[DIAS_CORRIDOS]:[V_FUT_UTEIS]], J$5, FALSE)</f>
        <v>#N/A</v>
      </c>
      <c r="K976" s="22" t="e">
        <f>VLOOKUP($A976, TAB_CORRECAO_C[[DIAS_CORRIDOS]:[V_FUT_UTEIS]],K$5, FALSE)</f>
        <v>#N/A</v>
      </c>
      <c r="L976" s="22" t="e">
        <f>VLOOKUP($A976, TAB_AMORTIZACAO_C[[DIAS_CORRIDOS]:[V_FUT_UTEIS]], L$5, FALSE)</f>
        <v>#N/A</v>
      </c>
    </row>
    <row r="977" spans="1:12" hidden="1">
      <c r="A977" s="19">
        <f t="shared" si="84"/>
        <v>971</v>
      </c>
      <c r="B977" s="20">
        <f t="shared" si="80"/>
        <v>0</v>
      </c>
      <c r="C977" s="21">
        <f t="shared" si="81"/>
        <v>0</v>
      </c>
      <c r="D977" s="22" t="e">
        <f>VLOOKUP($A977, TAB_JUROS_U[[Q_DIAS_U_PARC_TIR]:[V_FUT_U_JURS CENARIO]], D$5, FALSE)</f>
        <v>#N/A</v>
      </c>
      <c r="E977" s="22" t="e">
        <f>VLOOKUP($A977,TAB_CORRECAO_U[[Q_DIAS_U_PARC_TIR]:[V_FUT_U_CORC-02]],E$5, FALSE)</f>
        <v>#N/A</v>
      </c>
      <c r="F977" s="22" t="e">
        <f>VLOOKUP($A977,TAB_AMORTIZACAO_U[[Q_DIAS_U_PARC_TIR]:[V_FUT_U_PCPL-02]], F$5, FALSE)</f>
        <v>#N/A</v>
      </c>
      <c r="H977" s="20">
        <f t="shared" si="82"/>
        <v>0</v>
      </c>
      <c r="I977" s="21">
        <f t="shared" si="83"/>
        <v>0</v>
      </c>
      <c r="J977" s="22" t="e">
        <f>VLOOKUP($A977, TAB_JUROS_C[[DIAS_CORRIDOS]:[V_FUT_UTEIS]], J$5, FALSE)</f>
        <v>#N/A</v>
      </c>
      <c r="K977" s="22" t="e">
        <f>VLOOKUP($A977, TAB_CORRECAO_C[[DIAS_CORRIDOS]:[V_FUT_UTEIS]],K$5, FALSE)</f>
        <v>#N/A</v>
      </c>
      <c r="L977" s="22" t="e">
        <f>VLOOKUP($A977, TAB_AMORTIZACAO_C[[DIAS_CORRIDOS]:[V_FUT_UTEIS]], L$5, FALSE)</f>
        <v>#N/A</v>
      </c>
    </row>
    <row r="978" spans="1:12" hidden="1">
      <c r="A978" s="19">
        <f t="shared" si="84"/>
        <v>972</v>
      </c>
      <c r="B978" s="20">
        <f t="shared" si="80"/>
        <v>0</v>
      </c>
      <c r="C978" s="21">
        <f t="shared" si="81"/>
        <v>0</v>
      </c>
      <c r="D978" s="22" t="e">
        <f>VLOOKUP($A978, TAB_JUROS_U[[Q_DIAS_U_PARC_TIR]:[V_FUT_U_JURS CENARIO]], D$5, FALSE)</f>
        <v>#N/A</v>
      </c>
      <c r="E978" s="22" t="e">
        <f>VLOOKUP($A978,TAB_CORRECAO_U[[Q_DIAS_U_PARC_TIR]:[V_FUT_U_CORC-02]],E$5, FALSE)</f>
        <v>#N/A</v>
      </c>
      <c r="F978" s="22" t="e">
        <f>VLOOKUP($A978,TAB_AMORTIZACAO_U[[Q_DIAS_U_PARC_TIR]:[V_FUT_U_PCPL-02]], F$5, FALSE)</f>
        <v>#N/A</v>
      </c>
      <c r="H978" s="20">
        <f t="shared" si="82"/>
        <v>0</v>
      </c>
      <c r="I978" s="21">
        <f t="shared" si="83"/>
        <v>0</v>
      </c>
      <c r="J978" s="22" t="e">
        <f>VLOOKUP($A978, TAB_JUROS_C[[DIAS_CORRIDOS]:[V_FUT_UTEIS]], J$5, FALSE)</f>
        <v>#N/A</v>
      </c>
      <c r="K978" s="22" t="e">
        <f>VLOOKUP($A978, TAB_CORRECAO_C[[DIAS_CORRIDOS]:[V_FUT_UTEIS]],K$5, FALSE)</f>
        <v>#N/A</v>
      </c>
      <c r="L978" s="22" t="e">
        <f>VLOOKUP($A978, TAB_AMORTIZACAO_C[[DIAS_CORRIDOS]:[V_FUT_UTEIS]], L$5, FALSE)</f>
        <v>#N/A</v>
      </c>
    </row>
    <row r="979" spans="1:12" hidden="1">
      <c r="A979" s="19">
        <f t="shared" si="84"/>
        <v>973</v>
      </c>
      <c r="B979" s="20">
        <f t="shared" si="80"/>
        <v>0</v>
      </c>
      <c r="C979" s="21">
        <f t="shared" si="81"/>
        <v>0</v>
      </c>
      <c r="D979" s="22" t="e">
        <f>VLOOKUP($A979, TAB_JUROS_U[[Q_DIAS_U_PARC_TIR]:[V_FUT_U_JURS CENARIO]], D$5, FALSE)</f>
        <v>#N/A</v>
      </c>
      <c r="E979" s="22" t="e">
        <f>VLOOKUP($A979,TAB_CORRECAO_U[[Q_DIAS_U_PARC_TIR]:[V_FUT_U_CORC-02]],E$5, FALSE)</f>
        <v>#N/A</v>
      </c>
      <c r="F979" s="22" t="e">
        <f>VLOOKUP($A979,TAB_AMORTIZACAO_U[[Q_DIAS_U_PARC_TIR]:[V_FUT_U_PCPL-02]], F$5, FALSE)</f>
        <v>#N/A</v>
      </c>
      <c r="H979" s="20">
        <f t="shared" si="82"/>
        <v>0</v>
      </c>
      <c r="I979" s="21">
        <f t="shared" si="83"/>
        <v>0</v>
      </c>
      <c r="J979" s="22" t="e">
        <f>VLOOKUP($A979, TAB_JUROS_C[[DIAS_CORRIDOS]:[V_FUT_UTEIS]], J$5, FALSE)</f>
        <v>#N/A</v>
      </c>
      <c r="K979" s="22" t="e">
        <f>VLOOKUP($A979, TAB_CORRECAO_C[[DIAS_CORRIDOS]:[V_FUT_UTEIS]],K$5, FALSE)</f>
        <v>#N/A</v>
      </c>
      <c r="L979" s="22" t="e">
        <f>VLOOKUP($A979, TAB_AMORTIZACAO_C[[DIAS_CORRIDOS]:[V_FUT_UTEIS]], L$5, FALSE)</f>
        <v>#N/A</v>
      </c>
    </row>
    <row r="980" spans="1:12" hidden="1">
      <c r="A980" s="19">
        <f t="shared" si="84"/>
        <v>974</v>
      </c>
      <c r="B980" s="20">
        <f t="shared" si="80"/>
        <v>0</v>
      </c>
      <c r="C980" s="21">
        <f t="shared" si="81"/>
        <v>0</v>
      </c>
      <c r="D980" s="22" t="e">
        <f>VLOOKUP($A980, TAB_JUROS_U[[Q_DIAS_U_PARC_TIR]:[V_FUT_U_JURS CENARIO]], D$5, FALSE)</f>
        <v>#N/A</v>
      </c>
      <c r="E980" s="22" t="e">
        <f>VLOOKUP($A980,TAB_CORRECAO_U[[Q_DIAS_U_PARC_TIR]:[V_FUT_U_CORC-02]],E$5, FALSE)</f>
        <v>#N/A</v>
      </c>
      <c r="F980" s="22" t="e">
        <f>VLOOKUP($A980,TAB_AMORTIZACAO_U[[Q_DIAS_U_PARC_TIR]:[V_FUT_U_PCPL-02]], F$5, FALSE)</f>
        <v>#N/A</v>
      </c>
      <c r="H980" s="20">
        <f t="shared" si="82"/>
        <v>0</v>
      </c>
      <c r="I980" s="21">
        <f t="shared" si="83"/>
        <v>0</v>
      </c>
      <c r="J980" s="22" t="e">
        <f>VLOOKUP($A980, TAB_JUROS_C[[DIAS_CORRIDOS]:[V_FUT_UTEIS]], J$5, FALSE)</f>
        <v>#N/A</v>
      </c>
      <c r="K980" s="22" t="e">
        <f>VLOOKUP($A980, TAB_CORRECAO_C[[DIAS_CORRIDOS]:[V_FUT_UTEIS]],K$5, FALSE)</f>
        <v>#N/A</v>
      </c>
      <c r="L980" s="22" t="e">
        <f>VLOOKUP($A980, TAB_AMORTIZACAO_C[[DIAS_CORRIDOS]:[V_FUT_UTEIS]], L$5, FALSE)</f>
        <v>#N/A</v>
      </c>
    </row>
    <row r="981" spans="1:12">
      <c r="A981" s="19">
        <f t="shared" si="84"/>
        <v>975</v>
      </c>
      <c r="B981" s="20">
        <f t="shared" si="80"/>
        <v>941.43271589753749</v>
      </c>
      <c r="C981" s="21">
        <f t="shared" si="81"/>
        <v>941.43271589753749</v>
      </c>
      <c r="D981" s="22">
        <f>VLOOKUP($A981, TAB_JUROS_U[[Q_DIAS_U_PARC_TIR]:[V_FUT_U_JURS CENARIO]], D$5, FALSE)</f>
        <v>76.143801931813343</v>
      </c>
      <c r="E981" s="22">
        <f>VLOOKUP($A981,TAB_CORRECAO_U[[Q_DIAS_U_PARC_TIR]:[V_FUT_U_CORC-02]],E$5, FALSE)</f>
        <v>463.10498835262354</v>
      </c>
      <c r="F981" s="22">
        <f>VLOOKUP($A981,TAB_AMORTIZACAO_U[[Q_DIAS_U_PARC_TIR]:[V_FUT_U_PCPL-02]], F$5, FALSE)</f>
        <v>402.1839256131006</v>
      </c>
      <c r="H981" s="20">
        <f t="shared" si="82"/>
        <v>0</v>
      </c>
      <c r="I981" s="21">
        <f t="shared" si="83"/>
        <v>0</v>
      </c>
      <c r="J981" s="22" t="e">
        <f>VLOOKUP($A981, TAB_JUROS_C[[DIAS_CORRIDOS]:[V_FUT_UTEIS]], J$5, FALSE)</f>
        <v>#N/A</v>
      </c>
      <c r="K981" s="22" t="e">
        <f>VLOOKUP($A981, TAB_CORRECAO_C[[DIAS_CORRIDOS]:[V_FUT_UTEIS]],K$5, FALSE)</f>
        <v>#N/A</v>
      </c>
      <c r="L981" s="22" t="e">
        <f>VLOOKUP($A981, TAB_AMORTIZACAO_C[[DIAS_CORRIDOS]:[V_FUT_UTEIS]], L$5, FALSE)</f>
        <v>#N/A</v>
      </c>
    </row>
    <row r="982" spans="1:12" hidden="1">
      <c r="A982" s="19">
        <f t="shared" si="84"/>
        <v>976</v>
      </c>
      <c r="B982" s="20">
        <f t="shared" si="80"/>
        <v>0</v>
      </c>
      <c r="C982" s="21">
        <f t="shared" si="81"/>
        <v>0</v>
      </c>
      <c r="D982" s="22" t="e">
        <f>VLOOKUP($A982, TAB_JUROS_U[[Q_DIAS_U_PARC_TIR]:[V_FUT_U_JURS CENARIO]], D$5, FALSE)</f>
        <v>#N/A</v>
      </c>
      <c r="E982" s="22" t="e">
        <f>VLOOKUP($A982,TAB_CORRECAO_U[[Q_DIAS_U_PARC_TIR]:[V_FUT_U_CORC-02]],E$5, FALSE)</f>
        <v>#N/A</v>
      </c>
      <c r="F982" s="22" t="e">
        <f>VLOOKUP($A982,TAB_AMORTIZACAO_U[[Q_DIAS_U_PARC_TIR]:[V_FUT_U_PCPL-02]], F$5, FALSE)</f>
        <v>#N/A</v>
      </c>
      <c r="H982" s="20">
        <f t="shared" si="82"/>
        <v>0</v>
      </c>
      <c r="I982" s="21">
        <f t="shared" si="83"/>
        <v>0</v>
      </c>
      <c r="J982" s="22" t="e">
        <f>VLOOKUP($A982, TAB_JUROS_C[[DIAS_CORRIDOS]:[V_FUT_UTEIS]], J$5, FALSE)</f>
        <v>#N/A</v>
      </c>
      <c r="K982" s="22" t="e">
        <f>VLOOKUP($A982, TAB_CORRECAO_C[[DIAS_CORRIDOS]:[V_FUT_UTEIS]],K$5, FALSE)</f>
        <v>#N/A</v>
      </c>
      <c r="L982" s="22" t="e">
        <f>VLOOKUP($A982, TAB_AMORTIZACAO_C[[DIAS_CORRIDOS]:[V_FUT_UTEIS]], L$5, FALSE)</f>
        <v>#N/A</v>
      </c>
    </row>
    <row r="983" spans="1:12" hidden="1">
      <c r="A983" s="19">
        <f t="shared" si="84"/>
        <v>977</v>
      </c>
      <c r="B983" s="20">
        <f t="shared" si="80"/>
        <v>0</v>
      </c>
      <c r="C983" s="21">
        <f t="shared" si="81"/>
        <v>0</v>
      </c>
      <c r="D983" s="22" t="e">
        <f>VLOOKUP($A983, TAB_JUROS_U[[Q_DIAS_U_PARC_TIR]:[V_FUT_U_JURS CENARIO]], D$5, FALSE)</f>
        <v>#N/A</v>
      </c>
      <c r="E983" s="22" t="e">
        <f>VLOOKUP($A983,TAB_CORRECAO_U[[Q_DIAS_U_PARC_TIR]:[V_FUT_U_CORC-02]],E$5, FALSE)</f>
        <v>#N/A</v>
      </c>
      <c r="F983" s="22" t="e">
        <f>VLOOKUP($A983,TAB_AMORTIZACAO_U[[Q_DIAS_U_PARC_TIR]:[V_FUT_U_PCPL-02]], F$5, FALSE)</f>
        <v>#N/A</v>
      </c>
      <c r="H983" s="20">
        <f t="shared" si="82"/>
        <v>0</v>
      </c>
      <c r="I983" s="21">
        <f t="shared" si="83"/>
        <v>0</v>
      </c>
      <c r="J983" s="22" t="e">
        <f>VLOOKUP($A983, TAB_JUROS_C[[DIAS_CORRIDOS]:[V_FUT_UTEIS]], J$5, FALSE)</f>
        <v>#N/A</v>
      </c>
      <c r="K983" s="22" t="e">
        <f>VLOOKUP($A983, TAB_CORRECAO_C[[DIAS_CORRIDOS]:[V_FUT_UTEIS]],K$5, FALSE)</f>
        <v>#N/A</v>
      </c>
      <c r="L983" s="22" t="e">
        <f>VLOOKUP($A983, TAB_AMORTIZACAO_C[[DIAS_CORRIDOS]:[V_FUT_UTEIS]], L$5, FALSE)</f>
        <v>#N/A</v>
      </c>
    </row>
    <row r="984" spans="1:12" hidden="1">
      <c r="A984" s="19">
        <f t="shared" si="84"/>
        <v>978</v>
      </c>
      <c r="B984" s="20">
        <f t="shared" si="80"/>
        <v>0</v>
      </c>
      <c r="C984" s="21">
        <f t="shared" si="81"/>
        <v>0</v>
      </c>
      <c r="D984" s="22" t="e">
        <f>VLOOKUP($A984, TAB_JUROS_U[[Q_DIAS_U_PARC_TIR]:[V_FUT_U_JURS CENARIO]], D$5, FALSE)</f>
        <v>#N/A</v>
      </c>
      <c r="E984" s="22" t="e">
        <f>VLOOKUP($A984,TAB_CORRECAO_U[[Q_DIAS_U_PARC_TIR]:[V_FUT_U_CORC-02]],E$5, FALSE)</f>
        <v>#N/A</v>
      </c>
      <c r="F984" s="22" t="e">
        <f>VLOOKUP($A984,TAB_AMORTIZACAO_U[[Q_DIAS_U_PARC_TIR]:[V_FUT_U_PCPL-02]], F$5, FALSE)</f>
        <v>#N/A</v>
      </c>
      <c r="H984" s="20">
        <f t="shared" si="82"/>
        <v>0</v>
      </c>
      <c r="I984" s="21">
        <f t="shared" si="83"/>
        <v>0</v>
      </c>
      <c r="J984" s="22" t="e">
        <f>VLOOKUP($A984, TAB_JUROS_C[[DIAS_CORRIDOS]:[V_FUT_UTEIS]], J$5, FALSE)</f>
        <v>#N/A</v>
      </c>
      <c r="K984" s="22" t="e">
        <f>VLOOKUP($A984, TAB_CORRECAO_C[[DIAS_CORRIDOS]:[V_FUT_UTEIS]],K$5, FALSE)</f>
        <v>#N/A</v>
      </c>
      <c r="L984" s="22" t="e">
        <f>VLOOKUP($A984, TAB_AMORTIZACAO_C[[DIAS_CORRIDOS]:[V_FUT_UTEIS]], L$5, FALSE)</f>
        <v>#N/A</v>
      </c>
    </row>
    <row r="985" spans="1:12" hidden="1">
      <c r="A985" s="19">
        <f t="shared" si="84"/>
        <v>979</v>
      </c>
      <c r="B985" s="20">
        <f t="shared" si="80"/>
        <v>0</v>
      </c>
      <c r="C985" s="21">
        <f t="shared" si="81"/>
        <v>0</v>
      </c>
      <c r="D985" s="22" t="e">
        <f>VLOOKUP($A985, TAB_JUROS_U[[Q_DIAS_U_PARC_TIR]:[V_FUT_U_JURS CENARIO]], D$5, FALSE)</f>
        <v>#N/A</v>
      </c>
      <c r="E985" s="22" t="e">
        <f>VLOOKUP($A985,TAB_CORRECAO_U[[Q_DIAS_U_PARC_TIR]:[V_FUT_U_CORC-02]],E$5, FALSE)</f>
        <v>#N/A</v>
      </c>
      <c r="F985" s="22" t="e">
        <f>VLOOKUP($A985,TAB_AMORTIZACAO_U[[Q_DIAS_U_PARC_TIR]:[V_FUT_U_PCPL-02]], F$5, FALSE)</f>
        <v>#N/A</v>
      </c>
      <c r="H985" s="20">
        <f t="shared" si="82"/>
        <v>0</v>
      </c>
      <c r="I985" s="21">
        <f t="shared" si="83"/>
        <v>0</v>
      </c>
      <c r="J985" s="22" t="e">
        <f>VLOOKUP($A985, TAB_JUROS_C[[DIAS_CORRIDOS]:[V_FUT_UTEIS]], J$5, FALSE)</f>
        <v>#N/A</v>
      </c>
      <c r="K985" s="22" t="e">
        <f>VLOOKUP($A985, TAB_CORRECAO_C[[DIAS_CORRIDOS]:[V_FUT_UTEIS]],K$5, FALSE)</f>
        <v>#N/A</v>
      </c>
      <c r="L985" s="22" t="e">
        <f>VLOOKUP($A985, TAB_AMORTIZACAO_C[[DIAS_CORRIDOS]:[V_FUT_UTEIS]], L$5, FALSE)</f>
        <v>#N/A</v>
      </c>
    </row>
    <row r="986" spans="1:12" hidden="1">
      <c r="A986" s="19">
        <f t="shared" si="84"/>
        <v>980</v>
      </c>
      <c r="B986" s="20">
        <f t="shared" si="80"/>
        <v>0</v>
      </c>
      <c r="C986" s="21">
        <f t="shared" si="81"/>
        <v>0</v>
      </c>
      <c r="D986" s="22" t="e">
        <f>VLOOKUP($A986, TAB_JUROS_U[[Q_DIAS_U_PARC_TIR]:[V_FUT_U_JURS CENARIO]], D$5, FALSE)</f>
        <v>#N/A</v>
      </c>
      <c r="E986" s="22" t="e">
        <f>VLOOKUP($A986,TAB_CORRECAO_U[[Q_DIAS_U_PARC_TIR]:[V_FUT_U_CORC-02]],E$5, FALSE)</f>
        <v>#N/A</v>
      </c>
      <c r="F986" s="22" t="e">
        <f>VLOOKUP($A986,TAB_AMORTIZACAO_U[[Q_DIAS_U_PARC_TIR]:[V_FUT_U_PCPL-02]], F$5, FALSE)</f>
        <v>#N/A</v>
      </c>
      <c r="H986" s="20">
        <f t="shared" si="82"/>
        <v>0</v>
      </c>
      <c r="I986" s="21">
        <f t="shared" si="83"/>
        <v>0</v>
      </c>
      <c r="J986" s="22" t="e">
        <f>VLOOKUP($A986, TAB_JUROS_C[[DIAS_CORRIDOS]:[V_FUT_UTEIS]], J$5, FALSE)</f>
        <v>#N/A</v>
      </c>
      <c r="K986" s="22" t="e">
        <f>VLOOKUP($A986, TAB_CORRECAO_C[[DIAS_CORRIDOS]:[V_FUT_UTEIS]],K$5, FALSE)</f>
        <v>#N/A</v>
      </c>
      <c r="L986" s="22" t="e">
        <f>VLOOKUP($A986, TAB_AMORTIZACAO_C[[DIAS_CORRIDOS]:[V_FUT_UTEIS]], L$5, FALSE)</f>
        <v>#N/A</v>
      </c>
    </row>
    <row r="987" spans="1:12" hidden="1">
      <c r="A987" s="19">
        <f t="shared" si="84"/>
        <v>981</v>
      </c>
      <c r="B987" s="20">
        <f t="shared" si="80"/>
        <v>0</v>
      </c>
      <c r="C987" s="21">
        <f t="shared" si="81"/>
        <v>0</v>
      </c>
      <c r="D987" s="22" t="e">
        <f>VLOOKUP($A987, TAB_JUROS_U[[Q_DIAS_U_PARC_TIR]:[V_FUT_U_JURS CENARIO]], D$5, FALSE)</f>
        <v>#N/A</v>
      </c>
      <c r="E987" s="22" t="e">
        <f>VLOOKUP($A987,TAB_CORRECAO_U[[Q_DIAS_U_PARC_TIR]:[V_FUT_U_CORC-02]],E$5, FALSE)</f>
        <v>#N/A</v>
      </c>
      <c r="F987" s="22" t="e">
        <f>VLOOKUP($A987,TAB_AMORTIZACAO_U[[Q_DIAS_U_PARC_TIR]:[V_FUT_U_PCPL-02]], F$5, FALSE)</f>
        <v>#N/A</v>
      </c>
      <c r="H987" s="20">
        <f t="shared" si="82"/>
        <v>0</v>
      </c>
      <c r="I987" s="21">
        <f t="shared" si="83"/>
        <v>0</v>
      </c>
      <c r="J987" s="22" t="e">
        <f>VLOOKUP($A987, TAB_JUROS_C[[DIAS_CORRIDOS]:[V_FUT_UTEIS]], J$5, FALSE)</f>
        <v>#N/A</v>
      </c>
      <c r="K987" s="22" t="e">
        <f>VLOOKUP($A987, TAB_CORRECAO_C[[DIAS_CORRIDOS]:[V_FUT_UTEIS]],K$5, FALSE)</f>
        <v>#N/A</v>
      </c>
      <c r="L987" s="22" t="e">
        <f>VLOOKUP($A987, TAB_AMORTIZACAO_C[[DIAS_CORRIDOS]:[V_FUT_UTEIS]], L$5, FALSE)</f>
        <v>#N/A</v>
      </c>
    </row>
    <row r="988" spans="1:12" hidden="1">
      <c r="A988" s="19">
        <f t="shared" si="84"/>
        <v>982</v>
      </c>
      <c r="B988" s="20">
        <f t="shared" si="80"/>
        <v>0</v>
      </c>
      <c r="C988" s="21">
        <f t="shared" si="81"/>
        <v>0</v>
      </c>
      <c r="D988" s="22" t="e">
        <f>VLOOKUP($A988, TAB_JUROS_U[[Q_DIAS_U_PARC_TIR]:[V_FUT_U_JURS CENARIO]], D$5, FALSE)</f>
        <v>#N/A</v>
      </c>
      <c r="E988" s="22" t="e">
        <f>VLOOKUP($A988,TAB_CORRECAO_U[[Q_DIAS_U_PARC_TIR]:[V_FUT_U_CORC-02]],E$5, FALSE)</f>
        <v>#N/A</v>
      </c>
      <c r="F988" s="22" t="e">
        <f>VLOOKUP($A988,TAB_AMORTIZACAO_U[[Q_DIAS_U_PARC_TIR]:[V_FUT_U_PCPL-02]], F$5, FALSE)</f>
        <v>#N/A</v>
      </c>
      <c r="H988" s="20">
        <f t="shared" si="82"/>
        <v>0</v>
      </c>
      <c r="I988" s="21">
        <f t="shared" si="83"/>
        <v>0</v>
      </c>
      <c r="J988" s="22" t="e">
        <f>VLOOKUP($A988, TAB_JUROS_C[[DIAS_CORRIDOS]:[V_FUT_UTEIS]], J$5, FALSE)</f>
        <v>#N/A</v>
      </c>
      <c r="K988" s="22" t="e">
        <f>VLOOKUP($A988, TAB_CORRECAO_C[[DIAS_CORRIDOS]:[V_FUT_UTEIS]],K$5, FALSE)</f>
        <v>#N/A</v>
      </c>
      <c r="L988" s="22" t="e">
        <f>VLOOKUP($A988, TAB_AMORTIZACAO_C[[DIAS_CORRIDOS]:[V_FUT_UTEIS]], L$5, FALSE)</f>
        <v>#N/A</v>
      </c>
    </row>
    <row r="989" spans="1:12" hidden="1">
      <c r="A989" s="19">
        <f t="shared" si="84"/>
        <v>983</v>
      </c>
      <c r="B989" s="20">
        <f t="shared" si="80"/>
        <v>0</v>
      </c>
      <c r="C989" s="21">
        <f t="shared" si="81"/>
        <v>0</v>
      </c>
      <c r="D989" s="22" t="e">
        <f>VLOOKUP($A989, TAB_JUROS_U[[Q_DIAS_U_PARC_TIR]:[V_FUT_U_JURS CENARIO]], D$5, FALSE)</f>
        <v>#N/A</v>
      </c>
      <c r="E989" s="22" t="e">
        <f>VLOOKUP($A989,TAB_CORRECAO_U[[Q_DIAS_U_PARC_TIR]:[V_FUT_U_CORC-02]],E$5, FALSE)</f>
        <v>#N/A</v>
      </c>
      <c r="F989" s="22" t="e">
        <f>VLOOKUP($A989,TAB_AMORTIZACAO_U[[Q_DIAS_U_PARC_TIR]:[V_FUT_U_PCPL-02]], F$5, FALSE)</f>
        <v>#N/A</v>
      </c>
      <c r="H989" s="20">
        <f t="shared" si="82"/>
        <v>0</v>
      </c>
      <c r="I989" s="21">
        <f t="shared" si="83"/>
        <v>0</v>
      </c>
      <c r="J989" s="22" t="e">
        <f>VLOOKUP($A989, TAB_JUROS_C[[DIAS_CORRIDOS]:[V_FUT_UTEIS]], J$5, FALSE)</f>
        <v>#N/A</v>
      </c>
      <c r="K989" s="22" t="e">
        <f>VLOOKUP($A989, TAB_CORRECAO_C[[DIAS_CORRIDOS]:[V_FUT_UTEIS]],K$5, FALSE)</f>
        <v>#N/A</v>
      </c>
      <c r="L989" s="22" t="e">
        <f>VLOOKUP($A989, TAB_AMORTIZACAO_C[[DIAS_CORRIDOS]:[V_FUT_UTEIS]], L$5, FALSE)</f>
        <v>#N/A</v>
      </c>
    </row>
    <row r="990" spans="1:12" hidden="1">
      <c r="A990" s="19">
        <f t="shared" si="84"/>
        <v>984</v>
      </c>
      <c r="B990" s="20">
        <f t="shared" si="80"/>
        <v>0</v>
      </c>
      <c r="C990" s="21">
        <f t="shared" si="81"/>
        <v>0</v>
      </c>
      <c r="D990" s="22" t="e">
        <f>VLOOKUP($A990, TAB_JUROS_U[[Q_DIAS_U_PARC_TIR]:[V_FUT_U_JURS CENARIO]], D$5, FALSE)</f>
        <v>#N/A</v>
      </c>
      <c r="E990" s="22" t="e">
        <f>VLOOKUP($A990,TAB_CORRECAO_U[[Q_DIAS_U_PARC_TIR]:[V_FUT_U_CORC-02]],E$5, FALSE)</f>
        <v>#N/A</v>
      </c>
      <c r="F990" s="22" t="e">
        <f>VLOOKUP($A990,TAB_AMORTIZACAO_U[[Q_DIAS_U_PARC_TIR]:[V_FUT_U_PCPL-02]], F$5, FALSE)</f>
        <v>#N/A</v>
      </c>
      <c r="H990" s="20">
        <f t="shared" si="82"/>
        <v>0</v>
      </c>
      <c r="I990" s="21">
        <f t="shared" si="83"/>
        <v>0</v>
      </c>
      <c r="J990" s="22" t="e">
        <f>VLOOKUP($A990, TAB_JUROS_C[[DIAS_CORRIDOS]:[V_FUT_UTEIS]], J$5, FALSE)</f>
        <v>#N/A</v>
      </c>
      <c r="K990" s="22" t="e">
        <f>VLOOKUP($A990, TAB_CORRECAO_C[[DIAS_CORRIDOS]:[V_FUT_UTEIS]],K$5, FALSE)</f>
        <v>#N/A</v>
      </c>
      <c r="L990" s="22" t="e">
        <f>VLOOKUP($A990, TAB_AMORTIZACAO_C[[DIAS_CORRIDOS]:[V_FUT_UTEIS]], L$5, FALSE)</f>
        <v>#N/A</v>
      </c>
    </row>
    <row r="991" spans="1:12" hidden="1">
      <c r="A991" s="19">
        <f t="shared" si="84"/>
        <v>985</v>
      </c>
      <c r="B991" s="20">
        <f t="shared" si="80"/>
        <v>0</v>
      </c>
      <c r="C991" s="21">
        <f t="shared" si="81"/>
        <v>0</v>
      </c>
      <c r="D991" s="22" t="e">
        <f>VLOOKUP($A991, TAB_JUROS_U[[Q_DIAS_U_PARC_TIR]:[V_FUT_U_JURS CENARIO]], D$5, FALSE)</f>
        <v>#N/A</v>
      </c>
      <c r="E991" s="22" t="e">
        <f>VLOOKUP($A991,TAB_CORRECAO_U[[Q_DIAS_U_PARC_TIR]:[V_FUT_U_CORC-02]],E$5, FALSE)</f>
        <v>#N/A</v>
      </c>
      <c r="F991" s="22" t="e">
        <f>VLOOKUP($A991,TAB_AMORTIZACAO_U[[Q_DIAS_U_PARC_TIR]:[V_FUT_U_PCPL-02]], F$5, FALSE)</f>
        <v>#N/A</v>
      </c>
      <c r="H991" s="20">
        <f t="shared" si="82"/>
        <v>0</v>
      </c>
      <c r="I991" s="21">
        <f t="shared" si="83"/>
        <v>0</v>
      </c>
      <c r="J991" s="22" t="e">
        <f>VLOOKUP($A991, TAB_JUROS_C[[DIAS_CORRIDOS]:[V_FUT_UTEIS]], J$5, FALSE)</f>
        <v>#N/A</v>
      </c>
      <c r="K991" s="22" t="e">
        <f>VLOOKUP($A991, TAB_CORRECAO_C[[DIAS_CORRIDOS]:[V_FUT_UTEIS]],K$5, FALSE)</f>
        <v>#N/A</v>
      </c>
      <c r="L991" s="22" t="e">
        <f>VLOOKUP($A991, TAB_AMORTIZACAO_C[[DIAS_CORRIDOS]:[V_FUT_UTEIS]], L$5, FALSE)</f>
        <v>#N/A</v>
      </c>
    </row>
    <row r="992" spans="1:12" hidden="1">
      <c r="A992" s="19">
        <f t="shared" si="84"/>
        <v>986</v>
      </c>
      <c r="B992" s="20">
        <f t="shared" si="80"/>
        <v>0</v>
      </c>
      <c r="C992" s="21">
        <f t="shared" si="81"/>
        <v>0</v>
      </c>
      <c r="D992" s="22" t="e">
        <f>VLOOKUP($A992, TAB_JUROS_U[[Q_DIAS_U_PARC_TIR]:[V_FUT_U_JURS CENARIO]], D$5, FALSE)</f>
        <v>#N/A</v>
      </c>
      <c r="E992" s="22" t="e">
        <f>VLOOKUP($A992,TAB_CORRECAO_U[[Q_DIAS_U_PARC_TIR]:[V_FUT_U_CORC-02]],E$5, FALSE)</f>
        <v>#N/A</v>
      </c>
      <c r="F992" s="22" t="e">
        <f>VLOOKUP($A992,TAB_AMORTIZACAO_U[[Q_DIAS_U_PARC_TIR]:[V_FUT_U_PCPL-02]], F$5, FALSE)</f>
        <v>#N/A</v>
      </c>
      <c r="H992" s="20">
        <f t="shared" si="82"/>
        <v>0</v>
      </c>
      <c r="I992" s="21">
        <f t="shared" si="83"/>
        <v>0</v>
      </c>
      <c r="J992" s="22" t="e">
        <f>VLOOKUP($A992, TAB_JUROS_C[[DIAS_CORRIDOS]:[V_FUT_UTEIS]], J$5, FALSE)</f>
        <v>#N/A</v>
      </c>
      <c r="K992" s="22" t="e">
        <f>VLOOKUP($A992, TAB_CORRECAO_C[[DIAS_CORRIDOS]:[V_FUT_UTEIS]],K$5, FALSE)</f>
        <v>#N/A</v>
      </c>
      <c r="L992" s="22" t="e">
        <f>VLOOKUP($A992, TAB_AMORTIZACAO_C[[DIAS_CORRIDOS]:[V_FUT_UTEIS]], L$5, FALSE)</f>
        <v>#N/A</v>
      </c>
    </row>
    <row r="993" spans="1:12" hidden="1">
      <c r="A993" s="19">
        <f t="shared" si="84"/>
        <v>987</v>
      </c>
      <c r="B993" s="20">
        <f t="shared" si="80"/>
        <v>0</v>
      </c>
      <c r="C993" s="21">
        <f t="shared" si="81"/>
        <v>0</v>
      </c>
      <c r="D993" s="22" t="e">
        <f>VLOOKUP($A993, TAB_JUROS_U[[Q_DIAS_U_PARC_TIR]:[V_FUT_U_JURS CENARIO]], D$5, FALSE)</f>
        <v>#N/A</v>
      </c>
      <c r="E993" s="22" t="e">
        <f>VLOOKUP($A993,TAB_CORRECAO_U[[Q_DIAS_U_PARC_TIR]:[V_FUT_U_CORC-02]],E$5, FALSE)</f>
        <v>#N/A</v>
      </c>
      <c r="F993" s="22" t="e">
        <f>VLOOKUP($A993,TAB_AMORTIZACAO_U[[Q_DIAS_U_PARC_TIR]:[V_FUT_U_PCPL-02]], F$5, FALSE)</f>
        <v>#N/A</v>
      </c>
      <c r="H993" s="20">
        <f t="shared" si="82"/>
        <v>0</v>
      </c>
      <c r="I993" s="21">
        <f t="shared" si="83"/>
        <v>0</v>
      </c>
      <c r="J993" s="22" t="e">
        <f>VLOOKUP($A993, TAB_JUROS_C[[DIAS_CORRIDOS]:[V_FUT_UTEIS]], J$5, FALSE)</f>
        <v>#N/A</v>
      </c>
      <c r="K993" s="22" t="e">
        <f>VLOOKUP($A993, TAB_CORRECAO_C[[DIAS_CORRIDOS]:[V_FUT_UTEIS]],K$5, FALSE)</f>
        <v>#N/A</v>
      </c>
      <c r="L993" s="22" t="e">
        <f>VLOOKUP($A993, TAB_AMORTIZACAO_C[[DIAS_CORRIDOS]:[V_FUT_UTEIS]], L$5, FALSE)</f>
        <v>#N/A</v>
      </c>
    </row>
    <row r="994" spans="1:12" hidden="1">
      <c r="A994" s="19">
        <f t="shared" si="84"/>
        <v>988</v>
      </c>
      <c r="B994" s="20">
        <f t="shared" si="80"/>
        <v>0</v>
      </c>
      <c r="C994" s="21">
        <f t="shared" si="81"/>
        <v>0</v>
      </c>
      <c r="D994" s="22" t="e">
        <f>VLOOKUP($A994, TAB_JUROS_U[[Q_DIAS_U_PARC_TIR]:[V_FUT_U_JURS CENARIO]], D$5, FALSE)</f>
        <v>#N/A</v>
      </c>
      <c r="E994" s="22" t="e">
        <f>VLOOKUP($A994,TAB_CORRECAO_U[[Q_DIAS_U_PARC_TIR]:[V_FUT_U_CORC-02]],E$5, FALSE)</f>
        <v>#N/A</v>
      </c>
      <c r="F994" s="22" t="e">
        <f>VLOOKUP($A994,TAB_AMORTIZACAO_U[[Q_DIAS_U_PARC_TIR]:[V_FUT_U_PCPL-02]], F$5, FALSE)</f>
        <v>#N/A</v>
      </c>
      <c r="H994" s="20">
        <f t="shared" si="82"/>
        <v>1313.7166825475515</v>
      </c>
      <c r="I994" s="21">
        <f t="shared" si="83"/>
        <v>1313.7166825475515</v>
      </c>
      <c r="J994" s="22">
        <f>VLOOKUP($A994, TAB_JUROS_C[[DIAS_CORRIDOS]:[V_FUT_UTEIS]], J$5, FALSE)</f>
        <v>107.78116040655489</v>
      </c>
      <c r="K994" s="22">
        <f>VLOOKUP($A994, TAB_CORRECAO_C[[DIAS_CORRIDOS]:[V_FUT_UTEIS]],K$5, FALSE)</f>
        <v>684.12522486340868</v>
      </c>
      <c r="L994" s="22">
        <f>VLOOKUP($A994, TAB_AMORTIZACAO_C[[DIAS_CORRIDOS]:[V_FUT_UTEIS]], L$5, FALSE)</f>
        <v>521.81029727758801</v>
      </c>
    </row>
    <row r="995" spans="1:12" hidden="1">
      <c r="A995" s="19">
        <f t="shared" si="84"/>
        <v>989</v>
      </c>
      <c r="B995" s="20">
        <f t="shared" si="80"/>
        <v>0</v>
      </c>
      <c r="C995" s="21">
        <f t="shared" si="81"/>
        <v>0</v>
      </c>
      <c r="D995" s="22" t="e">
        <f>VLOOKUP($A995, TAB_JUROS_U[[Q_DIAS_U_PARC_TIR]:[V_FUT_U_JURS CENARIO]], D$5, FALSE)</f>
        <v>#N/A</v>
      </c>
      <c r="E995" s="22" t="e">
        <f>VLOOKUP($A995,TAB_CORRECAO_U[[Q_DIAS_U_PARC_TIR]:[V_FUT_U_CORC-02]],E$5, FALSE)</f>
        <v>#N/A</v>
      </c>
      <c r="F995" s="22" t="e">
        <f>VLOOKUP($A995,TAB_AMORTIZACAO_U[[Q_DIAS_U_PARC_TIR]:[V_FUT_U_PCPL-02]], F$5, FALSE)</f>
        <v>#N/A</v>
      </c>
      <c r="H995" s="20">
        <f t="shared" si="82"/>
        <v>0</v>
      </c>
      <c r="I995" s="21">
        <f t="shared" si="83"/>
        <v>0</v>
      </c>
      <c r="J995" s="22" t="e">
        <f>VLOOKUP($A995, TAB_JUROS_C[[DIAS_CORRIDOS]:[V_FUT_UTEIS]], J$5, FALSE)</f>
        <v>#N/A</v>
      </c>
      <c r="K995" s="22" t="e">
        <f>VLOOKUP($A995, TAB_CORRECAO_C[[DIAS_CORRIDOS]:[V_FUT_UTEIS]],K$5, FALSE)</f>
        <v>#N/A</v>
      </c>
      <c r="L995" s="22" t="e">
        <f>VLOOKUP($A995, TAB_AMORTIZACAO_C[[DIAS_CORRIDOS]:[V_FUT_UTEIS]], L$5, FALSE)</f>
        <v>#N/A</v>
      </c>
    </row>
    <row r="996" spans="1:12" hidden="1">
      <c r="A996" s="19">
        <f t="shared" si="84"/>
        <v>990</v>
      </c>
      <c r="B996" s="20">
        <f t="shared" si="80"/>
        <v>0</v>
      </c>
      <c r="C996" s="21">
        <f t="shared" si="81"/>
        <v>0</v>
      </c>
      <c r="D996" s="22" t="e">
        <f>VLOOKUP($A996, TAB_JUROS_U[[Q_DIAS_U_PARC_TIR]:[V_FUT_U_JURS CENARIO]], D$5, FALSE)</f>
        <v>#N/A</v>
      </c>
      <c r="E996" s="22" t="e">
        <f>VLOOKUP($A996,TAB_CORRECAO_U[[Q_DIAS_U_PARC_TIR]:[V_FUT_U_CORC-02]],E$5, FALSE)</f>
        <v>#N/A</v>
      </c>
      <c r="F996" s="22" t="e">
        <f>VLOOKUP($A996,TAB_AMORTIZACAO_U[[Q_DIAS_U_PARC_TIR]:[V_FUT_U_PCPL-02]], F$5, FALSE)</f>
        <v>#N/A</v>
      </c>
      <c r="H996" s="20">
        <f t="shared" si="82"/>
        <v>0</v>
      </c>
      <c r="I996" s="21">
        <f t="shared" si="83"/>
        <v>0</v>
      </c>
      <c r="J996" s="22" t="e">
        <f>VLOOKUP($A996, TAB_JUROS_C[[DIAS_CORRIDOS]:[V_FUT_UTEIS]], J$5, FALSE)</f>
        <v>#N/A</v>
      </c>
      <c r="K996" s="22" t="e">
        <f>VLOOKUP($A996, TAB_CORRECAO_C[[DIAS_CORRIDOS]:[V_FUT_UTEIS]],K$5, FALSE)</f>
        <v>#N/A</v>
      </c>
      <c r="L996" s="22" t="e">
        <f>VLOOKUP($A996, TAB_AMORTIZACAO_C[[DIAS_CORRIDOS]:[V_FUT_UTEIS]], L$5, FALSE)</f>
        <v>#N/A</v>
      </c>
    </row>
    <row r="997" spans="1:12" hidden="1">
      <c r="A997" s="19">
        <f t="shared" si="84"/>
        <v>991</v>
      </c>
      <c r="B997" s="20">
        <f t="shared" si="80"/>
        <v>0</v>
      </c>
      <c r="C997" s="21">
        <f t="shared" si="81"/>
        <v>0</v>
      </c>
      <c r="D997" s="22" t="e">
        <f>VLOOKUP($A997, TAB_JUROS_U[[Q_DIAS_U_PARC_TIR]:[V_FUT_U_JURS CENARIO]], D$5, FALSE)</f>
        <v>#N/A</v>
      </c>
      <c r="E997" s="22" t="e">
        <f>VLOOKUP($A997,TAB_CORRECAO_U[[Q_DIAS_U_PARC_TIR]:[V_FUT_U_CORC-02]],E$5, FALSE)</f>
        <v>#N/A</v>
      </c>
      <c r="F997" s="22" t="e">
        <f>VLOOKUP($A997,TAB_AMORTIZACAO_U[[Q_DIAS_U_PARC_TIR]:[V_FUT_U_PCPL-02]], F$5, FALSE)</f>
        <v>#N/A</v>
      </c>
      <c r="H997" s="20">
        <f t="shared" si="82"/>
        <v>0</v>
      </c>
      <c r="I997" s="21">
        <f t="shared" si="83"/>
        <v>0</v>
      </c>
      <c r="J997" s="22" t="e">
        <f>VLOOKUP($A997, TAB_JUROS_C[[DIAS_CORRIDOS]:[V_FUT_UTEIS]], J$5, FALSE)</f>
        <v>#N/A</v>
      </c>
      <c r="K997" s="22" t="e">
        <f>VLOOKUP($A997, TAB_CORRECAO_C[[DIAS_CORRIDOS]:[V_FUT_UTEIS]],K$5, FALSE)</f>
        <v>#N/A</v>
      </c>
      <c r="L997" s="22" t="e">
        <f>VLOOKUP($A997, TAB_AMORTIZACAO_C[[DIAS_CORRIDOS]:[V_FUT_UTEIS]], L$5, FALSE)</f>
        <v>#N/A</v>
      </c>
    </row>
    <row r="998" spans="1:12" hidden="1">
      <c r="A998" s="19">
        <f t="shared" si="84"/>
        <v>992</v>
      </c>
      <c r="B998" s="20">
        <f t="shared" si="80"/>
        <v>0</v>
      </c>
      <c r="C998" s="21">
        <f t="shared" si="81"/>
        <v>0</v>
      </c>
      <c r="D998" s="22" t="e">
        <f>VLOOKUP($A998, TAB_JUROS_U[[Q_DIAS_U_PARC_TIR]:[V_FUT_U_JURS CENARIO]], D$5, FALSE)</f>
        <v>#N/A</v>
      </c>
      <c r="E998" s="22" t="e">
        <f>VLOOKUP($A998,TAB_CORRECAO_U[[Q_DIAS_U_PARC_TIR]:[V_FUT_U_CORC-02]],E$5, FALSE)</f>
        <v>#N/A</v>
      </c>
      <c r="F998" s="22" t="e">
        <f>VLOOKUP($A998,TAB_AMORTIZACAO_U[[Q_DIAS_U_PARC_TIR]:[V_FUT_U_PCPL-02]], F$5, FALSE)</f>
        <v>#N/A</v>
      </c>
      <c r="H998" s="20">
        <f t="shared" si="82"/>
        <v>0</v>
      </c>
      <c r="I998" s="21">
        <f t="shared" si="83"/>
        <v>0</v>
      </c>
      <c r="J998" s="22" t="e">
        <f>VLOOKUP($A998, TAB_JUROS_C[[DIAS_CORRIDOS]:[V_FUT_UTEIS]], J$5, FALSE)</f>
        <v>#N/A</v>
      </c>
      <c r="K998" s="22" t="e">
        <f>VLOOKUP($A998, TAB_CORRECAO_C[[DIAS_CORRIDOS]:[V_FUT_UTEIS]],K$5, FALSE)</f>
        <v>#N/A</v>
      </c>
      <c r="L998" s="22" t="e">
        <f>VLOOKUP($A998, TAB_AMORTIZACAO_C[[DIAS_CORRIDOS]:[V_FUT_UTEIS]], L$5, FALSE)</f>
        <v>#N/A</v>
      </c>
    </row>
    <row r="999" spans="1:12" hidden="1">
      <c r="A999" s="19">
        <f t="shared" si="84"/>
        <v>993</v>
      </c>
      <c r="B999" s="20">
        <f t="shared" si="80"/>
        <v>0</v>
      </c>
      <c r="C999" s="21">
        <f t="shared" si="81"/>
        <v>0</v>
      </c>
      <c r="D999" s="22" t="e">
        <f>VLOOKUP($A999, TAB_JUROS_U[[Q_DIAS_U_PARC_TIR]:[V_FUT_U_JURS CENARIO]], D$5, FALSE)</f>
        <v>#N/A</v>
      </c>
      <c r="E999" s="22" t="e">
        <f>VLOOKUP($A999,TAB_CORRECAO_U[[Q_DIAS_U_PARC_TIR]:[V_FUT_U_CORC-02]],E$5, FALSE)</f>
        <v>#N/A</v>
      </c>
      <c r="F999" s="22" t="e">
        <f>VLOOKUP($A999,TAB_AMORTIZACAO_U[[Q_DIAS_U_PARC_TIR]:[V_FUT_U_PCPL-02]], F$5, FALSE)</f>
        <v>#N/A</v>
      </c>
      <c r="H999" s="20">
        <f t="shared" si="82"/>
        <v>0</v>
      </c>
      <c r="I999" s="21">
        <f t="shared" si="83"/>
        <v>0</v>
      </c>
      <c r="J999" s="22" t="e">
        <f>VLOOKUP($A999, TAB_JUROS_C[[DIAS_CORRIDOS]:[V_FUT_UTEIS]], J$5, FALSE)</f>
        <v>#N/A</v>
      </c>
      <c r="K999" s="22" t="e">
        <f>VLOOKUP($A999, TAB_CORRECAO_C[[DIAS_CORRIDOS]:[V_FUT_UTEIS]],K$5, FALSE)</f>
        <v>#N/A</v>
      </c>
      <c r="L999" s="22" t="e">
        <f>VLOOKUP($A999, TAB_AMORTIZACAO_C[[DIAS_CORRIDOS]:[V_FUT_UTEIS]], L$5, FALSE)</f>
        <v>#N/A</v>
      </c>
    </row>
    <row r="1000" spans="1:12" hidden="1">
      <c r="A1000" s="19">
        <f t="shared" si="84"/>
        <v>994</v>
      </c>
      <c r="B1000" s="20">
        <f t="shared" si="80"/>
        <v>0</v>
      </c>
      <c r="C1000" s="21">
        <f t="shared" si="81"/>
        <v>0</v>
      </c>
      <c r="D1000" s="22" t="e">
        <f>VLOOKUP($A1000, TAB_JUROS_U[[Q_DIAS_U_PARC_TIR]:[V_FUT_U_JURS CENARIO]], D$5, FALSE)</f>
        <v>#N/A</v>
      </c>
      <c r="E1000" s="22" t="e">
        <f>VLOOKUP($A1000,TAB_CORRECAO_U[[Q_DIAS_U_PARC_TIR]:[V_FUT_U_CORC-02]],E$5, FALSE)</f>
        <v>#N/A</v>
      </c>
      <c r="F1000" s="22" t="e">
        <f>VLOOKUP($A1000,TAB_AMORTIZACAO_U[[Q_DIAS_U_PARC_TIR]:[V_FUT_U_PCPL-02]], F$5, FALSE)</f>
        <v>#N/A</v>
      </c>
      <c r="H1000" s="20">
        <f t="shared" si="82"/>
        <v>0</v>
      </c>
      <c r="I1000" s="21">
        <f t="shared" si="83"/>
        <v>0</v>
      </c>
      <c r="J1000" s="22" t="e">
        <f>VLOOKUP($A1000, TAB_JUROS_C[[DIAS_CORRIDOS]:[V_FUT_UTEIS]], J$5, FALSE)</f>
        <v>#N/A</v>
      </c>
      <c r="K1000" s="22" t="e">
        <f>VLOOKUP($A1000, TAB_CORRECAO_C[[DIAS_CORRIDOS]:[V_FUT_UTEIS]],K$5, FALSE)</f>
        <v>#N/A</v>
      </c>
      <c r="L1000" s="22" t="e">
        <f>VLOOKUP($A1000, TAB_AMORTIZACAO_C[[DIAS_CORRIDOS]:[V_FUT_UTEIS]], L$5, FALSE)</f>
        <v>#N/A</v>
      </c>
    </row>
    <row r="1001" spans="1:12">
      <c r="A1001" s="19">
        <f t="shared" si="84"/>
        <v>995</v>
      </c>
      <c r="B1001" s="20">
        <f t="shared" si="80"/>
        <v>859.68445877945931</v>
      </c>
      <c r="C1001" s="21">
        <f t="shared" si="81"/>
        <v>859.68445877945931</v>
      </c>
      <c r="D1001" s="22">
        <f>VLOOKUP($A1001, TAB_JUROS_U[[Q_DIAS_U_PARC_TIR]:[V_FUT_U_JURS CENARIO]], D$5, FALSE)</f>
        <v>64.514280843053712</v>
      </c>
      <c r="E1001" s="22">
        <f>VLOOKUP($A1001,TAB_CORRECAO_U[[Q_DIAS_U_PARC_TIR]:[V_FUT_U_CORC-02]],E$5, FALSE)</f>
        <v>392.78542505607709</v>
      </c>
      <c r="F1001" s="22">
        <f>VLOOKUP($A1001,TAB_AMORTIZACAO_U[[Q_DIAS_U_PARC_TIR]:[V_FUT_U_PCPL-02]], F$5, FALSE)</f>
        <v>402.38475288032851</v>
      </c>
      <c r="H1001" s="20">
        <f t="shared" si="82"/>
        <v>0</v>
      </c>
      <c r="I1001" s="21">
        <f t="shared" si="83"/>
        <v>0</v>
      </c>
      <c r="J1001" s="22" t="e">
        <f>VLOOKUP($A1001, TAB_JUROS_C[[DIAS_CORRIDOS]:[V_FUT_UTEIS]], J$5, FALSE)</f>
        <v>#N/A</v>
      </c>
      <c r="K1001" s="22" t="e">
        <f>VLOOKUP($A1001, TAB_CORRECAO_C[[DIAS_CORRIDOS]:[V_FUT_UTEIS]],K$5, FALSE)</f>
        <v>#N/A</v>
      </c>
      <c r="L1001" s="22" t="e">
        <f>VLOOKUP($A1001, TAB_AMORTIZACAO_C[[DIAS_CORRIDOS]:[V_FUT_UTEIS]], L$5, FALSE)</f>
        <v>#N/A</v>
      </c>
    </row>
    <row r="1002" spans="1:12" hidden="1">
      <c r="A1002" s="19">
        <f t="shared" si="84"/>
        <v>996</v>
      </c>
      <c r="B1002" s="20">
        <f t="shared" si="80"/>
        <v>0</v>
      </c>
      <c r="C1002" s="21">
        <f t="shared" si="81"/>
        <v>0</v>
      </c>
      <c r="D1002" s="22" t="e">
        <f>VLOOKUP($A1002, TAB_JUROS_U[[Q_DIAS_U_PARC_TIR]:[V_FUT_U_JURS CENARIO]], D$5, FALSE)</f>
        <v>#N/A</v>
      </c>
      <c r="E1002" s="22" t="e">
        <f>VLOOKUP($A1002,TAB_CORRECAO_U[[Q_DIAS_U_PARC_TIR]:[V_FUT_U_CORC-02]],E$5, FALSE)</f>
        <v>#N/A</v>
      </c>
      <c r="F1002" s="22" t="e">
        <f>VLOOKUP($A1002,TAB_AMORTIZACAO_U[[Q_DIAS_U_PARC_TIR]:[V_FUT_U_PCPL-02]], F$5, FALSE)</f>
        <v>#N/A</v>
      </c>
      <c r="H1002" s="20">
        <f t="shared" si="82"/>
        <v>0</v>
      </c>
      <c r="I1002" s="21">
        <f t="shared" si="83"/>
        <v>0</v>
      </c>
      <c r="J1002" s="22" t="e">
        <f>VLOOKUP($A1002, TAB_JUROS_C[[DIAS_CORRIDOS]:[V_FUT_UTEIS]], J$5, FALSE)</f>
        <v>#N/A</v>
      </c>
      <c r="K1002" s="22" t="e">
        <f>VLOOKUP($A1002, TAB_CORRECAO_C[[DIAS_CORRIDOS]:[V_FUT_UTEIS]],K$5, FALSE)</f>
        <v>#N/A</v>
      </c>
      <c r="L1002" s="22" t="e">
        <f>VLOOKUP($A1002, TAB_AMORTIZACAO_C[[DIAS_CORRIDOS]:[V_FUT_UTEIS]], L$5, FALSE)</f>
        <v>#N/A</v>
      </c>
    </row>
    <row r="1003" spans="1:12" hidden="1">
      <c r="A1003" s="19">
        <f t="shared" si="84"/>
        <v>997</v>
      </c>
      <c r="B1003" s="20">
        <f t="shared" si="80"/>
        <v>0</v>
      </c>
      <c r="C1003" s="21">
        <f t="shared" si="81"/>
        <v>0</v>
      </c>
      <c r="D1003" s="22" t="e">
        <f>VLOOKUP($A1003, TAB_JUROS_U[[Q_DIAS_U_PARC_TIR]:[V_FUT_U_JURS CENARIO]], D$5, FALSE)</f>
        <v>#N/A</v>
      </c>
      <c r="E1003" s="22" t="e">
        <f>VLOOKUP($A1003,TAB_CORRECAO_U[[Q_DIAS_U_PARC_TIR]:[V_FUT_U_CORC-02]],E$5, FALSE)</f>
        <v>#N/A</v>
      </c>
      <c r="F1003" s="22" t="e">
        <f>VLOOKUP($A1003,TAB_AMORTIZACAO_U[[Q_DIAS_U_PARC_TIR]:[V_FUT_U_PCPL-02]], F$5, FALSE)</f>
        <v>#N/A</v>
      </c>
      <c r="H1003" s="20">
        <f t="shared" si="82"/>
        <v>0</v>
      </c>
      <c r="I1003" s="21">
        <f t="shared" si="83"/>
        <v>0</v>
      </c>
      <c r="J1003" s="22" t="e">
        <f>VLOOKUP($A1003, TAB_JUROS_C[[DIAS_CORRIDOS]:[V_FUT_UTEIS]], J$5, FALSE)</f>
        <v>#N/A</v>
      </c>
      <c r="K1003" s="22" t="e">
        <f>VLOOKUP($A1003, TAB_CORRECAO_C[[DIAS_CORRIDOS]:[V_FUT_UTEIS]],K$5, FALSE)</f>
        <v>#N/A</v>
      </c>
      <c r="L1003" s="22" t="e">
        <f>VLOOKUP($A1003, TAB_AMORTIZACAO_C[[DIAS_CORRIDOS]:[V_FUT_UTEIS]], L$5, FALSE)</f>
        <v>#N/A</v>
      </c>
    </row>
    <row r="1004" spans="1:12" hidden="1">
      <c r="A1004" s="19">
        <f t="shared" si="84"/>
        <v>998</v>
      </c>
      <c r="B1004" s="20">
        <f t="shared" si="80"/>
        <v>0</v>
      </c>
      <c r="C1004" s="21">
        <f t="shared" si="81"/>
        <v>0</v>
      </c>
      <c r="D1004" s="22" t="e">
        <f>VLOOKUP($A1004, TAB_JUROS_U[[Q_DIAS_U_PARC_TIR]:[V_FUT_U_JURS CENARIO]], D$5, FALSE)</f>
        <v>#N/A</v>
      </c>
      <c r="E1004" s="22" t="e">
        <f>VLOOKUP($A1004,TAB_CORRECAO_U[[Q_DIAS_U_PARC_TIR]:[V_FUT_U_CORC-02]],E$5, FALSE)</f>
        <v>#N/A</v>
      </c>
      <c r="F1004" s="22" t="e">
        <f>VLOOKUP($A1004,TAB_AMORTIZACAO_U[[Q_DIAS_U_PARC_TIR]:[V_FUT_U_PCPL-02]], F$5, FALSE)</f>
        <v>#N/A</v>
      </c>
      <c r="H1004" s="20">
        <f t="shared" si="82"/>
        <v>0</v>
      </c>
      <c r="I1004" s="21">
        <f t="shared" si="83"/>
        <v>0</v>
      </c>
      <c r="J1004" s="22" t="e">
        <f>VLOOKUP($A1004, TAB_JUROS_C[[DIAS_CORRIDOS]:[V_FUT_UTEIS]], J$5, FALSE)</f>
        <v>#N/A</v>
      </c>
      <c r="K1004" s="22" t="e">
        <f>VLOOKUP($A1004, TAB_CORRECAO_C[[DIAS_CORRIDOS]:[V_FUT_UTEIS]],K$5, FALSE)</f>
        <v>#N/A</v>
      </c>
      <c r="L1004" s="22" t="e">
        <f>VLOOKUP($A1004, TAB_AMORTIZACAO_C[[DIAS_CORRIDOS]:[V_FUT_UTEIS]], L$5, FALSE)</f>
        <v>#N/A</v>
      </c>
    </row>
    <row r="1005" spans="1:12" hidden="1">
      <c r="A1005" s="19">
        <f t="shared" si="84"/>
        <v>999</v>
      </c>
      <c r="B1005" s="20">
        <f t="shared" si="80"/>
        <v>0</v>
      </c>
      <c r="C1005" s="21">
        <f t="shared" si="81"/>
        <v>0</v>
      </c>
      <c r="D1005" s="22" t="e">
        <f>VLOOKUP($A1005, TAB_JUROS_U[[Q_DIAS_U_PARC_TIR]:[V_FUT_U_JURS CENARIO]], D$5, FALSE)</f>
        <v>#N/A</v>
      </c>
      <c r="E1005" s="22" t="e">
        <f>VLOOKUP($A1005,TAB_CORRECAO_U[[Q_DIAS_U_PARC_TIR]:[V_FUT_U_CORC-02]],E$5, FALSE)</f>
        <v>#N/A</v>
      </c>
      <c r="F1005" s="22" t="e">
        <f>VLOOKUP($A1005,TAB_AMORTIZACAO_U[[Q_DIAS_U_PARC_TIR]:[V_FUT_U_PCPL-02]], F$5, FALSE)</f>
        <v>#N/A</v>
      </c>
      <c r="H1005" s="20">
        <f t="shared" si="82"/>
        <v>0</v>
      </c>
      <c r="I1005" s="21">
        <f t="shared" si="83"/>
        <v>0</v>
      </c>
      <c r="J1005" s="22" t="e">
        <f>VLOOKUP($A1005, TAB_JUROS_C[[DIAS_CORRIDOS]:[V_FUT_UTEIS]], J$5, FALSE)</f>
        <v>#N/A</v>
      </c>
      <c r="K1005" s="22" t="e">
        <f>VLOOKUP($A1005, TAB_CORRECAO_C[[DIAS_CORRIDOS]:[V_FUT_UTEIS]],K$5, FALSE)</f>
        <v>#N/A</v>
      </c>
      <c r="L1005" s="22" t="e">
        <f>VLOOKUP($A1005, TAB_AMORTIZACAO_C[[DIAS_CORRIDOS]:[V_FUT_UTEIS]], L$5, FALSE)</f>
        <v>#N/A</v>
      </c>
    </row>
    <row r="1006" spans="1:12" hidden="1">
      <c r="A1006" s="19">
        <f t="shared" si="84"/>
        <v>1000</v>
      </c>
      <c r="B1006" s="20">
        <f t="shared" si="80"/>
        <v>0</v>
      </c>
      <c r="C1006" s="21">
        <f t="shared" si="81"/>
        <v>0</v>
      </c>
      <c r="D1006" s="22" t="e">
        <f>VLOOKUP($A1006, TAB_JUROS_U[[Q_DIAS_U_PARC_TIR]:[V_FUT_U_JURS CENARIO]], D$5, FALSE)</f>
        <v>#N/A</v>
      </c>
      <c r="E1006" s="22" t="e">
        <f>VLOOKUP($A1006,TAB_CORRECAO_U[[Q_DIAS_U_PARC_TIR]:[V_FUT_U_CORC-02]],E$5, FALSE)</f>
        <v>#N/A</v>
      </c>
      <c r="F1006" s="22" t="e">
        <f>VLOOKUP($A1006,TAB_AMORTIZACAO_U[[Q_DIAS_U_PARC_TIR]:[V_FUT_U_PCPL-02]], F$5, FALSE)</f>
        <v>#N/A</v>
      </c>
      <c r="H1006" s="20">
        <f t="shared" si="82"/>
        <v>0</v>
      </c>
      <c r="I1006" s="21">
        <f t="shared" si="83"/>
        <v>0</v>
      </c>
      <c r="J1006" s="22" t="e">
        <f>VLOOKUP($A1006, TAB_JUROS_C[[DIAS_CORRIDOS]:[V_FUT_UTEIS]], J$5, FALSE)</f>
        <v>#N/A</v>
      </c>
      <c r="K1006" s="22" t="e">
        <f>VLOOKUP($A1006, TAB_CORRECAO_C[[DIAS_CORRIDOS]:[V_FUT_UTEIS]],K$5, FALSE)</f>
        <v>#N/A</v>
      </c>
      <c r="L1006" s="22" t="e">
        <f>VLOOKUP($A1006, TAB_AMORTIZACAO_C[[DIAS_CORRIDOS]:[V_FUT_UTEIS]], L$5, FALSE)</f>
        <v>#N/A</v>
      </c>
    </row>
    <row r="1007" spans="1:12" hidden="1">
      <c r="A1007" s="19">
        <f t="shared" si="84"/>
        <v>1001</v>
      </c>
      <c r="B1007" s="20">
        <f t="shared" si="80"/>
        <v>0</v>
      </c>
      <c r="C1007" s="21">
        <f t="shared" si="81"/>
        <v>0</v>
      </c>
      <c r="D1007" s="22" t="e">
        <f>VLOOKUP($A1007, TAB_JUROS_U[[Q_DIAS_U_PARC_TIR]:[V_FUT_U_JURS CENARIO]], D$5, FALSE)</f>
        <v>#N/A</v>
      </c>
      <c r="E1007" s="22" t="e">
        <f>VLOOKUP($A1007,TAB_CORRECAO_U[[Q_DIAS_U_PARC_TIR]:[V_FUT_U_CORC-02]],E$5, FALSE)</f>
        <v>#N/A</v>
      </c>
      <c r="F1007" s="22" t="e">
        <f>VLOOKUP($A1007,TAB_AMORTIZACAO_U[[Q_DIAS_U_PARC_TIR]:[V_FUT_U_PCPL-02]], F$5, FALSE)</f>
        <v>#N/A</v>
      </c>
      <c r="H1007" s="20">
        <f t="shared" si="82"/>
        <v>0</v>
      </c>
      <c r="I1007" s="21">
        <f t="shared" si="83"/>
        <v>0</v>
      </c>
      <c r="J1007" s="22" t="e">
        <f>VLOOKUP($A1007, TAB_JUROS_C[[DIAS_CORRIDOS]:[V_FUT_UTEIS]], J$5, FALSE)</f>
        <v>#N/A</v>
      </c>
      <c r="K1007" s="22" t="e">
        <f>VLOOKUP($A1007, TAB_CORRECAO_C[[DIAS_CORRIDOS]:[V_FUT_UTEIS]],K$5, FALSE)</f>
        <v>#N/A</v>
      </c>
      <c r="L1007" s="22" t="e">
        <f>VLOOKUP($A1007, TAB_AMORTIZACAO_C[[DIAS_CORRIDOS]:[V_FUT_UTEIS]], L$5, FALSE)</f>
        <v>#N/A</v>
      </c>
    </row>
    <row r="1008" spans="1:12" hidden="1">
      <c r="A1008" s="19">
        <f t="shared" si="84"/>
        <v>1002</v>
      </c>
      <c r="B1008" s="20">
        <f t="shared" si="80"/>
        <v>0</v>
      </c>
      <c r="C1008" s="21">
        <f t="shared" si="81"/>
        <v>0</v>
      </c>
      <c r="D1008" s="22" t="e">
        <f>VLOOKUP($A1008, TAB_JUROS_U[[Q_DIAS_U_PARC_TIR]:[V_FUT_U_JURS CENARIO]], D$5, FALSE)</f>
        <v>#N/A</v>
      </c>
      <c r="E1008" s="22" t="e">
        <f>VLOOKUP($A1008,TAB_CORRECAO_U[[Q_DIAS_U_PARC_TIR]:[V_FUT_U_CORC-02]],E$5, FALSE)</f>
        <v>#N/A</v>
      </c>
      <c r="F1008" s="22" t="e">
        <f>VLOOKUP($A1008,TAB_AMORTIZACAO_U[[Q_DIAS_U_PARC_TIR]:[V_FUT_U_PCPL-02]], F$5, FALSE)</f>
        <v>#N/A</v>
      </c>
      <c r="H1008" s="20">
        <f t="shared" si="82"/>
        <v>0</v>
      </c>
      <c r="I1008" s="21">
        <f t="shared" si="83"/>
        <v>0</v>
      </c>
      <c r="J1008" s="22" t="e">
        <f>VLOOKUP($A1008, TAB_JUROS_C[[DIAS_CORRIDOS]:[V_FUT_UTEIS]], J$5, FALSE)</f>
        <v>#N/A</v>
      </c>
      <c r="K1008" s="22" t="e">
        <f>VLOOKUP($A1008, TAB_CORRECAO_C[[DIAS_CORRIDOS]:[V_FUT_UTEIS]],K$5, FALSE)</f>
        <v>#N/A</v>
      </c>
      <c r="L1008" s="22" t="e">
        <f>VLOOKUP($A1008, TAB_AMORTIZACAO_C[[DIAS_CORRIDOS]:[V_FUT_UTEIS]], L$5, FALSE)</f>
        <v>#N/A</v>
      </c>
    </row>
    <row r="1009" spans="1:12" hidden="1">
      <c r="A1009" s="19">
        <f t="shared" si="84"/>
        <v>1003</v>
      </c>
      <c r="B1009" s="20">
        <f t="shared" si="80"/>
        <v>0</v>
      </c>
      <c r="C1009" s="21">
        <f t="shared" si="81"/>
        <v>0</v>
      </c>
      <c r="D1009" s="22" t="e">
        <f>VLOOKUP($A1009, TAB_JUROS_U[[Q_DIAS_U_PARC_TIR]:[V_FUT_U_JURS CENARIO]], D$5, FALSE)</f>
        <v>#N/A</v>
      </c>
      <c r="E1009" s="22" t="e">
        <f>VLOOKUP($A1009,TAB_CORRECAO_U[[Q_DIAS_U_PARC_TIR]:[V_FUT_U_CORC-02]],E$5, FALSE)</f>
        <v>#N/A</v>
      </c>
      <c r="F1009" s="22" t="e">
        <f>VLOOKUP($A1009,TAB_AMORTIZACAO_U[[Q_DIAS_U_PARC_TIR]:[V_FUT_U_PCPL-02]], F$5, FALSE)</f>
        <v>#N/A</v>
      </c>
      <c r="H1009" s="20">
        <f t="shared" si="82"/>
        <v>0</v>
      </c>
      <c r="I1009" s="21">
        <f t="shared" si="83"/>
        <v>0</v>
      </c>
      <c r="J1009" s="22" t="e">
        <f>VLOOKUP($A1009, TAB_JUROS_C[[DIAS_CORRIDOS]:[V_FUT_UTEIS]], J$5, FALSE)</f>
        <v>#N/A</v>
      </c>
      <c r="K1009" s="22" t="e">
        <f>VLOOKUP($A1009, TAB_CORRECAO_C[[DIAS_CORRIDOS]:[V_FUT_UTEIS]],K$5, FALSE)</f>
        <v>#N/A</v>
      </c>
      <c r="L1009" s="22" t="e">
        <f>VLOOKUP($A1009, TAB_AMORTIZACAO_C[[DIAS_CORRIDOS]:[V_FUT_UTEIS]], L$5, FALSE)</f>
        <v>#N/A</v>
      </c>
    </row>
    <row r="1010" spans="1:12" hidden="1">
      <c r="A1010" s="19">
        <f t="shared" si="84"/>
        <v>1004</v>
      </c>
      <c r="B1010" s="20">
        <f t="shared" si="80"/>
        <v>0</v>
      </c>
      <c r="C1010" s="21">
        <f t="shared" si="81"/>
        <v>0</v>
      </c>
      <c r="D1010" s="22" t="e">
        <f>VLOOKUP($A1010, TAB_JUROS_U[[Q_DIAS_U_PARC_TIR]:[V_FUT_U_JURS CENARIO]], D$5, FALSE)</f>
        <v>#N/A</v>
      </c>
      <c r="E1010" s="22" t="e">
        <f>VLOOKUP($A1010,TAB_CORRECAO_U[[Q_DIAS_U_PARC_TIR]:[V_FUT_U_CORC-02]],E$5, FALSE)</f>
        <v>#N/A</v>
      </c>
      <c r="F1010" s="22" t="e">
        <f>VLOOKUP($A1010,TAB_AMORTIZACAO_U[[Q_DIAS_U_PARC_TIR]:[V_FUT_U_PCPL-02]], F$5, FALSE)</f>
        <v>#N/A</v>
      </c>
      <c r="H1010" s="20">
        <f t="shared" si="82"/>
        <v>0</v>
      </c>
      <c r="I1010" s="21">
        <f t="shared" si="83"/>
        <v>0</v>
      </c>
      <c r="J1010" s="22" t="e">
        <f>VLOOKUP($A1010, TAB_JUROS_C[[DIAS_CORRIDOS]:[V_FUT_UTEIS]], J$5, FALSE)</f>
        <v>#N/A</v>
      </c>
      <c r="K1010" s="22" t="e">
        <f>VLOOKUP($A1010, TAB_CORRECAO_C[[DIAS_CORRIDOS]:[V_FUT_UTEIS]],K$5, FALSE)</f>
        <v>#N/A</v>
      </c>
      <c r="L1010" s="22" t="e">
        <f>VLOOKUP($A1010, TAB_AMORTIZACAO_C[[DIAS_CORRIDOS]:[V_FUT_UTEIS]], L$5, FALSE)</f>
        <v>#N/A</v>
      </c>
    </row>
    <row r="1011" spans="1:12" hidden="1">
      <c r="A1011" s="19">
        <f t="shared" si="84"/>
        <v>1005</v>
      </c>
      <c r="B1011" s="20">
        <f t="shared" si="80"/>
        <v>0</v>
      </c>
      <c r="C1011" s="21">
        <f t="shared" si="81"/>
        <v>0</v>
      </c>
      <c r="D1011" s="22" t="e">
        <f>VLOOKUP($A1011, TAB_JUROS_U[[Q_DIAS_U_PARC_TIR]:[V_FUT_U_JURS CENARIO]], D$5, FALSE)</f>
        <v>#N/A</v>
      </c>
      <c r="E1011" s="22" t="e">
        <f>VLOOKUP($A1011,TAB_CORRECAO_U[[Q_DIAS_U_PARC_TIR]:[V_FUT_U_CORC-02]],E$5, FALSE)</f>
        <v>#N/A</v>
      </c>
      <c r="F1011" s="22" t="e">
        <f>VLOOKUP($A1011,TAB_AMORTIZACAO_U[[Q_DIAS_U_PARC_TIR]:[V_FUT_U_PCPL-02]], F$5, FALSE)</f>
        <v>#N/A</v>
      </c>
      <c r="H1011" s="20">
        <f t="shared" si="82"/>
        <v>0</v>
      </c>
      <c r="I1011" s="21">
        <f t="shared" si="83"/>
        <v>0</v>
      </c>
      <c r="J1011" s="22" t="e">
        <f>VLOOKUP($A1011, TAB_JUROS_C[[DIAS_CORRIDOS]:[V_FUT_UTEIS]], J$5, FALSE)</f>
        <v>#N/A</v>
      </c>
      <c r="K1011" s="22" t="e">
        <f>VLOOKUP($A1011, TAB_CORRECAO_C[[DIAS_CORRIDOS]:[V_FUT_UTEIS]],K$5, FALSE)</f>
        <v>#N/A</v>
      </c>
      <c r="L1011" s="22" t="e">
        <f>VLOOKUP($A1011, TAB_AMORTIZACAO_C[[DIAS_CORRIDOS]:[V_FUT_UTEIS]], L$5, FALSE)</f>
        <v>#N/A</v>
      </c>
    </row>
    <row r="1012" spans="1:12" hidden="1">
      <c r="A1012" s="19">
        <f t="shared" si="84"/>
        <v>1006</v>
      </c>
      <c r="B1012" s="20">
        <f t="shared" si="80"/>
        <v>0</v>
      </c>
      <c r="C1012" s="21">
        <f t="shared" si="81"/>
        <v>0</v>
      </c>
      <c r="D1012" s="22" t="e">
        <f>VLOOKUP($A1012, TAB_JUROS_U[[Q_DIAS_U_PARC_TIR]:[V_FUT_U_JURS CENARIO]], D$5, FALSE)</f>
        <v>#N/A</v>
      </c>
      <c r="E1012" s="22" t="e">
        <f>VLOOKUP($A1012,TAB_CORRECAO_U[[Q_DIAS_U_PARC_TIR]:[V_FUT_U_CORC-02]],E$5, FALSE)</f>
        <v>#N/A</v>
      </c>
      <c r="F1012" s="22" t="e">
        <f>VLOOKUP($A1012,TAB_AMORTIZACAO_U[[Q_DIAS_U_PARC_TIR]:[V_FUT_U_PCPL-02]], F$5, FALSE)</f>
        <v>#N/A</v>
      </c>
      <c r="H1012" s="20">
        <f t="shared" si="82"/>
        <v>0</v>
      </c>
      <c r="I1012" s="21">
        <f t="shared" si="83"/>
        <v>0</v>
      </c>
      <c r="J1012" s="22" t="e">
        <f>VLOOKUP($A1012, TAB_JUROS_C[[DIAS_CORRIDOS]:[V_FUT_UTEIS]], J$5, FALSE)</f>
        <v>#N/A</v>
      </c>
      <c r="K1012" s="22" t="e">
        <f>VLOOKUP($A1012, TAB_CORRECAO_C[[DIAS_CORRIDOS]:[V_FUT_UTEIS]],K$5, FALSE)</f>
        <v>#N/A</v>
      </c>
      <c r="L1012" s="22" t="e">
        <f>VLOOKUP($A1012, TAB_AMORTIZACAO_C[[DIAS_CORRIDOS]:[V_FUT_UTEIS]], L$5, FALSE)</f>
        <v>#N/A</v>
      </c>
    </row>
    <row r="1013" spans="1:12" hidden="1">
      <c r="A1013" s="19">
        <f t="shared" si="84"/>
        <v>1007</v>
      </c>
      <c r="B1013" s="20">
        <f t="shared" si="80"/>
        <v>0</v>
      </c>
      <c r="C1013" s="21">
        <f t="shared" si="81"/>
        <v>0</v>
      </c>
      <c r="D1013" s="22" t="e">
        <f>VLOOKUP($A1013, TAB_JUROS_U[[Q_DIAS_U_PARC_TIR]:[V_FUT_U_JURS CENARIO]], D$5, FALSE)</f>
        <v>#N/A</v>
      </c>
      <c r="E1013" s="22" t="e">
        <f>VLOOKUP($A1013,TAB_CORRECAO_U[[Q_DIAS_U_PARC_TIR]:[V_FUT_U_CORC-02]],E$5, FALSE)</f>
        <v>#N/A</v>
      </c>
      <c r="F1013" s="22" t="e">
        <f>VLOOKUP($A1013,TAB_AMORTIZACAO_U[[Q_DIAS_U_PARC_TIR]:[V_FUT_U_PCPL-02]], F$5, FALSE)</f>
        <v>#N/A</v>
      </c>
      <c r="H1013" s="20">
        <f t="shared" si="82"/>
        <v>0</v>
      </c>
      <c r="I1013" s="21">
        <f t="shared" si="83"/>
        <v>0</v>
      </c>
      <c r="J1013" s="22" t="e">
        <f>VLOOKUP($A1013, TAB_JUROS_C[[DIAS_CORRIDOS]:[V_FUT_UTEIS]], J$5, FALSE)</f>
        <v>#N/A</v>
      </c>
      <c r="K1013" s="22" t="e">
        <f>VLOOKUP($A1013, TAB_CORRECAO_C[[DIAS_CORRIDOS]:[V_FUT_UTEIS]],K$5, FALSE)</f>
        <v>#N/A</v>
      </c>
      <c r="L1013" s="22" t="e">
        <f>VLOOKUP($A1013, TAB_AMORTIZACAO_C[[DIAS_CORRIDOS]:[V_FUT_UTEIS]], L$5, FALSE)</f>
        <v>#N/A</v>
      </c>
    </row>
    <row r="1014" spans="1:12" hidden="1">
      <c r="A1014" s="19">
        <f t="shared" si="84"/>
        <v>1008</v>
      </c>
      <c r="B1014" s="20">
        <f t="shared" si="80"/>
        <v>0</v>
      </c>
      <c r="C1014" s="21">
        <f t="shared" si="81"/>
        <v>0</v>
      </c>
      <c r="D1014" s="22" t="e">
        <f>VLOOKUP($A1014, TAB_JUROS_U[[Q_DIAS_U_PARC_TIR]:[V_FUT_U_JURS CENARIO]], D$5, FALSE)</f>
        <v>#N/A</v>
      </c>
      <c r="E1014" s="22" t="e">
        <f>VLOOKUP($A1014,TAB_CORRECAO_U[[Q_DIAS_U_PARC_TIR]:[V_FUT_U_CORC-02]],E$5, FALSE)</f>
        <v>#N/A</v>
      </c>
      <c r="F1014" s="22" t="e">
        <f>VLOOKUP($A1014,TAB_AMORTIZACAO_U[[Q_DIAS_U_PARC_TIR]:[V_FUT_U_PCPL-02]], F$5, FALSE)</f>
        <v>#N/A</v>
      </c>
      <c r="H1014" s="20">
        <f t="shared" si="82"/>
        <v>0</v>
      </c>
      <c r="I1014" s="21">
        <f t="shared" si="83"/>
        <v>0</v>
      </c>
      <c r="J1014" s="22" t="e">
        <f>VLOOKUP($A1014, TAB_JUROS_C[[DIAS_CORRIDOS]:[V_FUT_UTEIS]], J$5, FALSE)</f>
        <v>#N/A</v>
      </c>
      <c r="K1014" s="22" t="e">
        <f>VLOOKUP($A1014, TAB_CORRECAO_C[[DIAS_CORRIDOS]:[V_FUT_UTEIS]],K$5, FALSE)</f>
        <v>#N/A</v>
      </c>
      <c r="L1014" s="22" t="e">
        <f>VLOOKUP($A1014, TAB_AMORTIZACAO_C[[DIAS_CORRIDOS]:[V_FUT_UTEIS]], L$5, FALSE)</f>
        <v>#N/A</v>
      </c>
    </row>
    <row r="1015" spans="1:12" hidden="1">
      <c r="A1015" s="19">
        <f t="shared" si="84"/>
        <v>1009</v>
      </c>
      <c r="B1015" s="20">
        <f t="shared" si="80"/>
        <v>0</v>
      </c>
      <c r="C1015" s="21">
        <f t="shared" si="81"/>
        <v>0</v>
      </c>
      <c r="D1015" s="22" t="e">
        <f>VLOOKUP($A1015, TAB_JUROS_U[[Q_DIAS_U_PARC_TIR]:[V_FUT_U_JURS CENARIO]], D$5, FALSE)</f>
        <v>#N/A</v>
      </c>
      <c r="E1015" s="22" t="e">
        <f>VLOOKUP($A1015,TAB_CORRECAO_U[[Q_DIAS_U_PARC_TIR]:[V_FUT_U_CORC-02]],E$5, FALSE)</f>
        <v>#N/A</v>
      </c>
      <c r="F1015" s="22" t="e">
        <f>VLOOKUP($A1015,TAB_AMORTIZACAO_U[[Q_DIAS_U_PARC_TIR]:[V_FUT_U_PCPL-02]], F$5, FALSE)</f>
        <v>#N/A</v>
      </c>
      <c r="H1015" s="20">
        <f t="shared" si="82"/>
        <v>0</v>
      </c>
      <c r="I1015" s="21">
        <f t="shared" si="83"/>
        <v>0</v>
      </c>
      <c r="J1015" s="22" t="e">
        <f>VLOOKUP($A1015, TAB_JUROS_C[[DIAS_CORRIDOS]:[V_FUT_UTEIS]], J$5, FALSE)</f>
        <v>#N/A</v>
      </c>
      <c r="K1015" s="22" t="e">
        <f>VLOOKUP($A1015, TAB_CORRECAO_C[[DIAS_CORRIDOS]:[V_FUT_UTEIS]],K$5, FALSE)</f>
        <v>#N/A</v>
      </c>
      <c r="L1015" s="22" t="e">
        <f>VLOOKUP($A1015, TAB_AMORTIZACAO_C[[DIAS_CORRIDOS]:[V_FUT_UTEIS]], L$5, FALSE)</f>
        <v>#N/A</v>
      </c>
    </row>
    <row r="1016" spans="1:12" hidden="1">
      <c r="A1016" s="19">
        <f t="shared" si="84"/>
        <v>1010</v>
      </c>
      <c r="B1016" s="20">
        <f t="shared" si="80"/>
        <v>0</v>
      </c>
      <c r="C1016" s="21">
        <f t="shared" si="81"/>
        <v>0</v>
      </c>
      <c r="D1016" s="22" t="e">
        <f>VLOOKUP($A1016, TAB_JUROS_U[[Q_DIAS_U_PARC_TIR]:[V_FUT_U_JURS CENARIO]], D$5, FALSE)</f>
        <v>#N/A</v>
      </c>
      <c r="E1016" s="22" t="e">
        <f>VLOOKUP($A1016,TAB_CORRECAO_U[[Q_DIAS_U_PARC_TIR]:[V_FUT_U_CORC-02]],E$5, FALSE)</f>
        <v>#N/A</v>
      </c>
      <c r="F1016" s="22" t="e">
        <f>VLOOKUP($A1016,TAB_AMORTIZACAO_U[[Q_DIAS_U_PARC_TIR]:[V_FUT_U_PCPL-02]], F$5, FALSE)</f>
        <v>#N/A</v>
      </c>
      <c r="H1016" s="20">
        <f t="shared" si="82"/>
        <v>0</v>
      </c>
      <c r="I1016" s="21">
        <f t="shared" si="83"/>
        <v>0</v>
      </c>
      <c r="J1016" s="22" t="e">
        <f>VLOOKUP($A1016, TAB_JUROS_C[[DIAS_CORRIDOS]:[V_FUT_UTEIS]], J$5, FALSE)</f>
        <v>#N/A</v>
      </c>
      <c r="K1016" s="22" t="e">
        <f>VLOOKUP($A1016, TAB_CORRECAO_C[[DIAS_CORRIDOS]:[V_FUT_UTEIS]],K$5, FALSE)</f>
        <v>#N/A</v>
      </c>
      <c r="L1016" s="22" t="e">
        <f>VLOOKUP($A1016, TAB_AMORTIZACAO_C[[DIAS_CORRIDOS]:[V_FUT_UTEIS]], L$5, FALSE)</f>
        <v>#N/A</v>
      </c>
    </row>
    <row r="1017" spans="1:12" hidden="1">
      <c r="A1017" s="19">
        <f t="shared" si="84"/>
        <v>1011</v>
      </c>
      <c r="B1017" s="20">
        <f t="shared" si="80"/>
        <v>0</v>
      </c>
      <c r="C1017" s="21">
        <f t="shared" si="81"/>
        <v>0</v>
      </c>
      <c r="D1017" s="22" t="e">
        <f>VLOOKUP($A1017, TAB_JUROS_U[[Q_DIAS_U_PARC_TIR]:[V_FUT_U_JURS CENARIO]], D$5, FALSE)</f>
        <v>#N/A</v>
      </c>
      <c r="E1017" s="22" t="e">
        <f>VLOOKUP($A1017,TAB_CORRECAO_U[[Q_DIAS_U_PARC_TIR]:[V_FUT_U_CORC-02]],E$5, FALSE)</f>
        <v>#N/A</v>
      </c>
      <c r="F1017" s="22" t="e">
        <f>VLOOKUP($A1017,TAB_AMORTIZACAO_U[[Q_DIAS_U_PARC_TIR]:[V_FUT_U_PCPL-02]], F$5, FALSE)</f>
        <v>#N/A</v>
      </c>
      <c r="H1017" s="20">
        <f t="shared" si="82"/>
        <v>0</v>
      </c>
      <c r="I1017" s="21">
        <f t="shared" si="83"/>
        <v>0</v>
      </c>
      <c r="J1017" s="22" t="e">
        <f>VLOOKUP($A1017, TAB_JUROS_C[[DIAS_CORRIDOS]:[V_FUT_UTEIS]], J$5, FALSE)</f>
        <v>#N/A</v>
      </c>
      <c r="K1017" s="22" t="e">
        <f>VLOOKUP($A1017, TAB_CORRECAO_C[[DIAS_CORRIDOS]:[V_FUT_UTEIS]],K$5, FALSE)</f>
        <v>#N/A</v>
      </c>
      <c r="L1017" s="22" t="e">
        <f>VLOOKUP($A1017, TAB_AMORTIZACAO_C[[DIAS_CORRIDOS]:[V_FUT_UTEIS]], L$5, FALSE)</f>
        <v>#N/A</v>
      </c>
    </row>
    <row r="1018" spans="1:12" hidden="1">
      <c r="A1018" s="19">
        <f t="shared" si="84"/>
        <v>1012</v>
      </c>
      <c r="B1018" s="20">
        <f t="shared" si="80"/>
        <v>0</v>
      </c>
      <c r="C1018" s="21">
        <f t="shared" si="81"/>
        <v>0</v>
      </c>
      <c r="D1018" s="22" t="e">
        <f>VLOOKUP($A1018, TAB_JUROS_U[[Q_DIAS_U_PARC_TIR]:[V_FUT_U_JURS CENARIO]], D$5, FALSE)</f>
        <v>#N/A</v>
      </c>
      <c r="E1018" s="22" t="e">
        <f>VLOOKUP($A1018,TAB_CORRECAO_U[[Q_DIAS_U_PARC_TIR]:[V_FUT_U_CORC-02]],E$5, FALSE)</f>
        <v>#N/A</v>
      </c>
      <c r="F1018" s="22" t="e">
        <f>VLOOKUP($A1018,TAB_AMORTIZACAO_U[[Q_DIAS_U_PARC_TIR]:[V_FUT_U_PCPL-02]], F$5, FALSE)</f>
        <v>#N/A</v>
      </c>
      <c r="H1018" s="20">
        <f t="shared" si="82"/>
        <v>0</v>
      </c>
      <c r="I1018" s="21">
        <f t="shared" si="83"/>
        <v>0</v>
      </c>
      <c r="J1018" s="22" t="e">
        <f>VLOOKUP($A1018, TAB_JUROS_C[[DIAS_CORRIDOS]:[V_FUT_UTEIS]], J$5, FALSE)</f>
        <v>#N/A</v>
      </c>
      <c r="K1018" s="22" t="e">
        <f>VLOOKUP($A1018, TAB_CORRECAO_C[[DIAS_CORRIDOS]:[V_FUT_UTEIS]],K$5, FALSE)</f>
        <v>#N/A</v>
      </c>
      <c r="L1018" s="22" t="e">
        <f>VLOOKUP($A1018, TAB_AMORTIZACAO_C[[DIAS_CORRIDOS]:[V_FUT_UTEIS]], L$5, FALSE)</f>
        <v>#N/A</v>
      </c>
    </row>
    <row r="1019" spans="1:12" hidden="1">
      <c r="A1019" s="19">
        <f t="shared" si="84"/>
        <v>1013</v>
      </c>
      <c r="B1019" s="20">
        <f t="shared" si="80"/>
        <v>0</v>
      </c>
      <c r="C1019" s="21">
        <f t="shared" si="81"/>
        <v>0</v>
      </c>
      <c r="D1019" s="22" t="e">
        <f>VLOOKUP($A1019, TAB_JUROS_U[[Q_DIAS_U_PARC_TIR]:[V_FUT_U_JURS CENARIO]], D$5, FALSE)</f>
        <v>#N/A</v>
      </c>
      <c r="E1019" s="22" t="e">
        <f>VLOOKUP($A1019,TAB_CORRECAO_U[[Q_DIAS_U_PARC_TIR]:[V_FUT_U_CORC-02]],E$5, FALSE)</f>
        <v>#N/A</v>
      </c>
      <c r="F1019" s="22" t="e">
        <f>VLOOKUP($A1019,TAB_AMORTIZACAO_U[[Q_DIAS_U_PARC_TIR]:[V_FUT_U_PCPL-02]], F$5, FALSE)</f>
        <v>#N/A</v>
      </c>
      <c r="H1019" s="20">
        <f t="shared" si="82"/>
        <v>0</v>
      </c>
      <c r="I1019" s="21">
        <f t="shared" si="83"/>
        <v>0</v>
      </c>
      <c r="J1019" s="22" t="e">
        <f>VLOOKUP($A1019, TAB_JUROS_C[[DIAS_CORRIDOS]:[V_FUT_UTEIS]], J$5, FALSE)</f>
        <v>#N/A</v>
      </c>
      <c r="K1019" s="22" t="e">
        <f>VLOOKUP($A1019, TAB_CORRECAO_C[[DIAS_CORRIDOS]:[V_FUT_UTEIS]],K$5, FALSE)</f>
        <v>#N/A</v>
      </c>
      <c r="L1019" s="22" t="e">
        <f>VLOOKUP($A1019, TAB_AMORTIZACAO_C[[DIAS_CORRIDOS]:[V_FUT_UTEIS]], L$5, FALSE)</f>
        <v>#N/A</v>
      </c>
    </row>
    <row r="1020" spans="1:12" hidden="1">
      <c r="A1020" s="19">
        <f t="shared" si="84"/>
        <v>1014</v>
      </c>
      <c r="B1020" s="20">
        <f t="shared" si="80"/>
        <v>0</v>
      </c>
      <c r="C1020" s="21">
        <f t="shared" si="81"/>
        <v>0</v>
      </c>
      <c r="D1020" s="22" t="e">
        <f>VLOOKUP($A1020, TAB_JUROS_U[[Q_DIAS_U_PARC_TIR]:[V_FUT_U_JURS CENARIO]], D$5, FALSE)</f>
        <v>#N/A</v>
      </c>
      <c r="E1020" s="22" t="e">
        <f>VLOOKUP($A1020,TAB_CORRECAO_U[[Q_DIAS_U_PARC_TIR]:[V_FUT_U_CORC-02]],E$5, FALSE)</f>
        <v>#N/A</v>
      </c>
      <c r="F1020" s="22" t="e">
        <f>VLOOKUP($A1020,TAB_AMORTIZACAO_U[[Q_DIAS_U_PARC_TIR]:[V_FUT_U_PCPL-02]], F$5, FALSE)</f>
        <v>#N/A</v>
      </c>
      <c r="H1020" s="20">
        <f t="shared" si="82"/>
        <v>0</v>
      </c>
      <c r="I1020" s="21">
        <f t="shared" si="83"/>
        <v>0</v>
      </c>
      <c r="J1020" s="22" t="e">
        <f>VLOOKUP($A1020, TAB_JUROS_C[[DIAS_CORRIDOS]:[V_FUT_UTEIS]], J$5, FALSE)</f>
        <v>#N/A</v>
      </c>
      <c r="K1020" s="22" t="e">
        <f>VLOOKUP($A1020, TAB_CORRECAO_C[[DIAS_CORRIDOS]:[V_FUT_UTEIS]],K$5, FALSE)</f>
        <v>#N/A</v>
      </c>
      <c r="L1020" s="22" t="e">
        <f>VLOOKUP($A1020, TAB_AMORTIZACAO_C[[DIAS_CORRIDOS]:[V_FUT_UTEIS]], L$5, FALSE)</f>
        <v>#N/A</v>
      </c>
    </row>
    <row r="1021" spans="1:12" hidden="1">
      <c r="A1021" s="19">
        <f t="shared" si="84"/>
        <v>1015</v>
      </c>
      <c r="B1021" s="20">
        <f t="shared" si="80"/>
        <v>0</v>
      </c>
      <c r="C1021" s="21">
        <f t="shared" si="81"/>
        <v>0</v>
      </c>
      <c r="D1021" s="22" t="e">
        <f>VLOOKUP($A1021, TAB_JUROS_U[[Q_DIAS_U_PARC_TIR]:[V_FUT_U_JURS CENARIO]], D$5, FALSE)</f>
        <v>#N/A</v>
      </c>
      <c r="E1021" s="22" t="e">
        <f>VLOOKUP($A1021,TAB_CORRECAO_U[[Q_DIAS_U_PARC_TIR]:[V_FUT_U_CORC-02]],E$5, FALSE)</f>
        <v>#N/A</v>
      </c>
      <c r="F1021" s="22" t="e">
        <f>VLOOKUP($A1021,TAB_AMORTIZACAO_U[[Q_DIAS_U_PARC_TIR]:[V_FUT_U_PCPL-02]], F$5, FALSE)</f>
        <v>#N/A</v>
      </c>
      <c r="H1021" s="20">
        <f t="shared" si="82"/>
        <v>0</v>
      </c>
      <c r="I1021" s="21">
        <f t="shared" si="83"/>
        <v>0</v>
      </c>
      <c r="J1021" s="22" t="e">
        <f>VLOOKUP($A1021, TAB_JUROS_C[[DIAS_CORRIDOS]:[V_FUT_UTEIS]], J$5, FALSE)</f>
        <v>#N/A</v>
      </c>
      <c r="K1021" s="22" t="e">
        <f>VLOOKUP($A1021, TAB_CORRECAO_C[[DIAS_CORRIDOS]:[V_FUT_UTEIS]],K$5, FALSE)</f>
        <v>#N/A</v>
      </c>
      <c r="L1021" s="22" t="e">
        <f>VLOOKUP($A1021, TAB_AMORTIZACAO_C[[DIAS_CORRIDOS]:[V_FUT_UTEIS]], L$5, FALSE)</f>
        <v>#N/A</v>
      </c>
    </row>
    <row r="1022" spans="1:12">
      <c r="A1022" s="19">
        <f t="shared" si="84"/>
        <v>1016</v>
      </c>
      <c r="B1022" s="20">
        <f t="shared" si="80"/>
        <v>888.06996341974332</v>
      </c>
      <c r="C1022" s="21">
        <f t="shared" si="81"/>
        <v>888.06996341974332</v>
      </c>
      <c r="D1022" s="22">
        <f>VLOOKUP($A1022, TAB_JUROS_U[[Q_DIAS_U_PARC_TIR]:[V_FUT_U_JURS CENARIO]], D$5, FALSE)</f>
        <v>66.114412788364589</v>
      </c>
      <c r="E1022" s="22">
        <f>VLOOKUP($A1022,TAB_CORRECAO_U[[Q_DIAS_U_PARC_TIR]:[V_FUT_U_CORC-02]],E$5, FALSE)</f>
        <v>400.84136753919842</v>
      </c>
      <c r="F1022" s="22">
        <f>VLOOKUP($A1022,TAB_AMORTIZACAO_U[[Q_DIAS_U_PARC_TIR]:[V_FUT_U_PCPL-02]], F$5, FALSE)</f>
        <v>421.11418309218033</v>
      </c>
      <c r="H1022" s="20">
        <f t="shared" si="82"/>
        <v>1195.9708732239401</v>
      </c>
      <c r="I1022" s="21">
        <f t="shared" si="83"/>
        <v>1195.9708732239401</v>
      </c>
      <c r="J1022" s="22">
        <f>VLOOKUP($A1022, TAB_JUROS_C[[DIAS_CORRIDOS]:[V_FUT_UTEIS]], J$5, FALSE)</f>
        <v>86.855729843985259</v>
      </c>
      <c r="K1022" s="22">
        <f>VLOOKUP($A1022, TAB_CORRECAO_C[[DIAS_CORRIDOS]:[V_FUT_UTEIS]],K$5, FALSE)</f>
        <v>580.93789655664239</v>
      </c>
      <c r="L1022" s="22">
        <f>VLOOKUP($A1022, TAB_AMORTIZACAO_C[[DIAS_CORRIDOS]:[V_FUT_UTEIS]], L$5, FALSE)</f>
        <v>528.17724682331232</v>
      </c>
    </row>
    <row r="1023" spans="1:12" hidden="1">
      <c r="A1023" s="19">
        <f t="shared" si="84"/>
        <v>1017</v>
      </c>
      <c r="B1023" s="20">
        <f t="shared" si="80"/>
        <v>0</v>
      </c>
      <c r="C1023" s="21">
        <f t="shared" si="81"/>
        <v>0</v>
      </c>
      <c r="D1023" s="22" t="e">
        <f>VLOOKUP($A1023, TAB_JUROS_U[[Q_DIAS_U_PARC_TIR]:[V_FUT_U_JURS CENARIO]], D$5, FALSE)</f>
        <v>#N/A</v>
      </c>
      <c r="E1023" s="22" t="e">
        <f>VLOOKUP($A1023,TAB_CORRECAO_U[[Q_DIAS_U_PARC_TIR]:[V_FUT_U_CORC-02]],E$5, FALSE)</f>
        <v>#N/A</v>
      </c>
      <c r="F1023" s="22" t="e">
        <f>VLOOKUP($A1023,TAB_AMORTIZACAO_U[[Q_DIAS_U_PARC_TIR]:[V_FUT_U_PCPL-02]], F$5, FALSE)</f>
        <v>#N/A</v>
      </c>
      <c r="H1023" s="20">
        <f t="shared" si="82"/>
        <v>0</v>
      </c>
      <c r="I1023" s="21">
        <f t="shared" si="83"/>
        <v>0</v>
      </c>
      <c r="J1023" s="22" t="e">
        <f>VLOOKUP($A1023, TAB_JUROS_C[[DIAS_CORRIDOS]:[V_FUT_UTEIS]], J$5, FALSE)</f>
        <v>#N/A</v>
      </c>
      <c r="K1023" s="22" t="e">
        <f>VLOOKUP($A1023, TAB_CORRECAO_C[[DIAS_CORRIDOS]:[V_FUT_UTEIS]],K$5, FALSE)</f>
        <v>#N/A</v>
      </c>
      <c r="L1023" s="22" t="e">
        <f>VLOOKUP($A1023, TAB_AMORTIZACAO_C[[DIAS_CORRIDOS]:[V_FUT_UTEIS]], L$5, FALSE)</f>
        <v>#N/A</v>
      </c>
    </row>
    <row r="1024" spans="1:12" hidden="1">
      <c r="A1024" s="19">
        <f t="shared" si="84"/>
        <v>1018</v>
      </c>
      <c r="B1024" s="20">
        <f t="shared" si="80"/>
        <v>0</v>
      </c>
      <c r="C1024" s="21">
        <f t="shared" si="81"/>
        <v>0</v>
      </c>
      <c r="D1024" s="22" t="e">
        <f>VLOOKUP($A1024, TAB_JUROS_U[[Q_DIAS_U_PARC_TIR]:[V_FUT_U_JURS CENARIO]], D$5, FALSE)</f>
        <v>#N/A</v>
      </c>
      <c r="E1024" s="22" t="e">
        <f>VLOOKUP($A1024,TAB_CORRECAO_U[[Q_DIAS_U_PARC_TIR]:[V_FUT_U_CORC-02]],E$5, FALSE)</f>
        <v>#N/A</v>
      </c>
      <c r="F1024" s="22" t="e">
        <f>VLOOKUP($A1024,TAB_AMORTIZACAO_U[[Q_DIAS_U_PARC_TIR]:[V_FUT_U_PCPL-02]], F$5, FALSE)</f>
        <v>#N/A</v>
      </c>
      <c r="H1024" s="20">
        <f t="shared" si="82"/>
        <v>0</v>
      </c>
      <c r="I1024" s="21">
        <f t="shared" si="83"/>
        <v>0</v>
      </c>
      <c r="J1024" s="22" t="e">
        <f>VLOOKUP($A1024, TAB_JUROS_C[[DIAS_CORRIDOS]:[V_FUT_UTEIS]], J$5, FALSE)</f>
        <v>#N/A</v>
      </c>
      <c r="K1024" s="22" t="e">
        <f>VLOOKUP($A1024, TAB_CORRECAO_C[[DIAS_CORRIDOS]:[V_FUT_UTEIS]],K$5, FALSE)</f>
        <v>#N/A</v>
      </c>
      <c r="L1024" s="22" t="e">
        <f>VLOOKUP($A1024, TAB_AMORTIZACAO_C[[DIAS_CORRIDOS]:[V_FUT_UTEIS]], L$5, FALSE)</f>
        <v>#N/A</v>
      </c>
    </row>
    <row r="1025" spans="1:12" hidden="1">
      <c r="A1025" s="19">
        <f t="shared" si="84"/>
        <v>1019</v>
      </c>
      <c r="B1025" s="20">
        <f t="shared" si="80"/>
        <v>0</v>
      </c>
      <c r="C1025" s="21">
        <f t="shared" si="81"/>
        <v>0</v>
      </c>
      <c r="D1025" s="22" t="e">
        <f>VLOOKUP($A1025, TAB_JUROS_U[[Q_DIAS_U_PARC_TIR]:[V_FUT_U_JURS CENARIO]], D$5, FALSE)</f>
        <v>#N/A</v>
      </c>
      <c r="E1025" s="22" t="e">
        <f>VLOOKUP($A1025,TAB_CORRECAO_U[[Q_DIAS_U_PARC_TIR]:[V_FUT_U_CORC-02]],E$5, FALSE)</f>
        <v>#N/A</v>
      </c>
      <c r="F1025" s="22" t="e">
        <f>VLOOKUP($A1025,TAB_AMORTIZACAO_U[[Q_DIAS_U_PARC_TIR]:[V_FUT_U_PCPL-02]], F$5, FALSE)</f>
        <v>#N/A</v>
      </c>
      <c r="H1025" s="20">
        <f t="shared" si="82"/>
        <v>0</v>
      </c>
      <c r="I1025" s="21">
        <f t="shared" si="83"/>
        <v>0</v>
      </c>
      <c r="J1025" s="22" t="e">
        <f>VLOOKUP($A1025, TAB_JUROS_C[[DIAS_CORRIDOS]:[V_FUT_UTEIS]], J$5, FALSE)</f>
        <v>#N/A</v>
      </c>
      <c r="K1025" s="22" t="e">
        <f>VLOOKUP($A1025, TAB_CORRECAO_C[[DIAS_CORRIDOS]:[V_FUT_UTEIS]],K$5, FALSE)</f>
        <v>#N/A</v>
      </c>
      <c r="L1025" s="22" t="e">
        <f>VLOOKUP($A1025, TAB_AMORTIZACAO_C[[DIAS_CORRIDOS]:[V_FUT_UTEIS]], L$5, FALSE)</f>
        <v>#N/A</v>
      </c>
    </row>
    <row r="1026" spans="1:12" hidden="1">
      <c r="A1026" s="19">
        <f t="shared" si="84"/>
        <v>1020</v>
      </c>
      <c r="B1026" s="20">
        <f t="shared" si="80"/>
        <v>0</v>
      </c>
      <c r="C1026" s="21">
        <f t="shared" si="81"/>
        <v>0</v>
      </c>
      <c r="D1026" s="22" t="e">
        <f>VLOOKUP($A1026, TAB_JUROS_U[[Q_DIAS_U_PARC_TIR]:[V_FUT_U_JURS CENARIO]], D$5, FALSE)</f>
        <v>#N/A</v>
      </c>
      <c r="E1026" s="22" t="e">
        <f>VLOOKUP($A1026,TAB_CORRECAO_U[[Q_DIAS_U_PARC_TIR]:[V_FUT_U_CORC-02]],E$5, FALSE)</f>
        <v>#N/A</v>
      </c>
      <c r="F1026" s="22" t="e">
        <f>VLOOKUP($A1026,TAB_AMORTIZACAO_U[[Q_DIAS_U_PARC_TIR]:[V_FUT_U_PCPL-02]], F$5, FALSE)</f>
        <v>#N/A</v>
      </c>
      <c r="H1026" s="20">
        <f t="shared" si="82"/>
        <v>0</v>
      </c>
      <c r="I1026" s="21">
        <f t="shared" si="83"/>
        <v>0</v>
      </c>
      <c r="J1026" s="22" t="e">
        <f>VLOOKUP($A1026, TAB_JUROS_C[[DIAS_CORRIDOS]:[V_FUT_UTEIS]], J$5, FALSE)</f>
        <v>#N/A</v>
      </c>
      <c r="K1026" s="22" t="e">
        <f>VLOOKUP($A1026, TAB_CORRECAO_C[[DIAS_CORRIDOS]:[V_FUT_UTEIS]],K$5, FALSE)</f>
        <v>#N/A</v>
      </c>
      <c r="L1026" s="22" t="e">
        <f>VLOOKUP($A1026, TAB_AMORTIZACAO_C[[DIAS_CORRIDOS]:[V_FUT_UTEIS]], L$5, FALSE)</f>
        <v>#N/A</v>
      </c>
    </row>
    <row r="1027" spans="1:12" hidden="1">
      <c r="A1027" s="19">
        <f t="shared" si="84"/>
        <v>1021</v>
      </c>
      <c r="B1027" s="20">
        <f t="shared" si="80"/>
        <v>0</v>
      </c>
      <c r="C1027" s="21">
        <f t="shared" si="81"/>
        <v>0</v>
      </c>
      <c r="D1027" s="22" t="e">
        <f>VLOOKUP($A1027, TAB_JUROS_U[[Q_DIAS_U_PARC_TIR]:[V_FUT_U_JURS CENARIO]], D$5, FALSE)</f>
        <v>#N/A</v>
      </c>
      <c r="E1027" s="22" t="e">
        <f>VLOOKUP($A1027,TAB_CORRECAO_U[[Q_DIAS_U_PARC_TIR]:[V_FUT_U_CORC-02]],E$5, FALSE)</f>
        <v>#N/A</v>
      </c>
      <c r="F1027" s="22" t="e">
        <f>VLOOKUP($A1027,TAB_AMORTIZACAO_U[[Q_DIAS_U_PARC_TIR]:[V_FUT_U_PCPL-02]], F$5, FALSE)</f>
        <v>#N/A</v>
      </c>
      <c r="H1027" s="20">
        <f t="shared" si="82"/>
        <v>0</v>
      </c>
      <c r="I1027" s="21">
        <f t="shared" si="83"/>
        <v>0</v>
      </c>
      <c r="J1027" s="22" t="e">
        <f>VLOOKUP($A1027, TAB_JUROS_C[[DIAS_CORRIDOS]:[V_FUT_UTEIS]], J$5, FALSE)</f>
        <v>#N/A</v>
      </c>
      <c r="K1027" s="22" t="e">
        <f>VLOOKUP($A1027, TAB_CORRECAO_C[[DIAS_CORRIDOS]:[V_FUT_UTEIS]],K$5, FALSE)</f>
        <v>#N/A</v>
      </c>
      <c r="L1027" s="22" t="e">
        <f>VLOOKUP($A1027, TAB_AMORTIZACAO_C[[DIAS_CORRIDOS]:[V_FUT_UTEIS]], L$5, FALSE)</f>
        <v>#N/A</v>
      </c>
    </row>
    <row r="1028" spans="1:12" hidden="1">
      <c r="A1028" s="19">
        <f t="shared" si="84"/>
        <v>1022</v>
      </c>
      <c r="B1028" s="20">
        <f t="shared" si="80"/>
        <v>0</v>
      </c>
      <c r="C1028" s="21">
        <f t="shared" si="81"/>
        <v>0</v>
      </c>
      <c r="D1028" s="22" t="e">
        <f>VLOOKUP($A1028, TAB_JUROS_U[[Q_DIAS_U_PARC_TIR]:[V_FUT_U_JURS CENARIO]], D$5, FALSE)</f>
        <v>#N/A</v>
      </c>
      <c r="E1028" s="22" t="e">
        <f>VLOOKUP($A1028,TAB_CORRECAO_U[[Q_DIAS_U_PARC_TIR]:[V_FUT_U_CORC-02]],E$5, FALSE)</f>
        <v>#N/A</v>
      </c>
      <c r="F1028" s="22" t="e">
        <f>VLOOKUP($A1028,TAB_AMORTIZACAO_U[[Q_DIAS_U_PARC_TIR]:[V_FUT_U_PCPL-02]], F$5, FALSE)</f>
        <v>#N/A</v>
      </c>
      <c r="H1028" s="20">
        <f t="shared" si="82"/>
        <v>0</v>
      </c>
      <c r="I1028" s="21">
        <f t="shared" si="83"/>
        <v>0</v>
      </c>
      <c r="J1028" s="22" t="e">
        <f>VLOOKUP($A1028, TAB_JUROS_C[[DIAS_CORRIDOS]:[V_FUT_UTEIS]], J$5, FALSE)</f>
        <v>#N/A</v>
      </c>
      <c r="K1028" s="22" t="e">
        <f>VLOOKUP($A1028, TAB_CORRECAO_C[[DIAS_CORRIDOS]:[V_FUT_UTEIS]],K$5, FALSE)</f>
        <v>#N/A</v>
      </c>
      <c r="L1028" s="22" t="e">
        <f>VLOOKUP($A1028, TAB_AMORTIZACAO_C[[DIAS_CORRIDOS]:[V_FUT_UTEIS]], L$5, FALSE)</f>
        <v>#N/A</v>
      </c>
    </row>
    <row r="1029" spans="1:12" hidden="1">
      <c r="A1029" s="19">
        <f t="shared" si="84"/>
        <v>1023</v>
      </c>
      <c r="B1029" s="20">
        <f t="shared" si="80"/>
        <v>0</v>
      </c>
      <c r="C1029" s="21">
        <f t="shared" si="81"/>
        <v>0</v>
      </c>
      <c r="D1029" s="22" t="e">
        <f>VLOOKUP($A1029, TAB_JUROS_U[[Q_DIAS_U_PARC_TIR]:[V_FUT_U_JURS CENARIO]], D$5, FALSE)</f>
        <v>#N/A</v>
      </c>
      <c r="E1029" s="22" t="e">
        <f>VLOOKUP($A1029,TAB_CORRECAO_U[[Q_DIAS_U_PARC_TIR]:[V_FUT_U_CORC-02]],E$5, FALSE)</f>
        <v>#N/A</v>
      </c>
      <c r="F1029" s="22" t="e">
        <f>VLOOKUP($A1029,TAB_AMORTIZACAO_U[[Q_DIAS_U_PARC_TIR]:[V_FUT_U_PCPL-02]], F$5, FALSE)</f>
        <v>#N/A</v>
      </c>
      <c r="H1029" s="20">
        <f t="shared" si="82"/>
        <v>0</v>
      </c>
      <c r="I1029" s="21">
        <f t="shared" si="83"/>
        <v>0</v>
      </c>
      <c r="J1029" s="22" t="e">
        <f>VLOOKUP($A1029, TAB_JUROS_C[[DIAS_CORRIDOS]:[V_FUT_UTEIS]], J$5, FALSE)</f>
        <v>#N/A</v>
      </c>
      <c r="K1029" s="22" t="e">
        <f>VLOOKUP($A1029, TAB_CORRECAO_C[[DIAS_CORRIDOS]:[V_FUT_UTEIS]],K$5, FALSE)</f>
        <v>#N/A</v>
      </c>
      <c r="L1029" s="22" t="e">
        <f>VLOOKUP($A1029, TAB_AMORTIZACAO_C[[DIAS_CORRIDOS]:[V_FUT_UTEIS]], L$5, FALSE)</f>
        <v>#N/A</v>
      </c>
    </row>
    <row r="1030" spans="1:12" hidden="1">
      <c r="A1030" s="19">
        <f t="shared" si="84"/>
        <v>1024</v>
      </c>
      <c r="B1030" s="20">
        <f t="shared" si="80"/>
        <v>0</v>
      </c>
      <c r="C1030" s="21">
        <f t="shared" si="81"/>
        <v>0</v>
      </c>
      <c r="D1030" s="22" t="e">
        <f>VLOOKUP($A1030, TAB_JUROS_U[[Q_DIAS_U_PARC_TIR]:[V_FUT_U_JURS CENARIO]], D$5, FALSE)</f>
        <v>#N/A</v>
      </c>
      <c r="E1030" s="22" t="e">
        <f>VLOOKUP($A1030,TAB_CORRECAO_U[[Q_DIAS_U_PARC_TIR]:[V_FUT_U_CORC-02]],E$5, FALSE)</f>
        <v>#N/A</v>
      </c>
      <c r="F1030" s="22" t="e">
        <f>VLOOKUP($A1030,TAB_AMORTIZACAO_U[[Q_DIAS_U_PARC_TIR]:[V_FUT_U_PCPL-02]], F$5, FALSE)</f>
        <v>#N/A</v>
      </c>
      <c r="H1030" s="20">
        <f t="shared" si="82"/>
        <v>0</v>
      </c>
      <c r="I1030" s="21">
        <f t="shared" si="83"/>
        <v>0</v>
      </c>
      <c r="J1030" s="22" t="e">
        <f>VLOOKUP($A1030, TAB_JUROS_C[[DIAS_CORRIDOS]:[V_FUT_UTEIS]], J$5, FALSE)</f>
        <v>#N/A</v>
      </c>
      <c r="K1030" s="22" t="e">
        <f>VLOOKUP($A1030, TAB_CORRECAO_C[[DIAS_CORRIDOS]:[V_FUT_UTEIS]],K$5, FALSE)</f>
        <v>#N/A</v>
      </c>
      <c r="L1030" s="22" t="e">
        <f>VLOOKUP($A1030, TAB_AMORTIZACAO_C[[DIAS_CORRIDOS]:[V_FUT_UTEIS]], L$5, FALSE)</f>
        <v>#N/A</v>
      </c>
    </row>
    <row r="1031" spans="1:12" hidden="1">
      <c r="A1031" s="19">
        <f t="shared" si="84"/>
        <v>1025</v>
      </c>
      <c r="B1031" s="20">
        <f t="shared" si="80"/>
        <v>0</v>
      </c>
      <c r="C1031" s="21">
        <f t="shared" si="81"/>
        <v>0</v>
      </c>
      <c r="D1031" s="22" t="e">
        <f>VLOOKUP($A1031, TAB_JUROS_U[[Q_DIAS_U_PARC_TIR]:[V_FUT_U_JURS CENARIO]], D$5, FALSE)</f>
        <v>#N/A</v>
      </c>
      <c r="E1031" s="22" t="e">
        <f>VLOOKUP($A1031,TAB_CORRECAO_U[[Q_DIAS_U_PARC_TIR]:[V_FUT_U_CORC-02]],E$5, FALSE)</f>
        <v>#N/A</v>
      </c>
      <c r="F1031" s="22" t="e">
        <f>VLOOKUP($A1031,TAB_AMORTIZACAO_U[[Q_DIAS_U_PARC_TIR]:[V_FUT_U_PCPL-02]], F$5, FALSE)</f>
        <v>#N/A</v>
      </c>
      <c r="H1031" s="20">
        <f t="shared" si="82"/>
        <v>0</v>
      </c>
      <c r="I1031" s="21">
        <f t="shared" si="83"/>
        <v>0</v>
      </c>
      <c r="J1031" s="22" t="e">
        <f>VLOOKUP($A1031, TAB_JUROS_C[[DIAS_CORRIDOS]:[V_FUT_UTEIS]], J$5, FALSE)</f>
        <v>#N/A</v>
      </c>
      <c r="K1031" s="22" t="e">
        <f>VLOOKUP($A1031, TAB_CORRECAO_C[[DIAS_CORRIDOS]:[V_FUT_UTEIS]],K$5, FALSE)</f>
        <v>#N/A</v>
      </c>
      <c r="L1031" s="22" t="e">
        <f>VLOOKUP($A1031, TAB_AMORTIZACAO_C[[DIAS_CORRIDOS]:[V_FUT_UTEIS]], L$5, FALSE)</f>
        <v>#N/A</v>
      </c>
    </row>
    <row r="1032" spans="1:12" hidden="1">
      <c r="A1032" s="19">
        <f t="shared" si="84"/>
        <v>1026</v>
      </c>
      <c r="B1032" s="20">
        <f t="shared" si="80"/>
        <v>0</v>
      </c>
      <c r="C1032" s="21">
        <f t="shared" si="81"/>
        <v>0</v>
      </c>
      <c r="D1032" s="22" t="e">
        <f>VLOOKUP($A1032, TAB_JUROS_U[[Q_DIAS_U_PARC_TIR]:[V_FUT_U_JURS CENARIO]], D$5, FALSE)</f>
        <v>#N/A</v>
      </c>
      <c r="E1032" s="22" t="e">
        <f>VLOOKUP($A1032,TAB_CORRECAO_U[[Q_DIAS_U_PARC_TIR]:[V_FUT_U_CORC-02]],E$5, FALSE)</f>
        <v>#N/A</v>
      </c>
      <c r="F1032" s="22" t="e">
        <f>VLOOKUP($A1032,TAB_AMORTIZACAO_U[[Q_DIAS_U_PARC_TIR]:[V_FUT_U_PCPL-02]], F$5, FALSE)</f>
        <v>#N/A</v>
      </c>
      <c r="H1032" s="20">
        <f t="shared" si="82"/>
        <v>0</v>
      </c>
      <c r="I1032" s="21">
        <f t="shared" si="83"/>
        <v>0</v>
      </c>
      <c r="J1032" s="22" t="e">
        <f>VLOOKUP($A1032, TAB_JUROS_C[[DIAS_CORRIDOS]:[V_FUT_UTEIS]], J$5, FALSE)</f>
        <v>#N/A</v>
      </c>
      <c r="K1032" s="22" t="e">
        <f>VLOOKUP($A1032, TAB_CORRECAO_C[[DIAS_CORRIDOS]:[V_FUT_UTEIS]],K$5, FALSE)</f>
        <v>#N/A</v>
      </c>
      <c r="L1032" s="22" t="e">
        <f>VLOOKUP($A1032, TAB_AMORTIZACAO_C[[DIAS_CORRIDOS]:[V_FUT_UTEIS]], L$5, FALSE)</f>
        <v>#N/A</v>
      </c>
    </row>
    <row r="1033" spans="1:12" hidden="1">
      <c r="A1033" s="19">
        <f t="shared" si="84"/>
        <v>1027</v>
      </c>
      <c r="B1033" s="20">
        <f t="shared" ref="B1033:B1096" si="85">IF(ISERROR(C1033), 0, C1033)</f>
        <v>0</v>
      </c>
      <c r="C1033" s="21">
        <f t="shared" ref="C1033:C1096" si="86">SUMIF(D1033:F1033, "&gt;0", D1033:F1033)</f>
        <v>0</v>
      </c>
      <c r="D1033" s="22" t="e">
        <f>VLOOKUP($A1033, TAB_JUROS_U[[Q_DIAS_U_PARC_TIR]:[V_FUT_U_JURS CENARIO]], D$5, FALSE)</f>
        <v>#N/A</v>
      </c>
      <c r="E1033" s="22" t="e">
        <f>VLOOKUP($A1033,TAB_CORRECAO_U[[Q_DIAS_U_PARC_TIR]:[V_FUT_U_CORC-02]],E$5, FALSE)</f>
        <v>#N/A</v>
      </c>
      <c r="F1033" s="22" t="e">
        <f>VLOOKUP($A1033,TAB_AMORTIZACAO_U[[Q_DIAS_U_PARC_TIR]:[V_FUT_U_PCPL-02]], F$5, FALSE)</f>
        <v>#N/A</v>
      </c>
      <c r="H1033" s="20">
        <f t="shared" ref="H1033:H1096" si="87">IF(ISERROR(I1033), 0, I1033)</f>
        <v>0</v>
      </c>
      <c r="I1033" s="21">
        <f t="shared" ref="I1033:I1096" si="88">SUMIF(J1033:L1033, "&gt;0", J1033:L1033)</f>
        <v>0</v>
      </c>
      <c r="J1033" s="22" t="e">
        <f>VLOOKUP($A1033, TAB_JUROS_C[[DIAS_CORRIDOS]:[V_FUT_UTEIS]], J$5, FALSE)</f>
        <v>#N/A</v>
      </c>
      <c r="K1033" s="22" t="e">
        <f>VLOOKUP($A1033, TAB_CORRECAO_C[[DIAS_CORRIDOS]:[V_FUT_UTEIS]],K$5, FALSE)</f>
        <v>#N/A</v>
      </c>
      <c r="L1033" s="22" t="e">
        <f>VLOOKUP($A1033, TAB_AMORTIZACAO_C[[DIAS_CORRIDOS]:[V_FUT_UTEIS]], L$5, FALSE)</f>
        <v>#N/A</v>
      </c>
    </row>
    <row r="1034" spans="1:12" hidden="1">
      <c r="A1034" s="19">
        <f t="shared" ref="A1034:A1097" si="89">A1033+1</f>
        <v>1028</v>
      </c>
      <c r="B1034" s="20">
        <f t="shared" si="85"/>
        <v>0</v>
      </c>
      <c r="C1034" s="21">
        <f t="shared" si="86"/>
        <v>0</v>
      </c>
      <c r="D1034" s="22" t="e">
        <f>VLOOKUP($A1034, TAB_JUROS_U[[Q_DIAS_U_PARC_TIR]:[V_FUT_U_JURS CENARIO]], D$5, FALSE)</f>
        <v>#N/A</v>
      </c>
      <c r="E1034" s="22" t="e">
        <f>VLOOKUP($A1034,TAB_CORRECAO_U[[Q_DIAS_U_PARC_TIR]:[V_FUT_U_CORC-02]],E$5, FALSE)</f>
        <v>#N/A</v>
      </c>
      <c r="F1034" s="22" t="e">
        <f>VLOOKUP($A1034,TAB_AMORTIZACAO_U[[Q_DIAS_U_PARC_TIR]:[V_FUT_U_PCPL-02]], F$5, FALSE)</f>
        <v>#N/A</v>
      </c>
      <c r="H1034" s="20">
        <f t="shared" si="87"/>
        <v>0</v>
      </c>
      <c r="I1034" s="21">
        <f t="shared" si="88"/>
        <v>0</v>
      </c>
      <c r="J1034" s="22" t="e">
        <f>VLOOKUP($A1034, TAB_JUROS_C[[DIAS_CORRIDOS]:[V_FUT_UTEIS]], J$5, FALSE)</f>
        <v>#N/A</v>
      </c>
      <c r="K1034" s="22" t="e">
        <f>VLOOKUP($A1034, TAB_CORRECAO_C[[DIAS_CORRIDOS]:[V_FUT_UTEIS]],K$5, FALSE)</f>
        <v>#N/A</v>
      </c>
      <c r="L1034" s="22" t="e">
        <f>VLOOKUP($A1034, TAB_AMORTIZACAO_C[[DIAS_CORRIDOS]:[V_FUT_UTEIS]], L$5, FALSE)</f>
        <v>#N/A</v>
      </c>
    </row>
    <row r="1035" spans="1:12" hidden="1">
      <c r="A1035" s="19">
        <f t="shared" si="89"/>
        <v>1029</v>
      </c>
      <c r="B1035" s="20">
        <f t="shared" si="85"/>
        <v>0</v>
      </c>
      <c r="C1035" s="21">
        <f t="shared" si="86"/>
        <v>0</v>
      </c>
      <c r="D1035" s="22" t="e">
        <f>VLOOKUP($A1035, TAB_JUROS_U[[Q_DIAS_U_PARC_TIR]:[V_FUT_U_JURS CENARIO]], D$5, FALSE)</f>
        <v>#N/A</v>
      </c>
      <c r="E1035" s="22" t="e">
        <f>VLOOKUP($A1035,TAB_CORRECAO_U[[Q_DIAS_U_PARC_TIR]:[V_FUT_U_CORC-02]],E$5, FALSE)</f>
        <v>#N/A</v>
      </c>
      <c r="F1035" s="22" t="e">
        <f>VLOOKUP($A1035,TAB_AMORTIZACAO_U[[Q_DIAS_U_PARC_TIR]:[V_FUT_U_PCPL-02]], F$5, FALSE)</f>
        <v>#N/A</v>
      </c>
      <c r="H1035" s="20">
        <f t="shared" si="87"/>
        <v>0</v>
      </c>
      <c r="I1035" s="21">
        <f t="shared" si="88"/>
        <v>0</v>
      </c>
      <c r="J1035" s="22" t="e">
        <f>VLOOKUP($A1035, TAB_JUROS_C[[DIAS_CORRIDOS]:[V_FUT_UTEIS]], J$5, FALSE)</f>
        <v>#N/A</v>
      </c>
      <c r="K1035" s="22" t="e">
        <f>VLOOKUP($A1035, TAB_CORRECAO_C[[DIAS_CORRIDOS]:[V_FUT_UTEIS]],K$5, FALSE)</f>
        <v>#N/A</v>
      </c>
      <c r="L1035" s="22" t="e">
        <f>VLOOKUP($A1035, TAB_AMORTIZACAO_C[[DIAS_CORRIDOS]:[V_FUT_UTEIS]], L$5, FALSE)</f>
        <v>#N/A</v>
      </c>
    </row>
    <row r="1036" spans="1:12" hidden="1">
      <c r="A1036" s="19">
        <f t="shared" si="89"/>
        <v>1030</v>
      </c>
      <c r="B1036" s="20">
        <f t="shared" si="85"/>
        <v>0</v>
      </c>
      <c r="C1036" s="21">
        <f t="shared" si="86"/>
        <v>0</v>
      </c>
      <c r="D1036" s="22" t="e">
        <f>VLOOKUP($A1036, TAB_JUROS_U[[Q_DIAS_U_PARC_TIR]:[V_FUT_U_JURS CENARIO]], D$5, FALSE)</f>
        <v>#N/A</v>
      </c>
      <c r="E1036" s="22" t="e">
        <f>VLOOKUP($A1036,TAB_CORRECAO_U[[Q_DIAS_U_PARC_TIR]:[V_FUT_U_CORC-02]],E$5, FALSE)</f>
        <v>#N/A</v>
      </c>
      <c r="F1036" s="22" t="e">
        <f>VLOOKUP($A1036,TAB_AMORTIZACAO_U[[Q_DIAS_U_PARC_TIR]:[V_FUT_U_PCPL-02]], F$5, FALSE)</f>
        <v>#N/A</v>
      </c>
      <c r="H1036" s="20">
        <f t="shared" si="87"/>
        <v>0</v>
      </c>
      <c r="I1036" s="21">
        <f t="shared" si="88"/>
        <v>0</v>
      </c>
      <c r="J1036" s="22" t="e">
        <f>VLOOKUP($A1036, TAB_JUROS_C[[DIAS_CORRIDOS]:[V_FUT_UTEIS]], J$5, FALSE)</f>
        <v>#N/A</v>
      </c>
      <c r="K1036" s="22" t="e">
        <f>VLOOKUP($A1036, TAB_CORRECAO_C[[DIAS_CORRIDOS]:[V_FUT_UTEIS]],K$5, FALSE)</f>
        <v>#N/A</v>
      </c>
      <c r="L1036" s="22" t="e">
        <f>VLOOKUP($A1036, TAB_AMORTIZACAO_C[[DIAS_CORRIDOS]:[V_FUT_UTEIS]], L$5, FALSE)</f>
        <v>#N/A</v>
      </c>
    </row>
    <row r="1037" spans="1:12" hidden="1">
      <c r="A1037" s="19">
        <f t="shared" si="89"/>
        <v>1031</v>
      </c>
      <c r="B1037" s="20">
        <f t="shared" si="85"/>
        <v>0</v>
      </c>
      <c r="C1037" s="21">
        <f t="shared" si="86"/>
        <v>0</v>
      </c>
      <c r="D1037" s="22" t="e">
        <f>VLOOKUP($A1037, TAB_JUROS_U[[Q_DIAS_U_PARC_TIR]:[V_FUT_U_JURS CENARIO]], D$5, FALSE)</f>
        <v>#N/A</v>
      </c>
      <c r="E1037" s="22" t="e">
        <f>VLOOKUP($A1037,TAB_CORRECAO_U[[Q_DIAS_U_PARC_TIR]:[V_FUT_U_CORC-02]],E$5, FALSE)</f>
        <v>#N/A</v>
      </c>
      <c r="F1037" s="22" t="e">
        <f>VLOOKUP($A1037,TAB_AMORTIZACAO_U[[Q_DIAS_U_PARC_TIR]:[V_FUT_U_PCPL-02]], F$5, FALSE)</f>
        <v>#N/A</v>
      </c>
      <c r="H1037" s="20">
        <f t="shared" si="87"/>
        <v>0</v>
      </c>
      <c r="I1037" s="21">
        <f t="shared" si="88"/>
        <v>0</v>
      </c>
      <c r="J1037" s="22" t="e">
        <f>VLOOKUP($A1037, TAB_JUROS_C[[DIAS_CORRIDOS]:[V_FUT_UTEIS]], J$5, FALSE)</f>
        <v>#N/A</v>
      </c>
      <c r="K1037" s="22" t="e">
        <f>VLOOKUP($A1037, TAB_CORRECAO_C[[DIAS_CORRIDOS]:[V_FUT_UTEIS]],K$5, FALSE)</f>
        <v>#N/A</v>
      </c>
      <c r="L1037" s="22" t="e">
        <f>VLOOKUP($A1037, TAB_AMORTIZACAO_C[[DIAS_CORRIDOS]:[V_FUT_UTEIS]], L$5, FALSE)</f>
        <v>#N/A</v>
      </c>
    </row>
    <row r="1038" spans="1:12" hidden="1">
      <c r="A1038" s="19">
        <f t="shared" si="89"/>
        <v>1032</v>
      </c>
      <c r="B1038" s="20">
        <f t="shared" si="85"/>
        <v>0</v>
      </c>
      <c r="C1038" s="21">
        <f t="shared" si="86"/>
        <v>0</v>
      </c>
      <c r="D1038" s="22" t="e">
        <f>VLOOKUP($A1038, TAB_JUROS_U[[Q_DIAS_U_PARC_TIR]:[V_FUT_U_JURS CENARIO]], D$5, FALSE)</f>
        <v>#N/A</v>
      </c>
      <c r="E1038" s="22" t="e">
        <f>VLOOKUP($A1038,TAB_CORRECAO_U[[Q_DIAS_U_PARC_TIR]:[V_FUT_U_CORC-02]],E$5, FALSE)</f>
        <v>#N/A</v>
      </c>
      <c r="F1038" s="22" t="e">
        <f>VLOOKUP($A1038,TAB_AMORTIZACAO_U[[Q_DIAS_U_PARC_TIR]:[V_FUT_U_PCPL-02]], F$5, FALSE)</f>
        <v>#N/A</v>
      </c>
      <c r="H1038" s="20">
        <f t="shared" si="87"/>
        <v>0</v>
      </c>
      <c r="I1038" s="21">
        <f t="shared" si="88"/>
        <v>0</v>
      </c>
      <c r="J1038" s="22" t="e">
        <f>VLOOKUP($A1038, TAB_JUROS_C[[DIAS_CORRIDOS]:[V_FUT_UTEIS]], J$5, FALSE)</f>
        <v>#N/A</v>
      </c>
      <c r="K1038" s="22" t="e">
        <f>VLOOKUP($A1038, TAB_CORRECAO_C[[DIAS_CORRIDOS]:[V_FUT_UTEIS]],K$5, FALSE)</f>
        <v>#N/A</v>
      </c>
      <c r="L1038" s="22" t="e">
        <f>VLOOKUP($A1038, TAB_AMORTIZACAO_C[[DIAS_CORRIDOS]:[V_FUT_UTEIS]], L$5, FALSE)</f>
        <v>#N/A</v>
      </c>
    </row>
    <row r="1039" spans="1:12" hidden="1">
      <c r="A1039" s="19">
        <f t="shared" si="89"/>
        <v>1033</v>
      </c>
      <c r="B1039" s="20">
        <f t="shared" si="85"/>
        <v>0</v>
      </c>
      <c r="C1039" s="21">
        <f t="shared" si="86"/>
        <v>0</v>
      </c>
      <c r="D1039" s="22" t="e">
        <f>VLOOKUP($A1039, TAB_JUROS_U[[Q_DIAS_U_PARC_TIR]:[V_FUT_U_JURS CENARIO]], D$5, FALSE)</f>
        <v>#N/A</v>
      </c>
      <c r="E1039" s="22" t="e">
        <f>VLOOKUP($A1039,TAB_CORRECAO_U[[Q_DIAS_U_PARC_TIR]:[V_FUT_U_CORC-02]],E$5, FALSE)</f>
        <v>#N/A</v>
      </c>
      <c r="F1039" s="22" t="e">
        <f>VLOOKUP($A1039,TAB_AMORTIZACAO_U[[Q_DIAS_U_PARC_TIR]:[V_FUT_U_PCPL-02]], F$5, FALSE)</f>
        <v>#N/A</v>
      </c>
      <c r="H1039" s="20">
        <f t="shared" si="87"/>
        <v>0</v>
      </c>
      <c r="I1039" s="21">
        <f t="shared" si="88"/>
        <v>0</v>
      </c>
      <c r="J1039" s="22" t="e">
        <f>VLOOKUP($A1039, TAB_JUROS_C[[DIAS_CORRIDOS]:[V_FUT_UTEIS]], J$5, FALSE)</f>
        <v>#N/A</v>
      </c>
      <c r="K1039" s="22" t="e">
        <f>VLOOKUP($A1039, TAB_CORRECAO_C[[DIAS_CORRIDOS]:[V_FUT_UTEIS]],K$5, FALSE)</f>
        <v>#N/A</v>
      </c>
      <c r="L1039" s="22" t="e">
        <f>VLOOKUP($A1039, TAB_AMORTIZACAO_C[[DIAS_CORRIDOS]:[V_FUT_UTEIS]], L$5, FALSE)</f>
        <v>#N/A</v>
      </c>
    </row>
    <row r="1040" spans="1:12" hidden="1">
      <c r="A1040" s="19">
        <f t="shared" si="89"/>
        <v>1034</v>
      </c>
      <c r="B1040" s="20">
        <f t="shared" si="85"/>
        <v>0</v>
      </c>
      <c r="C1040" s="21">
        <f t="shared" si="86"/>
        <v>0</v>
      </c>
      <c r="D1040" s="22" t="e">
        <f>VLOOKUP($A1040, TAB_JUROS_U[[Q_DIAS_U_PARC_TIR]:[V_FUT_U_JURS CENARIO]], D$5, FALSE)</f>
        <v>#N/A</v>
      </c>
      <c r="E1040" s="22" t="e">
        <f>VLOOKUP($A1040,TAB_CORRECAO_U[[Q_DIAS_U_PARC_TIR]:[V_FUT_U_CORC-02]],E$5, FALSE)</f>
        <v>#N/A</v>
      </c>
      <c r="F1040" s="22" t="e">
        <f>VLOOKUP($A1040,TAB_AMORTIZACAO_U[[Q_DIAS_U_PARC_TIR]:[V_FUT_U_PCPL-02]], F$5, FALSE)</f>
        <v>#N/A</v>
      </c>
      <c r="H1040" s="20">
        <f t="shared" si="87"/>
        <v>0</v>
      </c>
      <c r="I1040" s="21">
        <f t="shared" si="88"/>
        <v>0</v>
      </c>
      <c r="J1040" s="22" t="e">
        <f>VLOOKUP($A1040, TAB_JUROS_C[[DIAS_CORRIDOS]:[V_FUT_UTEIS]], J$5, FALSE)</f>
        <v>#N/A</v>
      </c>
      <c r="K1040" s="22" t="e">
        <f>VLOOKUP($A1040, TAB_CORRECAO_C[[DIAS_CORRIDOS]:[V_FUT_UTEIS]],K$5, FALSE)</f>
        <v>#N/A</v>
      </c>
      <c r="L1040" s="22" t="e">
        <f>VLOOKUP($A1040, TAB_AMORTIZACAO_C[[DIAS_CORRIDOS]:[V_FUT_UTEIS]], L$5, FALSE)</f>
        <v>#N/A</v>
      </c>
    </row>
    <row r="1041" spans="1:12" hidden="1">
      <c r="A1041" s="19">
        <f t="shared" si="89"/>
        <v>1035</v>
      </c>
      <c r="B1041" s="20">
        <f t="shared" si="85"/>
        <v>0</v>
      </c>
      <c r="C1041" s="21">
        <f t="shared" si="86"/>
        <v>0</v>
      </c>
      <c r="D1041" s="22" t="e">
        <f>VLOOKUP($A1041, TAB_JUROS_U[[Q_DIAS_U_PARC_TIR]:[V_FUT_U_JURS CENARIO]], D$5, FALSE)</f>
        <v>#N/A</v>
      </c>
      <c r="E1041" s="22" t="e">
        <f>VLOOKUP($A1041,TAB_CORRECAO_U[[Q_DIAS_U_PARC_TIR]:[V_FUT_U_CORC-02]],E$5, FALSE)</f>
        <v>#N/A</v>
      </c>
      <c r="F1041" s="22" t="e">
        <f>VLOOKUP($A1041,TAB_AMORTIZACAO_U[[Q_DIAS_U_PARC_TIR]:[V_FUT_U_PCPL-02]], F$5, FALSE)</f>
        <v>#N/A</v>
      </c>
      <c r="H1041" s="20">
        <f t="shared" si="87"/>
        <v>0</v>
      </c>
      <c r="I1041" s="21">
        <f t="shared" si="88"/>
        <v>0</v>
      </c>
      <c r="J1041" s="22" t="e">
        <f>VLOOKUP($A1041, TAB_JUROS_C[[DIAS_CORRIDOS]:[V_FUT_UTEIS]], J$5, FALSE)</f>
        <v>#N/A</v>
      </c>
      <c r="K1041" s="22" t="e">
        <f>VLOOKUP($A1041, TAB_CORRECAO_C[[DIAS_CORRIDOS]:[V_FUT_UTEIS]],K$5, FALSE)</f>
        <v>#N/A</v>
      </c>
      <c r="L1041" s="22" t="e">
        <f>VLOOKUP($A1041, TAB_AMORTIZACAO_C[[DIAS_CORRIDOS]:[V_FUT_UTEIS]], L$5, FALSE)</f>
        <v>#N/A</v>
      </c>
    </row>
    <row r="1042" spans="1:12" hidden="1">
      <c r="A1042" s="19">
        <f t="shared" si="89"/>
        <v>1036</v>
      </c>
      <c r="B1042" s="20">
        <f t="shared" si="85"/>
        <v>0</v>
      </c>
      <c r="C1042" s="21">
        <f t="shared" si="86"/>
        <v>0</v>
      </c>
      <c r="D1042" s="22" t="e">
        <f>VLOOKUP($A1042, TAB_JUROS_U[[Q_DIAS_U_PARC_TIR]:[V_FUT_U_JURS CENARIO]], D$5, FALSE)</f>
        <v>#N/A</v>
      </c>
      <c r="E1042" s="22" t="e">
        <f>VLOOKUP($A1042,TAB_CORRECAO_U[[Q_DIAS_U_PARC_TIR]:[V_FUT_U_CORC-02]],E$5, FALSE)</f>
        <v>#N/A</v>
      </c>
      <c r="F1042" s="22" t="e">
        <f>VLOOKUP($A1042,TAB_AMORTIZACAO_U[[Q_DIAS_U_PARC_TIR]:[V_FUT_U_PCPL-02]], F$5, FALSE)</f>
        <v>#N/A</v>
      </c>
      <c r="H1042" s="20">
        <f t="shared" si="87"/>
        <v>0</v>
      </c>
      <c r="I1042" s="21">
        <f t="shared" si="88"/>
        <v>0</v>
      </c>
      <c r="J1042" s="22" t="e">
        <f>VLOOKUP($A1042, TAB_JUROS_C[[DIAS_CORRIDOS]:[V_FUT_UTEIS]], J$5, FALSE)</f>
        <v>#N/A</v>
      </c>
      <c r="K1042" s="22" t="e">
        <f>VLOOKUP($A1042, TAB_CORRECAO_C[[DIAS_CORRIDOS]:[V_FUT_UTEIS]],K$5, FALSE)</f>
        <v>#N/A</v>
      </c>
      <c r="L1042" s="22" t="e">
        <f>VLOOKUP($A1042, TAB_AMORTIZACAO_C[[DIAS_CORRIDOS]:[V_FUT_UTEIS]], L$5, FALSE)</f>
        <v>#N/A</v>
      </c>
    </row>
    <row r="1043" spans="1:12" hidden="1">
      <c r="A1043" s="19">
        <f t="shared" si="89"/>
        <v>1037</v>
      </c>
      <c r="B1043" s="20">
        <f t="shared" si="85"/>
        <v>0</v>
      </c>
      <c r="C1043" s="21">
        <f t="shared" si="86"/>
        <v>0</v>
      </c>
      <c r="D1043" s="22" t="e">
        <f>VLOOKUP($A1043, TAB_JUROS_U[[Q_DIAS_U_PARC_TIR]:[V_FUT_U_JURS CENARIO]], D$5, FALSE)</f>
        <v>#N/A</v>
      </c>
      <c r="E1043" s="22" t="e">
        <f>VLOOKUP($A1043,TAB_CORRECAO_U[[Q_DIAS_U_PARC_TIR]:[V_FUT_U_CORC-02]],E$5, FALSE)</f>
        <v>#N/A</v>
      </c>
      <c r="F1043" s="22" t="e">
        <f>VLOOKUP($A1043,TAB_AMORTIZACAO_U[[Q_DIAS_U_PARC_TIR]:[V_FUT_U_PCPL-02]], F$5, FALSE)</f>
        <v>#N/A</v>
      </c>
      <c r="H1043" s="20">
        <f t="shared" si="87"/>
        <v>0</v>
      </c>
      <c r="I1043" s="21">
        <f t="shared" si="88"/>
        <v>0</v>
      </c>
      <c r="J1043" s="22" t="e">
        <f>VLOOKUP($A1043, TAB_JUROS_C[[DIAS_CORRIDOS]:[V_FUT_UTEIS]], J$5, FALSE)</f>
        <v>#N/A</v>
      </c>
      <c r="K1043" s="22" t="e">
        <f>VLOOKUP($A1043, TAB_CORRECAO_C[[DIAS_CORRIDOS]:[V_FUT_UTEIS]],K$5, FALSE)</f>
        <v>#N/A</v>
      </c>
      <c r="L1043" s="22" t="e">
        <f>VLOOKUP($A1043, TAB_AMORTIZACAO_C[[DIAS_CORRIDOS]:[V_FUT_UTEIS]], L$5, FALSE)</f>
        <v>#N/A</v>
      </c>
    </row>
    <row r="1044" spans="1:12">
      <c r="A1044" s="19">
        <f t="shared" si="89"/>
        <v>1038</v>
      </c>
      <c r="B1044" s="20">
        <f t="shared" si="85"/>
        <v>879.13708024772438</v>
      </c>
      <c r="C1044" s="21">
        <f t="shared" si="86"/>
        <v>879.13708024772438</v>
      </c>
      <c r="D1044" s="22">
        <f>VLOOKUP($A1044, TAB_JUROS_U[[Q_DIAS_U_PARC_TIR]:[V_FUT_U_JURS CENARIO]], D$5, FALSE)</f>
        <v>67.493675355544994</v>
      </c>
      <c r="E1044" s="22">
        <f>VLOOKUP($A1044,TAB_CORRECAO_U[[Q_DIAS_U_PARC_TIR]:[V_FUT_U_CORC-02]],E$5, FALSE)</f>
        <v>404.01494291627154</v>
      </c>
      <c r="F1044" s="22">
        <f>VLOOKUP($A1044,TAB_AMORTIZACAO_U[[Q_DIAS_U_PARC_TIR]:[V_FUT_U_PCPL-02]], F$5, FALSE)</f>
        <v>407.62846197590784</v>
      </c>
      <c r="H1044" s="20">
        <f t="shared" si="87"/>
        <v>0</v>
      </c>
      <c r="I1044" s="21">
        <f t="shared" si="88"/>
        <v>0</v>
      </c>
      <c r="J1044" s="22" t="e">
        <f>VLOOKUP($A1044, TAB_JUROS_C[[DIAS_CORRIDOS]:[V_FUT_UTEIS]], J$5, FALSE)</f>
        <v>#N/A</v>
      </c>
      <c r="K1044" s="22" t="e">
        <f>VLOOKUP($A1044, TAB_CORRECAO_C[[DIAS_CORRIDOS]:[V_FUT_UTEIS]],K$5, FALSE)</f>
        <v>#N/A</v>
      </c>
      <c r="L1044" s="22" t="e">
        <f>VLOOKUP($A1044, TAB_AMORTIZACAO_C[[DIAS_CORRIDOS]:[V_FUT_UTEIS]], L$5, FALSE)</f>
        <v>#N/A</v>
      </c>
    </row>
    <row r="1045" spans="1:12" hidden="1">
      <c r="A1045" s="19">
        <f t="shared" si="89"/>
        <v>1039</v>
      </c>
      <c r="B1045" s="20">
        <f t="shared" si="85"/>
        <v>0</v>
      </c>
      <c r="C1045" s="21">
        <f t="shared" si="86"/>
        <v>0</v>
      </c>
      <c r="D1045" s="22" t="e">
        <f>VLOOKUP($A1045, TAB_JUROS_U[[Q_DIAS_U_PARC_TIR]:[V_FUT_U_JURS CENARIO]], D$5, FALSE)</f>
        <v>#N/A</v>
      </c>
      <c r="E1045" s="22" t="e">
        <f>VLOOKUP($A1045,TAB_CORRECAO_U[[Q_DIAS_U_PARC_TIR]:[V_FUT_U_CORC-02]],E$5, FALSE)</f>
        <v>#N/A</v>
      </c>
      <c r="F1045" s="22" t="e">
        <f>VLOOKUP($A1045,TAB_AMORTIZACAO_U[[Q_DIAS_U_PARC_TIR]:[V_FUT_U_PCPL-02]], F$5, FALSE)</f>
        <v>#N/A</v>
      </c>
      <c r="H1045" s="20">
        <f t="shared" si="87"/>
        <v>0</v>
      </c>
      <c r="I1045" s="21">
        <f t="shared" si="88"/>
        <v>0</v>
      </c>
      <c r="J1045" s="22" t="e">
        <f>VLOOKUP($A1045, TAB_JUROS_C[[DIAS_CORRIDOS]:[V_FUT_UTEIS]], J$5, FALSE)</f>
        <v>#N/A</v>
      </c>
      <c r="K1045" s="22" t="e">
        <f>VLOOKUP($A1045, TAB_CORRECAO_C[[DIAS_CORRIDOS]:[V_FUT_UTEIS]],K$5, FALSE)</f>
        <v>#N/A</v>
      </c>
      <c r="L1045" s="22" t="e">
        <f>VLOOKUP($A1045, TAB_AMORTIZACAO_C[[DIAS_CORRIDOS]:[V_FUT_UTEIS]], L$5, FALSE)</f>
        <v>#N/A</v>
      </c>
    </row>
    <row r="1046" spans="1:12" hidden="1">
      <c r="A1046" s="19">
        <f t="shared" si="89"/>
        <v>1040</v>
      </c>
      <c r="B1046" s="20">
        <f t="shared" si="85"/>
        <v>0</v>
      </c>
      <c r="C1046" s="21">
        <f t="shared" si="86"/>
        <v>0</v>
      </c>
      <c r="D1046" s="22" t="e">
        <f>VLOOKUP($A1046, TAB_JUROS_U[[Q_DIAS_U_PARC_TIR]:[V_FUT_U_JURS CENARIO]], D$5, FALSE)</f>
        <v>#N/A</v>
      </c>
      <c r="E1046" s="22" t="e">
        <f>VLOOKUP($A1046,TAB_CORRECAO_U[[Q_DIAS_U_PARC_TIR]:[V_FUT_U_CORC-02]],E$5, FALSE)</f>
        <v>#N/A</v>
      </c>
      <c r="F1046" s="22" t="e">
        <f>VLOOKUP($A1046,TAB_AMORTIZACAO_U[[Q_DIAS_U_PARC_TIR]:[V_FUT_U_PCPL-02]], F$5, FALSE)</f>
        <v>#N/A</v>
      </c>
      <c r="H1046" s="20">
        <f t="shared" si="87"/>
        <v>0</v>
      </c>
      <c r="I1046" s="21">
        <f t="shared" si="88"/>
        <v>0</v>
      </c>
      <c r="J1046" s="22" t="e">
        <f>VLOOKUP($A1046, TAB_JUROS_C[[DIAS_CORRIDOS]:[V_FUT_UTEIS]], J$5, FALSE)</f>
        <v>#N/A</v>
      </c>
      <c r="K1046" s="22" t="e">
        <f>VLOOKUP($A1046, TAB_CORRECAO_C[[DIAS_CORRIDOS]:[V_FUT_UTEIS]],K$5, FALSE)</f>
        <v>#N/A</v>
      </c>
      <c r="L1046" s="22" t="e">
        <f>VLOOKUP($A1046, TAB_AMORTIZACAO_C[[DIAS_CORRIDOS]:[V_FUT_UTEIS]], L$5, FALSE)</f>
        <v>#N/A</v>
      </c>
    </row>
    <row r="1047" spans="1:12" hidden="1">
      <c r="A1047" s="19">
        <f t="shared" si="89"/>
        <v>1041</v>
      </c>
      <c r="B1047" s="20">
        <f t="shared" si="85"/>
        <v>0</v>
      </c>
      <c r="C1047" s="21">
        <f t="shared" si="86"/>
        <v>0</v>
      </c>
      <c r="D1047" s="22" t="e">
        <f>VLOOKUP($A1047, TAB_JUROS_U[[Q_DIAS_U_PARC_TIR]:[V_FUT_U_JURS CENARIO]], D$5, FALSE)</f>
        <v>#N/A</v>
      </c>
      <c r="E1047" s="22" t="e">
        <f>VLOOKUP($A1047,TAB_CORRECAO_U[[Q_DIAS_U_PARC_TIR]:[V_FUT_U_CORC-02]],E$5, FALSE)</f>
        <v>#N/A</v>
      </c>
      <c r="F1047" s="22" t="e">
        <f>VLOOKUP($A1047,TAB_AMORTIZACAO_U[[Q_DIAS_U_PARC_TIR]:[V_FUT_U_PCPL-02]], F$5, FALSE)</f>
        <v>#N/A</v>
      </c>
      <c r="H1047" s="20">
        <f t="shared" si="87"/>
        <v>0</v>
      </c>
      <c r="I1047" s="21">
        <f t="shared" si="88"/>
        <v>0</v>
      </c>
      <c r="J1047" s="22" t="e">
        <f>VLOOKUP($A1047, TAB_JUROS_C[[DIAS_CORRIDOS]:[V_FUT_UTEIS]], J$5, FALSE)</f>
        <v>#N/A</v>
      </c>
      <c r="K1047" s="22" t="e">
        <f>VLOOKUP($A1047, TAB_CORRECAO_C[[DIAS_CORRIDOS]:[V_FUT_UTEIS]],K$5, FALSE)</f>
        <v>#N/A</v>
      </c>
      <c r="L1047" s="22" t="e">
        <f>VLOOKUP($A1047, TAB_AMORTIZACAO_C[[DIAS_CORRIDOS]:[V_FUT_UTEIS]], L$5, FALSE)</f>
        <v>#N/A</v>
      </c>
    </row>
    <row r="1048" spans="1:12" hidden="1">
      <c r="A1048" s="19">
        <f t="shared" si="89"/>
        <v>1042</v>
      </c>
      <c r="B1048" s="20">
        <f t="shared" si="85"/>
        <v>0</v>
      </c>
      <c r="C1048" s="21">
        <f t="shared" si="86"/>
        <v>0</v>
      </c>
      <c r="D1048" s="22" t="e">
        <f>VLOOKUP($A1048, TAB_JUROS_U[[Q_DIAS_U_PARC_TIR]:[V_FUT_U_JURS CENARIO]], D$5, FALSE)</f>
        <v>#N/A</v>
      </c>
      <c r="E1048" s="22" t="e">
        <f>VLOOKUP($A1048,TAB_CORRECAO_U[[Q_DIAS_U_PARC_TIR]:[V_FUT_U_CORC-02]],E$5, FALSE)</f>
        <v>#N/A</v>
      </c>
      <c r="F1048" s="22" t="e">
        <f>VLOOKUP($A1048,TAB_AMORTIZACAO_U[[Q_DIAS_U_PARC_TIR]:[V_FUT_U_PCPL-02]], F$5, FALSE)</f>
        <v>#N/A</v>
      </c>
      <c r="H1048" s="20">
        <f t="shared" si="87"/>
        <v>0</v>
      </c>
      <c r="I1048" s="21">
        <f t="shared" si="88"/>
        <v>0</v>
      </c>
      <c r="J1048" s="22" t="e">
        <f>VLOOKUP($A1048, TAB_JUROS_C[[DIAS_CORRIDOS]:[V_FUT_UTEIS]], J$5, FALSE)</f>
        <v>#N/A</v>
      </c>
      <c r="K1048" s="22" t="e">
        <f>VLOOKUP($A1048, TAB_CORRECAO_C[[DIAS_CORRIDOS]:[V_FUT_UTEIS]],K$5, FALSE)</f>
        <v>#N/A</v>
      </c>
      <c r="L1048" s="22" t="e">
        <f>VLOOKUP($A1048, TAB_AMORTIZACAO_C[[DIAS_CORRIDOS]:[V_FUT_UTEIS]], L$5, FALSE)</f>
        <v>#N/A</v>
      </c>
    </row>
    <row r="1049" spans="1:12" hidden="1">
      <c r="A1049" s="19">
        <f t="shared" si="89"/>
        <v>1043</v>
      </c>
      <c r="B1049" s="20">
        <f t="shared" si="85"/>
        <v>0</v>
      </c>
      <c r="C1049" s="21">
        <f t="shared" si="86"/>
        <v>0</v>
      </c>
      <c r="D1049" s="22" t="e">
        <f>VLOOKUP($A1049, TAB_JUROS_U[[Q_DIAS_U_PARC_TIR]:[V_FUT_U_JURS CENARIO]], D$5, FALSE)</f>
        <v>#N/A</v>
      </c>
      <c r="E1049" s="22" t="e">
        <f>VLOOKUP($A1049,TAB_CORRECAO_U[[Q_DIAS_U_PARC_TIR]:[V_FUT_U_CORC-02]],E$5, FALSE)</f>
        <v>#N/A</v>
      </c>
      <c r="F1049" s="22" t="e">
        <f>VLOOKUP($A1049,TAB_AMORTIZACAO_U[[Q_DIAS_U_PARC_TIR]:[V_FUT_U_PCPL-02]], F$5, FALSE)</f>
        <v>#N/A</v>
      </c>
      <c r="H1049" s="20">
        <f t="shared" si="87"/>
        <v>0</v>
      </c>
      <c r="I1049" s="21">
        <f t="shared" si="88"/>
        <v>0</v>
      </c>
      <c r="J1049" s="22" t="e">
        <f>VLOOKUP($A1049, TAB_JUROS_C[[DIAS_CORRIDOS]:[V_FUT_UTEIS]], J$5, FALSE)</f>
        <v>#N/A</v>
      </c>
      <c r="K1049" s="22" t="e">
        <f>VLOOKUP($A1049, TAB_CORRECAO_C[[DIAS_CORRIDOS]:[V_FUT_UTEIS]],K$5, FALSE)</f>
        <v>#N/A</v>
      </c>
      <c r="L1049" s="22" t="e">
        <f>VLOOKUP($A1049, TAB_AMORTIZACAO_C[[DIAS_CORRIDOS]:[V_FUT_UTEIS]], L$5, FALSE)</f>
        <v>#N/A</v>
      </c>
    </row>
    <row r="1050" spans="1:12" hidden="1">
      <c r="A1050" s="19">
        <f t="shared" si="89"/>
        <v>1044</v>
      </c>
      <c r="B1050" s="20">
        <f t="shared" si="85"/>
        <v>0</v>
      </c>
      <c r="C1050" s="21">
        <f t="shared" si="86"/>
        <v>0</v>
      </c>
      <c r="D1050" s="22" t="e">
        <f>VLOOKUP($A1050, TAB_JUROS_U[[Q_DIAS_U_PARC_TIR]:[V_FUT_U_JURS CENARIO]], D$5, FALSE)</f>
        <v>#N/A</v>
      </c>
      <c r="E1050" s="22" t="e">
        <f>VLOOKUP($A1050,TAB_CORRECAO_U[[Q_DIAS_U_PARC_TIR]:[V_FUT_U_CORC-02]],E$5, FALSE)</f>
        <v>#N/A</v>
      </c>
      <c r="F1050" s="22" t="e">
        <f>VLOOKUP($A1050,TAB_AMORTIZACAO_U[[Q_DIAS_U_PARC_TIR]:[V_FUT_U_PCPL-02]], F$5, FALSE)</f>
        <v>#N/A</v>
      </c>
      <c r="H1050" s="20">
        <f t="shared" si="87"/>
        <v>0</v>
      </c>
      <c r="I1050" s="21">
        <f t="shared" si="88"/>
        <v>0</v>
      </c>
      <c r="J1050" s="22" t="e">
        <f>VLOOKUP($A1050, TAB_JUROS_C[[DIAS_CORRIDOS]:[V_FUT_UTEIS]], J$5, FALSE)</f>
        <v>#N/A</v>
      </c>
      <c r="K1050" s="22" t="e">
        <f>VLOOKUP($A1050, TAB_CORRECAO_C[[DIAS_CORRIDOS]:[V_FUT_UTEIS]],K$5, FALSE)</f>
        <v>#N/A</v>
      </c>
      <c r="L1050" s="22" t="e">
        <f>VLOOKUP($A1050, TAB_AMORTIZACAO_C[[DIAS_CORRIDOS]:[V_FUT_UTEIS]], L$5, FALSE)</f>
        <v>#N/A</v>
      </c>
    </row>
    <row r="1051" spans="1:12" hidden="1">
      <c r="A1051" s="19">
        <f t="shared" si="89"/>
        <v>1045</v>
      </c>
      <c r="B1051" s="20">
        <f t="shared" si="85"/>
        <v>0</v>
      </c>
      <c r="C1051" s="21">
        <f t="shared" si="86"/>
        <v>0</v>
      </c>
      <c r="D1051" s="22" t="e">
        <f>VLOOKUP($A1051, TAB_JUROS_U[[Q_DIAS_U_PARC_TIR]:[V_FUT_U_JURS CENARIO]], D$5, FALSE)</f>
        <v>#N/A</v>
      </c>
      <c r="E1051" s="22" t="e">
        <f>VLOOKUP($A1051,TAB_CORRECAO_U[[Q_DIAS_U_PARC_TIR]:[V_FUT_U_CORC-02]],E$5, FALSE)</f>
        <v>#N/A</v>
      </c>
      <c r="F1051" s="22" t="e">
        <f>VLOOKUP($A1051,TAB_AMORTIZACAO_U[[Q_DIAS_U_PARC_TIR]:[V_FUT_U_PCPL-02]], F$5, FALSE)</f>
        <v>#N/A</v>
      </c>
      <c r="H1051" s="20">
        <f t="shared" si="87"/>
        <v>0</v>
      </c>
      <c r="I1051" s="21">
        <f t="shared" si="88"/>
        <v>0</v>
      </c>
      <c r="J1051" s="22" t="e">
        <f>VLOOKUP($A1051, TAB_JUROS_C[[DIAS_CORRIDOS]:[V_FUT_UTEIS]], J$5, FALSE)</f>
        <v>#N/A</v>
      </c>
      <c r="K1051" s="22" t="e">
        <f>VLOOKUP($A1051, TAB_CORRECAO_C[[DIAS_CORRIDOS]:[V_FUT_UTEIS]],K$5, FALSE)</f>
        <v>#N/A</v>
      </c>
      <c r="L1051" s="22" t="e">
        <f>VLOOKUP($A1051, TAB_AMORTIZACAO_C[[DIAS_CORRIDOS]:[V_FUT_UTEIS]], L$5, FALSE)</f>
        <v>#N/A</v>
      </c>
    </row>
    <row r="1052" spans="1:12" hidden="1">
      <c r="A1052" s="19">
        <f t="shared" si="89"/>
        <v>1046</v>
      </c>
      <c r="B1052" s="20">
        <f t="shared" si="85"/>
        <v>0</v>
      </c>
      <c r="C1052" s="21">
        <f t="shared" si="86"/>
        <v>0</v>
      </c>
      <c r="D1052" s="22" t="e">
        <f>VLOOKUP($A1052, TAB_JUROS_U[[Q_DIAS_U_PARC_TIR]:[V_FUT_U_JURS CENARIO]], D$5, FALSE)</f>
        <v>#N/A</v>
      </c>
      <c r="E1052" s="22" t="e">
        <f>VLOOKUP($A1052,TAB_CORRECAO_U[[Q_DIAS_U_PARC_TIR]:[V_FUT_U_CORC-02]],E$5, FALSE)</f>
        <v>#N/A</v>
      </c>
      <c r="F1052" s="22" t="e">
        <f>VLOOKUP($A1052,TAB_AMORTIZACAO_U[[Q_DIAS_U_PARC_TIR]:[V_FUT_U_PCPL-02]], F$5, FALSE)</f>
        <v>#N/A</v>
      </c>
      <c r="H1052" s="20">
        <f t="shared" si="87"/>
        <v>0</v>
      </c>
      <c r="I1052" s="21">
        <f t="shared" si="88"/>
        <v>0</v>
      </c>
      <c r="J1052" s="22" t="e">
        <f>VLOOKUP($A1052, TAB_JUROS_C[[DIAS_CORRIDOS]:[V_FUT_UTEIS]], J$5, FALSE)</f>
        <v>#N/A</v>
      </c>
      <c r="K1052" s="22" t="e">
        <f>VLOOKUP($A1052, TAB_CORRECAO_C[[DIAS_CORRIDOS]:[V_FUT_UTEIS]],K$5, FALSE)</f>
        <v>#N/A</v>
      </c>
      <c r="L1052" s="22" t="e">
        <f>VLOOKUP($A1052, TAB_AMORTIZACAO_C[[DIAS_CORRIDOS]:[V_FUT_UTEIS]], L$5, FALSE)</f>
        <v>#N/A</v>
      </c>
    </row>
    <row r="1053" spans="1:12" hidden="1">
      <c r="A1053" s="19">
        <f t="shared" si="89"/>
        <v>1047</v>
      </c>
      <c r="B1053" s="20">
        <f t="shared" si="85"/>
        <v>0</v>
      </c>
      <c r="C1053" s="21">
        <f t="shared" si="86"/>
        <v>0</v>
      </c>
      <c r="D1053" s="22" t="e">
        <f>VLOOKUP($A1053, TAB_JUROS_U[[Q_DIAS_U_PARC_TIR]:[V_FUT_U_JURS CENARIO]], D$5, FALSE)</f>
        <v>#N/A</v>
      </c>
      <c r="E1053" s="22" t="e">
        <f>VLOOKUP($A1053,TAB_CORRECAO_U[[Q_DIAS_U_PARC_TIR]:[V_FUT_U_CORC-02]],E$5, FALSE)</f>
        <v>#N/A</v>
      </c>
      <c r="F1053" s="22" t="e">
        <f>VLOOKUP($A1053,TAB_AMORTIZACAO_U[[Q_DIAS_U_PARC_TIR]:[V_FUT_U_PCPL-02]], F$5, FALSE)</f>
        <v>#N/A</v>
      </c>
      <c r="H1053" s="20">
        <f t="shared" si="87"/>
        <v>0</v>
      </c>
      <c r="I1053" s="21">
        <f t="shared" si="88"/>
        <v>0</v>
      </c>
      <c r="J1053" s="22" t="e">
        <f>VLOOKUP($A1053, TAB_JUROS_C[[DIAS_CORRIDOS]:[V_FUT_UTEIS]], J$5, FALSE)</f>
        <v>#N/A</v>
      </c>
      <c r="K1053" s="22" t="e">
        <f>VLOOKUP($A1053, TAB_CORRECAO_C[[DIAS_CORRIDOS]:[V_FUT_UTEIS]],K$5, FALSE)</f>
        <v>#N/A</v>
      </c>
      <c r="L1053" s="22" t="e">
        <f>VLOOKUP($A1053, TAB_AMORTIZACAO_C[[DIAS_CORRIDOS]:[V_FUT_UTEIS]], L$5, FALSE)</f>
        <v>#N/A</v>
      </c>
    </row>
    <row r="1054" spans="1:12" hidden="1">
      <c r="A1054" s="19">
        <f t="shared" si="89"/>
        <v>1048</v>
      </c>
      <c r="B1054" s="20">
        <f t="shared" si="85"/>
        <v>0</v>
      </c>
      <c r="C1054" s="21">
        <f t="shared" si="86"/>
        <v>0</v>
      </c>
      <c r="D1054" s="22" t="e">
        <f>VLOOKUP($A1054, TAB_JUROS_U[[Q_DIAS_U_PARC_TIR]:[V_FUT_U_JURS CENARIO]], D$5, FALSE)</f>
        <v>#N/A</v>
      </c>
      <c r="E1054" s="22" t="e">
        <f>VLOOKUP($A1054,TAB_CORRECAO_U[[Q_DIAS_U_PARC_TIR]:[V_FUT_U_CORC-02]],E$5, FALSE)</f>
        <v>#N/A</v>
      </c>
      <c r="F1054" s="22" t="e">
        <f>VLOOKUP($A1054,TAB_AMORTIZACAO_U[[Q_DIAS_U_PARC_TIR]:[V_FUT_U_PCPL-02]], F$5, FALSE)</f>
        <v>#N/A</v>
      </c>
      <c r="H1054" s="20">
        <f t="shared" si="87"/>
        <v>0</v>
      </c>
      <c r="I1054" s="21">
        <f t="shared" si="88"/>
        <v>0</v>
      </c>
      <c r="J1054" s="22" t="e">
        <f>VLOOKUP($A1054, TAB_JUROS_C[[DIAS_CORRIDOS]:[V_FUT_UTEIS]], J$5, FALSE)</f>
        <v>#N/A</v>
      </c>
      <c r="K1054" s="22" t="e">
        <f>VLOOKUP($A1054, TAB_CORRECAO_C[[DIAS_CORRIDOS]:[V_FUT_UTEIS]],K$5, FALSE)</f>
        <v>#N/A</v>
      </c>
      <c r="L1054" s="22" t="e">
        <f>VLOOKUP($A1054, TAB_AMORTIZACAO_C[[DIAS_CORRIDOS]:[V_FUT_UTEIS]], L$5, FALSE)</f>
        <v>#N/A</v>
      </c>
    </row>
    <row r="1055" spans="1:12" hidden="1">
      <c r="A1055" s="19">
        <f t="shared" si="89"/>
        <v>1049</v>
      </c>
      <c r="B1055" s="20">
        <f t="shared" si="85"/>
        <v>0</v>
      </c>
      <c r="C1055" s="21">
        <f t="shared" si="86"/>
        <v>0</v>
      </c>
      <c r="D1055" s="22" t="e">
        <f>VLOOKUP($A1055, TAB_JUROS_U[[Q_DIAS_U_PARC_TIR]:[V_FUT_U_JURS CENARIO]], D$5, FALSE)</f>
        <v>#N/A</v>
      </c>
      <c r="E1055" s="22" t="e">
        <f>VLOOKUP($A1055,TAB_CORRECAO_U[[Q_DIAS_U_PARC_TIR]:[V_FUT_U_CORC-02]],E$5, FALSE)</f>
        <v>#N/A</v>
      </c>
      <c r="F1055" s="22" t="e">
        <f>VLOOKUP($A1055,TAB_AMORTIZACAO_U[[Q_DIAS_U_PARC_TIR]:[V_FUT_U_PCPL-02]], F$5, FALSE)</f>
        <v>#N/A</v>
      </c>
      <c r="H1055" s="20">
        <f t="shared" si="87"/>
        <v>0</v>
      </c>
      <c r="I1055" s="21">
        <f t="shared" si="88"/>
        <v>0</v>
      </c>
      <c r="J1055" s="22" t="e">
        <f>VLOOKUP($A1055, TAB_JUROS_C[[DIAS_CORRIDOS]:[V_FUT_UTEIS]], J$5, FALSE)</f>
        <v>#N/A</v>
      </c>
      <c r="K1055" s="22" t="e">
        <f>VLOOKUP($A1055, TAB_CORRECAO_C[[DIAS_CORRIDOS]:[V_FUT_UTEIS]],K$5, FALSE)</f>
        <v>#N/A</v>
      </c>
      <c r="L1055" s="22" t="e">
        <f>VLOOKUP($A1055, TAB_AMORTIZACAO_C[[DIAS_CORRIDOS]:[V_FUT_UTEIS]], L$5, FALSE)</f>
        <v>#N/A</v>
      </c>
    </row>
    <row r="1056" spans="1:12" hidden="1">
      <c r="A1056" s="19">
        <f t="shared" si="89"/>
        <v>1050</v>
      </c>
      <c r="B1056" s="20">
        <f t="shared" si="85"/>
        <v>0</v>
      </c>
      <c r="C1056" s="21">
        <f t="shared" si="86"/>
        <v>0</v>
      </c>
      <c r="D1056" s="22" t="e">
        <f>VLOOKUP($A1056, TAB_JUROS_U[[Q_DIAS_U_PARC_TIR]:[V_FUT_U_JURS CENARIO]], D$5, FALSE)</f>
        <v>#N/A</v>
      </c>
      <c r="E1056" s="22" t="e">
        <f>VLOOKUP($A1056,TAB_CORRECAO_U[[Q_DIAS_U_PARC_TIR]:[V_FUT_U_CORC-02]],E$5, FALSE)</f>
        <v>#N/A</v>
      </c>
      <c r="F1056" s="22" t="e">
        <f>VLOOKUP($A1056,TAB_AMORTIZACAO_U[[Q_DIAS_U_PARC_TIR]:[V_FUT_U_PCPL-02]], F$5, FALSE)</f>
        <v>#N/A</v>
      </c>
      <c r="H1056" s="20">
        <f t="shared" si="87"/>
        <v>1222.956784778673</v>
      </c>
      <c r="I1056" s="21">
        <f t="shared" si="88"/>
        <v>1222.956784778673</v>
      </c>
      <c r="J1056" s="22">
        <f>VLOOKUP($A1056, TAB_JUROS_C[[DIAS_CORRIDOS]:[V_FUT_UTEIS]], J$5, FALSE)</f>
        <v>98.225336946653087</v>
      </c>
      <c r="K1056" s="22">
        <f>VLOOKUP($A1056, TAB_CORRECAO_C[[DIAS_CORRIDOS]:[V_FUT_UTEIS]],K$5, FALSE)</f>
        <v>623.54971521815378</v>
      </c>
      <c r="L1056" s="22">
        <f>VLOOKUP($A1056, TAB_AMORTIZACAO_C[[DIAS_CORRIDOS]:[V_FUT_UTEIS]], L$5, FALSE)</f>
        <v>501.18173261386607</v>
      </c>
    </row>
    <row r="1057" spans="1:12" hidden="1">
      <c r="A1057" s="19">
        <f t="shared" si="89"/>
        <v>1051</v>
      </c>
      <c r="B1057" s="20">
        <f t="shared" si="85"/>
        <v>0</v>
      </c>
      <c r="C1057" s="21">
        <f t="shared" si="86"/>
        <v>0</v>
      </c>
      <c r="D1057" s="22" t="e">
        <f>VLOOKUP($A1057, TAB_JUROS_U[[Q_DIAS_U_PARC_TIR]:[V_FUT_U_JURS CENARIO]], D$5, FALSE)</f>
        <v>#N/A</v>
      </c>
      <c r="E1057" s="22" t="e">
        <f>VLOOKUP($A1057,TAB_CORRECAO_U[[Q_DIAS_U_PARC_TIR]:[V_FUT_U_CORC-02]],E$5, FALSE)</f>
        <v>#N/A</v>
      </c>
      <c r="F1057" s="22" t="e">
        <f>VLOOKUP($A1057,TAB_AMORTIZACAO_U[[Q_DIAS_U_PARC_TIR]:[V_FUT_U_PCPL-02]], F$5, FALSE)</f>
        <v>#N/A</v>
      </c>
      <c r="H1057" s="20">
        <f t="shared" si="87"/>
        <v>0</v>
      </c>
      <c r="I1057" s="21">
        <f t="shared" si="88"/>
        <v>0</v>
      </c>
      <c r="J1057" s="22" t="e">
        <f>VLOOKUP($A1057, TAB_JUROS_C[[DIAS_CORRIDOS]:[V_FUT_UTEIS]], J$5, FALSE)</f>
        <v>#N/A</v>
      </c>
      <c r="K1057" s="22" t="e">
        <f>VLOOKUP($A1057, TAB_CORRECAO_C[[DIAS_CORRIDOS]:[V_FUT_UTEIS]],K$5, FALSE)</f>
        <v>#N/A</v>
      </c>
      <c r="L1057" s="22" t="e">
        <f>VLOOKUP($A1057, TAB_AMORTIZACAO_C[[DIAS_CORRIDOS]:[V_FUT_UTEIS]], L$5, FALSE)</f>
        <v>#N/A</v>
      </c>
    </row>
    <row r="1058" spans="1:12" hidden="1">
      <c r="A1058" s="19">
        <f t="shared" si="89"/>
        <v>1052</v>
      </c>
      <c r="B1058" s="20">
        <f t="shared" si="85"/>
        <v>0</v>
      </c>
      <c r="C1058" s="21">
        <f t="shared" si="86"/>
        <v>0</v>
      </c>
      <c r="D1058" s="22" t="e">
        <f>VLOOKUP($A1058, TAB_JUROS_U[[Q_DIAS_U_PARC_TIR]:[V_FUT_U_JURS CENARIO]], D$5, FALSE)</f>
        <v>#N/A</v>
      </c>
      <c r="E1058" s="22" t="e">
        <f>VLOOKUP($A1058,TAB_CORRECAO_U[[Q_DIAS_U_PARC_TIR]:[V_FUT_U_CORC-02]],E$5, FALSE)</f>
        <v>#N/A</v>
      </c>
      <c r="F1058" s="22" t="e">
        <f>VLOOKUP($A1058,TAB_AMORTIZACAO_U[[Q_DIAS_U_PARC_TIR]:[V_FUT_U_PCPL-02]], F$5, FALSE)</f>
        <v>#N/A</v>
      </c>
      <c r="H1058" s="20">
        <f t="shared" si="87"/>
        <v>0</v>
      </c>
      <c r="I1058" s="21">
        <f t="shared" si="88"/>
        <v>0</v>
      </c>
      <c r="J1058" s="22" t="e">
        <f>VLOOKUP($A1058, TAB_JUROS_C[[DIAS_CORRIDOS]:[V_FUT_UTEIS]], J$5, FALSE)</f>
        <v>#N/A</v>
      </c>
      <c r="K1058" s="22" t="e">
        <f>VLOOKUP($A1058, TAB_CORRECAO_C[[DIAS_CORRIDOS]:[V_FUT_UTEIS]],K$5, FALSE)</f>
        <v>#N/A</v>
      </c>
      <c r="L1058" s="22" t="e">
        <f>VLOOKUP($A1058, TAB_AMORTIZACAO_C[[DIAS_CORRIDOS]:[V_FUT_UTEIS]], L$5, FALSE)</f>
        <v>#N/A</v>
      </c>
    </row>
    <row r="1059" spans="1:12" hidden="1">
      <c r="A1059" s="19">
        <f t="shared" si="89"/>
        <v>1053</v>
      </c>
      <c r="B1059" s="20">
        <f t="shared" si="85"/>
        <v>0</v>
      </c>
      <c r="C1059" s="21">
        <f t="shared" si="86"/>
        <v>0</v>
      </c>
      <c r="D1059" s="22" t="e">
        <f>VLOOKUP($A1059, TAB_JUROS_U[[Q_DIAS_U_PARC_TIR]:[V_FUT_U_JURS CENARIO]], D$5, FALSE)</f>
        <v>#N/A</v>
      </c>
      <c r="E1059" s="22" t="e">
        <f>VLOOKUP($A1059,TAB_CORRECAO_U[[Q_DIAS_U_PARC_TIR]:[V_FUT_U_CORC-02]],E$5, FALSE)</f>
        <v>#N/A</v>
      </c>
      <c r="F1059" s="22" t="e">
        <f>VLOOKUP($A1059,TAB_AMORTIZACAO_U[[Q_DIAS_U_PARC_TIR]:[V_FUT_U_PCPL-02]], F$5, FALSE)</f>
        <v>#N/A</v>
      </c>
      <c r="H1059" s="20">
        <f t="shared" si="87"/>
        <v>0</v>
      </c>
      <c r="I1059" s="21">
        <f t="shared" si="88"/>
        <v>0</v>
      </c>
      <c r="J1059" s="22" t="e">
        <f>VLOOKUP($A1059, TAB_JUROS_C[[DIAS_CORRIDOS]:[V_FUT_UTEIS]], J$5, FALSE)</f>
        <v>#N/A</v>
      </c>
      <c r="K1059" s="22" t="e">
        <f>VLOOKUP($A1059, TAB_CORRECAO_C[[DIAS_CORRIDOS]:[V_FUT_UTEIS]],K$5, FALSE)</f>
        <v>#N/A</v>
      </c>
      <c r="L1059" s="22" t="e">
        <f>VLOOKUP($A1059, TAB_AMORTIZACAO_C[[DIAS_CORRIDOS]:[V_FUT_UTEIS]], L$5, FALSE)</f>
        <v>#N/A</v>
      </c>
    </row>
    <row r="1060" spans="1:12" hidden="1">
      <c r="A1060" s="19">
        <f t="shared" si="89"/>
        <v>1054</v>
      </c>
      <c r="B1060" s="20">
        <f t="shared" si="85"/>
        <v>0</v>
      </c>
      <c r="C1060" s="21">
        <f t="shared" si="86"/>
        <v>0</v>
      </c>
      <c r="D1060" s="22" t="e">
        <f>VLOOKUP($A1060, TAB_JUROS_U[[Q_DIAS_U_PARC_TIR]:[V_FUT_U_JURS CENARIO]], D$5, FALSE)</f>
        <v>#N/A</v>
      </c>
      <c r="E1060" s="22" t="e">
        <f>VLOOKUP($A1060,TAB_CORRECAO_U[[Q_DIAS_U_PARC_TIR]:[V_FUT_U_CORC-02]],E$5, FALSE)</f>
        <v>#N/A</v>
      </c>
      <c r="F1060" s="22" t="e">
        <f>VLOOKUP($A1060,TAB_AMORTIZACAO_U[[Q_DIAS_U_PARC_TIR]:[V_FUT_U_PCPL-02]], F$5, FALSE)</f>
        <v>#N/A</v>
      </c>
      <c r="H1060" s="20">
        <f t="shared" si="87"/>
        <v>0</v>
      </c>
      <c r="I1060" s="21">
        <f t="shared" si="88"/>
        <v>0</v>
      </c>
      <c r="J1060" s="22" t="e">
        <f>VLOOKUP($A1060, TAB_JUROS_C[[DIAS_CORRIDOS]:[V_FUT_UTEIS]], J$5, FALSE)</f>
        <v>#N/A</v>
      </c>
      <c r="K1060" s="22" t="e">
        <f>VLOOKUP($A1060, TAB_CORRECAO_C[[DIAS_CORRIDOS]:[V_FUT_UTEIS]],K$5, FALSE)</f>
        <v>#N/A</v>
      </c>
      <c r="L1060" s="22" t="e">
        <f>VLOOKUP($A1060, TAB_AMORTIZACAO_C[[DIAS_CORRIDOS]:[V_FUT_UTEIS]], L$5, FALSE)</f>
        <v>#N/A</v>
      </c>
    </row>
    <row r="1061" spans="1:12" hidden="1">
      <c r="A1061" s="19">
        <f t="shared" si="89"/>
        <v>1055</v>
      </c>
      <c r="B1061" s="20">
        <f t="shared" si="85"/>
        <v>0</v>
      </c>
      <c r="C1061" s="21">
        <f t="shared" si="86"/>
        <v>0</v>
      </c>
      <c r="D1061" s="22" t="e">
        <f>VLOOKUP($A1061, TAB_JUROS_U[[Q_DIAS_U_PARC_TIR]:[V_FUT_U_JURS CENARIO]], D$5, FALSE)</f>
        <v>#N/A</v>
      </c>
      <c r="E1061" s="22" t="e">
        <f>VLOOKUP($A1061,TAB_CORRECAO_U[[Q_DIAS_U_PARC_TIR]:[V_FUT_U_CORC-02]],E$5, FALSE)</f>
        <v>#N/A</v>
      </c>
      <c r="F1061" s="22" t="e">
        <f>VLOOKUP($A1061,TAB_AMORTIZACAO_U[[Q_DIAS_U_PARC_TIR]:[V_FUT_U_PCPL-02]], F$5, FALSE)</f>
        <v>#N/A</v>
      </c>
      <c r="H1061" s="20">
        <f t="shared" si="87"/>
        <v>0</v>
      </c>
      <c r="I1061" s="21">
        <f t="shared" si="88"/>
        <v>0</v>
      </c>
      <c r="J1061" s="22" t="e">
        <f>VLOOKUP($A1061, TAB_JUROS_C[[DIAS_CORRIDOS]:[V_FUT_UTEIS]], J$5, FALSE)</f>
        <v>#N/A</v>
      </c>
      <c r="K1061" s="22" t="e">
        <f>VLOOKUP($A1061, TAB_CORRECAO_C[[DIAS_CORRIDOS]:[V_FUT_UTEIS]],K$5, FALSE)</f>
        <v>#N/A</v>
      </c>
      <c r="L1061" s="22" t="e">
        <f>VLOOKUP($A1061, TAB_AMORTIZACAO_C[[DIAS_CORRIDOS]:[V_FUT_UTEIS]], L$5, FALSE)</f>
        <v>#N/A</v>
      </c>
    </row>
    <row r="1062" spans="1:12">
      <c r="A1062" s="19">
        <f t="shared" si="89"/>
        <v>1056</v>
      </c>
      <c r="B1062" s="20">
        <f t="shared" si="85"/>
        <v>787.55508001944372</v>
      </c>
      <c r="C1062" s="21">
        <f t="shared" si="86"/>
        <v>787.55508001944372</v>
      </c>
      <c r="D1062" s="22">
        <f>VLOOKUP($A1062, TAB_JUROS_U[[Q_DIAS_U_PARC_TIR]:[V_FUT_U_JURS CENARIO]], D$5, FALSE)</f>
        <v>53.779464285413646</v>
      </c>
      <c r="E1062" s="22">
        <f>VLOOKUP($A1062,TAB_CORRECAO_U[[Q_DIAS_U_PARC_TIR]:[V_FUT_U_CORC-02]],E$5, FALSE)</f>
        <v>322.36527575777353</v>
      </c>
      <c r="F1062" s="22">
        <f>VLOOKUP($A1062,TAB_AMORTIZACAO_U[[Q_DIAS_U_PARC_TIR]:[V_FUT_U_PCPL-02]], F$5, FALSE)</f>
        <v>411.41033997625652</v>
      </c>
      <c r="H1062" s="20">
        <f t="shared" si="87"/>
        <v>0</v>
      </c>
      <c r="I1062" s="21">
        <f t="shared" si="88"/>
        <v>0</v>
      </c>
      <c r="J1062" s="22" t="e">
        <f>VLOOKUP($A1062, TAB_JUROS_C[[DIAS_CORRIDOS]:[V_FUT_UTEIS]], J$5, FALSE)</f>
        <v>#N/A</v>
      </c>
      <c r="K1062" s="22" t="e">
        <f>VLOOKUP($A1062, TAB_CORRECAO_C[[DIAS_CORRIDOS]:[V_FUT_UTEIS]],K$5, FALSE)</f>
        <v>#N/A</v>
      </c>
      <c r="L1062" s="22" t="e">
        <f>VLOOKUP($A1062, TAB_AMORTIZACAO_C[[DIAS_CORRIDOS]:[V_FUT_UTEIS]], L$5, FALSE)</f>
        <v>#N/A</v>
      </c>
    </row>
    <row r="1063" spans="1:12" hidden="1">
      <c r="A1063" s="19">
        <f t="shared" si="89"/>
        <v>1057</v>
      </c>
      <c r="B1063" s="20">
        <f t="shared" si="85"/>
        <v>0</v>
      </c>
      <c r="C1063" s="21">
        <f t="shared" si="86"/>
        <v>0</v>
      </c>
      <c r="D1063" s="22" t="e">
        <f>VLOOKUP($A1063, TAB_JUROS_U[[Q_DIAS_U_PARC_TIR]:[V_FUT_U_JURS CENARIO]], D$5, FALSE)</f>
        <v>#N/A</v>
      </c>
      <c r="E1063" s="22" t="e">
        <f>VLOOKUP($A1063,TAB_CORRECAO_U[[Q_DIAS_U_PARC_TIR]:[V_FUT_U_CORC-02]],E$5, FALSE)</f>
        <v>#N/A</v>
      </c>
      <c r="F1063" s="22" t="e">
        <f>VLOOKUP($A1063,TAB_AMORTIZACAO_U[[Q_DIAS_U_PARC_TIR]:[V_FUT_U_PCPL-02]], F$5, FALSE)</f>
        <v>#N/A</v>
      </c>
      <c r="H1063" s="20">
        <f t="shared" si="87"/>
        <v>0</v>
      </c>
      <c r="I1063" s="21">
        <f t="shared" si="88"/>
        <v>0</v>
      </c>
      <c r="J1063" s="22" t="e">
        <f>VLOOKUP($A1063, TAB_JUROS_C[[DIAS_CORRIDOS]:[V_FUT_UTEIS]], J$5, FALSE)</f>
        <v>#N/A</v>
      </c>
      <c r="K1063" s="22" t="e">
        <f>VLOOKUP($A1063, TAB_CORRECAO_C[[DIAS_CORRIDOS]:[V_FUT_UTEIS]],K$5, FALSE)</f>
        <v>#N/A</v>
      </c>
      <c r="L1063" s="22" t="e">
        <f>VLOOKUP($A1063, TAB_AMORTIZACAO_C[[DIAS_CORRIDOS]:[V_FUT_UTEIS]], L$5, FALSE)</f>
        <v>#N/A</v>
      </c>
    </row>
    <row r="1064" spans="1:12" hidden="1">
      <c r="A1064" s="19">
        <f t="shared" si="89"/>
        <v>1058</v>
      </c>
      <c r="B1064" s="20">
        <f t="shared" si="85"/>
        <v>0</v>
      </c>
      <c r="C1064" s="21">
        <f t="shared" si="86"/>
        <v>0</v>
      </c>
      <c r="D1064" s="22" t="e">
        <f>VLOOKUP($A1064, TAB_JUROS_U[[Q_DIAS_U_PARC_TIR]:[V_FUT_U_JURS CENARIO]], D$5, FALSE)</f>
        <v>#N/A</v>
      </c>
      <c r="E1064" s="22" t="e">
        <f>VLOOKUP($A1064,TAB_CORRECAO_U[[Q_DIAS_U_PARC_TIR]:[V_FUT_U_CORC-02]],E$5, FALSE)</f>
        <v>#N/A</v>
      </c>
      <c r="F1064" s="22" t="e">
        <f>VLOOKUP($A1064,TAB_AMORTIZACAO_U[[Q_DIAS_U_PARC_TIR]:[V_FUT_U_PCPL-02]], F$5, FALSE)</f>
        <v>#N/A</v>
      </c>
      <c r="H1064" s="20">
        <f t="shared" si="87"/>
        <v>0</v>
      </c>
      <c r="I1064" s="21">
        <f t="shared" si="88"/>
        <v>0</v>
      </c>
      <c r="J1064" s="22" t="e">
        <f>VLOOKUP($A1064, TAB_JUROS_C[[DIAS_CORRIDOS]:[V_FUT_UTEIS]], J$5, FALSE)</f>
        <v>#N/A</v>
      </c>
      <c r="K1064" s="22" t="e">
        <f>VLOOKUP($A1064, TAB_CORRECAO_C[[DIAS_CORRIDOS]:[V_FUT_UTEIS]],K$5, FALSE)</f>
        <v>#N/A</v>
      </c>
      <c r="L1064" s="22" t="e">
        <f>VLOOKUP($A1064, TAB_AMORTIZACAO_C[[DIAS_CORRIDOS]:[V_FUT_UTEIS]], L$5, FALSE)</f>
        <v>#N/A</v>
      </c>
    </row>
    <row r="1065" spans="1:12" hidden="1">
      <c r="A1065" s="19">
        <f t="shared" si="89"/>
        <v>1059</v>
      </c>
      <c r="B1065" s="20">
        <f t="shared" si="85"/>
        <v>0</v>
      </c>
      <c r="C1065" s="21">
        <f t="shared" si="86"/>
        <v>0</v>
      </c>
      <c r="D1065" s="22" t="e">
        <f>VLOOKUP($A1065, TAB_JUROS_U[[Q_DIAS_U_PARC_TIR]:[V_FUT_U_JURS CENARIO]], D$5, FALSE)</f>
        <v>#N/A</v>
      </c>
      <c r="E1065" s="22" t="e">
        <f>VLOOKUP($A1065,TAB_CORRECAO_U[[Q_DIAS_U_PARC_TIR]:[V_FUT_U_CORC-02]],E$5, FALSE)</f>
        <v>#N/A</v>
      </c>
      <c r="F1065" s="22" t="e">
        <f>VLOOKUP($A1065,TAB_AMORTIZACAO_U[[Q_DIAS_U_PARC_TIR]:[V_FUT_U_PCPL-02]], F$5, FALSE)</f>
        <v>#N/A</v>
      </c>
      <c r="H1065" s="20">
        <f t="shared" si="87"/>
        <v>0</v>
      </c>
      <c r="I1065" s="21">
        <f t="shared" si="88"/>
        <v>0</v>
      </c>
      <c r="J1065" s="22" t="e">
        <f>VLOOKUP($A1065, TAB_JUROS_C[[DIAS_CORRIDOS]:[V_FUT_UTEIS]], J$5, FALSE)</f>
        <v>#N/A</v>
      </c>
      <c r="K1065" s="22" t="e">
        <f>VLOOKUP($A1065, TAB_CORRECAO_C[[DIAS_CORRIDOS]:[V_FUT_UTEIS]],K$5, FALSE)</f>
        <v>#N/A</v>
      </c>
      <c r="L1065" s="22" t="e">
        <f>VLOOKUP($A1065, TAB_AMORTIZACAO_C[[DIAS_CORRIDOS]:[V_FUT_UTEIS]], L$5, FALSE)</f>
        <v>#N/A</v>
      </c>
    </row>
    <row r="1066" spans="1:12" hidden="1">
      <c r="A1066" s="19">
        <f t="shared" si="89"/>
        <v>1060</v>
      </c>
      <c r="B1066" s="20">
        <f t="shared" si="85"/>
        <v>0</v>
      </c>
      <c r="C1066" s="21">
        <f t="shared" si="86"/>
        <v>0</v>
      </c>
      <c r="D1066" s="22" t="e">
        <f>VLOOKUP($A1066, TAB_JUROS_U[[Q_DIAS_U_PARC_TIR]:[V_FUT_U_JURS CENARIO]], D$5, FALSE)</f>
        <v>#N/A</v>
      </c>
      <c r="E1066" s="22" t="e">
        <f>VLOOKUP($A1066,TAB_CORRECAO_U[[Q_DIAS_U_PARC_TIR]:[V_FUT_U_CORC-02]],E$5, FALSE)</f>
        <v>#N/A</v>
      </c>
      <c r="F1066" s="22" t="e">
        <f>VLOOKUP($A1066,TAB_AMORTIZACAO_U[[Q_DIAS_U_PARC_TIR]:[V_FUT_U_PCPL-02]], F$5, FALSE)</f>
        <v>#N/A</v>
      </c>
      <c r="H1066" s="20">
        <f t="shared" si="87"/>
        <v>0</v>
      </c>
      <c r="I1066" s="21">
        <f t="shared" si="88"/>
        <v>0</v>
      </c>
      <c r="J1066" s="22" t="e">
        <f>VLOOKUP($A1066, TAB_JUROS_C[[DIAS_CORRIDOS]:[V_FUT_UTEIS]], J$5, FALSE)</f>
        <v>#N/A</v>
      </c>
      <c r="K1066" s="22" t="e">
        <f>VLOOKUP($A1066, TAB_CORRECAO_C[[DIAS_CORRIDOS]:[V_FUT_UTEIS]],K$5, FALSE)</f>
        <v>#N/A</v>
      </c>
      <c r="L1066" s="22" t="e">
        <f>VLOOKUP($A1066, TAB_AMORTIZACAO_C[[DIAS_CORRIDOS]:[V_FUT_UTEIS]], L$5, FALSE)</f>
        <v>#N/A</v>
      </c>
    </row>
    <row r="1067" spans="1:12" hidden="1">
      <c r="A1067" s="19">
        <f t="shared" si="89"/>
        <v>1061</v>
      </c>
      <c r="B1067" s="20">
        <f t="shared" si="85"/>
        <v>0</v>
      </c>
      <c r="C1067" s="21">
        <f t="shared" si="86"/>
        <v>0</v>
      </c>
      <c r="D1067" s="22" t="e">
        <f>VLOOKUP($A1067, TAB_JUROS_U[[Q_DIAS_U_PARC_TIR]:[V_FUT_U_JURS CENARIO]], D$5, FALSE)</f>
        <v>#N/A</v>
      </c>
      <c r="E1067" s="22" t="e">
        <f>VLOOKUP($A1067,TAB_CORRECAO_U[[Q_DIAS_U_PARC_TIR]:[V_FUT_U_CORC-02]],E$5, FALSE)</f>
        <v>#N/A</v>
      </c>
      <c r="F1067" s="22" t="e">
        <f>VLOOKUP($A1067,TAB_AMORTIZACAO_U[[Q_DIAS_U_PARC_TIR]:[V_FUT_U_PCPL-02]], F$5, FALSE)</f>
        <v>#N/A</v>
      </c>
      <c r="H1067" s="20">
        <f t="shared" si="87"/>
        <v>0</v>
      </c>
      <c r="I1067" s="21">
        <f t="shared" si="88"/>
        <v>0</v>
      </c>
      <c r="J1067" s="22" t="e">
        <f>VLOOKUP($A1067, TAB_JUROS_C[[DIAS_CORRIDOS]:[V_FUT_UTEIS]], J$5, FALSE)</f>
        <v>#N/A</v>
      </c>
      <c r="K1067" s="22" t="e">
        <f>VLOOKUP($A1067, TAB_CORRECAO_C[[DIAS_CORRIDOS]:[V_FUT_UTEIS]],K$5, FALSE)</f>
        <v>#N/A</v>
      </c>
      <c r="L1067" s="22" t="e">
        <f>VLOOKUP($A1067, TAB_AMORTIZACAO_C[[DIAS_CORRIDOS]:[V_FUT_UTEIS]], L$5, FALSE)</f>
        <v>#N/A</v>
      </c>
    </row>
    <row r="1068" spans="1:12" hidden="1">
      <c r="A1068" s="19">
        <f t="shared" si="89"/>
        <v>1062</v>
      </c>
      <c r="B1068" s="20">
        <f t="shared" si="85"/>
        <v>0</v>
      </c>
      <c r="C1068" s="21">
        <f t="shared" si="86"/>
        <v>0</v>
      </c>
      <c r="D1068" s="22" t="e">
        <f>VLOOKUP($A1068, TAB_JUROS_U[[Q_DIAS_U_PARC_TIR]:[V_FUT_U_JURS CENARIO]], D$5, FALSE)</f>
        <v>#N/A</v>
      </c>
      <c r="E1068" s="22" t="e">
        <f>VLOOKUP($A1068,TAB_CORRECAO_U[[Q_DIAS_U_PARC_TIR]:[V_FUT_U_CORC-02]],E$5, FALSE)</f>
        <v>#N/A</v>
      </c>
      <c r="F1068" s="22" t="e">
        <f>VLOOKUP($A1068,TAB_AMORTIZACAO_U[[Q_DIAS_U_PARC_TIR]:[V_FUT_U_PCPL-02]], F$5, FALSE)</f>
        <v>#N/A</v>
      </c>
      <c r="H1068" s="20">
        <f t="shared" si="87"/>
        <v>0</v>
      </c>
      <c r="I1068" s="21">
        <f t="shared" si="88"/>
        <v>0</v>
      </c>
      <c r="J1068" s="22" t="e">
        <f>VLOOKUP($A1068, TAB_JUROS_C[[DIAS_CORRIDOS]:[V_FUT_UTEIS]], J$5, FALSE)</f>
        <v>#N/A</v>
      </c>
      <c r="K1068" s="22" t="e">
        <f>VLOOKUP($A1068, TAB_CORRECAO_C[[DIAS_CORRIDOS]:[V_FUT_UTEIS]],K$5, FALSE)</f>
        <v>#N/A</v>
      </c>
      <c r="L1068" s="22" t="e">
        <f>VLOOKUP($A1068, TAB_AMORTIZACAO_C[[DIAS_CORRIDOS]:[V_FUT_UTEIS]], L$5, FALSE)</f>
        <v>#N/A</v>
      </c>
    </row>
    <row r="1069" spans="1:12" hidden="1">
      <c r="A1069" s="19">
        <f t="shared" si="89"/>
        <v>1063</v>
      </c>
      <c r="B1069" s="20">
        <f t="shared" si="85"/>
        <v>0</v>
      </c>
      <c r="C1069" s="21">
        <f t="shared" si="86"/>
        <v>0</v>
      </c>
      <c r="D1069" s="22" t="e">
        <f>VLOOKUP($A1069, TAB_JUROS_U[[Q_DIAS_U_PARC_TIR]:[V_FUT_U_JURS CENARIO]], D$5, FALSE)</f>
        <v>#N/A</v>
      </c>
      <c r="E1069" s="22" t="e">
        <f>VLOOKUP($A1069,TAB_CORRECAO_U[[Q_DIAS_U_PARC_TIR]:[V_FUT_U_CORC-02]],E$5, FALSE)</f>
        <v>#N/A</v>
      </c>
      <c r="F1069" s="22" t="e">
        <f>VLOOKUP($A1069,TAB_AMORTIZACAO_U[[Q_DIAS_U_PARC_TIR]:[V_FUT_U_PCPL-02]], F$5, FALSE)</f>
        <v>#N/A</v>
      </c>
      <c r="H1069" s="20">
        <f t="shared" si="87"/>
        <v>0</v>
      </c>
      <c r="I1069" s="21">
        <f t="shared" si="88"/>
        <v>0</v>
      </c>
      <c r="J1069" s="22" t="e">
        <f>VLOOKUP($A1069, TAB_JUROS_C[[DIAS_CORRIDOS]:[V_FUT_UTEIS]], J$5, FALSE)</f>
        <v>#N/A</v>
      </c>
      <c r="K1069" s="22" t="e">
        <f>VLOOKUP($A1069, TAB_CORRECAO_C[[DIAS_CORRIDOS]:[V_FUT_UTEIS]],K$5, FALSE)</f>
        <v>#N/A</v>
      </c>
      <c r="L1069" s="22" t="e">
        <f>VLOOKUP($A1069, TAB_AMORTIZACAO_C[[DIAS_CORRIDOS]:[V_FUT_UTEIS]], L$5, FALSE)</f>
        <v>#N/A</v>
      </c>
    </row>
    <row r="1070" spans="1:12" hidden="1">
      <c r="A1070" s="19">
        <f t="shared" si="89"/>
        <v>1064</v>
      </c>
      <c r="B1070" s="20">
        <f t="shared" si="85"/>
        <v>0</v>
      </c>
      <c r="C1070" s="21">
        <f t="shared" si="86"/>
        <v>0</v>
      </c>
      <c r="D1070" s="22" t="e">
        <f>VLOOKUP($A1070, TAB_JUROS_U[[Q_DIAS_U_PARC_TIR]:[V_FUT_U_JURS CENARIO]], D$5, FALSE)</f>
        <v>#N/A</v>
      </c>
      <c r="E1070" s="22" t="e">
        <f>VLOOKUP($A1070,TAB_CORRECAO_U[[Q_DIAS_U_PARC_TIR]:[V_FUT_U_CORC-02]],E$5, FALSE)</f>
        <v>#N/A</v>
      </c>
      <c r="F1070" s="22" t="e">
        <f>VLOOKUP($A1070,TAB_AMORTIZACAO_U[[Q_DIAS_U_PARC_TIR]:[V_FUT_U_PCPL-02]], F$5, FALSE)</f>
        <v>#N/A</v>
      </c>
      <c r="H1070" s="20">
        <f t="shared" si="87"/>
        <v>0</v>
      </c>
      <c r="I1070" s="21">
        <f t="shared" si="88"/>
        <v>0</v>
      </c>
      <c r="J1070" s="22" t="e">
        <f>VLOOKUP($A1070, TAB_JUROS_C[[DIAS_CORRIDOS]:[V_FUT_UTEIS]], J$5, FALSE)</f>
        <v>#N/A</v>
      </c>
      <c r="K1070" s="22" t="e">
        <f>VLOOKUP($A1070, TAB_CORRECAO_C[[DIAS_CORRIDOS]:[V_FUT_UTEIS]],K$5, FALSE)</f>
        <v>#N/A</v>
      </c>
      <c r="L1070" s="22" t="e">
        <f>VLOOKUP($A1070, TAB_AMORTIZACAO_C[[DIAS_CORRIDOS]:[V_FUT_UTEIS]], L$5, FALSE)</f>
        <v>#N/A</v>
      </c>
    </row>
    <row r="1071" spans="1:12" hidden="1">
      <c r="A1071" s="19">
        <f t="shared" si="89"/>
        <v>1065</v>
      </c>
      <c r="B1071" s="20">
        <f t="shared" si="85"/>
        <v>0</v>
      </c>
      <c r="C1071" s="21">
        <f t="shared" si="86"/>
        <v>0</v>
      </c>
      <c r="D1071" s="22" t="e">
        <f>VLOOKUP($A1071, TAB_JUROS_U[[Q_DIAS_U_PARC_TIR]:[V_FUT_U_JURS CENARIO]], D$5, FALSE)</f>
        <v>#N/A</v>
      </c>
      <c r="E1071" s="22" t="e">
        <f>VLOOKUP($A1071,TAB_CORRECAO_U[[Q_DIAS_U_PARC_TIR]:[V_FUT_U_CORC-02]],E$5, FALSE)</f>
        <v>#N/A</v>
      </c>
      <c r="F1071" s="22" t="e">
        <f>VLOOKUP($A1071,TAB_AMORTIZACAO_U[[Q_DIAS_U_PARC_TIR]:[V_FUT_U_PCPL-02]], F$5, FALSE)</f>
        <v>#N/A</v>
      </c>
      <c r="H1071" s="20">
        <f t="shared" si="87"/>
        <v>0</v>
      </c>
      <c r="I1071" s="21">
        <f t="shared" si="88"/>
        <v>0</v>
      </c>
      <c r="J1071" s="22" t="e">
        <f>VLOOKUP($A1071, TAB_JUROS_C[[DIAS_CORRIDOS]:[V_FUT_UTEIS]], J$5, FALSE)</f>
        <v>#N/A</v>
      </c>
      <c r="K1071" s="22" t="e">
        <f>VLOOKUP($A1071, TAB_CORRECAO_C[[DIAS_CORRIDOS]:[V_FUT_UTEIS]],K$5, FALSE)</f>
        <v>#N/A</v>
      </c>
      <c r="L1071" s="22" t="e">
        <f>VLOOKUP($A1071, TAB_AMORTIZACAO_C[[DIAS_CORRIDOS]:[V_FUT_UTEIS]], L$5, FALSE)</f>
        <v>#N/A</v>
      </c>
    </row>
    <row r="1072" spans="1:12" hidden="1">
      <c r="A1072" s="19">
        <f t="shared" si="89"/>
        <v>1066</v>
      </c>
      <c r="B1072" s="20">
        <f t="shared" si="85"/>
        <v>0</v>
      </c>
      <c r="C1072" s="21">
        <f t="shared" si="86"/>
        <v>0</v>
      </c>
      <c r="D1072" s="22" t="e">
        <f>VLOOKUP($A1072, TAB_JUROS_U[[Q_DIAS_U_PARC_TIR]:[V_FUT_U_JURS CENARIO]], D$5, FALSE)</f>
        <v>#N/A</v>
      </c>
      <c r="E1072" s="22" t="e">
        <f>VLOOKUP($A1072,TAB_CORRECAO_U[[Q_DIAS_U_PARC_TIR]:[V_FUT_U_CORC-02]],E$5, FALSE)</f>
        <v>#N/A</v>
      </c>
      <c r="F1072" s="22" t="e">
        <f>VLOOKUP($A1072,TAB_AMORTIZACAO_U[[Q_DIAS_U_PARC_TIR]:[V_FUT_U_PCPL-02]], F$5, FALSE)</f>
        <v>#N/A</v>
      </c>
      <c r="H1072" s="20">
        <f t="shared" si="87"/>
        <v>0</v>
      </c>
      <c r="I1072" s="21">
        <f t="shared" si="88"/>
        <v>0</v>
      </c>
      <c r="J1072" s="22" t="e">
        <f>VLOOKUP($A1072, TAB_JUROS_C[[DIAS_CORRIDOS]:[V_FUT_UTEIS]], J$5, FALSE)</f>
        <v>#N/A</v>
      </c>
      <c r="K1072" s="22" t="e">
        <f>VLOOKUP($A1072, TAB_CORRECAO_C[[DIAS_CORRIDOS]:[V_FUT_UTEIS]],K$5, FALSE)</f>
        <v>#N/A</v>
      </c>
      <c r="L1072" s="22" t="e">
        <f>VLOOKUP($A1072, TAB_AMORTIZACAO_C[[DIAS_CORRIDOS]:[V_FUT_UTEIS]], L$5, FALSE)</f>
        <v>#N/A</v>
      </c>
    </row>
    <row r="1073" spans="1:12" hidden="1">
      <c r="A1073" s="19">
        <f t="shared" si="89"/>
        <v>1067</v>
      </c>
      <c r="B1073" s="20">
        <f t="shared" si="85"/>
        <v>0</v>
      </c>
      <c r="C1073" s="21">
        <f t="shared" si="86"/>
        <v>0</v>
      </c>
      <c r="D1073" s="22" t="e">
        <f>VLOOKUP($A1073, TAB_JUROS_U[[Q_DIAS_U_PARC_TIR]:[V_FUT_U_JURS CENARIO]], D$5, FALSE)</f>
        <v>#N/A</v>
      </c>
      <c r="E1073" s="22" t="e">
        <f>VLOOKUP($A1073,TAB_CORRECAO_U[[Q_DIAS_U_PARC_TIR]:[V_FUT_U_CORC-02]],E$5, FALSE)</f>
        <v>#N/A</v>
      </c>
      <c r="F1073" s="22" t="e">
        <f>VLOOKUP($A1073,TAB_AMORTIZACAO_U[[Q_DIAS_U_PARC_TIR]:[V_FUT_U_PCPL-02]], F$5, FALSE)</f>
        <v>#N/A</v>
      </c>
      <c r="H1073" s="20">
        <f t="shared" si="87"/>
        <v>0</v>
      </c>
      <c r="I1073" s="21">
        <f t="shared" si="88"/>
        <v>0</v>
      </c>
      <c r="J1073" s="22" t="e">
        <f>VLOOKUP($A1073, TAB_JUROS_C[[DIAS_CORRIDOS]:[V_FUT_UTEIS]], J$5, FALSE)</f>
        <v>#N/A</v>
      </c>
      <c r="K1073" s="22" t="e">
        <f>VLOOKUP($A1073, TAB_CORRECAO_C[[DIAS_CORRIDOS]:[V_FUT_UTEIS]],K$5, FALSE)</f>
        <v>#N/A</v>
      </c>
      <c r="L1073" s="22" t="e">
        <f>VLOOKUP($A1073, TAB_AMORTIZACAO_C[[DIAS_CORRIDOS]:[V_FUT_UTEIS]], L$5, FALSE)</f>
        <v>#N/A</v>
      </c>
    </row>
    <row r="1074" spans="1:12" hidden="1">
      <c r="A1074" s="19">
        <f t="shared" si="89"/>
        <v>1068</v>
      </c>
      <c r="B1074" s="20">
        <f t="shared" si="85"/>
        <v>0</v>
      </c>
      <c r="C1074" s="21">
        <f t="shared" si="86"/>
        <v>0</v>
      </c>
      <c r="D1074" s="22" t="e">
        <f>VLOOKUP($A1074, TAB_JUROS_U[[Q_DIAS_U_PARC_TIR]:[V_FUT_U_JURS CENARIO]], D$5, FALSE)</f>
        <v>#N/A</v>
      </c>
      <c r="E1074" s="22" t="e">
        <f>VLOOKUP($A1074,TAB_CORRECAO_U[[Q_DIAS_U_PARC_TIR]:[V_FUT_U_CORC-02]],E$5, FALSE)</f>
        <v>#N/A</v>
      </c>
      <c r="F1074" s="22" t="e">
        <f>VLOOKUP($A1074,TAB_AMORTIZACAO_U[[Q_DIAS_U_PARC_TIR]:[V_FUT_U_PCPL-02]], F$5, FALSE)</f>
        <v>#N/A</v>
      </c>
      <c r="H1074" s="20">
        <f t="shared" si="87"/>
        <v>0</v>
      </c>
      <c r="I1074" s="21">
        <f t="shared" si="88"/>
        <v>0</v>
      </c>
      <c r="J1074" s="22" t="e">
        <f>VLOOKUP($A1074, TAB_JUROS_C[[DIAS_CORRIDOS]:[V_FUT_UTEIS]], J$5, FALSE)</f>
        <v>#N/A</v>
      </c>
      <c r="K1074" s="22" t="e">
        <f>VLOOKUP($A1074, TAB_CORRECAO_C[[DIAS_CORRIDOS]:[V_FUT_UTEIS]],K$5, FALSE)</f>
        <v>#N/A</v>
      </c>
      <c r="L1074" s="22" t="e">
        <f>VLOOKUP($A1074, TAB_AMORTIZACAO_C[[DIAS_CORRIDOS]:[V_FUT_UTEIS]], L$5, FALSE)</f>
        <v>#N/A</v>
      </c>
    </row>
    <row r="1075" spans="1:12" hidden="1">
      <c r="A1075" s="19">
        <f t="shared" si="89"/>
        <v>1069</v>
      </c>
      <c r="B1075" s="20">
        <f t="shared" si="85"/>
        <v>0</v>
      </c>
      <c r="C1075" s="21">
        <f t="shared" si="86"/>
        <v>0</v>
      </c>
      <c r="D1075" s="22" t="e">
        <f>VLOOKUP($A1075, TAB_JUROS_U[[Q_DIAS_U_PARC_TIR]:[V_FUT_U_JURS CENARIO]], D$5, FALSE)</f>
        <v>#N/A</v>
      </c>
      <c r="E1075" s="22" t="e">
        <f>VLOOKUP($A1075,TAB_CORRECAO_U[[Q_DIAS_U_PARC_TIR]:[V_FUT_U_CORC-02]],E$5, FALSE)</f>
        <v>#N/A</v>
      </c>
      <c r="F1075" s="22" t="e">
        <f>VLOOKUP($A1075,TAB_AMORTIZACAO_U[[Q_DIAS_U_PARC_TIR]:[V_FUT_U_PCPL-02]], F$5, FALSE)</f>
        <v>#N/A</v>
      </c>
      <c r="H1075" s="20">
        <f t="shared" si="87"/>
        <v>0</v>
      </c>
      <c r="I1075" s="21">
        <f t="shared" si="88"/>
        <v>0</v>
      </c>
      <c r="J1075" s="22" t="e">
        <f>VLOOKUP($A1075, TAB_JUROS_C[[DIAS_CORRIDOS]:[V_FUT_UTEIS]], J$5, FALSE)</f>
        <v>#N/A</v>
      </c>
      <c r="K1075" s="22" t="e">
        <f>VLOOKUP($A1075, TAB_CORRECAO_C[[DIAS_CORRIDOS]:[V_FUT_UTEIS]],K$5, FALSE)</f>
        <v>#N/A</v>
      </c>
      <c r="L1075" s="22" t="e">
        <f>VLOOKUP($A1075, TAB_AMORTIZACAO_C[[DIAS_CORRIDOS]:[V_FUT_UTEIS]], L$5, FALSE)</f>
        <v>#N/A</v>
      </c>
    </row>
    <row r="1076" spans="1:12" hidden="1">
      <c r="A1076" s="19">
        <f t="shared" si="89"/>
        <v>1070</v>
      </c>
      <c r="B1076" s="20">
        <f t="shared" si="85"/>
        <v>0</v>
      </c>
      <c r="C1076" s="21">
        <f t="shared" si="86"/>
        <v>0</v>
      </c>
      <c r="D1076" s="22" t="e">
        <f>VLOOKUP($A1076, TAB_JUROS_U[[Q_DIAS_U_PARC_TIR]:[V_FUT_U_JURS CENARIO]], D$5, FALSE)</f>
        <v>#N/A</v>
      </c>
      <c r="E1076" s="22" t="e">
        <f>VLOOKUP($A1076,TAB_CORRECAO_U[[Q_DIAS_U_PARC_TIR]:[V_FUT_U_CORC-02]],E$5, FALSE)</f>
        <v>#N/A</v>
      </c>
      <c r="F1076" s="22" t="e">
        <f>VLOOKUP($A1076,TAB_AMORTIZACAO_U[[Q_DIAS_U_PARC_TIR]:[V_FUT_U_PCPL-02]], F$5, FALSE)</f>
        <v>#N/A</v>
      </c>
      <c r="H1076" s="20">
        <f t="shared" si="87"/>
        <v>0</v>
      </c>
      <c r="I1076" s="21">
        <f t="shared" si="88"/>
        <v>0</v>
      </c>
      <c r="J1076" s="22" t="e">
        <f>VLOOKUP($A1076, TAB_JUROS_C[[DIAS_CORRIDOS]:[V_FUT_UTEIS]], J$5, FALSE)</f>
        <v>#N/A</v>
      </c>
      <c r="K1076" s="22" t="e">
        <f>VLOOKUP($A1076, TAB_CORRECAO_C[[DIAS_CORRIDOS]:[V_FUT_UTEIS]],K$5, FALSE)</f>
        <v>#N/A</v>
      </c>
      <c r="L1076" s="22" t="e">
        <f>VLOOKUP($A1076, TAB_AMORTIZACAO_C[[DIAS_CORRIDOS]:[V_FUT_UTEIS]], L$5, FALSE)</f>
        <v>#N/A</v>
      </c>
    </row>
    <row r="1077" spans="1:12" hidden="1">
      <c r="A1077" s="19">
        <f t="shared" si="89"/>
        <v>1071</v>
      </c>
      <c r="B1077" s="20">
        <f t="shared" si="85"/>
        <v>0</v>
      </c>
      <c r="C1077" s="21">
        <f t="shared" si="86"/>
        <v>0</v>
      </c>
      <c r="D1077" s="22" t="e">
        <f>VLOOKUP($A1077, TAB_JUROS_U[[Q_DIAS_U_PARC_TIR]:[V_FUT_U_JURS CENARIO]], D$5, FALSE)</f>
        <v>#N/A</v>
      </c>
      <c r="E1077" s="22" t="e">
        <f>VLOOKUP($A1077,TAB_CORRECAO_U[[Q_DIAS_U_PARC_TIR]:[V_FUT_U_CORC-02]],E$5, FALSE)</f>
        <v>#N/A</v>
      </c>
      <c r="F1077" s="22" t="e">
        <f>VLOOKUP($A1077,TAB_AMORTIZACAO_U[[Q_DIAS_U_PARC_TIR]:[V_FUT_U_PCPL-02]], F$5, FALSE)</f>
        <v>#N/A</v>
      </c>
      <c r="H1077" s="20">
        <f t="shared" si="87"/>
        <v>0</v>
      </c>
      <c r="I1077" s="21">
        <f t="shared" si="88"/>
        <v>0</v>
      </c>
      <c r="J1077" s="22" t="e">
        <f>VLOOKUP($A1077, TAB_JUROS_C[[DIAS_CORRIDOS]:[V_FUT_UTEIS]], J$5, FALSE)</f>
        <v>#N/A</v>
      </c>
      <c r="K1077" s="22" t="e">
        <f>VLOOKUP($A1077, TAB_CORRECAO_C[[DIAS_CORRIDOS]:[V_FUT_UTEIS]],K$5, FALSE)</f>
        <v>#N/A</v>
      </c>
      <c r="L1077" s="22" t="e">
        <f>VLOOKUP($A1077, TAB_AMORTIZACAO_C[[DIAS_CORRIDOS]:[V_FUT_UTEIS]], L$5, FALSE)</f>
        <v>#N/A</v>
      </c>
    </row>
    <row r="1078" spans="1:12" hidden="1">
      <c r="A1078" s="19">
        <f t="shared" si="89"/>
        <v>1072</v>
      </c>
      <c r="B1078" s="20">
        <f t="shared" si="85"/>
        <v>0</v>
      </c>
      <c r="C1078" s="21">
        <f t="shared" si="86"/>
        <v>0</v>
      </c>
      <c r="D1078" s="22" t="e">
        <f>VLOOKUP($A1078, TAB_JUROS_U[[Q_DIAS_U_PARC_TIR]:[V_FUT_U_JURS CENARIO]], D$5, FALSE)</f>
        <v>#N/A</v>
      </c>
      <c r="E1078" s="22" t="e">
        <f>VLOOKUP($A1078,TAB_CORRECAO_U[[Q_DIAS_U_PARC_TIR]:[V_FUT_U_CORC-02]],E$5, FALSE)</f>
        <v>#N/A</v>
      </c>
      <c r="F1078" s="22" t="e">
        <f>VLOOKUP($A1078,TAB_AMORTIZACAO_U[[Q_DIAS_U_PARC_TIR]:[V_FUT_U_PCPL-02]], F$5, FALSE)</f>
        <v>#N/A</v>
      </c>
      <c r="H1078" s="20">
        <f t="shared" si="87"/>
        <v>0</v>
      </c>
      <c r="I1078" s="21">
        <f t="shared" si="88"/>
        <v>0</v>
      </c>
      <c r="J1078" s="22" t="e">
        <f>VLOOKUP($A1078, TAB_JUROS_C[[DIAS_CORRIDOS]:[V_FUT_UTEIS]], J$5, FALSE)</f>
        <v>#N/A</v>
      </c>
      <c r="K1078" s="22" t="e">
        <f>VLOOKUP($A1078, TAB_CORRECAO_C[[DIAS_CORRIDOS]:[V_FUT_UTEIS]],K$5, FALSE)</f>
        <v>#N/A</v>
      </c>
      <c r="L1078" s="22" t="e">
        <f>VLOOKUP($A1078, TAB_AMORTIZACAO_C[[DIAS_CORRIDOS]:[V_FUT_UTEIS]], L$5, FALSE)</f>
        <v>#N/A</v>
      </c>
    </row>
    <row r="1079" spans="1:12" hidden="1">
      <c r="A1079" s="19">
        <f t="shared" si="89"/>
        <v>1073</v>
      </c>
      <c r="B1079" s="20">
        <f t="shared" si="85"/>
        <v>0</v>
      </c>
      <c r="C1079" s="21">
        <f t="shared" si="86"/>
        <v>0</v>
      </c>
      <c r="D1079" s="22" t="e">
        <f>VLOOKUP($A1079, TAB_JUROS_U[[Q_DIAS_U_PARC_TIR]:[V_FUT_U_JURS CENARIO]], D$5, FALSE)</f>
        <v>#N/A</v>
      </c>
      <c r="E1079" s="22" t="e">
        <f>VLOOKUP($A1079,TAB_CORRECAO_U[[Q_DIAS_U_PARC_TIR]:[V_FUT_U_CORC-02]],E$5, FALSE)</f>
        <v>#N/A</v>
      </c>
      <c r="F1079" s="22" t="e">
        <f>VLOOKUP($A1079,TAB_AMORTIZACAO_U[[Q_DIAS_U_PARC_TIR]:[V_FUT_U_PCPL-02]], F$5, FALSE)</f>
        <v>#N/A</v>
      </c>
      <c r="H1079" s="20">
        <f t="shared" si="87"/>
        <v>0</v>
      </c>
      <c r="I1079" s="21">
        <f t="shared" si="88"/>
        <v>0</v>
      </c>
      <c r="J1079" s="22" t="e">
        <f>VLOOKUP($A1079, TAB_JUROS_C[[DIAS_CORRIDOS]:[V_FUT_UTEIS]], J$5, FALSE)</f>
        <v>#N/A</v>
      </c>
      <c r="K1079" s="22" t="e">
        <f>VLOOKUP($A1079, TAB_CORRECAO_C[[DIAS_CORRIDOS]:[V_FUT_UTEIS]],K$5, FALSE)</f>
        <v>#N/A</v>
      </c>
      <c r="L1079" s="22" t="e">
        <f>VLOOKUP($A1079, TAB_AMORTIZACAO_C[[DIAS_CORRIDOS]:[V_FUT_UTEIS]], L$5, FALSE)</f>
        <v>#N/A</v>
      </c>
    </row>
    <row r="1080" spans="1:12" hidden="1">
      <c r="A1080" s="19">
        <f t="shared" si="89"/>
        <v>1074</v>
      </c>
      <c r="B1080" s="20">
        <f t="shared" si="85"/>
        <v>0</v>
      </c>
      <c r="C1080" s="21">
        <f t="shared" si="86"/>
        <v>0</v>
      </c>
      <c r="D1080" s="22" t="e">
        <f>VLOOKUP($A1080, TAB_JUROS_U[[Q_DIAS_U_PARC_TIR]:[V_FUT_U_JURS CENARIO]], D$5, FALSE)</f>
        <v>#N/A</v>
      </c>
      <c r="E1080" s="22" t="e">
        <f>VLOOKUP($A1080,TAB_CORRECAO_U[[Q_DIAS_U_PARC_TIR]:[V_FUT_U_CORC-02]],E$5, FALSE)</f>
        <v>#N/A</v>
      </c>
      <c r="F1080" s="22" t="e">
        <f>VLOOKUP($A1080,TAB_AMORTIZACAO_U[[Q_DIAS_U_PARC_TIR]:[V_FUT_U_PCPL-02]], F$5, FALSE)</f>
        <v>#N/A</v>
      </c>
      <c r="H1080" s="20">
        <f t="shared" si="87"/>
        <v>0</v>
      </c>
      <c r="I1080" s="21">
        <f t="shared" si="88"/>
        <v>0</v>
      </c>
      <c r="J1080" s="22" t="e">
        <f>VLOOKUP($A1080, TAB_JUROS_C[[DIAS_CORRIDOS]:[V_FUT_UTEIS]], J$5, FALSE)</f>
        <v>#N/A</v>
      </c>
      <c r="K1080" s="22" t="e">
        <f>VLOOKUP($A1080, TAB_CORRECAO_C[[DIAS_CORRIDOS]:[V_FUT_UTEIS]],K$5, FALSE)</f>
        <v>#N/A</v>
      </c>
      <c r="L1080" s="22" t="e">
        <f>VLOOKUP($A1080, TAB_AMORTIZACAO_C[[DIAS_CORRIDOS]:[V_FUT_UTEIS]], L$5, FALSE)</f>
        <v>#N/A</v>
      </c>
    </row>
    <row r="1081" spans="1:12" hidden="1">
      <c r="A1081" s="19">
        <f t="shared" si="89"/>
        <v>1075</v>
      </c>
      <c r="B1081" s="20">
        <f t="shared" si="85"/>
        <v>0</v>
      </c>
      <c r="C1081" s="21">
        <f t="shared" si="86"/>
        <v>0</v>
      </c>
      <c r="D1081" s="22" t="e">
        <f>VLOOKUP($A1081, TAB_JUROS_U[[Q_DIAS_U_PARC_TIR]:[V_FUT_U_JURS CENARIO]], D$5, FALSE)</f>
        <v>#N/A</v>
      </c>
      <c r="E1081" s="22" t="e">
        <f>VLOOKUP($A1081,TAB_CORRECAO_U[[Q_DIAS_U_PARC_TIR]:[V_FUT_U_CORC-02]],E$5, FALSE)</f>
        <v>#N/A</v>
      </c>
      <c r="F1081" s="22" t="e">
        <f>VLOOKUP($A1081,TAB_AMORTIZACAO_U[[Q_DIAS_U_PARC_TIR]:[V_FUT_U_PCPL-02]], F$5, FALSE)</f>
        <v>#N/A</v>
      </c>
      <c r="H1081" s="20">
        <f t="shared" si="87"/>
        <v>0</v>
      </c>
      <c r="I1081" s="21">
        <f t="shared" si="88"/>
        <v>0</v>
      </c>
      <c r="J1081" s="22" t="e">
        <f>VLOOKUP($A1081, TAB_JUROS_C[[DIAS_CORRIDOS]:[V_FUT_UTEIS]], J$5, FALSE)</f>
        <v>#N/A</v>
      </c>
      <c r="K1081" s="22" t="e">
        <f>VLOOKUP($A1081, TAB_CORRECAO_C[[DIAS_CORRIDOS]:[V_FUT_UTEIS]],K$5, FALSE)</f>
        <v>#N/A</v>
      </c>
      <c r="L1081" s="22" t="e">
        <f>VLOOKUP($A1081, TAB_AMORTIZACAO_C[[DIAS_CORRIDOS]:[V_FUT_UTEIS]], L$5, FALSE)</f>
        <v>#N/A</v>
      </c>
    </row>
    <row r="1082" spans="1:12" hidden="1">
      <c r="A1082" s="19">
        <f t="shared" si="89"/>
        <v>1076</v>
      </c>
      <c r="B1082" s="20">
        <f t="shared" si="85"/>
        <v>0</v>
      </c>
      <c r="C1082" s="21">
        <f t="shared" si="86"/>
        <v>0</v>
      </c>
      <c r="D1082" s="22" t="e">
        <f>VLOOKUP($A1082, TAB_JUROS_U[[Q_DIAS_U_PARC_TIR]:[V_FUT_U_JURS CENARIO]], D$5, FALSE)</f>
        <v>#N/A</v>
      </c>
      <c r="E1082" s="22" t="e">
        <f>VLOOKUP($A1082,TAB_CORRECAO_U[[Q_DIAS_U_PARC_TIR]:[V_FUT_U_CORC-02]],E$5, FALSE)</f>
        <v>#N/A</v>
      </c>
      <c r="F1082" s="22" t="e">
        <f>VLOOKUP($A1082,TAB_AMORTIZACAO_U[[Q_DIAS_U_PARC_TIR]:[V_FUT_U_PCPL-02]], F$5, FALSE)</f>
        <v>#N/A</v>
      </c>
      <c r="H1082" s="20">
        <f t="shared" si="87"/>
        <v>0</v>
      </c>
      <c r="I1082" s="21">
        <f t="shared" si="88"/>
        <v>0</v>
      </c>
      <c r="J1082" s="22" t="e">
        <f>VLOOKUP($A1082, TAB_JUROS_C[[DIAS_CORRIDOS]:[V_FUT_UTEIS]], J$5, FALSE)</f>
        <v>#N/A</v>
      </c>
      <c r="K1082" s="22" t="e">
        <f>VLOOKUP($A1082, TAB_CORRECAO_C[[DIAS_CORRIDOS]:[V_FUT_UTEIS]],K$5, FALSE)</f>
        <v>#N/A</v>
      </c>
      <c r="L1082" s="22" t="e">
        <f>VLOOKUP($A1082, TAB_AMORTIZACAO_C[[DIAS_CORRIDOS]:[V_FUT_UTEIS]], L$5, FALSE)</f>
        <v>#N/A</v>
      </c>
    </row>
    <row r="1083" spans="1:12" hidden="1">
      <c r="A1083" s="19">
        <f t="shared" si="89"/>
        <v>1077</v>
      </c>
      <c r="B1083" s="20">
        <f t="shared" si="85"/>
        <v>0</v>
      </c>
      <c r="C1083" s="21">
        <f t="shared" si="86"/>
        <v>0</v>
      </c>
      <c r="D1083" s="22" t="e">
        <f>VLOOKUP($A1083, TAB_JUROS_U[[Q_DIAS_U_PARC_TIR]:[V_FUT_U_JURS CENARIO]], D$5, FALSE)</f>
        <v>#N/A</v>
      </c>
      <c r="E1083" s="22" t="e">
        <f>VLOOKUP($A1083,TAB_CORRECAO_U[[Q_DIAS_U_PARC_TIR]:[V_FUT_U_CORC-02]],E$5, FALSE)</f>
        <v>#N/A</v>
      </c>
      <c r="F1083" s="22" t="e">
        <f>VLOOKUP($A1083,TAB_AMORTIZACAO_U[[Q_DIAS_U_PARC_TIR]:[V_FUT_U_PCPL-02]], F$5, FALSE)</f>
        <v>#N/A</v>
      </c>
      <c r="H1083" s="20">
        <f t="shared" si="87"/>
        <v>0</v>
      </c>
      <c r="I1083" s="21">
        <f t="shared" si="88"/>
        <v>0</v>
      </c>
      <c r="J1083" s="22" t="e">
        <f>VLOOKUP($A1083, TAB_JUROS_C[[DIAS_CORRIDOS]:[V_FUT_UTEIS]], J$5, FALSE)</f>
        <v>#N/A</v>
      </c>
      <c r="K1083" s="22" t="e">
        <f>VLOOKUP($A1083, TAB_CORRECAO_C[[DIAS_CORRIDOS]:[V_FUT_UTEIS]],K$5, FALSE)</f>
        <v>#N/A</v>
      </c>
      <c r="L1083" s="22" t="e">
        <f>VLOOKUP($A1083, TAB_AMORTIZACAO_C[[DIAS_CORRIDOS]:[V_FUT_UTEIS]], L$5, FALSE)</f>
        <v>#N/A</v>
      </c>
    </row>
    <row r="1084" spans="1:12">
      <c r="A1084" s="19">
        <f t="shared" si="89"/>
        <v>1078</v>
      </c>
      <c r="B1084" s="20">
        <f t="shared" si="85"/>
        <v>855.55023809113868</v>
      </c>
      <c r="C1084" s="21">
        <f t="shared" si="86"/>
        <v>855.55023809113868</v>
      </c>
      <c r="D1084" s="22">
        <f>VLOOKUP($A1084, TAB_JUROS_U[[Q_DIAS_U_PARC_TIR]:[V_FUT_U_JURS CENARIO]], D$5, FALSE)</f>
        <v>64.199043978635288</v>
      </c>
      <c r="E1084" s="22">
        <f>VLOOKUP($A1084,TAB_CORRECAO_U[[Q_DIAS_U_PARC_TIR]:[V_FUT_U_CORC-02]],E$5, FALSE)</f>
        <v>401.64879393757292</v>
      </c>
      <c r="F1084" s="22">
        <f>VLOOKUP($A1084,TAB_AMORTIZACAO_U[[Q_DIAS_U_PARC_TIR]:[V_FUT_U_PCPL-02]], F$5, FALSE)</f>
        <v>389.70240017493052</v>
      </c>
      <c r="H1084" s="20">
        <f t="shared" si="87"/>
        <v>1110.5830239371458</v>
      </c>
      <c r="I1084" s="21">
        <f t="shared" si="88"/>
        <v>1110.5830239371458</v>
      </c>
      <c r="J1084" s="22">
        <f>VLOOKUP($A1084, TAB_JUROS_C[[DIAS_CORRIDOS]:[V_FUT_UTEIS]], J$5, FALSE)</f>
        <v>87.053727812853552</v>
      </c>
      <c r="K1084" s="22">
        <f>VLOOKUP($A1084, TAB_CORRECAO_C[[DIAS_CORRIDOS]:[V_FUT_UTEIS]],K$5, FALSE)</f>
        <v>525.54366854892817</v>
      </c>
      <c r="L1084" s="22">
        <f>VLOOKUP($A1084, TAB_AMORTIZACAO_C[[DIAS_CORRIDOS]:[V_FUT_UTEIS]], L$5, FALSE)</f>
        <v>497.98562757536411</v>
      </c>
    </row>
    <row r="1085" spans="1:12" hidden="1">
      <c r="A1085" s="19">
        <f t="shared" si="89"/>
        <v>1079</v>
      </c>
      <c r="B1085" s="20">
        <f t="shared" si="85"/>
        <v>0</v>
      </c>
      <c r="C1085" s="21">
        <f t="shared" si="86"/>
        <v>0</v>
      </c>
      <c r="D1085" s="22" t="e">
        <f>VLOOKUP($A1085, TAB_JUROS_U[[Q_DIAS_U_PARC_TIR]:[V_FUT_U_JURS CENARIO]], D$5, FALSE)</f>
        <v>#N/A</v>
      </c>
      <c r="E1085" s="22" t="e">
        <f>VLOOKUP($A1085,TAB_CORRECAO_U[[Q_DIAS_U_PARC_TIR]:[V_FUT_U_CORC-02]],E$5, FALSE)</f>
        <v>#N/A</v>
      </c>
      <c r="F1085" s="22" t="e">
        <f>VLOOKUP($A1085,TAB_AMORTIZACAO_U[[Q_DIAS_U_PARC_TIR]:[V_FUT_U_PCPL-02]], F$5, FALSE)</f>
        <v>#N/A</v>
      </c>
      <c r="H1085" s="20">
        <f t="shared" si="87"/>
        <v>0</v>
      </c>
      <c r="I1085" s="21">
        <f t="shared" si="88"/>
        <v>0</v>
      </c>
      <c r="J1085" s="22" t="e">
        <f>VLOOKUP($A1085, TAB_JUROS_C[[DIAS_CORRIDOS]:[V_FUT_UTEIS]], J$5, FALSE)</f>
        <v>#N/A</v>
      </c>
      <c r="K1085" s="22" t="e">
        <f>VLOOKUP($A1085, TAB_CORRECAO_C[[DIAS_CORRIDOS]:[V_FUT_UTEIS]],K$5, FALSE)</f>
        <v>#N/A</v>
      </c>
      <c r="L1085" s="22" t="e">
        <f>VLOOKUP($A1085, TAB_AMORTIZACAO_C[[DIAS_CORRIDOS]:[V_FUT_UTEIS]], L$5, FALSE)</f>
        <v>#N/A</v>
      </c>
    </row>
    <row r="1086" spans="1:12" hidden="1">
      <c r="A1086" s="19">
        <f t="shared" si="89"/>
        <v>1080</v>
      </c>
      <c r="B1086" s="20">
        <f t="shared" si="85"/>
        <v>0</v>
      </c>
      <c r="C1086" s="21">
        <f t="shared" si="86"/>
        <v>0</v>
      </c>
      <c r="D1086" s="22" t="e">
        <f>VLOOKUP($A1086, TAB_JUROS_U[[Q_DIAS_U_PARC_TIR]:[V_FUT_U_JURS CENARIO]], D$5, FALSE)</f>
        <v>#N/A</v>
      </c>
      <c r="E1086" s="22" t="e">
        <f>VLOOKUP($A1086,TAB_CORRECAO_U[[Q_DIAS_U_PARC_TIR]:[V_FUT_U_CORC-02]],E$5, FALSE)</f>
        <v>#N/A</v>
      </c>
      <c r="F1086" s="22" t="e">
        <f>VLOOKUP($A1086,TAB_AMORTIZACAO_U[[Q_DIAS_U_PARC_TIR]:[V_FUT_U_PCPL-02]], F$5, FALSE)</f>
        <v>#N/A</v>
      </c>
      <c r="H1086" s="20">
        <f t="shared" si="87"/>
        <v>0</v>
      </c>
      <c r="I1086" s="21">
        <f t="shared" si="88"/>
        <v>0</v>
      </c>
      <c r="J1086" s="22" t="e">
        <f>VLOOKUP($A1086, TAB_JUROS_C[[DIAS_CORRIDOS]:[V_FUT_UTEIS]], J$5, FALSE)</f>
        <v>#N/A</v>
      </c>
      <c r="K1086" s="22" t="e">
        <f>VLOOKUP($A1086, TAB_CORRECAO_C[[DIAS_CORRIDOS]:[V_FUT_UTEIS]],K$5, FALSE)</f>
        <v>#N/A</v>
      </c>
      <c r="L1086" s="22" t="e">
        <f>VLOOKUP($A1086, TAB_AMORTIZACAO_C[[DIAS_CORRIDOS]:[V_FUT_UTEIS]], L$5, FALSE)</f>
        <v>#N/A</v>
      </c>
    </row>
    <row r="1087" spans="1:12" hidden="1">
      <c r="A1087" s="19">
        <f t="shared" si="89"/>
        <v>1081</v>
      </c>
      <c r="B1087" s="20">
        <f t="shared" si="85"/>
        <v>0</v>
      </c>
      <c r="C1087" s="21">
        <f t="shared" si="86"/>
        <v>0</v>
      </c>
      <c r="D1087" s="22" t="e">
        <f>VLOOKUP($A1087, TAB_JUROS_U[[Q_DIAS_U_PARC_TIR]:[V_FUT_U_JURS CENARIO]], D$5, FALSE)</f>
        <v>#N/A</v>
      </c>
      <c r="E1087" s="22" t="e">
        <f>VLOOKUP($A1087,TAB_CORRECAO_U[[Q_DIAS_U_PARC_TIR]:[V_FUT_U_CORC-02]],E$5, FALSE)</f>
        <v>#N/A</v>
      </c>
      <c r="F1087" s="22" t="e">
        <f>VLOOKUP($A1087,TAB_AMORTIZACAO_U[[Q_DIAS_U_PARC_TIR]:[V_FUT_U_PCPL-02]], F$5, FALSE)</f>
        <v>#N/A</v>
      </c>
      <c r="H1087" s="20">
        <f t="shared" si="87"/>
        <v>0</v>
      </c>
      <c r="I1087" s="21">
        <f t="shared" si="88"/>
        <v>0</v>
      </c>
      <c r="J1087" s="22" t="e">
        <f>VLOOKUP($A1087, TAB_JUROS_C[[DIAS_CORRIDOS]:[V_FUT_UTEIS]], J$5, FALSE)</f>
        <v>#N/A</v>
      </c>
      <c r="K1087" s="22" t="e">
        <f>VLOOKUP($A1087, TAB_CORRECAO_C[[DIAS_CORRIDOS]:[V_FUT_UTEIS]],K$5, FALSE)</f>
        <v>#N/A</v>
      </c>
      <c r="L1087" s="22" t="e">
        <f>VLOOKUP($A1087, TAB_AMORTIZACAO_C[[DIAS_CORRIDOS]:[V_FUT_UTEIS]], L$5, FALSE)</f>
        <v>#N/A</v>
      </c>
    </row>
    <row r="1088" spans="1:12" hidden="1">
      <c r="A1088" s="19">
        <f t="shared" si="89"/>
        <v>1082</v>
      </c>
      <c r="B1088" s="20">
        <f t="shared" si="85"/>
        <v>0</v>
      </c>
      <c r="C1088" s="21">
        <f t="shared" si="86"/>
        <v>0</v>
      </c>
      <c r="D1088" s="22" t="e">
        <f>VLOOKUP($A1088, TAB_JUROS_U[[Q_DIAS_U_PARC_TIR]:[V_FUT_U_JURS CENARIO]], D$5, FALSE)</f>
        <v>#N/A</v>
      </c>
      <c r="E1088" s="22" t="e">
        <f>VLOOKUP($A1088,TAB_CORRECAO_U[[Q_DIAS_U_PARC_TIR]:[V_FUT_U_CORC-02]],E$5, FALSE)</f>
        <v>#N/A</v>
      </c>
      <c r="F1088" s="22" t="e">
        <f>VLOOKUP($A1088,TAB_AMORTIZACAO_U[[Q_DIAS_U_PARC_TIR]:[V_FUT_U_PCPL-02]], F$5, FALSE)</f>
        <v>#N/A</v>
      </c>
      <c r="H1088" s="20">
        <f t="shared" si="87"/>
        <v>0</v>
      </c>
      <c r="I1088" s="21">
        <f t="shared" si="88"/>
        <v>0</v>
      </c>
      <c r="J1088" s="22" t="e">
        <f>VLOOKUP($A1088, TAB_JUROS_C[[DIAS_CORRIDOS]:[V_FUT_UTEIS]], J$5, FALSE)</f>
        <v>#N/A</v>
      </c>
      <c r="K1088" s="22" t="e">
        <f>VLOOKUP($A1088, TAB_CORRECAO_C[[DIAS_CORRIDOS]:[V_FUT_UTEIS]],K$5, FALSE)</f>
        <v>#N/A</v>
      </c>
      <c r="L1088" s="22" t="e">
        <f>VLOOKUP($A1088, TAB_AMORTIZACAO_C[[DIAS_CORRIDOS]:[V_FUT_UTEIS]], L$5, FALSE)</f>
        <v>#N/A</v>
      </c>
    </row>
    <row r="1089" spans="1:12" hidden="1">
      <c r="A1089" s="19">
        <f t="shared" si="89"/>
        <v>1083</v>
      </c>
      <c r="B1089" s="20">
        <f t="shared" si="85"/>
        <v>0</v>
      </c>
      <c r="C1089" s="21">
        <f t="shared" si="86"/>
        <v>0</v>
      </c>
      <c r="D1089" s="22" t="e">
        <f>VLOOKUP($A1089, TAB_JUROS_U[[Q_DIAS_U_PARC_TIR]:[V_FUT_U_JURS CENARIO]], D$5, FALSE)</f>
        <v>#N/A</v>
      </c>
      <c r="E1089" s="22" t="e">
        <f>VLOOKUP($A1089,TAB_CORRECAO_U[[Q_DIAS_U_PARC_TIR]:[V_FUT_U_CORC-02]],E$5, FALSE)</f>
        <v>#N/A</v>
      </c>
      <c r="F1089" s="22" t="e">
        <f>VLOOKUP($A1089,TAB_AMORTIZACAO_U[[Q_DIAS_U_PARC_TIR]:[V_FUT_U_PCPL-02]], F$5, FALSE)</f>
        <v>#N/A</v>
      </c>
      <c r="H1089" s="20">
        <f t="shared" si="87"/>
        <v>0</v>
      </c>
      <c r="I1089" s="21">
        <f t="shared" si="88"/>
        <v>0</v>
      </c>
      <c r="J1089" s="22" t="e">
        <f>VLOOKUP($A1089, TAB_JUROS_C[[DIAS_CORRIDOS]:[V_FUT_UTEIS]], J$5, FALSE)</f>
        <v>#N/A</v>
      </c>
      <c r="K1089" s="22" t="e">
        <f>VLOOKUP($A1089, TAB_CORRECAO_C[[DIAS_CORRIDOS]:[V_FUT_UTEIS]],K$5, FALSE)</f>
        <v>#N/A</v>
      </c>
      <c r="L1089" s="22" t="e">
        <f>VLOOKUP($A1089, TAB_AMORTIZACAO_C[[DIAS_CORRIDOS]:[V_FUT_UTEIS]], L$5, FALSE)</f>
        <v>#N/A</v>
      </c>
    </row>
    <row r="1090" spans="1:12" hidden="1">
      <c r="A1090" s="19">
        <f t="shared" si="89"/>
        <v>1084</v>
      </c>
      <c r="B1090" s="20">
        <f t="shared" si="85"/>
        <v>0</v>
      </c>
      <c r="C1090" s="21">
        <f t="shared" si="86"/>
        <v>0</v>
      </c>
      <c r="D1090" s="22" t="e">
        <f>VLOOKUP($A1090, TAB_JUROS_U[[Q_DIAS_U_PARC_TIR]:[V_FUT_U_JURS CENARIO]], D$5, FALSE)</f>
        <v>#N/A</v>
      </c>
      <c r="E1090" s="22" t="e">
        <f>VLOOKUP($A1090,TAB_CORRECAO_U[[Q_DIAS_U_PARC_TIR]:[V_FUT_U_CORC-02]],E$5, FALSE)</f>
        <v>#N/A</v>
      </c>
      <c r="F1090" s="22" t="e">
        <f>VLOOKUP($A1090,TAB_AMORTIZACAO_U[[Q_DIAS_U_PARC_TIR]:[V_FUT_U_PCPL-02]], F$5, FALSE)</f>
        <v>#N/A</v>
      </c>
      <c r="H1090" s="20">
        <f t="shared" si="87"/>
        <v>0</v>
      </c>
      <c r="I1090" s="21">
        <f t="shared" si="88"/>
        <v>0</v>
      </c>
      <c r="J1090" s="22" t="e">
        <f>VLOOKUP($A1090, TAB_JUROS_C[[DIAS_CORRIDOS]:[V_FUT_UTEIS]], J$5, FALSE)</f>
        <v>#N/A</v>
      </c>
      <c r="K1090" s="22" t="e">
        <f>VLOOKUP($A1090, TAB_CORRECAO_C[[DIAS_CORRIDOS]:[V_FUT_UTEIS]],K$5, FALSE)</f>
        <v>#N/A</v>
      </c>
      <c r="L1090" s="22" t="e">
        <f>VLOOKUP($A1090, TAB_AMORTIZACAO_C[[DIAS_CORRIDOS]:[V_FUT_UTEIS]], L$5, FALSE)</f>
        <v>#N/A</v>
      </c>
    </row>
    <row r="1091" spans="1:12" hidden="1">
      <c r="A1091" s="19">
        <f t="shared" si="89"/>
        <v>1085</v>
      </c>
      <c r="B1091" s="20">
        <f t="shared" si="85"/>
        <v>0</v>
      </c>
      <c r="C1091" s="21">
        <f t="shared" si="86"/>
        <v>0</v>
      </c>
      <c r="D1091" s="22" t="e">
        <f>VLOOKUP($A1091, TAB_JUROS_U[[Q_DIAS_U_PARC_TIR]:[V_FUT_U_JURS CENARIO]], D$5, FALSE)</f>
        <v>#N/A</v>
      </c>
      <c r="E1091" s="22" t="e">
        <f>VLOOKUP($A1091,TAB_CORRECAO_U[[Q_DIAS_U_PARC_TIR]:[V_FUT_U_CORC-02]],E$5, FALSE)</f>
        <v>#N/A</v>
      </c>
      <c r="F1091" s="22" t="e">
        <f>VLOOKUP($A1091,TAB_AMORTIZACAO_U[[Q_DIAS_U_PARC_TIR]:[V_FUT_U_PCPL-02]], F$5, FALSE)</f>
        <v>#N/A</v>
      </c>
      <c r="H1091" s="20">
        <f t="shared" si="87"/>
        <v>0</v>
      </c>
      <c r="I1091" s="21">
        <f t="shared" si="88"/>
        <v>0</v>
      </c>
      <c r="J1091" s="22" t="e">
        <f>VLOOKUP($A1091, TAB_JUROS_C[[DIAS_CORRIDOS]:[V_FUT_UTEIS]], J$5, FALSE)</f>
        <v>#N/A</v>
      </c>
      <c r="K1091" s="22" t="e">
        <f>VLOOKUP($A1091, TAB_CORRECAO_C[[DIAS_CORRIDOS]:[V_FUT_UTEIS]],K$5, FALSE)</f>
        <v>#N/A</v>
      </c>
      <c r="L1091" s="22" t="e">
        <f>VLOOKUP($A1091, TAB_AMORTIZACAO_C[[DIAS_CORRIDOS]:[V_FUT_UTEIS]], L$5, FALSE)</f>
        <v>#N/A</v>
      </c>
    </row>
    <row r="1092" spans="1:12" hidden="1">
      <c r="A1092" s="19">
        <f t="shared" si="89"/>
        <v>1086</v>
      </c>
      <c r="B1092" s="20">
        <f t="shared" si="85"/>
        <v>0</v>
      </c>
      <c r="C1092" s="21">
        <f t="shared" si="86"/>
        <v>0</v>
      </c>
      <c r="D1092" s="22" t="e">
        <f>VLOOKUP($A1092, TAB_JUROS_U[[Q_DIAS_U_PARC_TIR]:[V_FUT_U_JURS CENARIO]], D$5, FALSE)</f>
        <v>#N/A</v>
      </c>
      <c r="E1092" s="22" t="e">
        <f>VLOOKUP($A1092,TAB_CORRECAO_U[[Q_DIAS_U_PARC_TIR]:[V_FUT_U_CORC-02]],E$5, FALSE)</f>
        <v>#N/A</v>
      </c>
      <c r="F1092" s="22" t="e">
        <f>VLOOKUP($A1092,TAB_AMORTIZACAO_U[[Q_DIAS_U_PARC_TIR]:[V_FUT_U_PCPL-02]], F$5, FALSE)</f>
        <v>#N/A</v>
      </c>
      <c r="H1092" s="20">
        <f t="shared" si="87"/>
        <v>0</v>
      </c>
      <c r="I1092" s="21">
        <f t="shared" si="88"/>
        <v>0</v>
      </c>
      <c r="J1092" s="22" t="e">
        <f>VLOOKUP($A1092, TAB_JUROS_C[[DIAS_CORRIDOS]:[V_FUT_UTEIS]], J$5, FALSE)</f>
        <v>#N/A</v>
      </c>
      <c r="K1092" s="22" t="e">
        <f>VLOOKUP($A1092, TAB_CORRECAO_C[[DIAS_CORRIDOS]:[V_FUT_UTEIS]],K$5, FALSE)</f>
        <v>#N/A</v>
      </c>
      <c r="L1092" s="22" t="e">
        <f>VLOOKUP($A1092, TAB_AMORTIZACAO_C[[DIAS_CORRIDOS]:[V_FUT_UTEIS]], L$5, FALSE)</f>
        <v>#N/A</v>
      </c>
    </row>
    <row r="1093" spans="1:12" hidden="1">
      <c r="A1093" s="19">
        <f t="shared" si="89"/>
        <v>1087</v>
      </c>
      <c r="B1093" s="20">
        <f t="shared" si="85"/>
        <v>0</v>
      </c>
      <c r="C1093" s="21">
        <f t="shared" si="86"/>
        <v>0</v>
      </c>
      <c r="D1093" s="22" t="e">
        <f>VLOOKUP($A1093, TAB_JUROS_U[[Q_DIAS_U_PARC_TIR]:[V_FUT_U_JURS CENARIO]], D$5, FALSE)</f>
        <v>#N/A</v>
      </c>
      <c r="E1093" s="22" t="e">
        <f>VLOOKUP($A1093,TAB_CORRECAO_U[[Q_DIAS_U_PARC_TIR]:[V_FUT_U_CORC-02]],E$5, FALSE)</f>
        <v>#N/A</v>
      </c>
      <c r="F1093" s="22" t="e">
        <f>VLOOKUP($A1093,TAB_AMORTIZACAO_U[[Q_DIAS_U_PARC_TIR]:[V_FUT_U_PCPL-02]], F$5, FALSE)</f>
        <v>#N/A</v>
      </c>
      <c r="H1093" s="20">
        <f t="shared" si="87"/>
        <v>0</v>
      </c>
      <c r="I1093" s="21">
        <f t="shared" si="88"/>
        <v>0</v>
      </c>
      <c r="J1093" s="22" t="e">
        <f>VLOOKUP($A1093, TAB_JUROS_C[[DIAS_CORRIDOS]:[V_FUT_UTEIS]], J$5, FALSE)</f>
        <v>#N/A</v>
      </c>
      <c r="K1093" s="22" t="e">
        <f>VLOOKUP($A1093, TAB_CORRECAO_C[[DIAS_CORRIDOS]:[V_FUT_UTEIS]],K$5, FALSE)</f>
        <v>#N/A</v>
      </c>
      <c r="L1093" s="22" t="e">
        <f>VLOOKUP($A1093, TAB_AMORTIZACAO_C[[DIAS_CORRIDOS]:[V_FUT_UTEIS]], L$5, FALSE)</f>
        <v>#N/A</v>
      </c>
    </row>
    <row r="1094" spans="1:12" hidden="1">
      <c r="A1094" s="19">
        <f t="shared" si="89"/>
        <v>1088</v>
      </c>
      <c r="B1094" s="20">
        <f t="shared" si="85"/>
        <v>0</v>
      </c>
      <c r="C1094" s="21">
        <f t="shared" si="86"/>
        <v>0</v>
      </c>
      <c r="D1094" s="22" t="e">
        <f>VLOOKUP($A1094, TAB_JUROS_U[[Q_DIAS_U_PARC_TIR]:[V_FUT_U_JURS CENARIO]], D$5, FALSE)</f>
        <v>#N/A</v>
      </c>
      <c r="E1094" s="22" t="e">
        <f>VLOOKUP($A1094,TAB_CORRECAO_U[[Q_DIAS_U_PARC_TIR]:[V_FUT_U_CORC-02]],E$5, FALSE)</f>
        <v>#N/A</v>
      </c>
      <c r="F1094" s="22" t="e">
        <f>VLOOKUP($A1094,TAB_AMORTIZACAO_U[[Q_DIAS_U_PARC_TIR]:[V_FUT_U_PCPL-02]], F$5, FALSE)</f>
        <v>#N/A</v>
      </c>
      <c r="H1094" s="20">
        <f t="shared" si="87"/>
        <v>0</v>
      </c>
      <c r="I1094" s="21">
        <f t="shared" si="88"/>
        <v>0</v>
      </c>
      <c r="J1094" s="22" t="e">
        <f>VLOOKUP($A1094, TAB_JUROS_C[[DIAS_CORRIDOS]:[V_FUT_UTEIS]], J$5, FALSE)</f>
        <v>#N/A</v>
      </c>
      <c r="K1094" s="22" t="e">
        <f>VLOOKUP($A1094, TAB_CORRECAO_C[[DIAS_CORRIDOS]:[V_FUT_UTEIS]],K$5, FALSE)</f>
        <v>#N/A</v>
      </c>
      <c r="L1094" s="22" t="e">
        <f>VLOOKUP($A1094, TAB_AMORTIZACAO_C[[DIAS_CORRIDOS]:[V_FUT_UTEIS]], L$5, FALSE)</f>
        <v>#N/A</v>
      </c>
    </row>
    <row r="1095" spans="1:12" hidden="1">
      <c r="A1095" s="19">
        <f t="shared" si="89"/>
        <v>1089</v>
      </c>
      <c r="B1095" s="20">
        <f t="shared" si="85"/>
        <v>0</v>
      </c>
      <c r="C1095" s="21">
        <f t="shared" si="86"/>
        <v>0</v>
      </c>
      <c r="D1095" s="22" t="e">
        <f>VLOOKUP($A1095, TAB_JUROS_U[[Q_DIAS_U_PARC_TIR]:[V_FUT_U_JURS CENARIO]], D$5, FALSE)</f>
        <v>#N/A</v>
      </c>
      <c r="E1095" s="22" t="e">
        <f>VLOOKUP($A1095,TAB_CORRECAO_U[[Q_DIAS_U_PARC_TIR]:[V_FUT_U_CORC-02]],E$5, FALSE)</f>
        <v>#N/A</v>
      </c>
      <c r="F1095" s="22" t="e">
        <f>VLOOKUP($A1095,TAB_AMORTIZACAO_U[[Q_DIAS_U_PARC_TIR]:[V_FUT_U_PCPL-02]], F$5, FALSE)</f>
        <v>#N/A</v>
      </c>
      <c r="H1095" s="20">
        <f t="shared" si="87"/>
        <v>0</v>
      </c>
      <c r="I1095" s="21">
        <f t="shared" si="88"/>
        <v>0</v>
      </c>
      <c r="J1095" s="22" t="e">
        <f>VLOOKUP($A1095, TAB_JUROS_C[[DIAS_CORRIDOS]:[V_FUT_UTEIS]], J$5, FALSE)</f>
        <v>#N/A</v>
      </c>
      <c r="K1095" s="22" t="e">
        <f>VLOOKUP($A1095, TAB_CORRECAO_C[[DIAS_CORRIDOS]:[V_FUT_UTEIS]],K$5, FALSE)</f>
        <v>#N/A</v>
      </c>
      <c r="L1095" s="22" t="e">
        <f>VLOOKUP($A1095, TAB_AMORTIZACAO_C[[DIAS_CORRIDOS]:[V_FUT_UTEIS]], L$5, FALSE)</f>
        <v>#N/A</v>
      </c>
    </row>
    <row r="1096" spans="1:12" hidden="1">
      <c r="A1096" s="19">
        <f t="shared" si="89"/>
        <v>1090</v>
      </c>
      <c r="B1096" s="20">
        <f t="shared" si="85"/>
        <v>0</v>
      </c>
      <c r="C1096" s="21">
        <f t="shared" si="86"/>
        <v>0</v>
      </c>
      <c r="D1096" s="22" t="e">
        <f>VLOOKUP($A1096, TAB_JUROS_U[[Q_DIAS_U_PARC_TIR]:[V_FUT_U_JURS CENARIO]], D$5, FALSE)</f>
        <v>#N/A</v>
      </c>
      <c r="E1096" s="22" t="e">
        <f>VLOOKUP($A1096,TAB_CORRECAO_U[[Q_DIAS_U_PARC_TIR]:[V_FUT_U_CORC-02]],E$5, FALSE)</f>
        <v>#N/A</v>
      </c>
      <c r="F1096" s="22" t="e">
        <f>VLOOKUP($A1096,TAB_AMORTIZACAO_U[[Q_DIAS_U_PARC_TIR]:[V_FUT_U_PCPL-02]], F$5, FALSE)</f>
        <v>#N/A</v>
      </c>
      <c r="H1096" s="20">
        <f t="shared" si="87"/>
        <v>0</v>
      </c>
      <c r="I1096" s="21">
        <f t="shared" si="88"/>
        <v>0</v>
      </c>
      <c r="J1096" s="22" t="e">
        <f>VLOOKUP($A1096, TAB_JUROS_C[[DIAS_CORRIDOS]:[V_FUT_UTEIS]], J$5, FALSE)</f>
        <v>#N/A</v>
      </c>
      <c r="K1096" s="22" t="e">
        <f>VLOOKUP($A1096, TAB_CORRECAO_C[[DIAS_CORRIDOS]:[V_FUT_UTEIS]],K$5, FALSE)</f>
        <v>#N/A</v>
      </c>
      <c r="L1096" s="22" t="e">
        <f>VLOOKUP($A1096, TAB_AMORTIZACAO_C[[DIAS_CORRIDOS]:[V_FUT_UTEIS]], L$5, FALSE)</f>
        <v>#N/A</v>
      </c>
    </row>
    <row r="1097" spans="1:12" hidden="1">
      <c r="A1097" s="19">
        <f t="shared" si="89"/>
        <v>1091</v>
      </c>
      <c r="B1097" s="20">
        <f t="shared" ref="B1097:B1160" si="90">IF(ISERROR(C1097), 0, C1097)</f>
        <v>0</v>
      </c>
      <c r="C1097" s="21">
        <f t="shared" ref="C1097:C1160" si="91">SUMIF(D1097:F1097, "&gt;0", D1097:F1097)</f>
        <v>0</v>
      </c>
      <c r="D1097" s="22" t="e">
        <f>VLOOKUP($A1097, TAB_JUROS_U[[Q_DIAS_U_PARC_TIR]:[V_FUT_U_JURS CENARIO]], D$5, FALSE)</f>
        <v>#N/A</v>
      </c>
      <c r="E1097" s="22" t="e">
        <f>VLOOKUP($A1097,TAB_CORRECAO_U[[Q_DIAS_U_PARC_TIR]:[V_FUT_U_CORC-02]],E$5, FALSE)</f>
        <v>#N/A</v>
      </c>
      <c r="F1097" s="22" t="e">
        <f>VLOOKUP($A1097,TAB_AMORTIZACAO_U[[Q_DIAS_U_PARC_TIR]:[V_FUT_U_PCPL-02]], F$5, FALSE)</f>
        <v>#N/A</v>
      </c>
      <c r="H1097" s="20">
        <f t="shared" ref="H1097:H1160" si="92">IF(ISERROR(I1097), 0, I1097)</f>
        <v>0</v>
      </c>
      <c r="I1097" s="21">
        <f t="shared" ref="I1097:I1160" si="93">SUMIF(J1097:L1097, "&gt;0", J1097:L1097)</f>
        <v>0</v>
      </c>
      <c r="J1097" s="22" t="e">
        <f>VLOOKUP($A1097, TAB_JUROS_C[[DIAS_CORRIDOS]:[V_FUT_UTEIS]], J$5, FALSE)</f>
        <v>#N/A</v>
      </c>
      <c r="K1097" s="22" t="e">
        <f>VLOOKUP($A1097, TAB_CORRECAO_C[[DIAS_CORRIDOS]:[V_FUT_UTEIS]],K$5, FALSE)</f>
        <v>#N/A</v>
      </c>
      <c r="L1097" s="22" t="e">
        <f>VLOOKUP($A1097, TAB_AMORTIZACAO_C[[DIAS_CORRIDOS]:[V_FUT_UTEIS]], L$5, FALSE)</f>
        <v>#N/A</v>
      </c>
    </row>
    <row r="1098" spans="1:12" hidden="1">
      <c r="A1098" s="19">
        <f t="shared" ref="A1098:A1161" si="94">A1097+1</f>
        <v>1092</v>
      </c>
      <c r="B1098" s="20">
        <f t="shared" si="90"/>
        <v>0</v>
      </c>
      <c r="C1098" s="21">
        <f t="shared" si="91"/>
        <v>0</v>
      </c>
      <c r="D1098" s="22" t="e">
        <f>VLOOKUP($A1098, TAB_JUROS_U[[Q_DIAS_U_PARC_TIR]:[V_FUT_U_JURS CENARIO]], D$5, FALSE)</f>
        <v>#N/A</v>
      </c>
      <c r="E1098" s="22" t="e">
        <f>VLOOKUP($A1098,TAB_CORRECAO_U[[Q_DIAS_U_PARC_TIR]:[V_FUT_U_CORC-02]],E$5, FALSE)</f>
        <v>#N/A</v>
      </c>
      <c r="F1098" s="22" t="e">
        <f>VLOOKUP($A1098,TAB_AMORTIZACAO_U[[Q_DIAS_U_PARC_TIR]:[V_FUT_U_PCPL-02]], F$5, FALSE)</f>
        <v>#N/A</v>
      </c>
      <c r="H1098" s="20">
        <f t="shared" si="92"/>
        <v>0</v>
      </c>
      <c r="I1098" s="21">
        <f t="shared" si="93"/>
        <v>0</v>
      </c>
      <c r="J1098" s="22" t="e">
        <f>VLOOKUP($A1098, TAB_JUROS_C[[DIAS_CORRIDOS]:[V_FUT_UTEIS]], J$5, FALSE)</f>
        <v>#N/A</v>
      </c>
      <c r="K1098" s="22" t="e">
        <f>VLOOKUP($A1098, TAB_CORRECAO_C[[DIAS_CORRIDOS]:[V_FUT_UTEIS]],K$5, FALSE)</f>
        <v>#N/A</v>
      </c>
      <c r="L1098" s="22" t="e">
        <f>VLOOKUP($A1098, TAB_AMORTIZACAO_C[[DIAS_CORRIDOS]:[V_FUT_UTEIS]], L$5, FALSE)</f>
        <v>#N/A</v>
      </c>
    </row>
    <row r="1099" spans="1:12" hidden="1">
      <c r="A1099" s="19">
        <f t="shared" si="94"/>
        <v>1093</v>
      </c>
      <c r="B1099" s="20">
        <f t="shared" si="90"/>
        <v>0</v>
      </c>
      <c r="C1099" s="21">
        <f t="shared" si="91"/>
        <v>0</v>
      </c>
      <c r="D1099" s="22" t="e">
        <f>VLOOKUP($A1099, TAB_JUROS_U[[Q_DIAS_U_PARC_TIR]:[V_FUT_U_JURS CENARIO]], D$5, FALSE)</f>
        <v>#N/A</v>
      </c>
      <c r="E1099" s="22" t="e">
        <f>VLOOKUP($A1099,TAB_CORRECAO_U[[Q_DIAS_U_PARC_TIR]:[V_FUT_U_CORC-02]],E$5, FALSE)</f>
        <v>#N/A</v>
      </c>
      <c r="F1099" s="22" t="e">
        <f>VLOOKUP($A1099,TAB_AMORTIZACAO_U[[Q_DIAS_U_PARC_TIR]:[V_FUT_U_PCPL-02]], F$5, FALSE)</f>
        <v>#N/A</v>
      </c>
      <c r="H1099" s="20">
        <f t="shared" si="92"/>
        <v>0</v>
      </c>
      <c r="I1099" s="21">
        <f t="shared" si="93"/>
        <v>0</v>
      </c>
      <c r="J1099" s="22" t="e">
        <f>VLOOKUP($A1099, TAB_JUROS_C[[DIAS_CORRIDOS]:[V_FUT_UTEIS]], J$5, FALSE)</f>
        <v>#N/A</v>
      </c>
      <c r="K1099" s="22" t="e">
        <f>VLOOKUP($A1099, TAB_CORRECAO_C[[DIAS_CORRIDOS]:[V_FUT_UTEIS]],K$5, FALSE)</f>
        <v>#N/A</v>
      </c>
      <c r="L1099" s="22" t="e">
        <f>VLOOKUP($A1099, TAB_AMORTIZACAO_C[[DIAS_CORRIDOS]:[V_FUT_UTEIS]], L$5, FALSE)</f>
        <v>#N/A</v>
      </c>
    </row>
    <row r="1100" spans="1:12" hidden="1">
      <c r="A1100" s="19">
        <f t="shared" si="94"/>
        <v>1094</v>
      </c>
      <c r="B1100" s="20">
        <f t="shared" si="90"/>
        <v>0</v>
      </c>
      <c r="C1100" s="21">
        <f t="shared" si="91"/>
        <v>0</v>
      </c>
      <c r="D1100" s="22" t="e">
        <f>VLOOKUP($A1100, TAB_JUROS_U[[Q_DIAS_U_PARC_TIR]:[V_FUT_U_JURS CENARIO]], D$5, FALSE)</f>
        <v>#N/A</v>
      </c>
      <c r="E1100" s="22" t="e">
        <f>VLOOKUP($A1100,TAB_CORRECAO_U[[Q_DIAS_U_PARC_TIR]:[V_FUT_U_CORC-02]],E$5, FALSE)</f>
        <v>#N/A</v>
      </c>
      <c r="F1100" s="22" t="e">
        <f>VLOOKUP($A1100,TAB_AMORTIZACAO_U[[Q_DIAS_U_PARC_TIR]:[V_FUT_U_PCPL-02]], F$5, FALSE)</f>
        <v>#N/A</v>
      </c>
      <c r="H1100" s="20">
        <f t="shared" si="92"/>
        <v>0</v>
      </c>
      <c r="I1100" s="21">
        <f t="shared" si="93"/>
        <v>0</v>
      </c>
      <c r="J1100" s="22" t="e">
        <f>VLOOKUP($A1100, TAB_JUROS_C[[DIAS_CORRIDOS]:[V_FUT_UTEIS]], J$5, FALSE)</f>
        <v>#N/A</v>
      </c>
      <c r="K1100" s="22" t="e">
        <f>VLOOKUP($A1100, TAB_CORRECAO_C[[DIAS_CORRIDOS]:[V_FUT_UTEIS]],K$5, FALSE)</f>
        <v>#N/A</v>
      </c>
      <c r="L1100" s="22" t="e">
        <f>VLOOKUP($A1100, TAB_AMORTIZACAO_C[[DIAS_CORRIDOS]:[V_FUT_UTEIS]], L$5, FALSE)</f>
        <v>#N/A</v>
      </c>
    </row>
    <row r="1101" spans="1:12" hidden="1">
      <c r="A1101" s="19">
        <f t="shared" si="94"/>
        <v>1095</v>
      </c>
      <c r="B1101" s="20">
        <f t="shared" si="90"/>
        <v>0</v>
      </c>
      <c r="C1101" s="21">
        <f t="shared" si="91"/>
        <v>0</v>
      </c>
      <c r="D1101" s="22" t="e">
        <f>VLOOKUP($A1101, TAB_JUROS_U[[Q_DIAS_U_PARC_TIR]:[V_FUT_U_JURS CENARIO]], D$5, FALSE)</f>
        <v>#N/A</v>
      </c>
      <c r="E1101" s="22" t="e">
        <f>VLOOKUP($A1101,TAB_CORRECAO_U[[Q_DIAS_U_PARC_TIR]:[V_FUT_U_CORC-02]],E$5, FALSE)</f>
        <v>#N/A</v>
      </c>
      <c r="F1101" s="22" t="e">
        <f>VLOOKUP($A1101,TAB_AMORTIZACAO_U[[Q_DIAS_U_PARC_TIR]:[V_FUT_U_PCPL-02]], F$5, FALSE)</f>
        <v>#N/A</v>
      </c>
      <c r="H1101" s="20">
        <f t="shared" si="92"/>
        <v>0</v>
      </c>
      <c r="I1101" s="21">
        <f t="shared" si="93"/>
        <v>0</v>
      </c>
      <c r="J1101" s="22" t="e">
        <f>VLOOKUP($A1101, TAB_JUROS_C[[DIAS_CORRIDOS]:[V_FUT_UTEIS]], J$5, FALSE)</f>
        <v>#N/A</v>
      </c>
      <c r="K1101" s="22" t="e">
        <f>VLOOKUP($A1101, TAB_CORRECAO_C[[DIAS_CORRIDOS]:[V_FUT_UTEIS]],K$5, FALSE)</f>
        <v>#N/A</v>
      </c>
      <c r="L1101" s="22" t="e">
        <f>VLOOKUP($A1101, TAB_AMORTIZACAO_C[[DIAS_CORRIDOS]:[V_FUT_UTEIS]], L$5, FALSE)</f>
        <v>#N/A</v>
      </c>
    </row>
    <row r="1102" spans="1:12" hidden="1">
      <c r="A1102" s="19">
        <f t="shared" si="94"/>
        <v>1096</v>
      </c>
      <c r="B1102" s="20">
        <f t="shared" si="90"/>
        <v>0</v>
      </c>
      <c r="C1102" s="21">
        <f t="shared" si="91"/>
        <v>0</v>
      </c>
      <c r="D1102" s="22" t="e">
        <f>VLOOKUP($A1102, TAB_JUROS_U[[Q_DIAS_U_PARC_TIR]:[V_FUT_U_JURS CENARIO]], D$5, FALSE)</f>
        <v>#N/A</v>
      </c>
      <c r="E1102" s="22" t="e">
        <f>VLOOKUP($A1102,TAB_CORRECAO_U[[Q_DIAS_U_PARC_TIR]:[V_FUT_U_CORC-02]],E$5, FALSE)</f>
        <v>#N/A</v>
      </c>
      <c r="F1102" s="22" t="e">
        <f>VLOOKUP($A1102,TAB_AMORTIZACAO_U[[Q_DIAS_U_PARC_TIR]:[V_FUT_U_PCPL-02]], F$5, FALSE)</f>
        <v>#N/A</v>
      </c>
      <c r="H1102" s="20">
        <f t="shared" si="92"/>
        <v>0</v>
      </c>
      <c r="I1102" s="21">
        <f t="shared" si="93"/>
        <v>0</v>
      </c>
      <c r="J1102" s="22" t="e">
        <f>VLOOKUP($A1102, TAB_JUROS_C[[DIAS_CORRIDOS]:[V_FUT_UTEIS]], J$5, FALSE)</f>
        <v>#N/A</v>
      </c>
      <c r="K1102" s="22" t="e">
        <f>VLOOKUP($A1102, TAB_CORRECAO_C[[DIAS_CORRIDOS]:[V_FUT_UTEIS]],K$5, FALSE)</f>
        <v>#N/A</v>
      </c>
      <c r="L1102" s="22" t="e">
        <f>VLOOKUP($A1102, TAB_AMORTIZACAO_C[[DIAS_CORRIDOS]:[V_FUT_UTEIS]], L$5, FALSE)</f>
        <v>#N/A</v>
      </c>
    </row>
    <row r="1103" spans="1:12" hidden="1">
      <c r="A1103" s="19">
        <f t="shared" si="94"/>
        <v>1097</v>
      </c>
      <c r="B1103" s="20">
        <f t="shared" si="90"/>
        <v>0</v>
      </c>
      <c r="C1103" s="21">
        <f t="shared" si="91"/>
        <v>0</v>
      </c>
      <c r="D1103" s="22" t="e">
        <f>VLOOKUP($A1103, TAB_JUROS_U[[Q_DIAS_U_PARC_TIR]:[V_FUT_U_JURS CENARIO]], D$5, FALSE)</f>
        <v>#N/A</v>
      </c>
      <c r="E1103" s="22" t="e">
        <f>VLOOKUP($A1103,TAB_CORRECAO_U[[Q_DIAS_U_PARC_TIR]:[V_FUT_U_CORC-02]],E$5, FALSE)</f>
        <v>#N/A</v>
      </c>
      <c r="F1103" s="22" t="e">
        <f>VLOOKUP($A1103,TAB_AMORTIZACAO_U[[Q_DIAS_U_PARC_TIR]:[V_FUT_U_PCPL-02]], F$5, FALSE)</f>
        <v>#N/A</v>
      </c>
      <c r="H1103" s="20">
        <f t="shared" si="92"/>
        <v>0</v>
      </c>
      <c r="I1103" s="21">
        <f t="shared" si="93"/>
        <v>0</v>
      </c>
      <c r="J1103" s="22" t="e">
        <f>VLOOKUP($A1103, TAB_JUROS_C[[DIAS_CORRIDOS]:[V_FUT_UTEIS]], J$5, FALSE)</f>
        <v>#N/A</v>
      </c>
      <c r="K1103" s="22" t="e">
        <f>VLOOKUP($A1103, TAB_CORRECAO_C[[DIAS_CORRIDOS]:[V_FUT_UTEIS]],K$5, FALSE)</f>
        <v>#N/A</v>
      </c>
      <c r="L1103" s="22" t="e">
        <f>VLOOKUP($A1103, TAB_AMORTIZACAO_C[[DIAS_CORRIDOS]:[V_FUT_UTEIS]], L$5, FALSE)</f>
        <v>#N/A</v>
      </c>
    </row>
    <row r="1104" spans="1:12">
      <c r="A1104" s="19">
        <f t="shared" si="94"/>
        <v>1098</v>
      </c>
      <c r="B1104" s="20">
        <f t="shared" si="90"/>
        <v>766.63900928786688</v>
      </c>
      <c r="C1104" s="21">
        <f t="shared" si="91"/>
        <v>766.63900928786688</v>
      </c>
      <c r="D1104" s="22">
        <f>VLOOKUP($A1104, TAB_JUROS_U[[Q_DIAS_U_PARC_TIR]:[V_FUT_U_JURS CENARIO]], D$5, FALSE)</f>
        <v>56.772387137069174</v>
      </c>
      <c r="E1104" s="22">
        <f>VLOOKUP($A1104,TAB_CORRECAO_U[[Q_DIAS_U_PARC_TIR]:[V_FUT_U_CORC-02]],E$5, FALSE)</f>
        <v>323.18130069334518</v>
      </c>
      <c r="F1104" s="22">
        <f>VLOOKUP($A1104,TAB_AMORTIZACAO_U[[Q_DIAS_U_PARC_TIR]:[V_FUT_U_PCPL-02]], F$5, FALSE)</f>
        <v>386.68532145745246</v>
      </c>
      <c r="H1104" s="20">
        <f t="shared" si="92"/>
        <v>0</v>
      </c>
      <c r="I1104" s="21">
        <f t="shared" si="93"/>
        <v>0</v>
      </c>
      <c r="J1104" s="22" t="e">
        <f>VLOOKUP($A1104, TAB_JUROS_C[[DIAS_CORRIDOS]:[V_FUT_UTEIS]], J$5, FALSE)</f>
        <v>#N/A</v>
      </c>
      <c r="K1104" s="22" t="e">
        <f>VLOOKUP($A1104, TAB_CORRECAO_C[[DIAS_CORRIDOS]:[V_FUT_UTEIS]],K$5, FALSE)</f>
        <v>#N/A</v>
      </c>
      <c r="L1104" s="22" t="e">
        <f>VLOOKUP($A1104, TAB_AMORTIZACAO_C[[DIAS_CORRIDOS]:[V_FUT_UTEIS]], L$5, FALSE)</f>
        <v>#N/A</v>
      </c>
    </row>
    <row r="1105" spans="1:12" hidden="1">
      <c r="A1105" s="19">
        <f t="shared" si="94"/>
        <v>1099</v>
      </c>
      <c r="B1105" s="20">
        <f t="shared" si="90"/>
        <v>0</v>
      </c>
      <c r="C1105" s="21">
        <f t="shared" si="91"/>
        <v>0</v>
      </c>
      <c r="D1105" s="22" t="e">
        <f>VLOOKUP($A1105, TAB_JUROS_U[[Q_DIAS_U_PARC_TIR]:[V_FUT_U_JURS CENARIO]], D$5, FALSE)</f>
        <v>#N/A</v>
      </c>
      <c r="E1105" s="22" t="e">
        <f>VLOOKUP($A1105,TAB_CORRECAO_U[[Q_DIAS_U_PARC_TIR]:[V_FUT_U_CORC-02]],E$5, FALSE)</f>
        <v>#N/A</v>
      </c>
      <c r="F1105" s="22" t="e">
        <f>VLOOKUP($A1105,TAB_AMORTIZACAO_U[[Q_DIAS_U_PARC_TIR]:[V_FUT_U_PCPL-02]], F$5, FALSE)</f>
        <v>#N/A</v>
      </c>
      <c r="H1105" s="20">
        <f t="shared" si="92"/>
        <v>0</v>
      </c>
      <c r="I1105" s="21">
        <f t="shared" si="93"/>
        <v>0</v>
      </c>
      <c r="J1105" s="22" t="e">
        <f>VLOOKUP($A1105, TAB_JUROS_C[[DIAS_CORRIDOS]:[V_FUT_UTEIS]], J$5, FALSE)</f>
        <v>#N/A</v>
      </c>
      <c r="K1105" s="22" t="e">
        <f>VLOOKUP($A1105, TAB_CORRECAO_C[[DIAS_CORRIDOS]:[V_FUT_UTEIS]],K$5, FALSE)</f>
        <v>#N/A</v>
      </c>
      <c r="L1105" s="22" t="e">
        <f>VLOOKUP($A1105, TAB_AMORTIZACAO_C[[DIAS_CORRIDOS]:[V_FUT_UTEIS]], L$5, FALSE)</f>
        <v>#N/A</v>
      </c>
    </row>
    <row r="1106" spans="1:12" hidden="1">
      <c r="A1106" s="19">
        <f t="shared" si="94"/>
        <v>1100</v>
      </c>
      <c r="B1106" s="20">
        <f t="shared" si="90"/>
        <v>0</v>
      </c>
      <c r="C1106" s="21">
        <f t="shared" si="91"/>
        <v>0</v>
      </c>
      <c r="D1106" s="22" t="e">
        <f>VLOOKUP($A1106, TAB_JUROS_U[[Q_DIAS_U_PARC_TIR]:[V_FUT_U_JURS CENARIO]], D$5, FALSE)</f>
        <v>#N/A</v>
      </c>
      <c r="E1106" s="22" t="e">
        <f>VLOOKUP($A1106,TAB_CORRECAO_U[[Q_DIAS_U_PARC_TIR]:[V_FUT_U_CORC-02]],E$5, FALSE)</f>
        <v>#N/A</v>
      </c>
      <c r="F1106" s="22" t="e">
        <f>VLOOKUP($A1106,TAB_AMORTIZACAO_U[[Q_DIAS_U_PARC_TIR]:[V_FUT_U_PCPL-02]], F$5, FALSE)</f>
        <v>#N/A</v>
      </c>
      <c r="H1106" s="20">
        <f t="shared" si="92"/>
        <v>0</v>
      </c>
      <c r="I1106" s="21">
        <f t="shared" si="93"/>
        <v>0</v>
      </c>
      <c r="J1106" s="22" t="e">
        <f>VLOOKUP($A1106, TAB_JUROS_C[[DIAS_CORRIDOS]:[V_FUT_UTEIS]], J$5, FALSE)</f>
        <v>#N/A</v>
      </c>
      <c r="K1106" s="22" t="e">
        <f>VLOOKUP($A1106, TAB_CORRECAO_C[[DIAS_CORRIDOS]:[V_FUT_UTEIS]],K$5, FALSE)</f>
        <v>#N/A</v>
      </c>
      <c r="L1106" s="22" t="e">
        <f>VLOOKUP($A1106, TAB_AMORTIZACAO_C[[DIAS_CORRIDOS]:[V_FUT_UTEIS]], L$5, FALSE)</f>
        <v>#N/A</v>
      </c>
    </row>
    <row r="1107" spans="1:12" hidden="1">
      <c r="A1107" s="19">
        <f t="shared" si="94"/>
        <v>1101</v>
      </c>
      <c r="B1107" s="20">
        <f t="shared" si="90"/>
        <v>0</v>
      </c>
      <c r="C1107" s="21">
        <f t="shared" si="91"/>
        <v>0</v>
      </c>
      <c r="D1107" s="22" t="e">
        <f>VLOOKUP($A1107, TAB_JUROS_U[[Q_DIAS_U_PARC_TIR]:[V_FUT_U_JURS CENARIO]], D$5, FALSE)</f>
        <v>#N/A</v>
      </c>
      <c r="E1107" s="22" t="e">
        <f>VLOOKUP($A1107,TAB_CORRECAO_U[[Q_DIAS_U_PARC_TIR]:[V_FUT_U_CORC-02]],E$5, FALSE)</f>
        <v>#N/A</v>
      </c>
      <c r="F1107" s="22" t="e">
        <f>VLOOKUP($A1107,TAB_AMORTIZACAO_U[[Q_DIAS_U_PARC_TIR]:[V_FUT_U_PCPL-02]], F$5, FALSE)</f>
        <v>#N/A</v>
      </c>
      <c r="H1107" s="20">
        <f t="shared" si="92"/>
        <v>0</v>
      </c>
      <c r="I1107" s="21">
        <f t="shared" si="93"/>
        <v>0</v>
      </c>
      <c r="J1107" s="22" t="e">
        <f>VLOOKUP($A1107, TAB_JUROS_C[[DIAS_CORRIDOS]:[V_FUT_UTEIS]], J$5, FALSE)</f>
        <v>#N/A</v>
      </c>
      <c r="K1107" s="22" t="e">
        <f>VLOOKUP($A1107, TAB_CORRECAO_C[[DIAS_CORRIDOS]:[V_FUT_UTEIS]],K$5, FALSE)</f>
        <v>#N/A</v>
      </c>
      <c r="L1107" s="22" t="e">
        <f>VLOOKUP($A1107, TAB_AMORTIZACAO_C[[DIAS_CORRIDOS]:[V_FUT_UTEIS]], L$5, FALSE)</f>
        <v>#N/A</v>
      </c>
    </row>
    <row r="1108" spans="1:12" hidden="1">
      <c r="A1108" s="19">
        <f t="shared" si="94"/>
        <v>1102</v>
      </c>
      <c r="B1108" s="20">
        <f t="shared" si="90"/>
        <v>0</v>
      </c>
      <c r="C1108" s="21">
        <f t="shared" si="91"/>
        <v>0</v>
      </c>
      <c r="D1108" s="22" t="e">
        <f>VLOOKUP($A1108, TAB_JUROS_U[[Q_DIAS_U_PARC_TIR]:[V_FUT_U_JURS CENARIO]], D$5, FALSE)</f>
        <v>#N/A</v>
      </c>
      <c r="E1108" s="22" t="e">
        <f>VLOOKUP($A1108,TAB_CORRECAO_U[[Q_DIAS_U_PARC_TIR]:[V_FUT_U_CORC-02]],E$5, FALSE)</f>
        <v>#N/A</v>
      </c>
      <c r="F1108" s="22" t="e">
        <f>VLOOKUP($A1108,TAB_AMORTIZACAO_U[[Q_DIAS_U_PARC_TIR]:[V_FUT_U_PCPL-02]], F$5, FALSE)</f>
        <v>#N/A</v>
      </c>
      <c r="H1108" s="20">
        <f t="shared" si="92"/>
        <v>0</v>
      </c>
      <c r="I1108" s="21">
        <f t="shared" si="93"/>
        <v>0</v>
      </c>
      <c r="J1108" s="22" t="e">
        <f>VLOOKUP($A1108, TAB_JUROS_C[[DIAS_CORRIDOS]:[V_FUT_UTEIS]], J$5, FALSE)</f>
        <v>#N/A</v>
      </c>
      <c r="K1108" s="22" t="e">
        <f>VLOOKUP($A1108, TAB_CORRECAO_C[[DIAS_CORRIDOS]:[V_FUT_UTEIS]],K$5, FALSE)</f>
        <v>#N/A</v>
      </c>
      <c r="L1108" s="22" t="e">
        <f>VLOOKUP($A1108, TAB_AMORTIZACAO_C[[DIAS_CORRIDOS]:[V_FUT_UTEIS]], L$5, FALSE)</f>
        <v>#N/A</v>
      </c>
    </row>
    <row r="1109" spans="1:12" hidden="1">
      <c r="A1109" s="19">
        <f t="shared" si="94"/>
        <v>1103</v>
      </c>
      <c r="B1109" s="20">
        <f t="shared" si="90"/>
        <v>0</v>
      </c>
      <c r="C1109" s="21">
        <f t="shared" si="91"/>
        <v>0</v>
      </c>
      <c r="D1109" s="22" t="e">
        <f>VLOOKUP($A1109, TAB_JUROS_U[[Q_DIAS_U_PARC_TIR]:[V_FUT_U_JURS CENARIO]], D$5, FALSE)</f>
        <v>#N/A</v>
      </c>
      <c r="E1109" s="22" t="e">
        <f>VLOOKUP($A1109,TAB_CORRECAO_U[[Q_DIAS_U_PARC_TIR]:[V_FUT_U_CORC-02]],E$5, FALSE)</f>
        <v>#N/A</v>
      </c>
      <c r="F1109" s="22" t="e">
        <f>VLOOKUP($A1109,TAB_AMORTIZACAO_U[[Q_DIAS_U_PARC_TIR]:[V_FUT_U_PCPL-02]], F$5, FALSE)</f>
        <v>#N/A</v>
      </c>
      <c r="H1109" s="20">
        <f t="shared" si="92"/>
        <v>0</v>
      </c>
      <c r="I1109" s="21">
        <f t="shared" si="93"/>
        <v>0</v>
      </c>
      <c r="J1109" s="22" t="e">
        <f>VLOOKUP($A1109, TAB_JUROS_C[[DIAS_CORRIDOS]:[V_FUT_UTEIS]], J$5, FALSE)</f>
        <v>#N/A</v>
      </c>
      <c r="K1109" s="22" t="e">
        <f>VLOOKUP($A1109, TAB_CORRECAO_C[[DIAS_CORRIDOS]:[V_FUT_UTEIS]],K$5, FALSE)</f>
        <v>#N/A</v>
      </c>
      <c r="L1109" s="22" t="e">
        <f>VLOOKUP($A1109, TAB_AMORTIZACAO_C[[DIAS_CORRIDOS]:[V_FUT_UTEIS]], L$5, FALSE)</f>
        <v>#N/A</v>
      </c>
    </row>
    <row r="1110" spans="1:12" hidden="1">
      <c r="A1110" s="19">
        <f t="shared" si="94"/>
        <v>1104</v>
      </c>
      <c r="B1110" s="20">
        <f t="shared" si="90"/>
        <v>0</v>
      </c>
      <c r="C1110" s="21">
        <f t="shared" si="91"/>
        <v>0</v>
      </c>
      <c r="D1110" s="22" t="e">
        <f>VLOOKUP($A1110, TAB_JUROS_U[[Q_DIAS_U_PARC_TIR]:[V_FUT_U_JURS CENARIO]], D$5, FALSE)</f>
        <v>#N/A</v>
      </c>
      <c r="E1110" s="22" t="e">
        <f>VLOOKUP($A1110,TAB_CORRECAO_U[[Q_DIAS_U_PARC_TIR]:[V_FUT_U_CORC-02]],E$5, FALSE)</f>
        <v>#N/A</v>
      </c>
      <c r="F1110" s="22" t="e">
        <f>VLOOKUP($A1110,TAB_AMORTIZACAO_U[[Q_DIAS_U_PARC_TIR]:[V_FUT_U_PCPL-02]], F$5, FALSE)</f>
        <v>#N/A</v>
      </c>
      <c r="H1110" s="20">
        <f t="shared" si="92"/>
        <v>0</v>
      </c>
      <c r="I1110" s="21">
        <f t="shared" si="93"/>
        <v>0</v>
      </c>
      <c r="J1110" s="22" t="e">
        <f>VLOOKUP($A1110, TAB_JUROS_C[[DIAS_CORRIDOS]:[V_FUT_UTEIS]], J$5, FALSE)</f>
        <v>#N/A</v>
      </c>
      <c r="K1110" s="22" t="e">
        <f>VLOOKUP($A1110, TAB_CORRECAO_C[[DIAS_CORRIDOS]:[V_FUT_UTEIS]],K$5, FALSE)</f>
        <v>#N/A</v>
      </c>
      <c r="L1110" s="22" t="e">
        <f>VLOOKUP($A1110, TAB_AMORTIZACAO_C[[DIAS_CORRIDOS]:[V_FUT_UTEIS]], L$5, FALSE)</f>
        <v>#N/A</v>
      </c>
    </row>
    <row r="1111" spans="1:12" hidden="1">
      <c r="A1111" s="19">
        <f t="shared" si="94"/>
        <v>1105</v>
      </c>
      <c r="B1111" s="20">
        <f t="shared" si="90"/>
        <v>0</v>
      </c>
      <c r="C1111" s="21">
        <f t="shared" si="91"/>
        <v>0</v>
      </c>
      <c r="D1111" s="22" t="e">
        <f>VLOOKUP($A1111, TAB_JUROS_U[[Q_DIAS_U_PARC_TIR]:[V_FUT_U_JURS CENARIO]], D$5, FALSE)</f>
        <v>#N/A</v>
      </c>
      <c r="E1111" s="22" t="e">
        <f>VLOOKUP($A1111,TAB_CORRECAO_U[[Q_DIAS_U_PARC_TIR]:[V_FUT_U_CORC-02]],E$5, FALSE)</f>
        <v>#N/A</v>
      </c>
      <c r="F1111" s="22" t="e">
        <f>VLOOKUP($A1111,TAB_AMORTIZACAO_U[[Q_DIAS_U_PARC_TIR]:[V_FUT_U_PCPL-02]], F$5, FALSE)</f>
        <v>#N/A</v>
      </c>
      <c r="H1111" s="20">
        <f t="shared" si="92"/>
        <v>0</v>
      </c>
      <c r="I1111" s="21">
        <f t="shared" si="93"/>
        <v>0</v>
      </c>
      <c r="J1111" s="22" t="e">
        <f>VLOOKUP($A1111, TAB_JUROS_C[[DIAS_CORRIDOS]:[V_FUT_UTEIS]], J$5, FALSE)</f>
        <v>#N/A</v>
      </c>
      <c r="K1111" s="22" t="e">
        <f>VLOOKUP($A1111, TAB_CORRECAO_C[[DIAS_CORRIDOS]:[V_FUT_UTEIS]],K$5, FALSE)</f>
        <v>#N/A</v>
      </c>
      <c r="L1111" s="22" t="e">
        <f>VLOOKUP($A1111, TAB_AMORTIZACAO_C[[DIAS_CORRIDOS]:[V_FUT_UTEIS]], L$5, FALSE)</f>
        <v>#N/A</v>
      </c>
    </row>
    <row r="1112" spans="1:12" hidden="1">
      <c r="A1112" s="19">
        <f t="shared" si="94"/>
        <v>1106</v>
      </c>
      <c r="B1112" s="20">
        <f t="shared" si="90"/>
        <v>0</v>
      </c>
      <c r="C1112" s="21">
        <f t="shared" si="91"/>
        <v>0</v>
      </c>
      <c r="D1112" s="22" t="e">
        <f>VLOOKUP($A1112, TAB_JUROS_U[[Q_DIAS_U_PARC_TIR]:[V_FUT_U_JURS CENARIO]], D$5, FALSE)</f>
        <v>#N/A</v>
      </c>
      <c r="E1112" s="22" t="e">
        <f>VLOOKUP($A1112,TAB_CORRECAO_U[[Q_DIAS_U_PARC_TIR]:[V_FUT_U_CORC-02]],E$5, FALSE)</f>
        <v>#N/A</v>
      </c>
      <c r="F1112" s="22" t="e">
        <f>VLOOKUP($A1112,TAB_AMORTIZACAO_U[[Q_DIAS_U_PARC_TIR]:[V_FUT_U_PCPL-02]], F$5, FALSE)</f>
        <v>#N/A</v>
      </c>
      <c r="H1112" s="20">
        <f t="shared" si="92"/>
        <v>0</v>
      </c>
      <c r="I1112" s="21">
        <f t="shared" si="93"/>
        <v>0</v>
      </c>
      <c r="J1112" s="22" t="e">
        <f>VLOOKUP($A1112, TAB_JUROS_C[[DIAS_CORRIDOS]:[V_FUT_UTEIS]], J$5, FALSE)</f>
        <v>#N/A</v>
      </c>
      <c r="K1112" s="22" t="e">
        <f>VLOOKUP($A1112, TAB_CORRECAO_C[[DIAS_CORRIDOS]:[V_FUT_UTEIS]],K$5, FALSE)</f>
        <v>#N/A</v>
      </c>
      <c r="L1112" s="22" t="e">
        <f>VLOOKUP($A1112, TAB_AMORTIZACAO_C[[DIAS_CORRIDOS]:[V_FUT_UTEIS]], L$5, FALSE)</f>
        <v>#N/A</v>
      </c>
    </row>
    <row r="1113" spans="1:12" hidden="1">
      <c r="A1113" s="19">
        <f t="shared" si="94"/>
        <v>1107</v>
      </c>
      <c r="B1113" s="20">
        <f t="shared" si="90"/>
        <v>0</v>
      </c>
      <c r="C1113" s="21">
        <f t="shared" si="91"/>
        <v>0</v>
      </c>
      <c r="D1113" s="22" t="e">
        <f>VLOOKUP($A1113, TAB_JUROS_U[[Q_DIAS_U_PARC_TIR]:[V_FUT_U_JURS CENARIO]], D$5, FALSE)</f>
        <v>#N/A</v>
      </c>
      <c r="E1113" s="22" t="e">
        <f>VLOOKUP($A1113,TAB_CORRECAO_U[[Q_DIAS_U_PARC_TIR]:[V_FUT_U_CORC-02]],E$5, FALSE)</f>
        <v>#N/A</v>
      </c>
      <c r="F1113" s="22" t="e">
        <f>VLOOKUP($A1113,TAB_AMORTIZACAO_U[[Q_DIAS_U_PARC_TIR]:[V_FUT_U_PCPL-02]], F$5, FALSE)</f>
        <v>#N/A</v>
      </c>
      <c r="H1113" s="20">
        <f t="shared" si="92"/>
        <v>0</v>
      </c>
      <c r="I1113" s="21">
        <f t="shared" si="93"/>
        <v>0</v>
      </c>
      <c r="J1113" s="22" t="e">
        <f>VLOOKUP($A1113, TAB_JUROS_C[[DIAS_CORRIDOS]:[V_FUT_UTEIS]], J$5, FALSE)</f>
        <v>#N/A</v>
      </c>
      <c r="K1113" s="22" t="e">
        <f>VLOOKUP($A1113, TAB_CORRECAO_C[[DIAS_CORRIDOS]:[V_FUT_UTEIS]],K$5, FALSE)</f>
        <v>#N/A</v>
      </c>
      <c r="L1113" s="22" t="e">
        <f>VLOOKUP($A1113, TAB_AMORTIZACAO_C[[DIAS_CORRIDOS]:[V_FUT_UTEIS]], L$5, FALSE)</f>
        <v>#N/A</v>
      </c>
    </row>
    <row r="1114" spans="1:12" hidden="1">
      <c r="A1114" s="19">
        <f t="shared" si="94"/>
        <v>1108</v>
      </c>
      <c r="B1114" s="20">
        <f t="shared" si="90"/>
        <v>0</v>
      </c>
      <c r="C1114" s="21">
        <f t="shared" si="91"/>
        <v>0</v>
      </c>
      <c r="D1114" s="22" t="e">
        <f>VLOOKUP($A1114, TAB_JUROS_U[[Q_DIAS_U_PARC_TIR]:[V_FUT_U_JURS CENARIO]], D$5, FALSE)</f>
        <v>#N/A</v>
      </c>
      <c r="E1114" s="22" t="e">
        <f>VLOOKUP($A1114,TAB_CORRECAO_U[[Q_DIAS_U_PARC_TIR]:[V_FUT_U_CORC-02]],E$5, FALSE)</f>
        <v>#N/A</v>
      </c>
      <c r="F1114" s="22" t="e">
        <f>VLOOKUP($A1114,TAB_AMORTIZACAO_U[[Q_DIAS_U_PARC_TIR]:[V_FUT_U_PCPL-02]], F$5, FALSE)</f>
        <v>#N/A</v>
      </c>
      <c r="H1114" s="20">
        <f t="shared" si="92"/>
        <v>1149.9153656503458</v>
      </c>
      <c r="I1114" s="21">
        <f t="shared" si="93"/>
        <v>1149.9153656503458</v>
      </c>
      <c r="J1114" s="22">
        <f>VLOOKUP($A1114, TAB_JUROS_C[[DIAS_CORRIDOS]:[V_FUT_UTEIS]], J$5, FALSE)</f>
        <v>85.060376270617368</v>
      </c>
      <c r="K1114" s="22">
        <f>VLOOKUP($A1114, TAB_CORRECAO_C[[DIAS_CORRIDOS]:[V_FUT_UTEIS]],K$5, FALSE)</f>
        <v>536.04518261654118</v>
      </c>
      <c r="L1114" s="22">
        <f>VLOOKUP($A1114, TAB_AMORTIZACAO_C[[DIAS_CORRIDOS]:[V_FUT_UTEIS]], L$5, FALSE)</f>
        <v>528.80980676318723</v>
      </c>
    </row>
    <row r="1115" spans="1:12" hidden="1">
      <c r="A1115" s="19">
        <f t="shared" si="94"/>
        <v>1109</v>
      </c>
      <c r="B1115" s="20">
        <f t="shared" si="90"/>
        <v>0</v>
      </c>
      <c r="C1115" s="21">
        <f t="shared" si="91"/>
        <v>0</v>
      </c>
      <c r="D1115" s="22" t="e">
        <f>VLOOKUP($A1115, TAB_JUROS_U[[Q_DIAS_U_PARC_TIR]:[V_FUT_U_JURS CENARIO]], D$5, FALSE)</f>
        <v>#N/A</v>
      </c>
      <c r="E1115" s="22" t="e">
        <f>VLOOKUP($A1115,TAB_CORRECAO_U[[Q_DIAS_U_PARC_TIR]:[V_FUT_U_CORC-02]],E$5, FALSE)</f>
        <v>#N/A</v>
      </c>
      <c r="F1115" s="22" t="e">
        <f>VLOOKUP($A1115,TAB_AMORTIZACAO_U[[Q_DIAS_U_PARC_TIR]:[V_FUT_U_PCPL-02]], F$5, FALSE)</f>
        <v>#N/A</v>
      </c>
      <c r="H1115" s="20">
        <f t="shared" si="92"/>
        <v>0</v>
      </c>
      <c r="I1115" s="21">
        <f t="shared" si="93"/>
        <v>0</v>
      </c>
      <c r="J1115" s="22" t="e">
        <f>VLOOKUP($A1115, TAB_JUROS_C[[DIAS_CORRIDOS]:[V_FUT_UTEIS]], J$5, FALSE)</f>
        <v>#N/A</v>
      </c>
      <c r="K1115" s="22" t="e">
        <f>VLOOKUP($A1115, TAB_CORRECAO_C[[DIAS_CORRIDOS]:[V_FUT_UTEIS]],K$5, FALSE)</f>
        <v>#N/A</v>
      </c>
      <c r="L1115" s="22" t="e">
        <f>VLOOKUP($A1115, TAB_AMORTIZACAO_C[[DIAS_CORRIDOS]:[V_FUT_UTEIS]], L$5, FALSE)</f>
        <v>#N/A</v>
      </c>
    </row>
    <row r="1116" spans="1:12" hidden="1">
      <c r="A1116" s="19">
        <f t="shared" si="94"/>
        <v>1110</v>
      </c>
      <c r="B1116" s="20">
        <f t="shared" si="90"/>
        <v>0</v>
      </c>
      <c r="C1116" s="21">
        <f t="shared" si="91"/>
        <v>0</v>
      </c>
      <c r="D1116" s="22" t="e">
        <f>VLOOKUP($A1116, TAB_JUROS_U[[Q_DIAS_U_PARC_TIR]:[V_FUT_U_JURS CENARIO]], D$5, FALSE)</f>
        <v>#N/A</v>
      </c>
      <c r="E1116" s="22" t="e">
        <f>VLOOKUP($A1116,TAB_CORRECAO_U[[Q_DIAS_U_PARC_TIR]:[V_FUT_U_CORC-02]],E$5, FALSE)</f>
        <v>#N/A</v>
      </c>
      <c r="F1116" s="22" t="e">
        <f>VLOOKUP($A1116,TAB_AMORTIZACAO_U[[Q_DIAS_U_PARC_TIR]:[V_FUT_U_PCPL-02]], F$5, FALSE)</f>
        <v>#N/A</v>
      </c>
      <c r="H1116" s="20">
        <f t="shared" si="92"/>
        <v>0</v>
      </c>
      <c r="I1116" s="21">
        <f t="shared" si="93"/>
        <v>0</v>
      </c>
      <c r="J1116" s="22" t="e">
        <f>VLOOKUP($A1116, TAB_JUROS_C[[DIAS_CORRIDOS]:[V_FUT_UTEIS]], J$5, FALSE)</f>
        <v>#N/A</v>
      </c>
      <c r="K1116" s="22" t="e">
        <f>VLOOKUP($A1116, TAB_CORRECAO_C[[DIAS_CORRIDOS]:[V_FUT_UTEIS]],K$5, FALSE)</f>
        <v>#N/A</v>
      </c>
      <c r="L1116" s="22" t="e">
        <f>VLOOKUP($A1116, TAB_AMORTIZACAO_C[[DIAS_CORRIDOS]:[V_FUT_UTEIS]], L$5, FALSE)</f>
        <v>#N/A</v>
      </c>
    </row>
    <row r="1117" spans="1:12" hidden="1">
      <c r="A1117" s="19">
        <f t="shared" si="94"/>
        <v>1111</v>
      </c>
      <c r="B1117" s="20">
        <f t="shared" si="90"/>
        <v>0</v>
      </c>
      <c r="C1117" s="21">
        <f t="shared" si="91"/>
        <v>0</v>
      </c>
      <c r="D1117" s="22" t="e">
        <f>VLOOKUP($A1117, TAB_JUROS_U[[Q_DIAS_U_PARC_TIR]:[V_FUT_U_JURS CENARIO]], D$5, FALSE)</f>
        <v>#N/A</v>
      </c>
      <c r="E1117" s="22" t="e">
        <f>VLOOKUP($A1117,TAB_CORRECAO_U[[Q_DIAS_U_PARC_TIR]:[V_FUT_U_CORC-02]],E$5, FALSE)</f>
        <v>#N/A</v>
      </c>
      <c r="F1117" s="22" t="e">
        <f>VLOOKUP($A1117,TAB_AMORTIZACAO_U[[Q_DIAS_U_PARC_TIR]:[V_FUT_U_PCPL-02]], F$5, FALSE)</f>
        <v>#N/A</v>
      </c>
      <c r="H1117" s="20">
        <f t="shared" si="92"/>
        <v>0</v>
      </c>
      <c r="I1117" s="21">
        <f t="shared" si="93"/>
        <v>0</v>
      </c>
      <c r="J1117" s="22" t="e">
        <f>VLOOKUP($A1117, TAB_JUROS_C[[DIAS_CORRIDOS]:[V_FUT_UTEIS]], J$5, FALSE)</f>
        <v>#N/A</v>
      </c>
      <c r="K1117" s="22" t="e">
        <f>VLOOKUP($A1117, TAB_CORRECAO_C[[DIAS_CORRIDOS]:[V_FUT_UTEIS]],K$5, FALSE)</f>
        <v>#N/A</v>
      </c>
      <c r="L1117" s="22" t="e">
        <f>VLOOKUP($A1117, TAB_AMORTIZACAO_C[[DIAS_CORRIDOS]:[V_FUT_UTEIS]], L$5, FALSE)</f>
        <v>#N/A</v>
      </c>
    </row>
    <row r="1118" spans="1:12" hidden="1">
      <c r="A1118" s="19">
        <f t="shared" si="94"/>
        <v>1112</v>
      </c>
      <c r="B1118" s="20">
        <f t="shared" si="90"/>
        <v>0</v>
      </c>
      <c r="C1118" s="21">
        <f t="shared" si="91"/>
        <v>0</v>
      </c>
      <c r="D1118" s="22" t="e">
        <f>VLOOKUP($A1118, TAB_JUROS_U[[Q_DIAS_U_PARC_TIR]:[V_FUT_U_JURS CENARIO]], D$5, FALSE)</f>
        <v>#N/A</v>
      </c>
      <c r="E1118" s="22" t="e">
        <f>VLOOKUP($A1118,TAB_CORRECAO_U[[Q_DIAS_U_PARC_TIR]:[V_FUT_U_CORC-02]],E$5, FALSE)</f>
        <v>#N/A</v>
      </c>
      <c r="F1118" s="22" t="e">
        <f>VLOOKUP($A1118,TAB_AMORTIZACAO_U[[Q_DIAS_U_PARC_TIR]:[V_FUT_U_PCPL-02]], F$5, FALSE)</f>
        <v>#N/A</v>
      </c>
      <c r="H1118" s="20">
        <f t="shared" si="92"/>
        <v>0</v>
      </c>
      <c r="I1118" s="21">
        <f t="shared" si="93"/>
        <v>0</v>
      </c>
      <c r="J1118" s="22" t="e">
        <f>VLOOKUP($A1118, TAB_JUROS_C[[DIAS_CORRIDOS]:[V_FUT_UTEIS]], J$5, FALSE)</f>
        <v>#N/A</v>
      </c>
      <c r="K1118" s="22" t="e">
        <f>VLOOKUP($A1118, TAB_CORRECAO_C[[DIAS_CORRIDOS]:[V_FUT_UTEIS]],K$5, FALSE)</f>
        <v>#N/A</v>
      </c>
      <c r="L1118" s="22" t="e">
        <f>VLOOKUP($A1118, TAB_AMORTIZACAO_C[[DIAS_CORRIDOS]:[V_FUT_UTEIS]], L$5, FALSE)</f>
        <v>#N/A</v>
      </c>
    </row>
    <row r="1119" spans="1:12" hidden="1">
      <c r="A1119" s="19">
        <f t="shared" si="94"/>
        <v>1113</v>
      </c>
      <c r="B1119" s="20">
        <f t="shared" si="90"/>
        <v>0</v>
      </c>
      <c r="C1119" s="21">
        <f t="shared" si="91"/>
        <v>0</v>
      </c>
      <c r="D1119" s="22" t="e">
        <f>VLOOKUP($A1119, TAB_JUROS_U[[Q_DIAS_U_PARC_TIR]:[V_FUT_U_JURS CENARIO]], D$5, FALSE)</f>
        <v>#N/A</v>
      </c>
      <c r="E1119" s="22" t="e">
        <f>VLOOKUP($A1119,TAB_CORRECAO_U[[Q_DIAS_U_PARC_TIR]:[V_FUT_U_CORC-02]],E$5, FALSE)</f>
        <v>#N/A</v>
      </c>
      <c r="F1119" s="22" t="e">
        <f>VLOOKUP($A1119,TAB_AMORTIZACAO_U[[Q_DIAS_U_PARC_TIR]:[V_FUT_U_PCPL-02]], F$5, FALSE)</f>
        <v>#N/A</v>
      </c>
      <c r="H1119" s="20">
        <f t="shared" si="92"/>
        <v>0</v>
      </c>
      <c r="I1119" s="21">
        <f t="shared" si="93"/>
        <v>0</v>
      </c>
      <c r="J1119" s="22" t="e">
        <f>VLOOKUP($A1119, TAB_JUROS_C[[DIAS_CORRIDOS]:[V_FUT_UTEIS]], J$5, FALSE)</f>
        <v>#N/A</v>
      </c>
      <c r="K1119" s="22" t="e">
        <f>VLOOKUP($A1119, TAB_CORRECAO_C[[DIAS_CORRIDOS]:[V_FUT_UTEIS]],K$5, FALSE)</f>
        <v>#N/A</v>
      </c>
      <c r="L1119" s="22" t="e">
        <f>VLOOKUP($A1119, TAB_AMORTIZACAO_C[[DIAS_CORRIDOS]:[V_FUT_UTEIS]], L$5, FALSE)</f>
        <v>#N/A</v>
      </c>
    </row>
    <row r="1120" spans="1:12" hidden="1">
      <c r="A1120" s="19">
        <f t="shared" si="94"/>
        <v>1114</v>
      </c>
      <c r="B1120" s="20">
        <f t="shared" si="90"/>
        <v>0</v>
      </c>
      <c r="C1120" s="21">
        <f t="shared" si="91"/>
        <v>0</v>
      </c>
      <c r="D1120" s="22" t="e">
        <f>VLOOKUP($A1120, TAB_JUROS_U[[Q_DIAS_U_PARC_TIR]:[V_FUT_U_JURS CENARIO]], D$5, FALSE)</f>
        <v>#N/A</v>
      </c>
      <c r="E1120" s="22" t="e">
        <f>VLOOKUP($A1120,TAB_CORRECAO_U[[Q_DIAS_U_PARC_TIR]:[V_FUT_U_CORC-02]],E$5, FALSE)</f>
        <v>#N/A</v>
      </c>
      <c r="F1120" s="22" t="e">
        <f>VLOOKUP($A1120,TAB_AMORTIZACAO_U[[Q_DIAS_U_PARC_TIR]:[V_FUT_U_PCPL-02]], F$5, FALSE)</f>
        <v>#N/A</v>
      </c>
      <c r="H1120" s="20">
        <f t="shared" si="92"/>
        <v>0</v>
      </c>
      <c r="I1120" s="21">
        <f t="shared" si="93"/>
        <v>0</v>
      </c>
      <c r="J1120" s="22" t="e">
        <f>VLOOKUP($A1120, TAB_JUROS_C[[DIAS_CORRIDOS]:[V_FUT_UTEIS]], J$5, FALSE)</f>
        <v>#N/A</v>
      </c>
      <c r="K1120" s="22" t="e">
        <f>VLOOKUP($A1120, TAB_CORRECAO_C[[DIAS_CORRIDOS]:[V_FUT_UTEIS]],K$5, FALSE)</f>
        <v>#N/A</v>
      </c>
      <c r="L1120" s="22" t="e">
        <f>VLOOKUP($A1120, TAB_AMORTIZACAO_C[[DIAS_CORRIDOS]:[V_FUT_UTEIS]], L$5, FALSE)</f>
        <v>#N/A</v>
      </c>
    </row>
    <row r="1121" spans="1:12" hidden="1">
      <c r="A1121" s="19">
        <f t="shared" si="94"/>
        <v>1115</v>
      </c>
      <c r="B1121" s="20">
        <f t="shared" si="90"/>
        <v>0</v>
      </c>
      <c r="C1121" s="21">
        <f t="shared" si="91"/>
        <v>0</v>
      </c>
      <c r="D1121" s="22" t="e">
        <f>VLOOKUP($A1121, TAB_JUROS_U[[Q_DIAS_U_PARC_TIR]:[V_FUT_U_JURS CENARIO]], D$5, FALSE)</f>
        <v>#N/A</v>
      </c>
      <c r="E1121" s="22" t="e">
        <f>VLOOKUP($A1121,TAB_CORRECAO_U[[Q_DIAS_U_PARC_TIR]:[V_FUT_U_CORC-02]],E$5, FALSE)</f>
        <v>#N/A</v>
      </c>
      <c r="F1121" s="22" t="e">
        <f>VLOOKUP($A1121,TAB_AMORTIZACAO_U[[Q_DIAS_U_PARC_TIR]:[V_FUT_U_PCPL-02]], F$5, FALSE)</f>
        <v>#N/A</v>
      </c>
      <c r="H1121" s="20">
        <f t="shared" si="92"/>
        <v>0</v>
      </c>
      <c r="I1121" s="21">
        <f t="shared" si="93"/>
        <v>0</v>
      </c>
      <c r="J1121" s="22" t="e">
        <f>VLOOKUP($A1121, TAB_JUROS_C[[DIAS_CORRIDOS]:[V_FUT_UTEIS]], J$5, FALSE)</f>
        <v>#N/A</v>
      </c>
      <c r="K1121" s="22" t="e">
        <f>VLOOKUP($A1121, TAB_CORRECAO_C[[DIAS_CORRIDOS]:[V_FUT_UTEIS]],K$5, FALSE)</f>
        <v>#N/A</v>
      </c>
      <c r="L1121" s="22" t="e">
        <f>VLOOKUP($A1121, TAB_AMORTIZACAO_C[[DIAS_CORRIDOS]:[V_FUT_UTEIS]], L$5, FALSE)</f>
        <v>#N/A</v>
      </c>
    </row>
    <row r="1122" spans="1:12" hidden="1">
      <c r="A1122" s="19">
        <f t="shared" si="94"/>
        <v>1116</v>
      </c>
      <c r="B1122" s="20">
        <f t="shared" si="90"/>
        <v>0</v>
      </c>
      <c r="C1122" s="21">
        <f t="shared" si="91"/>
        <v>0</v>
      </c>
      <c r="D1122" s="22" t="e">
        <f>VLOOKUP($A1122, TAB_JUROS_U[[Q_DIAS_U_PARC_TIR]:[V_FUT_U_JURS CENARIO]], D$5, FALSE)</f>
        <v>#N/A</v>
      </c>
      <c r="E1122" s="22" t="e">
        <f>VLOOKUP($A1122,TAB_CORRECAO_U[[Q_DIAS_U_PARC_TIR]:[V_FUT_U_CORC-02]],E$5, FALSE)</f>
        <v>#N/A</v>
      </c>
      <c r="F1122" s="22" t="e">
        <f>VLOOKUP($A1122,TAB_AMORTIZACAO_U[[Q_DIAS_U_PARC_TIR]:[V_FUT_U_PCPL-02]], F$5, FALSE)</f>
        <v>#N/A</v>
      </c>
      <c r="H1122" s="20">
        <f t="shared" si="92"/>
        <v>0</v>
      </c>
      <c r="I1122" s="21">
        <f t="shared" si="93"/>
        <v>0</v>
      </c>
      <c r="J1122" s="22" t="e">
        <f>VLOOKUP($A1122, TAB_JUROS_C[[DIAS_CORRIDOS]:[V_FUT_UTEIS]], J$5, FALSE)</f>
        <v>#N/A</v>
      </c>
      <c r="K1122" s="22" t="e">
        <f>VLOOKUP($A1122, TAB_CORRECAO_C[[DIAS_CORRIDOS]:[V_FUT_UTEIS]],K$5, FALSE)</f>
        <v>#N/A</v>
      </c>
      <c r="L1122" s="22" t="e">
        <f>VLOOKUP($A1122, TAB_AMORTIZACAO_C[[DIAS_CORRIDOS]:[V_FUT_UTEIS]], L$5, FALSE)</f>
        <v>#N/A</v>
      </c>
    </row>
    <row r="1123" spans="1:12" hidden="1">
      <c r="A1123" s="19">
        <f t="shared" si="94"/>
        <v>1117</v>
      </c>
      <c r="B1123" s="20">
        <f t="shared" si="90"/>
        <v>0</v>
      </c>
      <c r="C1123" s="21">
        <f t="shared" si="91"/>
        <v>0</v>
      </c>
      <c r="D1123" s="22" t="e">
        <f>VLOOKUP($A1123, TAB_JUROS_U[[Q_DIAS_U_PARC_TIR]:[V_FUT_U_JURS CENARIO]], D$5, FALSE)</f>
        <v>#N/A</v>
      </c>
      <c r="E1123" s="22" t="e">
        <f>VLOOKUP($A1123,TAB_CORRECAO_U[[Q_DIAS_U_PARC_TIR]:[V_FUT_U_CORC-02]],E$5, FALSE)</f>
        <v>#N/A</v>
      </c>
      <c r="F1123" s="22" t="e">
        <f>VLOOKUP($A1123,TAB_AMORTIZACAO_U[[Q_DIAS_U_PARC_TIR]:[V_FUT_U_PCPL-02]], F$5, FALSE)</f>
        <v>#N/A</v>
      </c>
      <c r="H1123" s="20">
        <f t="shared" si="92"/>
        <v>0</v>
      </c>
      <c r="I1123" s="21">
        <f t="shared" si="93"/>
        <v>0</v>
      </c>
      <c r="J1123" s="22" t="e">
        <f>VLOOKUP($A1123, TAB_JUROS_C[[DIAS_CORRIDOS]:[V_FUT_UTEIS]], J$5, FALSE)</f>
        <v>#N/A</v>
      </c>
      <c r="K1123" s="22" t="e">
        <f>VLOOKUP($A1123, TAB_CORRECAO_C[[DIAS_CORRIDOS]:[V_FUT_UTEIS]],K$5, FALSE)</f>
        <v>#N/A</v>
      </c>
      <c r="L1123" s="22" t="e">
        <f>VLOOKUP($A1123, TAB_AMORTIZACAO_C[[DIAS_CORRIDOS]:[V_FUT_UTEIS]], L$5, FALSE)</f>
        <v>#N/A</v>
      </c>
    </row>
    <row r="1124" spans="1:12">
      <c r="A1124" s="19">
        <f t="shared" si="94"/>
        <v>1118</v>
      </c>
      <c r="B1124" s="20">
        <f t="shared" si="90"/>
        <v>781.9339035006609</v>
      </c>
      <c r="C1124" s="21">
        <f t="shared" si="91"/>
        <v>781.9339035006609</v>
      </c>
      <c r="D1124" s="22">
        <f>VLOOKUP($A1124, TAB_JUROS_U[[Q_DIAS_U_PARC_TIR]:[V_FUT_U_JURS CENARIO]], D$5, FALSE)</f>
        <v>55.413744222751838</v>
      </c>
      <c r="E1124" s="22">
        <f>VLOOKUP($A1124,TAB_CORRECAO_U[[Q_DIAS_U_PARC_TIR]:[V_FUT_U_CORC-02]],E$5, FALSE)</f>
        <v>348.44654688322373</v>
      </c>
      <c r="F1124" s="22">
        <f>VLOOKUP($A1124,TAB_AMORTIZACAO_U[[Q_DIAS_U_PARC_TIR]:[V_FUT_U_PCPL-02]], F$5, FALSE)</f>
        <v>378.07361239468531</v>
      </c>
      <c r="H1124" s="20">
        <f t="shared" si="92"/>
        <v>0</v>
      </c>
      <c r="I1124" s="21">
        <f t="shared" si="93"/>
        <v>0</v>
      </c>
      <c r="J1124" s="22" t="e">
        <f>VLOOKUP($A1124, TAB_JUROS_C[[DIAS_CORRIDOS]:[V_FUT_UTEIS]], J$5, FALSE)</f>
        <v>#N/A</v>
      </c>
      <c r="K1124" s="22" t="e">
        <f>VLOOKUP($A1124, TAB_CORRECAO_C[[DIAS_CORRIDOS]:[V_FUT_UTEIS]],K$5, FALSE)</f>
        <v>#N/A</v>
      </c>
      <c r="L1124" s="22" t="e">
        <f>VLOOKUP($A1124, TAB_AMORTIZACAO_C[[DIAS_CORRIDOS]:[V_FUT_UTEIS]], L$5, FALSE)</f>
        <v>#N/A</v>
      </c>
    </row>
    <row r="1125" spans="1:12" hidden="1">
      <c r="A1125" s="19">
        <f t="shared" si="94"/>
        <v>1119</v>
      </c>
      <c r="B1125" s="20">
        <f t="shared" si="90"/>
        <v>0</v>
      </c>
      <c r="C1125" s="21">
        <f t="shared" si="91"/>
        <v>0</v>
      </c>
      <c r="D1125" s="22" t="e">
        <f>VLOOKUP($A1125, TAB_JUROS_U[[Q_DIAS_U_PARC_TIR]:[V_FUT_U_JURS CENARIO]], D$5, FALSE)</f>
        <v>#N/A</v>
      </c>
      <c r="E1125" s="22" t="e">
        <f>VLOOKUP($A1125,TAB_CORRECAO_U[[Q_DIAS_U_PARC_TIR]:[V_FUT_U_CORC-02]],E$5, FALSE)</f>
        <v>#N/A</v>
      </c>
      <c r="F1125" s="22" t="e">
        <f>VLOOKUP($A1125,TAB_AMORTIZACAO_U[[Q_DIAS_U_PARC_TIR]:[V_FUT_U_PCPL-02]], F$5, FALSE)</f>
        <v>#N/A</v>
      </c>
      <c r="H1125" s="20">
        <f t="shared" si="92"/>
        <v>0</v>
      </c>
      <c r="I1125" s="21">
        <f t="shared" si="93"/>
        <v>0</v>
      </c>
      <c r="J1125" s="22" t="e">
        <f>VLOOKUP($A1125, TAB_JUROS_C[[DIAS_CORRIDOS]:[V_FUT_UTEIS]], J$5, FALSE)</f>
        <v>#N/A</v>
      </c>
      <c r="K1125" s="22" t="e">
        <f>VLOOKUP($A1125, TAB_CORRECAO_C[[DIAS_CORRIDOS]:[V_FUT_UTEIS]],K$5, FALSE)</f>
        <v>#N/A</v>
      </c>
      <c r="L1125" s="22" t="e">
        <f>VLOOKUP($A1125, TAB_AMORTIZACAO_C[[DIAS_CORRIDOS]:[V_FUT_UTEIS]], L$5, FALSE)</f>
        <v>#N/A</v>
      </c>
    </row>
    <row r="1126" spans="1:12" hidden="1">
      <c r="A1126" s="19">
        <f t="shared" si="94"/>
        <v>1120</v>
      </c>
      <c r="B1126" s="20">
        <f t="shared" si="90"/>
        <v>0</v>
      </c>
      <c r="C1126" s="21">
        <f t="shared" si="91"/>
        <v>0</v>
      </c>
      <c r="D1126" s="22" t="e">
        <f>VLOOKUP($A1126, TAB_JUROS_U[[Q_DIAS_U_PARC_TIR]:[V_FUT_U_JURS CENARIO]], D$5, FALSE)</f>
        <v>#N/A</v>
      </c>
      <c r="E1126" s="22" t="e">
        <f>VLOOKUP($A1126,TAB_CORRECAO_U[[Q_DIAS_U_PARC_TIR]:[V_FUT_U_CORC-02]],E$5, FALSE)</f>
        <v>#N/A</v>
      </c>
      <c r="F1126" s="22" t="e">
        <f>VLOOKUP($A1126,TAB_AMORTIZACAO_U[[Q_DIAS_U_PARC_TIR]:[V_FUT_U_PCPL-02]], F$5, FALSE)</f>
        <v>#N/A</v>
      </c>
      <c r="H1126" s="20">
        <f t="shared" si="92"/>
        <v>0</v>
      </c>
      <c r="I1126" s="21">
        <f t="shared" si="93"/>
        <v>0</v>
      </c>
      <c r="J1126" s="22" t="e">
        <f>VLOOKUP($A1126, TAB_JUROS_C[[DIAS_CORRIDOS]:[V_FUT_UTEIS]], J$5, FALSE)</f>
        <v>#N/A</v>
      </c>
      <c r="K1126" s="22" t="e">
        <f>VLOOKUP($A1126, TAB_CORRECAO_C[[DIAS_CORRIDOS]:[V_FUT_UTEIS]],K$5, FALSE)</f>
        <v>#N/A</v>
      </c>
      <c r="L1126" s="22" t="e">
        <f>VLOOKUP($A1126, TAB_AMORTIZACAO_C[[DIAS_CORRIDOS]:[V_FUT_UTEIS]], L$5, FALSE)</f>
        <v>#N/A</v>
      </c>
    </row>
    <row r="1127" spans="1:12" hidden="1">
      <c r="A1127" s="19">
        <f t="shared" si="94"/>
        <v>1121</v>
      </c>
      <c r="B1127" s="20">
        <f t="shared" si="90"/>
        <v>0</v>
      </c>
      <c r="C1127" s="21">
        <f t="shared" si="91"/>
        <v>0</v>
      </c>
      <c r="D1127" s="22" t="e">
        <f>VLOOKUP($A1127, TAB_JUROS_U[[Q_DIAS_U_PARC_TIR]:[V_FUT_U_JURS CENARIO]], D$5, FALSE)</f>
        <v>#N/A</v>
      </c>
      <c r="E1127" s="22" t="e">
        <f>VLOOKUP($A1127,TAB_CORRECAO_U[[Q_DIAS_U_PARC_TIR]:[V_FUT_U_CORC-02]],E$5, FALSE)</f>
        <v>#N/A</v>
      </c>
      <c r="F1127" s="22" t="e">
        <f>VLOOKUP($A1127,TAB_AMORTIZACAO_U[[Q_DIAS_U_PARC_TIR]:[V_FUT_U_PCPL-02]], F$5, FALSE)</f>
        <v>#N/A</v>
      </c>
      <c r="H1127" s="20">
        <f t="shared" si="92"/>
        <v>0</v>
      </c>
      <c r="I1127" s="21">
        <f t="shared" si="93"/>
        <v>0</v>
      </c>
      <c r="J1127" s="22" t="e">
        <f>VLOOKUP($A1127, TAB_JUROS_C[[DIAS_CORRIDOS]:[V_FUT_UTEIS]], J$5, FALSE)</f>
        <v>#N/A</v>
      </c>
      <c r="K1127" s="22" t="e">
        <f>VLOOKUP($A1127, TAB_CORRECAO_C[[DIAS_CORRIDOS]:[V_FUT_UTEIS]],K$5, FALSE)</f>
        <v>#N/A</v>
      </c>
      <c r="L1127" s="22" t="e">
        <f>VLOOKUP($A1127, TAB_AMORTIZACAO_C[[DIAS_CORRIDOS]:[V_FUT_UTEIS]], L$5, FALSE)</f>
        <v>#N/A</v>
      </c>
    </row>
    <row r="1128" spans="1:12" hidden="1">
      <c r="A1128" s="19">
        <f t="shared" si="94"/>
        <v>1122</v>
      </c>
      <c r="B1128" s="20">
        <f t="shared" si="90"/>
        <v>0</v>
      </c>
      <c r="C1128" s="21">
        <f t="shared" si="91"/>
        <v>0</v>
      </c>
      <c r="D1128" s="22" t="e">
        <f>VLOOKUP($A1128, TAB_JUROS_U[[Q_DIAS_U_PARC_TIR]:[V_FUT_U_JURS CENARIO]], D$5, FALSE)</f>
        <v>#N/A</v>
      </c>
      <c r="E1128" s="22" t="e">
        <f>VLOOKUP($A1128,TAB_CORRECAO_U[[Q_DIAS_U_PARC_TIR]:[V_FUT_U_CORC-02]],E$5, FALSE)</f>
        <v>#N/A</v>
      </c>
      <c r="F1128" s="22" t="e">
        <f>VLOOKUP($A1128,TAB_AMORTIZACAO_U[[Q_DIAS_U_PARC_TIR]:[V_FUT_U_PCPL-02]], F$5, FALSE)</f>
        <v>#N/A</v>
      </c>
      <c r="H1128" s="20">
        <f t="shared" si="92"/>
        <v>0</v>
      </c>
      <c r="I1128" s="21">
        <f t="shared" si="93"/>
        <v>0</v>
      </c>
      <c r="J1128" s="22" t="e">
        <f>VLOOKUP($A1128, TAB_JUROS_C[[DIAS_CORRIDOS]:[V_FUT_UTEIS]], J$5, FALSE)</f>
        <v>#N/A</v>
      </c>
      <c r="K1128" s="22" t="e">
        <f>VLOOKUP($A1128, TAB_CORRECAO_C[[DIAS_CORRIDOS]:[V_FUT_UTEIS]],K$5, FALSE)</f>
        <v>#N/A</v>
      </c>
      <c r="L1128" s="22" t="e">
        <f>VLOOKUP($A1128, TAB_AMORTIZACAO_C[[DIAS_CORRIDOS]:[V_FUT_UTEIS]], L$5, FALSE)</f>
        <v>#N/A</v>
      </c>
    </row>
    <row r="1129" spans="1:12" hidden="1">
      <c r="A1129" s="19">
        <f t="shared" si="94"/>
        <v>1123</v>
      </c>
      <c r="B1129" s="20">
        <f t="shared" si="90"/>
        <v>0</v>
      </c>
      <c r="C1129" s="21">
        <f t="shared" si="91"/>
        <v>0</v>
      </c>
      <c r="D1129" s="22" t="e">
        <f>VLOOKUP($A1129, TAB_JUROS_U[[Q_DIAS_U_PARC_TIR]:[V_FUT_U_JURS CENARIO]], D$5, FALSE)</f>
        <v>#N/A</v>
      </c>
      <c r="E1129" s="22" t="e">
        <f>VLOOKUP($A1129,TAB_CORRECAO_U[[Q_DIAS_U_PARC_TIR]:[V_FUT_U_CORC-02]],E$5, FALSE)</f>
        <v>#N/A</v>
      </c>
      <c r="F1129" s="22" t="e">
        <f>VLOOKUP($A1129,TAB_AMORTIZACAO_U[[Q_DIAS_U_PARC_TIR]:[V_FUT_U_PCPL-02]], F$5, FALSE)</f>
        <v>#N/A</v>
      </c>
      <c r="H1129" s="20">
        <f t="shared" si="92"/>
        <v>0</v>
      </c>
      <c r="I1129" s="21">
        <f t="shared" si="93"/>
        <v>0</v>
      </c>
      <c r="J1129" s="22" t="e">
        <f>VLOOKUP($A1129, TAB_JUROS_C[[DIAS_CORRIDOS]:[V_FUT_UTEIS]], J$5, FALSE)</f>
        <v>#N/A</v>
      </c>
      <c r="K1129" s="22" t="e">
        <f>VLOOKUP($A1129, TAB_CORRECAO_C[[DIAS_CORRIDOS]:[V_FUT_UTEIS]],K$5, FALSE)</f>
        <v>#N/A</v>
      </c>
      <c r="L1129" s="22" t="e">
        <f>VLOOKUP($A1129, TAB_AMORTIZACAO_C[[DIAS_CORRIDOS]:[V_FUT_UTEIS]], L$5, FALSE)</f>
        <v>#N/A</v>
      </c>
    </row>
    <row r="1130" spans="1:12" hidden="1">
      <c r="A1130" s="19">
        <f t="shared" si="94"/>
        <v>1124</v>
      </c>
      <c r="B1130" s="20">
        <f t="shared" si="90"/>
        <v>0</v>
      </c>
      <c r="C1130" s="21">
        <f t="shared" si="91"/>
        <v>0</v>
      </c>
      <c r="D1130" s="22" t="e">
        <f>VLOOKUP($A1130, TAB_JUROS_U[[Q_DIAS_U_PARC_TIR]:[V_FUT_U_JURS CENARIO]], D$5, FALSE)</f>
        <v>#N/A</v>
      </c>
      <c r="E1130" s="22" t="e">
        <f>VLOOKUP($A1130,TAB_CORRECAO_U[[Q_DIAS_U_PARC_TIR]:[V_FUT_U_CORC-02]],E$5, FALSE)</f>
        <v>#N/A</v>
      </c>
      <c r="F1130" s="22" t="e">
        <f>VLOOKUP($A1130,TAB_AMORTIZACAO_U[[Q_DIAS_U_PARC_TIR]:[V_FUT_U_PCPL-02]], F$5, FALSE)</f>
        <v>#N/A</v>
      </c>
      <c r="H1130" s="20">
        <f t="shared" si="92"/>
        <v>0</v>
      </c>
      <c r="I1130" s="21">
        <f t="shared" si="93"/>
        <v>0</v>
      </c>
      <c r="J1130" s="22" t="e">
        <f>VLOOKUP($A1130, TAB_JUROS_C[[DIAS_CORRIDOS]:[V_FUT_UTEIS]], J$5, FALSE)</f>
        <v>#N/A</v>
      </c>
      <c r="K1130" s="22" t="e">
        <f>VLOOKUP($A1130, TAB_CORRECAO_C[[DIAS_CORRIDOS]:[V_FUT_UTEIS]],K$5, FALSE)</f>
        <v>#N/A</v>
      </c>
      <c r="L1130" s="22" t="e">
        <f>VLOOKUP($A1130, TAB_AMORTIZACAO_C[[DIAS_CORRIDOS]:[V_FUT_UTEIS]], L$5, FALSE)</f>
        <v>#N/A</v>
      </c>
    </row>
    <row r="1131" spans="1:12" hidden="1">
      <c r="A1131" s="19">
        <f t="shared" si="94"/>
        <v>1125</v>
      </c>
      <c r="B1131" s="20">
        <f t="shared" si="90"/>
        <v>0</v>
      </c>
      <c r="C1131" s="21">
        <f t="shared" si="91"/>
        <v>0</v>
      </c>
      <c r="D1131" s="22" t="e">
        <f>VLOOKUP($A1131, TAB_JUROS_U[[Q_DIAS_U_PARC_TIR]:[V_FUT_U_JURS CENARIO]], D$5, FALSE)</f>
        <v>#N/A</v>
      </c>
      <c r="E1131" s="22" t="e">
        <f>VLOOKUP($A1131,TAB_CORRECAO_U[[Q_DIAS_U_PARC_TIR]:[V_FUT_U_CORC-02]],E$5, FALSE)</f>
        <v>#N/A</v>
      </c>
      <c r="F1131" s="22" t="e">
        <f>VLOOKUP($A1131,TAB_AMORTIZACAO_U[[Q_DIAS_U_PARC_TIR]:[V_FUT_U_PCPL-02]], F$5, FALSE)</f>
        <v>#N/A</v>
      </c>
      <c r="H1131" s="20">
        <f t="shared" si="92"/>
        <v>0</v>
      </c>
      <c r="I1131" s="21">
        <f t="shared" si="93"/>
        <v>0</v>
      </c>
      <c r="J1131" s="22" t="e">
        <f>VLOOKUP($A1131, TAB_JUROS_C[[DIAS_CORRIDOS]:[V_FUT_UTEIS]], J$5, FALSE)</f>
        <v>#N/A</v>
      </c>
      <c r="K1131" s="22" t="e">
        <f>VLOOKUP($A1131, TAB_CORRECAO_C[[DIAS_CORRIDOS]:[V_FUT_UTEIS]],K$5, FALSE)</f>
        <v>#N/A</v>
      </c>
      <c r="L1131" s="22" t="e">
        <f>VLOOKUP($A1131, TAB_AMORTIZACAO_C[[DIAS_CORRIDOS]:[V_FUT_UTEIS]], L$5, FALSE)</f>
        <v>#N/A</v>
      </c>
    </row>
    <row r="1132" spans="1:12" hidden="1">
      <c r="A1132" s="19">
        <f t="shared" si="94"/>
        <v>1126</v>
      </c>
      <c r="B1132" s="20">
        <f t="shared" si="90"/>
        <v>0</v>
      </c>
      <c r="C1132" s="21">
        <f t="shared" si="91"/>
        <v>0</v>
      </c>
      <c r="D1132" s="22" t="e">
        <f>VLOOKUP($A1132, TAB_JUROS_U[[Q_DIAS_U_PARC_TIR]:[V_FUT_U_JURS CENARIO]], D$5, FALSE)</f>
        <v>#N/A</v>
      </c>
      <c r="E1132" s="22" t="e">
        <f>VLOOKUP($A1132,TAB_CORRECAO_U[[Q_DIAS_U_PARC_TIR]:[V_FUT_U_CORC-02]],E$5, FALSE)</f>
        <v>#N/A</v>
      </c>
      <c r="F1132" s="22" t="e">
        <f>VLOOKUP($A1132,TAB_AMORTIZACAO_U[[Q_DIAS_U_PARC_TIR]:[V_FUT_U_PCPL-02]], F$5, FALSE)</f>
        <v>#N/A</v>
      </c>
      <c r="H1132" s="20">
        <f t="shared" si="92"/>
        <v>0</v>
      </c>
      <c r="I1132" s="21">
        <f t="shared" si="93"/>
        <v>0</v>
      </c>
      <c r="J1132" s="22" t="e">
        <f>VLOOKUP($A1132, TAB_JUROS_C[[DIAS_CORRIDOS]:[V_FUT_UTEIS]], J$5, FALSE)</f>
        <v>#N/A</v>
      </c>
      <c r="K1132" s="22" t="e">
        <f>VLOOKUP($A1132, TAB_CORRECAO_C[[DIAS_CORRIDOS]:[V_FUT_UTEIS]],K$5, FALSE)</f>
        <v>#N/A</v>
      </c>
      <c r="L1132" s="22" t="e">
        <f>VLOOKUP($A1132, TAB_AMORTIZACAO_C[[DIAS_CORRIDOS]:[V_FUT_UTEIS]], L$5, FALSE)</f>
        <v>#N/A</v>
      </c>
    </row>
    <row r="1133" spans="1:12" hidden="1">
      <c r="A1133" s="19">
        <f t="shared" si="94"/>
        <v>1127</v>
      </c>
      <c r="B1133" s="20">
        <f t="shared" si="90"/>
        <v>0</v>
      </c>
      <c r="C1133" s="21">
        <f t="shared" si="91"/>
        <v>0</v>
      </c>
      <c r="D1133" s="22" t="e">
        <f>VLOOKUP($A1133, TAB_JUROS_U[[Q_DIAS_U_PARC_TIR]:[V_FUT_U_JURS CENARIO]], D$5, FALSE)</f>
        <v>#N/A</v>
      </c>
      <c r="E1133" s="22" t="e">
        <f>VLOOKUP($A1133,TAB_CORRECAO_U[[Q_DIAS_U_PARC_TIR]:[V_FUT_U_CORC-02]],E$5, FALSE)</f>
        <v>#N/A</v>
      </c>
      <c r="F1133" s="22" t="e">
        <f>VLOOKUP($A1133,TAB_AMORTIZACAO_U[[Q_DIAS_U_PARC_TIR]:[V_FUT_U_PCPL-02]], F$5, FALSE)</f>
        <v>#N/A</v>
      </c>
      <c r="H1133" s="20">
        <f t="shared" si="92"/>
        <v>0</v>
      </c>
      <c r="I1133" s="21">
        <f t="shared" si="93"/>
        <v>0</v>
      </c>
      <c r="J1133" s="22" t="e">
        <f>VLOOKUP($A1133, TAB_JUROS_C[[DIAS_CORRIDOS]:[V_FUT_UTEIS]], J$5, FALSE)</f>
        <v>#N/A</v>
      </c>
      <c r="K1133" s="22" t="e">
        <f>VLOOKUP($A1133, TAB_CORRECAO_C[[DIAS_CORRIDOS]:[V_FUT_UTEIS]],K$5, FALSE)</f>
        <v>#N/A</v>
      </c>
      <c r="L1133" s="22" t="e">
        <f>VLOOKUP($A1133, TAB_AMORTIZACAO_C[[DIAS_CORRIDOS]:[V_FUT_UTEIS]], L$5, FALSE)</f>
        <v>#N/A</v>
      </c>
    </row>
    <row r="1134" spans="1:12" hidden="1">
      <c r="A1134" s="19">
        <f t="shared" si="94"/>
        <v>1128</v>
      </c>
      <c r="B1134" s="20">
        <f t="shared" si="90"/>
        <v>0</v>
      </c>
      <c r="C1134" s="21">
        <f t="shared" si="91"/>
        <v>0</v>
      </c>
      <c r="D1134" s="22" t="e">
        <f>VLOOKUP($A1134, TAB_JUROS_U[[Q_DIAS_U_PARC_TIR]:[V_FUT_U_JURS CENARIO]], D$5, FALSE)</f>
        <v>#N/A</v>
      </c>
      <c r="E1134" s="22" t="e">
        <f>VLOOKUP($A1134,TAB_CORRECAO_U[[Q_DIAS_U_PARC_TIR]:[V_FUT_U_CORC-02]],E$5, FALSE)</f>
        <v>#N/A</v>
      </c>
      <c r="F1134" s="22" t="e">
        <f>VLOOKUP($A1134,TAB_AMORTIZACAO_U[[Q_DIAS_U_PARC_TIR]:[V_FUT_U_PCPL-02]], F$5, FALSE)</f>
        <v>#N/A</v>
      </c>
      <c r="H1134" s="20">
        <f t="shared" si="92"/>
        <v>0</v>
      </c>
      <c r="I1134" s="21">
        <f t="shared" si="93"/>
        <v>0</v>
      </c>
      <c r="J1134" s="22" t="e">
        <f>VLOOKUP($A1134, TAB_JUROS_C[[DIAS_CORRIDOS]:[V_FUT_UTEIS]], J$5, FALSE)</f>
        <v>#N/A</v>
      </c>
      <c r="K1134" s="22" t="e">
        <f>VLOOKUP($A1134, TAB_CORRECAO_C[[DIAS_CORRIDOS]:[V_FUT_UTEIS]],K$5, FALSE)</f>
        <v>#N/A</v>
      </c>
      <c r="L1134" s="22" t="e">
        <f>VLOOKUP($A1134, TAB_AMORTIZACAO_C[[DIAS_CORRIDOS]:[V_FUT_UTEIS]], L$5, FALSE)</f>
        <v>#N/A</v>
      </c>
    </row>
    <row r="1135" spans="1:12" hidden="1">
      <c r="A1135" s="19">
        <f t="shared" si="94"/>
        <v>1129</v>
      </c>
      <c r="B1135" s="20">
        <f t="shared" si="90"/>
        <v>0</v>
      </c>
      <c r="C1135" s="21">
        <f t="shared" si="91"/>
        <v>0</v>
      </c>
      <c r="D1135" s="22" t="e">
        <f>VLOOKUP($A1135, TAB_JUROS_U[[Q_DIAS_U_PARC_TIR]:[V_FUT_U_JURS CENARIO]], D$5, FALSE)</f>
        <v>#N/A</v>
      </c>
      <c r="E1135" s="22" t="e">
        <f>VLOOKUP($A1135,TAB_CORRECAO_U[[Q_DIAS_U_PARC_TIR]:[V_FUT_U_CORC-02]],E$5, FALSE)</f>
        <v>#N/A</v>
      </c>
      <c r="F1135" s="22" t="e">
        <f>VLOOKUP($A1135,TAB_AMORTIZACAO_U[[Q_DIAS_U_PARC_TIR]:[V_FUT_U_PCPL-02]], F$5, FALSE)</f>
        <v>#N/A</v>
      </c>
      <c r="H1135" s="20">
        <f t="shared" si="92"/>
        <v>0</v>
      </c>
      <c r="I1135" s="21">
        <f t="shared" si="93"/>
        <v>0</v>
      </c>
      <c r="J1135" s="22" t="e">
        <f>VLOOKUP($A1135, TAB_JUROS_C[[DIAS_CORRIDOS]:[V_FUT_UTEIS]], J$5, FALSE)</f>
        <v>#N/A</v>
      </c>
      <c r="K1135" s="22" t="e">
        <f>VLOOKUP($A1135, TAB_CORRECAO_C[[DIAS_CORRIDOS]:[V_FUT_UTEIS]],K$5, FALSE)</f>
        <v>#N/A</v>
      </c>
      <c r="L1135" s="22" t="e">
        <f>VLOOKUP($A1135, TAB_AMORTIZACAO_C[[DIAS_CORRIDOS]:[V_FUT_UTEIS]], L$5, FALSE)</f>
        <v>#N/A</v>
      </c>
    </row>
    <row r="1136" spans="1:12" hidden="1">
      <c r="A1136" s="19">
        <f t="shared" si="94"/>
        <v>1130</v>
      </c>
      <c r="B1136" s="20">
        <f t="shared" si="90"/>
        <v>0</v>
      </c>
      <c r="C1136" s="21">
        <f t="shared" si="91"/>
        <v>0</v>
      </c>
      <c r="D1136" s="22" t="e">
        <f>VLOOKUP($A1136, TAB_JUROS_U[[Q_DIAS_U_PARC_TIR]:[V_FUT_U_JURS CENARIO]], D$5, FALSE)</f>
        <v>#N/A</v>
      </c>
      <c r="E1136" s="22" t="e">
        <f>VLOOKUP($A1136,TAB_CORRECAO_U[[Q_DIAS_U_PARC_TIR]:[V_FUT_U_CORC-02]],E$5, FALSE)</f>
        <v>#N/A</v>
      </c>
      <c r="F1136" s="22" t="e">
        <f>VLOOKUP($A1136,TAB_AMORTIZACAO_U[[Q_DIAS_U_PARC_TIR]:[V_FUT_U_PCPL-02]], F$5, FALSE)</f>
        <v>#N/A</v>
      </c>
      <c r="H1136" s="20">
        <f t="shared" si="92"/>
        <v>0</v>
      </c>
      <c r="I1136" s="21">
        <f t="shared" si="93"/>
        <v>0</v>
      </c>
      <c r="J1136" s="22" t="e">
        <f>VLOOKUP($A1136, TAB_JUROS_C[[DIAS_CORRIDOS]:[V_FUT_UTEIS]], J$5, FALSE)</f>
        <v>#N/A</v>
      </c>
      <c r="K1136" s="22" t="e">
        <f>VLOOKUP($A1136, TAB_CORRECAO_C[[DIAS_CORRIDOS]:[V_FUT_UTEIS]],K$5, FALSE)</f>
        <v>#N/A</v>
      </c>
      <c r="L1136" s="22" t="e">
        <f>VLOOKUP($A1136, TAB_AMORTIZACAO_C[[DIAS_CORRIDOS]:[V_FUT_UTEIS]], L$5, FALSE)</f>
        <v>#N/A</v>
      </c>
    </row>
    <row r="1137" spans="1:12" hidden="1">
      <c r="A1137" s="19">
        <f t="shared" si="94"/>
        <v>1131</v>
      </c>
      <c r="B1137" s="20">
        <f t="shared" si="90"/>
        <v>0</v>
      </c>
      <c r="C1137" s="21">
        <f t="shared" si="91"/>
        <v>0</v>
      </c>
      <c r="D1137" s="22" t="e">
        <f>VLOOKUP($A1137, TAB_JUROS_U[[Q_DIAS_U_PARC_TIR]:[V_FUT_U_JURS CENARIO]], D$5, FALSE)</f>
        <v>#N/A</v>
      </c>
      <c r="E1137" s="22" t="e">
        <f>VLOOKUP($A1137,TAB_CORRECAO_U[[Q_DIAS_U_PARC_TIR]:[V_FUT_U_CORC-02]],E$5, FALSE)</f>
        <v>#N/A</v>
      </c>
      <c r="F1137" s="22" t="e">
        <f>VLOOKUP($A1137,TAB_AMORTIZACAO_U[[Q_DIAS_U_PARC_TIR]:[V_FUT_U_PCPL-02]], F$5, FALSE)</f>
        <v>#N/A</v>
      </c>
      <c r="H1137" s="20">
        <f t="shared" si="92"/>
        <v>0</v>
      </c>
      <c r="I1137" s="21">
        <f t="shared" si="93"/>
        <v>0</v>
      </c>
      <c r="J1137" s="22" t="e">
        <f>VLOOKUP($A1137, TAB_JUROS_C[[DIAS_CORRIDOS]:[V_FUT_UTEIS]], J$5, FALSE)</f>
        <v>#N/A</v>
      </c>
      <c r="K1137" s="22" t="e">
        <f>VLOOKUP($A1137, TAB_CORRECAO_C[[DIAS_CORRIDOS]:[V_FUT_UTEIS]],K$5, FALSE)</f>
        <v>#N/A</v>
      </c>
      <c r="L1137" s="22" t="e">
        <f>VLOOKUP($A1137, TAB_AMORTIZACAO_C[[DIAS_CORRIDOS]:[V_FUT_UTEIS]], L$5, FALSE)</f>
        <v>#N/A</v>
      </c>
    </row>
    <row r="1138" spans="1:12" hidden="1">
      <c r="A1138" s="19">
        <f t="shared" si="94"/>
        <v>1132</v>
      </c>
      <c r="B1138" s="20">
        <f t="shared" si="90"/>
        <v>0</v>
      </c>
      <c r="C1138" s="21">
        <f t="shared" si="91"/>
        <v>0</v>
      </c>
      <c r="D1138" s="22" t="e">
        <f>VLOOKUP($A1138, TAB_JUROS_U[[Q_DIAS_U_PARC_TIR]:[V_FUT_U_JURS CENARIO]], D$5, FALSE)</f>
        <v>#N/A</v>
      </c>
      <c r="E1138" s="22" t="e">
        <f>VLOOKUP($A1138,TAB_CORRECAO_U[[Q_DIAS_U_PARC_TIR]:[V_FUT_U_CORC-02]],E$5, FALSE)</f>
        <v>#N/A</v>
      </c>
      <c r="F1138" s="22" t="e">
        <f>VLOOKUP($A1138,TAB_AMORTIZACAO_U[[Q_DIAS_U_PARC_TIR]:[V_FUT_U_PCPL-02]], F$5, FALSE)</f>
        <v>#N/A</v>
      </c>
      <c r="H1138" s="20">
        <f t="shared" si="92"/>
        <v>0</v>
      </c>
      <c r="I1138" s="21">
        <f t="shared" si="93"/>
        <v>0</v>
      </c>
      <c r="J1138" s="22" t="e">
        <f>VLOOKUP($A1138, TAB_JUROS_C[[DIAS_CORRIDOS]:[V_FUT_UTEIS]], J$5, FALSE)</f>
        <v>#N/A</v>
      </c>
      <c r="K1138" s="22" t="e">
        <f>VLOOKUP($A1138, TAB_CORRECAO_C[[DIAS_CORRIDOS]:[V_FUT_UTEIS]],K$5, FALSE)</f>
        <v>#N/A</v>
      </c>
      <c r="L1138" s="22" t="e">
        <f>VLOOKUP($A1138, TAB_AMORTIZACAO_C[[DIAS_CORRIDOS]:[V_FUT_UTEIS]], L$5, FALSE)</f>
        <v>#N/A</v>
      </c>
    </row>
    <row r="1139" spans="1:12" hidden="1">
      <c r="A1139" s="19">
        <f t="shared" si="94"/>
        <v>1133</v>
      </c>
      <c r="B1139" s="20">
        <f t="shared" si="90"/>
        <v>0</v>
      </c>
      <c r="C1139" s="21">
        <f t="shared" si="91"/>
        <v>0</v>
      </c>
      <c r="D1139" s="22" t="e">
        <f>VLOOKUP($A1139, TAB_JUROS_U[[Q_DIAS_U_PARC_TIR]:[V_FUT_U_JURS CENARIO]], D$5, FALSE)</f>
        <v>#N/A</v>
      </c>
      <c r="E1139" s="22" t="e">
        <f>VLOOKUP($A1139,TAB_CORRECAO_U[[Q_DIAS_U_PARC_TIR]:[V_FUT_U_CORC-02]],E$5, FALSE)</f>
        <v>#N/A</v>
      </c>
      <c r="F1139" s="22" t="e">
        <f>VLOOKUP($A1139,TAB_AMORTIZACAO_U[[Q_DIAS_U_PARC_TIR]:[V_FUT_U_PCPL-02]], F$5, FALSE)</f>
        <v>#N/A</v>
      </c>
      <c r="H1139" s="20">
        <f t="shared" si="92"/>
        <v>0</v>
      </c>
      <c r="I1139" s="21">
        <f t="shared" si="93"/>
        <v>0</v>
      </c>
      <c r="J1139" s="22" t="e">
        <f>VLOOKUP($A1139, TAB_JUROS_C[[DIAS_CORRIDOS]:[V_FUT_UTEIS]], J$5, FALSE)</f>
        <v>#N/A</v>
      </c>
      <c r="K1139" s="22" t="e">
        <f>VLOOKUP($A1139, TAB_CORRECAO_C[[DIAS_CORRIDOS]:[V_FUT_UTEIS]],K$5, FALSE)</f>
        <v>#N/A</v>
      </c>
      <c r="L1139" s="22" t="e">
        <f>VLOOKUP($A1139, TAB_AMORTIZACAO_C[[DIAS_CORRIDOS]:[V_FUT_UTEIS]], L$5, FALSE)</f>
        <v>#N/A</v>
      </c>
    </row>
    <row r="1140" spans="1:12" hidden="1">
      <c r="A1140" s="19">
        <f t="shared" si="94"/>
        <v>1134</v>
      </c>
      <c r="B1140" s="20">
        <f t="shared" si="90"/>
        <v>0</v>
      </c>
      <c r="C1140" s="21">
        <f t="shared" si="91"/>
        <v>0</v>
      </c>
      <c r="D1140" s="22" t="e">
        <f>VLOOKUP($A1140, TAB_JUROS_U[[Q_DIAS_U_PARC_TIR]:[V_FUT_U_JURS CENARIO]], D$5, FALSE)</f>
        <v>#N/A</v>
      </c>
      <c r="E1140" s="22" t="e">
        <f>VLOOKUP($A1140,TAB_CORRECAO_U[[Q_DIAS_U_PARC_TIR]:[V_FUT_U_CORC-02]],E$5, FALSE)</f>
        <v>#N/A</v>
      </c>
      <c r="F1140" s="22" t="e">
        <f>VLOOKUP($A1140,TAB_AMORTIZACAO_U[[Q_DIAS_U_PARC_TIR]:[V_FUT_U_PCPL-02]], F$5, FALSE)</f>
        <v>#N/A</v>
      </c>
      <c r="H1140" s="20">
        <f t="shared" si="92"/>
        <v>0</v>
      </c>
      <c r="I1140" s="21">
        <f t="shared" si="93"/>
        <v>0</v>
      </c>
      <c r="J1140" s="22" t="e">
        <f>VLOOKUP($A1140, TAB_JUROS_C[[DIAS_CORRIDOS]:[V_FUT_UTEIS]], J$5, FALSE)</f>
        <v>#N/A</v>
      </c>
      <c r="K1140" s="22" t="e">
        <f>VLOOKUP($A1140, TAB_CORRECAO_C[[DIAS_CORRIDOS]:[V_FUT_UTEIS]],K$5, FALSE)</f>
        <v>#N/A</v>
      </c>
      <c r="L1140" s="22" t="e">
        <f>VLOOKUP($A1140, TAB_AMORTIZACAO_C[[DIAS_CORRIDOS]:[V_FUT_UTEIS]], L$5, FALSE)</f>
        <v>#N/A</v>
      </c>
    </row>
    <row r="1141" spans="1:12" hidden="1">
      <c r="A1141" s="19">
        <f t="shared" si="94"/>
        <v>1135</v>
      </c>
      <c r="B1141" s="20">
        <f t="shared" si="90"/>
        <v>0</v>
      </c>
      <c r="C1141" s="21">
        <f t="shared" si="91"/>
        <v>0</v>
      </c>
      <c r="D1141" s="22" t="e">
        <f>VLOOKUP($A1141, TAB_JUROS_U[[Q_DIAS_U_PARC_TIR]:[V_FUT_U_JURS CENARIO]], D$5, FALSE)</f>
        <v>#N/A</v>
      </c>
      <c r="E1141" s="22" t="e">
        <f>VLOOKUP($A1141,TAB_CORRECAO_U[[Q_DIAS_U_PARC_TIR]:[V_FUT_U_CORC-02]],E$5, FALSE)</f>
        <v>#N/A</v>
      </c>
      <c r="F1141" s="22" t="e">
        <f>VLOOKUP($A1141,TAB_AMORTIZACAO_U[[Q_DIAS_U_PARC_TIR]:[V_FUT_U_PCPL-02]], F$5, FALSE)</f>
        <v>#N/A</v>
      </c>
      <c r="H1141" s="20">
        <f t="shared" si="92"/>
        <v>0</v>
      </c>
      <c r="I1141" s="21">
        <f t="shared" si="93"/>
        <v>0</v>
      </c>
      <c r="J1141" s="22" t="e">
        <f>VLOOKUP($A1141, TAB_JUROS_C[[DIAS_CORRIDOS]:[V_FUT_UTEIS]], J$5, FALSE)</f>
        <v>#N/A</v>
      </c>
      <c r="K1141" s="22" t="e">
        <f>VLOOKUP($A1141, TAB_CORRECAO_C[[DIAS_CORRIDOS]:[V_FUT_UTEIS]],K$5, FALSE)</f>
        <v>#N/A</v>
      </c>
      <c r="L1141" s="22" t="e">
        <f>VLOOKUP($A1141, TAB_AMORTIZACAO_C[[DIAS_CORRIDOS]:[V_FUT_UTEIS]], L$5, FALSE)</f>
        <v>#N/A</v>
      </c>
    </row>
    <row r="1142" spans="1:12" hidden="1">
      <c r="A1142" s="19">
        <f t="shared" si="94"/>
        <v>1136</v>
      </c>
      <c r="B1142" s="20">
        <f t="shared" si="90"/>
        <v>0</v>
      </c>
      <c r="C1142" s="21">
        <f t="shared" si="91"/>
        <v>0</v>
      </c>
      <c r="D1142" s="22" t="e">
        <f>VLOOKUP($A1142, TAB_JUROS_U[[Q_DIAS_U_PARC_TIR]:[V_FUT_U_JURS CENARIO]], D$5, FALSE)</f>
        <v>#N/A</v>
      </c>
      <c r="E1142" s="22" t="e">
        <f>VLOOKUP($A1142,TAB_CORRECAO_U[[Q_DIAS_U_PARC_TIR]:[V_FUT_U_CORC-02]],E$5, FALSE)</f>
        <v>#N/A</v>
      </c>
      <c r="F1142" s="22" t="e">
        <f>VLOOKUP($A1142,TAB_AMORTIZACAO_U[[Q_DIAS_U_PARC_TIR]:[V_FUT_U_PCPL-02]], F$5, FALSE)</f>
        <v>#N/A</v>
      </c>
      <c r="H1142" s="20">
        <f t="shared" si="92"/>
        <v>0</v>
      </c>
      <c r="I1142" s="21">
        <f t="shared" si="93"/>
        <v>0</v>
      </c>
      <c r="J1142" s="22" t="e">
        <f>VLOOKUP($A1142, TAB_JUROS_C[[DIAS_CORRIDOS]:[V_FUT_UTEIS]], J$5, FALSE)</f>
        <v>#N/A</v>
      </c>
      <c r="K1142" s="22" t="e">
        <f>VLOOKUP($A1142, TAB_CORRECAO_C[[DIAS_CORRIDOS]:[V_FUT_UTEIS]],K$5, FALSE)</f>
        <v>#N/A</v>
      </c>
      <c r="L1142" s="22" t="e">
        <f>VLOOKUP($A1142, TAB_AMORTIZACAO_C[[DIAS_CORRIDOS]:[V_FUT_UTEIS]], L$5, FALSE)</f>
        <v>#N/A</v>
      </c>
    </row>
    <row r="1143" spans="1:12" hidden="1">
      <c r="A1143" s="19">
        <f t="shared" si="94"/>
        <v>1137</v>
      </c>
      <c r="B1143" s="20">
        <f t="shared" si="90"/>
        <v>0</v>
      </c>
      <c r="C1143" s="21">
        <f t="shared" si="91"/>
        <v>0</v>
      </c>
      <c r="D1143" s="22" t="e">
        <f>VLOOKUP($A1143, TAB_JUROS_U[[Q_DIAS_U_PARC_TIR]:[V_FUT_U_JURS CENARIO]], D$5, FALSE)</f>
        <v>#N/A</v>
      </c>
      <c r="E1143" s="22" t="e">
        <f>VLOOKUP($A1143,TAB_CORRECAO_U[[Q_DIAS_U_PARC_TIR]:[V_FUT_U_CORC-02]],E$5, FALSE)</f>
        <v>#N/A</v>
      </c>
      <c r="F1143" s="22" t="e">
        <f>VLOOKUP($A1143,TAB_AMORTIZACAO_U[[Q_DIAS_U_PARC_TIR]:[V_FUT_U_PCPL-02]], F$5, FALSE)</f>
        <v>#N/A</v>
      </c>
      <c r="H1143" s="20">
        <f t="shared" si="92"/>
        <v>0</v>
      </c>
      <c r="I1143" s="21">
        <f t="shared" si="93"/>
        <v>0</v>
      </c>
      <c r="J1143" s="22" t="e">
        <f>VLOOKUP($A1143, TAB_JUROS_C[[DIAS_CORRIDOS]:[V_FUT_UTEIS]], J$5, FALSE)</f>
        <v>#N/A</v>
      </c>
      <c r="K1143" s="22" t="e">
        <f>VLOOKUP($A1143, TAB_CORRECAO_C[[DIAS_CORRIDOS]:[V_FUT_UTEIS]],K$5, FALSE)</f>
        <v>#N/A</v>
      </c>
      <c r="L1143" s="22" t="e">
        <f>VLOOKUP($A1143, TAB_AMORTIZACAO_C[[DIAS_CORRIDOS]:[V_FUT_UTEIS]], L$5, FALSE)</f>
        <v>#N/A</v>
      </c>
    </row>
    <row r="1144" spans="1:12" hidden="1">
      <c r="A1144" s="19">
        <f t="shared" si="94"/>
        <v>1138</v>
      </c>
      <c r="B1144" s="20">
        <f t="shared" si="90"/>
        <v>0</v>
      </c>
      <c r="C1144" s="21">
        <f t="shared" si="91"/>
        <v>0</v>
      </c>
      <c r="D1144" s="22" t="e">
        <f>VLOOKUP($A1144, TAB_JUROS_U[[Q_DIAS_U_PARC_TIR]:[V_FUT_U_JURS CENARIO]], D$5, FALSE)</f>
        <v>#N/A</v>
      </c>
      <c r="E1144" s="22" t="e">
        <f>VLOOKUP($A1144,TAB_CORRECAO_U[[Q_DIAS_U_PARC_TIR]:[V_FUT_U_CORC-02]],E$5, FALSE)</f>
        <v>#N/A</v>
      </c>
      <c r="F1144" s="22" t="e">
        <f>VLOOKUP($A1144,TAB_AMORTIZACAO_U[[Q_DIAS_U_PARC_TIR]:[V_FUT_U_PCPL-02]], F$5, FALSE)</f>
        <v>#N/A</v>
      </c>
      <c r="H1144" s="20">
        <f t="shared" si="92"/>
        <v>1159.1295395226784</v>
      </c>
      <c r="I1144" s="21">
        <f t="shared" si="93"/>
        <v>1159.1295395226784</v>
      </c>
      <c r="J1144" s="22">
        <f>VLOOKUP($A1144, TAB_JUROS_C[[DIAS_CORRIDOS]:[V_FUT_UTEIS]], J$5, FALSE)</f>
        <v>91.259072089192969</v>
      </c>
      <c r="K1144" s="22">
        <f>VLOOKUP($A1144, TAB_CORRECAO_C[[DIAS_CORRIDOS]:[V_FUT_UTEIS]],K$5, FALSE)</f>
        <v>560.79971866571657</v>
      </c>
      <c r="L1144" s="22">
        <f>VLOOKUP($A1144, TAB_AMORTIZACAO_C[[DIAS_CORRIDOS]:[V_FUT_UTEIS]], L$5, FALSE)</f>
        <v>507.07074876776898</v>
      </c>
    </row>
    <row r="1145" spans="1:12">
      <c r="A1145" s="19">
        <f t="shared" si="94"/>
        <v>1139</v>
      </c>
      <c r="B1145" s="20">
        <f t="shared" si="90"/>
        <v>746.42447353072885</v>
      </c>
      <c r="C1145" s="21">
        <f t="shared" si="91"/>
        <v>746.42447353072885</v>
      </c>
      <c r="D1145" s="22">
        <f>VLOOKUP($A1145, TAB_JUROS_U[[Q_DIAS_U_PARC_TIR]:[V_FUT_U_JURS CENARIO]], D$5, FALSE)</f>
        <v>56.658397652353081</v>
      </c>
      <c r="E1145" s="22">
        <f>VLOOKUP($A1145,TAB_CORRECAO_U[[Q_DIAS_U_PARC_TIR]:[V_FUT_U_CORC-02]],E$5, FALSE)</f>
        <v>323.20250876354146</v>
      </c>
      <c r="F1145" s="22">
        <f>VLOOKUP($A1145,TAB_AMORTIZACAO_U[[Q_DIAS_U_PARC_TIR]:[V_FUT_U_PCPL-02]], F$5, FALSE)</f>
        <v>366.56356711483431</v>
      </c>
      <c r="H1145" s="20">
        <f t="shared" si="92"/>
        <v>0</v>
      </c>
      <c r="I1145" s="21">
        <f t="shared" si="93"/>
        <v>0</v>
      </c>
      <c r="J1145" s="22" t="e">
        <f>VLOOKUP($A1145, TAB_JUROS_C[[DIAS_CORRIDOS]:[V_FUT_UTEIS]], J$5, FALSE)</f>
        <v>#N/A</v>
      </c>
      <c r="K1145" s="22" t="e">
        <f>VLOOKUP($A1145, TAB_CORRECAO_C[[DIAS_CORRIDOS]:[V_FUT_UTEIS]],K$5, FALSE)</f>
        <v>#N/A</v>
      </c>
      <c r="L1145" s="22" t="e">
        <f>VLOOKUP($A1145, TAB_AMORTIZACAO_C[[DIAS_CORRIDOS]:[V_FUT_UTEIS]], L$5, FALSE)</f>
        <v>#N/A</v>
      </c>
    </row>
    <row r="1146" spans="1:12" hidden="1">
      <c r="A1146" s="19">
        <f t="shared" si="94"/>
        <v>1140</v>
      </c>
      <c r="B1146" s="20">
        <f t="shared" si="90"/>
        <v>0</v>
      </c>
      <c r="C1146" s="21">
        <f t="shared" si="91"/>
        <v>0</v>
      </c>
      <c r="D1146" s="22" t="e">
        <f>VLOOKUP($A1146, TAB_JUROS_U[[Q_DIAS_U_PARC_TIR]:[V_FUT_U_JURS CENARIO]], D$5, FALSE)</f>
        <v>#N/A</v>
      </c>
      <c r="E1146" s="22" t="e">
        <f>VLOOKUP($A1146,TAB_CORRECAO_U[[Q_DIAS_U_PARC_TIR]:[V_FUT_U_CORC-02]],E$5, FALSE)</f>
        <v>#N/A</v>
      </c>
      <c r="F1146" s="22" t="e">
        <f>VLOOKUP($A1146,TAB_AMORTIZACAO_U[[Q_DIAS_U_PARC_TIR]:[V_FUT_U_PCPL-02]], F$5, FALSE)</f>
        <v>#N/A</v>
      </c>
      <c r="H1146" s="20">
        <f t="shared" si="92"/>
        <v>0</v>
      </c>
      <c r="I1146" s="21">
        <f t="shared" si="93"/>
        <v>0</v>
      </c>
      <c r="J1146" s="22" t="e">
        <f>VLOOKUP($A1146, TAB_JUROS_C[[DIAS_CORRIDOS]:[V_FUT_UTEIS]], J$5, FALSE)</f>
        <v>#N/A</v>
      </c>
      <c r="K1146" s="22" t="e">
        <f>VLOOKUP($A1146, TAB_CORRECAO_C[[DIAS_CORRIDOS]:[V_FUT_UTEIS]],K$5, FALSE)</f>
        <v>#N/A</v>
      </c>
      <c r="L1146" s="22" t="e">
        <f>VLOOKUP($A1146, TAB_AMORTIZACAO_C[[DIAS_CORRIDOS]:[V_FUT_UTEIS]], L$5, FALSE)</f>
        <v>#N/A</v>
      </c>
    </row>
    <row r="1147" spans="1:12" hidden="1">
      <c r="A1147" s="19">
        <f t="shared" si="94"/>
        <v>1141</v>
      </c>
      <c r="B1147" s="20">
        <f t="shared" si="90"/>
        <v>0</v>
      </c>
      <c r="C1147" s="21">
        <f t="shared" si="91"/>
        <v>0</v>
      </c>
      <c r="D1147" s="22" t="e">
        <f>VLOOKUP($A1147, TAB_JUROS_U[[Q_DIAS_U_PARC_TIR]:[V_FUT_U_JURS CENARIO]], D$5, FALSE)</f>
        <v>#N/A</v>
      </c>
      <c r="E1147" s="22" t="e">
        <f>VLOOKUP($A1147,TAB_CORRECAO_U[[Q_DIAS_U_PARC_TIR]:[V_FUT_U_CORC-02]],E$5, FALSE)</f>
        <v>#N/A</v>
      </c>
      <c r="F1147" s="22" t="e">
        <f>VLOOKUP($A1147,TAB_AMORTIZACAO_U[[Q_DIAS_U_PARC_TIR]:[V_FUT_U_PCPL-02]], F$5, FALSE)</f>
        <v>#N/A</v>
      </c>
      <c r="H1147" s="20">
        <f t="shared" si="92"/>
        <v>0</v>
      </c>
      <c r="I1147" s="21">
        <f t="shared" si="93"/>
        <v>0</v>
      </c>
      <c r="J1147" s="22" t="e">
        <f>VLOOKUP($A1147, TAB_JUROS_C[[DIAS_CORRIDOS]:[V_FUT_UTEIS]], J$5, FALSE)</f>
        <v>#N/A</v>
      </c>
      <c r="K1147" s="22" t="e">
        <f>VLOOKUP($A1147, TAB_CORRECAO_C[[DIAS_CORRIDOS]:[V_FUT_UTEIS]],K$5, FALSE)</f>
        <v>#N/A</v>
      </c>
      <c r="L1147" s="22" t="e">
        <f>VLOOKUP($A1147, TAB_AMORTIZACAO_C[[DIAS_CORRIDOS]:[V_FUT_UTEIS]], L$5, FALSE)</f>
        <v>#N/A</v>
      </c>
    </row>
    <row r="1148" spans="1:12" hidden="1">
      <c r="A1148" s="19">
        <f t="shared" si="94"/>
        <v>1142</v>
      </c>
      <c r="B1148" s="20">
        <f t="shared" si="90"/>
        <v>0</v>
      </c>
      <c r="C1148" s="21">
        <f t="shared" si="91"/>
        <v>0</v>
      </c>
      <c r="D1148" s="22" t="e">
        <f>VLOOKUP($A1148, TAB_JUROS_U[[Q_DIAS_U_PARC_TIR]:[V_FUT_U_JURS CENARIO]], D$5, FALSE)</f>
        <v>#N/A</v>
      </c>
      <c r="E1148" s="22" t="e">
        <f>VLOOKUP($A1148,TAB_CORRECAO_U[[Q_DIAS_U_PARC_TIR]:[V_FUT_U_CORC-02]],E$5, FALSE)</f>
        <v>#N/A</v>
      </c>
      <c r="F1148" s="22" t="e">
        <f>VLOOKUP($A1148,TAB_AMORTIZACAO_U[[Q_DIAS_U_PARC_TIR]:[V_FUT_U_PCPL-02]], F$5, FALSE)</f>
        <v>#N/A</v>
      </c>
      <c r="H1148" s="20">
        <f t="shared" si="92"/>
        <v>0</v>
      </c>
      <c r="I1148" s="21">
        <f t="shared" si="93"/>
        <v>0</v>
      </c>
      <c r="J1148" s="22" t="e">
        <f>VLOOKUP($A1148, TAB_JUROS_C[[DIAS_CORRIDOS]:[V_FUT_UTEIS]], J$5, FALSE)</f>
        <v>#N/A</v>
      </c>
      <c r="K1148" s="22" t="e">
        <f>VLOOKUP($A1148, TAB_CORRECAO_C[[DIAS_CORRIDOS]:[V_FUT_UTEIS]],K$5, FALSE)</f>
        <v>#N/A</v>
      </c>
      <c r="L1148" s="22" t="e">
        <f>VLOOKUP($A1148, TAB_AMORTIZACAO_C[[DIAS_CORRIDOS]:[V_FUT_UTEIS]], L$5, FALSE)</f>
        <v>#N/A</v>
      </c>
    </row>
    <row r="1149" spans="1:12" hidden="1">
      <c r="A1149" s="19">
        <f t="shared" si="94"/>
        <v>1143</v>
      </c>
      <c r="B1149" s="20">
        <f t="shared" si="90"/>
        <v>0</v>
      </c>
      <c r="C1149" s="21">
        <f t="shared" si="91"/>
        <v>0</v>
      </c>
      <c r="D1149" s="22" t="e">
        <f>VLOOKUP($A1149, TAB_JUROS_U[[Q_DIAS_U_PARC_TIR]:[V_FUT_U_JURS CENARIO]], D$5, FALSE)</f>
        <v>#N/A</v>
      </c>
      <c r="E1149" s="22" t="e">
        <f>VLOOKUP($A1149,TAB_CORRECAO_U[[Q_DIAS_U_PARC_TIR]:[V_FUT_U_CORC-02]],E$5, FALSE)</f>
        <v>#N/A</v>
      </c>
      <c r="F1149" s="22" t="e">
        <f>VLOOKUP($A1149,TAB_AMORTIZACAO_U[[Q_DIAS_U_PARC_TIR]:[V_FUT_U_PCPL-02]], F$5, FALSE)</f>
        <v>#N/A</v>
      </c>
      <c r="H1149" s="20">
        <f t="shared" si="92"/>
        <v>0</v>
      </c>
      <c r="I1149" s="21">
        <f t="shared" si="93"/>
        <v>0</v>
      </c>
      <c r="J1149" s="22" t="e">
        <f>VLOOKUP($A1149, TAB_JUROS_C[[DIAS_CORRIDOS]:[V_FUT_UTEIS]], J$5, FALSE)</f>
        <v>#N/A</v>
      </c>
      <c r="K1149" s="22" t="e">
        <f>VLOOKUP($A1149, TAB_CORRECAO_C[[DIAS_CORRIDOS]:[V_FUT_UTEIS]],K$5, FALSE)</f>
        <v>#N/A</v>
      </c>
      <c r="L1149" s="22" t="e">
        <f>VLOOKUP($A1149, TAB_AMORTIZACAO_C[[DIAS_CORRIDOS]:[V_FUT_UTEIS]], L$5, FALSE)</f>
        <v>#N/A</v>
      </c>
    </row>
    <row r="1150" spans="1:12" hidden="1">
      <c r="A1150" s="19">
        <f t="shared" si="94"/>
        <v>1144</v>
      </c>
      <c r="B1150" s="20">
        <f t="shared" si="90"/>
        <v>0</v>
      </c>
      <c r="C1150" s="21">
        <f t="shared" si="91"/>
        <v>0</v>
      </c>
      <c r="D1150" s="22" t="e">
        <f>VLOOKUP($A1150, TAB_JUROS_U[[Q_DIAS_U_PARC_TIR]:[V_FUT_U_JURS CENARIO]], D$5, FALSE)</f>
        <v>#N/A</v>
      </c>
      <c r="E1150" s="22" t="e">
        <f>VLOOKUP($A1150,TAB_CORRECAO_U[[Q_DIAS_U_PARC_TIR]:[V_FUT_U_CORC-02]],E$5, FALSE)</f>
        <v>#N/A</v>
      </c>
      <c r="F1150" s="22" t="e">
        <f>VLOOKUP($A1150,TAB_AMORTIZACAO_U[[Q_DIAS_U_PARC_TIR]:[V_FUT_U_PCPL-02]], F$5, FALSE)</f>
        <v>#N/A</v>
      </c>
      <c r="H1150" s="20">
        <f t="shared" si="92"/>
        <v>0</v>
      </c>
      <c r="I1150" s="21">
        <f t="shared" si="93"/>
        <v>0</v>
      </c>
      <c r="J1150" s="22" t="e">
        <f>VLOOKUP($A1150, TAB_JUROS_C[[DIAS_CORRIDOS]:[V_FUT_UTEIS]], J$5, FALSE)</f>
        <v>#N/A</v>
      </c>
      <c r="K1150" s="22" t="e">
        <f>VLOOKUP($A1150, TAB_CORRECAO_C[[DIAS_CORRIDOS]:[V_FUT_UTEIS]],K$5, FALSE)</f>
        <v>#N/A</v>
      </c>
      <c r="L1150" s="22" t="e">
        <f>VLOOKUP($A1150, TAB_AMORTIZACAO_C[[DIAS_CORRIDOS]:[V_FUT_UTEIS]], L$5, FALSE)</f>
        <v>#N/A</v>
      </c>
    </row>
    <row r="1151" spans="1:12" hidden="1">
      <c r="A1151" s="19">
        <f t="shared" si="94"/>
        <v>1145</v>
      </c>
      <c r="B1151" s="20">
        <f t="shared" si="90"/>
        <v>0</v>
      </c>
      <c r="C1151" s="21">
        <f t="shared" si="91"/>
        <v>0</v>
      </c>
      <c r="D1151" s="22" t="e">
        <f>VLOOKUP($A1151, TAB_JUROS_U[[Q_DIAS_U_PARC_TIR]:[V_FUT_U_JURS CENARIO]], D$5, FALSE)</f>
        <v>#N/A</v>
      </c>
      <c r="E1151" s="22" t="e">
        <f>VLOOKUP($A1151,TAB_CORRECAO_U[[Q_DIAS_U_PARC_TIR]:[V_FUT_U_CORC-02]],E$5, FALSE)</f>
        <v>#N/A</v>
      </c>
      <c r="F1151" s="22" t="e">
        <f>VLOOKUP($A1151,TAB_AMORTIZACAO_U[[Q_DIAS_U_PARC_TIR]:[V_FUT_U_PCPL-02]], F$5, FALSE)</f>
        <v>#N/A</v>
      </c>
      <c r="H1151" s="20">
        <f t="shared" si="92"/>
        <v>0</v>
      </c>
      <c r="I1151" s="21">
        <f t="shared" si="93"/>
        <v>0</v>
      </c>
      <c r="J1151" s="22" t="e">
        <f>VLOOKUP($A1151, TAB_JUROS_C[[DIAS_CORRIDOS]:[V_FUT_UTEIS]], J$5, FALSE)</f>
        <v>#N/A</v>
      </c>
      <c r="K1151" s="22" t="e">
        <f>VLOOKUP($A1151, TAB_CORRECAO_C[[DIAS_CORRIDOS]:[V_FUT_UTEIS]],K$5, FALSE)</f>
        <v>#N/A</v>
      </c>
      <c r="L1151" s="22" t="e">
        <f>VLOOKUP($A1151, TAB_AMORTIZACAO_C[[DIAS_CORRIDOS]:[V_FUT_UTEIS]], L$5, FALSE)</f>
        <v>#N/A</v>
      </c>
    </row>
    <row r="1152" spans="1:12" hidden="1">
      <c r="A1152" s="19">
        <f t="shared" si="94"/>
        <v>1146</v>
      </c>
      <c r="B1152" s="20">
        <f t="shared" si="90"/>
        <v>0</v>
      </c>
      <c r="C1152" s="21">
        <f t="shared" si="91"/>
        <v>0</v>
      </c>
      <c r="D1152" s="22" t="e">
        <f>VLOOKUP($A1152, TAB_JUROS_U[[Q_DIAS_U_PARC_TIR]:[V_FUT_U_JURS CENARIO]], D$5, FALSE)</f>
        <v>#N/A</v>
      </c>
      <c r="E1152" s="22" t="e">
        <f>VLOOKUP($A1152,TAB_CORRECAO_U[[Q_DIAS_U_PARC_TIR]:[V_FUT_U_CORC-02]],E$5, FALSE)</f>
        <v>#N/A</v>
      </c>
      <c r="F1152" s="22" t="e">
        <f>VLOOKUP($A1152,TAB_AMORTIZACAO_U[[Q_DIAS_U_PARC_TIR]:[V_FUT_U_PCPL-02]], F$5, FALSE)</f>
        <v>#N/A</v>
      </c>
      <c r="H1152" s="20">
        <f t="shared" si="92"/>
        <v>0</v>
      </c>
      <c r="I1152" s="21">
        <f t="shared" si="93"/>
        <v>0</v>
      </c>
      <c r="J1152" s="22" t="e">
        <f>VLOOKUP($A1152, TAB_JUROS_C[[DIAS_CORRIDOS]:[V_FUT_UTEIS]], J$5, FALSE)</f>
        <v>#N/A</v>
      </c>
      <c r="K1152" s="22" t="e">
        <f>VLOOKUP($A1152, TAB_CORRECAO_C[[DIAS_CORRIDOS]:[V_FUT_UTEIS]],K$5, FALSE)</f>
        <v>#N/A</v>
      </c>
      <c r="L1152" s="22" t="e">
        <f>VLOOKUP($A1152, TAB_AMORTIZACAO_C[[DIAS_CORRIDOS]:[V_FUT_UTEIS]], L$5, FALSE)</f>
        <v>#N/A</v>
      </c>
    </row>
    <row r="1153" spans="1:12" hidden="1">
      <c r="A1153" s="19">
        <f t="shared" si="94"/>
        <v>1147</v>
      </c>
      <c r="B1153" s="20">
        <f t="shared" si="90"/>
        <v>0</v>
      </c>
      <c r="C1153" s="21">
        <f t="shared" si="91"/>
        <v>0</v>
      </c>
      <c r="D1153" s="22" t="e">
        <f>VLOOKUP($A1153, TAB_JUROS_U[[Q_DIAS_U_PARC_TIR]:[V_FUT_U_JURS CENARIO]], D$5, FALSE)</f>
        <v>#N/A</v>
      </c>
      <c r="E1153" s="22" t="e">
        <f>VLOOKUP($A1153,TAB_CORRECAO_U[[Q_DIAS_U_PARC_TIR]:[V_FUT_U_CORC-02]],E$5, FALSE)</f>
        <v>#N/A</v>
      </c>
      <c r="F1153" s="22" t="e">
        <f>VLOOKUP($A1153,TAB_AMORTIZACAO_U[[Q_DIAS_U_PARC_TIR]:[V_FUT_U_PCPL-02]], F$5, FALSE)</f>
        <v>#N/A</v>
      </c>
      <c r="H1153" s="20">
        <f t="shared" si="92"/>
        <v>0</v>
      </c>
      <c r="I1153" s="21">
        <f t="shared" si="93"/>
        <v>0</v>
      </c>
      <c r="J1153" s="22" t="e">
        <f>VLOOKUP($A1153, TAB_JUROS_C[[DIAS_CORRIDOS]:[V_FUT_UTEIS]], J$5, FALSE)</f>
        <v>#N/A</v>
      </c>
      <c r="K1153" s="22" t="e">
        <f>VLOOKUP($A1153, TAB_CORRECAO_C[[DIAS_CORRIDOS]:[V_FUT_UTEIS]],K$5, FALSE)</f>
        <v>#N/A</v>
      </c>
      <c r="L1153" s="22" t="e">
        <f>VLOOKUP($A1153, TAB_AMORTIZACAO_C[[DIAS_CORRIDOS]:[V_FUT_UTEIS]], L$5, FALSE)</f>
        <v>#N/A</v>
      </c>
    </row>
    <row r="1154" spans="1:12" hidden="1">
      <c r="A1154" s="19">
        <f t="shared" si="94"/>
        <v>1148</v>
      </c>
      <c r="B1154" s="20">
        <f t="shared" si="90"/>
        <v>0</v>
      </c>
      <c r="C1154" s="21">
        <f t="shared" si="91"/>
        <v>0</v>
      </c>
      <c r="D1154" s="22" t="e">
        <f>VLOOKUP($A1154, TAB_JUROS_U[[Q_DIAS_U_PARC_TIR]:[V_FUT_U_JURS CENARIO]], D$5, FALSE)</f>
        <v>#N/A</v>
      </c>
      <c r="E1154" s="22" t="e">
        <f>VLOOKUP($A1154,TAB_CORRECAO_U[[Q_DIAS_U_PARC_TIR]:[V_FUT_U_CORC-02]],E$5, FALSE)</f>
        <v>#N/A</v>
      </c>
      <c r="F1154" s="22" t="e">
        <f>VLOOKUP($A1154,TAB_AMORTIZACAO_U[[Q_DIAS_U_PARC_TIR]:[V_FUT_U_PCPL-02]], F$5, FALSE)</f>
        <v>#N/A</v>
      </c>
      <c r="H1154" s="20">
        <f t="shared" si="92"/>
        <v>0</v>
      </c>
      <c r="I1154" s="21">
        <f t="shared" si="93"/>
        <v>0</v>
      </c>
      <c r="J1154" s="22" t="e">
        <f>VLOOKUP($A1154, TAB_JUROS_C[[DIAS_CORRIDOS]:[V_FUT_UTEIS]], J$5, FALSE)</f>
        <v>#N/A</v>
      </c>
      <c r="K1154" s="22" t="e">
        <f>VLOOKUP($A1154, TAB_CORRECAO_C[[DIAS_CORRIDOS]:[V_FUT_UTEIS]],K$5, FALSE)</f>
        <v>#N/A</v>
      </c>
      <c r="L1154" s="22" t="e">
        <f>VLOOKUP($A1154, TAB_AMORTIZACAO_C[[DIAS_CORRIDOS]:[V_FUT_UTEIS]], L$5, FALSE)</f>
        <v>#N/A</v>
      </c>
    </row>
    <row r="1155" spans="1:12" hidden="1">
      <c r="A1155" s="19">
        <f t="shared" si="94"/>
        <v>1149</v>
      </c>
      <c r="B1155" s="20">
        <f t="shared" si="90"/>
        <v>0</v>
      </c>
      <c r="C1155" s="21">
        <f t="shared" si="91"/>
        <v>0</v>
      </c>
      <c r="D1155" s="22" t="e">
        <f>VLOOKUP($A1155, TAB_JUROS_U[[Q_DIAS_U_PARC_TIR]:[V_FUT_U_JURS CENARIO]], D$5, FALSE)</f>
        <v>#N/A</v>
      </c>
      <c r="E1155" s="22" t="e">
        <f>VLOOKUP($A1155,TAB_CORRECAO_U[[Q_DIAS_U_PARC_TIR]:[V_FUT_U_CORC-02]],E$5, FALSE)</f>
        <v>#N/A</v>
      </c>
      <c r="F1155" s="22" t="e">
        <f>VLOOKUP($A1155,TAB_AMORTIZACAO_U[[Q_DIAS_U_PARC_TIR]:[V_FUT_U_PCPL-02]], F$5, FALSE)</f>
        <v>#N/A</v>
      </c>
      <c r="H1155" s="20">
        <f t="shared" si="92"/>
        <v>0</v>
      </c>
      <c r="I1155" s="21">
        <f t="shared" si="93"/>
        <v>0</v>
      </c>
      <c r="J1155" s="22" t="e">
        <f>VLOOKUP($A1155, TAB_JUROS_C[[DIAS_CORRIDOS]:[V_FUT_UTEIS]], J$5, FALSE)</f>
        <v>#N/A</v>
      </c>
      <c r="K1155" s="22" t="e">
        <f>VLOOKUP($A1155, TAB_CORRECAO_C[[DIAS_CORRIDOS]:[V_FUT_UTEIS]],K$5, FALSE)</f>
        <v>#N/A</v>
      </c>
      <c r="L1155" s="22" t="e">
        <f>VLOOKUP($A1155, TAB_AMORTIZACAO_C[[DIAS_CORRIDOS]:[V_FUT_UTEIS]], L$5, FALSE)</f>
        <v>#N/A</v>
      </c>
    </row>
    <row r="1156" spans="1:12" hidden="1">
      <c r="A1156" s="19">
        <f t="shared" si="94"/>
        <v>1150</v>
      </c>
      <c r="B1156" s="20">
        <f t="shared" si="90"/>
        <v>0</v>
      </c>
      <c r="C1156" s="21">
        <f t="shared" si="91"/>
        <v>0</v>
      </c>
      <c r="D1156" s="22" t="e">
        <f>VLOOKUP($A1156, TAB_JUROS_U[[Q_DIAS_U_PARC_TIR]:[V_FUT_U_JURS CENARIO]], D$5, FALSE)</f>
        <v>#N/A</v>
      </c>
      <c r="E1156" s="22" t="e">
        <f>VLOOKUP($A1156,TAB_CORRECAO_U[[Q_DIAS_U_PARC_TIR]:[V_FUT_U_CORC-02]],E$5, FALSE)</f>
        <v>#N/A</v>
      </c>
      <c r="F1156" s="22" t="e">
        <f>VLOOKUP($A1156,TAB_AMORTIZACAO_U[[Q_DIAS_U_PARC_TIR]:[V_FUT_U_PCPL-02]], F$5, FALSE)</f>
        <v>#N/A</v>
      </c>
      <c r="H1156" s="20">
        <f t="shared" si="92"/>
        <v>0</v>
      </c>
      <c r="I1156" s="21">
        <f t="shared" si="93"/>
        <v>0</v>
      </c>
      <c r="J1156" s="22" t="e">
        <f>VLOOKUP($A1156, TAB_JUROS_C[[DIAS_CORRIDOS]:[V_FUT_UTEIS]], J$5, FALSE)</f>
        <v>#N/A</v>
      </c>
      <c r="K1156" s="22" t="e">
        <f>VLOOKUP($A1156, TAB_CORRECAO_C[[DIAS_CORRIDOS]:[V_FUT_UTEIS]],K$5, FALSE)</f>
        <v>#N/A</v>
      </c>
      <c r="L1156" s="22" t="e">
        <f>VLOOKUP($A1156, TAB_AMORTIZACAO_C[[DIAS_CORRIDOS]:[V_FUT_UTEIS]], L$5, FALSE)</f>
        <v>#N/A</v>
      </c>
    </row>
    <row r="1157" spans="1:12" hidden="1">
      <c r="A1157" s="19">
        <f t="shared" si="94"/>
        <v>1151</v>
      </c>
      <c r="B1157" s="20">
        <f t="shared" si="90"/>
        <v>0</v>
      </c>
      <c r="C1157" s="21">
        <f t="shared" si="91"/>
        <v>0</v>
      </c>
      <c r="D1157" s="22" t="e">
        <f>VLOOKUP($A1157, TAB_JUROS_U[[Q_DIAS_U_PARC_TIR]:[V_FUT_U_JURS CENARIO]], D$5, FALSE)</f>
        <v>#N/A</v>
      </c>
      <c r="E1157" s="22" t="e">
        <f>VLOOKUP($A1157,TAB_CORRECAO_U[[Q_DIAS_U_PARC_TIR]:[V_FUT_U_CORC-02]],E$5, FALSE)</f>
        <v>#N/A</v>
      </c>
      <c r="F1157" s="22" t="e">
        <f>VLOOKUP($A1157,TAB_AMORTIZACAO_U[[Q_DIAS_U_PARC_TIR]:[V_FUT_U_PCPL-02]], F$5, FALSE)</f>
        <v>#N/A</v>
      </c>
      <c r="H1157" s="20">
        <f t="shared" si="92"/>
        <v>0</v>
      </c>
      <c r="I1157" s="21">
        <f t="shared" si="93"/>
        <v>0</v>
      </c>
      <c r="J1157" s="22" t="e">
        <f>VLOOKUP($A1157, TAB_JUROS_C[[DIAS_CORRIDOS]:[V_FUT_UTEIS]], J$5, FALSE)</f>
        <v>#N/A</v>
      </c>
      <c r="K1157" s="22" t="e">
        <f>VLOOKUP($A1157, TAB_CORRECAO_C[[DIAS_CORRIDOS]:[V_FUT_UTEIS]],K$5, FALSE)</f>
        <v>#N/A</v>
      </c>
      <c r="L1157" s="22" t="e">
        <f>VLOOKUP($A1157, TAB_AMORTIZACAO_C[[DIAS_CORRIDOS]:[V_FUT_UTEIS]], L$5, FALSE)</f>
        <v>#N/A</v>
      </c>
    </row>
    <row r="1158" spans="1:12" hidden="1">
      <c r="A1158" s="19">
        <f t="shared" si="94"/>
        <v>1152</v>
      </c>
      <c r="B1158" s="20">
        <f t="shared" si="90"/>
        <v>0</v>
      </c>
      <c r="C1158" s="21">
        <f t="shared" si="91"/>
        <v>0</v>
      </c>
      <c r="D1158" s="22" t="e">
        <f>VLOOKUP($A1158, TAB_JUROS_U[[Q_DIAS_U_PARC_TIR]:[V_FUT_U_JURS CENARIO]], D$5, FALSE)</f>
        <v>#N/A</v>
      </c>
      <c r="E1158" s="22" t="e">
        <f>VLOOKUP($A1158,TAB_CORRECAO_U[[Q_DIAS_U_PARC_TIR]:[V_FUT_U_CORC-02]],E$5, FALSE)</f>
        <v>#N/A</v>
      </c>
      <c r="F1158" s="22" t="e">
        <f>VLOOKUP($A1158,TAB_AMORTIZACAO_U[[Q_DIAS_U_PARC_TIR]:[V_FUT_U_PCPL-02]], F$5, FALSE)</f>
        <v>#N/A</v>
      </c>
      <c r="H1158" s="20">
        <f t="shared" si="92"/>
        <v>0</v>
      </c>
      <c r="I1158" s="21">
        <f t="shared" si="93"/>
        <v>0</v>
      </c>
      <c r="J1158" s="22" t="e">
        <f>VLOOKUP($A1158, TAB_JUROS_C[[DIAS_CORRIDOS]:[V_FUT_UTEIS]], J$5, FALSE)</f>
        <v>#N/A</v>
      </c>
      <c r="K1158" s="22" t="e">
        <f>VLOOKUP($A1158, TAB_CORRECAO_C[[DIAS_CORRIDOS]:[V_FUT_UTEIS]],K$5, FALSE)</f>
        <v>#N/A</v>
      </c>
      <c r="L1158" s="22" t="e">
        <f>VLOOKUP($A1158, TAB_AMORTIZACAO_C[[DIAS_CORRIDOS]:[V_FUT_UTEIS]], L$5, FALSE)</f>
        <v>#N/A</v>
      </c>
    </row>
    <row r="1159" spans="1:12" hidden="1">
      <c r="A1159" s="19">
        <f t="shared" si="94"/>
        <v>1153</v>
      </c>
      <c r="B1159" s="20">
        <f t="shared" si="90"/>
        <v>0</v>
      </c>
      <c r="C1159" s="21">
        <f t="shared" si="91"/>
        <v>0</v>
      </c>
      <c r="D1159" s="22" t="e">
        <f>VLOOKUP($A1159, TAB_JUROS_U[[Q_DIAS_U_PARC_TIR]:[V_FUT_U_JURS CENARIO]], D$5, FALSE)</f>
        <v>#N/A</v>
      </c>
      <c r="E1159" s="22" t="e">
        <f>VLOOKUP($A1159,TAB_CORRECAO_U[[Q_DIAS_U_PARC_TIR]:[V_FUT_U_CORC-02]],E$5, FALSE)</f>
        <v>#N/A</v>
      </c>
      <c r="F1159" s="22" t="e">
        <f>VLOOKUP($A1159,TAB_AMORTIZACAO_U[[Q_DIAS_U_PARC_TIR]:[V_FUT_U_PCPL-02]], F$5, FALSE)</f>
        <v>#N/A</v>
      </c>
      <c r="H1159" s="20">
        <f t="shared" si="92"/>
        <v>0</v>
      </c>
      <c r="I1159" s="21">
        <f t="shared" si="93"/>
        <v>0</v>
      </c>
      <c r="J1159" s="22" t="e">
        <f>VLOOKUP($A1159, TAB_JUROS_C[[DIAS_CORRIDOS]:[V_FUT_UTEIS]], J$5, FALSE)</f>
        <v>#N/A</v>
      </c>
      <c r="K1159" s="22" t="e">
        <f>VLOOKUP($A1159, TAB_CORRECAO_C[[DIAS_CORRIDOS]:[V_FUT_UTEIS]],K$5, FALSE)</f>
        <v>#N/A</v>
      </c>
      <c r="L1159" s="22" t="e">
        <f>VLOOKUP($A1159, TAB_AMORTIZACAO_C[[DIAS_CORRIDOS]:[V_FUT_UTEIS]], L$5, FALSE)</f>
        <v>#N/A</v>
      </c>
    </row>
    <row r="1160" spans="1:12" hidden="1">
      <c r="A1160" s="19">
        <f t="shared" si="94"/>
        <v>1154</v>
      </c>
      <c r="B1160" s="20">
        <f t="shared" si="90"/>
        <v>0</v>
      </c>
      <c r="C1160" s="21">
        <f t="shared" si="91"/>
        <v>0</v>
      </c>
      <c r="D1160" s="22" t="e">
        <f>VLOOKUP($A1160, TAB_JUROS_U[[Q_DIAS_U_PARC_TIR]:[V_FUT_U_JURS CENARIO]], D$5, FALSE)</f>
        <v>#N/A</v>
      </c>
      <c r="E1160" s="22" t="e">
        <f>VLOOKUP($A1160,TAB_CORRECAO_U[[Q_DIAS_U_PARC_TIR]:[V_FUT_U_CORC-02]],E$5, FALSE)</f>
        <v>#N/A</v>
      </c>
      <c r="F1160" s="22" t="e">
        <f>VLOOKUP($A1160,TAB_AMORTIZACAO_U[[Q_DIAS_U_PARC_TIR]:[V_FUT_U_PCPL-02]], F$5, FALSE)</f>
        <v>#N/A</v>
      </c>
      <c r="H1160" s="20">
        <f t="shared" si="92"/>
        <v>0</v>
      </c>
      <c r="I1160" s="21">
        <f t="shared" si="93"/>
        <v>0</v>
      </c>
      <c r="J1160" s="22" t="e">
        <f>VLOOKUP($A1160, TAB_JUROS_C[[DIAS_CORRIDOS]:[V_FUT_UTEIS]], J$5, FALSE)</f>
        <v>#N/A</v>
      </c>
      <c r="K1160" s="22" t="e">
        <f>VLOOKUP($A1160, TAB_CORRECAO_C[[DIAS_CORRIDOS]:[V_FUT_UTEIS]],K$5, FALSE)</f>
        <v>#N/A</v>
      </c>
      <c r="L1160" s="22" t="e">
        <f>VLOOKUP($A1160, TAB_AMORTIZACAO_C[[DIAS_CORRIDOS]:[V_FUT_UTEIS]], L$5, FALSE)</f>
        <v>#N/A</v>
      </c>
    </row>
    <row r="1161" spans="1:12" hidden="1">
      <c r="A1161" s="19">
        <f t="shared" si="94"/>
        <v>1155</v>
      </c>
      <c r="B1161" s="20">
        <f t="shared" ref="B1161:B1224" si="95">IF(ISERROR(C1161), 0, C1161)</f>
        <v>0</v>
      </c>
      <c r="C1161" s="21">
        <f t="shared" ref="C1161:C1224" si="96">SUMIF(D1161:F1161, "&gt;0", D1161:F1161)</f>
        <v>0</v>
      </c>
      <c r="D1161" s="22" t="e">
        <f>VLOOKUP($A1161, TAB_JUROS_U[[Q_DIAS_U_PARC_TIR]:[V_FUT_U_JURS CENARIO]], D$5, FALSE)</f>
        <v>#N/A</v>
      </c>
      <c r="E1161" s="22" t="e">
        <f>VLOOKUP($A1161,TAB_CORRECAO_U[[Q_DIAS_U_PARC_TIR]:[V_FUT_U_CORC-02]],E$5, FALSE)</f>
        <v>#N/A</v>
      </c>
      <c r="F1161" s="22" t="e">
        <f>VLOOKUP($A1161,TAB_AMORTIZACAO_U[[Q_DIAS_U_PARC_TIR]:[V_FUT_U_PCPL-02]], F$5, FALSE)</f>
        <v>#N/A</v>
      </c>
      <c r="H1161" s="20">
        <f t="shared" ref="H1161:H1224" si="97">IF(ISERROR(I1161), 0, I1161)</f>
        <v>0</v>
      </c>
      <c r="I1161" s="21">
        <f t="shared" ref="I1161:I1224" si="98">SUMIF(J1161:L1161, "&gt;0", J1161:L1161)</f>
        <v>0</v>
      </c>
      <c r="J1161" s="22" t="e">
        <f>VLOOKUP($A1161, TAB_JUROS_C[[DIAS_CORRIDOS]:[V_FUT_UTEIS]], J$5, FALSE)</f>
        <v>#N/A</v>
      </c>
      <c r="K1161" s="22" t="e">
        <f>VLOOKUP($A1161, TAB_CORRECAO_C[[DIAS_CORRIDOS]:[V_FUT_UTEIS]],K$5, FALSE)</f>
        <v>#N/A</v>
      </c>
      <c r="L1161" s="22" t="e">
        <f>VLOOKUP($A1161, TAB_AMORTIZACAO_C[[DIAS_CORRIDOS]:[V_FUT_UTEIS]], L$5, FALSE)</f>
        <v>#N/A</v>
      </c>
    </row>
    <row r="1162" spans="1:12" hidden="1">
      <c r="A1162" s="19">
        <f t="shared" ref="A1162:A1225" si="99">A1161+1</f>
        <v>1156</v>
      </c>
      <c r="B1162" s="20">
        <f t="shared" si="95"/>
        <v>0</v>
      </c>
      <c r="C1162" s="21">
        <f t="shared" si="96"/>
        <v>0</v>
      </c>
      <c r="D1162" s="22" t="e">
        <f>VLOOKUP($A1162, TAB_JUROS_U[[Q_DIAS_U_PARC_TIR]:[V_FUT_U_JURS CENARIO]], D$5, FALSE)</f>
        <v>#N/A</v>
      </c>
      <c r="E1162" s="22" t="e">
        <f>VLOOKUP($A1162,TAB_CORRECAO_U[[Q_DIAS_U_PARC_TIR]:[V_FUT_U_CORC-02]],E$5, FALSE)</f>
        <v>#N/A</v>
      </c>
      <c r="F1162" s="22" t="e">
        <f>VLOOKUP($A1162,TAB_AMORTIZACAO_U[[Q_DIAS_U_PARC_TIR]:[V_FUT_U_PCPL-02]], F$5, FALSE)</f>
        <v>#N/A</v>
      </c>
      <c r="H1162" s="20">
        <f t="shared" si="97"/>
        <v>0</v>
      </c>
      <c r="I1162" s="21">
        <f t="shared" si="98"/>
        <v>0</v>
      </c>
      <c r="J1162" s="22" t="e">
        <f>VLOOKUP($A1162, TAB_JUROS_C[[DIAS_CORRIDOS]:[V_FUT_UTEIS]], J$5, FALSE)</f>
        <v>#N/A</v>
      </c>
      <c r="K1162" s="22" t="e">
        <f>VLOOKUP($A1162, TAB_CORRECAO_C[[DIAS_CORRIDOS]:[V_FUT_UTEIS]],K$5, FALSE)</f>
        <v>#N/A</v>
      </c>
      <c r="L1162" s="22" t="e">
        <f>VLOOKUP($A1162, TAB_AMORTIZACAO_C[[DIAS_CORRIDOS]:[V_FUT_UTEIS]], L$5, FALSE)</f>
        <v>#N/A</v>
      </c>
    </row>
    <row r="1163" spans="1:12" hidden="1">
      <c r="A1163" s="19">
        <f t="shared" si="99"/>
        <v>1157</v>
      </c>
      <c r="B1163" s="20">
        <f t="shared" si="95"/>
        <v>0</v>
      </c>
      <c r="C1163" s="21">
        <f t="shared" si="96"/>
        <v>0</v>
      </c>
      <c r="D1163" s="22" t="e">
        <f>VLOOKUP($A1163, TAB_JUROS_U[[Q_DIAS_U_PARC_TIR]:[V_FUT_U_JURS CENARIO]], D$5, FALSE)</f>
        <v>#N/A</v>
      </c>
      <c r="E1163" s="22" t="e">
        <f>VLOOKUP($A1163,TAB_CORRECAO_U[[Q_DIAS_U_PARC_TIR]:[V_FUT_U_CORC-02]],E$5, FALSE)</f>
        <v>#N/A</v>
      </c>
      <c r="F1163" s="22" t="e">
        <f>VLOOKUP($A1163,TAB_AMORTIZACAO_U[[Q_DIAS_U_PARC_TIR]:[V_FUT_U_PCPL-02]], F$5, FALSE)</f>
        <v>#N/A</v>
      </c>
      <c r="H1163" s="20">
        <f t="shared" si="97"/>
        <v>0</v>
      </c>
      <c r="I1163" s="21">
        <f t="shared" si="98"/>
        <v>0</v>
      </c>
      <c r="J1163" s="22" t="e">
        <f>VLOOKUP($A1163, TAB_JUROS_C[[DIAS_CORRIDOS]:[V_FUT_UTEIS]], J$5, FALSE)</f>
        <v>#N/A</v>
      </c>
      <c r="K1163" s="22" t="e">
        <f>VLOOKUP($A1163, TAB_CORRECAO_C[[DIAS_CORRIDOS]:[V_FUT_UTEIS]],K$5, FALSE)</f>
        <v>#N/A</v>
      </c>
      <c r="L1163" s="22" t="e">
        <f>VLOOKUP($A1163, TAB_AMORTIZACAO_C[[DIAS_CORRIDOS]:[V_FUT_UTEIS]], L$5, FALSE)</f>
        <v>#N/A</v>
      </c>
    </row>
    <row r="1164" spans="1:12" hidden="1">
      <c r="A1164" s="19">
        <f t="shared" si="99"/>
        <v>1158</v>
      </c>
      <c r="B1164" s="20">
        <f t="shared" si="95"/>
        <v>0</v>
      </c>
      <c r="C1164" s="21">
        <f t="shared" si="96"/>
        <v>0</v>
      </c>
      <c r="D1164" s="22" t="e">
        <f>VLOOKUP($A1164, TAB_JUROS_U[[Q_DIAS_U_PARC_TIR]:[V_FUT_U_JURS CENARIO]], D$5, FALSE)</f>
        <v>#N/A</v>
      </c>
      <c r="E1164" s="22" t="e">
        <f>VLOOKUP($A1164,TAB_CORRECAO_U[[Q_DIAS_U_PARC_TIR]:[V_FUT_U_CORC-02]],E$5, FALSE)</f>
        <v>#N/A</v>
      </c>
      <c r="F1164" s="22" t="e">
        <f>VLOOKUP($A1164,TAB_AMORTIZACAO_U[[Q_DIAS_U_PARC_TIR]:[V_FUT_U_PCPL-02]], F$5, FALSE)</f>
        <v>#N/A</v>
      </c>
      <c r="H1164" s="20">
        <f t="shared" si="97"/>
        <v>0</v>
      </c>
      <c r="I1164" s="21">
        <f t="shared" si="98"/>
        <v>0</v>
      </c>
      <c r="J1164" s="22" t="e">
        <f>VLOOKUP($A1164, TAB_JUROS_C[[DIAS_CORRIDOS]:[V_FUT_UTEIS]], J$5, FALSE)</f>
        <v>#N/A</v>
      </c>
      <c r="K1164" s="22" t="e">
        <f>VLOOKUP($A1164, TAB_CORRECAO_C[[DIAS_CORRIDOS]:[V_FUT_UTEIS]],K$5, FALSE)</f>
        <v>#N/A</v>
      </c>
      <c r="L1164" s="22" t="e">
        <f>VLOOKUP($A1164, TAB_AMORTIZACAO_C[[DIAS_CORRIDOS]:[V_FUT_UTEIS]], L$5, FALSE)</f>
        <v>#N/A</v>
      </c>
    </row>
    <row r="1165" spans="1:12" hidden="1">
      <c r="A1165" s="19">
        <f t="shared" si="99"/>
        <v>1159</v>
      </c>
      <c r="B1165" s="20">
        <f t="shared" si="95"/>
        <v>0</v>
      </c>
      <c r="C1165" s="21">
        <f t="shared" si="96"/>
        <v>0</v>
      </c>
      <c r="D1165" s="22" t="e">
        <f>VLOOKUP($A1165, TAB_JUROS_U[[Q_DIAS_U_PARC_TIR]:[V_FUT_U_JURS CENARIO]], D$5, FALSE)</f>
        <v>#N/A</v>
      </c>
      <c r="E1165" s="22" t="e">
        <f>VLOOKUP($A1165,TAB_CORRECAO_U[[Q_DIAS_U_PARC_TIR]:[V_FUT_U_CORC-02]],E$5, FALSE)</f>
        <v>#N/A</v>
      </c>
      <c r="F1165" s="22" t="e">
        <f>VLOOKUP($A1165,TAB_AMORTIZACAO_U[[Q_DIAS_U_PARC_TIR]:[V_FUT_U_PCPL-02]], F$5, FALSE)</f>
        <v>#N/A</v>
      </c>
      <c r="H1165" s="20">
        <f t="shared" si="97"/>
        <v>0</v>
      </c>
      <c r="I1165" s="21">
        <f t="shared" si="98"/>
        <v>0</v>
      </c>
      <c r="J1165" s="22" t="e">
        <f>VLOOKUP($A1165, TAB_JUROS_C[[DIAS_CORRIDOS]:[V_FUT_UTEIS]], J$5, FALSE)</f>
        <v>#N/A</v>
      </c>
      <c r="K1165" s="22" t="e">
        <f>VLOOKUP($A1165, TAB_CORRECAO_C[[DIAS_CORRIDOS]:[V_FUT_UTEIS]],K$5, FALSE)</f>
        <v>#N/A</v>
      </c>
      <c r="L1165" s="22" t="e">
        <f>VLOOKUP($A1165, TAB_AMORTIZACAO_C[[DIAS_CORRIDOS]:[V_FUT_UTEIS]], L$5, FALSE)</f>
        <v>#N/A</v>
      </c>
    </row>
    <row r="1166" spans="1:12" hidden="1">
      <c r="A1166" s="19">
        <f t="shared" si="99"/>
        <v>1160</v>
      </c>
      <c r="B1166" s="20">
        <f t="shared" si="95"/>
        <v>0</v>
      </c>
      <c r="C1166" s="21">
        <f t="shared" si="96"/>
        <v>0</v>
      </c>
      <c r="D1166" s="22" t="e">
        <f>VLOOKUP($A1166, TAB_JUROS_U[[Q_DIAS_U_PARC_TIR]:[V_FUT_U_JURS CENARIO]], D$5, FALSE)</f>
        <v>#N/A</v>
      </c>
      <c r="E1166" s="22" t="e">
        <f>VLOOKUP($A1166,TAB_CORRECAO_U[[Q_DIAS_U_PARC_TIR]:[V_FUT_U_CORC-02]],E$5, FALSE)</f>
        <v>#N/A</v>
      </c>
      <c r="F1166" s="22" t="e">
        <f>VLOOKUP($A1166,TAB_AMORTIZACAO_U[[Q_DIAS_U_PARC_TIR]:[V_FUT_U_PCPL-02]], F$5, FALSE)</f>
        <v>#N/A</v>
      </c>
      <c r="H1166" s="20">
        <f t="shared" si="97"/>
        <v>0</v>
      </c>
      <c r="I1166" s="21">
        <f t="shared" si="98"/>
        <v>0</v>
      </c>
      <c r="J1166" s="22" t="e">
        <f>VLOOKUP($A1166, TAB_JUROS_C[[DIAS_CORRIDOS]:[V_FUT_UTEIS]], J$5, FALSE)</f>
        <v>#N/A</v>
      </c>
      <c r="K1166" s="22" t="e">
        <f>VLOOKUP($A1166, TAB_CORRECAO_C[[DIAS_CORRIDOS]:[V_FUT_UTEIS]],K$5, FALSE)</f>
        <v>#N/A</v>
      </c>
      <c r="L1166" s="22" t="e">
        <f>VLOOKUP($A1166, TAB_AMORTIZACAO_C[[DIAS_CORRIDOS]:[V_FUT_UTEIS]], L$5, FALSE)</f>
        <v>#N/A</v>
      </c>
    </row>
    <row r="1167" spans="1:12" hidden="1">
      <c r="A1167" s="19">
        <f t="shared" si="99"/>
        <v>1161</v>
      </c>
      <c r="B1167" s="20">
        <f t="shared" si="95"/>
        <v>0</v>
      </c>
      <c r="C1167" s="21">
        <f t="shared" si="96"/>
        <v>0</v>
      </c>
      <c r="D1167" s="22" t="e">
        <f>VLOOKUP($A1167, TAB_JUROS_U[[Q_DIAS_U_PARC_TIR]:[V_FUT_U_JURS CENARIO]], D$5, FALSE)</f>
        <v>#N/A</v>
      </c>
      <c r="E1167" s="22" t="e">
        <f>VLOOKUP($A1167,TAB_CORRECAO_U[[Q_DIAS_U_PARC_TIR]:[V_FUT_U_CORC-02]],E$5, FALSE)</f>
        <v>#N/A</v>
      </c>
      <c r="F1167" s="22" t="e">
        <f>VLOOKUP($A1167,TAB_AMORTIZACAO_U[[Q_DIAS_U_PARC_TIR]:[V_FUT_U_PCPL-02]], F$5, FALSE)</f>
        <v>#N/A</v>
      </c>
      <c r="H1167" s="20">
        <f t="shared" si="97"/>
        <v>0</v>
      </c>
      <c r="I1167" s="21">
        <f t="shared" si="98"/>
        <v>0</v>
      </c>
      <c r="J1167" s="22" t="e">
        <f>VLOOKUP($A1167, TAB_JUROS_C[[DIAS_CORRIDOS]:[V_FUT_UTEIS]], J$5, FALSE)</f>
        <v>#N/A</v>
      </c>
      <c r="K1167" s="22" t="e">
        <f>VLOOKUP($A1167, TAB_CORRECAO_C[[DIAS_CORRIDOS]:[V_FUT_UTEIS]],K$5, FALSE)</f>
        <v>#N/A</v>
      </c>
      <c r="L1167" s="22" t="e">
        <f>VLOOKUP($A1167, TAB_AMORTIZACAO_C[[DIAS_CORRIDOS]:[V_FUT_UTEIS]], L$5, FALSE)</f>
        <v>#N/A</v>
      </c>
    </row>
    <row r="1168" spans="1:12">
      <c r="A1168" s="19">
        <f t="shared" si="99"/>
        <v>1162</v>
      </c>
      <c r="B1168" s="20">
        <f t="shared" si="95"/>
        <v>774.37258454585685</v>
      </c>
      <c r="C1168" s="21">
        <f t="shared" si="96"/>
        <v>774.37258454585685</v>
      </c>
      <c r="D1168" s="22">
        <f>VLOOKUP($A1168, TAB_JUROS_U[[Q_DIAS_U_PARC_TIR]:[V_FUT_U_JURS CENARIO]], D$5, FALSE)</f>
        <v>60.505801733698711</v>
      </c>
      <c r="E1168" s="22">
        <f>VLOOKUP($A1168,TAB_CORRECAO_U[[Q_DIAS_U_PARC_TIR]:[V_FUT_U_CORC-02]],E$5, FALSE)</f>
        <v>361.9593554069852</v>
      </c>
      <c r="F1168" s="22">
        <f>VLOOKUP($A1168,TAB_AMORTIZACAO_U[[Q_DIAS_U_PARC_TIR]:[V_FUT_U_PCPL-02]], F$5, FALSE)</f>
        <v>351.90742740517294</v>
      </c>
      <c r="H1168" s="20">
        <f t="shared" si="97"/>
        <v>0</v>
      </c>
      <c r="I1168" s="21">
        <f t="shared" si="98"/>
        <v>0</v>
      </c>
      <c r="J1168" s="22" t="e">
        <f>VLOOKUP($A1168, TAB_JUROS_C[[DIAS_CORRIDOS]:[V_FUT_UTEIS]], J$5, FALSE)</f>
        <v>#N/A</v>
      </c>
      <c r="K1168" s="22" t="e">
        <f>VLOOKUP($A1168, TAB_CORRECAO_C[[DIAS_CORRIDOS]:[V_FUT_UTEIS]],K$5, FALSE)</f>
        <v>#N/A</v>
      </c>
      <c r="L1168" s="22" t="e">
        <f>VLOOKUP($A1168, TAB_AMORTIZACAO_C[[DIAS_CORRIDOS]:[V_FUT_UTEIS]], L$5, FALSE)</f>
        <v>#N/A</v>
      </c>
    </row>
    <row r="1169" spans="1:12" hidden="1">
      <c r="A1169" s="19">
        <f t="shared" si="99"/>
        <v>1163</v>
      </c>
      <c r="B1169" s="20">
        <f t="shared" si="95"/>
        <v>0</v>
      </c>
      <c r="C1169" s="21">
        <f t="shared" si="96"/>
        <v>0</v>
      </c>
      <c r="D1169" s="22" t="e">
        <f>VLOOKUP($A1169, TAB_JUROS_U[[Q_DIAS_U_PARC_TIR]:[V_FUT_U_JURS CENARIO]], D$5, FALSE)</f>
        <v>#N/A</v>
      </c>
      <c r="E1169" s="22" t="e">
        <f>VLOOKUP($A1169,TAB_CORRECAO_U[[Q_DIAS_U_PARC_TIR]:[V_FUT_U_CORC-02]],E$5, FALSE)</f>
        <v>#N/A</v>
      </c>
      <c r="F1169" s="22" t="e">
        <f>VLOOKUP($A1169,TAB_AMORTIZACAO_U[[Q_DIAS_U_PARC_TIR]:[V_FUT_U_PCPL-02]], F$5, FALSE)</f>
        <v>#N/A</v>
      </c>
      <c r="H1169" s="20">
        <f t="shared" si="97"/>
        <v>0</v>
      </c>
      <c r="I1169" s="21">
        <f t="shared" si="98"/>
        <v>0</v>
      </c>
      <c r="J1169" s="22" t="e">
        <f>VLOOKUP($A1169, TAB_JUROS_C[[DIAS_CORRIDOS]:[V_FUT_UTEIS]], J$5, FALSE)</f>
        <v>#N/A</v>
      </c>
      <c r="K1169" s="22" t="e">
        <f>VLOOKUP($A1169, TAB_CORRECAO_C[[DIAS_CORRIDOS]:[V_FUT_UTEIS]],K$5, FALSE)</f>
        <v>#N/A</v>
      </c>
      <c r="L1169" s="22" t="e">
        <f>VLOOKUP($A1169, TAB_AMORTIZACAO_C[[DIAS_CORRIDOS]:[V_FUT_UTEIS]], L$5, FALSE)</f>
        <v>#N/A</v>
      </c>
    </row>
    <row r="1170" spans="1:12" hidden="1">
      <c r="A1170" s="19">
        <f t="shared" si="99"/>
        <v>1164</v>
      </c>
      <c r="B1170" s="20">
        <f t="shared" si="95"/>
        <v>0</v>
      </c>
      <c r="C1170" s="21">
        <f t="shared" si="96"/>
        <v>0</v>
      </c>
      <c r="D1170" s="22" t="e">
        <f>VLOOKUP($A1170, TAB_JUROS_U[[Q_DIAS_U_PARC_TIR]:[V_FUT_U_JURS CENARIO]], D$5, FALSE)</f>
        <v>#N/A</v>
      </c>
      <c r="E1170" s="22" t="e">
        <f>VLOOKUP($A1170,TAB_CORRECAO_U[[Q_DIAS_U_PARC_TIR]:[V_FUT_U_CORC-02]],E$5, FALSE)</f>
        <v>#N/A</v>
      </c>
      <c r="F1170" s="22" t="e">
        <f>VLOOKUP($A1170,TAB_AMORTIZACAO_U[[Q_DIAS_U_PARC_TIR]:[V_FUT_U_PCPL-02]], F$5, FALSE)</f>
        <v>#N/A</v>
      </c>
      <c r="H1170" s="20">
        <f t="shared" si="97"/>
        <v>0</v>
      </c>
      <c r="I1170" s="21">
        <f t="shared" si="98"/>
        <v>0</v>
      </c>
      <c r="J1170" s="22" t="e">
        <f>VLOOKUP($A1170, TAB_JUROS_C[[DIAS_CORRIDOS]:[V_FUT_UTEIS]], J$5, FALSE)</f>
        <v>#N/A</v>
      </c>
      <c r="K1170" s="22" t="e">
        <f>VLOOKUP($A1170, TAB_CORRECAO_C[[DIAS_CORRIDOS]:[V_FUT_UTEIS]],K$5, FALSE)</f>
        <v>#N/A</v>
      </c>
      <c r="L1170" s="22" t="e">
        <f>VLOOKUP($A1170, TAB_AMORTIZACAO_C[[DIAS_CORRIDOS]:[V_FUT_UTEIS]], L$5, FALSE)</f>
        <v>#N/A</v>
      </c>
    </row>
    <row r="1171" spans="1:12" hidden="1">
      <c r="A1171" s="19">
        <f t="shared" si="99"/>
        <v>1165</v>
      </c>
      <c r="B1171" s="20">
        <f t="shared" si="95"/>
        <v>0</v>
      </c>
      <c r="C1171" s="21">
        <f t="shared" si="96"/>
        <v>0</v>
      </c>
      <c r="D1171" s="22" t="e">
        <f>VLOOKUP($A1171, TAB_JUROS_U[[Q_DIAS_U_PARC_TIR]:[V_FUT_U_JURS CENARIO]], D$5, FALSE)</f>
        <v>#N/A</v>
      </c>
      <c r="E1171" s="22" t="e">
        <f>VLOOKUP($A1171,TAB_CORRECAO_U[[Q_DIAS_U_PARC_TIR]:[V_FUT_U_CORC-02]],E$5, FALSE)</f>
        <v>#N/A</v>
      </c>
      <c r="F1171" s="22" t="e">
        <f>VLOOKUP($A1171,TAB_AMORTIZACAO_U[[Q_DIAS_U_PARC_TIR]:[V_FUT_U_PCPL-02]], F$5, FALSE)</f>
        <v>#N/A</v>
      </c>
      <c r="H1171" s="20">
        <f t="shared" si="97"/>
        <v>0</v>
      </c>
      <c r="I1171" s="21">
        <f t="shared" si="98"/>
        <v>0</v>
      </c>
      <c r="J1171" s="22" t="e">
        <f>VLOOKUP($A1171, TAB_JUROS_C[[DIAS_CORRIDOS]:[V_FUT_UTEIS]], J$5, FALSE)</f>
        <v>#N/A</v>
      </c>
      <c r="K1171" s="22" t="e">
        <f>VLOOKUP($A1171, TAB_CORRECAO_C[[DIAS_CORRIDOS]:[V_FUT_UTEIS]],K$5, FALSE)</f>
        <v>#N/A</v>
      </c>
      <c r="L1171" s="22" t="e">
        <f>VLOOKUP($A1171, TAB_AMORTIZACAO_C[[DIAS_CORRIDOS]:[V_FUT_UTEIS]], L$5, FALSE)</f>
        <v>#N/A</v>
      </c>
    </row>
    <row r="1172" spans="1:12" hidden="1">
      <c r="A1172" s="19">
        <f t="shared" si="99"/>
        <v>1166</v>
      </c>
      <c r="B1172" s="20">
        <f t="shared" si="95"/>
        <v>0</v>
      </c>
      <c r="C1172" s="21">
        <f t="shared" si="96"/>
        <v>0</v>
      </c>
      <c r="D1172" s="22" t="e">
        <f>VLOOKUP($A1172, TAB_JUROS_U[[Q_DIAS_U_PARC_TIR]:[V_FUT_U_JURS CENARIO]], D$5, FALSE)</f>
        <v>#N/A</v>
      </c>
      <c r="E1172" s="22" t="e">
        <f>VLOOKUP($A1172,TAB_CORRECAO_U[[Q_DIAS_U_PARC_TIR]:[V_FUT_U_CORC-02]],E$5, FALSE)</f>
        <v>#N/A</v>
      </c>
      <c r="F1172" s="22" t="e">
        <f>VLOOKUP($A1172,TAB_AMORTIZACAO_U[[Q_DIAS_U_PARC_TIR]:[V_FUT_U_PCPL-02]], F$5, FALSE)</f>
        <v>#N/A</v>
      </c>
      <c r="H1172" s="20">
        <f t="shared" si="97"/>
        <v>0</v>
      </c>
      <c r="I1172" s="21">
        <f t="shared" si="98"/>
        <v>0</v>
      </c>
      <c r="J1172" s="22" t="e">
        <f>VLOOKUP($A1172, TAB_JUROS_C[[DIAS_CORRIDOS]:[V_FUT_UTEIS]], J$5, FALSE)</f>
        <v>#N/A</v>
      </c>
      <c r="K1172" s="22" t="e">
        <f>VLOOKUP($A1172, TAB_CORRECAO_C[[DIAS_CORRIDOS]:[V_FUT_UTEIS]],K$5, FALSE)</f>
        <v>#N/A</v>
      </c>
      <c r="L1172" s="22" t="e">
        <f>VLOOKUP($A1172, TAB_AMORTIZACAO_C[[DIAS_CORRIDOS]:[V_FUT_UTEIS]], L$5, FALSE)</f>
        <v>#N/A</v>
      </c>
    </row>
    <row r="1173" spans="1:12" hidden="1">
      <c r="A1173" s="19">
        <f t="shared" si="99"/>
        <v>1167</v>
      </c>
      <c r="B1173" s="20">
        <f t="shared" si="95"/>
        <v>0</v>
      </c>
      <c r="C1173" s="21">
        <f t="shared" si="96"/>
        <v>0</v>
      </c>
      <c r="D1173" s="22" t="e">
        <f>VLOOKUP($A1173, TAB_JUROS_U[[Q_DIAS_U_PARC_TIR]:[V_FUT_U_JURS CENARIO]], D$5, FALSE)</f>
        <v>#N/A</v>
      </c>
      <c r="E1173" s="22" t="e">
        <f>VLOOKUP($A1173,TAB_CORRECAO_U[[Q_DIAS_U_PARC_TIR]:[V_FUT_U_CORC-02]],E$5, FALSE)</f>
        <v>#N/A</v>
      </c>
      <c r="F1173" s="22" t="e">
        <f>VLOOKUP($A1173,TAB_AMORTIZACAO_U[[Q_DIAS_U_PARC_TIR]:[V_FUT_U_PCPL-02]], F$5, FALSE)</f>
        <v>#N/A</v>
      </c>
      <c r="H1173" s="20">
        <f t="shared" si="97"/>
        <v>0</v>
      </c>
      <c r="I1173" s="21">
        <f t="shared" si="98"/>
        <v>0</v>
      </c>
      <c r="J1173" s="22" t="e">
        <f>VLOOKUP($A1173, TAB_JUROS_C[[DIAS_CORRIDOS]:[V_FUT_UTEIS]], J$5, FALSE)</f>
        <v>#N/A</v>
      </c>
      <c r="K1173" s="22" t="e">
        <f>VLOOKUP($A1173, TAB_CORRECAO_C[[DIAS_CORRIDOS]:[V_FUT_UTEIS]],K$5, FALSE)</f>
        <v>#N/A</v>
      </c>
      <c r="L1173" s="22" t="e">
        <f>VLOOKUP($A1173, TAB_AMORTIZACAO_C[[DIAS_CORRIDOS]:[V_FUT_UTEIS]], L$5, FALSE)</f>
        <v>#N/A</v>
      </c>
    </row>
    <row r="1174" spans="1:12" hidden="1">
      <c r="A1174" s="19">
        <f t="shared" si="99"/>
        <v>1168</v>
      </c>
      <c r="B1174" s="20">
        <f t="shared" si="95"/>
        <v>0</v>
      </c>
      <c r="C1174" s="21">
        <f t="shared" si="96"/>
        <v>0</v>
      </c>
      <c r="D1174" s="22" t="e">
        <f>VLOOKUP($A1174, TAB_JUROS_U[[Q_DIAS_U_PARC_TIR]:[V_FUT_U_JURS CENARIO]], D$5, FALSE)</f>
        <v>#N/A</v>
      </c>
      <c r="E1174" s="22" t="e">
        <f>VLOOKUP($A1174,TAB_CORRECAO_U[[Q_DIAS_U_PARC_TIR]:[V_FUT_U_CORC-02]],E$5, FALSE)</f>
        <v>#N/A</v>
      </c>
      <c r="F1174" s="22" t="e">
        <f>VLOOKUP($A1174,TAB_AMORTIZACAO_U[[Q_DIAS_U_PARC_TIR]:[V_FUT_U_PCPL-02]], F$5, FALSE)</f>
        <v>#N/A</v>
      </c>
      <c r="H1174" s="20">
        <f t="shared" si="97"/>
        <v>0</v>
      </c>
      <c r="I1174" s="21">
        <f t="shared" si="98"/>
        <v>0</v>
      </c>
      <c r="J1174" s="22" t="e">
        <f>VLOOKUP($A1174, TAB_JUROS_C[[DIAS_CORRIDOS]:[V_FUT_UTEIS]], J$5, FALSE)</f>
        <v>#N/A</v>
      </c>
      <c r="K1174" s="22" t="e">
        <f>VLOOKUP($A1174, TAB_CORRECAO_C[[DIAS_CORRIDOS]:[V_FUT_UTEIS]],K$5, FALSE)</f>
        <v>#N/A</v>
      </c>
      <c r="L1174" s="22" t="e">
        <f>VLOOKUP($A1174, TAB_AMORTIZACAO_C[[DIAS_CORRIDOS]:[V_FUT_UTEIS]], L$5, FALSE)</f>
        <v>#N/A</v>
      </c>
    </row>
    <row r="1175" spans="1:12" hidden="1">
      <c r="A1175" s="19">
        <f t="shared" si="99"/>
        <v>1169</v>
      </c>
      <c r="B1175" s="20">
        <f t="shared" si="95"/>
        <v>0</v>
      </c>
      <c r="C1175" s="21">
        <f t="shared" si="96"/>
        <v>0</v>
      </c>
      <c r="D1175" s="22" t="e">
        <f>VLOOKUP($A1175, TAB_JUROS_U[[Q_DIAS_U_PARC_TIR]:[V_FUT_U_JURS CENARIO]], D$5, FALSE)</f>
        <v>#N/A</v>
      </c>
      <c r="E1175" s="22" t="e">
        <f>VLOOKUP($A1175,TAB_CORRECAO_U[[Q_DIAS_U_PARC_TIR]:[V_FUT_U_CORC-02]],E$5, FALSE)</f>
        <v>#N/A</v>
      </c>
      <c r="F1175" s="22" t="e">
        <f>VLOOKUP($A1175,TAB_AMORTIZACAO_U[[Q_DIAS_U_PARC_TIR]:[V_FUT_U_PCPL-02]], F$5, FALSE)</f>
        <v>#N/A</v>
      </c>
      <c r="H1175" s="20">
        <f t="shared" si="97"/>
        <v>0</v>
      </c>
      <c r="I1175" s="21">
        <f t="shared" si="98"/>
        <v>0</v>
      </c>
      <c r="J1175" s="22" t="e">
        <f>VLOOKUP($A1175, TAB_JUROS_C[[DIAS_CORRIDOS]:[V_FUT_UTEIS]], J$5, FALSE)</f>
        <v>#N/A</v>
      </c>
      <c r="K1175" s="22" t="e">
        <f>VLOOKUP($A1175, TAB_CORRECAO_C[[DIAS_CORRIDOS]:[V_FUT_UTEIS]],K$5, FALSE)</f>
        <v>#N/A</v>
      </c>
      <c r="L1175" s="22" t="e">
        <f>VLOOKUP($A1175, TAB_AMORTIZACAO_C[[DIAS_CORRIDOS]:[V_FUT_UTEIS]], L$5, FALSE)</f>
        <v>#N/A</v>
      </c>
    </row>
    <row r="1176" spans="1:12" hidden="1">
      <c r="A1176" s="19">
        <f t="shared" si="99"/>
        <v>1170</v>
      </c>
      <c r="B1176" s="20">
        <f t="shared" si="95"/>
        <v>0</v>
      </c>
      <c r="C1176" s="21">
        <f t="shared" si="96"/>
        <v>0</v>
      </c>
      <c r="D1176" s="22" t="e">
        <f>VLOOKUP($A1176, TAB_JUROS_U[[Q_DIAS_U_PARC_TIR]:[V_FUT_U_JURS CENARIO]], D$5, FALSE)</f>
        <v>#N/A</v>
      </c>
      <c r="E1176" s="22" t="e">
        <f>VLOOKUP($A1176,TAB_CORRECAO_U[[Q_DIAS_U_PARC_TIR]:[V_FUT_U_CORC-02]],E$5, FALSE)</f>
        <v>#N/A</v>
      </c>
      <c r="F1176" s="22" t="e">
        <f>VLOOKUP($A1176,TAB_AMORTIZACAO_U[[Q_DIAS_U_PARC_TIR]:[V_FUT_U_PCPL-02]], F$5, FALSE)</f>
        <v>#N/A</v>
      </c>
      <c r="H1176" s="20">
        <f t="shared" si="97"/>
        <v>1081.5228521722911</v>
      </c>
      <c r="I1176" s="21">
        <f t="shared" si="98"/>
        <v>1081.5228521722911</v>
      </c>
      <c r="J1176" s="22">
        <f>VLOOKUP($A1176, TAB_JUROS_C[[DIAS_CORRIDOS]:[V_FUT_UTEIS]], J$5, FALSE)</f>
        <v>80.844642554878988</v>
      </c>
      <c r="K1176" s="22">
        <f>VLOOKUP($A1176, TAB_CORRECAO_C[[DIAS_CORRIDOS]:[V_FUT_UTEIS]],K$5, FALSE)</f>
        <v>497.1512953648442</v>
      </c>
      <c r="L1176" s="22">
        <f>VLOOKUP($A1176, TAB_AMORTIZACAO_C[[DIAS_CORRIDOS]:[V_FUT_UTEIS]], L$5, FALSE)</f>
        <v>503.52691425256791</v>
      </c>
    </row>
    <row r="1177" spans="1:12" hidden="1">
      <c r="A1177" s="19">
        <f t="shared" si="99"/>
        <v>1171</v>
      </c>
      <c r="B1177" s="20">
        <f t="shared" si="95"/>
        <v>0</v>
      </c>
      <c r="C1177" s="21">
        <f t="shared" si="96"/>
        <v>0</v>
      </c>
      <c r="D1177" s="22" t="e">
        <f>VLOOKUP($A1177, TAB_JUROS_U[[Q_DIAS_U_PARC_TIR]:[V_FUT_U_JURS CENARIO]], D$5, FALSE)</f>
        <v>#N/A</v>
      </c>
      <c r="E1177" s="22" t="e">
        <f>VLOOKUP($A1177,TAB_CORRECAO_U[[Q_DIAS_U_PARC_TIR]:[V_FUT_U_CORC-02]],E$5, FALSE)</f>
        <v>#N/A</v>
      </c>
      <c r="F1177" s="22" t="e">
        <f>VLOOKUP($A1177,TAB_AMORTIZACAO_U[[Q_DIAS_U_PARC_TIR]:[V_FUT_U_PCPL-02]], F$5, FALSE)</f>
        <v>#N/A</v>
      </c>
      <c r="H1177" s="20">
        <f t="shared" si="97"/>
        <v>0</v>
      </c>
      <c r="I1177" s="21">
        <f t="shared" si="98"/>
        <v>0</v>
      </c>
      <c r="J1177" s="22" t="e">
        <f>VLOOKUP($A1177, TAB_JUROS_C[[DIAS_CORRIDOS]:[V_FUT_UTEIS]], J$5, FALSE)</f>
        <v>#N/A</v>
      </c>
      <c r="K1177" s="22" t="e">
        <f>VLOOKUP($A1177, TAB_CORRECAO_C[[DIAS_CORRIDOS]:[V_FUT_UTEIS]],K$5, FALSE)</f>
        <v>#N/A</v>
      </c>
      <c r="L1177" s="22" t="e">
        <f>VLOOKUP($A1177, TAB_AMORTIZACAO_C[[DIAS_CORRIDOS]:[V_FUT_UTEIS]], L$5, FALSE)</f>
        <v>#N/A</v>
      </c>
    </row>
    <row r="1178" spans="1:12" hidden="1">
      <c r="A1178" s="19">
        <f t="shared" si="99"/>
        <v>1172</v>
      </c>
      <c r="B1178" s="20">
        <f t="shared" si="95"/>
        <v>0</v>
      </c>
      <c r="C1178" s="21">
        <f t="shared" si="96"/>
        <v>0</v>
      </c>
      <c r="D1178" s="22" t="e">
        <f>VLOOKUP($A1178, TAB_JUROS_U[[Q_DIAS_U_PARC_TIR]:[V_FUT_U_JURS CENARIO]], D$5, FALSE)</f>
        <v>#N/A</v>
      </c>
      <c r="E1178" s="22" t="e">
        <f>VLOOKUP($A1178,TAB_CORRECAO_U[[Q_DIAS_U_PARC_TIR]:[V_FUT_U_CORC-02]],E$5, FALSE)</f>
        <v>#N/A</v>
      </c>
      <c r="F1178" s="22" t="e">
        <f>VLOOKUP($A1178,TAB_AMORTIZACAO_U[[Q_DIAS_U_PARC_TIR]:[V_FUT_U_PCPL-02]], F$5, FALSE)</f>
        <v>#N/A</v>
      </c>
      <c r="H1178" s="20">
        <f t="shared" si="97"/>
        <v>0</v>
      </c>
      <c r="I1178" s="21">
        <f t="shared" si="98"/>
        <v>0</v>
      </c>
      <c r="J1178" s="22" t="e">
        <f>VLOOKUP($A1178, TAB_JUROS_C[[DIAS_CORRIDOS]:[V_FUT_UTEIS]], J$5, FALSE)</f>
        <v>#N/A</v>
      </c>
      <c r="K1178" s="22" t="e">
        <f>VLOOKUP($A1178, TAB_CORRECAO_C[[DIAS_CORRIDOS]:[V_FUT_UTEIS]],K$5, FALSE)</f>
        <v>#N/A</v>
      </c>
      <c r="L1178" s="22" t="e">
        <f>VLOOKUP($A1178, TAB_AMORTIZACAO_C[[DIAS_CORRIDOS]:[V_FUT_UTEIS]], L$5, FALSE)</f>
        <v>#N/A</v>
      </c>
    </row>
    <row r="1179" spans="1:12" hidden="1">
      <c r="A1179" s="19">
        <f t="shared" si="99"/>
        <v>1173</v>
      </c>
      <c r="B1179" s="20">
        <f t="shared" si="95"/>
        <v>0</v>
      </c>
      <c r="C1179" s="21">
        <f t="shared" si="96"/>
        <v>0</v>
      </c>
      <c r="D1179" s="22" t="e">
        <f>VLOOKUP($A1179, TAB_JUROS_U[[Q_DIAS_U_PARC_TIR]:[V_FUT_U_JURS CENARIO]], D$5, FALSE)</f>
        <v>#N/A</v>
      </c>
      <c r="E1179" s="22" t="e">
        <f>VLOOKUP($A1179,TAB_CORRECAO_U[[Q_DIAS_U_PARC_TIR]:[V_FUT_U_CORC-02]],E$5, FALSE)</f>
        <v>#N/A</v>
      </c>
      <c r="F1179" s="22" t="e">
        <f>VLOOKUP($A1179,TAB_AMORTIZACAO_U[[Q_DIAS_U_PARC_TIR]:[V_FUT_U_PCPL-02]], F$5, FALSE)</f>
        <v>#N/A</v>
      </c>
      <c r="H1179" s="20">
        <f t="shared" si="97"/>
        <v>0</v>
      </c>
      <c r="I1179" s="21">
        <f t="shared" si="98"/>
        <v>0</v>
      </c>
      <c r="J1179" s="22" t="e">
        <f>VLOOKUP($A1179, TAB_JUROS_C[[DIAS_CORRIDOS]:[V_FUT_UTEIS]], J$5, FALSE)</f>
        <v>#N/A</v>
      </c>
      <c r="K1179" s="22" t="e">
        <f>VLOOKUP($A1179, TAB_CORRECAO_C[[DIAS_CORRIDOS]:[V_FUT_UTEIS]],K$5, FALSE)</f>
        <v>#N/A</v>
      </c>
      <c r="L1179" s="22" t="e">
        <f>VLOOKUP($A1179, TAB_AMORTIZACAO_C[[DIAS_CORRIDOS]:[V_FUT_UTEIS]], L$5, FALSE)</f>
        <v>#N/A</v>
      </c>
    </row>
    <row r="1180" spans="1:12" hidden="1">
      <c r="A1180" s="19">
        <f t="shared" si="99"/>
        <v>1174</v>
      </c>
      <c r="B1180" s="20">
        <f t="shared" si="95"/>
        <v>0</v>
      </c>
      <c r="C1180" s="21">
        <f t="shared" si="96"/>
        <v>0</v>
      </c>
      <c r="D1180" s="22" t="e">
        <f>VLOOKUP($A1180, TAB_JUROS_U[[Q_DIAS_U_PARC_TIR]:[V_FUT_U_JURS CENARIO]], D$5, FALSE)</f>
        <v>#N/A</v>
      </c>
      <c r="E1180" s="22" t="e">
        <f>VLOOKUP($A1180,TAB_CORRECAO_U[[Q_DIAS_U_PARC_TIR]:[V_FUT_U_CORC-02]],E$5, FALSE)</f>
        <v>#N/A</v>
      </c>
      <c r="F1180" s="22" t="e">
        <f>VLOOKUP($A1180,TAB_AMORTIZACAO_U[[Q_DIAS_U_PARC_TIR]:[V_FUT_U_PCPL-02]], F$5, FALSE)</f>
        <v>#N/A</v>
      </c>
      <c r="H1180" s="20">
        <f t="shared" si="97"/>
        <v>0</v>
      </c>
      <c r="I1180" s="21">
        <f t="shared" si="98"/>
        <v>0</v>
      </c>
      <c r="J1180" s="22" t="e">
        <f>VLOOKUP($A1180, TAB_JUROS_C[[DIAS_CORRIDOS]:[V_FUT_UTEIS]], J$5, FALSE)</f>
        <v>#N/A</v>
      </c>
      <c r="K1180" s="22" t="e">
        <f>VLOOKUP($A1180, TAB_CORRECAO_C[[DIAS_CORRIDOS]:[V_FUT_UTEIS]],K$5, FALSE)</f>
        <v>#N/A</v>
      </c>
      <c r="L1180" s="22" t="e">
        <f>VLOOKUP($A1180, TAB_AMORTIZACAO_C[[DIAS_CORRIDOS]:[V_FUT_UTEIS]], L$5, FALSE)</f>
        <v>#N/A</v>
      </c>
    </row>
    <row r="1181" spans="1:12" hidden="1">
      <c r="A1181" s="19">
        <f t="shared" si="99"/>
        <v>1175</v>
      </c>
      <c r="B1181" s="20">
        <f t="shared" si="95"/>
        <v>0</v>
      </c>
      <c r="C1181" s="21">
        <f t="shared" si="96"/>
        <v>0</v>
      </c>
      <c r="D1181" s="22" t="e">
        <f>VLOOKUP($A1181, TAB_JUROS_U[[Q_DIAS_U_PARC_TIR]:[V_FUT_U_JURS CENARIO]], D$5, FALSE)</f>
        <v>#N/A</v>
      </c>
      <c r="E1181" s="22" t="e">
        <f>VLOOKUP($A1181,TAB_CORRECAO_U[[Q_DIAS_U_PARC_TIR]:[V_FUT_U_CORC-02]],E$5, FALSE)</f>
        <v>#N/A</v>
      </c>
      <c r="F1181" s="22" t="e">
        <f>VLOOKUP($A1181,TAB_AMORTIZACAO_U[[Q_DIAS_U_PARC_TIR]:[V_FUT_U_PCPL-02]], F$5, FALSE)</f>
        <v>#N/A</v>
      </c>
      <c r="H1181" s="20">
        <f t="shared" si="97"/>
        <v>0</v>
      </c>
      <c r="I1181" s="21">
        <f t="shared" si="98"/>
        <v>0</v>
      </c>
      <c r="J1181" s="22" t="e">
        <f>VLOOKUP($A1181, TAB_JUROS_C[[DIAS_CORRIDOS]:[V_FUT_UTEIS]], J$5, FALSE)</f>
        <v>#N/A</v>
      </c>
      <c r="K1181" s="22" t="e">
        <f>VLOOKUP($A1181, TAB_CORRECAO_C[[DIAS_CORRIDOS]:[V_FUT_UTEIS]],K$5, FALSE)</f>
        <v>#N/A</v>
      </c>
      <c r="L1181" s="22" t="e">
        <f>VLOOKUP($A1181, TAB_AMORTIZACAO_C[[DIAS_CORRIDOS]:[V_FUT_UTEIS]], L$5, FALSE)</f>
        <v>#N/A</v>
      </c>
    </row>
    <row r="1182" spans="1:12" hidden="1">
      <c r="A1182" s="19">
        <f t="shared" si="99"/>
        <v>1176</v>
      </c>
      <c r="B1182" s="20">
        <f t="shared" si="95"/>
        <v>0</v>
      </c>
      <c r="C1182" s="21">
        <f t="shared" si="96"/>
        <v>0</v>
      </c>
      <c r="D1182" s="22" t="e">
        <f>VLOOKUP($A1182, TAB_JUROS_U[[Q_DIAS_U_PARC_TIR]:[V_FUT_U_JURS CENARIO]], D$5, FALSE)</f>
        <v>#N/A</v>
      </c>
      <c r="E1182" s="22" t="e">
        <f>VLOOKUP($A1182,TAB_CORRECAO_U[[Q_DIAS_U_PARC_TIR]:[V_FUT_U_CORC-02]],E$5, FALSE)</f>
        <v>#N/A</v>
      </c>
      <c r="F1182" s="22" t="e">
        <f>VLOOKUP($A1182,TAB_AMORTIZACAO_U[[Q_DIAS_U_PARC_TIR]:[V_FUT_U_PCPL-02]], F$5, FALSE)</f>
        <v>#N/A</v>
      </c>
      <c r="H1182" s="20">
        <f t="shared" si="97"/>
        <v>0</v>
      </c>
      <c r="I1182" s="21">
        <f t="shared" si="98"/>
        <v>0</v>
      </c>
      <c r="J1182" s="22" t="e">
        <f>VLOOKUP($A1182, TAB_JUROS_C[[DIAS_CORRIDOS]:[V_FUT_UTEIS]], J$5, FALSE)</f>
        <v>#N/A</v>
      </c>
      <c r="K1182" s="22" t="e">
        <f>VLOOKUP($A1182, TAB_CORRECAO_C[[DIAS_CORRIDOS]:[V_FUT_UTEIS]],K$5, FALSE)</f>
        <v>#N/A</v>
      </c>
      <c r="L1182" s="22" t="e">
        <f>VLOOKUP($A1182, TAB_AMORTIZACAO_C[[DIAS_CORRIDOS]:[V_FUT_UTEIS]], L$5, FALSE)</f>
        <v>#N/A</v>
      </c>
    </row>
    <row r="1183" spans="1:12" hidden="1">
      <c r="A1183" s="19">
        <f t="shared" si="99"/>
        <v>1177</v>
      </c>
      <c r="B1183" s="20">
        <f t="shared" si="95"/>
        <v>0</v>
      </c>
      <c r="C1183" s="21">
        <f t="shared" si="96"/>
        <v>0</v>
      </c>
      <c r="D1183" s="22" t="e">
        <f>VLOOKUP($A1183, TAB_JUROS_U[[Q_DIAS_U_PARC_TIR]:[V_FUT_U_JURS CENARIO]], D$5, FALSE)</f>
        <v>#N/A</v>
      </c>
      <c r="E1183" s="22" t="e">
        <f>VLOOKUP($A1183,TAB_CORRECAO_U[[Q_DIAS_U_PARC_TIR]:[V_FUT_U_CORC-02]],E$5, FALSE)</f>
        <v>#N/A</v>
      </c>
      <c r="F1183" s="22" t="e">
        <f>VLOOKUP($A1183,TAB_AMORTIZACAO_U[[Q_DIAS_U_PARC_TIR]:[V_FUT_U_PCPL-02]], F$5, FALSE)</f>
        <v>#N/A</v>
      </c>
      <c r="H1183" s="20">
        <f t="shared" si="97"/>
        <v>0</v>
      </c>
      <c r="I1183" s="21">
        <f t="shared" si="98"/>
        <v>0</v>
      </c>
      <c r="J1183" s="22" t="e">
        <f>VLOOKUP($A1183, TAB_JUROS_C[[DIAS_CORRIDOS]:[V_FUT_UTEIS]], J$5, FALSE)</f>
        <v>#N/A</v>
      </c>
      <c r="K1183" s="22" t="e">
        <f>VLOOKUP($A1183, TAB_CORRECAO_C[[DIAS_CORRIDOS]:[V_FUT_UTEIS]],K$5, FALSE)</f>
        <v>#N/A</v>
      </c>
      <c r="L1183" s="22" t="e">
        <f>VLOOKUP($A1183, TAB_AMORTIZACAO_C[[DIAS_CORRIDOS]:[V_FUT_UTEIS]], L$5, FALSE)</f>
        <v>#N/A</v>
      </c>
    </row>
    <row r="1184" spans="1:12" hidden="1">
      <c r="A1184" s="19">
        <f t="shared" si="99"/>
        <v>1178</v>
      </c>
      <c r="B1184" s="20">
        <f t="shared" si="95"/>
        <v>0</v>
      </c>
      <c r="C1184" s="21">
        <f t="shared" si="96"/>
        <v>0</v>
      </c>
      <c r="D1184" s="22" t="e">
        <f>VLOOKUP($A1184, TAB_JUROS_U[[Q_DIAS_U_PARC_TIR]:[V_FUT_U_JURS CENARIO]], D$5, FALSE)</f>
        <v>#N/A</v>
      </c>
      <c r="E1184" s="22" t="e">
        <f>VLOOKUP($A1184,TAB_CORRECAO_U[[Q_DIAS_U_PARC_TIR]:[V_FUT_U_CORC-02]],E$5, FALSE)</f>
        <v>#N/A</v>
      </c>
      <c r="F1184" s="22" t="e">
        <f>VLOOKUP($A1184,TAB_AMORTIZACAO_U[[Q_DIAS_U_PARC_TIR]:[V_FUT_U_PCPL-02]], F$5, FALSE)</f>
        <v>#N/A</v>
      </c>
      <c r="H1184" s="20">
        <f t="shared" si="97"/>
        <v>0</v>
      </c>
      <c r="I1184" s="21">
        <f t="shared" si="98"/>
        <v>0</v>
      </c>
      <c r="J1184" s="22" t="e">
        <f>VLOOKUP($A1184, TAB_JUROS_C[[DIAS_CORRIDOS]:[V_FUT_UTEIS]], J$5, FALSE)</f>
        <v>#N/A</v>
      </c>
      <c r="K1184" s="22" t="e">
        <f>VLOOKUP($A1184, TAB_CORRECAO_C[[DIAS_CORRIDOS]:[V_FUT_UTEIS]],K$5, FALSE)</f>
        <v>#N/A</v>
      </c>
      <c r="L1184" s="22" t="e">
        <f>VLOOKUP($A1184, TAB_AMORTIZACAO_C[[DIAS_CORRIDOS]:[V_FUT_UTEIS]], L$5, FALSE)</f>
        <v>#N/A</v>
      </c>
    </row>
    <row r="1185" spans="1:12" hidden="1">
      <c r="A1185" s="19">
        <f t="shared" si="99"/>
        <v>1179</v>
      </c>
      <c r="B1185" s="20">
        <f t="shared" si="95"/>
        <v>0</v>
      </c>
      <c r="C1185" s="21">
        <f t="shared" si="96"/>
        <v>0</v>
      </c>
      <c r="D1185" s="22" t="e">
        <f>VLOOKUP($A1185, TAB_JUROS_U[[Q_DIAS_U_PARC_TIR]:[V_FUT_U_JURS CENARIO]], D$5, FALSE)</f>
        <v>#N/A</v>
      </c>
      <c r="E1185" s="22" t="e">
        <f>VLOOKUP($A1185,TAB_CORRECAO_U[[Q_DIAS_U_PARC_TIR]:[V_FUT_U_CORC-02]],E$5, FALSE)</f>
        <v>#N/A</v>
      </c>
      <c r="F1185" s="22" t="e">
        <f>VLOOKUP($A1185,TAB_AMORTIZACAO_U[[Q_DIAS_U_PARC_TIR]:[V_FUT_U_PCPL-02]], F$5, FALSE)</f>
        <v>#N/A</v>
      </c>
      <c r="H1185" s="20">
        <f t="shared" si="97"/>
        <v>0</v>
      </c>
      <c r="I1185" s="21">
        <f t="shared" si="98"/>
        <v>0</v>
      </c>
      <c r="J1185" s="22" t="e">
        <f>VLOOKUP($A1185, TAB_JUROS_C[[DIAS_CORRIDOS]:[V_FUT_UTEIS]], J$5, FALSE)</f>
        <v>#N/A</v>
      </c>
      <c r="K1185" s="22" t="e">
        <f>VLOOKUP($A1185, TAB_CORRECAO_C[[DIAS_CORRIDOS]:[V_FUT_UTEIS]],K$5, FALSE)</f>
        <v>#N/A</v>
      </c>
      <c r="L1185" s="22" t="e">
        <f>VLOOKUP($A1185, TAB_AMORTIZACAO_C[[DIAS_CORRIDOS]:[V_FUT_UTEIS]], L$5, FALSE)</f>
        <v>#N/A</v>
      </c>
    </row>
    <row r="1186" spans="1:12" hidden="1">
      <c r="A1186" s="19">
        <f t="shared" si="99"/>
        <v>1180</v>
      </c>
      <c r="B1186" s="20">
        <f t="shared" si="95"/>
        <v>0</v>
      </c>
      <c r="C1186" s="21">
        <f t="shared" si="96"/>
        <v>0</v>
      </c>
      <c r="D1186" s="22" t="e">
        <f>VLOOKUP($A1186, TAB_JUROS_U[[Q_DIAS_U_PARC_TIR]:[V_FUT_U_JURS CENARIO]], D$5, FALSE)</f>
        <v>#N/A</v>
      </c>
      <c r="E1186" s="22" t="e">
        <f>VLOOKUP($A1186,TAB_CORRECAO_U[[Q_DIAS_U_PARC_TIR]:[V_FUT_U_CORC-02]],E$5, FALSE)</f>
        <v>#N/A</v>
      </c>
      <c r="F1186" s="22" t="e">
        <f>VLOOKUP($A1186,TAB_AMORTIZACAO_U[[Q_DIAS_U_PARC_TIR]:[V_FUT_U_PCPL-02]], F$5, FALSE)</f>
        <v>#N/A</v>
      </c>
      <c r="H1186" s="20">
        <f t="shared" si="97"/>
        <v>0</v>
      </c>
      <c r="I1186" s="21">
        <f t="shared" si="98"/>
        <v>0</v>
      </c>
      <c r="J1186" s="22" t="e">
        <f>VLOOKUP($A1186, TAB_JUROS_C[[DIAS_CORRIDOS]:[V_FUT_UTEIS]], J$5, FALSE)</f>
        <v>#N/A</v>
      </c>
      <c r="K1186" s="22" t="e">
        <f>VLOOKUP($A1186, TAB_CORRECAO_C[[DIAS_CORRIDOS]:[V_FUT_UTEIS]],K$5, FALSE)</f>
        <v>#N/A</v>
      </c>
      <c r="L1186" s="22" t="e">
        <f>VLOOKUP($A1186, TAB_AMORTIZACAO_C[[DIAS_CORRIDOS]:[V_FUT_UTEIS]], L$5, FALSE)</f>
        <v>#N/A</v>
      </c>
    </row>
    <row r="1187" spans="1:12" hidden="1">
      <c r="A1187" s="19">
        <f t="shared" si="99"/>
        <v>1181</v>
      </c>
      <c r="B1187" s="20">
        <f t="shared" si="95"/>
        <v>0</v>
      </c>
      <c r="C1187" s="21">
        <f t="shared" si="96"/>
        <v>0</v>
      </c>
      <c r="D1187" s="22" t="e">
        <f>VLOOKUP($A1187, TAB_JUROS_U[[Q_DIAS_U_PARC_TIR]:[V_FUT_U_JURS CENARIO]], D$5, FALSE)</f>
        <v>#N/A</v>
      </c>
      <c r="E1187" s="22" t="e">
        <f>VLOOKUP($A1187,TAB_CORRECAO_U[[Q_DIAS_U_PARC_TIR]:[V_FUT_U_CORC-02]],E$5, FALSE)</f>
        <v>#N/A</v>
      </c>
      <c r="F1187" s="22" t="e">
        <f>VLOOKUP($A1187,TAB_AMORTIZACAO_U[[Q_DIAS_U_PARC_TIR]:[V_FUT_U_PCPL-02]], F$5, FALSE)</f>
        <v>#N/A</v>
      </c>
      <c r="H1187" s="20">
        <f t="shared" si="97"/>
        <v>0</v>
      </c>
      <c r="I1187" s="21">
        <f t="shared" si="98"/>
        <v>0</v>
      </c>
      <c r="J1187" s="22" t="e">
        <f>VLOOKUP($A1187, TAB_JUROS_C[[DIAS_CORRIDOS]:[V_FUT_UTEIS]], J$5, FALSE)</f>
        <v>#N/A</v>
      </c>
      <c r="K1187" s="22" t="e">
        <f>VLOOKUP($A1187, TAB_CORRECAO_C[[DIAS_CORRIDOS]:[V_FUT_UTEIS]],K$5, FALSE)</f>
        <v>#N/A</v>
      </c>
      <c r="L1187" s="22" t="e">
        <f>VLOOKUP($A1187, TAB_AMORTIZACAO_C[[DIAS_CORRIDOS]:[V_FUT_UTEIS]], L$5, FALSE)</f>
        <v>#N/A</v>
      </c>
    </row>
    <row r="1188" spans="1:12" hidden="1">
      <c r="A1188" s="19">
        <f t="shared" si="99"/>
        <v>1182</v>
      </c>
      <c r="B1188" s="20">
        <f t="shared" si="95"/>
        <v>0</v>
      </c>
      <c r="C1188" s="21">
        <f t="shared" si="96"/>
        <v>0</v>
      </c>
      <c r="D1188" s="22" t="e">
        <f>VLOOKUP($A1188, TAB_JUROS_U[[Q_DIAS_U_PARC_TIR]:[V_FUT_U_JURS CENARIO]], D$5, FALSE)</f>
        <v>#N/A</v>
      </c>
      <c r="E1188" s="22" t="e">
        <f>VLOOKUP($A1188,TAB_CORRECAO_U[[Q_DIAS_U_PARC_TIR]:[V_FUT_U_CORC-02]],E$5, FALSE)</f>
        <v>#N/A</v>
      </c>
      <c r="F1188" s="22" t="e">
        <f>VLOOKUP($A1188,TAB_AMORTIZACAO_U[[Q_DIAS_U_PARC_TIR]:[V_FUT_U_PCPL-02]], F$5, FALSE)</f>
        <v>#N/A</v>
      </c>
      <c r="H1188" s="20">
        <f t="shared" si="97"/>
        <v>0</v>
      </c>
      <c r="I1188" s="21">
        <f t="shared" si="98"/>
        <v>0</v>
      </c>
      <c r="J1188" s="22" t="e">
        <f>VLOOKUP($A1188, TAB_JUROS_C[[DIAS_CORRIDOS]:[V_FUT_UTEIS]], J$5, FALSE)</f>
        <v>#N/A</v>
      </c>
      <c r="K1188" s="22" t="e">
        <f>VLOOKUP($A1188, TAB_CORRECAO_C[[DIAS_CORRIDOS]:[V_FUT_UTEIS]],K$5, FALSE)</f>
        <v>#N/A</v>
      </c>
      <c r="L1188" s="22" t="e">
        <f>VLOOKUP($A1188, TAB_AMORTIZACAO_C[[DIAS_CORRIDOS]:[V_FUT_UTEIS]], L$5, FALSE)</f>
        <v>#N/A</v>
      </c>
    </row>
    <row r="1189" spans="1:12">
      <c r="A1189" s="19">
        <f t="shared" si="99"/>
        <v>1183</v>
      </c>
      <c r="B1189" s="20">
        <f t="shared" si="95"/>
        <v>724.35458181754905</v>
      </c>
      <c r="C1189" s="21">
        <f t="shared" si="96"/>
        <v>724.35458181754905</v>
      </c>
      <c r="D1189" s="22">
        <f>VLOOKUP($A1189, TAB_JUROS_U[[Q_DIAS_U_PARC_TIR]:[V_FUT_U_JURS CENARIO]], D$5, FALSE)</f>
        <v>53.769683607990366</v>
      </c>
      <c r="E1189" s="22">
        <f>VLOOKUP($A1189,TAB_CORRECAO_U[[Q_DIAS_U_PARC_TIR]:[V_FUT_U_CORC-02]],E$5, FALSE)</f>
        <v>321.88362841214609</v>
      </c>
      <c r="F1189" s="22">
        <f>VLOOKUP($A1189,TAB_AMORTIZACAO_U[[Q_DIAS_U_PARC_TIR]:[V_FUT_U_PCPL-02]], F$5, FALSE)</f>
        <v>348.70126979741258</v>
      </c>
      <c r="H1189" s="20">
        <f t="shared" si="97"/>
        <v>0</v>
      </c>
      <c r="I1189" s="21">
        <f t="shared" si="98"/>
        <v>0</v>
      </c>
      <c r="J1189" s="22" t="e">
        <f>VLOOKUP($A1189, TAB_JUROS_C[[DIAS_CORRIDOS]:[V_FUT_UTEIS]], J$5, FALSE)</f>
        <v>#N/A</v>
      </c>
      <c r="K1189" s="22" t="e">
        <f>VLOOKUP($A1189, TAB_CORRECAO_C[[DIAS_CORRIDOS]:[V_FUT_UTEIS]],K$5, FALSE)</f>
        <v>#N/A</v>
      </c>
      <c r="L1189" s="22" t="e">
        <f>VLOOKUP($A1189, TAB_AMORTIZACAO_C[[DIAS_CORRIDOS]:[V_FUT_UTEIS]], L$5, FALSE)</f>
        <v>#N/A</v>
      </c>
    </row>
    <row r="1190" spans="1:12" hidden="1">
      <c r="A1190" s="19">
        <f t="shared" si="99"/>
        <v>1184</v>
      </c>
      <c r="B1190" s="20">
        <f t="shared" si="95"/>
        <v>0</v>
      </c>
      <c r="C1190" s="21">
        <f t="shared" si="96"/>
        <v>0</v>
      </c>
      <c r="D1190" s="22" t="e">
        <f>VLOOKUP($A1190, TAB_JUROS_U[[Q_DIAS_U_PARC_TIR]:[V_FUT_U_JURS CENARIO]], D$5, FALSE)</f>
        <v>#N/A</v>
      </c>
      <c r="E1190" s="22" t="e">
        <f>VLOOKUP($A1190,TAB_CORRECAO_U[[Q_DIAS_U_PARC_TIR]:[V_FUT_U_CORC-02]],E$5, FALSE)</f>
        <v>#N/A</v>
      </c>
      <c r="F1190" s="22" t="e">
        <f>VLOOKUP($A1190,TAB_AMORTIZACAO_U[[Q_DIAS_U_PARC_TIR]:[V_FUT_U_PCPL-02]], F$5, FALSE)</f>
        <v>#N/A</v>
      </c>
      <c r="H1190" s="20">
        <f t="shared" si="97"/>
        <v>0</v>
      </c>
      <c r="I1190" s="21">
        <f t="shared" si="98"/>
        <v>0</v>
      </c>
      <c r="J1190" s="22" t="e">
        <f>VLOOKUP($A1190, TAB_JUROS_C[[DIAS_CORRIDOS]:[V_FUT_UTEIS]], J$5, FALSE)</f>
        <v>#N/A</v>
      </c>
      <c r="K1190" s="22" t="e">
        <f>VLOOKUP($A1190, TAB_CORRECAO_C[[DIAS_CORRIDOS]:[V_FUT_UTEIS]],K$5, FALSE)</f>
        <v>#N/A</v>
      </c>
      <c r="L1190" s="22" t="e">
        <f>VLOOKUP($A1190, TAB_AMORTIZACAO_C[[DIAS_CORRIDOS]:[V_FUT_UTEIS]], L$5, FALSE)</f>
        <v>#N/A</v>
      </c>
    </row>
    <row r="1191" spans="1:12" hidden="1">
      <c r="A1191" s="19">
        <f t="shared" si="99"/>
        <v>1185</v>
      </c>
      <c r="B1191" s="20">
        <f t="shared" si="95"/>
        <v>0</v>
      </c>
      <c r="C1191" s="21">
        <f t="shared" si="96"/>
        <v>0</v>
      </c>
      <c r="D1191" s="22" t="e">
        <f>VLOOKUP($A1191, TAB_JUROS_U[[Q_DIAS_U_PARC_TIR]:[V_FUT_U_JURS CENARIO]], D$5, FALSE)</f>
        <v>#N/A</v>
      </c>
      <c r="E1191" s="22" t="e">
        <f>VLOOKUP($A1191,TAB_CORRECAO_U[[Q_DIAS_U_PARC_TIR]:[V_FUT_U_CORC-02]],E$5, FALSE)</f>
        <v>#N/A</v>
      </c>
      <c r="F1191" s="22" t="e">
        <f>VLOOKUP($A1191,TAB_AMORTIZACAO_U[[Q_DIAS_U_PARC_TIR]:[V_FUT_U_PCPL-02]], F$5, FALSE)</f>
        <v>#N/A</v>
      </c>
      <c r="H1191" s="20">
        <f t="shared" si="97"/>
        <v>0</v>
      </c>
      <c r="I1191" s="21">
        <f t="shared" si="98"/>
        <v>0</v>
      </c>
      <c r="J1191" s="22" t="e">
        <f>VLOOKUP($A1191, TAB_JUROS_C[[DIAS_CORRIDOS]:[V_FUT_UTEIS]], J$5, FALSE)</f>
        <v>#N/A</v>
      </c>
      <c r="K1191" s="22" t="e">
        <f>VLOOKUP($A1191, TAB_CORRECAO_C[[DIAS_CORRIDOS]:[V_FUT_UTEIS]],K$5, FALSE)</f>
        <v>#N/A</v>
      </c>
      <c r="L1191" s="22" t="e">
        <f>VLOOKUP($A1191, TAB_AMORTIZACAO_C[[DIAS_CORRIDOS]:[V_FUT_UTEIS]], L$5, FALSE)</f>
        <v>#N/A</v>
      </c>
    </row>
    <row r="1192" spans="1:12" hidden="1">
      <c r="A1192" s="19">
        <f t="shared" si="99"/>
        <v>1186</v>
      </c>
      <c r="B1192" s="20">
        <f t="shared" si="95"/>
        <v>0</v>
      </c>
      <c r="C1192" s="21">
        <f t="shared" si="96"/>
        <v>0</v>
      </c>
      <c r="D1192" s="22" t="e">
        <f>VLOOKUP($A1192, TAB_JUROS_U[[Q_DIAS_U_PARC_TIR]:[V_FUT_U_JURS CENARIO]], D$5, FALSE)</f>
        <v>#N/A</v>
      </c>
      <c r="E1192" s="22" t="e">
        <f>VLOOKUP($A1192,TAB_CORRECAO_U[[Q_DIAS_U_PARC_TIR]:[V_FUT_U_CORC-02]],E$5, FALSE)</f>
        <v>#N/A</v>
      </c>
      <c r="F1192" s="22" t="e">
        <f>VLOOKUP($A1192,TAB_AMORTIZACAO_U[[Q_DIAS_U_PARC_TIR]:[V_FUT_U_PCPL-02]], F$5, FALSE)</f>
        <v>#N/A</v>
      </c>
      <c r="H1192" s="20">
        <f t="shared" si="97"/>
        <v>0</v>
      </c>
      <c r="I1192" s="21">
        <f t="shared" si="98"/>
        <v>0</v>
      </c>
      <c r="J1192" s="22" t="e">
        <f>VLOOKUP($A1192, TAB_JUROS_C[[DIAS_CORRIDOS]:[V_FUT_UTEIS]], J$5, FALSE)</f>
        <v>#N/A</v>
      </c>
      <c r="K1192" s="22" t="e">
        <f>VLOOKUP($A1192, TAB_CORRECAO_C[[DIAS_CORRIDOS]:[V_FUT_UTEIS]],K$5, FALSE)</f>
        <v>#N/A</v>
      </c>
      <c r="L1192" s="22" t="e">
        <f>VLOOKUP($A1192, TAB_AMORTIZACAO_C[[DIAS_CORRIDOS]:[V_FUT_UTEIS]], L$5, FALSE)</f>
        <v>#N/A</v>
      </c>
    </row>
    <row r="1193" spans="1:12" hidden="1">
      <c r="A1193" s="19">
        <f t="shared" si="99"/>
        <v>1187</v>
      </c>
      <c r="B1193" s="20">
        <f t="shared" si="95"/>
        <v>0</v>
      </c>
      <c r="C1193" s="21">
        <f t="shared" si="96"/>
        <v>0</v>
      </c>
      <c r="D1193" s="22" t="e">
        <f>VLOOKUP($A1193, TAB_JUROS_U[[Q_DIAS_U_PARC_TIR]:[V_FUT_U_JURS CENARIO]], D$5, FALSE)</f>
        <v>#N/A</v>
      </c>
      <c r="E1193" s="22" t="e">
        <f>VLOOKUP($A1193,TAB_CORRECAO_U[[Q_DIAS_U_PARC_TIR]:[V_FUT_U_CORC-02]],E$5, FALSE)</f>
        <v>#N/A</v>
      </c>
      <c r="F1193" s="22" t="e">
        <f>VLOOKUP($A1193,TAB_AMORTIZACAO_U[[Q_DIAS_U_PARC_TIR]:[V_FUT_U_PCPL-02]], F$5, FALSE)</f>
        <v>#N/A</v>
      </c>
      <c r="H1193" s="20">
        <f t="shared" si="97"/>
        <v>0</v>
      </c>
      <c r="I1193" s="21">
        <f t="shared" si="98"/>
        <v>0</v>
      </c>
      <c r="J1193" s="22" t="e">
        <f>VLOOKUP($A1193, TAB_JUROS_C[[DIAS_CORRIDOS]:[V_FUT_UTEIS]], J$5, FALSE)</f>
        <v>#N/A</v>
      </c>
      <c r="K1193" s="22" t="e">
        <f>VLOOKUP($A1193, TAB_CORRECAO_C[[DIAS_CORRIDOS]:[V_FUT_UTEIS]],K$5, FALSE)</f>
        <v>#N/A</v>
      </c>
      <c r="L1193" s="22" t="e">
        <f>VLOOKUP($A1193, TAB_AMORTIZACAO_C[[DIAS_CORRIDOS]:[V_FUT_UTEIS]], L$5, FALSE)</f>
        <v>#N/A</v>
      </c>
    </row>
    <row r="1194" spans="1:12" hidden="1">
      <c r="A1194" s="19">
        <f t="shared" si="99"/>
        <v>1188</v>
      </c>
      <c r="B1194" s="20">
        <f t="shared" si="95"/>
        <v>0</v>
      </c>
      <c r="C1194" s="21">
        <f t="shared" si="96"/>
        <v>0</v>
      </c>
      <c r="D1194" s="22" t="e">
        <f>VLOOKUP($A1194, TAB_JUROS_U[[Q_DIAS_U_PARC_TIR]:[V_FUT_U_JURS CENARIO]], D$5, FALSE)</f>
        <v>#N/A</v>
      </c>
      <c r="E1194" s="22" t="e">
        <f>VLOOKUP($A1194,TAB_CORRECAO_U[[Q_DIAS_U_PARC_TIR]:[V_FUT_U_CORC-02]],E$5, FALSE)</f>
        <v>#N/A</v>
      </c>
      <c r="F1194" s="22" t="e">
        <f>VLOOKUP($A1194,TAB_AMORTIZACAO_U[[Q_DIAS_U_PARC_TIR]:[V_FUT_U_PCPL-02]], F$5, FALSE)</f>
        <v>#N/A</v>
      </c>
      <c r="H1194" s="20">
        <f t="shared" si="97"/>
        <v>0</v>
      </c>
      <c r="I1194" s="21">
        <f t="shared" si="98"/>
        <v>0</v>
      </c>
      <c r="J1194" s="22" t="e">
        <f>VLOOKUP($A1194, TAB_JUROS_C[[DIAS_CORRIDOS]:[V_FUT_UTEIS]], J$5, FALSE)</f>
        <v>#N/A</v>
      </c>
      <c r="K1194" s="22" t="e">
        <f>VLOOKUP($A1194, TAB_CORRECAO_C[[DIAS_CORRIDOS]:[V_FUT_UTEIS]],K$5, FALSE)</f>
        <v>#N/A</v>
      </c>
      <c r="L1194" s="22" t="e">
        <f>VLOOKUP($A1194, TAB_AMORTIZACAO_C[[DIAS_CORRIDOS]:[V_FUT_UTEIS]], L$5, FALSE)</f>
        <v>#N/A</v>
      </c>
    </row>
    <row r="1195" spans="1:12" hidden="1">
      <c r="A1195" s="19">
        <f t="shared" si="99"/>
        <v>1189</v>
      </c>
      <c r="B1195" s="20">
        <f t="shared" si="95"/>
        <v>0</v>
      </c>
      <c r="C1195" s="21">
        <f t="shared" si="96"/>
        <v>0</v>
      </c>
      <c r="D1195" s="22" t="e">
        <f>VLOOKUP($A1195, TAB_JUROS_U[[Q_DIAS_U_PARC_TIR]:[V_FUT_U_JURS CENARIO]], D$5, FALSE)</f>
        <v>#N/A</v>
      </c>
      <c r="E1195" s="22" t="e">
        <f>VLOOKUP($A1195,TAB_CORRECAO_U[[Q_DIAS_U_PARC_TIR]:[V_FUT_U_CORC-02]],E$5, FALSE)</f>
        <v>#N/A</v>
      </c>
      <c r="F1195" s="22" t="e">
        <f>VLOOKUP($A1195,TAB_AMORTIZACAO_U[[Q_DIAS_U_PARC_TIR]:[V_FUT_U_PCPL-02]], F$5, FALSE)</f>
        <v>#N/A</v>
      </c>
      <c r="H1195" s="20">
        <f t="shared" si="97"/>
        <v>0</v>
      </c>
      <c r="I1195" s="21">
        <f t="shared" si="98"/>
        <v>0</v>
      </c>
      <c r="J1195" s="22" t="e">
        <f>VLOOKUP($A1195, TAB_JUROS_C[[DIAS_CORRIDOS]:[V_FUT_UTEIS]], J$5, FALSE)</f>
        <v>#N/A</v>
      </c>
      <c r="K1195" s="22" t="e">
        <f>VLOOKUP($A1195, TAB_CORRECAO_C[[DIAS_CORRIDOS]:[V_FUT_UTEIS]],K$5, FALSE)</f>
        <v>#N/A</v>
      </c>
      <c r="L1195" s="22" t="e">
        <f>VLOOKUP($A1195, TAB_AMORTIZACAO_C[[DIAS_CORRIDOS]:[V_FUT_UTEIS]], L$5, FALSE)</f>
        <v>#N/A</v>
      </c>
    </row>
    <row r="1196" spans="1:12" hidden="1">
      <c r="A1196" s="19">
        <f t="shared" si="99"/>
        <v>1190</v>
      </c>
      <c r="B1196" s="20">
        <f t="shared" si="95"/>
        <v>0</v>
      </c>
      <c r="C1196" s="21">
        <f t="shared" si="96"/>
        <v>0</v>
      </c>
      <c r="D1196" s="22" t="e">
        <f>VLOOKUP($A1196, TAB_JUROS_U[[Q_DIAS_U_PARC_TIR]:[V_FUT_U_JURS CENARIO]], D$5, FALSE)</f>
        <v>#N/A</v>
      </c>
      <c r="E1196" s="22" t="e">
        <f>VLOOKUP($A1196,TAB_CORRECAO_U[[Q_DIAS_U_PARC_TIR]:[V_FUT_U_CORC-02]],E$5, FALSE)</f>
        <v>#N/A</v>
      </c>
      <c r="F1196" s="22" t="e">
        <f>VLOOKUP($A1196,TAB_AMORTIZACAO_U[[Q_DIAS_U_PARC_TIR]:[V_FUT_U_PCPL-02]], F$5, FALSE)</f>
        <v>#N/A</v>
      </c>
      <c r="H1196" s="20">
        <f t="shared" si="97"/>
        <v>0</v>
      </c>
      <c r="I1196" s="21">
        <f t="shared" si="98"/>
        <v>0</v>
      </c>
      <c r="J1196" s="22" t="e">
        <f>VLOOKUP($A1196, TAB_JUROS_C[[DIAS_CORRIDOS]:[V_FUT_UTEIS]], J$5, FALSE)</f>
        <v>#N/A</v>
      </c>
      <c r="K1196" s="22" t="e">
        <f>VLOOKUP($A1196, TAB_CORRECAO_C[[DIAS_CORRIDOS]:[V_FUT_UTEIS]],K$5, FALSE)</f>
        <v>#N/A</v>
      </c>
      <c r="L1196" s="22" t="e">
        <f>VLOOKUP($A1196, TAB_AMORTIZACAO_C[[DIAS_CORRIDOS]:[V_FUT_UTEIS]], L$5, FALSE)</f>
        <v>#N/A</v>
      </c>
    </row>
    <row r="1197" spans="1:12" hidden="1">
      <c r="A1197" s="19">
        <f t="shared" si="99"/>
        <v>1191</v>
      </c>
      <c r="B1197" s="20">
        <f t="shared" si="95"/>
        <v>0</v>
      </c>
      <c r="C1197" s="21">
        <f t="shared" si="96"/>
        <v>0</v>
      </c>
      <c r="D1197" s="22" t="e">
        <f>VLOOKUP($A1197, TAB_JUROS_U[[Q_DIAS_U_PARC_TIR]:[V_FUT_U_JURS CENARIO]], D$5, FALSE)</f>
        <v>#N/A</v>
      </c>
      <c r="E1197" s="22" t="e">
        <f>VLOOKUP($A1197,TAB_CORRECAO_U[[Q_DIAS_U_PARC_TIR]:[V_FUT_U_CORC-02]],E$5, FALSE)</f>
        <v>#N/A</v>
      </c>
      <c r="F1197" s="22" t="e">
        <f>VLOOKUP($A1197,TAB_AMORTIZACAO_U[[Q_DIAS_U_PARC_TIR]:[V_FUT_U_PCPL-02]], F$5, FALSE)</f>
        <v>#N/A</v>
      </c>
      <c r="H1197" s="20">
        <f t="shared" si="97"/>
        <v>0</v>
      </c>
      <c r="I1197" s="21">
        <f t="shared" si="98"/>
        <v>0</v>
      </c>
      <c r="J1197" s="22" t="e">
        <f>VLOOKUP($A1197, TAB_JUROS_C[[DIAS_CORRIDOS]:[V_FUT_UTEIS]], J$5, FALSE)</f>
        <v>#N/A</v>
      </c>
      <c r="K1197" s="22" t="e">
        <f>VLOOKUP($A1197, TAB_CORRECAO_C[[DIAS_CORRIDOS]:[V_FUT_UTEIS]],K$5, FALSE)</f>
        <v>#N/A</v>
      </c>
      <c r="L1197" s="22" t="e">
        <f>VLOOKUP($A1197, TAB_AMORTIZACAO_C[[DIAS_CORRIDOS]:[V_FUT_UTEIS]], L$5, FALSE)</f>
        <v>#N/A</v>
      </c>
    </row>
    <row r="1198" spans="1:12" hidden="1">
      <c r="A1198" s="19">
        <f t="shared" si="99"/>
        <v>1192</v>
      </c>
      <c r="B1198" s="20">
        <f t="shared" si="95"/>
        <v>0</v>
      </c>
      <c r="C1198" s="21">
        <f t="shared" si="96"/>
        <v>0</v>
      </c>
      <c r="D1198" s="22" t="e">
        <f>VLOOKUP($A1198, TAB_JUROS_U[[Q_DIAS_U_PARC_TIR]:[V_FUT_U_JURS CENARIO]], D$5, FALSE)</f>
        <v>#N/A</v>
      </c>
      <c r="E1198" s="22" t="e">
        <f>VLOOKUP($A1198,TAB_CORRECAO_U[[Q_DIAS_U_PARC_TIR]:[V_FUT_U_CORC-02]],E$5, FALSE)</f>
        <v>#N/A</v>
      </c>
      <c r="F1198" s="22" t="e">
        <f>VLOOKUP($A1198,TAB_AMORTIZACAO_U[[Q_DIAS_U_PARC_TIR]:[V_FUT_U_PCPL-02]], F$5, FALSE)</f>
        <v>#N/A</v>
      </c>
      <c r="H1198" s="20">
        <f t="shared" si="97"/>
        <v>0</v>
      </c>
      <c r="I1198" s="21">
        <f t="shared" si="98"/>
        <v>0</v>
      </c>
      <c r="J1198" s="22" t="e">
        <f>VLOOKUP($A1198, TAB_JUROS_C[[DIAS_CORRIDOS]:[V_FUT_UTEIS]], J$5, FALSE)</f>
        <v>#N/A</v>
      </c>
      <c r="K1198" s="22" t="e">
        <f>VLOOKUP($A1198, TAB_CORRECAO_C[[DIAS_CORRIDOS]:[V_FUT_UTEIS]],K$5, FALSE)</f>
        <v>#N/A</v>
      </c>
      <c r="L1198" s="22" t="e">
        <f>VLOOKUP($A1198, TAB_AMORTIZACAO_C[[DIAS_CORRIDOS]:[V_FUT_UTEIS]], L$5, FALSE)</f>
        <v>#N/A</v>
      </c>
    </row>
    <row r="1199" spans="1:12" hidden="1">
      <c r="A1199" s="19">
        <f t="shared" si="99"/>
        <v>1193</v>
      </c>
      <c r="B1199" s="20">
        <f t="shared" si="95"/>
        <v>0</v>
      </c>
      <c r="C1199" s="21">
        <f t="shared" si="96"/>
        <v>0</v>
      </c>
      <c r="D1199" s="22" t="e">
        <f>VLOOKUP($A1199, TAB_JUROS_U[[Q_DIAS_U_PARC_TIR]:[V_FUT_U_JURS CENARIO]], D$5, FALSE)</f>
        <v>#N/A</v>
      </c>
      <c r="E1199" s="22" t="e">
        <f>VLOOKUP($A1199,TAB_CORRECAO_U[[Q_DIAS_U_PARC_TIR]:[V_FUT_U_CORC-02]],E$5, FALSE)</f>
        <v>#N/A</v>
      </c>
      <c r="F1199" s="22" t="e">
        <f>VLOOKUP($A1199,TAB_AMORTIZACAO_U[[Q_DIAS_U_PARC_TIR]:[V_FUT_U_PCPL-02]], F$5, FALSE)</f>
        <v>#N/A</v>
      </c>
      <c r="H1199" s="20">
        <f t="shared" si="97"/>
        <v>0</v>
      </c>
      <c r="I1199" s="21">
        <f t="shared" si="98"/>
        <v>0</v>
      </c>
      <c r="J1199" s="22" t="e">
        <f>VLOOKUP($A1199, TAB_JUROS_C[[DIAS_CORRIDOS]:[V_FUT_UTEIS]], J$5, FALSE)</f>
        <v>#N/A</v>
      </c>
      <c r="K1199" s="22" t="e">
        <f>VLOOKUP($A1199, TAB_CORRECAO_C[[DIAS_CORRIDOS]:[V_FUT_UTEIS]],K$5, FALSE)</f>
        <v>#N/A</v>
      </c>
      <c r="L1199" s="22" t="e">
        <f>VLOOKUP($A1199, TAB_AMORTIZACAO_C[[DIAS_CORRIDOS]:[V_FUT_UTEIS]], L$5, FALSE)</f>
        <v>#N/A</v>
      </c>
    </row>
    <row r="1200" spans="1:12" hidden="1">
      <c r="A1200" s="19">
        <f t="shared" si="99"/>
        <v>1194</v>
      </c>
      <c r="B1200" s="20">
        <f t="shared" si="95"/>
        <v>0</v>
      </c>
      <c r="C1200" s="21">
        <f t="shared" si="96"/>
        <v>0</v>
      </c>
      <c r="D1200" s="22" t="e">
        <f>VLOOKUP($A1200, TAB_JUROS_U[[Q_DIAS_U_PARC_TIR]:[V_FUT_U_JURS CENARIO]], D$5, FALSE)</f>
        <v>#N/A</v>
      </c>
      <c r="E1200" s="22" t="e">
        <f>VLOOKUP($A1200,TAB_CORRECAO_U[[Q_DIAS_U_PARC_TIR]:[V_FUT_U_CORC-02]],E$5, FALSE)</f>
        <v>#N/A</v>
      </c>
      <c r="F1200" s="22" t="e">
        <f>VLOOKUP($A1200,TAB_AMORTIZACAO_U[[Q_DIAS_U_PARC_TIR]:[V_FUT_U_PCPL-02]], F$5, FALSE)</f>
        <v>#N/A</v>
      </c>
      <c r="H1200" s="20">
        <f t="shared" si="97"/>
        <v>0</v>
      </c>
      <c r="I1200" s="21">
        <f t="shared" si="98"/>
        <v>0</v>
      </c>
      <c r="J1200" s="22" t="e">
        <f>VLOOKUP($A1200, TAB_JUROS_C[[DIAS_CORRIDOS]:[V_FUT_UTEIS]], J$5, FALSE)</f>
        <v>#N/A</v>
      </c>
      <c r="K1200" s="22" t="e">
        <f>VLOOKUP($A1200, TAB_CORRECAO_C[[DIAS_CORRIDOS]:[V_FUT_UTEIS]],K$5, FALSE)</f>
        <v>#N/A</v>
      </c>
      <c r="L1200" s="22" t="e">
        <f>VLOOKUP($A1200, TAB_AMORTIZACAO_C[[DIAS_CORRIDOS]:[V_FUT_UTEIS]], L$5, FALSE)</f>
        <v>#N/A</v>
      </c>
    </row>
    <row r="1201" spans="1:12" hidden="1">
      <c r="A1201" s="19">
        <f t="shared" si="99"/>
        <v>1195</v>
      </c>
      <c r="B1201" s="20">
        <f t="shared" si="95"/>
        <v>0</v>
      </c>
      <c r="C1201" s="21">
        <f t="shared" si="96"/>
        <v>0</v>
      </c>
      <c r="D1201" s="22" t="e">
        <f>VLOOKUP($A1201, TAB_JUROS_U[[Q_DIAS_U_PARC_TIR]:[V_FUT_U_JURS CENARIO]], D$5, FALSE)</f>
        <v>#N/A</v>
      </c>
      <c r="E1201" s="22" t="e">
        <f>VLOOKUP($A1201,TAB_CORRECAO_U[[Q_DIAS_U_PARC_TIR]:[V_FUT_U_CORC-02]],E$5, FALSE)</f>
        <v>#N/A</v>
      </c>
      <c r="F1201" s="22" t="e">
        <f>VLOOKUP($A1201,TAB_AMORTIZACAO_U[[Q_DIAS_U_PARC_TIR]:[V_FUT_U_PCPL-02]], F$5, FALSE)</f>
        <v>#N/A</v>
      </c>
      <c r="H1201" s="20">
        <f t="shared" si="97"/>
        <v>0</v>
      </c>
      <c r="I1201" s="21">
        <f t="shared" si="98"/>
        <v>0</v>
      </c>
      <c r="J1201" s="22" t="e">
        <f>VLOOKUP($A1201, TAB_JUROS_C[[DIAS_CORRIDOS]:[V_FUT_UTEIS]], J$5, FALSE)</f>
        <v>#N/A</v>
      </c>
      <c r="K1201" s="22" t="e">
        <f>VLOOKUP($A1201, TAB_CORRECAO_C[[DIAS_CORRIDOS]:[V_FUT_UTEIS]],K$5, FALSE)</f>
        <v>#N/A</v>
      </c>
      <c r="L1201" s="22" t="e">
        <f>VLOOKUP($A1201, TAB_AMORTIZACAO_C[[DIAS_CORRIDOS]:[V_FUT_UTEIS]], L$5, FALSE)</f>
        <v>#N/A</v>
      </c>
    </row>
    <row r="1202" spans="1:12" hidden="1">
      <c r="A1202" s="19">
        <f t="shared" si="99"/>
        <v>1196</v>
      </c>
      <c r="B1202" s="20">
        <f t="shared" si="95"/>
        <v>0</v>
      </c>
      <c r="C1202" s="21">
        <f t="shared" si="96"/>
        <v>0</v>
      </c>
      <c r="D1202" s="22" t="e">
        <f>VLOOKUP($A1202, TAB_JUROS_U[[Q_DIAS_U_PARC_TIR]:[V_FUT_U_JURS CENARIO]], D$5, FALSE)</f>
        <v>#N/A</v>
      </c>
      <c r="E1202" s="22" t="e">
        <f>VLOOKUP($A1202,TAB_CORRECAO_U[[Q_DIAS_U_PARC_TIR]:[V_FUT_U_CORC-02]],E$5, FALSE)</f>
        <v>#N/A</v>
      </c>
      <c r="F1202" s="22" t="e">
        <f>VLOOKUP($A1202,TAB_AMORTIZACAO_U[[Q_DIAS_U_PARC_TIR]:[V_FUT_U_PCPL-02]], F$5, FALSE)</f>
        <v>#N/A</v>
      </c>
      <c r="H1202" s="20">
        <f t="shared" si="97"/>
        <v>0</v>
      </c>
      <c r="I1202" s="21">
        <f t="shared" si="98"/>
        <v>0</v>
      </c>
      <c r="J1202" s="22" t="e">
        <f>VLOOKUP($A1202, TAB_JUROS_C[[DIAS_CORRIDOS]:[V_FUT_UTEIS]], J$5, FALSE)</f>
        <v>#N/A</v>
      </c>
      <c r="K1202" s="22" t="e">
        <f>VLOOKUP($A1202, TAB_CORRECAO_C[[DIAS_CORRIDOS]:[V_FUT_UTEIS]],K$5, FALSE)</f>
        <v>#N/A</v>
      </c>
      <c r="L1202" s="22" t="e">
        <f>VLOOKUP($A1202, TAB_AMORTIZACAO_C[[DIAS_CORRIDOS]:[V_FUT_UTEIS]], L$5, FALSE)</f>
        <v>#N/A</v>
      </c>
    </row>
    <row r="1203" spans="1:12" hidden="1">
      <c r="A1203" s="19">
        <f t="shared" si="99"/>
        <v>1197</v>
      </c>
      <c r="B1203" s="20">
        <f t="shared" si="95"/>
        <v>0</v>
      </c>
      <c r="C1203" s="21">
        <f t="shared" si="96"/>
        <v>0</v>
      </c>
      <c r="D1203" s="22" t="e">
        <f>VLOOKUP($A1203, TAB_JUROS_U[[Q_DIAS_U_PARC_TIR]:[V_FUT_U_JURS CENARIO]], D$5, FALSE)</f>
        <v>#N/A</v>
      </c>
      <c r="E1203" s="22" t="e">
        <f>VLOOKUP($A1203,TAB_CORRECAO_U[[Q_DIAS_U_PARC_TIR]:[V_FUT_U_CORC-02]],E$5, FALSE)</f>
        <v>#N/A</v>
      </c>
      <c r="F1203" s="22" t="e">
        <f>VLOOKUP($A1203,TAB_AMORTIZACAO_U[[Q_DIAS_U_PARC_TIR]:[V_FUT_U_PCPL-02]], F$5, FALSE)</f>
        <v>#N/A</v>
      </c>
      <c r="H1203" s="20">
        <f t="shared" si="97"/>
        <v>1032.1479687319929</v>
      </c>
      <c r="I1203" s="21">
        <f t="shared" si="98"/>
        <v>1032.1479687319929</v>
      </c>
      <c r="J1203" s="22">
        <f>VLOOKUP($A1203, TAB_JUROS_C[[DIAS_CORRIDOS]:[V_FUT_UTEIS]], J$5, FALSE)</f>
        <v>74.920960089565597</v>
      </c>
      <c r="K1203" s="22">
        <f>VLOOKUP($A1203, TAB_CORRECAO_C[[DIAS_CORRIDOS]:[V_FUT_UTEIS]],K$5, FALSE)</f>
        <v>460.94433905658377</v>
      </c>
      <c r="L1203" s="22">
        <f>VLOOKUP($A1203, TAB_AMORTIZACAO_C[[DIAS_CORRIDOS]:[V_FUT_UTEIS]], L$5, FALSE)</f>
        <v>496.28266958584345</v>
      </c>
    </row>
    <row r="1204" spans="1:12" hidden="1">
      <c r="A1204" s="19">
        <f t="shared" si="99"/>
        <v>1198</v>
      </c>
      <c r="B1204" s="20">
        <f t="shared" si="95"/>
        <v>0</v>
      </c>
      <c r="C1204" s="21">
        <f t="shared" si="96"/>
        <v>0</v>
      </c>
      <c r="D1204" s="22" t="e">
        <f>VLOOKUP($A1204, TAB_JUROS_U[[Q_DIAS_U_PARC_TIR]:[V_FUT_U_JURS CENARIO]], D$5, FALSE)</f>
        <v>#N/A</v>
      </c>
      <c r="E1204" s="22" t="e">
        <f>VLOOKUP($A1204,TAB_CORRECAO_U[[Q_DIAS_U_PARC_TIR]:[V_FUT_U_CORC-02]],E$5, FALSE)</f>
        <v>#N/A</v>
      </c>
      <c r="F1204" s="22" t="e">
        <f>VLOOKUP($A1204,TAB_AMORTIZACAO_U[[Q_DIAS_U_PARC_TIR]:[V_FUT_U_PCPL-02]], F$5, FALSE)</f>
        <v>#N/A</v>
      </c>
      <c r="H1204" s="20">
        <f t="shared" si="97"/>
        <v>0</v>
      </c>
      <c r="I1204" s="21">
        <f t="shared" si="98"/>
        <v>0</v>
      </c>
      <c r="J1204" s="22" t="e">
        <f>VLOOKUP($A1204, TAB_JUROS_C[[DIAS_CORRIDOS]:[V_FUT_UTEIS]], J$5, FALSE)</f>
        <v>#N/A</v>
      </c>
      <c r="K1204" s="22" t="e">
        <f>VLOOKUP($A1204, TAB_CORRECAO_C[[DIAS_CORRIDOS]:[V_FUT_UTEIS]],K$5, FALSE)</f>
        <v>#N/A</v>
      </c>
      <c r="L1204" s="22" t="e">
        <f>VLOOKUP($A1204, TAB_AMORTIZACAO_C[[DIAS_CORRIDOS]:[V_FUT_UTEIS]], L$5, FALSE)</f>
        <v>#N/A</v>
      </c>
    </row>
    <row r="1205" spans="1:12" hidden="1">
      <c r="A1205" s="19">
        <f t="shared" si="99"/>
        <v>1199</v>
      </c>
      <c r="B1205" s="20">
        <f t="shared" si="95"/>
        <v>0</v>
      </c>
      <c r="C1205" s="21">
        <f t="shared" si="96"/>
        <v>0</v>
      </c>
      <c r="D1205" s="22" t="e">
        <f>VLOOKUP($A1205, TAB_JUROS_U[[Q_DIAS_U_PARC_TIR]:[V_FUT_U_JURS CENARIO]], D$5, FALSE)</f>
        <v>#N/A</v>
      </c>
      <c r="E1205" s="22" t="e">
        <f>VLOOKUP($A1205,TAB_CORRECAO_U[[Q_DIAS_U_PARC_TIR]:[V_FUT_U_CORC-02]],E$5, FALSE)</f>
        <v>#N/A</v>
      </c>
      <c r="F1205" s="22" t="e">
        <f>VLOOKUP($A1205,TAB_AMORTIZACAO_U[[Q_DIAS_U_PARC_TIR]:[V_FUT_U_PCPL-02]], F$5, FALSE)</f>
        <v>#N/A</v>
      </c>
      <c r="H1205" s="20">
        <f t="shared" si="97"/>
        <v>0</v>
      </c>
      <c r="I1205" s="21">
        <f t="shared" si="98"/>
        <v>0</v>
      </c>
      <c r="J1205" s="22" t="e">
        <f>VLOOKUP($A1205, TAB_JUROS_C[[DIAS_CORRIDOS]:[V_FUT_UTEIS]], J$5, FALSE)</f>
        <v>#N/A</v>
      </c>
      <c r="K1205" s="22" t="e">
        <f>VLOOKUP($A1205, TAB_CORRECAO_C[[DIAS_CORRIDOS]:[V_FUT_UTEIS]],K$5, FALSE)</f>
        <v>#N/A</v>
      </c>
      <c r="L1205" s="22" t="e">
        <f>VLOOKUP($A1205, TAB_AMORTIZACAO_C[[DIAS_CORRIDOS]:[V_FUT_UTEIS]], L$5, FALSE)</f>
        <v>#N/A</v>
      </c>
    </row>
    <row r="1206" spans="1:12" hidden="1">
      <c r="A1206" s="19">
        <f t="shared" si="99"/>
        <v>1200</v>
      </c>
      <c r="B1206" s="20">
        <f t="shared" si="95"/>
        <v>0</v>
      </c>
      <c r="C1206" s="21">
        <f t="shared" si="96"/>
        <v>0</v>
      </c>
      <c r="D1206" s="22" t="e">
        <f>VLOOKUP($A1206, TAB_JUROS_U[[Q_DIAS_U_PARC_TIR]:[V_FUT_U_JURS CENARIO]], D$5, FALSE)</f>
        <v>#N/A</v>
      </c>
      <c r="E1206" s="22" t="e">
        <f>VLOOKUP($A1206,TAB_CORRECAO_U[[Q_DIAS_U_PARC_TIR]:[V_FUT_U_CORC-02]],E$5, FALSE)</f>
        <v>#N/A</v>
      </c>
      <c r="F1206" s="22" t="e">
        <f>VLOOKUP($A1206,TAB_AMORTIZACAO_U[[Q_DIAS_U_PARC_TIR]:[V_FUT_U_PCPL-02]], F$5, FALSE)</f>
        <v>#N/A</v>
      </c>
      <c r="H1206" s="20">
        <f t="shared" si="97"/>
        <v>0</v>
      </c>
      <c r="I1206" s="21">
        <f t="shared" si="98"/>
        <v>0</v>
      </c>
      <c r="J1206" s="22" t="e">
        <f>VLOOKUP($A1206, TAB_JUROS_C[[DIAS_CORRIDOS]:[V_FUT_UTEIS]], J$5, FALSE)</f>
        <v>#N/A</v>
      </c>
      <c r="K1206" s="22" t="e">
        <f>VLOOKUP($A1206, TAB_CORRECAO_C[[DIAS_CORRIDOS]:[V_FUT_UTEIS]],K$5, FALSE)</f>
        <v>#N/A</v>
      </c>
      <c r="L1206" s="22" t="e">
        <f>VLOOKUP($A1206, TAB_AMORTIZACAO_C[[DIAS_CORRIDOS]:[V_FUT_UTEIS]], L$5, FALSE)</f>
        <v>#N/A</v>
      </c>
    </row>
    <row r="1207" spans="1:12" hidden="1">
      <c r="A1207" s="19">
        <f t="shared" si="99"/>
        <v>1201</v>
      </c>
      <c r="B1207" s="20">
        <f t="shared" si="95"/>
        <v>0</v>
      </c>
      <c r="C1207" s="21">
        <f t="shared" si="96"/>
        <v>0</v>
      </c>
      <c r="D1207" s="22" t="e">
        <f>VLOOKUP($A1207, TAB_JUROS_U[[Q_DIAS_U_PARC_TIR]:[V_FUT_U_JURS CENARIO]], D$5, FALSE)</f>
        <v>#N/A</v>
      </c>
      <c r="E1207" s="22" t="e">
        <f>VLOOKUP($A1207,TAB_CORRECAO_U[[Q_DIAS_U_PARC_TIR]:[V_FUT_U_CORC-02]],E$5, FALSE)</f>
        <v>#N/A</v>
      </c>
      <c r="F1207" s="22" t="e">
        <f>VLOOKUP($A1207,TAB_AMORTIZACAO_U[[Q_DIAS_U_PARC_TIR]:[V_FUT_U_PCPL-02]], F$5, FALSE)</f>
        <v>#N/A</v>
      </c>
      <c r="H1207" s="20">
        <f t="shared" si="97"/>
        <v>0</v>
      </c>
      <c r="I1207" s="21">
        <f t="shared" si="98"/>
        <v>0</v>
      </c>
      <c r="J1207" s="22" t="e">
        <f>VLOOKUP($A1207, TAB_JUROS_C[[DIAS_CORRIDOS]:[V_FUT_UTEIS]], J$5, FALSE)</f>
        <v>#N/A</v>
      </c>
      <c r="K1207" s="22" t="e">
        <f>VLOOKUP($A1207, TAB_CORRECAO_C[[DIAS_CORRIDOS]:[V_FUT_UTEIS]],K$5, FALSE)</f>
        <v>#N/A</v>
      </c>
      <c r="L1207" s="22" t="e">
        <f>VLOOKUP($A1207, TAB_AMORTIZACAO_C[[DIAS_CORRIDOS]:[V_FUT_UTEIS]], L$5, FALSE)</f>
        <v>#N/A</v>
      </c>
    </row>
    <row r="1208" spans="1:12" hidden="1">
      <c r="A1208" s="19">
        <f t="shared" si="99"/>
        <v>1202</v>
      </c>
      <c r="B1208" s="20">
        <f t="shared" si="95"/>
        <v>0</v>
      </c>
      <c r="C1208" s="21">
        <f t="shared" si="96"/>
        <v>0</v>
      </c>
      <c r="D1208" s="22" t="e">
        <f>VLOOKUP($A1208, TAB_JUROS_U[[Q_DIAS_U_PARC_TIR]:[V_FUT_U_JURS CENARIO]], D$5, FALSE)</f>
        <v>#N/A</v>
      </c>
      <c r="E1208" s="22" t="e">
        <f>VLOOKUP($A1208,TAB_CORRECAO_U[[Q_DIAS_U_PARC_TIR]:[V_FUT_U_CORC-02]],E$5, FALSE)</f>
        <v>#N/A</v>
      </c>
      <c r="F1208" s="22" t="e">
        <f>VLOOKUP($A1208,TAB_AMORTIZACAO_U[[Q_DIAS_U_PARC_TIR]:[V_FUT_U_PCPL-02]], F$5, FALSE)</f>
        <v>#N/A</v>
      </c>
      <c r="H1208" s="20">
        <f t="shared" si="97"/>
        <v>0</v>
      </c>
      <c r="I1208" s="21">
        <f t="shared" si="98"/>
        <v>0</v>
      </c>
      <c r="J1208" s="22" t="e">
        <f>VLOOKUP($A1208, TAB_JUROS_C[[DIAS_CORRIDOS]:[V_FUT_UTEIS]], J$5, FALSE)</f>
        <v>#N/A</v>
      </c>
      <c r="K1208" s="22" t="e">
        <f>VLOOKUP($A1208, TAB_CORRECAO_C[[DIAS_CORRIDOS]:[V_FUT_UTEIS]],K$5, FALSE)</f>
        <v>#N/A</v>
      </c>
      <c r="L1208" s="22" t="e">
        <f>VLOOKUP($A1208, TAB_AMORTIZACAO_C[[DIAS_CORRIDOS]:[V_FUT_UTEIS]], L$5, FALSE)</f>
        <v>#N/A</v>
      </c>
    </row>
    <row r="1209" spans="1:12" hidden="1">
      <c r="A1209" s="19">
        <f t="shared" si="99"/>
        <v>1203</v>
      </c>
      <c r="B1209" s="20">
        <f t="shared" si="95"/>
        <v>0</v>
      </c>
      <c r="C1209" s="21">
        <f t="shared" si="96"/>
        <v>0</v>
      </c>
      <c r="D1209" s="22" t="e">
        <f>VLOOKUP($A1209, TAB_JUROS_U[[Q_DIAS_U_PARC_TIR]:[V_FUT_U_JURS CENARIO]], D$5, FALSE)</f>
        <v>#N/A</v>
      </c>
      <c r="E1209" s="22" t="e">
        <f>VLOOKUP($A1209,TAB_CORRECAO_U[[Q_DIAS_U_PARC_TIR]:[V_FUT_U_CORC-02]],E$5, FALSE)</f>
        <v>#N/A</v>
      </c>
      <c r="F1209" s="22" t="e">
        <f>VLOOKUP($A1209,TAB_AMORTIZACAO_U[[Q_DIAS_U_PARC_TIR]:[V_FUT_U_PCPL-02]], F$5, FALSE)</f>
        <v>#N/A</v>
      </c>
      <c r="H1209" s="20">
        <f t="shared" si="97"/>
        <v>0</v>
      </c>
      <c r="I1209" s="21">
        <f t="shared" si="98"/>
        <v>0</v>
      </c>
      <c r="J1209" s="22" t="e">
        <f>VLOOKUP($A1209, TAB_JUROS_C[[DIAS_CORRIDOS]:[V_FUT_UTEIS]], J$5, FALSE)</f>
        <v>#N/A</v>
      </c>
      <c r="K1209" s="22" t="e">
        <f>VLOOKUP($A1209, TAB_CORRECAO_C[[DIAS_CORRIDOS]:[V_FUT_UTEIS]],K$5, FALSE)</f>
        <v>#N/A</v>
      </c>
      <c r="L1209" s="22" t="e">
        <f>VLOOKUP($A1209, TAB_AMORTIZACAO_C[[DIAS_CORRIDOS]:[V_FUT_UTEIS]], L$5, FALSE)</f>
        <v>#N/A</v>
      </c>
    </row>
    <row r="1210" spans="1:12">
      <c r="A1210" s="19">
        <f t="shared" si="99"/>
        <v>1204</v>
      </c>
      <c r="B1210" s="20">
        <f t="shared" si="95"/>
        <v>721.68168084853437</v>
      </c>
      <c r="C1210" s="21">
        <f t="shared" si="96"/>
        <v>721.68168084853437</v>
      </c>
      <c r="D1210" s="22">
        <f>VLOOKUP($A1210, TAB_JUROS_U[[Q_DIAS_U_PARC_TIR]:[V_FUT_U_JURS CENARIO]], D$5, FALSE)</f>
        <v>52.422507802832989</v>
      </c>
      <c r="E1210" s="22">
        <f>VLOOKUP($A1210,TAB_CORRECAO_U[[Q_DIAS_U_PARC_TIR]:[V_FUT_U_CORC-02]],E$5, FALSE)</f>
        <v>328.71720428176303</v>
      </c>
      <c r="F1210" s="22">
        <f>VLOOKUP($A1210,TAB_AMORTIZACAO_U[[Q_DIAS_U_PARC_TIR]:[V_FUT_U_PCPL-02]], F$5, FALSE)</f>
        <v>340.54196876393843</v>
      </c>
      <c r="H1210" s="20">
        <f t="shared" si="97"/>
        <v>0</v>
      </c>
      <c r="I1210" s="21">
        <f t="shared" si="98"/>
        <v>0</v>
      </c>
      <c r="J1210" s="22" t="e">
        <f>VLOOKUP($A1210, TAB_JUROS_C[[DIAS_CORRIDOS]:[V_FUT_UTEIS]], J$5, FALSE)</f>
        <v>#N/A</v>
      </c>
      <c r="K1210" s="22" t="e">
        <f>VLOOKUP($A1210, TAB_CORRECAO_C[[DIAS_CORRIDOS]:[V_FUT_UTEIS]],K$5, FALSE)</f>
        <v>#N/A</v>
      </c>
      <c r="L1210" s="22" t="e">
        <f>VLOOKUP($A1210, TAB_AMORTIZACAO_C[[DIAS_CORRIDOS]:[V_FUT_UTEIS]], L$5, FALSE)</f>
        <v>#N/A</v>
      </c>
    </row>
    <row r="1211" spans="1:12" hidden="1">
      <c r="A1211" s="19">
        <f t="shared" si="99"/>
        <v>1205</v>
      </c>
      <c r="B1211" s="20">
        <f t="shared" si="95"/>
        <v>0</v>
      </c>
      <c r="C1211" s="21">
        <f t="shared" si="96"/>
        <v>0</v>
      </c>
      <c r="D1211" s="22" t="e">
        <f>VLOOKUP($A1211, TAB_JUROS_U[[Q_DIAS_U_PARC_TIR]:[V_FUT_U_JURS CENARIO]], D$5, FALSE)</f>
        <v>#N/A</v>
      </c>
      <c r="E1211" s="22" t="e">
        <f>VLOOKUP($A1211,TAB_CORRECAO_U[[Q_DIAS_U_PARC_TIR]:[V_FUT_U_CORC-02]],E$5, FALSE)</f>
        <v>#N/A</v>
      </c>
      <c r="F1211" s="22" t="e">
        <f>VLOOKUP($A1211,TAB_AMORTIZACAO_U[[Q_DIAS_U_PARC_TIR]:[V_FUT_U_PCPL-02]], F$5, FALSE)</f>
        <v>#N/A</v>
      </c>
      <c r="H1211" s="20">
        <f t="shared" si="97"/>
        <v>0</v>
      </c>
      <c r="I1211" s="21">
        <f t="shared" si="98"/>
        <v>0</v>
      </c>
      <c r="J1211" s="22" t="e">
        <f>VLOOKUP($A1211, TAB_JUROS_C[[DIAS_CORRIDOS]:[V_FUT_UTEIS]], J$5, FALSE)</f>
        <v>#N/A</v>
      </c>
      <c r="K1211" s="22" t="e">
        <f>VLOOKUP($A1211, TAB_CORRECAO_C[[DIAS_CORRIDOS]:[V_FUT_UTEIS]],K$5, FALSE)</f>
        <v>#N/A</v>
      </c>
      <c r="L1211" s="22" t="e">
        <f>VLOOKUP($A1211, TAB_AMORTIZACAO_C[[DIAS_CORRIDOS]:[V_FUT_UTEIS]], L$5, FALSE)</f>
        <v>#N/A</v>
      </c>
    </row>
    <row r="1212" spans="1:12" hidden="1">
      <c r="A1212" s="19">
        <f t="shared" si="99"/>
        <v>1206</v>
      </c>
      <c r="B1212" s="20">
        <f t="shared" si="95"/>
        <v>0</v>
      </c>
      <c r="C1212" s="21">
        <f t="shared" si="96"/>
        <v>0</v>
      </c>
      <c r="D1212" s="22" t="e">
        <f>VLOOKUP($A1212, TAB_JUROS_U[[Q_DIAS_U_PARC_TIR]:[V_FUT_U_JURS CENARIO]], D$5, FALSE)</f>
        <v>#N/A</v>
      </c>
      <c r="E1212" s="22" t="e">
        <f>VLOOKUP($A1212,TAB_CORRECAO_U[[Q_DIAS_U_PARC_TIR]:[V_FUT_U_CORC-02]],E$5, FALSE)</f>
        <v>#N/A</v>
      </c>
      <c r="F1212" s="22" t="e">
        <f>VLOOKUP($A1212,TAB_AMORTIZACAO_U[[Q_DIAS_U_PARC_TIR]:[V_FUT_U_PCPL-02]], F$5, FALSE)</f>
        <v>#N/A</v>
      </c>
      <c r="H1212" s="20">
        <f t="shared" si="97"/>
        <v>0</v>
      </c>
      <c r="I1212" s="21">
        <f t="shared" si="98"/>
        <v>0</v>
      </c>
      <c r="J1212" s="22" t="e">
        <f>VLOOKUP($A1212, TAB_JUROS_C[[DIAS_CORRIDOS]:[V_FUT_UTEIS]], J$5, FALSE)</f>
        <v>#N/A</v>
      </c>
      <c r="K1212" s="22" t="e">
        <f>VLOOKUP($A1212, TAB_CORRECAO_C[[DIAS_CORRIDOS]:[V_FUT_UTEIS]],K$5, FALSE)</f>
        <v>#N/A</v>
      </c>
      <c r="L1212" s="22" t="e">
        <f>VLOOKUP($A1212, TAB_AMORTIZACAO_C[[DIAS_CORRIDOS]:[V_FUT_UTEIS]], L$5, FALSE)</f>
        <v>#N/A</v>
      </c>
    </row>
    <row r="1213" spans="1:12" hidden="1">
      <c r="A1213" s="19">
        <f t="shared" si="99"/>
        <v>1207</v>
      </c>
      <c r="B1213" s="20">
        <f t="shared" si="95"/>
        <v>0</v>
      </c>
      <c r="C1213" s="21">
        <f t="shared" si="96"/>
        <v>0</v>
      </c>
      <c r="D1213" s="22" t="e">
        <f>VLOOKUP($A1213, TAB_JUROS_U[[Q_DIAS_U_PARC_TIR]:[V_FUT_U_JURS CENARIO]], D$5, FALSE)</f>
        <v>#N/A</v>
      </c>
      <c r="E1213" s="22" t="e">
        <f>VLOOKUP($A1213,TAB_CORRECAO_U[[Q_DIAS_U_PARC_TIR]:[V_FUT_U_CORC-02]],E$5, FALSE)</f>
        <v>#N/A</v>
      </c>
      <c r="F1213" s="22" t="e">
        <f>VLOOKUP($A1213,TAB_AMORTIZACAO_U[[Q_DIAS_U_PARC_TIR]:[V_FUT_U_PCPL-02]], F$5, FALSE)</f>
        <v>#N/A</v>
      </c>
      <c r="H1213" s="20">
        <f t="shared" si="97"/>
        <v>0</v>
      </c>
      <c r="I1213" s="21">
        <f t="shared" si="98"/>
        <v>0</v>
      </c>
      <c r="J1213" s="22" t="e">
        <f>VLOOKUP($A1213, TAB_JUROS_C[[DIAS_CORRIDOS]:[V_FUT_UTEIS]], J$5, FALSE)</f>
        <v>#N/A</v>
      </c>
      <c r="K1213" s="22" t="e">
        <f>VLOOKUP($A1213, TAB_CORRECAO_C[[DIAS_CORRIDOS]:[V_FUT_UTEIS]],K$5, FALSE)</f>
        <v>#N/A</v>
      </c>
      <c r="L1213" s="22" t="e">
        <f>VLOOKUP($A1213, TAB_AMORTIZACAO_C[[DIAS_CORRIDOS]:[V_FUT_UTEIS]], L$5, FALSE)</f>
        <v>#N/A</v>
      </c>
    </row>
    <row r="1214" spans="1:12" hidden="1">
      <c r="A1214" s="19">
        <f t="shared" si="99"/>
        <v>1208</v>
      </c>
      <c r="B1214" s="20">
        <f t="shared" si="95"/>
        <v>0</v>
      </c>
      <c r="C1214" s="21">
        <f t="shared" si="96"/>
        <v>0</v>
      </c>
      <c r="D1214" s="22" t="e">
        <f>VLOOKUP($A1214, TAB_JUROS_U[[Q_DIAS_U_PARC_TIR]:[V_FUT_U_JURS CENARIO]], D$5, FALSE)</f>
        <v>#N/A</v>
      </c>
      <c r="E1214" s="22" t="e">
        <f>VLOOKUP($A1214,TAB_CORRECAO_U[[Q_DIAS_U_PARC_TIR]:[V_FUT_U_CORC-02]],E$5, FALSE)</f>
        <v>#N/A</v>
      </c>
      <c r="F1214" s="22" t="e">
        <f>VLOOKUP($A1214,TAB_AMORTIZACAO_U[[Q_DIAS_U_PARC_TIR]:[V_FUT_U_PCPL-02]], F$5, FALSE)</f>
        <v>#N/A</v>
      </c>
      <c r="H1214" s="20">
        <f t="shared" si="97"/>
        <v>0</v>
      </c>
      <c r="I1214" s="21">
        <f t="shared" si="98"/>
        <v>0</v>
      </c>
      <c r="J1214" s="22" t="e">
        <f>VLOOKUP($A1214, TAB_JUROS_C[[DIAS_CORRIDOS]:[V_FUT_UTEIS]], J$5, FALSE)</f>
        <v>#N/A</v>
      </c>
      <c r="K1214" s="22" t="e">
        <f>VLOOKUP($A1214, TAB_CORRECAO_C[[DIAS_CORRIDOS]:[V_FUT_UTEIS]],K$5, FALSE)</f>
        <v>#N/A</v>
      </c>
      <c r="L1214" s="22" t="e">
        <f>VLOOKUP($A1214, TAB_AMORTIZACAO_C[[DIAS_CORRIDOS]:[V_FUT_UTEIS]], L$5, FALSE)</f>
        <v>#N/A</v>
      </c>
    </row>
    <row r="1215" spans="1:12" hidden="1">
      <c r="A1215" s="19">
        <f t="shared" si="99"/>
        <v>1209</v>
      </c>
      <c r="B1215" s="20">
        <f t="shared" si="95"/>
        <v>0</v>
      </c>
      <c r="C1215" s="21">
        <f t="shared" si="96"/>
        <v>0</v>
      </c>
      <c r="D1215" s="22" t="e">
        <f>VLOOKUP($A1215, TAB_JUROS_U[[Q_DIAS_U_PARC_TIR]:[V_FUT_U_JURS CENARIO]], D$5, FALSE)</f>
        <v>#N/A</v>
      </c>
      <c r="E1215" s="22" t="e">
        <f>VLOOKUP($A1215,TAB_CORRECAO_U[[Q_DIAS_U_PARC_TIR]:[V_FUT_U_CORC-02]],E$5, FALSE)</f>
        <v>#N/A</v>
      </c>
      <c r="F1215" s="22" t="e">
        <f>VLOOKUP($A1215,TAB_AMORTIZACAO_U[[Q_DIAS_U_PARC_TIR]:[V_FUT_U_PCPL-02]], F$5, FALSE)</f>
        <v>#N/A</v>
      </c>
      <c r="H1215" s="20">
        <f t="shared" si="97"/>
        <v>0</v>
      </c>
      <c r="I1215" s="21">
        <f t="shared" si="98"/>
        <v>0</v>
      </c>
      <c r="J1215" s="22" t="e">
        <f>VLOOKUP($A1215, TAB_JUROS_C[[DIAS_CORRIDOS]:[V_FUT_UTEIS]], J$5, FALSE)</f>
        <v>#N/A</v>
      </c>
      <c r="K1215" s="22" t="e">
        <f>VLOOKUP($A1215, TAB_CORRECAO_C[[DIAS_CORRIDOS]:[V_FUT_UTEIS]],K$5, FALSE)</f>
        <v>#N/A</v>
      </c>
      <c r="L1215" s="22" t="e">
        <f>VLOOKUP($A1215, TAB_AMORTIZACAO_C[[DIAS_CORRIDOS]:[V_FUT_UTEIS]], L$5, FALSE)</f>
        <v>#N/A</v>
      </c>
    </row>
    <row r="1216" spans="1:12" hidden="1">
      <c r="A1216" s="19">
        <f t="shared" si="99"/>
        <v>1210</v>
      </c>
      <c r="B1216" s="20">
        <f t="shared" si="95"/>
        <v>0</v>
      </c>
      <c r="C1216" s="21">
        <f t="shared" si="96"/>
        <v>0</v>
      </c>
      <c r="D1216" s="22" t="e">
        <f>VLOOKUP($A1216, TAB_JUROS_U[[Q_DIAS_U_PARC_TIR]:[V_FUT_U_JURS CENARIO]], D$5, FALSE)</f>
        <v>#N/A</v>
      </c>
      <c r="E1216" s="22" t="e">
        <f>VLOOKUP($A1216,TAB_CORRECAO_U[[Q_DIAS_U_PARC_TIR]:[V_FUT_U_CORC-02]],E$5, FALSE)</f>
        <v>#N/A</v>
      </c>
      <c r="F1216" s="22" t="e">
        <f>VLOOKUP($A1216,TAB_AMORTIZACAO_U[[Q_DIAS_U_PARC_TIR]:[V_FUT_U_PCPL-02]], F$5, FALSE)</f>
        <v>#N/A</v>
      </c>
      <c r="H1216" s="20">
        <f t="shared" si="97"/>
        <v>0</v>
      </c>
      <c r="I1216" s="21">
        <f t="shared" si="98"/>
        <v>0</v>
      </c>
      <c r="J1216" s="22" t="e">
        <f>VLOOKUP($A1216, TAB_JUROS_C[[DIAS_CORRIDOS]:[V_FUT_UTEIS]], J$5, FALSE)</f>
        <v>#N/A</v>
      </c>
      <c r="K1216" s="22" t="e">
        <f>VLOOKUP($A1216, TAB_CORRECAO_C[[DIAS_CORRIDOS]:[V_FUT_UTEIS]],K$5, FALSE)</f>
        <v>#N/A</v>
      </c>
      <c r="L1216" s="22" t="e">
        <f>VLOOKUP($A1216, TAB_AMORTIZACAO_C[[DIAS_CORRIDOS]:[V_FUT_UTEIS]], L$5, FALSE)</f>
        <v>#N/A</v>
      </c>
    </row>
    <row r="1217" spans="1:12" hidden="1">
      <c r="A1217" s="19">
        <f t="shared" si="99"/>
        <v>1211</v>
      </c>
      <c r="B1217" s="20">
        <f t="shared" si="95"/>
        <v>0</v>
      </c>
      <c r="C1217" s="21">
        <f t="shared" si="96"/>
        <v>0</v>
      </c>
      <c r="D1217" s="22" t="e">
        <f>VLOOKUP($A1217, TAB_JUROS_U[[Q_DIAS_U_PARC_TIR]:[V_FUT_U_JURS CENARIO]], D$5, FALSE)</f>
        <v>#N/A</v>
      </c>
      <c r="E1217" s="22" t="e">
        <f>VLOOKUP($A1217,TAB_CORRECAO_U[[Q_DIAS_U_PARC_TIR]:[V_FUT_U_CORC-02]],E$5, FALSE)</f>
        <v>#N/A</v>
      </c>
      <c r="F1217" s="22" t="e">
        <f>VLOOKUP($A1217,TAB_AMORTIZACAO_U[[Q_DIAS_U_PARC_TIR]:[V_FUT_U_PCPL-02]], F$5, FALSE)</f>
        <v>#N/A</v>
      </c>
      <c r="H1217" s="20">
        <f t="shared" si="97"/>
        <v>0</v>
      </c>
      <c r="I1217" s="21">
        <f t="shared" si="98"/>
        <v>0</v>
      </c>
      <c r="J1217" s="22" t="e">
        <f>VLOOKUP($A1217, TAB_JUROS_C[[DIAS_CORRIDOS]:[V_FUT_UTEIS]], J$5, FALSE)</f>
        <v>#N/A</v>
      </c>
      <c r="K1217" s="22" t="e">
        <f>VLOOKUP($A1217, TAB_CORRECAO_C[[DIAS_CORRIDOS]:[V_FUT_UTEIS]],K$5, FALSE)</f>
        <v>#N/A</v>
      </c>
      <c r="L1217" s="22" t="e">
        <f>VLOOKUP($A1217, TAB_AMORTIZACAO_C[[DIAS_CORRIDOS]:[V_FUT_UTEIS]], L$5, FALSE)</f>
        <v>#N/A</v>
      </c>
    </row>
    <row r="1218" spans="1:12" hidden="1">
      <c r="A1218" s="19">
        <f t="shared" si="99"/>
        <v>1212</v>
      </c>
      <c r="B1218" s="20">
        <f t="shared" si="95"/>
        <v>0</v>
      </c>
      <c r="C1218" s="21">
        <f t="shared" si="96"/>
        <v>0</v>
      </c>
      <c r="D1218" s="22" t="e">
        <f>VLOOKUP($A1218, TAB_JUROS_U[[Q_DIAS_U_PARC_TIR]:[V_FUT_U_JURS CENARIO]], D$5, FALSE)</f>
        <v>#N/A</v>
      </c>
      <c r="E1218" s="22" t="e">
        <f>VLOOKUP($A1218,TAB_CORRECAO_U[[Q_DIAS_U_PARC_TIR]:[V_FUT_U_CORC-02]],E$5, FALSE)</f>
        <v>#N/A</v>
      </c>
      <c r="F1218" s="22" t="e">
        <f>VLOOKUP($A1218,TAB_AMORTIZACAO_U[[Q_DIAS_U_PARC_TIR]:[V_FUT_U_PCPL-02]], F$5, FALSE)</f>
        <v>#N/A</v>
      </c>
      <c r="H1218" s="20">
        <f t="shared" si="97"/>
        <v>0</v>
      </c>
      <c r="I1218" s="21">
        <f t="shared" si="98"/>
        <v>0</v>
      </c>
      <c r="J1218" s="22" t="e">
        <f>VLOOKUP($A1218, TAB_JUROS_C[[DIAS_CORRIDOS]:[V_FUT_UTEIS]], J$5, FALSE)</f>
        <v>#N/A</v>
      </c>
      <c r="K1218" s="22" t="e">
        <f>VLOOKUP($A1218, TAB_CORRECAO_C[[DIAS_CORRIDOS]:[V_FUT_UTEIS]],K$5, FALSE)</f>
        <v>#N/A</v>
      </c>
      <c r="L1218" s="22" t="e">
        <f>VLOOKUP($A1218, TAB_AMORTIZACAO_C[[DIAS_CORRIDOS]:[V_FUT_UTEIS]], L$5, FALSE)</f>
        <v>#N/A</v>
      </c>
    </row>
    <row r="1219" spans="1:12" hidden="1">
      <c r="A1219" s="19">
        <f t="shared" si="99"/>
        <v>1213</v>
      </c>
      <c r="B1219" s="20">
        <f t="shared" si="95"/>
        <v>0</v>
      </c>
      <c r="C1219" s="21">
        <f t="shared" si="96"/>
        <v>0</v>
      </c>
      <c r="D1219" s="22" t="e">
        <f>VLOOKUP($A1219, TAB_JUROS_U[[Q_DIAS_U_PARC_TIR]:[V_FUT_U_JURS CENARIO]], D$5, FALSE)</f>
        <v>#N/A</v>
      </c>
      <c r="E1219" s="22" t="e">
        <f>VLOOKUP($A1219,TAB_CORRECAO_U[[Q_DIAS_U_PARC_TIR]:[V_FUT_U_CORC-02]],E$5, FALSE)</f>
        <v>#N/A</v>
      </c>
      <c r="F1219" s="22" t="e">
        <f>VLOOKUP($A1219,TAB_AMORTIZACAO_U[[Q_DIAS_U_PARC_TIR]:[V_FUT_U_PCPL-02]], F$5, FALSE)</f>
        <v>#N/A</v>
      </c>
      <c r="H1219" s="20">
        <f t="shared" si="97"/>
        <v>0</v>
      </c>
      <c r="I1219" s="21">
        <f t="shared" si="98"/>
        <v>0</v>
      </c>
      <c r="J1219" s="22" t="e">
        <f>VLOOKUP($A1219, TAB_JUROS_C[[DIAS_CORRIDOS]:[V_FUT_UTEIS]], J$5, FALSE)</f>
        <v>#N/A</v>
      </c>
      <c r="K1219" s="22" t="e">
        <f>VLOOKUP($A1219, TAB_CORRECAO_C[[DIAS_CORRIDOS]:[V_FUT_UTEIS]],K$5, FALSE)</f>
        <v>#N/A</v>
      </c>
      <c r="L1219" s="22" t="e">
        <f>VLOOKUP($A1219, TAB_AMORTIZACAO_C[[DIAS_CORRIDOS]:[V_FUT_UTEIS]], L$5, FALSE)</f>
        <v>#N/A</v>
      </c>
    </row>
    <row r="1220" spans="1:12" hidden="1">
      <c r="A1220" s="19">
        <f t="shared" si="99"/>
        <v>1214</v>
      </c>
      <c r="B1220" s="20">
        <f t="shared" si="95"/>
        <v>0</v>
      </c>
      <c r="C1220" s="21">
        <f t="shared" si="96"/>
        <v>0</v>
      </c>
      <c r="D1220" s="22" t="e">
        <f>VLOOKUP($A1220, TAB_JUROS_U[[Q_DIAS_U_PARC_TIR]:[V_FUT_U_JURS CENARIO]], D$5, FALSE)</f>
        <v>#N/A</v>
      </c>
      <c r="E1220" s="22" t="e">
        <f>VLOOKUP($A1220,TAB_CORRECAO_U[[Q_DIAS_U_PARC_TIR]:[V_FUT_U_CORC-02]],E$5, FALSE)</f>
        <v>#N/A</v>
      </c>
      <c r="F1220" s="22" t="e">
        <f>VLOOKUP($A1220,TAB_AMORTIZACAO_U[[Q_DIAS_U_PARC_TIR]:[V_FUT_U_PCPL-02]], F$5, FALSE)</f>
        <v>#N/A</v>
      </c>
      <c r="H1220" s="20">
        <f t="shared" si="97"/>
        <v>0</v>
      </c>
      <c r="I1220" s="21">
        <f t="shared" si="98"/>
        <v>0</v>
      </c>
      <c r="J1220" s="22" t="e">
        <f>VLOOKUP($A1220, TAB_JUROS_C[[DIAS_CORRIDOS]:[V_FUT_UTEIS]], J$5, FALSE)</f>
        <v>#N/A</v>
      </c>
      <c r="K1220" s="22" t="e">
        <f>VLOOKUP($A1220, TAB_CORRECAO_C[[DIAS_CORRIDOS]:[V_FUT_UTEIS]],K$5, FALSE)</f>
        <v>#N/A</v>
      </c>
      <c r="L1220" s="22" t="e">
        <f>VLOOKUP($A1220, TAB_AMORTIZACAO_C[[DIAS_CORRIDOS]:[V_FUT_UTEIS]], L$5, FALSE)</f>
        <v>#N/A</v>
      </c>
    </row>
    <row r="1221" spans="1:12" hidden="1">
      <c r="A1221" s="19">
        <f t="shared" si="99"/>
        <v>1215</v>
      </c>
      <c r="B1221" s="20">
        <f t="shared" si="95"/>
        <v>0</v>
      </c>
      <c r="C1221" s="21">
        <f t="shared" si="96"/>
        <v>0</v>
      </c>
      <c r="D1221" s="22" t="e">
        <f>VLOOKUP($A1221, TAB_JUROS_U[[Q_DIAS_U_PARC_TIR]:[V_FUT_U_JURS CENARIO]], D$5, FALSE)</f>
        <v>#N/A</v>
      </c>
      <c r="E1221" s="22" t="e">
        <f>VLOOKUP($A1221,TAB_CORRECAO_U[[Q_DIAS_U_PARC_TIR]:[V_FUT_U_CORC-02]],E$5, FALSE)</f>
        <v>#N/A</v>
      </c>
      <c r="F1221" s="22" t="e">
        <f>VLOOKUP($A1221,TAB_AMORTIZACAO_U[[Q_DIAS_U_PARC_TIR]:[V_FUT_U_PCPL-02]], F$5, FALSE)</f>
        <v>#N/A</v>
      </c>
      <c r="H1221" s="20">
        <f t="shared" si="97"/>
        <v>0</v>
      </c>
      <c r="I1221" s="21">
        <f t="shared" si="98"/>
        <v>0</v>
      </c>
      <c r="J1221" s="22" t="e">
        <f>VLOOKUP($A1221, TAB_JUROS_C[[DIAS_CORRIDOS]:[V_FUT_UTEIS]], J$5, FALSE)</f>
        <v>#N/A</v>
      </c>
      <c r="K1221" s="22" t="e">
        <f>VLOOKUP($A1221, TAB_CORRECAO_C[[DIAS_CORRIDOS]:[V_FUT_UTEIS]],K$5, FALSE)</f>
        <v>#N/A</v>
      </c>
      <c r="L1221" s="22" t="e">
        <f>VLOOKUP($A1221, TAB_AMORTIZACAO_C[[DIAS_CORRIDOS]:[V_FUT_UTEIS]], L$5, FALSE)</f>
        <v>#N/A</v>
      </c>
    </row>
    <row r="1222" spans="1:12" hidden="1">
      <c r="A1222" s="19">
        <f t="shared" si="99"/>
        <v>1216</v>
      </c>
      <c r="B1222" s="20">
        <f t="shared" si="95"/>
        <v>0</v>
      </c>
      <c r="C1222" s="21">
        <f t="shared" si="96"/>
        <v>0</v>
      </c>
      <c r="D1222" s="22" t="e">
        <f>VLOOKUP($A1222, TAB_JUROS_U[[Q_DIAS_U_PARC_TIR]:[V_FUT_U_JURS CENARIO]], D$5, FALSE)</f>
        <v>#N/A</v>
      </c>
      <c r="E1222" s="22" t="e">
        <f>VLOOKUP($A1222,TAB_CORRECAO_U[[Q_DIAS_U_PARC_TIR]:[V_FUT_U_CORC-02]],E$5, FALSE)</f>
        <v>#N/A</v>
      </c>
      <c r="F1222" s="22" t="e">
        <f>VLOOKUP($A1222,TAB_AMORTIZACAO_U[[Q_DIAS_U_PARC_TIR]:[V_FUT_U_PCPL-02]], F$5, FALSE)</f>
        <v>#N/A</v>
      </c>
      <c r="H1222" s="20">
        <f t="shared" si="97"/>
        <v>0</v>
      </c>
      <c r="I1222" s="21">
        <f t="shared" si="98"/>
        <v>0</v>
      </c>
      <c r="J1222" s="22" t="e">
        <f>VLOOKUP($A1222, TAB_JUROS_C[[DIAS_CORRIDOS]:[V_FUT_UTEIS]], J$5, FALSE)</f>
        <v>#N/A</v>
      </c>
      <c r="K1222" s="22" t="e">
        <f>VLOOKUP($A1222, TAB_CORRECAO_C[[DIAS_CORRIDOS]:[V_FUT_UTEIS]],K$5, FALSE)</f>
        <v>#N/A</v>
      </c>
      <c r="L1222" s="22" t="e">
        <f>VLOOKUP($A1222, TAB_AMORTIZACAO_C[[DIAS_CORRIDOS]:[V_FUT_UTEIS]], L$5, FALSE)</f>
        <v>#N/A</v>
      </c>
    </row>
    <row r="1223" spans="1:12" hidden="1">
      <c r="A1223" s="19">
        <f t="shared" si="99"/>
        <v>1217</v>
      </c>
      <c r="B1223" s="20">
        <f t="shared" si="95"/>
        <v>0</v>
      </c>
      <c r="C1223" s="21">
        <f t="shared" si="96"/>
        <v>0</v>
      </c>
      <c r="D1223" s="22" t="e">
        <f>VLOOKUP($A1223, TAB_JUROS_U[[Q_DIAS_U_PARC_TIR]:[V_FUT_U_JURS CENARIO]], D$5, FALSE)</f>
        <v>#N/A</v>
      </c>
      <c r="E1223" s="22" t="e">
        <f>VLOOKUP($A1223,TAB_CORRECAO_U[[Q_DIAS_U_PARC_TIR]:[V_FUT_U_CORC-02]],E$5, FALSE)</f>
        <v>#N/A</v>
      </c>
      <c r="F1223" s="22" t="e">
        <f>VLOOKUP($A1223,TAB_AMORTIZACAO_U[[Q_DIAS_U_PARC_TIR]:[V_FUT_U_PCPL-02]], F$5, FALSE)</f>
        <v>#N/A</v>
      </c>
      <c r="H1223" s="20">
        <f t="shared" si="97"/>
        <v>0</v>
      </c>
      <c r="I1223" s="21">
        <f t="shared" si="98"/>
        <v>0</v>
      </c>
      <c r="J1223" s="22" t="e">
        <f>VLOOKUP($A1223, TAB_JUROS_C[[DIAS_CORRIDOS]:[V_FUT_UTEIS]], J$5, FALSE)</f>
        <v>#N/A</v>
      </c>
      <c r="K1223" s="22" t="e">
        <f>VLOOKUP($A1223, TAB_CORRECAO_C[[DIAS_CORRIDOS]:[V_FUT_UTEIS]],K$5, FALSE)</f>
        <v>#N/A</v>
      </c>
      <c r="L1223" s="22" t="e">
        <f>VLOOKUP($A1223, TAB_AMORTIZACAO_C[[DIAS_CORRIDOS]:[V_FUT_UTEIS]], L$5, FALSE)</f>
        <v>#N/A</v>
      </c>
    </row>
    <row r="1224" spans="1:12" hidden="1">
      <c r="A1224" s="19">
        <f t="shared" si="99"/>
        <v>1218</v>
      </c>
      <c r="B1224" s="20">
        <f t="shared" si="95"/>
        <v>0</v>
      </c>
      <c r="C1224" s="21">
        <f t="shared" si="96"/>
        <v>0</v>
      </c>
      <c r="D1224" s="22" t="e">
        <f>VLOOKUP($A1224, TAB_JUROS_U[[Q_DIAS_U_PARC_TIR]:[V_FUT_U_JURS CENARIO]], D$5, FALSE)</f>
        <v>#N/A</v>
      </c>
      <c r="E1224" s="22" t="e">
        <f>VLOOKUP($A1224,TAB_CORRECAO_U[[Q_DIAS_U_PARC_TIR]:[V_FUT_U_CORC-02]],E$5, FALSE)</f>
        <v>#N/A</v>
      </c>
      <c r="F1224" s="22" t="e">
        <f>VLOOKUP($A1224,TAB_AMORTIZACAO_U[[Q_DIAS_U_PARC_TIR]:[V_FUT_U_PCPL-02]], F$5, FALSE)</f>
        <v>#N/A</v>
      </c>
      <c r="H1224" s="20">
        <f t="shared" si="97"/>
        <v>0</v>
      </c>
      <c r="I1224" s="21">
        <f t="shared" si="98"/>
        <v>0</v>
      </c>
      <c r="J1224" s="22" t="e">
        <f>VLOOKUP($A1224, TAB_JUROS_C[[DIAS_CORRIDOS]:[V_FUT_UTEIS]], J$5, FALSE)</f>
        <v>#N/A</v>
      </c>
      <c r="K1224" s="22" t="e">
        <f>VLOOKUP($A1224, TAB_CORRECAO_C[[DIAS_CORRIDOS]:[V_FUT_UTEIS]],K$5, FALSE)</f>
        <v>#N/A</v>
      </c>
      <c r="L1224" s="22" t="e">
        <f>VLOOKUP($A1224, TAB_AMORTIZACAO_C[[DIAS_CORRIDOS]:[V_FUT_UTEIS]], L$5, FALSE)</f>
        <v>#N/A</v>
      </c>
    </row>
    <row r="1225" spans="1:12" hidden="1">
      <c r="A1225" s="19">
        <f t="shared" si="99"/>
        <v>1219</v>
      </c>
      <c r="B1225" s="20">
        <f t="shared" ref="B1225:B1288" si="100">IF(ISERROR(C1225), 0, C1225)</f>
        <v>0</v>
      </c>
      <c r="C1225" s="21">
        <f t="shared" ref="C1225:C1288" si="101">SUMIF(D1225:F1225, "&gt;0", D1225:F1225)</f>
        <v>0</v>
      </c>
      <c r="D1225" s="22" t="e">
        <f>VLOOKUP($A1225, TAB_JUROS_U[[Q_DIAS_U_PARC_TIR]:[V_FUT_U_JURS CENARIO]], D$5, FALSE)</f>
        <v>#N/A</v>
      </c>
      <c r="E1225" s="22" t="e">
        <f>VLOOKUP($A1225,TAB_CORRECAO_U[[Q_DIAS_U_PARC_TIR]:[V_FUT_U_CORC-02]],E$5, FALSE)</f>
        <v>#N/A</v>
      </c>
      <c r="F1225" s="22" t="e">
        <f>VLOOKUP($A1225,TAB_AMORTIZACAO_U[[Q_DIAS_U_PARC_TIR]:[V_FUT_U_PCPL-02]], F$5, FALSE)</f>
        <v>#N/A</v>
      </c>
      <c r="H1225" s="20">
        <f t="shared" ref="H1225:H1288" si="102">IF(ISERROR(I1225), 0, I1225)</f>
        <v>0</v>
      </c>
      <c r="I1225" s="21">
        <f t="shared" ref="I1225:I1288" si="103">SUMIF(J1225:L1225, "&gt;0", J1225:L1225)</f>
        <v>0</v>
      </c>
      <c r="J1225" s="22" t="e">
        <f>VLOOKUP($A1225, TAB_JUROS_C[[DIAS_CORRIDOS]:[V_FUT_UTEIS]], J$5, FALSE)</f>
        <v>#N/A</v>
      </c>
      <c r="K1225" s="22" t="e">
        <f>VLOOKUP($A1225, TAB_CORRECAO_C[[DIAS_CORRIDOS]:[V_FUT_UTEIS]],K$5, FALSE)</f>
        <v>#N/A</v>
      </c>
      <c r="L1225" s="22" t="e">
        <f>VLOOKUP($A1225, TAB_AMORTIZACAO_C[[DIAS_CORRIDOS]:[V_FUT_UTEIS]], L$5, FALSE)</f>
        <v>#N/A</v>
      </c>
    </row>
    <row r="1226" spans="1:12" hidden="1">
      <c r="A1226" s="19">
        <f t="shared" ref="A1226:A1289" si="104">A1225+1</f>
        <v>1220</v>
      </c>
      <c r="B1226" s="20">
        <f t="shared" si="100"/>
        <v>0</v>
      </c>
      <c r="C1226" s="21">
        <f t="shared" si="101"/>
        <v>0</v>
      </c>
      <c r="D1226" s="22" t="e">
        <f>VLOOKUP($A1226, TAB_JUROS_U[[Q_DIAS_U_PARC_TIR]:[V_FUT_U_JURS CENARIO]], D$5, FALSE)</f>
        <v>#N/A</v>
      </c>
      <c r="E1226" s="22" t="e">
        <f>VLOOKUP($A1226,TAB_CORRECAO_U[[Q_DIAS_U_PARC_TIR]:[V_FUT_U_CORC-02]],E$5, FALSE)</f>
        <v>#N/A</v>
      </c>
      <c r="F1226" s="22" t="e">
        <f>VLOOKUP($A1226,TAB_AMORTIZACAO_U[[Q_DIAS_U_PARC_TIR]:[V_FUT_U_PCPL-02]], F$5, FALSE)</f>
        <v>#N/A</v>
      </c>
      <c r="H1226" s="20">
        <f t="shared" si="102"/>
        <v>0</v>
      </c>
      <c r="I1226" s="21">
        <f t="shared" si="103"/>
        <v>0</v>
      </c>
      <c r="J1226" s="22" t="e">
        <f>VLOOKUP($A1226, TAB_JUROS_C[[DIAS_CORRIDOS]:[V_FUT_UTEIS]], J$5, FALSE)</f>
        <v>#N/A</v>
      </c>
      <c r="K1226" s="22" t="e">
        <f>VLOOKUP($A1226, TAB_CORRECAO_C[[DIAS_CORRIDOS]:[V_FUT_UTEIS]],K$5, FALSE)</f>
        <v>#N/A</v>
      </c>
      <c r="L1226" s="22" t="e">
        <f>VLOOKUP($A1226, TAB_AMORTIZACAO_C[[DIAS_CORRIDOS]:[V_FUT_UTEIS]], L$5, FALSE)</f>
        <v>#N/A</v>
      </c>
    </row>
    <row r="1227" spans="1:12" hidden="1">
      <c r="A1227" s="19">
        <f t="shared" si="104"/>
        <v>1221</v>
      </c>
      <c r="B1227" s="20">
        <f t="shared" si="100"/>
        <v>0</v>
      </c>
      <c r="C1227" s="21">
        <f t="shared" si="101"/>
        <v>0</v>
      </c>
      <c r="D1227" s="22" t="e">
        <f>VLOOKUP($A1227, TAB_JUROS_U[[Q_DIAS_U_PARC_TIR]:[V_FUT_U_JURS CENARIO]], D$5, FALSE)</f>
        <v>#N/A</v>
      </c>
      <c r="E1227" s="22" t="e">
        <f>VLOOKUP($A1227,TAB_CORRECAO_U[[Q_DIAS_U_PARC_TIR]:[V_FUT_U_CORC-02]],E$5, FALSE)</f>
        <v>#N/A</v>
      </c>
      <c r="F1227" s="22" t="e">
        <f>VLOOKUP($A1227,TAB_AMORTIZACAO_U[[Q_DIAS_U_PARC_TIR]:[V_FUT_U_PCPL-02]], F$5, FALSE)</f>
        <v>#N/A</v>
      </c>
      <c r="H1227" s="20">
        <f t="shared" si="102"/>
        <v>0</v>
      </c>
      <c r="I1227" s="21">
        <f t="shared" si="103"/>
        <v>0</v>
      </c>
      <c r="J1227" s="22" t="e">
        <f>VLOOKUP($A1227, TAB_JUROS_C[[DIAS_CORRIDOS]:[V_FUT_UTEIS]], J$5, FALSE)</f>
        <v>#N/A</v>
      </c>
      <c r="K1227" s="22" t="e">
        <f>VLOOKUP($A1227, TAB_CORRECAO_C[[DIAS_CORRIDOS]:[V_FUT_UTEIS]],K$5, FALSE)</f>
        <v>#N/A</v>
      </c>
      <c r="L1227" s="22" t="e">
        <f>VLOOKUP($A1227, TAB_AMORTIZACAO_C[[DIAS_CORRIDOS]:[V_FUT_UTEIS]], L$5, FALSE)</f>
        <v>#N/A</v>
      </c>
    </row>
    <row r="1228" spans="1:12" hidden="1">
      <c r="A1228" s="19">
        <f t="shared" si="104"/>
        <v>1222</v>
      </c>
      <c r="B1228" s="20">
        <f t="shared" si="100"/>
        <v>0</v>
      </c>
      <c r="C1228" s="21">
        <f t="shared" si="101"/>
        <v>0</v>
      </c>
      <c r="D1228" s="22" t="e">
        <f>VLOOKUP($A1228, TAB_JUROS_U[[Q_DIAS_U_PARC_TIR]:[V_FUT_U_JURS CENARIO]], D$5, FALSE)</f>
        <v>#N/A</v>
      </c>
      <c r="E1228" s="22" t="e">
        <f>VLOOKUP($A1228,TAB_CORRECAO_U[[Q_DIAS_U_PARC_TIR]:[V_FUT_U_CORC-02]],E$5, FALSE)</f>
        <v>#N/A</v>
      </c>
      <c r="F1228" s="22" t="e">
        <f>VLOOKUP($A1228,TAB_AMORTIZACAO_U[[Q_DIAS_U_PARC_TIR]:[V_FUT_U_PCPL-02]], F$5, FALSE)</f>
        <v>#N/A</v>
      </c>
      <c r="H1228" s="20">
        <f t="shared" si="102"/>
        <v>0</v>
      </c>
      <c r="I1228" s="21">
        <f t="shared" si="103"/>
        <v>0</v>
      </c>
      <c r="J1228" s="22" t="e">
        <f>VLOOKUP($A1228, TAB_JUROS_C[[DIAS_CORRIDOS]:[V_FUT_UTEIS]], J$5, FALSE)</f>
        <v>#N/A</v>
      </c>
      <c r="K1228" s="22" t="e">
        <f>VLOOKUP($A1228, TAB_CORRECAO_C[[DIAS_CORRIDOS]:[V_FUT_UTEIS]],K$5, FALSE)</f>
        <v>#N/A</v>
      </c>
      <c r="L1228" s="22" t="e">
        <f>VLOOKUP($A1228, TAB_AMORTIZACAO_C[[DIAS_CORRIDOS]:[V_FUT_UTEIS]], L$5, FALSE)</f>
        <v>#N/A</v>
      </c>
    </row>
    <row r="1229" spans="1:12" hidden="1">
      <c r="A1229" s="19">
        <f t="shared" si="104"/>
        <v>1223</v>
      </c>
      <c r="B1229" s="20">
        <f t="shared" si="100"/>
        <v>0</v>
      </c>
      <c r="C1229" s="21">
        <f t="shared" si="101"/>
        <v>0</v>
      </c>
      <c r="D1229" s="22" t="e">
        <f>VLOOKUP($A1229, TAB_JUROS_U[[Q_DIAS_U_PARC_TIR]:[V_FUT_U_JURS CENARIO]], D$5, FALSE)</f>
        <v>#N/A</v>
      </c>
      <c r="E1229" s="22" t="e">
        <f>VLOOKUP($A1229,TAB_CORRECAO_U[[Q_DIAS_U_PARC_TIR]:[V_FUT_U_CORC-02]],E$5, FALSE)</f>
        <v>#N/A</v>
      </c>
      <c r="F1229" s="22" t="e">
        <f>VLOOKUP($A1229,TAB_AMORTIZACAO_U[[Q_DIAS_U_PARC_TIR]:[V_FUT_U_PCPL-02]], F$5, FALSE)</f>
        <v>#N/A</v>
      </c>
      <c r="H1229" s="20">
        <f t="shared" si="102"/>
        <v>0</v>
      </c>
      <c r="I1229" s="21">
        <f t="shared" si="103"/>
        <v>0</v>
      </c>
      <c r="J1229" s="22" t="e">
        <f>VLOOKUP($A1229, TAB_JUROS_C[[DIAS_CORRIDOS]:[V_FUT_UTEIS]], J$5, FALSE)</f>
        <v>#N/A</v>
      </c>
      <c r="K1229" s="22" t="e">
        <f>VLOOKUP($A1229, TAB_CORRECAO_C[[DIAS_CORRIDOS]:[V_FUT_UTEIS]],K$5, FALSE)</f>
        <v>#N/A</v>
      </c>
      <c r="L1229" s="22" t="e">
        <f>VLOOKUP($A1229, TAB_AMORTIZACAO_C[[DIAS_CORRIDOS]:[V_FUT_UTEIS]], L$5, FALSE)</f>
        <v>#N/A</v>
      </c>
    </row>
    <row r="1230" spans="1:12" hidden="1">
      <c r="A1230" s="19">
        <f t="shared" si="104"/>
        <v>1224</v>
      </c>
      <c r="B1230" s="20">
        <f t="shared" si="100"/>
        <v>0</v>
      </c>
      <c r="C1230" s="21">
        <f t="shared" si="101"/>
        <v>0</v>
      </c>
      <c r="D1230" s="22" t="e">
        <f>VLOOKUP($A1230, TAB_JUROS_U[[Q_DIAS_U_PARC_TIR]:[V_FUT_U_JURS CENARIO]], D$5, FALSE)</f>
        <v>#N/A</v>
      </c>
      <c r="E1230" s="22" t="e">
        <f>VLOOKUP($A1230,TAB_CORRECAO_U[[Q_DIAS_U_PARC_TIR]:[V_FUT_U_CORC-02]],E$5, FALSE)</f>
        <v>#N/A</v>
      </c>
      <c r="F1230" s="22" t="e">
        <f>VLOOKUP($A1230,TAB_AMORTIZACAO_U[[Q_DIAS_U_PARC_TIR]:[V_FUT_U_PCPL-02]], F$5, FALSE)</f>
        <v>#N/A</v>
      </c>
      <c r="H1230" s="20">
        <f t="shared" si="102"/>
        <v>0</v>
      </c>
      <c r="I1230" s="21">
        <f t="shared" si="103"/>
        <v>0</v>
      </c>
      <c r="J1230" s="22" t="e">
        <f>VLOOKUP($A1230, TAB_JUROS_C[[DIAS_CORRIDOS]:[V_FUT_UTEIS]], J$5, FALSE)</f>
        <v>#N/A</v>
      </c>
      <c r="K1230" s="22" t="e">
        <f>VLOOKUP($A1230, TAB_CORRECAO_C[[DIAS_CORRIDOS]:[V_FUT_UTEIS]],K$5, FALSE)</f>
        <v>#N/A</v>
      </c>
      <c r="L1230" s="22" t="e">
        <f>VLOOKUP($A1230, TAB_AMORTIZACAO_C[[DIAS_CORRIDOS]:[V_FUT_UTEIS]], L$5, FALSE)</f>
        <v>#N/A</v>
      </c>
    </row>
    <row r="1231" spans="1:12">
      <c r="A1231" s="19">
        <f t="shared" si="104"/>
        <v>1225</v>
      </c>
      <c r="B1231" s="20">
        <f t="shared" si="100"/>
        <v>674.33071765900945</v>
      </c>
      <c r="C1231" s="21">
        <f t="shared" si="101"/>
        <v>674.33071765900945</v>
      </c>
      <c r="D1231" s="22">
        <f>VLOOKUP($A1231, TAB_JUROS_U[[Q_DIAS_U_PARC_TIR]:[V_FUT_U_JURS CENARIO]], D$5, FALSE)</f>
        <v>51.019294366490641</v>
      </c>
      <c r="E1231" s="22">
        <f>VLOOKUP($A1231,TAB_CORRECAO_U[[Q_DIAS_U_PARC_TIR]:[V_FUT_U_CORC-02]],E$5, FALSE)</f>
        <v>291.12742084415538</v>
      </c>
      <c r="F1231" s="22">
        <f>VLOOKUP($A1231,TAB_AMORTIZACAO_U[[Q_DIAS_U_PARC_TIR]:[V_FUT_U_PCPL-02]], F$5, FALSE)</f>
        <v>332.18400244836351</v>
      </c>
      <c r="H1231" s="20">
        <f t="shared" si="102"/>
        <v>0</v>
      </c>
      <c r="I1231" s="21">
        <f t="shared" si="103"/>
        <v>0</v>
      </c>
      <c r="J1231" s="22" t="e">
        <f>VLOOKUP($A1231, TAB_JUROS_C[[DIAS_CORRIDOS]:[V_FUT_UTEIS]], J$5, FALSE)</f>
        <v>#N/A</v>
      </c>
      <c r="K1231" s="22" t="e">
        <f>VLOOKUP($A1231, TAB_CORRECAO_C[[DIAS_CORRIDOS]:[V_FUT_UTEIS]],K$5, FALSE)</f>
        <v>#N/A</v>
      </c>
      <c r="L1231" s="22" t="e">
        <f>VLOOKUP($A1231, TAB_AMORTIZACAO_C[[DIAS_CORRIDOS]:[V_FUT_UTEIS]], L$5, FALSE)</f>
        <v>#N/A</v>
      </c>
    </row>
    <row r="1232" spans="1:12" hidden="1">
      <c r="A1232" s="19">
        <f t="shared" si="104"/>
        <v>1226</v>
      </c>
      <c r="B1232" s="20">
        <f t="shared" si="100"/>
        <v>0</v>
      </c>
      <c r="C1232" s="21">
        <f t="shared" si="101"/>
        <v>0</v>
      </c>
      <c r="D1232" s="22" t="e">
        <f>VLOOKUP($A1232, TAB_JUROS_U[[Q_DIAS_U_PARC_TIR]:[V_FUT_U_JURS CENARIO]], D$5, FALSE)</f>
        <v>#N/A</v>
      </c>
      <c r="E1232" s="22" t="e">
        <f>VLOOKUP($A1232,TAB_CORRECAO_U[[Q_DIAS_U_PARC_TIR]:[V_FUT_U_CORC-02]],E$5, FALSE)</f>
        <v>#N/A</v>
      </c>
      <c r="F1232" s="22" t="e">
        <f>VLOOKUP($A1232,TAB_AMORTIZACAO_U[[Q_DIAS_U_PARC_TIR]:[V_FUT_U_PCPL-02]], F$5, FALSE)</f>
        <v>#N/A</v>
      </c>
      <c r="H1232" s="20">
        <f t="shared" si="102"/>
        <v>0</v>
      </c>
      <c r="I1232" s="21">
        <f t="shared" si="103"/>
        <v>0</v>
      </c>
      <c r="J1232" s="22" t="e">
        <f>VLOOKUP($A1232, TAB_JUROS_C[[DIAS_CORRIDOS]:[V_FUT_UTEIS]], J$5, FALSE)</f>
        <v>#N/A</v>
      </c>
      <c r="K1232" s="22" t="e">
        <f>VLOOKUP($A1232, TAB_CORRECAO_C[[DIAS_CORRIDOS]:[V_FUT_UTEIS]],K$5, FALSE)</f>
        <v>#N/A</v>
      </c>
      <c r="L1232" s="22" t="e">
        <f>VLOOKUP($A1232, TAB_AMORTIZACAO_C[[DIAS_CORRIDOS]:[V_FUT_UTEIS]], L$5, FALSE)</f>
        <v>#N/A</v>
      </c>
    </row>
    <row r="1233" spans="1:12" hidden="1">
      <c r="A1233" s="19">
        <f t="shared" si="104"/>
        <v>1227</v>
      </c>
      <c r="B1233" s="20">
        <f t="shared" si="100"/>
        <v>0</v>
      </c>
      <c r="C1233" s="21">
        <f t="shared" si="101"/>
        <v>0</v>
      </c>
      <c r="D1233" s="22" t="e">
        <f>VLOOKUP($A1233, TAB_JUROS_U[[Q_DIAS_U_PARC_TIR]:[V_FUT_U_JURS CENARIO]], D$5, FALSE)</f>
        <v>#N/A</v>
      </c>
      <c r="E1233" s="22" t="e">
        <f>VLOOKUP($A1233,TAB_CORRECAO_U[[Q_DIAS_U_PARC_TIR]:[V_FUT_U_CORC-02]],E$5, FALSE)</f>
        <v>#N/A</v>
      </c>
      <c r="F1233" s="22" t="e">
        <f>VLOOKUP($A1233,TAB_AMORTIZACAO_U[[Q_DIAS_U_PARC_TIR]:[V_FUT_U_PCPL-02]], F$5, FALSE)</f>
        <v>#N/A</v>
      </c>
      <c r="H1233" s="20">
        <f t="shared" si="102"/>
        <v>0</v>
      </c>
      <c r="I1233" s="21">
        <f t="shared" si="103"/>
        <v>0</v>
      </c>
      <c r="J1233" s="22" t="e">
        <f>VLOOKUP($A1233, TAB_JUROS_C[[DIAS_CORRIDOS]:[V_FUT_UTEIS]], J$5, FALSE)</f>
        <v>#N/A</v>
      </c>
      <c r="K1233" s="22" t="e">
        <f>VLOOKUP($A1233, TAB_CORRECAO_C[[DIAS_CORRIDOS]:[V_FUT_UTEIS]],K$5, FALSE)</f>
        <v>#N/A</v>
      </c>
      <c r="L1233" s="22" t="e">
        <f>VLOOKUP($A1233, TAB_AMORTIZACAO_C[[DIAS_CORRIDOS]:[V_FUT_UTEIS]], L$5, FALSE)</f>
        <v>#N/A</v>
      </c>
    </row>
    <row r="1234" spans="1:12" hidden="1">
      <c r="A1234" s="19">
        <f t="shared" si="104"/>
        <v>1228</v>
      </c>
      <c r="B1234" s="20">
        <f t="shared" si="100"/>
        <v>0</v>
      </c>
      <c r="C1234" s="21">
        <f t="shared" si="101"/>
        <v>0</v>
      </c>
      <c r="D1234" s="22" t="e">
        <f>VLOOKUP($A1234, TAB_JUROS_U[[Q_DIAS_U_PARC_TIR]:[V_FUT_U_JURS CENARIO]], D$5, FALSE)</f>
        <v>#N/A</v>
      </c>
      <c r="E1234" s="22" t="e">
        <f>VLOOKUP($A1234,TAB_CORRECAO_U[[Q_DIAS_U_PARC_TIR]:[V_FUT_U_CORC-02]],E$5, FALSE)</f>
        <v>#N/A</v>
      </c>
      <c r="F1234" s="22" t="e">
        <f>VLOOKUP($A1234,TAB_AMORTIZACAO_U[[Q_DIAS_U_PARC_TIR]:[V_FUT_U_PCPL-02]], F$5, FALSE)</f>
        <v>#N/A</v>
      </c>
      <c r="H1234" s="20">
        <f t="shared" si="102"/>
        <v>1054.1057403058931</v>
      </c>
      <c r="I1234" s="21">
        <f t="shared" si="103"/>
        <v>1054.1057403058931</v>
      </c>
      <c r="J1234" s="22">
        <f>VLOOKUP($A1234, TAB_JUROS_C[[DIAS_CORRIDOS]:[V_FUT_UTEIS]], J$5, FALSE)</f>
        <v>80.829066067807901</v>
      </c>
      <c r="K1234" s="22">
        <f>VLOOKUP($A1234, TAB_CORRECAO_C[[DIAS_CORRIDOS]:[V_FUT_UTEIS]],K$5, FALSE)</f>
        <v>497.12017295314149</v>
      </c>
      <c r="L1234" s="22">
        <f>VLOOKUP($A1234, TAB_AMORTIZACAO_C[[DIAS_CORRIDOS]:[V_FUT_UTEIS]], L$5, FALSE)</f>
        <v>476.15650128494366</v>
      </c>
    </row>
    <row r="1235" spans="1:12" hidden="1">
      <c r="A1235" s="19">
        <f t="shared" si="104"/>
        <v>1229</v>
      </c>
      <c r="B1235" s="20">
        <f t="shared" si="100"/>
        <v>0</v>
      </c>
      <c r="C1235" s="21">
        <f t="shared" si="101"/>
        <v>0</v>
      </c>
      <c r="D1235" s="22" t="e">
        <f>VLOOKUP($A1235, TAB_JUROS_U[[Q_DIAS_U_PARC_TIR]:[V_FUT_U_JURS CENARIO]], D$5, FALSE)</f>
        <v>#N/A</v>
      </c>
      <c r="E1235" s="22" t="e">
        <f>VLOOKUP($A1235,TAB_CORRECAO_U[[Q_DIAS_U_PARC_TIR]:[V_FUT_U_CORC-02]],E$5, FALSE)</f>
        <v>#N/A</v>
      </c>
      <c r="F1235" s="22" t="e">
        <f>VLOOKUP($A1235,TAB_AMORTIZACAO_U[[Q_DIAS_U_PARC_TIR]:[V_FUT_U_PCPL-02]], F$5, FALSE)</f>
        <v>#N/A</v>
      </c>
      <c r="H1235" s="20">
        <f t="shared" si="102"/>
        <v>0</v>
      </c>
      <c r="I1235" s="21">
        <f t="shared" si="103"/>
        <v>0</v>
      </c>
      <c r="J1235" s="22" t="e">
        <f>VLOOKUP($A1235, TAB_JUROS_C[[DIAS_CORRIDOS]:[V_FUT_UTEIS]], J$5, FALSE)</f>
        <v>#N/A</v>
      </c>
      <c r="K1235" s="22" t="e">
        <f>VLOOKUP($A1235, TAB_CORRECAO_C[[DIAS_CORRIDOS]:[V_FUT_UTEIS]],K$5, FALSE)</f>
        <v>#N/A</v>
      </c>
      <c r="L1235" s="22" t="e">
        <f>VLOOKUP($A1235, TAB_AMORTIZACAO_C[[DIAS_CORRIDOS]:[V_FUT_UTEIS]], L$5, FALSE)</f>
        <v>#N/A</v>
      </c>
    </row>
    <row r="1236" spans="1:12" hidden="1">
      <c r="A1236" s="19">
        <f t="shared" si="104"/>
        <v>1230</v>
      </c>
      <c r="B1236" s="20">
        <f t="shared" si="100"/>
        <v>0</v>
      </c>
      <c r="C1236" s="21">
        <f t="shared" si="101"/>
        <v>0</v>
      </c>
      <c r="D1236" s="22" t="e">
        <f>VLOOKUP($A1236, TAB_JUROS_U[[Q_DIAS_U_PARC_TIR]:[V_FUT_U_JURS CENARIO]], D$5, FALSE)</f>
        <v>#N/A</v>
      </c>
      <c r="E1236" s="22" t="e">
        <f>VLOOKUP($A1236,TAB_CORRECAO_U[[Q_DIAS_U_PARC_TIR]:[V_FUT_U_CORC-02]],E$5, FALSE)</f>
        <v>#N/A</v>
      </c>
      <c r="F1236" s="22" t="e">
        <f>VLOOKUP($A1236,TAB_AMORTIZACAO_U[[Q_DIAS_U_PARC_TIR]:[V_FUT_U_PCPL-02]], F$5, FALSE)</f>
        <v>#N/A</v>
      </c>
      <c r="H1236" s="20">
        <f t="shared" si="102"/>
        <v>0</v>
      </c>
      <c r="I1236" s="21">
        <f t="shared" si="103"/>
        <v>0</v>
      </c>
      <c r="J1236" s="22" t="e">
        <f>VLOOKUP($A1236, TAB_JUROS_C[[DIAS_CORRIDOS]:[V_FUT_UTEIS]], J$5, FALSE)</f>
        <v>#N/A</v>
      </c>
      <c r="K1236" s="22" t="e">
        <f>VLOOKUP($A1236, TAB_CORRECAO_C[[DIAS_CORRIDOS]:[V_FUT_UTEIS]],K$5, FALSE)</f>
        <v>#N/A</v>
      </c>
      <c r="L1236" s="22" t="e">
        <f>VLOOKUP($A1236, TAB_AMORTIZACAO_C[[DIAS_CORRIDOS]:[V_FUT_UTEIS]], L$5, FALSE)</f>
        <v>#N/A</v>
      </c>
    </row>
    <row r="1237" spans="1:12" hidden="1">
      <c r="A1237" s="19">
        <f t="shared" si="104"/>
        <v>1231</v>
      </c>
      <c r="B1237" s="20">
        <f t="shared" si="100"/>
        <v>0</v>
      </c>
      <c r="C1237" s="21">
        <f t="shared" si="101"/>
        <v>0</v>
      </c>
      <c r="D1237" s="22" t="e">
        <f>VLOOKUP($A1237, TAB_JUROS_U[[Q_DIAS_U_PARC_TIR]:[V_FUT_U_JURS CENARIO]], D$5, FALSE)</f>
        <v>#N/A</v>
      </c>
      <c r="E1237" s="22" t="e">
        <f>VLOOKUP($A1237,TAB_CORRECAO_U[[Q_DIAS_U_PARC_TIR]:[V_FUT_U_CORC-02]],E$5, FALSE)</f>
        <v>#N/A</v>
      </c>
      <c r="F1237" s="22" t="e">
        <f>VLOOKUP($A1237,TAB_AMORTIZACAO_U[[Q_DIAS_U_PARC_TIR]:[V_FUT_U_PCPL-02]], F$5, FALSE)</f>
        <v>#N/A</v>
      </c>
      <c r="H1237" s="20">
        <f t="shared" si="102"/>
        <v>0</v>
      </c>
      <c r="I1237" s="21">
        <f t="shared" si="103"/>
        <v>0</v>
      </c>
      <c r="J1237" s="22" t="e">
        <f>VLOOKUP($A1237, TAB_JUROS_C[[DIAS_CORRIDOS]:[V_FUT_UTEIS]], J$5, FALSE)</f>
        <v>#N/A</v>
      </c>
      <c r="K1237" s="22" t="e">
        <f>VLOOKUP($A1237, TAB_CORRECAO_C[[DIAS_CORRIDOS]:[V_FUT_UTEIS]],K$5, FALSE)</f>
        <v>#N/A</v>
      </c>
      <c r="L1237" s="22" t="e">
        <f>VLOOKUP($A1237, TAB_AMORTIZACAO_C[[DIAS_CORRIDOS]:[V_FUT_UTEIS]], L$5, FALSE)</f>
        <v>#N/A</v>
      </c>
    </row>
    <row r="1238" spans="1:12" hidden="1">
      <c r="A1238" s="19">
        <f t="shared" si="104"/>
        <v>1232</v>
      </c>
      <c r="B1238" s="20">
        <f t="shared" si="100"/>
        <v>0</v>
      </c>
      <c r="C1238" s="21">
        <f t="shared" si="101"/>
        <v>0</v>
      </c>
      <c r="D1238" s="22" t="e">
        <f>VLOOKUP($A1238, TAB_JUROS_U[[Q_DIAS_U_PARC_TIR]:[V_FUT_U_JURS CENARIO]], D$5, FALSE)</f>
        <v>#N/A</v>
      </c>
      <c r="E1238" s="22" t="e">
        <f>VLOOKUP($A1238,TAB_CORRECAO_U[[Q_DIAS_U_PARC_TIR]:[V_FUT_U_CORC-02]],E$5, FALSE)</f>
        <v>#N/A</v>
      </c>
      <c r="F1238" s="22" t="e">
        <f>VLOOKUP($A1238,TAB_AMORTIZACAO_U[[Q_DIAS_U_PARC_TIR]:[V_FUT_U_PCPL-02]], F$5, FALSE)</f>
        <v>#N/A</v>
      </c>
      <c r="H1238" s="20">
        <f t="shared" si="102"/>
        <v>0</v>
      </c>
      <c r="I1238" s="21">
        <f t="shared" si="103"/>
        <v>0</v>
      </c>
      <c r="J1238" s="22" t="e">
        <f>VLOOKUP($A1238, TAB_JUROS_C[[DIAS_CORRIDOS]:[V_FUT_UTEIS]], J$5, FALSE)</f>
        <v>#N/A</v>
      </c>
      <c r="K1238" s="22" t="e">
        <f>VLOOKUP($A1238, TAB_CORRECAO_C[[DIAS_CORRIDOS]:[V_FUT_UTEIS]],K$5, FALSE)</f>
        <v>#N/A</v>
      </c>
      <c r="L1238" s="22" t="e">
        <f>VLOOKUP($A1238, TAB_AMORTIZACAO_C[[DIAS_CORRIDOS]:[V_FUT_UTEIS]], L$5, FALSE)</f>
        <v>#N/A</v>
      </c>
    </row>
    <row r="1239" spans="1:12" hidden="1">
      <c r="A1239" s="19">
        <f t="shared" si="104"/>
        <v>1233</v>
      </c>
      <c r="B1239" s="20">
        <f t="shared" si="100"/>
        <v>0</v>
      </c>
      <c r="C1239" s="21">
        <f t="shared" si="101"/>
        <v>0</v>
      </c>
      <c r="D1239" s="22" t="e">
        <f>VLOOKUP($A1239, TAB_JUROS_U[[Q_DIAS_U_PARC_TIR]:[V_FUT_U_JURS CENARIO]], D$5, FALSE)</f>
        <v>#N/A</v>
      </c>
      <c r="E1239" s="22" t="e">
        <f>VLOOKUP($A1239,TAB_CORRECAO_U[[Q_DIAS_U_PARC_TIR]:[V_FUT_U_CORC-02]],E$5, FALSE)</f>
        <v>#N/A</v>
      </c>
      <c r="F1239" s="22" t="e">
        <f>VLOOKUP($A1239,TAB_AMORTIZACAO_U[[Q_DIAS_U_PARC_TIR]:[V_FUT_U_PCPL-02]], F$5, FALSE)</f>
        <v>#N/A</v>
      </c>
      <c r="H1239" s="20">
        <f t="shared" si="102"/>
        <v>0</v>
      </c>
      <c r="I1239" s="21">
        <f t="shared" si="103"/>
        <v>0</v>
      </c>
      <c r="J1239" s="22" t="e">
        <f>VLOOKUP($A1239, TAB_JUROS_C[[DIAS_CORRIDOS]:[V_FUT_UTEIS]], J$5, FALSE)</f>
        <v>#N/A</v>
      </c>
      <c r="K1239" s="22" t="e">
        <f>VLOOKUP($A1239, TAB_CORRECAO_C[[DIAS_CORRIDOS]:[V_FUT_UTEIS]],K$5, FALSE)</f>
        <v>#N/A</v>
      </c>
      <c r="L1239" s="22" t="e">
        <f>VLOOKUP($A1239, TAB_AMORTIZACAO_C[[DIAS_CORRIDOS]:[V_FUT_UTEIS]], L$5, FALSE)</f>
        <v>#N/A</v>
      </c>
    </row>
    <row r="1240" spans="1:12" hidden="1">
      <c r="A1240" s="19">
        <f t="shared" si="104"/>
        <v>1234</v>
      </c>
      <c r="B1240" s="20">
        <f t="shared" si="100"/>
        <v>0</v>
      </c>
      <c r="C1240" s="21">
        <f t="shared" si="101"/>
        <v>0</v>
      </c>
      <c r="D1240" s="22" t="e">
        <f>VLOOKUP($A1240, TAB_JUROS_U[[Q_DIAS_U_PARC_TIR]:[V_FUT_U_JURS CENARIO]], D$5, FALSE)</f>
        <v>#N/A</v>
      </c>
      <c r="E1240" s="22" t="e">
        <f>VLOOKUP($A1240,TAB_CORRECAO_U[[Q_DIAS_U_PARC_TIR]:[V_FUT_U_CORC-02]],E$5, FALSE)</f>
        <v>#N/A</v>
      </c>
      <c r="F1240" s="22" t="e">
        <f>VLOOKUP($A1240,TAB_AMORTIZACAO_U[[Q_DIAS_U_PARC_TIR]:[V_FUT_U_PCPL-02]], F$5, FALSE)</f>
        <v>#N/A</v>
      </c>
      <c r="H1240" s="20">
        <f t="shared" si="102"/>
        <v>0</v>
      </c>
      <c r="I1240" s="21">
        <f t="shared" si="103"/>
        <v>0</v>
      </c>
      <c r="J1240" s="22" t="e">
        <f>VLOOKUP($A1240, TAB_JUROS_C[[DIAS_CORRIDOS]:[V_FUT_UTEIS]], J$5, FALSE)</f>
        <v>#N/A</v>
      </c>
      <c r="K1240" s="22" t="e">
        <f>VLOOKUP($A1240, TAB_CORRECAO_C[[DIAS_CORRIDOS]:[V_FUT_UTEIS]],K$5, FALSE)</f>
        <v>#N/A</v>
      </c>
      <c r="L1240" s="22" t="e">
        <f>VLOOKUP($A1240, TAB_AMORTIZACAO_C[[DIAS_CORRIDOS]:[V_FUT_UTEIS]], L$5, FALSE)</f>
        <v>#N/A</v>
      </c>
    </row>
    <row r="1241" spans="1:12" hidden="1">
      <c r="A1241" s="19">
        <f t="shared" si="104"/>
        <v>1235</v>
      </c>
      <c r="B1241" s="20">
        <f t="shared" si="100"/>
        <v>0</v>
      </c>
      <c r="C1241" s="21">
        <f t="shared" si="101"/>
        <v>0</v>
      </c>
      <c r="D1241" s="22" t="e">
        <f>VLOOKUP($A1241, TAB_JUROS_U[[Q_DIAS_U_PARC_TIR]:[V_FUT_U_JURS CENARIO]], D$5, FALSE)</f>
        <v>#N/A</v>
      </c>
      <c r="E1241" s="22" t="e">
        <f>VLOOKUP($A1241,TAB_CORRECAO_U[[Q_DIAS_U_PARC_TIR]:[V_FUT_U_CORC-02]],E$5, FALSE)</f>
        <v>#N/A</v>
      </c>
      <c r="F1241" s="22" t="e">
        <f>VLOOKUP($A1241,TAB_AMORTIZACAO_U[[Q_DIAS_U_PARC_TIR]:[V_FUT_U_PCPL-02]], F$5, FALSE)</f>
        <v>#N/A</v>
      </c>
      <c r="H1241" s="20">
        <f t="shared" si="102"/>
        <v>0</v>
      </c>
      <c r="I1241" s="21">
        <f t="shared" si="103"/>
        <v>0</v>
      </c>
      <c r="J1241" s="22" t="e">
        <f>VLOOKUP($A1241, TAB_JUROS_C[[DIAS_CORRIDOS]:[V_FUT_UTEIS]], J$5, FALSE)</f>
        <v>#N/A</v>
      </c>
      <c r="K1241" s="22" t="e">
        <f>VLOOKUP($A1241, TAB_CORRECAO_C[[DIAS_CORRIDOS]:[V_FUT_UTEIS]],K$5, FALSE)</f>
        <v>#N/A</v>
      </c>
      <c r="L1241" s="22" t="e">
        <f>VLOOKUP($A1241, TAB_AMORTIZACAO_C[[DIAS_CORRIDOS]:[V_FUT_UTEIS]], L$5, FALSE)</f>
        <v>#N/A</v>
      </c>
    </row>
    <row r="1242" spans="1:12" hidden="1">
      <c r="A1242" s="19">
        <f t="shared" si="104"/>
        <v>1236</v>
      </c>
      <c r="B1242" s="20">
        <f t="shared" si="100"/>
        <v>0</v>
      </c>
      <c r="C1242" s="21">
        <f t="shared" si="101"/>
        <v>0</v>
      </c>
      <c r="D1242" s="22" t="e">
        <f>VLOOKUP($A1242, TAB_JUROS_U[[Q_DIAS_U_PARC_TIR]:[V_FUT_U_JURS CENARIO]], D$5, FALSE)</f>
        <v>#N/A</v>
      </c>
      <c r="E1242" s="22" t="e">
        <f>VLOOKUP($A1242,TAB_CORRECAO_U[[Q_DIAS_U_PARC_TIR]:[V_FUT_U_CORC-02]],E$5, FALSE)</f>
        <v>#N/A</v>
      </c>
      <c r="F1242" s="22" t="e">
        <f>VLOOKUP($A1242,TAB_AMORTIZACAO_U[[Q_DIAS_U_PARC_TIR]:[V_FUT_U_PCPL-02]], F$5, FALSE)</f>
        <v>#N/A</v>
      </c>
      <c r="H1242" s="20">
        <f t="shared" si="102"/>
        <v>0</v>
      </c>
      <c r="I1242" s="21">
        <f t="shared" si="103"/>
        <v>0</v>
      </c>
      <c r="J1242" s="22" t="e">
        <f>VLOOKUP($A1242, TAB_JUROS_C[[DIAS_CORRIDOS]:[V_FUT_UTEIS]], J$5, FALSE)</f>
        <v>#N/A</v>
      </c>
      <c r="K1242" s="22" t="e">
        <f>VLOOKUP($A1242, TAB_CORRECAO_C[[DIAS_CORRIDOS]:[V_FUT_UTEIS]],K$5, FALSE)</f>
        <v>#N/A</v>
      </c>
      <c r="L1242" s="22" t="e">
        <f>VLOOKUP($A1242, TAB_AMORTIZACAO_C[[DIAS_CORRIDOS]:[V_FUT_UTEIS]], L$5, FALSE)</f>
        <v>#N/A</v>
      </c>
    </row>
    <row r="1243" spans="1:12" hidden="1">
      <c r="A1243" s="19">
        <f t="shared" si="104"/>
        <v>1237</v>
      </c>
      <c r="B1243" s="20">
        <f t="shared" si="100"/>
        <v>0</v>
      </c>
      <c r="C1243" s="21">
        <f t="shared" si="101"/>
        <v>0</v>
      </c>
      <c r="D1243" s="22" t="e">
        <f>VLOOKUP($A1243, TAB_JUROS_U[[Q_DIAS_U_PARC_TIR]:[V_FUT_U_JURS CENARIO]], D$5, FALSE)</f>
        <v>#N/A</v>
      </c>
      <c r="E1243" s="22" t="e">
        <f>VLOOKUP($A1243,TAB_CORRECAO_U[[Q_DIAS_U_PARC_TIR]:[V_FUT_U_CORC-02]],E$5, FALSE)</f>
        <v>#N/A</v>
      </c>
      <c r="F1243" s="22" t="e">
        <f>VLOOKUP($A1243,TAB_AMORTIZACAO_U[[Q_DIAS_U_PARC_TIR]:[V_FUT_U_PCPL-02]], F$5, FALSE)</f>
        <v>#N/A</v>
      </c>
      <c r="H1243" s="20">
        <f t="shared" si="102"/>
        <v>0</v>
      </c>
      <c r="I1243" s="21">
        <f t="shared" si="103"/>
        <v>0</v>
      </c>
      <c r="J1243" s="22" t="e">
        <f>VLOOKUP($A1243, TAB_JUROS_C[[DIAS_CORRIDOS]:[V_FUT_UTEIS]], J$5, FALSE)</f>
        <v>#N/A</v>
      </c>
      <c r="K1243" s="22" t="e">
        <f>VLOOKUP($A1243, TAB_CORRECAO_C[[DIAS_CORRIDOS]:[V_FUT_UTEIS]],K$5, FALSE)</f>
        <v>#N/A</v>
      </c>
      <c r="L1243" s="22" t="e">
        <f>VLOOKUP($A1243, TAB_AMORTIZACAO_C[[DIAS_CORRIDOS]:[V_FUT_UTEIS]], L$5, FALSE)</f>
        <v>#N/A</v>
      </c>
    </row>
    <row r="1244" spans="1:12" hidden="1">
      <c r="A1244" s="19">
        <f t="shared" si="104"/>
        <v>1238</v>
      </c>
      <c r="B1244" s="20">
        <f t="shared" si="100"/>
        <v>0</v>
      </c>
      <c r="C1244" s="21">
        <f t="shared" si="101"/>
        <v>0</v>
      </c>
      <c r="D1244" s="22" t="e">
        <f>VLOOKUP($A1244, TAB_JUROS_U[[Q_DIAS_U_PARC_TIR]:[V_FUT_U_JURS CENARIO]], D$5, FALSE)</f>
        <v>#N/A</v>
      </c>
      <c r="E1244" s="22" t="e">
        <f>VLOOKUP($A1244,TAB_CORRECAO_U[[Q_DIAS_U_PARC_TIR]:[V_FUT_U_CORC-02]],E$5, FALSE)</f>
        <v>#N/A</v>
      </c>
      <c r="F1244" s="22" t="e">
        <f>VLOOKUP($A1244,TAB_AMORTIZACAO_U[[Q_DIAS_U_PARC_TIR]:[V_FUT_U_PCPL-02]], F$5, FALSE)</f>
        <v>#N/A</v>
      </c>
      <c r="H1244" s="20">
        <f t="shared" si="102"/>
        <v>0</v>
      </c>
      <c r="I1244" s="21">
        <f t="shared" si="103"/>
        <v>0</v>
      </c>
      <c r="J1244" s="22" t="e">
        <f>VLOOKUP($A1244, TAB_JUROS_C[[DIAS_CORRIDOS]:[V_FUT_UTEIS]], J$5, FALSE)</f>
        <v>#N/A</v>
      </c>
      <c r="K1244" s="22" t="e">
        <f>VLOOKUP($A1244, TAB_CORRECAO_C[[DIAS_CORRIDOS]:[V_FUT_UTEIS]],K$5, FALSE)</f>
        <v>#N/A</v>
      </c>
      <c r="L1244" s="22" t="e">
        <f>VLOOKUP($A1244, TAB_AMORTIZACAO_C[[DIAS_CORRIDOS]:[V_FUT_UTEIS]], L$5, FALSE)</f>
        <v>#N/A</v>
      </c>
    </row>
    <row r="1245" spans="1:12" hidden="1">
      <c r="A1245" s="19">
        <f t="shared" si="104"/>
        <v>1239</v>
      </c>
      <c r="B1245" s="20">
        <f t="shared" si="100"/>
        <v>0</v>
      </c>
      <c r="C1245" s="21">
        <f t="shared" si="101"/>
        <v>0</v>
      </c>
      <c r="D1245" s="22" t="e">
        <f>VLOOKUP($A1245, TAB_JUROS_U[[Q_DIAS_U_PARC_TIR]:[V_FUT_U_JURS CENARIO]], D$5, FALSE)</f>
        <v>#N/A</v>
      </c>
      <c r="E1245" s="22" t="e">
        <f>VLOOKUP($A1245,TAB_CORRECAO_U[[Q_DIAS_U_PARC_TIR]:[V_FUT_U_CORC-02]],E$5, FALSE)</f>
        <v>#N/A</v>
      </c>
      <c r="F1245" s="22" t="e">
        <f>VLOOKUP($A1245,TAB_AMORTIZACAO_U[[Q_DIAS_U_PARC_TIR]:[V_FUT_U_PCPL-02]], F$5, FALSE)</f>
        <v>#N/A</v>
      </c>
      <c r="H1245" s="20">
        <f t="shared" si="102"/>
        <v>0</v>
      </c>
      <c r="I1245" s="21">
        <f t="shared" si="103"/>
        <v>0</v>
      </c>
      <c r="J1245" s="22" t="e">
        <f>VLOOKUP($A1245, TAB_JUROS_C[[DIAS_CORRIDOS]:[V_FUT_UTEIS]], J$5, FALSE)</f>
        <v>#N/A</v>
      </c>
      <c r="K1245" s="22" t="e">
        <f>VLOOKUP($A1245, TAB_CORRECAO_C[[DIAS_CORRIDOS]:[V_FUT_UTEIS]],K$5, FALSE)</f>
        <v>#N/A</v>
      </c>
      <c r="L1245" s="22" t="e">
        <f>VLOOKUP($A1245, TAB_AMORTIZACAO_C[[DIAS_CORRIDOS]:[V_FUT_UTEIS]], L$5, FALSE)</f>
        <v>#N/A</v>
      </c>
    </row>
    <row r="1246" spans="1:12" hidden="1">
      <c r="A1246" s="19">
        <f t="shared" si="104"/>
        <v>1240</v>
      </c>
      <c r="B1246" s="20">
        <f t="shared" si="100"/>
        <v>0</v>
      </c>
      <c r="C1246" s="21">
        <f t="shared" si="101"/>
        <v>0</v>
      </c>
      <c r="D1246" s="22" t="e">
        <f>VLOOKUP($A1246, TAB_JUROS_U[[Q_DIAS_U_PARC_TIR]:[V_FUT_U_JURS CENARIO]], D$5, FALSE)</f>
        <v>#N/A</v>
      </c>
      <c r="E1246" s="22" t="e">
        <f>VLOOKUP($A1246,TAB_CORRECAO_U[[Q_DIAS_U_PARC_TIR]:[V_FUT_U_CORC-02]],E$5, FALSE)</f>
        <v>#N/A</v>
      </c>
      <c r="F1246" s="22" t="e">
        <f>VLOOKUP($A1246,TAB_AMORTIZACAO_U[[Q_DIAS_U_PARC_TIR]:[V_FUT_U_PCPL-02]], F$5, FALSE)</f>
        <v>#N/A</v>
      </c>
      <c r="H1246" s="20">
        <f t="shared" si="102"/>
        <v>0</v>
      </c>
      <c r="I1246" s="21">
        <f t="shared" si="103"/>
        <v>0</v>
      </c>
      <c r="J1246" s="22" t="e">
        <f>VLOOKUP($A1246, TAB_JUROS_C[[DIAS_CORRIDOS]:[V_FUT_UTEIS]], J$5, FALSE)</f>
        <v>#N/A</v>
      </c>
      <c r="K1246" s="22" t="e">
        <f>VLOOKUP($A1246, TAB_CORRECAO_C[[DIAS_CORRIDOS]:[V_FUT_UTEIS]],K$5, FALSE)</f>
        <v>#N/A</v>
      </c>
      <c r="L1246" s="22" t="e">
        <f>VLOOKUP($A1246, TAB_AMORTIZACAO_C[[DIAS_CORRIDOS]:[V_FUT_UTEIS]], L$5, FALSE)</f>
        <v>#N/A</v>
      </c>
    </row>
    <row r="1247" spans="1:12" hidden="1">
      <c r="A1247" s="19">
        <f t="shared" si="104"/>
        <v>1241</v>
      </c>
      <c r="B1247" s="20">
        <f t="shared" si="100"/>
        <v>0</v>
      </c>
      <c r="C1247" s="21">
        <f t="shared" si="101"/>
        <v>0</v>
      </c>
      <c r="D1247" s="22" t="e">
        <f>VLOOKUP($A1247, TAB_JUROS_U[[Q_DIAS_U_PARC_TIR]:[V_FUT_U_JURS CENARIO]], D$5, FALSE)</f>
        <v>#N/A</v>
      </c>
      <c r="E1247" s="22" t="e">
        <f>VLOOKUP($A1247,TAB_CORRECAO_U[[Q_DIAS_U_PARC_TIR]:[V_FUT_U_CORC-02]],E$5, FALSE)</f>
        <v>#N/A</v>
      </c>
      <c r="F1247" s="22" t="e">
        <f>VLOOKUP($A1247,TAB_AMORTIZACAO_U[[Q_DIAS_U_PARC_TIR]:[V_FUT_U_PCPL-02]], F$5, FALSE)</f>
        <v>#N/A</v>
      </c>
      <c r="H1247" s="20">
        <f t="shared" si="102"/>
        <v>0</v>
      </c>
      <c r="I1247" s="21">
        <f t="shared" si="103"/>
        <v>0</v>
      </c>
      <c r="J1247" s="22" t="e">
        <f>VLOOKUP($A1247, TAB_JUROS_C[[DIAS_CORRIDOS]:[V_FUT_UTEIS]], J$5, FALSE)</f>
        <v>#N/A</v>
      </c>
      <c r="K1247" s="22" t="e">
        <f>VLOOKUP($A1247, TAB_CORRECAO_C[[DIAS_CORRIDOS]:[V_FUT_UTEIS]],K$5, FALSE)</f>
        <v>#N/A</v>
      </c>
      <c r="L1247" s="22" t="e">
        <f>VLOOKUP($A1247, TAB_AMORTIZACAO_C[[DIAS_CORRIDOS]:[V_FUT_UTEIS]], L$5, FALSE)</f>
        <v>#N/A</v>
      </c>
    </row>
    <row r="1248" spans="1:12" hidden="1">
      <c r="A1248" s="19">
        <f t="shared" si="104"/>
        <v>1242</v>
      </c>
      <c r="B1248" s="20">
        <f t="shared" si="100"/>
        <v>0</v>
      </c>
      <c r="C1248" s="21">
        <f t="shared" si="101"/>
        <v>0</v>
      </c>
      <c r="D1248" s="22" t="e">
        <f>VLOOKUP($A1248, TAB_JUROS_U[[Q_DIAS_U_PARC_TIR]:[V_FUT_U_JURS CENARIO]], D$5, FALSE)</f>
        <v>#N/A</v>
      </c>
      <c r="E1248" s="22" t="e">
        <f>VLOOKUP($A1248,TAB_CORRECAO_U[[Q_DIAS_U_PARC_TIR]:[V_FUT_U_CORC-02]],E$5, FALSE)</f>
        <v>#N/A</v>
      </c>
      <c r="F1248" s="22" t="e">
        <f>VLOOKUP($A1248,TAB_AMORTIZACAO_U[[Q_DIAS_U_PARC_TIR]:[V_FUT_U_PCPL-02]], F$5, FALSE)</f>
        <v>#N/A</v>
      </c>
      <c r="H1248" s="20">
        <f t="shared" si="102"/>
        <v>0</v>
      </c>
      <c r="I1248" s="21">
        <f t="shared" si="103"/>
        <v>0</v>
      </c>
      <c r="J1248" s="22" t="e">
        <f>VLOOKUP($A1248, TAB_JUROS_C[[DIAS_CORRIDOS]:[V_FUT_UTEIS]], J$5, FALSE)</f>
        <v>#N/A</v>
      </c>
      <c r="K1248" s="22" t="e">
        <f>VLOOKUP($A1248, TAB_CORRECAO_C[[DIAS_CORRIDOS]:[V_FUT_UTEIS]],K$5, FALSE)</f>
        <v>#N/A</v>
      </c>
      <c r="L1248" s="22" t="e">
        <f>VLOOKUP($A1248, TAB_AMORTIZACAO_C[[DIAS_CORRIDOS]:[V_FUT_UTEIS]], L$5, FALSE)</f>
        <v>#N/A</v>
      </c>
    </row>
    <row r="1249" spans="1:12" hidden="1">
      <c r="A1249" s="19">
        <f t="shared" si="104"/>
        <v>1243</v>
      </c>
      <c r="B1249" s="20">
        <f t="shared" si="100"/>
        <v>0</v>
      </c>
      <c r="C1249" s="21">
        <f t="shared" si="101"/>
        <v>0</v>
      </c>
      <c r="D1249" s="22" t="e">
        <f>VLOOKUP($A1249, TAB_JUROS_U[[Q_DIAS_U_PARC_TIR]:[V_FUT_U_JURS CENARIO]], D$5, FALSE)</f>
        <v>#N/A</v>
      </c>
      <c r="E1249" s="22" t="e">
        <f>VLOOKUP($A1249,TAB_CORRECAO_U[[Q_DIAS_U_PARC_TIR]:[V_FUT_U_CORC-02]],E$5, FALSE)</f>
        <v>#N/A</v>
      </c>
      <c r="F1249" s="22" t="e">
        <f>VLOOKUP($A1249,TAB_AMORTIZACAO_U[[Q_DIAS_U_PARC_TIR]:[V_FUT_U_PCPL-02]], F$5, FALSE)</f>
        <v>#N/A</v>
      </c>
      <c r="H1249" s="20">
        <f t="shared" si="102"/>
        <v>0</v>
      </c>
      <c r="I1249" s="21">
        <f t="shared" si="103"/>
        <v>0</v>
      </c>
      <c r="J1249" s="22" t="e">
        <f>VLOOKUP($A1249, TAB_JUROS_C[[DIAS_CORRIDOS]:[V_FUT_UTEIS]], J$5, FALSE)</f>
        <v>#N/A</v>
      </c>
      <c r="K1249" s="22" t="e">
        <f>VLOOKUP($A1249, TAB_CORRECAO_C[[DIAS_CORRIDOS]:[V_FUT_UTEIS]],K$5, FALSE)</f>
        <v>#N/A</v>
      </c>
      <c r="L1249" s="22" t="e">
        <f>VLOOKUP($A1249, TAB_AMORTIZACAO_C[[DIAS_CORRIDOS]:[V_FUT_UTEIS]], L$5, FALSE)</f>
        <v>#N/A</v>
      </c>
    </row>
    <row r="1250" spans="1:12" hidden="1">
      <c r="A1250" s="19">
        <f t="shared" si="104"/>
        <v>1244</v>
      </c>
      <c r="B1250" s="20">
        <f t="shared" si="100"/>
        <v>0</v>
      </c>
      <c r="C1250" s="21">
        <f t="shared" si="101"/>
        <v>0</v>
      </c>
      <c r="D1250" s="22" t="e">
        <f>VLOOKUP($A1250, TAB_JUROS_U[[Q_DIAS_U_PARC_TIR]:[V_FUT_U_JURS CENARIO]], D$5, FALSE)</f>
        <v>#N/A</v>
      </c>
      <c r="E1250" s="22" t="e">
        <f>VLOOKUP($A1250,TAB_CORRECAO_U[[Q_DIAS_U_PARC_TIR]:[V_FUT_U_CORC-02]],E$5, FALSE)</f>
        <v>#N/A</v>
      </c>
      <c r="F1250" s="22" t="e">
        <f>VLOOKUP($A1250,TAB_AMORTIZACAO_U[[Q_DIAS_U_PARC_TIR]:[V_FUT_U_PCPL-02]], F$5, FALSE)</f>
        <v>#N/A</v>
      </c>
      <c r="H1250" s="20">
        <f t="shared" si="102"/>
        <v>0</v>
      </c>
      <c r="I1250" s="21">
        <f t="shared" si="103"/>
        <v>0</v>
      </c>
      <c r="J1250" s="22" t="e">
        <f>VLOOKUP($A1250, TAB_JUROS_C[[DIAS_CORRIDOS]:[V_FUT_UTEIS]], J$5, FALSE)</f>
        <v>#N/A</v>
      </c>
      <c r="K1250" s="22" t="e">
        <f>VLOOKUP($A1250, TAB_CORRECAO_C[[DIAS_CORRIDOS]:[V_FUT_UTEIS]],K$5, FALSE)</f>
        <v>#N/A</v>
      </c>
      <c r="L1250" s="22" t="e">
        <f>VLOOKUP($A1250, TAB_AMORTIZACAO_C[[DIAS_CORRIDOS]:[V_FUT_UTEIS]], L$5, FALSE)</f>
        <v>#N/A</v>
      </c>
    </row>
    <row r="1251" spans="1:12">
      <c r="A1251" s="19">
        <f t="shared" si="104"/>
        <v>1245</v>
      </c>
      <c r="B1251" s="20">
        <f t="shared" si="100"/>
        <v>659.52327250001122</v>
      </c>
      <c r="C1251" s="21">
        <f t="shared" si="101"/>
        <v>659.52327250001122</v>
      </c>
      <c r="D1251" s="22">
        <f>VLOOKUP($A1251, TAB_JUROS_U[[Q_DIAS_U_PARC_TIR]:[V_FUT_U_JURS CENARIO]], D$5, FALSE)</f>
        <v>47.369795314230906</v>
      </c>
      <c r="E1251" s="22">
        <f>VLOOKUP($A1251,TAB_CORRECAO_U[[Q_DIAS_U_PARC_TIR]:[V_FUT_U_CORC-02]],E$5, FALSE)</f>
        <v>283.83160760406366</v>
      </c>
      <c r="F1251" s="22">
        <f>VLOOKUP($A1251,TAB_AMORTIZACAO_U[[Q_DIAS_U_PARC_TIR]:[V_FUT_U_PCPL-02]], F$5, FALSE)</f>
        <v>328.32186958171667</v>
      </c>
      <c r="H1251" s="20">
        <f t="shared" si="102"/>
        <v>0</v>
      </c>
      <c r="I1251" s="21">
        <f t="shared" si="103"/>
        <v>0</v>
      </c>
      <c r="J1251" s="22" t="e">
        <f>VLOOKUP($A1251, TAB_JUROS_C[[DIAS_CORRIDOS]:[V_FUT_UTEIS]], J$5, FALSE)</f>
        <v>#N/A</v>
      </c>
      <c r="K1251" s="22" t="e">
        <f>VLOOKUP($A1251, TAB_CORRECAO_C[[DIAS_CORRIDOS]:[V_FUT_UTEIS]],K$5, FALSE)</f>
        <v>#N/A</v>
      </c>
      <c r="L1251" s="22" t="e">
        <f>VLOOKUP($A1251, TAB_AMORTIZACAO_C[[DIAS_CORRIDOS]:[V_FUT_UTEIS]], L$5, FALSE)</f>
        <v>#N/A</v>
      </c>
    </row>
    <row r="1252" spans="1:12" hidden="1">
      <c r="A1252" s="19">
        <f t="shared" si="104"/>
        <v>1246</v>
      </c>
      <c r="B1252" s="20">
        <f t="shared" si="100"/>
        <v>0</v>
      </c>
      <c r="C1252" s="21">
        <f t="shared" si="101"/>
        <v>0</v>
      </c>
      <c r="D1252" s="22" t="e">
        <f>VLOOKUP($A1252, TAB_JUROS_U[[Q_DIAS_U_PARC_TIR]:[V_FUT_U_JURS CENARIO]], D$5, FALSE)</f>
        <v>#N/A</v>
      </c>
      <c r="E1252" s="22" t="e">
        <f>VLOOKUP($A1252,TAB_CORRECAO_U[[Q_DIAS_U_PARC_TIR]:[V_FUT_U_CORC-02]],E$5, FALSE)</f>
        <v>#N/A</v>
      </c>
      <c r="F1252" s="22" t="e">
        <f>VLOOKUP($A1252,TAB_AMORTIZACAO_U[[Q_DIAS_U_PARC_TIR]:[V_FUT_U_PCPL-02]], F$5, FALSE)</f>
        <v>#N/A</v>
      </c>
      <c r="H1252" s="20">
        <f t="shared" si="102"/>
        <v>0</v>
      </c>
      <c r="I1252" s="21">
        <f t="shared" si="103"/>
        <v>0</v>
      </c>
      <c r="J1252" s="22" t="e">
        <f>VLOOKUP($A1252, TAB_JUROS_C[[DIAS_CORRIDOS]:[V_FUT_UTEIS]], J$5, FALSE)</f>
        <v>#N/A</v>
      </c>
      <c r="K1252" s="22" t="e">
        <f>VLOOKUP($A1252, TAB_CORRECAO_C[[DIAS_CORRIDOS]:[V_FUT_UTEIS]],K$5, FALSE)</f>
        <v>#N/A</v>
      </c>
      <c r="L1252" s="22" t="e">
        <f>VLOOKUP($A1252, TAB_AMORTIZACAO_C[[DIAS_CORRIDOS]:[V_FUT_UTEIS]], L$5, FALSE)</f>
        <v>#N/A</v>
      </c>
    </row>
    <row r="1253" spans="1:12" hidden="1">
      <c r="A1253" s="19">
        <f t="shared" si="104"/>
        <v>1247</v>
      </c>
      <c r="B1253" s="20">
        <f t="shared" si="100"/>
        <v>0</v>
      </c>
      <c r="C1253" s="21">
        <f t="shared" si="101"/>
        <v>0</v>
      </c>
      <c r="D1253" s="22" t="e">
        <f>VLOOKUP($A1253, TAB_JUROS_U[[Q_DIAS_U_PARC_TIR]:[V_FUT_U_JURS CENARIO]], D$5, FALSE)</f>
        <v>#N/A</v>
      </c>
      <c r="E1253" s="22" t="e">
        <f>VLOOKUP($A1253,TAB_CORRECAO_U[[Q_DIAS_U_PARC_TIR]:[V_FUT_U_CORC-02]],E$5, FALSE)</f>
        <v>#N/A</v>
      </c>
      <c r="F1253" s="22" t="e">
        <f>VLOOKUP($A1253,TAB_AMORTIZACAO_U[[Q_DIAS_U_PARC_TIR]:[V_FUT_U_PCPL-02]], F$5, FALSE)</f>
        <v>#N/A</v>
      </c>
      <c r="H1253" s="20">
        <f t="shared" si="102"/>
        <v>0</v>
      </c>
      <c r="I1253" s="21">
        <f t="shared" si="103"/>
        <v>0</v>
      </c>
      <c r="J1253" s="22" t="e">
        <f>VLOOKUP($A1253, TAB_JUROS_C[[DIAS_CORRIDOS]:[V_FUT_UTEIS]], J$5, FALSE)</f>
        <v>#N/A</v>
      </c>
      <c r="K1253" s="22" t="e">
        <f>VLOOKUP($A1253, TAB_CORRECAO_C[[DIAS_CORRIDOS]:[V_FUT_UTEIS]],K$5, FALSE)</f>
        <v>#N/A</v>
      </c>
      <c r="L1253" s="22" t="e">
        <f>VLOOKUP($A1253, TAB_AMORTIZACAO_C[[DIAS_CORRIDOS]:[V_FUT_UTEIS]], L$5, FALSE)</f>
        <v>#N/A</v>
      </c>
    </row>
    <row r="1254" spans="1:12" hidden="1">
      <c r="A1254" s="19">
        <f t="shared" si="104"/>
        <v>1248</v>
      </c>
      <c r="B1254" s="20">
        <f t="shared" si="100"/>
        <v>0</v>
      </c>
      <c r="C1254" s="21">
        <f t="shared" si="101"/>
        <v>0</v>
      </c>
      <c r="D1254" s="22" t="e">
        <f>VLOOKUP($A1254, TAB_JUROS_U[[Q_DIAS_U_PARC_TIR]:[V_FUT_U_JURS CENARIO]], D$5, FALSE)</f>
        <v>#N/A</v>
      </c>
      <c r="E1254" s="22" t="e">
        <f>VLOOKUP($A1254,TAB_CORRECAO_U[[Q_DIAS_U_PARC_TIR]:[V_FUT_U_CORC-02]],E$5, FALSE)</f>
        <v>#N/A</v>
      </c>
      <c r="F1254" s="22" t="e">
        <f>VLOOKUP($A1254,TAB_AMORTIZACAO_U[[Q_DIAS_U_PARC_TIR]:[V_FUT_U_PCPL-02]], F$5, FALSE)</f>
        <v>#N/A</v>
      </c>
      <c r="H1254" s="20">
        <f t="shared" si="102"/>
        <v>0</v>
      </c>
      <c r="I1254" s="21">
        <f t="shared" si="103"/>
        <v>0</v>
      </c>
      <c r="J1254" s="22" t="e">
        <f>VLOOKUP($A1254, TAB_JUROS_C[[DIAS_CORRIDOS]:[V_FUT_UTEIS]], J$5, FALSE)</f>
        <v>#N/A</v>
      </c>
      <c r="K1254" s="22" t="e">
        <f>VLOOKUP($A1254, TAB_CORRECAO_C[[DIAS_CORRIDOS]:[V_FUT_UTEIS]],K$5, FALSE)</f>
        <v>#N/A</v>
      </c>
      <c r="L1254" s="22" t="e">
        <f>VLOOKUP($A1254, TAB_AMORTIZACAO_C[[DIAS_CORRIDOS]:[V_FUT_UTEIS]], L$5, FALSE)</f>
        <v>#N/A</v>
      </c>
    </row>
    <row r="1255" spans="1:12" hidden="1">
      <c r="A1255" s="19">
        <f t="shared" si="104"/>
        <v>1249</v>
      </c>
      <c r="B1255" s="20">
        <f t="shared" si="100"/>
        <v>0</v>
      </c>
      <c r="C1255" s="21">
        <f t="shared" si="101"/>
        <v>0</v>
      </c>
      <c r="D1255" s="22" t="e">
        <f>VLOOKUP($A1255, TAB_JUROS_U[[Q_DIAS_U_PARC_TIR]:[V_FUT_U_JURS CENARIO]], D$5, FALSE)</f>
        <v>#N/A</v>
      </c>
      <c r="E1255" s="22" t="e">
        <f>VLOOKUP($A1255,TAB_CORRECAO_U[[Q_DIAS_U_PARC_TIR]:[V_FUT_U_CORC-02]],E$5, FALSE)</f>
        <v>#N/A</v>
      </c>
      <c r="F1255" s="22" t="e">
        <f>VLOOKUP($A1255,TAB_AMORTIZACAO_U[[Q_DIAS_U_PARC_TIR]:[V_FUT_U_PCPL-02]], F$5, FALSE)</f>
        <v>#N/A</v>
      </c>
      <c r="H1255" s="20">
        <f t="shared" si="102"/>
        <v>0</v>
      </c>
      <c r="I1255" s="21">
        <f t="shared" si="103"/>
        <v>0</v>
      </c>
      <c r="J1255" s="22" t="e">
        <f>VLOOKUP($A1255, TAB_JUROS_C[[DIAS_CORRIDOS]:[V_FUT_UTEIS]], J$5, FALSE)</f>
        <v>#N/A</v>
      </c>
      <c r="K1255" s="22" t="e">
        <f>VLOOKUP($A1255, TAB_CORRECAO_C[[DIAS_CORRIDOS]:[V_FUT_UTEIS]],K$5, FALSE)</f>
        <v>#N/A</v>
      </c>
      <c r="L1255" s="22" t="e">
        <f>VLOOKUP($A1255, TAB_AMORTIZACAO_C[[DIAS_CORRIDOS]:[V_FUT_UTEIS]], L$5, FALSE)</f>
        <v>#N/A</v>
      </c>
    </row>
    <row r="1256" spans="1:12" hidden="1">
      <c r="A1256" s="19">
        <f t="shared" si="104"/>
        <v>1250</v>
      </c>
      <c r="B1256" s="20">
        <f t="shared" si="100"/>
        <v>0</v>
      </c>
      <c r="C1256" s="21">
        <f t="shared" si="101"/>
        <v>0</v>
      </c>
      <c r="D1256" s="22" t="e">
        <f>VLOOKUP($A1256, TAB_JUROS_U[[Q_DIAS_U_PARC_TIR]:[V_FUT_U_JURS CENARIO]], D$5, FALSE)</f>
        <v>#N/A</v>
      </c>
      <c r="E1256" s="22" t="e">
        <f>VLOOKUP($A1256,TAB_CORRECAO_U[[Q_DIAS_U_PARC_TIR]:[V_FUT_U_CORC-02]],E$5, FALSE)</f>
        <v>#N/A</v>
      </c>
      <c r="F1256" s="22" t="e">
        <f>VLOOKUP($A1256,TAB_AMORTIZACAO_U[[Q_DIAS_U_PARC_TIR]:[V_FUT_U_PCPL-02]], F$5, FALSE)</f>
        <v>#N/A</v>
      </c>
      <c r="H1256" s="20">
        <f t="shared" si="102"/>
        <v>0</v>
      </c>
      <c r="I1256" s="21">
        <f t="shared" si="103"/>
        <v>0</v>
      </c>
      <c r="J1256" s="22" t="e">
        <f>VLOOKUP($A1256, TAB_JUROS_C[[DIAS_CORRIDOS]:[V_FUT_UTEIS]], J$5, FALSE)</f>
        <v>#N/A</v>
      </c>
      <c r="K1256" s="22" t="e">
        <f>VLOOKUP($A1256, TAB_CORRECAO_C[[DIAS_CORRIDOS]:[V_FUT_UTEIS]],K$5, FALSE)</f>
        <v>#N/A</v>
      </c>
      <c r="L1256" s="22" t="e">
        <f>VLOOKUP($A1256, TAB_AMORTIZACAO_C[[DIAS_CORRIDOS]:[V_FUT_UTEIS]], L$5, FALSE)</f>
        <v>#N/A</v>
      </c>
    </row>
    <row r="1257" spans="1:12" hidden="1">
      <c r="A1257" s="19">
        <f t="shared" si="104"/>
        <v>1251</v>
      </c>
      <c r="B1257" s="20">
        <f t="shared" si="100"/>
        <v>0</v>
      </c>
      <c r="C1257" s="21">
        <f t="shared" si="101"/>
        <v>0</v>
      </c>
      <c r="D1257" s="22" t="e">
        <f>VLOOKUP($A1257, TAB_JUROS_U[[Q_DIAS_U_PARC_TIR]:[V_FUT_U_JURS CENARIO]], D$5, FALSE)</f>
        <v>#N/A</v>
      </c>
      <c r="E1257" s="22" t="e">
        <f>VLOOKUP($A1257,TAB_CORRECAO_U[[Q_DIAS_U_PARC_TIR]:[V_FUT_U_CORC-02]],E$5, FALSE)</f>
        <v>#N/A</v>
      </c>
      <c r="F1257" s="22" t="e">
        <f>VLOOKUP($A1257,TAB_AMORTIZACAO_U[[Q_DIAS_U_PARC_TIR]:[V_FUT_U_PCPL-02]], F$5, FALSE)</f>
        <v>#N/A</v>
      </c>
      <c r="H1257" s="20">
        <f t="shared" si="102"/>
        <v>0</v>
      </c>
      <c r="I1257" s="21">
        <f t="shared" si="103"/>
        <v>0</v>
      </c>
      <c r="J1257" s="22" t="e">
        <f>VLOOKUP($A1257, TAB_JUROS_C[[DIAS_CORRIDOS]:[V_FUT_UTEIS]], J$5, FALSE)</f>
        <v>#N/A</v>
      </c>
      <c r="K1257" s="22" t="e">
        <f>VLOOKUP($A1257, TAB_CORRECAO_C[[DIAS_CORRIDOS]:[V_FUT_UTEIS]],K$5, FALSE)</f>
        <v>#N/A</v>
      </c>
      <c r="L1257" s="22" t="e">
        <f>VLOOKUP($A1257, TAB_AMORTIZACAO_C[[DIAS_CORRIDOS]:[V_FUT_UTEIS]], L$5, FALSE)</f>
        <v>#N/A</v>
      </c>
    </row>
    <row r="1258" spans="1:12" hidden="1">
      <c r="A1258" s="19">
        <f t="shared" si="104"/>
        <v>1252</v>
      </c>
      <c r="B1258" s="20">
        <f t="shared" si="100"/>
        <v>0</v>
      </c>
      <c r="C1258" s="21">
        <f t="shared" si="101"/>
        <v>0</v>
      </c>
      <c r="D1258" s="22" t="e">
        <f>VLOOKUP($A1258, TAB_JUROS_U[[Q_DIAS_U_PARC_TIR]:[V_FUT_U_JURS CENARIO]], D$5, FALSE)</f>
        <v>#N/A</v>
      </c>
      <c r="E1258" s="22" t="e">
        <f>VLOOKUP($A1258,TAB_CORRECAO_U[[Q_DIAS_U_PARC_TIR]:[V_FUT_U_CORC-02]],E$5, FALSE)</f>
        <v>#N/A</v>
      </c>
      <c r="F1258" s="22" t="e">
        <f>VLOOKUP($A1258,TAB_AMORTIZACAO_U[[Q_DIAS_U_PARC_TIR]:[V_FUT_U_PCPL-02]], F$5, FALSE)</f>
        <v>#N/A</v>
      </c>
      <c r="H1258" s="20">
        <f t="shared" si="102"/>
        <v>0</v>
      </c>
      <c r="I1258" s="21">
        <f t="shared" si="103"/>
        <v>0</v>
      </c>
      <c r="J1258" s="22" t="e">
        <f>VLOOKUP($A1258, TAB_JUROS_C[[DIAS_CORRIDOS]:[V_FUT_UTEIS]], J$5, FALSE)</f>
        <v>#N/A</v>
      </c>
      <c r="K1258" s="22" t="e">
        <f>VLOOKUP($A1258, TAB_CORRECAO_C[[DIAS_CORRIDOS]:[V_FUT_UTEIS]],K$5, FALSE)</f>
        <v>#N/A</v>
      </c>
      <c r="L1258" s="22" t="e">
        <f>VLOOKUP($A1258, TAB_AMORTIZACAO_C[[DIAS_CORRIDOS]:[V_FUT_UTEIS]], L$5, FALSE)</f>
        <v>#N/A</v>
      </c>
    </row>
    <row r="1259" spans="1:12" hidden="1">
      <c r="A1259" s="19">
        <f t="shared" si="104"/>
        <v>1253</v>
      </c>
      <c r="B1259" s="20">
        <f t="shared" si="100"/>
        <v>0</v>
      </c>
      <c r="C1259" s="21">
        <f t="shared" si="101"/>
        <v>0</v>
      </c>
      <c r="D1259" s="22" t="e">
        <f>VLOOKUP($A1259, TAB_JUROS_U[[Q_DIAS_U_PARC_TIR]:[V_FUT_U_JURS CENARIO]], D$5, FALSE)</f>
        <v>#N/A</v>
      </c>
      <c r="E1259" s="22" t="e">
        <f>VLOOKUP($A1259,TAB_CORRECAO_U[[Q_DIAS_U_PARC_TIR]:[V_FUT_U_CORC-02]],E$5, FALSE)</f>
        <v>#N/A</v>
      </c>
      <c r="F1259" s="22" t="e">
        <f>VLOOKUP($A1259,TAB_AMORTIZACAO_U[[Q_DIAS_U_PARC_TIR]:[V_FUT_U_PCPL-02]], F$5, FALSE)</f>
        <v>#N/A</v>
      </c>
      <c r="H1259" s="20">
        <f t="shared" si="102"/>
        <v>0</v>
      </c>
      <c r="I1259" s="21">
        <f t="shared" si="103"/>
        <v>0</v>
      </c>
      <c r="J1259" s="22" t="e">
        <f>VLOOKUP($A1259, TAB_JUROS_C[[DIAS_CORRIDOS]:[V_FUT_UTEIS]], J$5, FALSE)</f>
        <v>#N/A</v>
      </c>
      <c r="K1259" s="22" t="e">
        <f>VLOOKUP($A1259, TAB_CORRECAO_C[[DIAS_CORRIDOS]:[V_FUT_UTEIS]],K$5, FALSE)</f>
        <v>#N/A</v>
      </c>
      <c r="L1259" s="22" t="e">
        <f>VLOOKUP($A1259, TAB_AMORTIZACAO_C[[DIAS_CORRIDOS]:[V_FUT_UTEIS]], L$5, FALSE)</f>
        <v>#N/A</v>
      </c>
    </row>
    <row r="1260" spans="1:12" hidden="1">
      <c r="A1260" s="19">
        <f t="shared" si="104"/>
        <v>1254</v>
      </c>
      <c r="B1260" s="20">
        <f t="shared" si="100"/>
        <v>0</v>
      </c>
      <c r="C1260" s="21">
        <f t="shared" si="101"/>
        <v>0</v>
      </c>
      <c r="D1260" s="22" t="e">
        <f>VLOOKUP($A1260, TAB_JUROS_U[[Q_DIAS_U_PARC_TIR]:[V_FUT_U_JURS CENARIO]], D$5, FALSE)</f>
        <v>#N/A</v>
      </c>
      <c r="E1260" s="22" t="e">
        <f>VLOOKUP($A1260,TAB_CORRECAO_U[[Q_DIAS_U_PARC_TIR]:[V_FUT_U_CORC-02]],E$5, FALSE)</f>
        <v>#N/A</v>
      </c>
      <c r="F1260" s="22" t="e">
        <f>VLOOKUP($A1260,TAB_AMORTIZACAO_U[[Q_DIAS_U_PARC_TIR]:[V_FUT_U_PCPL-02]], F$5, FALSE)</f>
        <v>#N/A</v>
      </c>
      <c r="H1260" s="20">
        <f t="shared" si="102"/>
        <v>0</v>
      </c>
      <c r="I1260" s="21">
        <f t="shared" si="103"/>
        <v>0</v>
      </c>
      <c r="J1260" s="22" t="e">
        <f>VLOOKUP($A1260, TAB_JUROS_C[[DIAS_CORRIDOS]:[V_FUT_UTEIS]], J$5, FALSE)</f>
        <v>#N/A</v>
      </c>
      <c r="K1260" s="22" t="e">
        <f>VLOOKUP($A1260, TAB_CORRECAO_C[[DIAS_CORRIDOS]:[V_FUT_UTEIS]],K$5, FALSE)</f>
        <v>#N/A</v>
      </c>
      <c r="L1260" s="22" t="e">
        <f>VLOOKUP($A1260, TAB_AMORTIZACAO_C[[DIAS_CORRIDOS]:[V_FUT_UTEIS]], L$5, FALSE)</f>
        <v>#N/A</v>
      </c>
    </row>
    <row r="1261" spans="1:12" hidden="1">
      <c r="A1261" s="19">
        <f t="shared" si="104"/>
        <v>1255</v>
      </c>
      <c r="B1261" s="20">
        <f t="shared" si="100"/>
        <v>0</v>
      </c>
      <c r="C1261" s="21">
        <f t="shared" si="101"/>
        <v>0</v>
      </c>
      <c r="D1261" s="22" t="e">
        <f>VLOOKUP($A1261, TAB_JUROS_U[[Q_DIAS_U_PARC_TIR]:[V_FUT_U_JURS CENARIO]], D$5, FALSE)</f>
        <v>#N/A</v>
      </c>
      <c r="E1261" s="22" t="e">
        <f>VLOOKUP($A1261,TAB_CORRECAO_U[[Q_DIAS_U_PARC_TIR]:[V_FUT_U_CORC-02]],E$5, FALSE)</f>
        <v>#N/A</v>
      </c>
      <c r="F1261" s="22" t="e">
        <f>VLOOKUP($A1261,TAB_AMORTIZACAO_U[[Q_DIAS_U_PARC_TIR]:[V_FUT_U_PCPL-02]], F$5, FALSE)</f>
        <v>#N/A</v>
      </c>
      <c r="H1261" s="20">
        <f t="shared" si="102"/>
        <v>0</v>
      </c>
      <c r="I1261" s="21">
        <f t="shared" si="103"/>
        <v>0</v>
      </c>
      <c r="J1261" s="22" t="e">
        <f>VLOOKUP($A1261, TAB_JUROS_C[[DIAS_CORRIDOS]:[V_FUT_UTEIS]], J$5, FALSE)</f>
        <v>#N/A</v>
      </c>
      <c r="K1261" s="22" t="e">
        <f>VLOOKUP($A1261, TAB_CORRECAO_C[[DIAS_CORRIDOS]:[V_FUT_UTEIS]],K$5, FALSE)</f>
        <v>#N/A</v>
      </c>
      <c r="L1261" s="22" t="e">
        <f>VLOOKUP($A1261, TAB_AMORTIZACAO_C[[DIAS_CORRIDOS]:[V_FUT_UTEIS]], L$5, FALSE)</f>
        <v>#N/A</v>
      </c>
    </row>
    <row r="1262" spans="1:12" hidden="1">
      <c r="A1262" s="19">
        <f t="shared" si="104"/>
        <v>1256</v>
      </c>
      <c r="B1262" s="20">
        <f t="shared" si="100"/>
        <v>0</v>
      </c>
      <c r="C1262" s="21">
        <f t="shared" si="101"/>
        <v>0</v>
      </c>
      <c r="D1262" s="22" t="e">
        <f>VLOOKUP($A1262, TAB_JUROS_U[[Q_DIAS_U_PARC_TIR]:[V_FUT_U_JURS CENARIO]], D$5, FALSE)</f>
        <v>#N/A</v>
      </c>
      <c r="E1262" s="22" t="e">
        <f>VLOOKUP($A1262,TAB_CORRECAO_U[[Q_DIAS_U_PARC_TIR]:[V_FUT_U_CORC-02]],E$5, FALSE)</f>
        <v>#N/A</v>
      </c>
      <c r="F1262" s="22" t="e">
        <f>VLOOKUP($A1262,TAB_AMORTIZACAO_U[[Q_DIAS_U_PARC_TIR]:[V_FUT_U_PCPL-02]], F$5, FALSE)</f>
        <v>#N/A</v>
      </c>
      <c r="H1262" s="20">
        <f t="shared" si="102"/>
        <v>0</v>
      </c>
      <c r="I1262" s="21">
        <f t="shared" si="103"/>
        <v>0</v>
      </c>
      <c r="J1262" s="22" t="e">
        <f>VLOOKUP($A1262, TAB_JUROS_C[[DIAS_CORRIDOS]:[V_FUT_UTEIS]], J$5, FALSE)</f>
        <v>#N/A</v>
      </c>
      <c r="K1262" s="22" t="e">
        <f>VLOOKUP($A1262, TAB_CORRECAO_C[[DIAS_CORRIDOS]:[V_FUT_UTEIS]],K$5, FALSE)</f>
        <v>#N/A</v>
      </c>
      <c r="L1262" s="22" t="e">
        <f>VLOOKUP($A1262, TAB_AMORTIZACAO_C[[DIAS_CORRIDOS]:[V_FUT_UTEIS]], L$5, FALSE)</f>
        <v>#N/A</v>
      </c>
    </row>
    <row r="1263" spans="1:12" hidden="1">
      <c r="A1263" s="19">
        <f t="shared" si="104"/>
        <v>1257</v>
      </c>
      <c r="B1263" s="20">
        <f t="shared" si="100"/>
        <v>0</v>
      </c>
      <c r="C1263" s="21">
        <f t="shared" si="101"/>
        <v>0</v>
      </c>
      <c r="D1263" s="22" t="e">
        <f>VLOOKUP($A1263, TAB_JUROS_U[[Q_DIAS_U_PARC_TIR]:[V_FUT_U_JURS CENARIO]], D$5, FALSE)</f>
        <v>#N/A</v>
      </c>
      <c r="E1263" s="22" t="e">
        <f>VLOOKUP($A1263,TAB_CORRECAO_U[[Q_DIAS_U_PARC_TIR]:[V_FUT_U_CORC-02]],E$5, FALSE)</f>
        <v>#N/A</v>
      </c>
      <c r="F1263" s="22" t="e">
        <f>VLOOKUP($A1263,TAB_AMORTIZACAO_U[[Q_DIAS_U_PARC_TIR]:[V_FUT_U_PCPL-02]], F$5, FALSE)</f>
        <v>#N/A</v>
      </c>
      <c r="H1263" s="20">
        <f t="shared" si="102"/>
        <v>0</v>
      </c>
      <c r="I1263" s="21">
        <f t="shared" si="103"/>
        <v>0</v>
      </c>
      <c r="J1263" s="22" t="e">
        <f>VLOOKUP($A1263, TAB_JUROS_C[[DIAS_CORRIDOS]:[V_FUT_UTEIS]], J$5, FALSE)</f>
        <v>#N/A</v>
      </c>
      <c r="K1263" s="22" t="e">
        <f>VLOOKUP($A1263, TAB_CORRECAO_C[[DIAS_CORRIDOS]:[V_FUT_UTEIS]],K$5, FALSE)</f>
        <v>#N/A</v>
      </c>
      <c r="L1263" s="22" t="e">
        <f>VLOOKUP($A1263, TAB_AMORTIZACAO_C[[DIAS_CORRIDOS]:[V_FUT_UTEIS]], L$5, FALSE)</f>
        <v>#N/A</v>
      </c>
    </row>
    <row r="1264" spans="1:12" hidden="1">
      <c r="A1264" s="19">
        <f t="shared" si="104"/>
        <v>1258</v>
      </c>
      <c r="B1264" s="20">
        <f t="shared" si="100"/>
        <v>0</v>
      </c>
      <c r="C1264" s="21">
        <f t="shared" si="101"/>
        <v>0</v>
      </c>
      <c r="D1264" s="22" t="e">
        <f>VLOOKUP($A1264, TAB_JUROS_U[[Q_DIAS_U_PARC_TIR]:[V_FUT_U_JURS CENARIO]], D$5, FALSE)</f>
        <v>#N/A</v>
      </c>
      <c r="E1264" s="22" t="e">
        <f>VLOOKUP($A1264,TAB_CORRECAO_U[[Q_DIAS_U_PARC_TIR]:[V_FUT_U_CORC-02]],E$5, FALSE)</f>
        <v>#N/A</v>
      </c>
      <c r="F1264" s="22" t="e">
        <f>VLOOKUP($A1264,TAB_AMORTIZACAO_U[[Q_DIAS_U_PARC_TIR]:[V_FUT_U_PCPL-02]], F$5, FALSE)</f>
        <v>#N/A</v>
      </c>
      <c r="H1264" s="20">
        <f t="shared" si="102"/>
        <v>0</v>
      </c>
      <c r="I1264" s="21">
        <f t="shared" si="103"/>
        <v>0</v>
      </c>
      <c r="J1264" s="22" t="e">
        <f>VLOOKUP($A1264, TAB_JUROS_C[[DIAS_CORRIDOS]:[V_FUT_UTEIS]], J$5, FALSE)</f>
        <v>#N/A</v>
      </c>
      <c r="K1264" s="22" t="e">
        <f>VLOOKUP($A1264, TAB_CORRECAO_C[[DIAS_CORRIDOS]:[V_FUT_UTEIS]],K$5, FALSE)</f>
        <v>#N/A</v>
      </c>
      <c r="L1264" s="22" t="e">
        <f>VLOOKUP($A1264, TAB_AMORTIZACAO_C[[DIAS_CORRIDOS]:[V_FUT_UTEIS]], L$5, FALSE)</f>
        <v>#N/A</v>
      </c>
    </row>
    <row r="1265" spans="1:12" hidden="1">
      <c r="A1265" s="19">
        <f t="shared" si="104"/>
        <v>1259</v>
      </c>
      <c r="B1265" s="20">
        <f t="shared" si="100"/>
        <v>0</v>
      </c>
      <c r="C1265" s="21">
        <f t="shared" si="101"/>
        <v>0</v>
      </c>
      <c r="D1265" s="22" t="e">
        <f>VLOOKUP($A1265, TAB_JUROS_U[[Q_DIAS_U_PARC_TIR]:[V_FUT_U_JURS CENARIO]], D$5, FALSE)</f>
        <v>#N/A</v>
      </c>
      <c r="E1265" s="22" t="e">
        <f>VLOOKUP($A1265,TAB_CORRECAO_U[[Q_DIAS_U_PARC_TIR]:[V_FUT_U_CORC-02]],E$5, FALSE)</f>
        <v>#N/A</v>
      </c>
      <c r="F1265" s="22" t="e">
        <f>VLOOKUP($A1265,TAB_AMORTIZACAO_U[[Q_DIAS_U_PARC_TIR]:[V_FUT_U_PCPL-02]], F$5, FALSE)</f>
        <v>#N/A</v>
      </c>
      <c r="H1265" s="20">
        <f t="shared" si="102"/>
        <v>0</v>
      </c>
      <c r="I1265" s="21">
        <f t="shared" si="103"/>
        <v>0</v>
      </c>
      <c r="J1265" s="22" t="e">
        <f>VLOOKUP($A1265, TAB_JUROS_C[[DIAS_CORRIDOS]:[V_FUT_UTEIS]], J$5, FALSE)</f>
        <v>#N/A</v>
      </c>
      <c r="K1265" s="22" t="e">
        <f>VLOOKUP($A1265, TAB_CORRECAO_C[[DIAS_CORRIDOS]:[V_FUT_UTEIS]],K$5, FALSE)</f>
        <v>#N/A</v>
      </c>
      <c r="L1265" s="22" t="e">
        <f>VLOOKUP($A1265, TAB_AMORTIZACAO_C[[DIAS_CORRIDOS]:[V_FUT_UTEIS]], L$5, FALSE)</f>
        <v>#N/A</v>
      </c>
    </row>
    <row r="1266" spans="1:12" hidden="1">
      <c r="A1266" s="19">
        <f t="shared" si="104"/>
        <v>1260</v>
      </c>
      <c r="B1266" s="20">
        <f t="shared" si="100"/>
        <v>0</v>
      </c>
      <c r="C1266" s="21">
        <f t="shared" si="101"/>
        <v>0</v>
      </c>
      <c r="D1266" s="22" t="e">
        <f>VLOOKUP($A1266, TAB_JUROS_U[[Q_DIAS_U_PARC_TIR]:[V_FUT_U_JURS CENARIO]], D$5, FALSE)</f>
        <v>#N/A</v>
      </c>
      <c r="E1266" s="22" t="e">
        <f>VLOOKUP($A1266,TAB_CORRECAO_U[[Q_DIAS_U_PARC_TIR]:[V_FUT_U_CORC-02]],E$5, FALSE)</f>
        <v>#N/A</v>
      </c>
      <c r="F1266" s="22" t="e">
        <f>VLOOKUP($A1266,TAB_AMORTIZACAO_U[[Q_DIAS_U_PARC_TIR]:[V_FUT_U_PCPL-02]], F$5, FALSE)</f>
        <v>#N/A</v>
      </c>
      <c r="H1266" s="20">
        <f t="shared" si="102"/>
        <v>1050.0108928929101</v>
      </c>
      <c r="I1266" s="21">
        <f t="shared" si="103"/>
        <v>1050.0108928929101</v>
      </c>
      <c r="J1266" s="22">
        <f>VLOOKUP($A1266, TAB_JUROS_C[[DIAS_CORRIDOS]:[V_FUT_UTEIS]], J$5, FALSE)</f>
        <v>82.565856515658808</v>
      </c>
      <c r="K1266" s="22">
        <f>VLOOKUP($A1266, TAB_CORRECAO_C[[DIAS_CORRIDOS]:[V_FUT_UTEIS]],K$5, FALSE)</f>
        <v>507.62306749324739</v>
      </c>
      <c r="L1266" s="22">
        <f>VLOOKUP($A1266, TAB_AMORTIZACAO_C[[DIAS_CORRIDOS]:[V_FUT_UTEIS]], L$5, FALSE)</f>
        <v>459.82196888400392</v>
      </c>
    </row>
    <row r="1267" spans="1:12" hidden="1">
      <c r="A1267" s="19">
        <f t="shared" si="104"/>
        <v>1261</v>
      </c>
      <c r="B1267" s="20">
        <f t="shared" si="100"/>
        <v>0</v>
      </c>
      <c r="C1267" s="21">
        <f t="shared" si="101"/>
        <v>0</v>
      </c>
      <c r="D1267" s="22" t="e">
        <f>VLOOKUP($A1267, TAB_JUROS_U[[Q_DIAS_U_PARC_TIR]:[V_FUT_U_JURS CENARIO]], D$5, FALSE)</f>
        <v>#N/A</v>
      </c>
      <c r="E1267" s="22" t="e">
        <f>VLOOKUP($A1267,TAB_CORRECAO_U[[Q_DIAS_U_PARC_TIR]:[V_FUT_U_CORC-02]],E$5, FALSE)</f>
        <v>#N/A</v>
      </c>
      <c r="F1267" s="22" t="e">
        <f>VLOOKUP($A1267,TAB_AMORTIZACAO_U[[Q_DIAS_U_PARC_TIR]:[V_FUT_U_PCPL-02]], F$5, FALSE)</f>
        <v>#N/A</v>
      </c>
      <c r="H1267" s="20">
        <f t="shared" si="102"/>
        <v>0</v>
      </c>
      <c r="I1267" s="21">
        <f t="shared" si="103"/>
        <v>0</v>
      </c>
      <c r="J1267" s="22" t="e">
        <f>VLOOKUP($A1267, TAB_JUROS_C[[DIAS_CORRIDOS]:[V_FUT_UTEIS]], J$5, FALSE)</f>
        <v>#N/A</v>
      </c>
      <c r="K1267" s="22" t="e">
        <f>VLOOKUP($A1267, TAB_CORRECAO_C[[DIAS_CORRIDOS]:[V_FUT_UTEIS]],K$5, FALSE)</f>
        <v>#N/A</v>
      </c>
      <c r="L1267" s="22" t="e">
        <f>VLOOKUP($A1267, TAB_AMORTIZACAO_C[[DIAS_CORRIDOS]:[V_FUT_UTEIS]], L$5, FALSE)</f>
        <v>#N/A</v>
      </c>
    </row>
    <row r="1268" spans="1:12" hidden="1">
      <c r="A1268" s="19">
        <f t="shared" si="104"/>
        <v>1262</v>
      </c>
      <c r="B1268" s="20">
        <f t="shared" si="100"/>
        <v>0</v>
      </c>
      <c r="C1268" s="21">
        <f t="shared" si="101"/>
        <v>0</v>
      </c>
      <c r="D1268" s="22" t="e">
        <f>VLOOKUP($A1268, TAB_JUROS_U[[Q_DIAS_U_PARC_TIR]:[V_FUT_U_JURS CENARIO]], D$5, FALSE)</f>
        <v>#N/A</v>
      </c>
      <c r="E1268" s="22" t="e">
        <f>VLOOKUP($A1268,TAB_CORRECAO_U[[Q_DIAS_U_PARC_TIR]:[V_FUT_U_CORC-02]],E$5, FALSE)</f>
        <v>#N/A</v>
      </c>
      <c r="F1268" s="22" t="e">
        <f>VLOOKUP($A1268,TAB_AMORTIZACAO_U[[Q_DIAS_U_PARC_TIR]:[V_FUT_U_PCPL-02]], F$5, FALSE)</f>
        <v>#N/A</v>
      </c>
      <c r="H1268" s="20">
        <f t="shared" si="102"/>
        <v>0</v>
      </c>
      <c r="I1268" s="21">
        <f t="shared" si="103"/>
        <v>0</v>
      </c>
      <c r="J1268" s="22" t="e">
        <f>VLOOKUP($A1268, TAB_JUROS_C[[DIAS_CORRIDOS]:[V_FUT_UTEIS]], J$5, FALSE)</f>
        <v>#N/A</v>
      </c>
      <c r="K1268" s="22" t="e">
        <f>VLOOKUP($A1268, TAB_CORRECAO_C[[DIAS_CORRIDOS]:[V_FUT_UTEIS]],K$5, FALSE)</f>
        <v>#N/A</v>
      </c>
      <c r="L1268" s="22" t="e">
        <f>VLOOKUP($A1268, TAB_AMORTIZACAO_C[[DIAS_CORRIDOS]:[V_FUT_UTEIS]], L$5, FALSE)</f>
        <v>#N/A</v>
      </c>
    </row>
    <row r="1269" spans="1:12" hidden="1">
      <c r="A1269" s="19">
        <f t="shared" si="104"/>
        <v>1263</v>
      </c>
      <c r="B1269" s="20">
        <f t="shared" si="100"/>
        <v>0</v>
      </c>
      <c r="C1269" s="21">
        <f t="shared" si="101"/>
        <v>0</v>
      </c>
      <c r="D1269" s="22" t="e">
        <f>VLOOKUP($A1269, TAB_JUROS_U[[Q_DIAS_U_PARC_TIR]:[V_FUT_U_JURS CENARIO]], D$5, FALSE)</f>
        <v>#N/A</v>
      </c>
      <c r="E1269" s="22" t="e">
        <f>VLOOKUP($A1269,TAB_CORRECAO_U[[Q_DIAS_U_PARC_TIR]:[V_FUT_U_CORC-02]],E$5, FALSE)</f>
        <v>#N/A</v>
      </c>
      <c r="F1269" s="22" t="e">
        <f>VLOOKUP($A1269,TAB_AMORTIZACAO_U[[Q_DIAS_U_PARC_TIR]:[V_FUT_U_PCPL-02]], F$5, FALSE)</f>
        <v>#N/A</v>
      </c>
      <c r="H1269" s="20">
        <f t="shared" si="102"/>
        <v>0</v>
      </c>
      <c r="I1269" s="21">
        <f t="shared" si="103"/>
        <v>0</v>
      </c>
      <c r="J1269" s="22" t="e">
        <f>VLOOKUP($A1269, TAB_JUROS_C[[DIAS_CORRIDOS]:[V_FUT_UTEIS]], J$5, FALSE)</f>
        <v>#N/A</v>
      </c>
      <c r="K1269" s="22" t="e">
        <f>VLOOKUP($A1269, TAB_CORRECAO_C[[DIAS_CORRIDOS]:[V_FUT_UTEIS]],K$5, FALSE)</f>
        <v>#N/A</v>
      </c>
      <c r="L1269" s="22" t="e">
        <f>VLOOKUP($A1269, TAB_AMORTIZACAO_C[[DIAS_CORRIDOS]:[V_FUT_UTEIS]], L$5, FALSE)</f>
        <v>#N/A</v>
      </c>
    </row>
    <row r="1270" spans="1:12" hidden="1">
      <c r="A1270" s="19">
        <f t="shared" si="104"/>
        <v>1264</v>
      </c>
      <c r="B1270" s="20">
        <f t="shared" si="100"/>
        <v>0</v>
      </c>
      <c r="C1270" s="21">
        <f t="shared" si="101"/>
        <v>0</v>
      </c>
      <c r="D1270" s="22" t="e">
        <f>VLOOKUP($A1270, TAB_JUROS_U[[Q_DIAS_U_PARC_TIR]:[V_FUT_U_JURS CENARIO]], D$5, FALSE)</f>
        <v>#N/A</v>
      </c>
      <c r="E1270" s="22" t="e">
        <f>VLOOKUP($A1270,TAB_CORRECAO_U[[Q_DIAS_U_PARC_TIR]:[V_FUT_U_CORC-02]],E$5, FALSE)</f>
        <v>#N/A</v>
      </c>
      <c r="F1270" s="22" t="e">
        <f>VLOOKUP($A1270,TAB_AMORTIZACAO_U[[Q_DIAS_U_PARC_TIR]:[V_FUT_U_PCPL-02]], F$5, FALSE)</f>
        <v>#N/A</v>
      </c>
      <c r="H1270" s="20">
        <f t="shared" si="102"/>
        <v>0</v>
      </c>
      <c r="I1270" s="21">
        <f t="shared" si="103"/>
        <v>0</v>
      </c>
      <c r="J1270" s="22" t="e">
        <f>VLOOKUP($A1270, TAB_JUROS_C[[DIAS_CORRIDOS]:[V_FUT_UTEIS]], J$5, FALSE)</f>
        <v>#N/A</v>
      </c>
      <c r="K1270" s="22" t="e">
        <f>VLOOKUP($A1270, TAB_CORRECAO_C[[DIAS_CORRIDOS]:[V_FUT_UTEIS]],K$5, FALSE)</f>
        <v>#N/A</v>
      </c>
      <c r="L1270" s="22" t="e">
        <f>VLOOKUP($A1270, TAB_AMORTIZACAO_C[[DIAS_CORRIDOS]:[V_FUT_UTEIS]], L$5, FALSE)</f>
        <v>#N/A</v>
      </c>
    </row>
    <row r="1271" spans="1:12" hidden="1">
      <c r="A1271" s="19">
        <f t="shared" si="104"/>
        <v>1265</v>
      </c>
      <c r="B1271" s="20">
        <f t="shared" si="100"/>
        <v>0</v>
      </c>
      <c r="C1271" s="21">
        <f t="shared" si="101"/>
        <v>0</v>
      </c>
      <c r="D1271" s="22" t="e">
        <f>VLOOKUP($A1271, TAB_JUROS_U[[Q_DIAS_U_PARC_TIR]:[V_FUT_U_JURS CENARIO]], D$5, FALSE)</f>
        <v>#N/A</v>
      </c>
      <c r="E1271" s="22" t="e">
        <f>VLOOKUP($A1271,TAB_CORRECAO_U[[Q_DIAS_U_PARC_TIR]:[V_FUT_U_CORC-02]],E$5, FALSE)</f>
        <v>#N/A</v>
      </c>
      <c r="F1271" s="22" t="e">
        <f>VLOOKUP($A1271,TAB_AMORTIZACAO_U[[Q_DIAS_U_PARC_TIR]:[V_FUT_U_PCPL-02]], F$5, FALSE)</f>
        <v>#N/A</v>
      </c>
      <c r="H1271" s="20">
        <f t="shared" si="102"/>
        <v>0</v>
      </c>
      <c r="I1271" s="21">
        <f t="shared" si="103"/>
        <v>0</v>
      </c>
      <c r="J1271" s="22" t="e">
        <f>VLOOKUP($A1271, TAB_JUROS_C[[DIAS_CORRIDOS]:[V_FUT_UTEIS]], J$5, FALSE)</f>
        <v>#N/A</v>
      </c>
      <c r="K1271" s="22" t="e">
        <f>VLOOKUP($A1271, TAB_CORRECAO_C[[DIAS_CORRIDOS]:[V_FUT_UTEIS]],K$5, FALSE)</f>
        <v>#N/A</v>
      </c>
      <c r="L1271" s="22" t="e">
        <f>VLOOKUP($A1271, TAB_AMORTIZACAO_C[[DIAS_CORRIDOS]:[V_FUT_UTEIS]], L$5, FALSE)</f>
        <v>#N/A</v>
      </c>
    </row>
    <row r="1272" spans="1:12" hidden="1">
      <c r="A1272" s="19">
        <f t="shared" si="104"/>
        <v>1266</v>
      </c>
      <c r="B1272" s="20">
        <f t="shared" si="100"/>
        <v>0</v>
      </c>
      <c r="C1272" s="21">
        <f t="shared" si="101"/>
        <v>0</v>
      </c>
      <c r="D1272" s="22" t="e">
        <f>VLOOKUP($A1272, TAB_JUROS_U[[Q_DIAS_U_PARC_TIR]:[V_FUT_U_JURS CENARIO]], D$5, FALSE)</f>
        <v>#N/A</v>
      </c>
      <c r="E1272" s="22" t="e">
        <f>VLOOKUP($A1272,TAB_CORRECAO_U[[Q_DIAS_U_PARC_TIR]:[V_FUT_U_CORC-02]],E$5, FALSE)</f>
        <v>#N/A</v>
      </c>
      <c r="F1272" s="22" t="e">
        <f>VLOOKUP($A1272,TAB_AMORTIZACAO_U[[Q_DIAS_U_PARC_TIR]:[V_FUT_U_PCPL-02]], F$5, FALSE)</f>
        <v>#N/A</v>
      </c>
      <c r="H1272" s="20">
        <f t="shared" si="102"/>
        <v>0</v>
      </c>
      <c r="I1272" s="21">
        <f t="shared" si="103"/>
        <v>0</v>
      </c>
      <c r="J1272" s="22" t="e">
        <f>VLOOKUP($A1272, TAB_JUROS_C[[DIAS_CORRIDOS]:[V_FUT_UTEIS]], J$5, FALSE)</f>
        <v>#N/A</v>
      </c>
      <c r="K1272" s="22" t="e">
        <f>VLOOKUP($A1272, TAB_CORRECAO_C[[DIAS_CORRIDOS]:[V_FUT_UTEIS]],K$5, FALSE)</f>
        <v>#N/A</v>
      </c>
      <c r="L1272" s="22" t="e">
        <f>VLOOKUP($A1272, TAB_AMORTIZACAO_C[[DIAS_CORRIDOS]:[V_FUT_UTEIS]], L$5, FALSE)</f>
        <v>#N/A</v>
      </c>
    </row>
    <row r="1273" spans="1:12">
      <c r="A1273" s="19">
        <f t="shared" si="104"/>
        <v>1267</v>
      </c>
      <c r="B1273" s="20">
        <f t="shared" si="100"/>
        <v>694.38452679496083</v>
      </c>
      <c r="C1273" s="21">
        <f t="shared" si="101"/>
        <v>694.38452679496083</v>
      </c>
      <c r="D1273" s="22">
        <f>VLOOKUP($A1273, TAB_JUROS_U[[Q_DIAS_U_PARC_TIR]:[V_FUT_U_JURS CENARIO]], D$5, FALSE)</f>
        <v>50.793358463231179</v>
      </c>
      <c r="E1273" s="22">
        <f>VLOOKUP($A1273,TAB_CORRECAO_U[[Q_DIAS_U_PARC_TIR]:[V_FUT_U_CORC-02]],E$5, FALSE)</f>
        <v>304.75002797735192</v>
      </c>
      <c r="F1273" s="22">
        <f>VLOOKUP($A1273,TAB_AMORTIZACAO_U[[Q_DIAS_U_PARC_TIR]:[V_FUT_U_PCPL-02]], F$5, FALSE)</f>
        <v>338.84114035437773</v>
      </c>
      <c r="H1273" s="20">
        <f t="shared" si="102"/>
        <v>0</v>
      </c>
      <c r="I1273" s="21">
        <f t="shared" si="103"/>
        <v>0</v>
      </c>
      <c r="J1273" s="22" t="e">
        <f>VLOOKUP($A1273, TAB_JUROS_C[[DIAS_CORRIDOS]:[V_FUT_UTEIS]], J$5, FALSE)</f>
        <v>#N/A</v>
      </c>
      <c r="K1273" s="22" t="e">
        <f>VLOOKUP($A1273, TAB_CORRECAO_C[[DIAS_CORRIDOS]:[V_FUT_UTEIS]],K$5, FALSE)</f>
        <v>#N/A</v>
      </c>
      <c r="L1273" s="22" t="e">
        <f>VLOOKUP($A1273, TAB_AMORTIZACAO_C[[DIAS_CORRIDOS]:[V_FUT_UTEIS]], L$5, FALSE)</f>
        <v>#N/A</v>
      </c>
    </row>
    <row r="1274" spans="1:12" hidden="1">
      <c r="A1274" s="19">
        <f t="shared" si="104"/>
        <v>1268</v>
      </c>
      <c r="B1274" s="20">
        <f t="shared" si="100"/>
        <v>0</v>
      </c>
      <c r="C1274" s="21">
        <f t="shared" si="101"/>
        <v>0</v>
      </c>
      <c r="D1274" s="22" t="e">
        <f>VLOOKUP($A1274, TAB_JUROS_U[[Q_DIAS_U_PARC_TIR]:[V_FUT_U_JURS CENARIO]], D$5, FALSE)</f>
        <v>#N/A</v>
      </c>
      <c r="E1274" s="22" t="e">
        <f>VLOOKUP($A1274,TAB_CORRECAO_U[[Q_DIAS_U_PARC_TIR]:[V_FUT_U_CORC-02]],E$5, FALSE)</f>
        <v>#N/A</v>
      </c>
      <c r="F1274" s="22" t="e">
        <f>VLOOKUP($A1274,TAB_AMORTIZACAO_U[[Q_DIAS_U_PARC_TIR]:[V_FUT_U_PCPL-02]], F$5, FALSE)</f>
        <v>#N/A</v>
      </c>
      <c r="H1274" s="20">
        <f t="shared" si="102"/>
        <v>0</v>
      </c>
      <c r="I1274" s="21">
        <f t="shared" si="103"/>
        <v>0</v>
      </c>
      <c r="J1274" s="22" t="e">
        <f>VLOOKUP($A1274, TAB_JUROS_C[[DIAS_CORRIDOS]:[V_FUT_UTEIS]], J$5, FALSE)</f>
        <v>#N/A</v>
      </c>
      <c r="K1274" s="22" t="e">
        <f>VLOOKUP($A1274, TAB_CORRECAO_C[[DIAS_CORRIDOS]:[V_FUT_UTEIS]],K$5, FALSE)</f>
        <v>#N/A</v>
      </c>
      <c r="L1274" s="22" t="e">
        <f>VLOOKUP($A1274, TAB_AMORTIZACAO_C[[DIAS_CORRIDOS]:[V_FUT_UTEIS]], L$5, FALSE)</f>
        <v>#N/A</v>
      </c>
    </row>
    <row r="1275" spans="1:12" hidden="1">
      <c r="A1275" s="19">
        <f t="shared" si="104"/>
        <v>1269</v>
      </c>
      <c r="B1275" s="20">
        <f t="shared" si="100"/>
        <v>0</v>
      </c>
      <c r="C1275" s="21">
        <f t="shared" si="101"/>
        <v>0</v>
      </c>
      <c r="D1275" s="22" t="e">
        <f>VLOOKUP($A1275, TAB_JUROS_U[[Q_DIAS_U_PARC_TIR]:[V_FUT_U_JURS CENARIO]], D$5, FALSE)</f>
        <v>#N/A</v>
      </c>
      <c r="E1275" s="22" t="e">
        <f>VLOOKUP($A1275,TAB_CORRECAO_U[[Q_DIAS_U_PARC_TIR]:[V_FUT_U_CORC-02]],E$5, FALSE)</f>
        <v>#N/A</v>
      </c>
      <c r="F1275" s="22" t="e">
        <f>VLOOKUP($A1275,TAB_AMORTIZACAO_U[[Q_DIAS_U_PARC_TIR]:[V_FUT_U_PCPL-02]], F$5, FALSE)</f>
        <v>#N/A</v>
      </c>
      <c r="H1275" s="20">
        <f t="shared" si="102"/>
        <v>0</v>
      </c>
      <c r="I1275" s="21">
        <f t="shared" si="103"/>
        <v>0</v>
      </c>
      <c r="J1275" s="22" t="e">
        <f>VLOOKUP($A1275, TAB_JUROS_C[[DIAS_CORRIDOS]:[V_FUT_UTEIS]], J$5, FALSE)</f>
        <v>#N/A</v>
      </c>
      <c r="K1275" s="22" t="e">
        <f>VLOOKUP($A1275, TAB_CORRECAO_C[[DIAS_CORRIDOS]:[V_FUT_UTEIS]],K$5, FALSE)</f>
        <v>#N/A</v>
      </c>
      <c r="L1275" s="22" t="e">
        <f>VLOOKUP($A1275, TAB_AMORTIZACAO_C[[DIAS_CORRIDOS]:[V_FUT_UTEIS]], L$5, FALSE)</f>
        <v>#N/A</v>
      </c>
    </row>
    <row r="1276" spans="1:12" hidden="1">
      <c r="A1276" s="19">
        <f t="shared" si="104"/>
        <v>1270</v>
      </c>
      <c r="B1276" s="20">
        <f t="shared" si="100"/>
        <v>0</v>
      </c>
      <c r="C1276" s="21">
        <f t="shared" si="101"/>
        <v>0</v>
      </c>
      <c r="D1276" s="22" t="e">
        <f>VLOOKUP($A1276, TAB_JUROS_U[[Q_DIAS_U_PARC_TIR]:[V_FUT_U_JURS CENARIO]], D$5, FALSE)</f>
        <v>#N/A</v>
      </c>
      <c r="E1276" s="22" t="e">
        <f>VLOOKUP($A1276,TAB_CORRECAO_U[[Q_DIAS_U_PARC_TIR]:[V_FUT_U_CORC-02]],E$5, FALSE)</f>
        <v>#N/A</v>
      </c>
      <c r="F1276" s="22" t="e">
        <f>VLOOKUP($A1276,TAB_AMORTIZACAO_U[[Q_DIAS_U_PARC_TIR]:[V_FUT_U_PCPL-02]], F$5, FALSE)</f>
        <v>#N/A</v>
      </c>
      <c r="H1276" s="20">
        <f t="shared" si="102"/>
        <v>0</v>
      </c>
      <c r="I1276" s="21">
        <f t="shared" si="103"/>
        <v>0</v>
      </c>
      <c r="J1276" s="22" t="e">
        <f>VLOOKUP($A1276, TAB_JUROS_C[[DIAS_CORRIDOS]:[V_FUT_UTEIS]], J$5, FALSE)</f>
        <v>#N/A</v>
      </c>
      <c r="K1276" s="22" t="e">
        <f>VLOOKUP($A1276, TAB_CORRECAO_C[[DIAS_CORRIDOS]:[V_FUT_UTEIS]],K$5, FALSE)</f>
        <v>#N/A</v>
      </c>
      <c r="L1276" s="22" t="e">
        <f>VLOOKUP($A1276, TAB_AMORTIZACAO_C[[DIAS_CORRIDOS]:[V_FUT_UTEIS]], L$5, FALSE)</f>
        <v>#N/A</v>
      </c>
    </row>
    <row r="1277" spans="1:12" hidden="1">
      <c r="A1277" s="19">
        <f t="shared" si="104"/>
        <v>1271</v>
      </c>
      <c r="B1277" s="20">
        <f t="shared" si="100"/>
        <v>0</v>
      </c>
      <c r="C1277" s="21">
        <f t="shared" si="101"/>
        <v>0</v>
      </c>
      <c r="D1277" s="22" t="e">
        <f>VLOOKUP($A1277, TAB_JUROS_U[[Q_DIAS_U_PARC_TIR]:[V_FUT_U_JURS CENARIO]], D$5, FALSE)</f>
        <v>#N/A</v>
      </c>
      <c r="E1277" s="22" t="e">
        <f>VLOOKUP($A1277,TAB_CORRECAO_U[[Q_DIAS_U_PARC_TIR]:[V_FUT_U_CORC-02]],E$5, FALSE)</f>
        <v>#N/A</v>
      </c>
      <c r="F1277" s="22" t="e">
        <f>VLOOKUP($A1277,TAB_AMORTIZACAO_U[[Q_DIAS_U_PARC_TIR]:[V_FUT_U_PCPL-02]], F$5, FALSE)</f>
        <v>#N/A</v>
      </c>
      <c r="H1277" s="20">
        <f t="shared" si="102"/>
        <v>0</v>
      </c>
      <c r="I1277" s="21">
        <f t="shared" si="103"/>
        <v>0</v>
      </c>
      <c r="J1277" s="22" t="e">
        <f>VLOOKUP($A1277, TAB_JUROS_C[[DIAS_CORRIDOS]:[V_FUT_UTEIS]], J$5, FALSE)</f>
        <v>#N/A</v>
      </c>
      <c r="K1277" s="22" t="e">
        <f>VLOOKUP($A1277, TAB_CORRECAO_C[[DIAS_CORRIDOS]:[V_FUT_UTEIS]],K$5, FALSE)</f>
        <v>#N/A</v>
      </c>
      <c r="L1277" s="22" t="e">
        <f>VLOOKUP($A1277, TAB_AMORTIZACAO_C[[DIAS_CORRIDOS]:[V_FUT_UTEIS]], L$5, FALSE)</f>
        <v>#N/A</v>
      </c>
    </row>
    <row r="1278" spans="1:12" hidden="1">
      <c r="A1278" s="19">
        <f t="shared" si="104"/>
        <v>1272</v>
      </c>
      <c r="B1278" s="20">
        <f t="shared" si="100"/>
        <v>0</v>
      </c>
      <c r="C1278" s="21">
        <f t="shared" si="101"/>
        <v>0</v>
      </c>
      <c r="D1278" s="22" t="e">
        <f>VLOOKUP($A1278, TAB_JUROS_U[[Q_DIAS_U_PARC_TIR]:[V_FUT_U_JURS CENARIO]], D$5, FALSE)</f>
        <v>#N/A</v>
      </c>
      <c r="E1278" s="22" t="e">
        <f>VLOOKUP($A1278,TAB_CORRECAO_U[[Q_DIAS_U_PARC_TIR]:[V_FUT_U_CORC-02]],E$5, FALSE)</f>
        <v>#N/A</v>
      </c>
      <c r="F1278" s="22" t="e">
        <f>VLOOKUP($A1278,TAB_AMORTIZACAO_U[[Q_DIAS_U_PARC_TIR]:[V_FUT_U_PCPL-02]], F$5, FALSE)</f>
        <v>#N/A</v>
      </c>
      <c r="H1278" s="20">
        <f t="shared" si="102"/>
        <v>0</v>
      </c>
      <c r="I1278" s="21">
        <f t="shared" si="103"/>
        <v>0</v>
      </c>
      <c r="J1278" s="22" t="e">
        <f>VLOOKUP($A1278, TAB_JUROS_C[[DIAS_CORRIDOS]:[V_FUT_UTEIS]], J$5, FALSE)</f>
        <v>#N/A</v>
      </c>
      <c r="K1278" s="22" t="e">
        <f>VLOOKUP($A1278, TAB_CORRECAO_C[[DIAS_CORRIDOS]:[V_FUT_UTEIS]],K$5, FALSE)</f>
        <v>#N/A</v>
      </c>
      <c r="L1278" s="22" t="e">
        <f>VLOOKUP($A1278, TAB_AMORTIZACAO_C[[DIAS_CORRIDOS]:[V_FUT_UTEIS]], L$5, FALSE)</f>
        <v>#N/A</v>
      </c>
    </row>
    <row r="1279" spans="1:12" hidden="1">
      <c r="A1279" s="19">
        <f t="shared" si="104"/>
        <v>1273</v>
      </c>
      <c r="B1279" s="20">
        <f t="shared" si="100"/>
        <v>0</v>
      </c>
      <c r="C1279" s="21">
        <f t="shared" si="101"/>
        <v>0</v>
      </c>
      <c r="D1279" s="22" t="e">
        <f>VLOOKUP($A1279, TAB_JUROS_U[[Q_DIAS_U_PARC_TIR]:[V_FUT_U_JURS CENARIO]], D$5, FALSE)</f>
        <v>#N/A</v>
      </c>
      <c r="E1279" s="22" t="e">
        <f>VLOOKUP($A1279,TAB_CORRECAO_U[[Q_DIAS_U_PARC_TIR]:[V_FUT_U_CORC-02]],E$5, FALSE)</f>
        <v>#N/A</v>
      </c>
      <c r="F1279" s="22" t="e">
        <f>VLOOKUP($A1279,TAB_AMORTIZACAO_U[[Q_DIAS_U_PARC_TIR]:[V_FUT_U_PCPL-02]], F$5, FALSE)</f>
        <v>#N/A</v>
      </c>
      <c r="H1279" s="20">
        <f t="shared" si="102"/>
        <v>0</v>
      </c>
      <c r="I1279" s="21">
        <f t="shared" si="103"/>
        <v>0</v>
      </c>
      <c r="J1279" s="22" t="e">
        <f>VLOOKUP($A1279, TAB_JUROS_C[[DIAS_CORRIDOS]:[V_FUT_UTEIS]], J$5, FALSE)</f>
        <v>#N/A</v>
      </c>
      <c r="K1279" s="22" t="e">
        <f>VLOOKUP($A1279, TAB_CORRECAO_C[[DIAS_CORRIDOS]:[V_FUT_UTEIS]],K$5, FALSE)</f>
        <v>#N/A</v>
      </c>
      <c r="L1279" s="22" t="e">
        <f>VLOOKUP($A1279, TAB_AMORTIZACAO_C[[DIAS_CORRIDOS]:[V_FUT_UTEIS]], L$5, FALSE)</f>
        <v>#N/A</v>
      </c>
    </row>
    <row r="1280" spans="1:12" hidden="1">
      <c r="A1280" s="19">
        <f t="shared" si="104"/>
        <v>1274</v>
      </c>
      <c r="B1280" s="20">
        <f t="shared" si="100"/>
        <v>0</v>
      </c>
      <c r="C1280" s="21">
        <f t="shared" si="101"/>
        <v>0</v>
      </c>
      <c r="D1280" s="22" t="e">
        <f>VLOOKUP($A1280, TAB_JUROS_U[[Q_DIAS_U_PARC_TIR]:[V_FUT_U_JURS CENARIO]], D$5, FALSE)</f>
        <v>#N/A</v>
      </c>
      <c r="E1280" s="22" t="e">
        <f>VLOOKUP($A1280,TAB_CORRECAO_U[[Q_DIAS_U_PARC_TIR]:[V_FUT_U_CORC-02]],E$5, FALSE)</f>
        <v>#N/A</v>
      </c>
      <c r="F1280" s="22" t="e">
        <f>VLOOKUP($A1280,TAB_AMORTIZACAO_U[[Q_DIAS_U_PARC_TIR]:[V_FUT_U_PCPL-02]], F$5, FALSE)</f>
        <v>#N/A</v>
      </c>
      <c r="H1280" s="20">
        <f t="shared" si="102"/>
        <v>0</v>
      </c>
      <c r="I1280" s="21">
        <f t="shared" si="103"/>
        <v>0</v>
      </c>
      <c r="J1280" s="22" t="e">
        <f>VLOOKUP($A1280, TAB_JUROS_C[[DIAS_CORRIDOS]:[V_FUT_UTEIS]], J$5, FALSE)</f>
        <v>#N/A</v>
      </c>
      <c r="K1280" s="22" t="e">
        <f>VLOOKUP($A1280, TAB_CORRECAO_C[[DIAS_CORRIDOS]:[V_FUT_UTEIS]],K$5, FALSE)</f>
        <v>#N/A</v>
      </c>
      <c r="L1280" s="22" t="e">
        <f>VLOOKUP($A1280, TAB_AMORTIZACAO_C[[DIAS_CORRIDOS]:[V_FUT_UTEIS]], L$5, FALSE)</f>
        <v>#N/A</v>
      </c>
    </row>
    <row r="1281" spans="1:12" hidden="1">
      <c r="A1281" s="19">
        <f t="shared" si="104"/>
        <v>1275</v>
      </c>
      <c r="B1281" s="20">
        <f t="shared" si="100"/>
        <v>0</v>
      </c>
      <c r="C1281" s="21">
        <f t="shared" si="101"/>
        <v>0</v>
      </c>
      <c r="D1281" s="22" t="e">
        <f>VLOOKUP($A1281, TAB_JUROS_U[[Q_DIAS_U_PARC_TIR]:[V_FUT_U_JURS CENARIO]], D$5, FALSE)</f>
        <v>#N/A</v>
      </c>
      <c r="E1281" s="22" t="e">
        <f>VLOOKUP($A1281,TAB_CORRECAO_U[[Q_DIAS_U_PARC_TIR]:[V_FUT_U_CORC-02]],E$5, FALSE)</f>
        <v>#N/A</v>
      </c>
      <c r="F1281" s="22" t="e">
        <f>VLOOKUP($A1281,TAB_AMORTIZACAO_U[[Q_DIAS_U_PARC_TIR]:[V_FUT_U_PCPL-02]], F$5, FALSE)</f>
        <v>#N/A</v>
      </c>
      <c r="H1281" s="20">
        <f t="shared" si="102"/>
        <v>0</v>
      </c>
      <c r="I1281" s="21">
        <f t="shared" si="103"/>
        <v>0</v>
      </c>
      <c r="J1281" s="22" t="e">
        <f>VLOOKUP($A1281, TAB_JUROS_C[[DIAS_CORRIDOS]:[V_FUT_UTEIS]], J$5, FALSE)</f>
        <v>#N/A</v>
      </c>
      <c r="K1281" s="22" t="e">
        <f>VLOOKUP($A1281, TAB_CORRECAO_C[[DIAS_CORRIDOS]:[V_FUT_UTEIS]],K$5, FALSE)</f>
        <v>#N/A</v>
      </c>
      <c r="L1281" s="22" t="e">
        <f>VLOOKUP($A1281, TAB_AMORTIZACAO_C[[DIAS_CORRIDOS]:[V_FUT_UTEIS]], L$5, FALSE)</f>
        <v>#N/A</v>
      </c>
    </row>
    <row r="1282" spans="1:12" hidden="1">
      <c r="A1282" s="19">
        <f t="shared" si="104"/>
        <v>1276</v>
      </c>
      <c r="B1282" s="20">
        <f t="shared" si="100"/>
        <v>0</v>
      </c>
      <c r="C1282" s="21">
        <f t="shared" si="101"/>
        <v>0</v>
      </c>
      <c r="D1282" s="22" t="e">
        <f>VLOOKUP($A1282, TAB_JUROS_U[[Q_DIAS_U_PARC_TIR]:[V_FUT_U_JURS CENARIO]], D$5, FALSE)</f>
        <v>#N/A</v>
      </c>
      <c r="E1282" s="22" t="e">
        <f>VLOOKUP($A1282,TAB_CORRECAO_U[[Q_DIAS_U_PARC_TIR]:[V_FUT_U_CORC-02]],E$5, FALSE)</f>
        <v>#N/A</v>
      </c>
      <c r="F1282" s="22" t="e">
        <f>VLOOKUP($A1282,TAB_AMORTIZACAO_U[[Q_DIAS_U_PARC_TIR]:[V_FUT_U_PCPL-02]], F$5, FALSE)</f>
        <v>#N/A</v>
      </c>
      <c r="H1282" s="20">
        <f t="shared" si="102"/>
        <v>0</v>
      </c>
      <c r="I1282" s="21">
        <f t="shared" si="103"/>
        <v>0</v>
      </c>
      <c r="J1282" s="22" t="e">
        <f>VLOOKUP($A1282, TAB_JUROS_C[[DIAS_CORRIDOS]:[V_FUT_UTEIS]], J$5, FALSE)</f>
        <v>#N/A</v>
      </c>
      <c r="K1282" s="22" t="e">
        <f>VLOOKUP($A1282, TAB_CORRECAO_C[[DIAS_CORRIDOS]:[V_FUT_UTEIS]],K$5, FALSE)</f>
        <v>#N/A</v>
      </c>
      <c r="L1282" s="22" t="e">
        <f>VLOOKUP($A1282, TAB_AMORTIZACAO_C[[DIAS_CORRIDOS]:[V_FUT_UTEIS]], L$5, FALSE)</f>
        <v>#N/A</v>
      </c>
    </row>
    <row r="1283" spans="1:12" hidden="1">
      <c r="A1283" s="19">
        <f t="shared" si="104"/>
        <v>1277</v>
      </c>
      <c r="B1283" s="20">
        <f t="shared" si="100"/>
        <v>0</v>
      </c>
      <c r="C1283" s="21">
        <f t="shared" si="101"/>
        <v>0</v>
      </c>
      <c r="D1283" s="22" t="e">
        <f>VLOOKUP($A1283, TAB_JUROS_U[[Q_DIAS_U_PARC_TIR]:[V_FUT_U_JURS CENARIO]], D$5, FALSE)</f>
        <v>#N/A</v>
      </c>
      <c r="E1283" s="22" t="e">
        <f>VLOOKUP($A1283,TAB_CORRECAO_U[[Q_DIAS_U_PARC_TIR]:[V_FUT_U_CORC-02]],E$5, FALSE)</f>
        <v>#N/A</v>
      </c>
      <c r="F1283" s="22" t="e">
        <f>VLOOKUP($A1283,TAB_AMORTIZACAO_U[[Q_DIAS_U_PARC_TIR]:[V_FUT_U_PCPL-02]], F$5, FALSE)</f>
        <v>#N/A</v>
      </c>
      <c r="H1283" s="20">
        <f t="shared" si="102"/>
        <v>0</v>
      </c>
      <c r="I1283" s="21">
        <f t="shared" si="103"/>
        <v>0</v>
      </c>
      <c r="J1283" s="22" t="e">
        <f>VLOOKUP($A1283, TAB_JUROS_C[[DIAS_CORRIDOS]:[V_FUT_UTEIS]], J$5, FALSE)</f>
        <v>#N/A</v>
      </c>
      <c r="K1283" s="22" t="e">
        <f>VLOOKUP($A1283, TAB_CORRECAO_C[[DIAS_CORRIDOS]:[V_FUT_UTEIS]],K$5, FALSE)</f>
        <v>#N/A</v>
      </c>
      <c r="L1283" s="22" t="e">
        <f>VLOOKUP($A1283, TAB_AMORTIZACAO_C[[DIAS_CORRIDOS]:[V_FUT_UTEIS]], L$5, FALSE)</f>
        <v>#N/A</v>
      </c>
    </row>
    <row r="1284" spans="1:12" hidden="1">
      <c r="A1284" s="19">
        <f t="shared" si="104"/>
        <v>1278</v>
      </c>
      <c r="B1284" s="20">
        <f t="shared" si="100"/>
        <v>0</v>
      </c>
      <c r="C1284" s="21">
        <f t="shared" si="101"/>
        <v>0</v>
      </c>
      <c r="D1284" s="22" t="e">
        <f>VLOOKUP($A1284, TAB_JUROS_U[[Q_DIAS_U_PARC_TIR]:[V_FUT_U_JURS CENARIO]], D$5, FALSE)</f>
        <v>#N/A</v>
      </c>
      <c r="E1284" s="22" t="e">
        <f>VLOOKUP($A1284,TAB_CORRECAO_U[[Q_DIAS_U_PARC_TIR]:[V_FUT_U_CORC-02]],E$5, FALSE)</f>
        <v>#N/A</v>
      </c>
      <c r="F1284" s="22" t="e">
        <f>VLOOKUP($A1284,TAB_AMORTIZACAO_U[[Q_DIAS_U_PARC_TIR]:[V_FUT_U_PCPL-02]], F$5, FALSE)</f>
        <v>#N/A</v>
      </c>
      <c r="H1284" s="20">
        <f t="shared" si="102"/>
        <v>0</v>
      </c>
      <c r="I1284" s="21">
        <f t="shared" si="103"/>
        <v>0</v>
      </c>
      <c r="J1284" s="22" t="e">
        <f>VLOOKUP($A1284, TAB_JUROS_C[[DIAS_CORRIDOS]:[V_FUT_UTEIS]], J$5, FALSE)</f>
        <v>#N/A</v>
      </c>
      <c r="K1284" s="22" t="e">
        <f>VLOOKUP($A1284, TAB_CORRECAO_C[[DIAS_CORRIDOS]:[V_FUT_UTEIS]],K$5, FALSE)</f>
        <v>#N/A</v>
      </c>
      <c r="L1284" s="22" t="e">
        <f>VLOOKUP($A1284, TAB_AMORTIZACAO_C[[DIAS_CORRIDOS]:[V_FUT_UTEIS]], L$5, FALSE)</f>
        <v>#N/A</v>
      </c>
    </row>
    <row r="1285" spans="1:12" hidden="1">
      <c r="A1285" s="19">
        <f t="shared" si="104"/>
        <v>1279</v>
      </c>
      <c r="B1285" s="20">
        <f t="shared" si="100"/>
        <v>0</v>
      </c>
      <c r="C1285" s="21">
        <f t="shared" si="101"/>
        <v>0</v>
      </c>
      <c r="D1285" s="22" t="e">
        <f>VLOOKUP($A1285, TAB_JUROS_U[[Q_DIAS_U_PARC_TIR]:[V_FUT_U_JURS CENARIO]], D$5, FALSE)</f>
        <v>#N/A</v>
      </c>
      <c r="E1285" s="22" t="e">
        <f>VLOOKUP($A1285,TAB_CORRECAO_U[[Q_DIAS_U_PARC_TIR]:[V_FUT_U_CORC-02]],E$5, FALSE)</f>
        <v>#N/A</v>
      </c>
      <c r="F1285" s="22" t="e">
        <f>VLOOKUP($A1285,TAB_AMORTIZACAO_U[[Q_DIAS_U_PARC_TIR]:[V_FUT_U_PCPL-02]], F$5, FALSE)</f>
        <v>#N/A</v>
      </c>
      <c r="H1285" s="20">
        <f t="shared" si="102"/>
        <v>0</v>
      </c>
      <c r="I1285" s="21">
        <f t="shared" si="103"/>
        <v>0</v>
      </c>
      <c r="J1285" s="22" t="e">
        <f>VLOOKUP($A1285, TAB_JUROS_C[[DIAS_CORRIDOS]:[V_FUT_UTEIS]], J$5, FALSE)</f>
        <v>#N/A</v>
      </c>
      <c r="K1285" s="22" t="e">
        <f>VLOOKUP($A1285, TAB_CORRECAO_C[[DIAS_CORRIDOS]:[V_FUT_UTEIS]],K$5, FALSE)</f>
        <v>#N/A</v>
      </c>
      <c r="L1285" s="22" t="e">
        <f>VLOOKUP($A1285, TAB_AMORTIZACAO_C[[DIAS_CORRIDOS]:[V_FUT_UTEIS]], L$5, FALSE)</f>
        <v>#N/A</v>
      </c>
    </row>
    <row r="1286" spans="1:12" hidden="1">
      <c r="A1286" s="19">
        <f t="shared" si="104"/>
        <v>1280</v>
      </c>
      <c r="B1286" s="20">
        <f t="shared" si="100"/>
        <v>0</v>
      </c>
      <c r="C1286" s="21">
        <f t="shared" si="101"/>
        <v>0</v>
      </c>
      <c r="D1286" s="22" t="e">
        <f>VLOOKUP($A1286, TAB_JUROS_U[[Q_DIAS_U_PARC_TIR]:[V_FUT_U_JURS CENARIO]], D$5, FALSE)</f>
        <v>#N/A</v>
      </c>
      <c r="E1286" s="22" t="e">
        <f>VLOOKUP($A1286,TAB_CORRECAO_U[[Q_DIAS_U_PARC_TIR]:[V_FUT_U_CORC-02]],E$5, FALSE)</f>
        <v>#N/A</v>
      </c>
      <c r="F1286" s="22" t="e">
        <f>VLOOKUP($A1286,TAB_AMORTIZACAO_U[[Q_DIAS_U_PARC_TIR]:[V_FUT_U_PCPL-02]], F$5, FALSE)</f>
        <v>#N/A</v>
      </c>
      <c r="H1286" s="20">
        <f t="shared" si="102"/>
        <v>0</v>
      </c>
      <c r="I1286" s="21">
        <f t="shared" si="103"/>
        <v>0</v>
      </c>
      <c r="J1286" s="22" t="e">
        <f>VLOOKUP($A1286, TAB_JUROS_C[[DIAS_CORRIDOS]:[V_FUT_UTEIS]], J$5, FALSE)</f>
        <v>#N/A</v>
      </c>
      <c r="K1286" s="22" t="e">
        <f>VLOOKUP($A1286, TAB_CORRECAO_C[[DIAS_CORRIDOS]:[V_FUT_UTEIS]],K$5, FALSE)</f>
        <v>#N/A</v>
      </c>
      <c r="L1286" s="22" t="e">
        <f>VLOOKUP($A1286, TAB_AMORTIZACAO_C[[DIAS_CORRIDOS]:[V_FUT_UTEIS]], L$5, FALSE)</f>
        <v>#N/A</v>
      </c>
    </row>
    <row r="1287" spans="1:12" hidden="1">
      <c r="A1287" s="19">
        <f t="shared" si="104"/>
        <v>1281</v>
      </c>
      <c r="B1287" s="20">
        <f t="shared" si="100"/>
        <v>0</v>
      </c>
      <c r="C1287" s="21">
        <f t="shared" si="101"/>
        <v>0</v>
      </c>
      <c r="D1287" s="22" t="e">
        <f>VLOOKUP($A1287, TAB_JUROS_U[[Q_DIAS_U_PARC_TIR]:[V_FUT_U_JURS CENARIO]], D$5, FALSE)</f>
        <v>#N/A</v>
      </c>
      <c r="E1287" s="22" t="e">
        <f>VLOOKUP($A1287,TAB_CORRECAO_U[[Q_DIAS_U_PARC_TIR]:[V_FUT_U_CORC-02]],E$5, FALSE)</f>
        <v>#N/A</v>
      </c>
      <c r="F1287" s="22" t="e">
        <f>VLOOKUP($A1287,TAB_AMORTIZACAO_U[[Q_DIAS_U_PARC_TIR]:[V_FUT_U_PCPL-02]], F$5, FALSE)</f>
        <v>#N/A</v>
      </c>
      <c r="H1287" s="20">
        <f t="shared" si="102"/>
        <v>0</v>
      </c>
      <c r="I1287" s="21">
        <f t="shared" si="103"/>
        <v>0</v>
      </c>
      <c r="J1287" s="22" t="e">
        <f>VLOOKUP($A1287, TAB_JUROS_C[[DIAS_CORRIDOS]:[V_FUT_UTEIS]], J$5, FALSE)</f>
        <v>#N/A</v>
      </c>
      <c r="K1287" s="22" t="e">
        <f>VLOOKUP($A1287, TAB_CORRECAO_C[[DIAS_CORRIDOS]:[V_FUT_UTEIS]],K$5, FALSE)</f>
        <v>#N/A</v>
      </c>
      <c r="L1287" s="22" t="e">
        <f>VLOOKUP($A1287, TAB_AMORTIZACAO_C[[DIAS_CORRIDOS]:[V_FUT_UTEIS]], L$5, FALSE)</f>
        <v>#N/A</v>
      </c>
    </row>
    <row r="1288" spans="1:12" hidden="1">
      <c r="A1288" s="19">
        <f t="shared" si="104"/>
        <v>1282</v>
      </c>
      <c r="B1288" s="20">
        <f t="shared" si="100"/>
        <v>0</v>
      </c>
      <c r="C1288" s="21">
        <f t="shared" si="101"/>
        <v>0</v>
      </c>
      <c r="D1288" s="22" t="e">
        <f>VLOOKUP($A1288, TAB_JUROS_U[[Q_DIAS_U_PARC_TIR]:[V_FUT_U_JURS CENARIO]], D$5, FALSE)</f>
        <v>#N/A</v>
      </c>
      <c r="E1288" s="22" t="e">
        <f>VLOOKUP($A1288,TAB_CORRECAO_U[[Q_DIAS_U_PARC_TIR]:[V_FUT_U_CORC-02]],E$5, FALSE)</f>
        <v>#N/A</v>
      </c>
      <c r="F1288" s="22" t="e">
        <f>VLOOKUP($A1288,TAB_AMORTIZACAO_U[[Q_DIAS_U_PARC_TIR]:[V_FUT_U_PCPL-02]], F$5, FALSE)</f>
        <v>#N/A</v>
      </c>
      <c r="H1288" s="20">
        <f t="shared" si="102"/>
        <v>0</v>
      </c>
      <c r="I1288" s="21">
        <f t="shared" si="103"/>
        <v>0</v>
      </c>
      <c r="J1288" s="22" t="e">
        <f>VLOOKUP($A1288, TAB_JUROS_C[[DIAS_CORRIDOS]:[V_FUT_UTEIS]], J$5, FALSE)</f>
        <v>#N/A</v>
      </c>
      <c r="K1288" s="22" t="e">
        <f>VLOOKUP($A1288, TAB_CORRECAO_C[[DIAS_CORRIDOS]:[V_FUT_UTEIS]],K$5, FALSE)</f>
        <v>#N/A</v>
      </c>
      <c r="L1288" s="22" t="e">
        <f>VLOOKUP($A1288, TAB_AMORTIZACAO_C[[DIAS_CORRIDOS]:[V_FUT_UTEIS]], L$5, FALSE)</f>
        <v>#N/A</v>
      </c>
    </row>
    <row r="1289" spans="1:12" hidden="1">
      <c r="A1289" s="19">
        <f t="shared" si="104"/>
        <v>1283</v>
      </c>
      <c r="B1289" s="20">
        <f t="shared" ref="B1289:B1352" si="105">IF(ISERROR(C1289), 0, C1289)</f>
        <v>0</v>
      </c>
      <c r="C1289" s="21">
        <f t="shared" ref="C1289:C1352" si="106">SUMIF(D1289:F1289, "&gt;0", D1289:F1289)</f>
        <v>0</v>
      </c>
      <c r="D1289" s="22" t="e">
        <f>VLOOKUP($A1289, TAB_JUROS_U[[Q_DIAS_U_PARC_TIR]:[V_FUT_U_JURS CENARIO]], D$5, FALSE)</f>
        <v>#N/A</v>
      </c>
      <c r="E1289" s="22" t="e">
        <f>VLOOKUP($A1289,TAB_CORRECAO_U[[Q_DIAS_U_PARC_TIR]:[V_FUT_U_CORC-02]],E$5, FALSE)</f>
        <v>#N/A</v>
      </c>
      <c r="F1289" s="22" t="e">
        <f>VLOOKUP($A1289,TAB_AMORTIZACAO_U[[Q_DIAS_U_PARC_TIR]:[V_FUT_U_PCPL-02]], F$5, FALSE)</f>
        <v>#N/A</v>
      </c>
      <c r="H1289" s="20">
        <f t="shared" ref="H1289:H1352" si="107">IF(ISERROR(I1289), 0, I1289)</f>
        <v>0</v>
      </c>
      <c r="I1289" s="21">
        <f t="shared" ref="I1289:I1352" si="108">SUMIF(J1289:L1289, "&gt;0", J1289:L1289)</f>
        <v>0</v>
      </c>
      <c r="J1289" s="22" t="e">
        <f>VLOOKUP($A1289, TAB_JUROS_C[[DIAS_CORRIDOS]:[V_FUT_UTEIS]], J$5, FALSE)</f>
        <v>#N/A</v>
      </c>
      <c r="K1289" s="22" t="e">
        <f>VLOOKUP($A1289, TAB_CORRECAO_C[[DIAS_CORRIDOS]:[V_FUT_UTEIS]],K$5, FALSE)</f>
        <v>#N/A</v>
      </c>
      <c r="L1289" s="22" t="e">
        <f>VLOOKUP($A1289, TAB_AMORTIZACAO_C[[DIAS_CORRIDOS]:[V_FUT_UTEIS]], L$5, FALSE)</f>
        <v>#N/A</v>
      </c>
    </row>
    <row r="1290" spans="1:12" hidden="1">
      <c r="A1290" s="19">
        <f t="shared" ref="A1290:A1353" si="109">A1289+1</f>
        <v>1284</v>
      </c>
      <c r="B1290" s="20">
        <f t="shared" si="105"/>
        <v>0</v>
      </c>
      <c r="C1290" s="21">
        <f t="shared" si="106"/>
        <v>0</v>
      </c>
      <c r="D1290" s="22" t="e">
        <f>VLOOKUP($A1290, TAB_JUROS_U[[Q_DIAS_U_PARC_TIR]:[V_FUT_U_JURS CENARIO]], D$5, FALSE)</f>
        <v>#N/A</v>
      </c>
      <c r="E1290" s="22" t="e">
        <f>VLOOKUP($A1290,TAB_CORRECAO_U[[Q_DIAS_U_PARC_TIR]:[V_FUT_U_CORC-02]],E$5, FALSE)</f>
        <v>#N/A</v>
      </c>
      <c r="F1290" s="22" t="e">
        <f>VLOOKUP($A1290,TAB_AMORTIZACAO_U[[Q_DIAS_U_PARC_TIR]:[V_FUT_U_PCPL-02]], F$5, FALSE)</f>
        <v>#N/A</v>
      </c>
      <c r="H1290" s="20">
        <f t="shared" si="107"/>
        <v>0</v>
      </c>
      <c r="I1290" s="21">
        <f t="shared" si="108"/>
        <v>0</v>
      </c>
      <c r="J1290" s="22" t="e">
        <f>VLOOKUP($A1290, TAB_JUROS_C[[DIAS_CORRIDOS]:[V_FUT_UTEIS]], J$5, FALSE)</f>
        <v>#N/A</v>
      </c>
      <c r="K1290" s="22" t="e">
        <f>VLOOKUP($A1290, TAB_CORRECAO_C[[DIAS_CORRIDOS]:[V_FUT_UTEIS]],K$5, FALSE)</f>
        <v>#N/A</v>
      </c>
      <c r="L1290" s="22" t="e">
        <f>VLOOKUP($A1290, TAB_AMORTIZACAO_C[[DIAS_CORRIDOS]:[V_FUT_UTEIS]], L$5, FALSE)</f>
        <v>#N/A</v>
      </c>
    </row>
    <row r="1291" spans="1:12" hidden="1">
      <c r="A1291" s="19">
        <f t="shared" si="109"/>
        <v>1285</v>
      </c>
      <c r="B1291" s="20">
        <f t="shared" si="105"/>
        <v>0</v>
      </c>
      <c r="C1291" s="21">
        <f t="shared" si="106"/>
        <v>0</v>
      </c>
      <c r="D1291" s="22" t="e">
        <f>VLOOKUP($A1291, TAB_JUROS_U[[Q_DIAS_U_PARC_TIR]:[V_FUT_U_JURS CENARIO]], D$5, FALSE)</f>
        <v>#N/A</v>
      </c>
      <c r="E1291" s="22" t="e">
        <f>VLOOKUP($A1291,TAB_CORRECAO_U[[Q_DIAS_U_PARC_TIR]:[V_FUT_U_CORC-02]],E$5, FALSE)</f>
        <v>#N/A</v>
      </c>
      <c r="F1291" s="22" t="e">
        <f>VLOOKUP($A1291,TAB_AMORTIZACAO_U[[Q_DIAS_U_PARC_TIR]:[V_FUT_U_PCPL-02]], F$5, FALSE)</f>
        <v>#N/A</v>
      </c>
      <c r="H1291" s="20">
        <f t="shared" si="107"/>
        <v>0</v>
      </c>
      <c r="I1291" s="21">
        <f t="shared" si="108"/>
        <v>0</v>
      </c>
      <c r="J1291" s="22" t="e">
        <f>VLOOKUP($A1291, TAB_JUROS_C[[DIAS_CORRIDOS]:[V_FUT_UTEIS]], J$5, FALSE)</f>
        <v>#N/A</v>
      </c>
      <c r="K1291" s="22" t="e">
        <f>VLOOKUP($A1291, TAB_CORRECAO_C[[DIAS_CORRIDOS]:[V_FUT_UTEIS]],K$5, FALSE)</f>
        <v>#N/A</v>
      </c>
      <c r="L1291" s="22" t="e">
        <f>VLOOKUP($A1291, TAB_AMORTIZACAO_C[[DIAS_CORRIDOS]:[V_FUT_UTEIS]], L$5, FALSE)</f>
        <v>#N/A</v>
      </c>
    </row>
    <row r="1292" spans="1:12" hidden="1">
      <c r="A1292" s="19">
        <f t="shared" si="109"/>
        <v>1286</v>
      </c>
      <c r="B1292" s="20">
        <f t="shared" si="105"/>
        <v>0</v>
      </c>
      <c r="C1292" s="21">
        <f t="shared" si="106"/>
        <v>0</v>
      </c>
      <c r="D1292" s="22" t="e">
        <f>VLOOKUP($A1292, TAB_JUROS_U[[Q_DIAS_U_PARC_TIR]:[V_FUT_U_JURS CENARIO]], D$5, FALSE)</f>
        <v>#N/A</v>
      </c>
      <c r="E1292" s="22" t="e">
        <f>VLOOKUP($A1292,TAB_CORRECAO_U[[Q_DIAS_U_PARC_TIR]:[V_FUT_U_CORC-02]],E$5, FALSE)</f>
        <v>#N/A</v>
      </c>
      <c r="F1292" s="22" t="e">
        <f>VLOOKUP($A1292,TAB_AMORTIZACAO_U[[Q_DIAS_U_PARC_TIR]:[V_FUT_U_PCPL-02]], F$5, FALSE)</f>
        <v>#N/A</v>
      </c>
      <c r="H1292" s="20">
        <f t="shared" si="107"/>
        <v>0</v>
      </c>
      <c r="I1292" s="21">
        <f t="shared" si="108"/>
        <v>0</v>
      </c>
      <c r="J1292" s="22" t="e">
        <f>VLOOKUP($A1292, TAB_JUROS_C[[DIAS_CORRIDOS]:[V_FUT_UTEIS]], J$5, FALSE)</f>
        <v>#N/A</v>
      </c>
      <c r="K1292" s="22" t="e">
        <f>VLOOKUP($A1292, TAB_CORRECAO_C[[DIAS_CORRIDOS]:[V_FUT_UTEIS]],K$5, FALSE)</f>
        <v>#N/A</v>
      </c>
      <c r="L1292" s="22" t="e">
        <f>VLOOKUP($A1292, TAB_AMORTIZACAO_C[[DIAS_CORRIDOS]:[V_FUT_UTEIS]], L$5, FALSE)</f>
        <v>#N/A</v>
      </c>
    </row>
    <row r="1293" spans="1:12">
      <c r="A1293" s="19">
        <f t="shared" si="109"/>
        <v>1287</v>
      </c>
      <c r="B1293" s="20">
        <f t="shared" si="105"/>
        <v>652.08176645063395</v>
      </c>
      <c r="C1293" s="21">
        <f t="shared" si="106"/>
        <v>652.08176645063395</v>
      </c>
      <c r="D1293" s="22">
        <f>VLOOKUP($A1293, TAB_JUROS_U[[Q_DIAS_U_PARC_TIR]:[V_FUT_U_JURS CENARIO]], D$5, FALSE)</f>
        <v>44.909432089680195</v>
      </c>
      <c r="E1293" s="22">
        <f>VLOOKUP($A1293,TAB_CORRECAO_U[[Q_DIAS_U_PARC_TIR]:[V_FUT_U_CORC-02]],E$5, FALSE)</f>
        <v>271.48166053366339</v>
      </c>
      <c r="F1293" s="22">
        <f>VLOOKUP($A1293,TAB_AMORTIZACAO_U[[Q_DIAS_U_PARC_TIR]:[V_FUT_U_PCPL-02]], F$5, FALSE)</f>
        <v>335.69067382729042</v>
      </c>
      <c r="H1293" s="20">
        <f t="shared" si="107"/>
        <v>0</v>
      </c>
      <c r="I1293" s="21">
        <f t="shared" si="108"/>
        <v>0</v>
      </c>
      <c r="J1293" s="22" t="e">
        <f>VLOOKUP($A1293, TAB_JUROS_C[[DIAS_CORRIDOS]:[V_FUT_UTEIS]], J$5, FALSE)</f>
        <v>#N/A</v>
      </c>
      <c r="K1293" s="22" t="e">
        <f>VLOOKUP($A1293, TAB_CORRECAO_C[[DIAS_CORRIDOS]:[V_FUT_UTEIS]],K$5, FALSE)</f>
        <v>#N/A</v>
      </c>
      <c r="L1293" s="22" t="e">
        <f>VLOOKUP($A1293, TAB_AMORTIZACAO_C[[DIAS_CORRIDOS]:[V_FUT_UTEIS]], L$5, FALSE)</f>
        <v>#N/A</v>
      </c>
    </row>
    <row r="1294" spans="1:12" hidden="1">
      <c r="A1294" s="19">
        <f t="shared" si="109"/>
        <v>1288</v>
      </c>
      <c r="B1294" s="20">
        <f t="shared" si="105"/>
        <v>0</v>
      </c>
      <c r="C1294" s="21">
        <f t="shared" si="106"/>
        <v>0</v>
      </c>
      <c r="D1294" s="22" t="e">
        <f>VLOOKUP($A1294, TAB_JUROS_U[[Q_DIAS_U_PARC_TIR]:[V_FUT_U_JURS CENARIO]], D$5, FALSE)</f>
        <v>#N/A</v>
      </c>
      <c r="E1294" s="22" t="e">
        <f>VLOOKUP($A1294,TAB_CORRECAO_U[[Q_DIAS_U_PARC_TIR]:[V_FUT_U_CORC-02]],E$5, FALSE)</f>
        <v>#N/A</v>
      </c>
      <c r="F1294" s="22" t="e">
        <f>VLOOKUP($A1294,TAB_AMORTIZACAO_U[[Q_DIAS_U_PARC_TIR]:[V_FUT_U_PCPL-02]], F$5, FALSE)</f>
        <v>#N/A</v>
      </c>
      <c r="H1294" s="20">
        <f t="shared" si="107"/>
        <v>956.46366427949283</v>
      </c>
      <c r="I1294" s="21">
        <f t="shared" si="108"/>
        <v>956.46366427949283</v>
      </c>
      <c r="J1294" s="22">
        <f>VLOOKUP($A1294, TAB_JUROS_C[[DIAS_CORRIDOS]:[V_FUT_UTEIS]], J$5, FALSE)</f>
        <v>69.493773135125352</v>
      </c>
      <c r="K1294" s="22">
        <f>VLOOKUP($A1294, TAB_CORRECAO_C[[DIAS_CORRIDOS]:[V_FUT_UTEIS]],K$5, FALSE)</f>
        <v>426.4764388092575</v>
      </c>
      <c r="L1294" s="22">
        <f>VLOOKUP($A1294, TAB_AMORTIZACAO_C[[DIAS_CORRIDOS]:[V_FUT_UTEIS]], L$5, FALSE)</f>
        <v>460.49345233510996</v>
      </c>
    </row>
    <row r="1295" spans="1:12" hidden="1">
      <c r="A1295" s="19">
        <f t="shared" si="109"/>
        <v>1289</v>
      </c>
      <c r="B1295" s="20">
        <f t="shared" si="105"/>
        <v>0</v>
      </c>
      <c r="C1295" s="21">
        <f t="shared" si="106"/>
        <v>0</v>
      </c>
      <c r="D1295" s="22" t="e">
        <f>VLOOKUP($A1295, TAB_JUROS_U[[Q_DIAS_U_PARC_TIR]:[V_FUT_U_JURS CENARIO]], D$5, FALSE)</f>
        <v>#N/A</v>
      </c>
      <c r="E1295" s="22" t="e">
        <f>VLOOKUP($A1295,TAB_CORRECAO_U[[Q_DIAS_U_PARC_TIR]:[V_FUT_U_CORC-02]],E$5, FALSE)</f>
        <v>#N/A</v>
      </c>
      <c r="F1295" s="22" t="e">
        <f>VLOOKUP($A1295,TAB_AMORTIZACAO_U[[Q_DIAS_U_PARC_TIR]:[V_FUT_U_PCPL-02]], F$5, FALSE)</f>
        <v>#N/A</v>
      </c>
      <c r="H1295" s="20">
        <f t="shared" si="107"/>
        <v>0</v>
      </c>
      <c r="I1295" s="21">
        <f t="shared" si="108"/>
        <v>0</v>
      </c>
      <c r="J1295" s="22" t="e">
        <f>VLOOKUP($A1295, TAB_JUROS_C[[DIAS_CORRIDOS]:[V_FUT_UTEIS]], J$5, FALSE)</f>
        <v>#N/A</v>
      </c>
      <c r="K1295" s="22" t="e">
        <f>VLOOKUP($A1295, TAB_CORRECAO_C[[DIAS_CORRIDOS]:[V_FUT_UTEIS]],K$5, FALSE)</f>
        <v>#N/A</v>
      </c>
      <c r="L1295" s="22" t="e">
        <f>VLOOKUP($A1295, TAB_AMORTIZACAO_C[[DIAS_CORRIDOS]:[V_FUT_UTEIS]], L$5, FALSE)</f>
        <v>#N/A</v>
      </c>
    </row>
    <row r="1296" spans="1:12" hidden="1">
      <c r="A1296" s="19">
        <f t="shared" si="109"/>
        <v>1290</v>
      </c>
      <c r="B1296" s="20">
        <f t="shared" si="105"/>
        <v>0</v>
      </c>
      <c r="C1296" s="21">
        <f t="shared" si="106"/>
        <v>0</v>
      </c>
      <c r="D1296" s="22" t="e">
        <f>VLOOKUP($A1296, TAB_JUROS_U[[Q_DIAS_U_PARC_TIR]:[V_FUT_U_JURS CENARIO]], D$5, FALSE)</f>
        <v>#N/A</v>
      </c>
      <c r="E1296" s="22" t="e">
        <f>VLOOKUP($A1296,TAB_CORRECAO_U[[Q_DIAS_U_PARC_TIR]:[V_FUT_U_CORC-02]],E$5, FALSE)</f>
        <v>#N/A</v>
      </c>
      <c r="F1296" s="22" t="e">
        <f>VLOOKUP($A1296,TAB_AMORTIZACAO_U[[Q_DIAS_U_PARC_TIR]:[V_FUT_U_PCPL-02]], F$5, FALSE)</f>
        <v>#N/A</v>
      </c>
      <c r="H1296" s="20">
        <f t="shared" si="107"/>
        <v>0</v>
      </c>
      <c r="I1296" s="21">
        <f t="shared" si="108"/>
        <v>0</v>
      </c>
      <c r="J1296" s="22" t="e">
        <f>VLOOKUP($A1296, TAB_JUROS_C[[DIAS_CORRIDOS]:[V_FUT_UTEIS]], J$5, FALSE)</f>
        <v>#N/A</v>
      </c>
      <c r="K1296" s="22" t="e">
        <f>VLOOKUP($A1296, TAB_CORRECAO_C[[DIAS_CORRIDOS]:[V_FUT_UTEIS]],K$5, FALSE)</f>
        <v>#N/A</v>
      </c>
      <c r="L1296" s="22" t="e">
        <f>VLOOKUP($A1296, TAB_AMORTIZACAO_C[[DIAS_CORRIDOS]:[V_FUT_UTEIS]], L$5, FALSE)</f>
        <v>#N/A</v>
      </c>
    </row>
    <row r="1297" spans="1:12" hidden="1">
      <c r="A1297" s="19">
        <f t="shared" si="109"/>
        <v>1291</v>
      </c>
      <c r="B1297" s="20">
        <f t="shared" si="105"/>
        <v>0</v>
      </c>
      <c r="C1297" s="21">
        <f t="shared" si="106"/>
        <v>0</v>
      </c>
      <c r="D1297" s="22" t="e">
        <f>VLOOKUP($A1297, TAB_JUROS_U[[Q_DIAS_U_PARC_TIR]:[V_FUT_U_JURS CENARIO]], D$5, FALSE)</f>
        <v>#N/A</v>
      </c>
      <c r="E1297" s="22" t="e">
        <f>VLOOKUP($A1297,TAB_CORRECAO_U[[Q_DIAS_U_PARC_TIR]:[V_FUT_U_CORC-02]],E$5, FALSE)</f>
        <v>#N/A</v>
      </c>
      <c r="F1297" s="22" t="e">
        <f>VLOOKUP($A1297,TAB_AMORTIZACAO_U[[Q_DIAS_U_PARC_TIR]:[V_FUT_U_PCPL-02]], F$5, FALSE)</f>
        <v>#N/A</v>
      </c>
      <c r="H1297" s="20">
        <f t="shared" si="107"/>
        <v>0</v>
      </c>
      <c r="I1297" s="21">
        <f t="shared" si="108"/>
        <v>0</v>
      </c>
      <c r="J1297" s="22" t="e">
        <f>VLOOKUP($A1297, TAB_JUROS_C[[DIAS_CORRIDOS]:[V_FUT_UTEIS]], J$5, FALSE)</f>
        <v>#N/A</v>
      </c>
      <c r="K1297" s="22" t="e">
        <f>VLOOKUP($A1297, TAB_CORRECAO_C[[DIAS_CORRIDOS]:[V_FUT_UTEIS]],K$5, FALSE)</f>
        <v>#N/A</v>
      </c>
      <c r="L1297" s="22" t="e">
        <f>VLOOKUP($A1297, TAB_AMORTIZACAO_C[[DIAS_CORRIDOS]:[V_FUT_UTEIS]], L$5, FALSE)</f>
        <v>#N/A</v>
      </c>
    </row>
    <row r="1298" spans="1:12" hidden="1">
      <c r="A1298" s="19">
        <f t="shared" si="109"/>
        <v>1292</v>
      </c>
      <c r="B1298" s="20">
        <f t="shared" si="105"/>
        <v>0</v>
      </c>
      <c r="C1298" s="21">
        <f t="shared" si="106"/>
        <v>0</v>
      </c>
      <c r="D1298" s="22" t="e">
        <f>VLOOKUP($A1298, TAB_JUROS_U[[Q_DIAS_U_PARC_TIR]:[V_FUT_U_JURS CENARIO]], D$5, FALSE)</f>
        <v>#N/A</v>
      </c>
      <c r="E1298" s="22" t="e">
        <f>VLOOKUP($A1298,TAB_CORRECAO_U[[Q_DIAS_U_PARC_TIR]:[V_FUT_U_CORC-02]],E$5, FALSE)</f>
        <v>#N/A</v>
      </c>
      <c r="F1298" s="22" t="e">
        <f>VLOOKUP($A1298,TAB_AMORTIZACAO_U[[Q_DIAS_U_PARC_TIR]:[V_FUT_U_PCPL-02]], F$5, FALSE)</f>
        <v>#N/A</v>
      </c>
      <c r="H1298" s="20">
        <f t="shared" si="107"/>
        <v>0</v>
      </c>
      <c r="I1298" s="21">
        <f t="shared" si="108"/>
        <v>0</v>
      </c>
      <c r="J1298" s="22" t="e">
        <f>VLOOKUP($A1298, TAB_JUROS_C[[DIAS_CORRIDOS]:[V_FUT_UTEIS]], J$5, FALSE)</f>
        <v>#N/A</v>
      </c>
      <c r="K1298" s="22" t="e">
        <f>VLOOKUP($A1298, TAB_CORRECAO_C[[DIAS_CORRIDOS]:[V_FUT_UTEIS]],K$5, FALSE)</f>
        <v>#N/A</v>
      </c>
      <c r="L1298" s="22" t="e">
        <f>VLOOKUP($A1298, TAB_AMORTIZACAO_C[[DIAS_CORRIDOS]:[V_FUT_UTEIS]], L$5, FALSE)</f>
        <v>#N/A</v>
      </c>
    </row>
    <row r="1299" spans="1:12" hidden="1">
      <c r="A1299" s="19">
        <f t="shared" si="109"/>
        <v>1293</v>
      </c>
      <c r="B1299" s="20">
        <f t="shared" si="105"/>
        <v>0</v>
      </c>
      <c r="C1299" s="21">
        <f t="shared" si="106"/>
        <v>0</v>
      </c>
      <c r="D1299" s="22" t="e">
        <f>VLOOKUP($A1299, TAB_JUROS_U[[Q_DIAS_U_PARC_TIR]:[V_FUT_U_JURS CENARIO]], D$5, FALSE)</f>
        <v>#N/A</v>
      </c>
      <c r="E1299" s="22" t="e">
        <f>VLOOKUP($A1299,TAB_CORRECAO_U[[Q_DIAS_U_PARC_TIR]:[V_FUT_U_CORC-02]],E$5, FALSE)</f>
        <v>#N/A</v>
      </c>
      <c r="F1299" s="22" t="e">
        <f>VLOOKUP($A1299,TAB_AMORTIZACAO_U[[Q_DIAS_U_PARC_TIR]:[V_FUT_U_PCPL-02]], F$5, FALSE)</f>
        <v>#N/A</v>
      </c>
      <c r="H1299" s="20">
        <f t="shared" si="107"/>
        <v>0</v>
      </c>
      <c r="I1299" s="21">
        <f t="shared" si="108"/>
        <v>0</v>
      </c>
      <c r="J1299" s="22" t="e">
        <f>VLOOKUP($A1299, TAB_JUROS_C[[DIAS_CORRIDOS]:[V_FUT_UTEIS]], J$5, FALSE)</f>
        <v>#N/A</v>
      </c>
      <c r="K1299" s="22" t="e">
        <f>VLOOKUP($A1299, TAB_CORRECAO_C[[DIAS_CORRIDOS]:[V_FUT_UTEIS]],K$5, FALSE)</f>
        <v>#N/A</v>
      </c>
      <c r="L1299" s="22" t="e">
        <f>VLOOKUP($A1299, TAB_AMORTIZACAO_C[[DIAS_CORRIDOS]:[V_FUT_UTEIS]], L$5, FALSE)</f>
        <v>#N/A</v>
      </c>
    </row>
    <row r="1300" spans="1:12" hidden="1">
      <c r="A1300" s="19">
        <f t="shared" si="109"/>
        <v>1294</v>
      </c>
      <c r="B1300" s="20">
        <f t="shared" si="105"/>
        <v>0</v>
      </c>
      <c r="C1300" s="21">
        <f t="shared" si="106"/>
        <v>0</v>
      </c>
      <c r="D1300" s="22" t="e">
        <f>VLOOKUP($A1300, TAB_JUROS_U[[Q_DIAS_U_PARC_TIR]:[V_FUT_U_JURS CENARIO]], D$5, FALSE)</f>
        <v>#N/A</v>
      </c>
      <c r="E1300" s="22" t="e">
        <f>VLOOKUP($A1300,TAB_CORRECAO_U[[Q_DIAS_U_PARC_TIR]:[V_FUT_U_CORC-02]],E$5, FALSE)</f>
        <v>#N/A</v>
      </c>
      <c r="F1300" s="22" t="e">
        <f>VLOOKUP($A1300,TAB_AMORTIZACAO_U[[Q_DIAS_U_PARC_TIR]:[V_FUT_U_PCPL-02]], F$5, FALSE)</f>
        <v>#N/A</v>
      </c>
      <c r="H1300" s="20">
        <f t="shared" si="107"/>
        <v>0</v>
      </c>
      <c r="I1300" s="21">
        <f t="shared" si="108"/>
        <v>0</v>
      </c>
      <c r="J1300" s="22" t="e">
        <f>VLOOKUP($A1300, TAB_JUROS_C[[DIAS_CORRIDOS]:[V_FUT_UTEIS]], J$5, FALSE)</f>
        <v>#N/A</v>
      </c>
      <c r="K1300" s="22" t="e">
        <f>VLOOKUP($A1300, TAB_CORRECAO_C[[DIAS_CORRIDOS]:[V_FUT_UTEIS]],K$5, FALSE)</f>
        <v>#N/A</v>
      </c>
      <c r="L1300" s="22" t="e">
        <f>VLOOKUP($A1300, TAB_AMORTIZACAO_C[[DIAS_CORRIDOS]:[V_FUT_UTEIS]], L$5, FALSE)</f>
        <v>#N/A</v>
      </c>
    </row>
    <row r="1301" spans="1:12" hidden="1">
      <c r="A1301" s="19">
        <f t="shared" si="109"/>
        <v>1295</v>
      </c>
      <c r="B1301" s="20">
        <f t="shared" si="105"/>
        <v>0</v>
      </c>
      <c r="C1301" s="21">
        <f t="shared" si="106"/>
        <v>0</v>
      </c>
      <c r="D1301" s="22" t="e">
        <f>VLOOKUP($A1301, TAB_JUROS_U[[Q_DIAS_U_PARC_TIR]:[V_FUT_U_JURS CENARIO]], D$5, FALSE)</f>
        <v>#N/A</v>
      </c>
      <c r="E1301" s="22" t="e">
        <f>VLOOKUP($A1301,TAB_CORRECAO_U[[Q_DIAS_U_PARC_TIR]:[V_FUT_U_CORC-02]],E$5, FALSE)</f>
        <v>#N/A</v>
      </c>
      <c r="F1301" s="22" t="e">
        <f>VLOOKUP($A1301,TAB_AMORTIZACAO_U[[Q_DIAS_U_PARC_TIR]:[V_FUT_U_PCPL-02]], F$5, FALSE)</f>
        <v>#N/A</v>
      </c>
      <c r="H1301" s="20">
        <f t="shared" si="107"/>
        <v>0</v>
      </c>
      <c r="I1301" s="21">
        <f t="shared" si="108"/>
        <v>0</v>
      </c>
      <c r="J1301" s="22" t="e">
        <f>VLOOKUP($A1301, TAB_JUROS_C[[DIAS_CORRIDOS]:[V_FUT_UTEIS]], J$5, FALSE)</f>
        <v>#N/A</v>
      </c>
      <c r="K1301" s="22" t="e">
        <f>VLOOKUP($A1301, TAB_CORRECAO_C[[DIAS_CORRIDOS]:[V_FUT_UTEIS]],K$5, FALSE)</f>
        <v>#N/A</v>
      </c>
      <c r="L1301" s="22" t="e">
        <f>VLOOKUP($A1301, TAB_AMORTIZACAO_C[[DIAS_CORRIDOS]:[V_FUT_UTEIS]], L$5, FALSE)</f>
        <v>#N/A</v>
      </c>
    </row>
    <row r="1302" spans="1:12" hidden="1">
      <c r="A1302" s="19">
        <f t="shared" si="109"/>
        <v>1296</v>
      </c>
      <c r="B1302" s="20">
        <f t="shared" si="105"/>
        <v>0</v>
      </c>
      <c r="C1302" s="21">
        <f t="shared" si="106"/>
        <v>0</v>
      </c>
      <c r="D1302" s="22" t="e">
        <f>VLOOKUP($A1302, TAB_JUROS_U[[Q_DIAS_U_PARC_TIR]:[V_FUT_U_JURS CENARIO]], D$5, FALSE)</f>
        <v>#N/A</v>
      </c>
      <c r="E1302" s="22" t="e">
        <f>VLOOKUP($A1302,TAB_CORRECAO_U[[Q_DIAS_U_PARC_TIR]:[V_FUT_U_CORC-02]],E$5, FALSE)</f>
        <v>#N/A</v>
      </c>
      <c r="F1302" s="22" t="e">
        <f>VLOOKUP($A1302,TAB_AMORTIZACAO_U[[Q_DIAS_U_PARC_TIR]:[V_FUT_U_PCPL-02]], F$5, FALSE)</f>
        <v>#N/A</v>
      </c>
      <c r="H1302" s="20">
        <f t="shared" si="107"/>
        <v>0</v>
      </c>
      <c r="I1302" s="21">
        <f t="shared" si="108"/>
        <v>0</v>
      </c>
      <c r="J1302" s="22" t="e">
        <f>VLOOKUP($A1302, TAB_JUROS_C[[DIAS_CORRIDOS]:[V_FUT_UTEIS]], J$5, FALSE)</f>
        <v>#N/A</v>
      </c>
      <c r="K1302" s="22" t="e">
        <f>VLOOKUP($A1302, TAB_CORRECAO_C[[DIAS_CORRIDOS]:[V_FUT_UTEIS]],K$5, FALSE)</f>
        <v>#N/A</v>
      </c>
      <c r="L1302" s="22" t="e">
        <f>VLOOKUP($A1302, TAB_AMORTIZACAO_C[[DIAS_CORRIDOS]:[V_FUT_UTEIS]], L$5, FALSE)</f>
        <v>#N/A</v>
      </c>
    </row>
    <row r="1303" spans="1:12" hidden="1">
      <c r="A1303" s="19">
        <f t="shared" si="109"/>
        <v>1297</v>
      </c>
      <c r="B1303" s="20">
        <f t="shared" si="105"/>
        <v>0</v>
      </c>
      <c r="C1303" s="21">
        <f t="shared" si="106"/>
        <v>0</v>
      </c>
      <c r="D1303" s="22" t="e">
        <f>VLOOKUP($A1303, TAB_JUROS_U[[Q_DIAS_U_PARC_TIR]:[V_FUT_U_JURS CENARIO]], D$5, FALSE)</f>
        <v>#N/A</v>
      </c>
      <c r="E1303" s="22" t="e">
        <f>VLOOKUP($A1303,TAB_CORRECAO_U[[Q_DIAS_U_PARC_TIR]:[V_FUT_U_CORC-02]],E$5, FALSE)</f>
        <v>#N/A</v>
      </c>
      <c r="F1303" s="22" t="e">
        <f>VLOOKUP($A1303,TAB_AMORTIZACAO_U[[Q_DIAS_U_PARC_TIR]:[V_FUT_U_PCPL-02]], F$5, FALSE)</f>
        <v>#N/A</v>
      </c>
      <c r="H1303" s="20">
        <f t="shared" si="107"/>
        <v>0</v>
      </c>
      <c r="I1303" s="21">
        <f t="shared" si="108"/>
        <v>0</v>
      </c>
      <c r="J1303" s="22" t="e">
        <f>VLOOKUP($A1303, TAB_JUROS_C[[DIAS_CORRIDOS]:[V_FUT_UTEIS]], J$5, FALSE)</f>
        <v>#N/A</v>
      </c>
      <c r="K1303" s="22" t="e">
        <f>VLOOKUP($A1303, TAB_CORRECAO_C[[DIAS_CORRIDOS]:[V_FUT_UTEIS]],K$5, FALSE)</f>
        <v>#N/A</v>
      </c>
      <c r="L1303" s="22" t="e">
        <f>VLOOKUP($A1303, TAB_AMORTIZACAO_C[[DIAS_CORRIDOS]:[V_FUT_UTEIS]], L$5, FALSE)</f>
        <v>#N/A</v>
      </c>
    </row>
    <row r="1304" spans="1:12" hidden="1">
      <c r="A1304" s="19">
        <f t="shared" si="109"/>
        <v>1298</v>
      </c>
      <c r="B1304" s="20">
        <f t="shared" si="105"/>
        <v>0</v>
      </c>
      <c r="C1304" s="21">
        <f t="shared" si="106"/>
        <v>0</v>
      </c>
      <c r="D1304" s="22" t="e">
        <f>VLOOKUP($A1304, TAB_JUROS_U[[Q_DIAS_U_PARC_TIR]:[V_FUT_U_JURS CENARIO]], D$5, FALSE)</f>
        <v>#N/A</v>
      </c>
      <c r="E1304" s="22" t="e">
        <f>VLOOKUP($A1304,TAB_CORRECAO_U[[Q_DIAS_U_PARC_TIR]:[V_FUT_U_CORC-02]],E$5, FALSE)</f>
        <v>#N/A</v>
      </c>
      <c r="F1304" s="22" t="e">
        <f>VLOOKUP($A1304,TAB_AMORTIZACAO_U[[Q_DIAS_U_PARC_TIR]:[V_FUT_U_PCPL-02]], F$5, FALSE)</f>
        <v>#N/A</v>
      </c>
      <c r="H1304" s="20">
        <f t="shared" si="107"/>
        <v>0</v>
      </c>
      <c r="I1304" s="21">
        <f t="shared" si="108"/>
        <v>0</v>
      </c>
      <c r="J1304" s="22" t="e">
        <f>VLOOKUP($A1304, TAB_JUROS_C[[DIAS_CORRIDOS]:[V_FUT_UTEIS]], J$5, FALSE)</f>
        <v>#N/A</v>
      </c>
      <c r="K1304" s="22" t="e">
        <f>VLOOKUP($A1304, TAB_CORRECAO_C[[DIAS_CORRIDOS]:[V_FUT_UTEIS]],K$5, FALSE)</f>
        <v>#N/A</v>
      </c>
      <c r="L1304" s="22" t="e">
        <f>VLOOKUP($A1304, TAB_AMORTIZACAO_C[[DIAS_CORRIDOS]:[V_FUT_UTEIS]], L$5, FALSE)</f>
        <v>#N/A</v>
      </c>
    </row>
    <row r="1305" spans="1:12" hidden="1">
      <c r="A1305" s="19">
        <f t="shared" si="109"/>
        <v>1299</v>
      </c>
      <c r="B1305" s="20">
        <f t="shared" si="105"/>
        <v>0</v>
      </c>
      <c r="C1305" s="21">
        <f t="shared" si="106"/>
        <v>0</v>
      </c>
      <c r="D1305" s="22" t="e">
        <f>VLOOKUP($A1305, TAB_JUROS_U[[Q_DIAS_U_PARC_TIR]:[V_FUT_U_JURS CENARIO]], D$5, FALSE)</f>
        <v>#N/A</v>
      </c>
      <c r="E1305" s="22" t="e">
        <f>VLOOKUP($A1305,TAB_CORRECAO_U[[Q_DIAS_U_PARC_TIR]:[V_FUT_U_CORC-02]],E$5, FALSE)</f>
        <v>#N/A</v>
      </c>
      <c r="F1305" s="22" t="e">
        <f>VLOOKUP($A1305,TAB_AMORTIZACAO_U[[Q_DIAS_U_PARC_TIR]:[V_FUT_U_PCPL-02]], F$5, FALSE)</f>
        <v>#N/A</v>
      </c>
      <c r="H1305" s="20">
        <f t="shared" si="107"/>
        <v>0</v>
      </c>
      <c r="I1305" s="21">
        <f t="shared" si="108"/>
        <v>0</v>
      </c>
      <c r="J1305" s="22" t="e">
        <f>VLOOKUP($A1305, TAB_JUROS_C[[DIAS_CORRIDOS]:[V_FUT_UTEIS]], J$5, FALSE)</f>
        <v>#N/A</v>
      </c>
      <c r="K1305" s="22" t="e">
        <f>VLOOKUP($A1305, TAB_CORRECAO_C[[DIAS_CORRIDOS]:[V_FUT_UTEIS]],K$5, FALSE)</f>
        <v>#N/A</v>
      </c>
      <c r="L1305" s="22" t="e">
        <f>VLOOKUP($A1305, TAB_AMORTIZACAO_C[[DIAS_CORRIDOS]:[V_FUT_UTEIS]], L$5, FALSE)</f>
        <v>#N/A</v>
      </c>
    </row>
    <row r="1306" spans="1:12" hidden="1">
      <c r="A1306" s="19">
        <f t="shared" si="109"/>
        <v>1300</v>
      </c>
      <c r="B1306" s="20">
        <f t="shared" si="105"/>
        <v>0</v>
      </c>
      <c r="C1306" s="21">
        <f t="shared" si="106"/>
        <v>0</v>
      </c>
      <c r="D1306" s="22" t="e">
        <f>VLOOKUP($A1306, TAB_JUROS_U[[Q_DIAS_U_PARC_TIR]:[V_FUT_U_JURS CENARIO]], D$5, FALSE)</f>
        <v>#N/A</v>
      </c>
      <c r="E1306" s="22" t="e">
        <f>VLOOKUP($A1306,TAB_CORRECAO_U[[Q_DIAS_U_PARC_TIR]:[V_FUT_U_CORC-02]],E$5, FALSE)</f>
        <v>#N/A</v>
      </c>
      <c r="F1306" s="22" t="e">
        <f>VLOOKUP($A1306,TAB_AMORTIZACAO_U[[Q_DIAS_U_PARC_TIR]:[V_FUT_U_PCPL-02]], F$5, FALSE)</f>
        <v>#N/A</v>
      </c>
      <c r="H1306" s="20">
        <f t="shared" si="107"/>
        <v>0</v>
      </c>
      <c r="I1306" s="21">
        <f t="shared" si="108"/>
        <v>0</v>
      </c>
      <c r="J1306" s="22" t="e">
        <f>VLOOKUP($A1306, TAB_JUROS_C[[DIAS_CORRIDOS]:[V_FUT_UTEIS]], J$5, FALSE)</f>
        <v>#N/A</v>
      </c>
      <c r="K1306" s="22" t="e">
        <f>VLOOKUP($A1306, TAB_CORRECAO_C[[DIAS_CORRIDOS]:[V_FUT_UTEIS]],K$5, FALSE)</f>
        <v>#N/A</v>
      </c>
      <c r="L1306" s="22" t="e">
        <f>VLOOKUP($A1306, TAB_AMORTIZACAO_C[[DIAS_CORRIDOS]:[V_FUT_UTEIS]], L$5, FALSE)</f>
        <v>#N/A</v>
      </c>
    </row>
    <row r="1307" spans="1:12" hidden="1">
      <c r="A1307" s="19">
        <f t="shared" si="109"/>
        <v>1301</v>
      </c>
      <c r="B1307" s="20">
        <f t="shared" si="105"/>
        <v>0</v>
      </c>
      <c r="C1307" s="21">
        <f t="shared" si="106"/>
        <v>0</v>
      </c>
      <c r="D1307" s="22" t="e">
        <f>VLOOKUP($A1307, TAB_JUROS_U[[Q_DIAS_U_PARC_TIR]:[V_FUT_U_JURS CENARIO]], D$5, FALSE)</f>
        <v>#N/A</v>
      </c>
      <c r="E1307" s="22" t="e">
        <f>VLOOKUP($A1307,TAB_CORRECAO_U[[Q_DIAS_U_PARC_TIR]:[V_FUT_U_CORC-02]],E$5, FALSE)</f>
        <v>#N/A</v>
      </c>
      <c r="F1307" s="22" t="e">
        <f>VLOOKUP($A1307,TAB_AMORTIZACAO_U[[Q_DIAS_U_PARC_TIR]:[V_FUT_U_PCPL-02]], F$5, FALSE)</f>
        <v>#N/A</v>
      </c>
      <c r="H1307" s="20">
        <f t="shared" si="107"/>
        <v>0</v>
      </c>
      <c r="I1307" s="21">
        <f t="shared" si="108"/>
        <v>0</v>
      </c>
      <c r="J1307" s="22" t="e">
        <f>VLOOKUP($A1307, TAB_JUROS_C[[DIAS_CORRIDOS]:[V_FUT_UTEIS]], J$5, FALSE)</f>
        <v>#N/A</v>
      </c>
      <c r="K1307" s="22" t="e">
        <f>VLOOKUP($A1307, TAB_CORRECAO_C[[DIAS_CORRIDOS]:[V_FUT_UTEIS]],K$5, FALSE)</f>
        <v>#N/A</v>
      </c>
      <c r="L1307" s="22" t="e">
        <f>VLOOKUP($A1307, TAB_AMORTIZACAO_C[[DIAS_CORRIDOS]:[V_FUT_UTEIS]], L$5, FALSE)</f>
        <v>#N/A</v>
      </c>
    </row>
    <row r="1308" spans="1:12" hidden="1">
      <c r="A1308" s="19">
        <f t="shared" si="109"/>
        <v>1302</v>
      </c>
      <c r="B1308" s="20">
        <f t="shared" si="105"/>
        <v>0</v>
      </c>
      <c r="C1308" s="21">
        <f t="shared" si="106"/>
        <v>0</v>
      </c>
      <c r="D1308" s="22" t="e">
        <f>VLOOKUP($A1308, TAB_JUROS_U[[Q_DIAS_U_PARC_TIR]:[V_FUT_U_JURS CENARIO]], D$5, FALSE)</f>
        <v>#N/A</v>
      </c>
      <c r="E1308" s="22" t="e">
        <f>VLOOKUP($A1308,TAB_CORRECAO_U[[Q_DIAS_U_PARC_TIR]:[V_FUT_U_CORC-02]],E$5, FALSE)</f>
        <v>#N/A</v>
      </c>
      <c r="F1308" s="22" t="e">
        <f>VLOOKUP($A1308,TAB_AMORTIZACAO_U[[Q_DIAS_U_PARC_TIR]:[V_FUT_U_PCPL-02]], F$5, FALSE)</f>
        <v>#N/A</v>
      </c>
      <c r="H1308" s="20">
        <f t="shared" si="107"/>
        <v>0</v>
      </c>
      <c r="I1308" s="21">
        <f t="shared" si="108"/>
        <v>0</v>
      </c>
      <c r="J1308" s="22" t="e">
        <f>VLOOKUP($A1308, TAB_JUROS_C[[DIAS_CORRIDOS]:[V_FUT_UTEIS]], J$5, FALSE)</f>
        <v>#N/A</v>
      </c>
      <c r="K1308" s="22" t="e">
        <f>VLOOKUP($A1308, TAB_CORRECAO_C[[DIAS_CORRIDOS]:[V_FUT_UTEIS]],K$5, FALSE)</f>
        <v>#N/A</v>
      </c>
      <c r="L1308" s="22" t="e">
        <f>VLOOKUP($A1308, TAB_AMORTIZACAO_C[[DIAS_CORRIDOS]:[V_FUT_UTEIS]], L$5, FALSE)</f>
        <v>#N/A</v>
      </c>
    </row>
    <row r="1309" spans="1:12" hidden="1">
      <c r="A1309" s="19">
        <f t="shared" si="109"/>
        <v>1303</v>
      </c>
      <c r="B1309" s="20">
        <f t="shared" si="105"/>
        <v>0</v>
      </c>
      <c r="C1309" s="21">
        <f t="shared" si="106"/>
        <v>0</v>
      </c>
      <c r="D1309" s="22" t="e">
        <f>VLOOKUP($A1309, TAB_JUROS_U[[Q_DIAS_U_PARC_TIR]:[V_FUT_U_JURS CENARIO]], D$5, FALSE)</f>
        <v>#N/A</v>
      </c>
      <c r="E1309" s="22" t="e">
        <f>VLOOKUP($A1309,TAB_CORRECAO_U[[Q_DIAS_U_PARC_TIR]:[V_FUT_U_CORC-02]],E$5, FALSE)</f>
        <v>#N/A</v>
      </c>
      <c r="F1309" s="22" t="e">
        <f>VLOOKUP($A1309,TAB_AMORTIZACAO_U[[Q_DIAS_U_PARC_TIR]:[V_FUT_U_PCPL-02]], F$5, FALSE)</f>
        <v>#N/A</v>
      </c>
      <c r="H1309" s="20">
        <f t="shared" si="107"/>
        <v>0</v>
      </c>
      <c r="I1309" s="21">
        <f t="shared" si="108"/>
        <v>0</v>
      </c>
      <c r="J1309" s="22" t="e">
        <f>VLOOKUP($A1309, TAB_JUROS_C[[DIAS_CORRIDOS]:[V_FUT_UTEIS]], J$5, FALSE)</f>
        <v>#N/A</v>
      </c>
      <c r="K1309" s="22" t="e">
        <f>VLOOKUP($A1309, TAB_CORRECAO_C[[DIAS_CORRIDOS]:[V_FUT_UTEIS]],K$5, FALSE)</f>
        <v>#N/A</v>
      </c>
      <c r="L1309" s="22" t="e">
        <f>VLOOKUP($A1309, TAB_AMORTIZACAO_C[[DIAS_CORRIDOS]:[V_FUT_UTEIS]], L$5, FALSE)</f>
        <v>#N/A</v>
      </c>
    </row>
    <row r="1310" spans="1:12" hidden="1">
      <c r="A1310" s="19">
        <f t="shared" si="109"/>
        <v>1304</v>
      </c>
      <c r="B1310" s="20">
        <f t="shared" si="105"/>
        <v>0</v>
      </c>
      <c r="C1310" s="21">
        <f t="shared" si="106"/>
        <v>0</v>
      </c>
      <c r="D1310" s="22" t="e">
        <f>VLOOKUP($A1310, TAB_JUROS_U[[Q_DIAS_U_PARC_TIR]:[V_FUT_U_JURS CENARIO]], D$5, FALSE)</f>
        <v>#N/A</v>
      </c>
      <c r="E1310" s="22" t="e">
        <f>VLOOKUP($A1310,TAB_CORRECAO_U[[Q_DIAS_U_PARC_TIR]:[V_FUT_U_CORC-02]],E$5, FALSE)</f>
        <v>#N/A</v>
      </c>
      <c r="F1310" s="22" t="e">
        <f>VLOOKUP($A1310,TAB_AMORTIZACAO_U[[Q_DIAS_U_PARC_TIR]:[V_FUT_U_PCPL-02]], F$5, FALSE)</f>
        <v>#N/A</v>
      </c>
      <c r="H1310" s="20">
        <f t="shared" si="107"/>
        <v>0</v>
      </c>
      <c r="I1310" s="21">
        <f t="shared" si="108"/>
        <v>0</v>
      </c>
      <c r="J1310" s="22" t="e">
        <f>VLOOKUP($A1310, TAB_JUROS_C[[DIAS_CORRIDOS]:[V_FUT_UTEIS]], J$5, FALSE)</f>
        <v>#N/A</v>
      </c>
      <c r="K1310" s="22" t="e">
        <f>VLOOKUP($A1310, TAB_CORRECAO_C[[DIAS_CORRIDOS]:[V_FUT_UTEIS]],K$5, FALSE)</f>
        <v>#N/A</v>
      </c>
      <c r="L1310" s="22" t="e">
        <f>VLOOKUP($A1310, TAB_AMORTIZACAO_C[[DIAS_CORRIDOS]:[V_FUT_UTEIS]], L$5, FALSE)</f>
        <v>#N/A</v>
      </c>
    </row>
    <row r="1311" spans="1:12">
      <c r="A1311" s="19">
        <f t="shared" si="109"/>
        <v>1305</v>
      </c>
      <c r="B1311" s="20">
        <f t="shared" si="105"/>
        <v>610.51981168065151</v>
      </c>
      <c r="C1311" s="21">
        <f t="shared" si="106"/>
        <v>610.51981168065151</v>
      </c>
      <c r="D1311" s="22">
        <f>VLOOKUP($A1311, TAB_JUROS_U[[Q_DIAS_U_PARC_TIR]:[V_FUT_U_JURS CENARIO]], D$5, FALSE)</f>
        <v>39.343135510652317</v>
      </c>
      <c r="E1311" s="22">
        <f>VLOOKUP($A1311,TAB_CORRECAO_U[[Q_DIAS_U_PARC_TIR]:[V_FUT_U_CORC-02]],E$5, FALSE)</f>
        <v>237.99785198517574</v>
      </c>
      <c r="F1311" s="22">
        <f>VLOOKUP($A1311,TAB_AMORTIZACAO_U[[Q_DIAS_U_PARC_TIR]:[V_FUT_U_PCPL-02]], F$5, FALSE)</f>
        <v>333.17882418482344</v>
      </c>
      <c r="H1311" s="20">
        <f t="shared" si="107"/>
        <v>0</v>
      </c>
      <c r="I1311" s="21">
        <f t="shared" si="108"/>
        <v>0</v>
      </c>
      <c r="J1311" s="22" t="e">
        <f>VLOOKUP($A1311, TAB_JUROS_C[[DIAS_CORRIDOS]:[V_FUT_UTEIS]], J$5, FALSE)</f>
        <v>#N/A</v>
      </c>
      <c r="K1311" s="22" t="e">
        <f>VLOOKUP($A1311, TAB_CORRECAO_C[[DIAS_CORRIDOS]:[V_FUT_UTEIS]],K$5, FALSE)</f>
        <v>#N/A</v>
      </c>
      <c r="L1311" s="22" t="e">
        <f>VLOOKUP($A1311, TAB_AMORTIZACAO_C[[DIAS_CORRIDOS]:[V_FUT_UTEIS]], L$5, FALSE)</f>
        <v>#N/A</v>
      </c>
    </row>
    <row r="1312" spans="1:12" hidden="1">
      <c r="A1312" s="19">
        <f t="shared" si="109"/>
        <v>1306</v>
      </c>
      <c r="B1312" s="20">
        <f t="shared" si="105"/>
        <v>0</v>
      </c>
      <c r="C1312" s="21">
        <f t="shared" si="106"/>
        <v>0</v>
      </c>
      <c r="D1312" s="22" t="e">
        <f>VLOOKUP($A1312, TAB_JUROS_U[[Q_DIAS_U_PARC_TIR]:[V_FUT_U_JURS CENARIO]], D$5, FALSE)</f>
        <v>#N/A</v>
      </c>
      <c r="E1312" s="22" t="e">
        <f>VLOOKUP($A1312,TAB_CORRECAO_U[[Q_DIAS_U_PARC_TIR]:[V_FUT_U_CORC-02]],E$5, FALSE)</f>
        <v>#N/A</v>
      </c>
      <c r="F1312" s="22" t="e">
        <f>VLOOKUP($A1312,TAB_AMORTIZACAO_U[[Q_DIAS_U_PARC_TIR]:[V_FUT_U_PCPL-02]], F$5, FALSE)</f>
        <v>#N/A</v>
      </c>
      <c r="H1312" s="20">
        <f t="shared" si="107"/>
        <v>0</v>
      </c>
      <c r="I1312" s="21">
        <f t="shared" si="108"/>
        <v>0</v>
      </c>
      <c r="J1312" s="22" t="e">
        <f>VLOOKUP($A1312, TAB_JUROS_C[[DIAS_CORRIDOS]:[V_FUT_UTEIS]], J$5, FALSE)</f>
        <v>#N/A</v>
      </c>
      <c r="K1312" s="22" t="e">
        <f>VLOOKUP($A1312, TAB_CORRECAO_C[[DIAS_CORRIDOS]:[V_FUT_UTEIS]],K$5, FALSE)</f>
        <v>#N/A</v>
      </c>
      <c r="L1312" s="22" t="e">
        <f>VLOOKUP($A1312, TAB_AMORTIZACAO_C[[DIAS_CORRIDOS]:[V_FUT_UTEIS]], L$5, FALSE)</f>
        <v>#N/A</v>
      </c>
    </row>
    <row r="1313" spans="1:12" hidden="1">
      <c r="A1313" s="19">
        <f t="shared" si="109"/>
        <v>1307</v>
      </c>
      <c r="B1313" s="20">
        <f t="shared" si="105"/>
        <v>0</v>
      </c>
      <c r="C1313" s="21">
        <f t="shared" si="106"/>
        <v>0</v>
      </c>
      <c r="D1313" s="22" t="e">
        <f>VLOOKUP($A1313, TAB_JUROS_U[[Q_DIAS_U_PARC_TIR]:[V_FUT_U_JURS CENARIO]], D$5, FALSE)</f>
        <v>#N/A</v>
      </c>
      <c r="E1313" s="22" t="e">
        <f>VLOOKUP($A1313,TAB_CORRECAO_U[[Q_DIAS_U_PARC_TIR]:[V_FUT_U_CORC-02]],E$5, FALSE)</f>
        <v>#N/A</v>
      </c>
      <c r="F1313" s="22" t="e">
        <f>VLOOKUP($A1313,TAB_AMORTIZACAO_U[[Q_DIAS_U_PARC_TIR]:[V_FUT_U_PCPL-02]], F$5, FALSE)</f>
        <v>#N/A</v>
      </c>
      <c r="H1313" s="20">
        <f t="shared" si="107"/>
        <v>0</v>
      </c>
      <c r="I1313" s="21">
        <f t="shared" si="108"/>
        <v>0</v>
      </c>
      <c r="J1313" s="22" t="e">
        <f>VLOOKUP($A1313, TAB_JUROS_C[[DIAS_CORRIDOS]:[V_FUT_UTEIS]], J$5, FALSE)</f>
        <v>#N/A</v>
      </c>
      <c r="K1313" s="22" t="e">
        <f>VLOOKUP($A1313, TAB_CORRECAO_C[[DIAS_CORRIDOS]:[V_FUT_UTEIS]],K$5, FALSE)</f>
        <v>#N/A</v>
      </c>
      <c r="L1313" s="22" t="e">
        <f>VLOOKUP($A1313, TAB_AMORTIZACAO_C[[DIAS_CORRIDOS]:[V_FUT_UTEIS]], L$5, FALSE)</f>
        <v>#N/A</v>
      </c>
    </row>
    <row r="1314" spans="1:12" hidden="1">
      <c r="A1314" s="19">
        <f t="shared" si="109"/>
        <v>1308</v>
      </c>
      <c r="B1314" s="20">
        <f t="shared" si="105"/>
        <v>0</v>
      </c>
      <c r="C1314" s="21">
        <f t="shared" si="106"/>
        <v>0</v>
      </c>
      <c r="D1314" s="22" t="e">
        <f>VLOOKUP($A1314, TAB_JUROS_U[[Q_DIAS_U_PARC_TIR]:[V_FUT_U_JURS CENARIO]], D$5, FALSE)</f>
        <v>#N/A</v>
      </c>
      <c r="E1314" s="22" t="e">
        <f>VLOOKUP($A1314,TAB_CORRECAO_U[[Q_DIAS_U_PARC_TIR]:[V_FUT_U_CORC-02]],E$5, FALSE)</f>
        <v>#N/A</v>
      </c>
      <c r="F1314" s="22" t="e">
        <f>VLOOKUP($A1314,TAB_AMORTIZACAO_U[[Q_DIAS_U_PARC_TIR]:[V_FUT_U_PCPL-02]], F$5, FALSE)</f>
        <v>#N/A</v>
      </c>
      <c r="H1314" s="20">
        <f t="shared" si="107"/>
        <v>0</v>
      </c>
      <c r="I1314" s="21">
        <f t="shared" si="108"/>
        <v>0</v>
      </c>
      <c r="J1314" s="22" t="e">
        <f>VLOOKUP($A1314, TAB_JUROS_C[[DIAS_CORRIDOS]:[V_FUT_UTEIS]], J$5, FALSE)</f>
        <v>#N/A</v>
      </c>
      <c r="K1314" s="22" t="e">
        <f>VLOOKUP($A1314, TAB_CORRECAO_C[[DIAS_CORRIDOS]:[V_FUT_UTEIS]],K$5, FALSE)</f>
        <v>#N/A</v>
      </c>
      <c r="L1314" s="22" t="e">
        <f>VLOOKUP($A1314, TAB_AMORTIZACAO_C[[DIAS_CORRIDOS]:[V_FUT_UTEIS]], L$5, FALSE)</f>
        <v>#N/A</v>
      </c>
    </row>
    <row r="1315" spans="1:12" hidden="1">
      <c r="A1315" s="19">
        <f t="shared" si="109"/>
        <v>1309</v>
      </c>
      <c r="B1315" s="20">
        <f t="shared" si="105"/>
        <v>0</v>
      </c>
      <c r="C1315" s="21">
        <f t="shared" si="106"/>
        <v>0</v>
      </c>
      <c r="D1315" s="22" t="e">
        <f>VLOOKUP($A1315, TAB_JUROS_U[[Q_DIAS_U_PARC_TIR]:[V_FUT_U_JURS CENARIO]], D$5, FALSE)</f>
        <v>#N/A</v>
      </c>
      <c r="E1315" s="22" t="e">
        <f>VLOOKUP($A1315,TAB_CORRECAO_U[[Q_DIAS_U_PARC_TIR]:[V_FUT_U_CORC-02]],E$5, FALSE)</f>
        <v>#N/A</v>
      </c>
      <c r="F1315" s="22" t="e">
        <f>VLOOKUP($A1315,TAB_AMORTIZACAO_U[[Q_DIAS_U_PARC_TIR]:[V_FUT_U_PCPL-02]], F$5, FALSE)</f>
        <v>#N/A</v>
      </c>
      <c r="H1315" s="20">
        <f t="shared" si="107"/>
        <v>0</v>
      </c>
      <c r="I1315" s="21">
        <f t="shared" si="108"/>
        <v>0</v>
      </c>
      <c r="J1315" s="22" t="e">
        <f>VLOOKUP($A1315, TAB_JUROS_C[[DIAS_CORRIDOS]:[V_FUT_UTEIS]], J$5, FALSE)</f>
        <v>#N/A</v>
      </c>
      <c r="K1315" s="22" t="e">
        <f>VLOOKUP($A1315, TAB_CORRECAO_C[[DIAS_CORRIDOS]:[V_FUT_UTEIS]],K$5, FALSE)</f>
        <v>#N/A</v>
      </c>
      <c r="L1315" s="22" t="e">
        <f>VLOOKUP($A1315, TAB_AMORTIZACAO_C[[DIAS_CORRIDOS]:[V_FUT_UTEIS]], L$5, FALSE)</f>
        <v>#N/A</v>
      </c>
    </row>
    <row r="1316" spans="1:12" hidden="1">
      <c r="A1316" s="19">
        <f t="shared" si="109"/>
        <v>1310</v>
      </c>
      <c r="B1316" s="20">
        <f t="shared" si="105"/>
        <v>0</v>
      </c>
      <c r="C1316" s="21">
        <f t="shared" si="106"/>
        <v>0</v>
      </c>
      <c r="D1316" s="22" t="e">
        <f>VLOOKUP($A1316, TAB_JUROS_U[[Q_DIAS_U_PARC_TIR]:[V_FUT_U_JURS CENARIO]], D$5, FALSE)</f>
        <v>#N/A</v>
      </c>
      <c r="E1316" s="22" t="e">
        <f>VLOOKUP($A1316,TAB_CORRECAO_U[[Q_DIAS_U_PARC_TIR]:[V_FUT_U_CORC-02]],E$5, FALSE)</f>
        <v>#N/A</v>
      </c>
      <c r="F1316" s="22" t="e">
        <f>VLOOKUP($A1316,TAB_AMORTIZACAO_U[[Q_DIAS_U_PARC_TIR]:[V_FUT_U_PCPL-02]], F$5, FALSE)</f>
        <v>#N/A</v>
      </c>
      <c r="H1316" s="20">
        <f t="shared" si="107"/>
        <v>0</v>
      </c>
      <c r="I1316" s="21">
        <f t="shared" si="108"/>
        <v>0</v>
      </c>
      <c r="J1316" s="22" t="e">
        <f>VLOOKUP($A1316, TAB_JUROS_C[[DIAS_CORRIDOS]:[V_FUT_UTEIS]], J$5, FALSE)</f>
        <v>#N/A</v>
      </c>
      <c r="K1316" s="22" t="e">
        <f>VLOOKUP($A1316, TAB_CORRECAO_C[[DIAS_CORRIDOS]:[V_FUT_UTEIS]],K$5, FALSE)</f>
        <v>#N/A</v>
      </c>
      <c r="L1316" s="22" t="e">
        <f>VLOOKUP($A1316, TAB_AMORTIZACAO_C[[DIAS_CORRIDOS]:[V_FUT_UTEIS]], L$5, FALSE)</f>
        <v>#N/A</v>
      </c>
    </row>
    <row r="1317" spans="1:12" hidden="1">
      <c r="A1317" s="19">
        <f t="shared" si="109"/>
        <v>1311</v>
      </c>
      <c r="B1317" s="20">
        <f t="shared" si="105"/>
        <v>0</v>
      </c>
      <c r="C1317" s="21">
        <f t="shared" si="106"/>
        <v>0</v>
      </c>
      <c r="D1317" s="22" t="e">
        <f>VLOOKUP($A1317, TAB_JUROS_U[[Q_DIAS_U_PARC_TIR]:[V_FUT_U_JURS CENARIO]], D$5, FALSE)</f>
        <v>#N/A</v>
      </c>
      <c r="E1317" s="22" t="e">
        <f>VLOOKUP($A1317,TAB_CORRECAO_U[[Q_DIAS_U_PARC_TIR]:[V_FUT_U_CORC-02]],E$5, FALSE)</f>
        <v>#N/A</v>
      </c>
      <c r="F1317" s="22" t="e">
        <f>VLOOKUP($A1317,TAB_AMORTIZACAO_U[[Q_DIAS_U_PARC_TIR]:[V_FUT_U_PCPL-02]], F$5, FALSE)</f>
        <v>#N/A</v>
      </c>
      <c r="H1317" s="20">
        <f t="shared" si="107"/>
        <v>0</v>
      </c>
      <c r="I1317" s="21">
        <f t="shared" si="108"/>
        <v>0</v>
      </c>
      <c r="J1317" s="22" t="e">
        <f>VLOOKUP($A1317, TAB_JUROS_C[[DIAS_CORRIDOS]:[V_FUT_UTEIS]], J$5, FALSE)</f>
        <v>#N/A</v>
      </c>
      <c r="K1317" s="22" t="e">
        <f>VLOOKUP($A1317, TAB_CORRECAO_C[[DIAS_CORRIDOS]:[V_FUT_UTEIS]],K$5, FALSE)</f>
        <v>#N/A</v>
      </c>
      <c r="L1317" s="22" t="e">
        <f>VLOOKUP($A1317, TAB_AMORTIZACAO_C[[DIAS_CORRIDOS]:[V_FUT_UTEIS]], L$5, FALSE)</f>
        <v>#N/A</v>
      </c>
    </row>
    <row r="1318" spans="1:12" hidden="1">
      <c r="A1318" s="19">
        <f t="shared" si="109"/>
        <v>1312</v>
      </c>
      <c r="B1318" s="20">
        <f t="shared" si="105"/>
        <v>0</v>
      </c>
      <c r="C1318" s="21">
        <f t="shared" si="106"/>
        <v>0</v>
      </c>
      <c r="D1318" s="22" t="e">
        <f>VLOOKUP($A1318, TAB_JUROS_U[[Q_DIAS_U_PARC_TIR]:[V_FUT_U_JURS CENARIO]], D$5, FALSE)</f>
        <v>#N/A</v>
      </c>
      <c r="E1318" s="22" t="e">
        <f>VLOOKUP($A1318,TAB_CORRECAO_U[[Q_DIAS_U_PARC_TIR]:[V_FUT_U_CORC-02]],E$5, FALSE)</f>
        <v>#N/A</v>
      </c>
      <c r="F1318" s="22" t="e">
        <f>VLOOKUP($A1318,TAB_AMORTIZACAO_U[[Q_DIAS_U_PARC_TIR]:[V_FUT_U_PCPL-02]], F$5, FALSE)</f>
        <v>#N/A</v>
      </c>
      <c r="H1318" s="20">
        <f t="shared" si="107"/>
        <v>0</v>
      </c>
      <c r="I1318" s="21">
        <f t="shared" si="108"/>
        <v>0</v>
      </c>
      <c r="J1318" s="22" t="e">
        <f>VLOOKUP($A1318, TAB_JUROS_C[[DIAS_CORRIDOS]:[V_FUT_UTEIS]], J$5, FALSE)</f>
        <v>#N/A</v>
      </c>
      <c r="K1318" s="22" t="e">
        <f>VLOOKUP($A1318, TAB_CORRECAO_C[[DIAS_CORRIDOS]:[V_FUT_UTEIS]],K$5, FALSE)</f>
        <v>#N/A</v>
      </c>
      <c r="L1318" s="22" t="e">
        <f>VLOOKUP($A1318, TAB_AMORTIZACAO_C[[DIAS_CORRIDOS]:[V_FUT_UTEIS]], L$5, FALSE)</f>
        <v>#N/A</v>
      </c>
    </row>
    <row r="1319" spans="1:12" hidden="1">
      <c r="A1319" s="19">
        <f t="shared" si="109"/>
        <v>1313</v>
      </c>
      <c r="B1319" s="20">
        <f t="shared" si="105"/>
        <v>0</v>
      </c>
      <c r="C1319" s="21">
        <f t="shared" si="106"/>
        <v>0</v>
      </c>
      <c r="D1319" s="22" t="e">
        <f>VLOOKUP($A1319, TAB_JUROS_U[[Q_DIAS_U_PARC_TIR]:[V_FUT_U_JURS CENARIO]], D$5, FALSE)</f>
        <v>#N/A</v>
      </c>
      <c r="E1319" s="22" t="e">
        <f>VLOOKUP($A1319,TAB_CORRECAO_U[[Q_DIAS_U_PARC_TIR]:[V_FUT_U_CORC-02]],E$5, FALSE)</f>
        <v>#N/A</v>
      </c>
      <c r="F1319" s="22" t="e">
        <f>VLOOKUP($A1319,TAB_AMORTIZACAO_U[[Q_DIAS_U_PARC_TIR]:[V_FUT_U_PCPL-02]], F$5, FALSE)</f>
        <v>#N/A</v>
      </c>
      <c r="H1319" s="20">
        <f t="shared" si="107"/>
        <v>0</v>
      </c>
      <c r="I1319" s="21">
        <f t="shared" si="108"/>
        <v>0</v>
      </c>
      <c r="J1319" s="22" t="e">
        <f>VLOOKUP($A1319, TAB_JUROS_C[[DIAS_CORRIDOS]:[V_FUT_UTEIS]], J$5, FALSE)</f>
        <v>#N/A</v>
      </c>
      <c r="K1319" s="22" t="e">
        <f>VLOOKUP($A1319, TAB_CORRECAO_C[[DIAS_CORRIDOS]:[V_FUT_UTEIS]],K$5, FALSE)</f>
        <v>#N/A</v>
      </c>
      <c r="L1319" s="22" t="e">
        <f>VLOOKUP($A1319, TAB_AMORTIZACAO_C[[DIAS_CORRIDOS]:[V_FUT_UTEIS]], L$5, FALSE)</f>
        <v>#N/A</v>
      </c>
    </row>
    <row r="1320" spans="1:12" hidden="1">
      <c r="A1320" s="19">
        <f t="shared" si="109"/>
        <v>1314</v>
      </c>
      <c r="B1320" s="20">
        <f t="shared" si="105"/>
        <v>0</v>
      </c>
      <c r="C1320" s="21">
        <f t="shared" si="106"/>
        <v>0</v>
      </c>
      <c r="D1320" s="22" t="e">
        <f>VLOOKUP($A1320, TAB_JUROS_U[[Q_DIAS_U_PARC_TIR]:[V_FUT_U_JURS CENARIO]], D$5, FALSE)</f>
        <v>#N/A</v>
      </c>
      <c r="E1320" s="22" t="e">
        <f>VLOOKUP($A1320,TAB_CORRECAO_U[[Q_DIAS_U_PARC_TIR]:[V_FUT_U_CORC-02]],E$5, FALSE)</f>
        <v>#N/A</v>
      </c>
      <c r="F1320" s="22" t="e">
        <f>VLOOKUP($A1320,TAB_AMORTIZACAO_U[[Q_DIAS_U_PARC_TIR]:[V_FUT_U_PCPL-02]], F$5, FALSE)</f>
        <v>#N/A</v>
      </c>
      <c r="H1320" s="20">
        <f t="shared" si="107"/>
        <v>0</v>
      </c>
      <c r="I1320" s="21">
        <f t="shared" si="108"/>
        <v>0</v>
      </c>
      <c r="J1320" s="22" t="e">
        <f>VLOOKUP($A1320, TAB_JUROS_C[[DIAS_CORRIDOS]:[V_FUT_UTEIS]], J$5, FALSE)</f>
        <v>#N/A</v>
      </c>
      <c r="K1320" s="22" t="e">
        <f>VLOOKUP($A1320, TAB_CORRECAO_C[[DIAS_CORRIDOS]:[V_FUT_UTEIS]],K$5, FALSE)</f>
        <v>#N/A</v>
      </c>
      <c r="L1320" s="22" t="e">
        <f>VLOOKUP($A1320, TAB_AMORTIZACAO_C[[DIAS_CORRIDOS]:[V_FUT_UTEIS]], L$5, FALSE)</f>
        <v>#N/A</v>
      </c>
    </row>
    <row r="1321" spans="1:12" hidden="1">
      <c r="A1321" s="19">
        <f t="shared" si="109"/>
        <v>1315</v>
      </c>
      <c r="B1321" s="20">
        <f t="shared" si="105"/>
        <v>0</v>
      </c>
      <c r="C1321" s="21">
        <f t="shared" si="106"/>
        <v>0</v>
      </c>
      <c r="D1321" s="22" t="e">
        <f>VLOOKUP($A1321, TAB_JUROS_U[[Q_DIAS_U_PARC_TIR]:[V_FUT_U_JURS CENARIO]], D$5, FALSE)</f>
        <v>#N/A</v>
      </c>
      <c r="E1321" s="22" t="e">
        <f>VLOOKUP($A1321,TAB_CORRECAO_U[[Q_DIAS_U_PARC_TIR]:[V_FUT_U_CORC-02]],E$5, FALSE)</f>
        <v>#N/A</v>
      </c>
      <c r="F1321" s="22" t="e">
        <f>VLOOKUP($A1321,TAB_AMORTIZACAO_U[[Q_DIAS_U_PARC_TIR]:[V_FUT_U_PCPL-02]], F$5, FALSE)</f>
        <v>#N/A</v>
      </c>
      <c r="H1321" s="20">
        <f t="shared" si="107"/>
        <v>0</v>
      </c>
      <c r="I1321" s="21">
        <f t="shared" si="108"/>
        <v>0</v>
      </c>
      <c r="J1321" s="22" t="e">
        <f>VLOOKUP($A1321, TAB_JUROS_C[[DIAS_CORRIDOS]:[V_FUT_UTEIS]], J$5, FALSE)</f>
        <v>#N/A</v>
      </c>
      <c r="K1321" s="22" t="e">
        <f>VLOOKUP($A1321, TAB_CORRECAO_C[[DIAS_CORRIDOS]:[V_FUT_UTEIS]],K$5, FALSE)</f>
        <v>#N/A</v>
      </c>
      <c r="L1321" s="22" t="e">
        <f>VLOOKUP($A1321, TAB_AMORTIZACAO_C[[DIAS_CORRIDOS]:[V_FUT_UTEIS]], L$5, FALSE)</f>
        <v>#N/A</v>
      </c>
    </row>
    <row r="1322" spans="1:12" hidden="1">
      <c r="A1322" s="19">
        <f t="shared" si="109"/>
        <v>1316</v>
      </c>
      <c r="B1322" s="20">
        <f t="shared" si="105"/>
        <v>0</v>
      </c>
      <c r="C1322" s="21">
        <f t="shared" si="106"/>
        <v>0</v>
      </c>
      <c r="D1322" s="22" t="e">
        <f>VLOOKUP($A1322, TAB_JUROS_U[[Q_DIAS_U_PARC_TIR]:[V_FUT_U_JURS CENARIO]], D$5, FALSE)</f>
        <v>#N/A</v>
      </c>
      <c r="E1322" s="22" t="e">
        <f>VLOOKUP($A1322,TAB_CORRECAO_U[[Q_DIAS_U_PARC_TIR]:[V_FUT_U_CORC-02]],E$5, FALSE)</f>
        <v>#N/A</v>
      </c>
      <c r="F1322" s="22" t="e">
        <f>VLOOKUP($A1322,TAB_AMORTIZACAO_U[[Q_DIAS_U_PARC_TIR]:[V_FUT_U_PCPL-02]], F$5, FALSE)</f>
        <v>#N/A</v>
      </c>
      <c r="H1322" s="20">
        <f t="shared" si="107"/>
        <v>0</v>
      </c>
      <c r="I1322" s="21">
        <f t="shared" si="108"/>
        <v>0</v>
      </c>
      <c r="J1322" s="22" t="e">
        <f>VLOOKUP($A1322, TAB_JUROS_C[[DIAS_CORRIDOS]:[V_FUT_UTEIS]], J$5, FALSE)</f>
        <v>#N/A</v>
      </c>
      <c r="K1322" s="22" t="e">
        <f>VLOOKUP($A1322, TAB_CORRECAO_C[[DIAS_CORRIDOS]:[V_FUT_UTEIS]],K$5, FALSE)</f>
        <v>#N/A</v>
      </c>
      <c r="L1322" s="22" t="e">
        <f>VLOOKUP($A1322, TAB_AMORTIZACAO_C[[DIAS_CORRIDOS]:[V_FUT_UTEIS]], L$5, FALSE)</f>
        <v>#N/A</v>
      </c>
    </row>
    <row r="1323" spans="1:12" hidden="1">
      <c r="A1323" s="19">
        <f t="shared" si="109"/>
        <v>1317</v>
      </c>
      <c r="B1323" s="20">
        <f t="shared" si="105"/>
        <v>0</v>
      </c>
      <c r="C1323" s="21">
        <f t="shared" si="106"/>
        <v>0</v>
      </c>
      <c r="D1323" s="22" t="e">
        <f>VLOOKUP($A1323, TAB_JUROS_U[[Q_DIAS_U_PARC_TIR]:[V_FUT_U_JURS CENARIO]], D$5, FALSE)</f>
        <v>#N/A</v>
      </c>
      <c r="E1323" s="22" t="e">
        <f>VLOOKUP($A1323,TAB_CORRECAO_U[[Q_DIAS_U_PARC_TIR]:[V_FUT_U_CORC-02]],E$5, FALSE)</f>
        <v>#N/A</v>
      </c>
      <c r="F1323" s="22" t="e">
        <f>VLOOKUP($A1323,TAB_AMORTIZACAO_U[[Q_DIAS_U_PARC_TIR]:[V_FUT_U_PCPL-02]], F$5, FALSE)</f>
        <v>#N/A</v>
      </c>
      <c r="H1323" s="20">
        <f t="shared" si="107"/>
        <v>0</v>
      </c>
      <c r="I1323" s="21">
        <f t="shared" si="108"/>
        <v>0</v>
      </c>
      <c r="J1323" s="22" t="e">
        <f>VLOOKUP($A1323, TAB_JUROS_C[[DIAS_CORRIDOS]:[V_FUT_UTEIS]], J$5, FALSE)</f>
        <v>#N/A</v>
      </c>
      <c r="K1323" s="22" t="e">
        <f>VLOOKUP($A1323, TAB_CORRECAO_C[[DIAS_CORRIDOS]:[V_FUT_UTEIS]],K$5, FALSE)</f>
        <v>#N/A</v>
      </c>
      <c r="L1323" s="22" t="e">
        <f>VLOOKUP($A1323, TAB_AMORTIZACAO_C[[DIAS_CORRIDOS]:[V_FUT_UTEIS]], L$5, FALSE)</f>
        <v>#N/A</v>
      </c>
    </row>
    <row r="1324" spans="1:12" hidden="1">
      <c r="A1324" s="19">
        <f t="shared" si="109"/>
        <v>1318</v>
      </c>
      <c r="B1324" s="20">
        <f t="shared" si="105"/>
        <v>0</v>
      </c>
      <c r="C1324" s="21">
        <f t="shared" si="106"/>
        <v>0</v>
      </c>
      <c r="D1324" s="22" t="e">
        <f>VLOOKUP($A1324, TAB_JUROS_U[[Q_DIAS_U_PARC_TIR]:[V_FUT_U_JURS CENARIO]], D$5, FALSE)</f>
        <v>#N/A</v>
      </c>
      <c r="E1324" s="22" t="e">
        <f>VLOOKUP($A1324,TAB_CORRECAO_U[[Q_DIAS_U_PARC_TIR]:[V_FUT_U_CORC-02]],E$5, FALSE)</f>
        <v>#N/A</v>
      </c>
      <c r="F1324" s="22" t="e">
        <f>VLOOKUP($A1324,TAB_AMORTIZACAO_U[[Q_DIAS_U_PARC_TIR]:[V_FUT_U_PCPL-02]], F$5, FALSE)</f>
        <v>#N/A</v>
      </c>
      <c r="H1324" s="20">
        <f t="shared" si="107"/>
        <v>0</v>
      </c>
      <c r="I1324" s="21">
        <f t="shared" si="108"/>
        <v>0</v>
      </c>
      <c r="J1324" s="22" t="e">
        <f>VLOOKUP($A1324, TAB_JUROS_C[[DIAS_CORRIDOS]:[V_FUT_UTEIS]], J$5, FALSE)</f>
        <v>#N/A</v>
      </c>
      <c r="K1324" s="22" t="e">
        <f>VLOOKUP($A1324, TAB_CORRECAO_C[[DIAS_CORRIDOS]:[V_FUT_UTEIS]],K$5, FALSE)</f>
        <v>#N/A</v>
      </c>
      <c r="L1324" s="22" t="e">
        <f>VLOOKUP($A1324, TAB_AMORTIZACAO_C[[DIAS_CORRIDOS]:[V_FUT_UTEIS]], L$5, FALSE)</f>
        <v>#N/A</v>
      </c>
    </row>
    <row r="1325" spans="1:12" hidden="1">
      <c r="A1325" s="19">
        <f t="shared" si="109"/>
        <v>1319</v>
      </c>
      <c r="B1325" s="20">
        <f t="shared" si="105"/>
        <v>0</v>
      </c>
      <c r="C1325" s="21">
        <f t="shared" si="106"/>
        <v>0</v>
      </c>
      <c r="D1325" s="22" t="e">
        <f>VLOOKUP($A1325, TAB_JUROS_U[[Q_DIAS_U_PARC_TIR]:[V_FUT_U_JURS CENARIO]], D$5, FALSE)</f>
        <v>#N/A</v>
      </c>
      <c r="E1325" s="22" t="e">
        <f>VLOOKUP($A1325,TAB_CORRECAO_U[[Q_DIAS_U_PARC_TIR]:[V_FUT_U_CORC-02]],E$5, FALSE)</f>
        <v>#N/A</v>
      </c>
      <c r="F1325" s="22" t="e">
        <f>VLOOKUP($A1325,TAB_AMORTIZACAO_U[[Q_DIAS_U_PARC_TIR]:[V_FUT_U_PCPL-02]], F$5, FALSE)</f>
        <v>#N/A</v>
      </c>
      <c r="H1325" s="20">
        <f t="shared" si="107"/>
        <v>1015.9421122258716</v>
      </c>
      <c r="I1325" s="21">
        <f t="shared" si="108"/>
        <v>1015.9421122258716</v>
      </c>
      <c r="J1325" s="22">
        <f>VLOOKUP($A1325, TAB_JUROS_C[[DIAS_CORRIDOS]:[V_FUT_UTEIS]], J$5, FALSE)</f>
        <v>82.152796292589443</v>
      </c>
      <c r="K1325" s="22">
        <f>VLOOKUP($A1325, TAB_CORRECAO_C[[DIAS_CORRIDOS]:[V_FUT_UTEIS]],K$5, FALSE)</f>
        <v>499.39654563034122</v>
      </c>
      <c r="L1325" s="22">
        <f>VLOOKUP($A1325, TAB_AMORTIZACAO_C[[DIAS_CORRIDOS]:[V_FUT_UTEIS]], L$5, FALSE)</f>
        <v>434.39277030294085</v>
      </c>
    </row>
    <row r="1326" spans="1:12" hidden="1">
      <c r="A1326" s="19">
        <f t="shared" si="109"/>
        <v>1320</v>
      </c>
      <c r="B1326" s="20">
        <f t="shared" si="105"/>
        <v>0</v>
      </c>
      <c r="C1326" s="21">
        <f t="shared" si="106"/>
        <v>0</v>
      </c>
      <c r="D1326" s="22" t="e">
        <f>VLOOKUP($A1326, TAB_JUROS_U[[Q_DIAS_U_PARC_TIR]:[V_FUT_U_JURS CENARIO]], D$5, FALSE)</f>
        <v>#N/A</v>
      </c>
      <c r="E1326" s="22" t="e">
        <f>VLOOKUP($A1326,TAB_CORRECAO_U[[Q_DIAS_U_PARC_TIR]:[V_FUT_U_CORC-02]],E$5, FALSE)</f>
        <v>#N/A</v>
      </c>
      <c r="F1326" s="22" t="e">
        <f>VLOOKUP($A1326,TAB_AMORTIZACAO_U[[Q_DIAS_U_PARC_TIR]:[V_FUT_U_PCPL-02]], F$5, FALSE)</f>
        <v>#N/A</v>
      </c>
      <c r="H1326" s="20">
        <f t="shared" si="107"/>
        <v>0</v>
      </c>
      <c r="I1326" s="21">
        <f t="shared" si="108"/>
        <v>0</v>
      </c>
      <c r="J1326" s="22" t="e">
        <f>VLOOKUP($A1326, TAB_JUROS_C[[DIAS_CORRIDOS]:[V_FUT_UTEIS]], J$5, FALSE)</f>
        <v>#N/A</v>
      </c>
      <c r="K1326" s="22" t="e">
        <f>VLOOKUP($A1326, TAB_CORRECAO_C[[DIAS_CORRIDOS]:[V_FUT_UTEIS]],K$5, FALSE)</f>
        <v>#N/A</v>
      </c>
      <c r="L1326" s="22" t="e">
        <f>VLOOKUP($A1326, TAB_AMORTIZACAO_C[[DIAS_CORRIDOS]:[V_FUT_UTEIS]], L$5, FALSE)</f>
        <v>#N/A</v>
      </c>
    </row>
    <row r="1327" spans="1:12" hidden="1">
      <c r="A1327" s="19">
        <f t="shared" si="109"/>
        <v>1321</v>
      </c>
      <c r="B1327" s="20">
        <f t="shared" si="105"/>
        <v>0</v>
      </c>
      <c r="C1327" s="21">
        <f t="shared" si="106"/>
        <v>0</v>
      </c>
      <c r="D1327" s="22" t="e">
        <f>VLOOKUP($A1327, TAB_JUROS_U[[Q_DIAS_U_PARC_TIR]:[V_FUT_U_JURS CENARIO]], D$5, FALSE)</f>
        <v>#N/A</v>
      </c>
      <c r="E1327" s="22" t="e">
        <f>VLOOKUP($A1327,TAB_CORRECAO_U[[Q_DIAS_U_PARC_TIR]:[V_FUT_U_CORC-02]],E$5, FALSE)</f>
        <v>#N/A</v>
      </c>
      <c r="F1327" s="22" t="e">
        <f>VLOOKUP($A1327,TAB_AMORTIZACAO_U[[Q_DIAS_U_PARC_TIR]:[V_FUT_U_PCPL-02]], F$5, FALSE)</f>
        <v>#N/A</v>
      </c>
      <c r="H1327" s="20">
        <f t="shared" si="107"/>
        <v>0</v>
      </c>
      <c r="I1327" s="21">
        <f t="shared" si="108"/>
        <v>0</v>
      </c>
      <c r="J1327" s="22" t="e">
        <f>VLOOKUP($A1327, TAB_JUROS_C[[DIAS_CORRIDOS]:[V_FUT_UTEIS]], J$5, FALSE)</f>
        <v>#N/A</v>
      </c>
      <c r="K1327" s="22" t="e">
        <f>VLOOKUP($A1327, TAB_CORRECAO_C[[DIAS_CORRIDOS]:[V_FUT_UTEIS]],K$5, FALSE)</f>
        <v>#N/A</v>
      </c>
      <c r="L1327" s="22" t="e">
        <f>VLOOKUP($A1327, TAB_AMORTIZACAO_C[[DIAS_CORRIDOS]:[V_FUT_UTEIS]], L$5, FALSE)</f>
        <v>#N/A</v>
      </c>
    </row>
    <row r="1328" spans="1:12" hidden="1">
      <c r="A1328" s="19">
        <f t="shared" si="109"/>
        <v>1322</v>
      </c>
      <c r="B1328" s="20">
        <f t="shared" si="105"/>
        <v>0</v>
      </c>
      <c r="C1328" s="21">
        <f t="shared" si="106"/>
        <v>0</v>
      </c>
      <c r="D1328" s="22" t="e">
        <f>VLOOKUP($A1328, TAB_JUROS_U[[Q_DIAS_U_PARC_TIR]:[V_FUT_U_JURS CENARIO]], D$5, FALSE)</f>
        <v>#N/A</v>
      </c>
      <c r="E1328" s="22" t="e">
        <f>VLOOKUP($A1328,TAB_CORRECAO_U[[Q_DIAS_U_PARC_TIR]:[V_FUT_U_CORC-02]],E$5, FALSE)</f>
        <v>#N/A</v>
      </c>
      <c r="F1328" s="22" t="e">
        <f>VLOOKUP($A1328,TAB_AMORTIZACAO_U[[Q_DIAS_U_PARC_TIR]:[V_FUT_U_PCPL-02]], F$5, FALSE)</f>
        <v>#N/A</v>
      </c>
      <c r="H1328" s="20">
        <f t="shared" si="107"/>
        <v>0</v>
      </c>
      <c r="I1328" s="21">
        <f t="shared" si="108"/>
        <v>0</v>
      </c>
      <c r="J1328" s="22" t="e">
        <f>VLOOKUP($A1328, TAB_JUROS_C[[DIAS_CORRIDOS]:[V_FUT_UTEIS]], J$5, FALSE)</f>
        <v>#N/A</v>
      </c>
      <c r="K1328" s="22" t="e">
        <f>VLOOKUP($A1328, TAB_CORRECAO_C[[DIAS_CORRIDOS]:[V_FUT_UTEIS]],K$5, FALSE)</f>
        <v>#N/A</v>
      </c>
      <c r="L1328" s="22" t="e">
        <f>VLOOKUP($A1328, TAB_AMORTIZACAO_C[[DIAS_CORRIDOS]:[V_FUT_UTEIS]], L$5, FALSE)</f>
        <v>#N/A</v>
      </c>
    </row>
    <row r="1329" spans="1:12" hidden="1">
      <c r="A1329" s="19">
        <f t="shared" si="109"/>
        <v>1323</v>
      </c>
      <c r="B1329" s="20">
        <f t="shared" si="105"/>
        <v>0</v>
      </c>
      <c r="C1329" s="21">
        <f t="shared" si="106"/>
        <v>0</v>
      </c>
      <c r="D1329" s="22" t="e">
        <f>VLOOKUP($A1329, TAB_JUROS_U[[Q_DIAS_U_PARC_TIR]:[V_FUT_U_JURS CENARIO]], D$5, FALSE)</f>
        <v>#N/A</v>
      </c>
      <c r="E1329" s="22" t="e">
        <f>VLOOKUP($A1329,TAB_CORRECAO_U[[Q_DIAS_U_PARC_TIR]:[V_FUT_U_CORC-02]],E$5, FALSE)</f>
        <v>#N/A</v>
      </c>
      <c r="F1329" s="22" t="e">
        <f>VLOOKUP($A1329,TAB_AMORTIZACAO_U[[Q_DIAS_U_PARC_TIR]:[V_FUT_U_PCPL-02]], F$5, FALSE)</f>
        <v>#N/A</v>
      </c>
      <c r="H1329" s="20">
        <f t="shared" si="107"/>
        <v>0</v>
      </c>
      <c r="I1329" s="21">
        <f t="shared" si="108"/>
        <v>0</v>
      </c>
      <c r="J1329" s="22" t="e">
        <f>VLOOKUP($A1329, TAB_JUROS_C[[DIAS_CORRIDOS]:[V_FUT_UTEIS]], J$5, FALSE)</f>
        <v>#N/A</v>
      </c>
      <c r="K1329" s="22" t="e">
        <f>VLOOKUP($A1329, TAB_CORRECAO_C[[DIAS_CORRIDOS]:[V_FUT_UTEIS]],K$5, FALSE)</f>
        <v>#N/A</v>
      </c>
      <c r="L1329" s="22" t="e">
        <f>VLOOKUP($A1329, TAB_AMORTIZACAO_C[[DIAS_CORRIDOS]:[V_FUT_UTEIS]], L$5, FALSE)</f>
        <v>#N/A</v>
      </c>
    </row>
    <row r="1330" spans="1:12" hidden="1">
      <c r="A1330" s="19">
        <f t="shared" si="109"/>
        <v>1324</v>
      </c>
      <c r="B1330" s="20">
        <f t="shared" si="105"/>
        <v>0</v>
      </c>
      <c r="C1330" s="21">
        <f t="shared" si="106"/>
        <v>0</v>
      </c>
      <c r="D1330" s="22" t="e">
        <f>VLOOKUP($A1330, TAB_JUROS_U[[Q_DIAS_U_PARC_TIR]:[V_FUT_U_JURS CENARIO]], D$5, FALSE)</f>
        <v>#N/A</v>
      </c>
      <c r="E1330" s="22" t="e">
        <f>VLOOKUP($A1330,TAB_CORRECAO_U[[Q_DIAS_U_PARC_TIR]:[V_FUT_U_CORC-02]],E$5, FALSE)</f>
        <v>#N/A</v>
      </c>
      <c r="F1330" s="22" t="e">
        <f>VLOOKUP($A1330,TAB_AMORTIZACAO_U[[Q_DIAS_U_PARC_TIR]:[V_FUT_U_PCPL-02]], F$5, FALSE)</f>
        <v>#N/A</v>
      </c>
      <c r="H1330" s="20">
        <f t="shared" si="107"/>
        <v>0</v>
      </c>
      <c r="I1330" s="21">
        <f t="shared" si="108"/>
        <v>0</v>
      </c>
      <c r="J1330" s="22" t="e">
        <f>VLOOKUP($A1330, TAB_JUROS_C[[DIAS_CORRIDOS]:[V_FUT_UTEIS]], J$5, FALSE)</f>
        <v>#N/A</v>
      </c>
      <c r="K1330" s="22" t="e">
        <f>VLOOKUP($A1330, TAB_CORRECAO_C[[DIAS_CORRIDOS]:[V_FUT_UTEIS]],K$5, FALSE)</f>
        <v>#N/A</v>
      </c>
      <c r="L1330" s="22" t="e">
        <f>VLOOKUP($A1330, TAB_AMORTIZACAO_C[[DIAS_CORRIDOS]:[V_FUT_UTEIS]], L$5, FALSE)</f>
        <v>#N/A</v>
      </c>
    </row>
    <row r="1331" spans="1:12" hidden="1">
      <c r="A1331" s="19">
        <f t="shared" si="109"/>
        <v>1325</v>
      </c>
      <c r="B1331" s="20">
        <f t="shared" si="105"/>
        <v>0</v>
      </c>
      <c r="C1331" s="21">
        <f t="shared" si="106"/>
        <v>0</v>
      </c>
      <c r="D1331" s="22" t="e">
        <f>VLOOKUP($A1331, TAB_JUROS_U[[Q_DIAS_U_PARC_TIR]:[V_FUT_U_JURS CENARIO]], D$5, FALSE)</f>
        <v>#N/A</v>
      </c>
      <c r="E1331" s="22" t="e">
        <f>VLOOKUP($A1331,TAB_CORRECAO_U[[Q_DIAS_U_PARC_TIR]:[V_FUT_U_CORC-02]],E$5, FALSE)</f>
        <v>#N/A</v>
      </c>
      <c r="F1331" s="22" t="e">
        <f>VLOOKUP($A1331,TAB_AMORTIZACAO_U[[Q_DIAS_U_PARC_TIR]:[V_FUT_U_PCPL-02]], F$5, FALSE)</f>
        <v>#N/A</v>
      </c>
      <c r="H1331" s="20">
        <f t="shared" si="107"/>
        <v>0</v>
      </c>
      <c r="I1331" s="21">
        <f t="shared" si="108"/>
        <v>0</v>
      </c>
      <c r="J1331" s="22" t="e">
        <f>VLOOKUP($A1331, TAB_JUROS_C[[DIAS_CORRIDOS]:[V_FUT_UTEIS]], J$5, FALSE)</f>
        <v>#N/A</v>
      </c>
      <c r="K1331" s="22" t="e">
        <f>VLOOKUP($A1331, TAB_CORRECAO_C[[DIAS_CORRIDOS]:[V_FUT_UTEIS]],K$5, FALSE)</f>
        <v>#N/A</v>
      </c>
      <c r="L1331" s="22" t="e">
        <f>VLOOKUP($A1331, TAB_AMORTIZACAO_C[[DIAS_CORRIDOS]:[V_FUT_UTEIS]], L$5, FALSE)</f>
        <v>#N/A</v>
      </c>
    </row>
    <row r="1332" spans="1:12" hidden="1">
      <c r="A1332" s="19">
        <f t="shared" si="109"/>
        <v>1326</v>
      </c>
      <c r="B1332" s="20">
        <f t="shared" si="105"/>
        <v>0</v>
      </c>
      <c r="C1332" s="21">
        <f t="shared" si="106"/>
        <v>0</v>
      </c>
      <c r="D1332" s="22" t="e">
        <f>VLOOKUP($A1332, TAB_JUROS_U[[Q_DIAS_U_PARC_TIR]:[V_FUT_U_JURS CENARIO]], D$5, FALSE)</f>
        <v>#N/A</v>
      </c>
      <c r="E1332" s="22" t="e">
        <f>VLOOKUP($A1332,TAB_CORRECAO_U[[Q_DIAS_U_PARC_TIR]:[V_FUT_U_CORC-02]],E$5, FALSE)</f>
        <v>#N/A</v>
      </c>
      <c r="F1332" s="22" t="e">
        <f>VLOOKUP($A1332,TAB_AMORTIZACAO_U[[Q_DIAS_U_PARC_TIR]:[V_FUT_U_PCPL-02]], F$5, FALSE)</f>
        <v>#N/A</v>
      </c>
      <c r="H1332" s="20">
        <f t="shared" si="107"/>
        <v>0</v>
      </c>
      <c r="I1332" s="21">
        <f t="shared" si="108"/>
        <v>0</v>
      </c>
      <c r="J1332" s="22" t="e">
        <f>VLOOKUP($A1332, TAB_JUROS_C[[DIAS_CORRIDOS]:[V_FUT_UTEIS]], J$5, FALSE)</f>
        <v>#N/A</v>
      </c>
      <c r="K1332" s="22" t="e">
        <f>VLOOKUP($A1332, TAB_CORRECAO_C[[DIAS_CORRIDOS]:[V_FUT_UTEIS]],K$5, FALSE)</f>
        <v>#N/A</v>
      </c>
      <c r="L1332" s="22" t="e">
        <f>VLOOKUP($A1332, TAB_AMORTIZACAO_C[[DIAS_CORRIDOS]:[V_FUT_UTEIS]], L$5, FALSE)</f>
        <v>#N/A</v>
      </c>
    </row>
    <row r="1333" spans="1:12" hidden="1">
      <c r="A1333" s="19">
        <f t="shared" si="109"/>
        <v>1327</v>
      </c>
      <c r="B1333" s="20">
        <f t="shared" si="105"/>
        <v>0</v>
      </c>
      <c r="C1333" s="21">
        <f t="shared" si="106"/>
        <v>0</v>
      </c>
      <c r="D1333" s="22" t="e">
        <f>VLOOKUP($A1333, TAB_JUROS_U[[Q_DIAS_U_PARC_TIR]:[V_FUT_U_JURS CENARIO]], D$5, FALSE)</f>
        <v>#N/A</v>
      </c>
      <c r="E1333" s="22" t="e">
        <f>VLOOKUP($A1333,TAB_CORRECAO_U[[Q_DIAS_U_PARC_TIR]:[V_FUT_U_CORC-02]],E$5, FALSE)</f>
        <v>#N/A</v>
      </c>
      <c r="F1333" s="22" t="e">
        <f>VLOOKUP($A1333,TAB_AMORTIZACAO_U[[Q_DIAS_U_PARC_TIR]:[V_FUT_U_PCPL-02]], F$5, FALSE)</f>
        <v>#N/A</v>
      </c>
      <c r="H1333" s="20">
        <f t="shared" si="107"/>
        <v>0</v>
      </c>
      <c r="I1333" s="21">
        <f t="shared" si="108"/>
        <v>0</v>
      </c>
      <c r="J1333" s="22" t="e">
        <f>VLOOKUP($A1333, TAB_JUROS_C[[DIAS_CORRIDOS]:[V_FUT_UTEIS]], J$5, FALSE)</f>
        <v>#N/A</v>
      </c>
      <c r="K1333" s="22" t="e">
        <f>VLOOKUP($A1333, TAB_CORRECAO_C[[DIAS_CORRIDOS]:[V_FUT_UTEIS]],K$5, FALSE)</f>
        <v>#N/A</v>
      </c>
      <c r="L1333" s="22" t="e">
        <f>VLOOKUP($A1333, TAB_AMORTIZACAO_C[[DIAS_CORRIDOS]:[V_FUT_UTEIS]], L$5, FALSE)</f>
        <v>#N/A</v>
      </c>
    </row>
    <row r="1334" spans="1:12">
      <c r="A1334" s="19">
        <f t="shared" si="109"/>
        <v>1328</v>
      </c>
      <c r="B1334" s="20">
        <f t="shared" si="105"/>
        <v>658.87318514810431</v>
      </c>
      <c r="C1334" s="21">
        <f t="shared" si="106"/>
        <v>658.87318514810431</v>
      </c>
      <c r="D1334" s="22">
        <f>VLOOKUP($A1334, TAB_JUROS_U[[Q_DIAS_U_PARC_TIR]:[V_FUT_U_JURS CENARIO]], D$5, FALSE)</f>
        <v>48.996120680029961</v>
      </c>
      <c r="E1334" s="22">
        <f>VLOOKUP($A1334,TAB_CORRECAO_U[[Q_DIAS_U_PARC_TIR]:[V_FUT_U_CORC-02]],E$5, FALSE)</f>
        <v>295.88096920294362</v>
      </c>
      <c r="F1334" s="22">
        <f>VLOOKUP($A1334,TAB_AMORTIZACAO_U[[Q_DIAS_U_PARC_TIR]:[V_FUT_U_PCPL-02]], F$5, FALSE)</f>
        <v>313.99609526513069</v>
      </c>
      <c r="H1334" s="20">
        <f t="shared" si="107"/>
        <v>0</v>
      </c>
      <c r="I1334" s="21">
        <f t="shared" si="108"/>
        <v>0</v>
      </c>
      <c r="J1334" s="22" t="e">
        <f>VLOOKUP($A1334, TAB_JUROS_C[[DIAS_CORRIDOS]:[V_FUT_UTEIS]], J$5, FALSE)</f>
        <v>#N/A</v>
      </c>
      <c r="K1334" s="22" t="e">
        <f>VLOOKUP($A1334, TAB_CORRECAO_C[[DIAS_CORRIDOS]:[V_FUT_UTEIS]],K$5, FALSE)</f>
        <v>#N/A</v>
      </c>
      <c r="L1334" s="22" t="e">
        <f>VLOOKUP($A1334, TAB_AMORTIZACAO_C[[DIAS_CORRIDOS]:[V_FUT_UTEIS]], L$5, FALSE)</f>
        <v>#N/A</v>
      </c>
    </row>
    <row r="1335" spans="1:12" hidden="1">
      <c r="A1335" s="19">
        <f t="shared" si="109"/>
        <v>1329</v>
      </c>
      <c r="B1335" s="20">
        <f t="shared" si="105"/>
        <v>0</v>
      </c>
      <c r="C1335" s="21">
        <f t="shared" si="106"/>
        <v>0</v>
      </c>
      <c r="D1335" s="22" t="e">
        <f>VLOOKUP($A1335, TAB_JUROS_U[[Q_DIAS_U_PARC_TIR]:[V_FUT_U_JURS CENARIO]], D$5, FALSE)</f>
        <v>#N/A</v>
      </c>
      <c r="E1335" s="22" t="e">
        <f>VLOOKUP($A1335,TAB_CORRECAO_U[[Q_DIAS_U_PARC_TIR]:[V_FUT_U_CORC-02]],E$5, FALSE)</f>
        <v>#N/A</v>
      </c>
      <c r="F1335" s="22" t="e">
        <f>VLOOKUP($A1335,TAB_AMORTIZACAO_U[[Q_DIAS_U_PARC_TIR]:[V_FUT_U_PCPL-02]], F$5, FALSE)</f>
        <v>#N/A</v>
      </c>
      <c r="H1335" s="20">
        <f t="shared" si="107"/>
        <v>0</v>
      </c>
      <c r="I1335" s="21">
        <f t="shared" si="108"/>
        <v>0</v>
      </c>
      <c r="J1335" s="22" t="e">
        <f>VLOOKUP($A1335, TAB_JUROS_C[[DIAS_CORRIDOS]:[V_FUT_UTEIS]], J$5, FALSE)</f>
        <v>#N/A</v>
      </c>
      <c r="K1335" s="22" t="e">
        <f>VLOOKUP($A1335, TAB_CORRECAO_C[[DIAS_CORRIDOS]:[V_FUT_UTEIS]],K$5, FALSE)</f>
        <v>#N/A</v>
      </c>
      <c r="L1335" s="22" t="e">
        <f>VLOOKUP($A1335, TAB_AMORTIZACAO_C[[DIAS_CORRIDOS]:[V_FUT_UTEIS]], L$5, FALSE)</f>
        <v>#N/A</v>
      </c>
    </row>
    <row r="1336" spans="1:12" hidden="1">
      <c r="A1336" s="19">
        <f t="shared" si="109"/>
        <v>1330</v>
      </c>
      <c r="B1336" s="20">
        <f t="shared" si="105"/>
        <v>0</v>
      </c>
      <c r="C1336" s="21">
        <f t="shared" si="106"/>
        <v>0</v>
      </c>
      <c r="D1336" s="22" t="e">
        <f>VLOOKUP($A1336, TAB_JUROS_U[[Q_DIAS_U_PARC_TIR]:[V_FUT_U_JURS CENARIO]], D$5, FALSE)</f>
        <v>#N/A</v>
      </c>
      <c r="E1336" s="22" t="e">
        <f>VLOOKUP($A1336,TAB_CORRECAO_U[[Q_DIAS_U_PARC_TIR]:[V_FUT_U_CORC-02]],E$5, FALSE)</f>
        <v>#N/A</v>
      </c>
      <c r="F1336" s="22" t="e">
        <f>VLOOKUP($A1336,TAB_AMORTIZACAO_U[[Q_DIAS_U_PARC_TIR]:[V_FUT_U_PCPL-02]], F$5, FALSE)</f>
        <v>#N/A</v>
      </c>
      <c r="H1336" s="20">
        <f t="shared" si="107"/>
        <v>0</v>
      </c>
      <c r="I1336" s="21">
        <f t="shared" si="108"/>
        <v>0</v>
      </c>
      <c r="J1336" s="22" t="e">
        <f>VLOOKUP($A1336, TAB_JUROS_C[[DIAS_CORRIDOS]:[V_FUT_UTEIS]], J$5, FALSE)</f>
        <v>#N/A</v>
      </c>
      <c r="K1336" s="22" t="e">
        <f>VLOOKUP($A1336, TAB_CORRECAO_C[[DIAS_CORRIDOS]:[V_FUT_UTEIS]],K$5, FALSE)</f>
        <v>#N/A</v>
      </c>
      <c r="L1336" s="22" t="e">
        <f>VLOOKUP($A1336, TAB_AMORTIZACAO_C[[DIAS_CORRIDOS]:[V_FUT_UTEIS]], L$5, FALSE)</f>
        <v>#N/A</v>
      </c>
    </row>
    <row r="1337" spans="1:12" hidden="1">
      <c r="A1337" s="19">
        <f t="shared" si="109"/>
        <v>1331</v>
      </c>
      <c r="B1337" s="20">
        <f t="shared" si="105"/>
        <v>0</v>
      </c>
      <c r="C1337" s="21">
        <f t="shared" si="106"/>
        <v>0</v>
      </c>
      <c r="D1337" s="22" t="e">
        <f>VLOOKUP($A1337, TAB_JUROS_U[[Q_DIAS_U_PARC_TIR]:[V_FUT_U_JURS CENARIO]], D$5, FALSE)</f>
        <v>#N/A</v>
      </c>
      <c r="E1337" s="22" t="e">
        <f>VLOOKUP($A1337,TAB_CORRECAO_U[[Q_DIAS_U_PARC_TIR]:[V_FUT_U_CORC-02]],E$5, FALSE)</f>
        <v>#N/A</v>
      </c>
      <c r="F1337" s="22" t="e">
        <f>VLOOKUP($A1337,TAB_AMORTIZACAO_U[[Q_DIAS_U_PARC_TIR]:[V_FUT_U_PCPL-02]], F$5, FALSE)</f>
        <v>#N/A</v>
      </c>
      <c r="H1337" s="20">
        <f t="shared" si="107"/>
        <v>0</v>
      </c>
      <c r="I1337" s="21">
        <f t="shared" si="108"/>
        <v>0</v>
      </c>
      <c r="J1337" s="22" t="e">
        <f>VLOOKUP($A1337, TAB_JUROS_C[[DIAS_CORRIDOS]:[V_FUT_UTEIS]], J$5, FALSE)</f>
        <v>#N/A</v>
      </c>
      <c r="K1337" s="22" t="e">
        <f>VLOOKUP($A1337, TAB_CORRECAO_C[[DIAS_CORRIDOS]:[V_FUT_UTEIS]],K$5, FALSE)</f>
        <v>#N/A</v>
      </c>
      <c r="L1337" s="22" t="e">
        <f>VLOOKUP($A1337, TAB_AMORTIZACAO_C[[DIAS_CORRIDOS]:[V_FUT_UTEIS]], L$5, FALSE)</f>
        <v>#N/A</v>
      </c>
    </row>
    <row r="1338" spans="1:12" hidden="1">
      <c r="A1338" s="19">
        <f t="shared" si="109"/>
        <v>1332</v>
      </c>
      <c r="B1338" s="20">
        <f t="shared" si="105"/>
        <v>0</v>
      </c>
      <c r="C1338" s="21">
        <f t="shared" si="106"/>
        <v>0</v>
      </c>
      <c r="D1338" s="22" t="e">
        <f>VLOOKUP($A1338, TAB_JUROS_U[[Q_DIAS_U_PARC_TIR]:[V_FUT_U_JURS CENARIO]], D$5, FALSE)</f>
        <v>#N/A</v>
      </c>
      <c r="E1338" s="22" t="e">
        <f>VLOOKUP($A1338,TAB_CORRECAO_U[[Q_DIAS_U_PARC_TIR]:[V_FUT_U_CORC-02]],E$5, FALSE)</f>
        <v>#N/A</v>
      </c>
      <c r="F1338" s="22" t="e">
        <f>VLOOKUP($A1338,TAB_AMORTIZACAO_U[[Q_DIAS_U_PARC_TIR]:[V_FUT_U_PCPL-02]], F$5, FALSE)</f>
        <v>#N/A</v>
      </c>
      <c r="H1338" s="20">
        <f t="shared" si="107"/>
        <v>0</v>
      </c>
      <c r="I1338" s="21">
        <f t="shared" si="108"/>
        <v>0</v>
      </c>
      <c r="J1338" s="22" t="e">
        <f>VLOOKUP($A1338, TAB_JUROS_C[[DIAS_CORRIDOS]:[V_FUT_UTEIS]], J$5, FALSE)</f>
        <v>#N/A</v>
      </c>
      <c r="K1338" s="22" t="e">
        <f>VLOOKUP($A1338, TAB_CORRECAO_C[[DIAS_CORRIDOS]:[V_FUT_UTEIS]],K$5, FALSE)</f>
        <v>#N/A</v>
      </c>
      <c r="L1338" s="22" t="e">
        <f>VLOOKUP($A1338, TAB_AMORTIZACAO_C[[DIAS_CORRIDOS]:[V_FUT_UTEIS]], L$5, FALSE)</f>
        <v>#N/A</v>
      </c>
    </row>
    <row r="1339" spans="1:12" hidden="1">
      <c r="A1339" s="19">
        <f t="shared" si="109"/>
        <v>1333</v>
      </c>
      <c r="B1339" s="20">
        <f t="shared" si="105"/>
        <v>0</v>
      </c>
      <c r="C1339" s="21">
        <f t="shared" si="106"/>
        <v>0</v>
      </c>
      <c r="D1339" s="22" t="e">
        <f>VLOOKUP($A1339, TAB_JUROS_U[[Q_DIAS_U_PARC_TIR]:[V_FUT_U_JURS CENARIO]], D$5, FALSE)</f>
        <v>#N/A</v>
      </c>
      <c r="E1339" s="22" t="e">
        <f>VLOOKUP($A1339,TAB_CORRECAO_U[[Q_DIAS_U_PARC_TIR]:[V_FUT_U_CORC-02]],E$5, FALSE)</f>
        <v>#N/A</v>
      </c>
      <c r="F1339" s="22" t="e">
        <f>VLOOKUP($A1339,TAB_AMORTIZACAO_U[[Q_DIAS_U_PARC_TIR]:[V_FUT_U_PCPL-02]], F$5, FALSE)</f>
        <v>#N/A</v>
      </c>
      <c r="H1339" s="20">
        <f t="shared" si="107"/>
        <v>0</v>
      </c>
      <c r="I1339" s="21">
        <f t="shared" si="108"/>
        <v>0</v>
      </c>
      <c r="J1339" s="22" t="e">
        <f>VLOOKUP($A1339, TAB_JUROS_C[[DIAS_CORRIDOS]:[V_FUT_UTEIS]], J$5, FALSE)</f>
        <v>#N/A</v>
      </c>
      <c r="K1339" s="22" t="e">
        <f>VLOOKUP($A1339, TAB_CORRECAO_C[[DIAS_CORRIDOS]:[V_FUT_UTEIS]],K$5, FALSE)</f>
        <v>#N/A</v>
      </c>
      <c r="L1339" s="22" t="e">
        <f>VLOOKUP($A1339, TAB_AMORTIZACAO_C[[DIAS_CORRIDOS]:[V_FUT_UTEIS]], L$5, FALSE)</f>
        <v>#N/A</v>
      </c>
    </row>
    <row r="1340" spans="1:12" hidden="1">
      <c r="A1340" s="19">
        <f t="shared" si="109"/>
        <v>1334</v>
      </c>
      <c r="B1340" s="20">
        <f t="shared" si="105"/>
        <v>0</v>
      </c>
      <c r="C1340" s="21">
        <f t="shared" si="106"/>
        <v>0</v>
      </c>
      <c r="D1340" s="22" t="e">
        <f>VLOOKUP($A1340, TAB_JUROS_U[[Q_DIAS_U_PARC_TIR]:[V_FUT_U_JURS CENARIO]], D$5, FALSE)</f>
        <v>#N/A</v>
      </c>
      <c r="E1340" s="22" t="e">
        <f>VLOOKUP($A1340,TAB_CORRECAO_U[[Q_DIAS_U_PARC_TIR]:[V_FUT_U_CORC-02]],E$5, FALSE)</f>
        <v>#N/A</v>
      </c>
      <c r="F1340" s="22" t="e">
        <f>VLOOKUP($A1340,TAB_AMORTIZACAO_U[[Q_DIAS_U_PARC_TIR]:[V_FUT_U_PCPL-02]], F$5, FALSE)</f>
        <v>#N/A</v>
      </c>
      <c r="H1340" s="20">
        <f t="shared" si="107"/>
        <v>0</v>
      </c>
      <c r="I1340" s="21">
        <f t="shared" si="108"/>
        <v>0</v>
      </c>
      <c r="J1340" s="22" t="e">
        <f>VLOOKUP($A1340, TAB_JUROS_C[[DIAS_CORRIDOS]:[V_FUT_UTEIS]], J$5, FALSE)</f>
        <v>#N/A</v>
      </c>
      <c r="K1340" s="22" t="e">
        <f>VLOOKUP($A1340, TAB_CORRECAO_C[[DIAS_CORRIDOS]:[V_FUT_UTEIS]],K$5, FALSE)</f>
        <v>#N/A</v>
      </c>
      <c r="L1340" s="22" t="e">
        <f>VLOOKUP($A1340, TAB_AMORTIZACAO_C[[DIAS_CORRIDOS]:[V_FUT_UTEIS]], L$5, FALSE)</f>
        <v>#N/A</v>
      </c>
    </row>
    <row r="1341" spans="1:12" hidden="1">
      <c r="A1341" s="19">
        <f t="shared" si="109"/>
        <v>1335</v>
      </c>
      <c r="B1341" s="20">
        <f t="shared" si="105"/>
        <v>0</v>
      </c>
      <c r="C1341" s="21">
        <f t="shared" si="106"/>
        <v>0</v>
      </c>
      <c r="D1341" s="22" t="e">
        <f>VLOOKUP($A1341, TAB_JUROS_U[[Q_DIAS_U_PARC_TIR]:[V_FUT_U_JURS CENARIO]], D$5, FALSE)</f>
        <v>#N/A</v>
      </c>
      <c r="E1341" s="22" t="e">
        <f>VLOOKUP($A1341,TAB_CORRECAO_U[[Q_DIAS_U_PARC_TIR]:[V_FUT_U_CORC-02]],E$5, FALSE)</f>
        <v>#N/A</v>
      </c>
      <c r="F1341" s="22" t="e">
        <f>VLOOKUP($A1341,TAB_AMORTIZACAO_U[[Q_DIAS_U_PARC_TIR]:[V_FUT_U_PCPL-02]], F$5, FALSE)</f>
        <v>#N/A</v>
      </c>
      <c r="H1341" s="20">
        <f t="shared" si="107"/>
        <v>0</v>
      </c>
      <c r="I1341" s="21">
        <f t="shared" si="108"/>
        <v>0</v>
      </c>
      <c r="J1341" s="22" t="e">
        <f>VLOOKUP($A1341, TAB_JUROS_C[[DIAS_CORRIDOS]:[V_FUT_UTEIS]], J$5, FALSE)</f>
        <v>#N/A</v>
      </c>
      <c r="K1341" s="22" t="e">
        <f>VLOOKUP($A1341, TAB_CORRECAO_C[[DIAS_CORRIDOS]:[V_FUT_UTEIS]],K$5, FALSE)</f>
        <v>#N/A</v>
      </c>
      <c r="L1341" s="22" t="e">
        <f>VLOOKUP($A1341, TAB_AMORTIZACAO_C[[DIAS_CORRIDOS]:[V_FUT_UTEIS]], L$5, FALSE)</f>
        <v>#N/A</v>
      </c>
    </row>
    <row r="1342" spans="1:12" hidden="1">
      <c r="A1342" s="19">
        <f t="shared" si="109"/>
        <v>1336</v>
      </c>
      <c r="B1342" s="20">
        <f t="shared" si="105"/>
        <v>0</v>
      </c>
      <c r="C1342" s="21">
        <f t="shared" si="106"/>
        <v>0</v>
      </c>
      <c r="D1342" s="22" t="e">
        <f>VLOOKUP($A1342, TAB_JUROS_U[[Q_DIAS_U_PARC_TIR]:[V_FUT_U_JURS CENARIO]], D$5, FALSE)</f>
        <v>#N/A</v>
      </c>
      <c r="E1342" s="22" t="e">
        <f>VLOOKUP($A1342,TAB_CORRECAO_U[[Q_DIAS_U_PARC_TIR]:[V_FUT_U_CORC-02]],E$5, FALSE)</f>
        <v>#N/A</v>
      </c>
      <c r="F1342" s="22" t="e">
        <f>VLOOKUP($A1342,TAB_AMORTIZACAO_U[[Q_DIAS_U_PARC_TIR]:[V_FUT_U_PCPL-02]], F$5, FALSE)</f>
        <v>#N/A</v>
      </c>
      <c r="H1342" s="20">
        <f t="shared" si="107"/>
        <v>0</v>
      </c>
      <c r="I1342" s="21">
        <f t="shared" si="108"/>
        <v>0</v>
      </c>
      <c r="J1342" s="22" t="e">
        <f>VLOOKUP($A1342, TAB_JUROS_C[[DIAS_CORRIDOS]:[V_FUT_UTEIS]], J$5, FALSE)</f>
        <v>#N/A</v>
      </c>
      <c r="K1342" s="22" t="e">
        <f>VLOOKUP($A1342, TAB_CORRECAO_C[[DIAS_CORRIDOS]:[V_FUT_UTEIS]],K$5, FALSE)</f>
        <v>#N/A</v>
      </c>
      <c r="L1342" s="22" t="e">
        <f>VLOOKUP($A1342, TAB_AMORTIZACAO_C[[DIAS_CORRIDOS]:[V_FUT_UTEIS]], L$5, FALSE)</f>
        <v>#N/A</v>
      </c>
    </row>
    <row r="1343" spans="1:12" hidden="1">
      <c r="A1343" s="19">
        <f t="shared" si="109"/>
        <v>1337</v>
      </c>
      <c r="B1343" s="20">
        <f t="shared" si="105"/>
        <v>0</v>
      </c>
      <c r="C1343" s="21">
        <f t="shared" si="106"/>
        <v>0</v>
      </c>
      <c r="D1343" s="22" t="e">
        <f>VLOOKUP($A1343, TAB_JUROS_U[[Q_DIAS_U_PARC_TIR]:[V_FUT_U_JURS CENARIO]], D$5, FALSE)</f>
        <v>#N/A</v>
      </c>
      <c r="E1343" s="22" t="e">
        <f>VLOOKUP($A1343,TAB_CORRECAO_U[[Q_DIAS_U_PARC_TIR]:[V_FUT_U_CORC-02]],E$5, FALSE)</f>
        <v>#N/A</v>
      </c>
      <c r="F1343" s="22" t="e">
        <f>VLOOKUP($A1343,TAB_AMORTIZACAO_U[[Q_DIAS_U_PARC_TIR]:[V_FUT_U_PCPL-02]], F$5, FALSE)</f>
        <v>#N/A</v>
      </c>
      <c r="H1343" s="20">
        <f t="shared" si="107"/>
        <v>0</v>
      </c>
      <c r="I1343" s="21">
        <f t="shared" si="108"/>
        <v>0</v>
      </c>
      <c r="J1343" s="22" t="e">
        <f>VLOOKUP($A1343, TAB_JUROS_C[[DIAS_CORRIDOS]:[V_FUT_UTEIS]], J$5, FALSE)</f>
        <v>#N/A</v>
      </c>
      <c r="K1343" s="22" t="e">
        <f>VLOOKUP($A1343, TAB_CORRECAO_C[[DIAS_CORRIDOS]:[V_FUT_UTEIS]],K$5, FALSE)</f>
        <v>#N/A</v>
      </c>
      <c r="L1343" s="22" t="e">
        <f>VLOOKUP($A1343, TAB_AMORTIZACAO_C[[DIAS_CORRIDOS]:[V_FUT_UTEIS]], L$5, FALSE)</f>
        <v>#N/A</v>
      </c>
    </row>
    <row r="1344" spans="1:12" hidden="1">
      <c r="A1344" s="19">
        <f t="shared" si="109"/>
        <v>1338</v>
      </c>
      <c r="B1344" s="20">
        <f t="shared" si="105"/>
        <v>0</v>
      </c>
      <c r="C1344" s="21">
        <f t="shared" si="106"/>
        <v>0</v>
      </c>
      <c r="D1344" s="22" t="e">
        <f>VLOOKUP($A1344, TAB_JUROS_U[[Q_DIAS_U_PARC_TIR]:[V_FUT_U_JURS CENARIO]], D$5, FALSE)</f>
        <v>#N/A</v>
      </c>
      <c r="E1344" s="22" t="e">
        <f>VLOOKUP($A1344,TAB_CORRECAO_U[[Q_DIAS_U_PARC_TIR]:[V_FUT_U_CORC-02]],E$5, FALSE)</f>
        <v>#N/A</v>
      </c>
      <c r="F1344" s="22" t="e">
        <f>VLOOKUP($A1344,TAB_AMORTIZACAO_U[[Q_DIAS_U_PARC_TIR]:[V_FUT_U_PCPL-02]], F$5, FALSE)</f>
        <v>#N/A</v>
      </c>
      <c r="H1344" s="20">
        <f t="shared" si="107"/>
        <v>0</v>
      </c>
      <c r="I1344" s="21">
        <f t="shared" si="108"/>
        <v>0</v>
      </c>
      <c r="J1344" s="22" t="e">
        <f>VLOOKUP($A1344, TAB_JUROS_C[[DIAS_CORRIDOS]:[V_FUT_UTEIS]], J$5, FALSE)</f>
        <v>#N/A</v>
      </c>
      <c r="K1344" s="22" t="e">
        <f>VLOOKUP($A1344, TAB_CORRECAO_C[[DIAS_CORRIDOS]:[V_FUT_UTEIS]],K$5, FALSE)</f>
        <v>#N/A</v>
      </c>
      <c r="L1344" s="22" t="e">
        <f>VLOOKUP($A1344, TAB_AMORTIZACAO_C[[DIAS_CORRIDOS]:[V_FUT_UTEIS]], L$5, FALSE)</f>
        <v>#N/A</v>
      </c>
    </row>
    <row r="1345" spans="1:12" hidden="1">
      <c r="A1345" s="19">
        <f t="shared" si="109"/>
        <v>1339</v>
      </c>
      <c r="B1345" s="20">
        <f t="shared" si="105"/>
        <v>0</v>
      </c>
      <c r="C1345" s="21">
        <f t="shared" si="106"/>
        <v>0</v>
      </c>
      <c r="D1345" s="22" t="e">
        <f>VLOOKUP($A1345, TAB_JUROS_U[[Q_DIAS_U_PARC_TIR]:[V_FUT_U_JURS CENARIO]], D$5, FALSE)</f>
        <v>#N/A</v>
      </c>
      <c r="E1345" s="22" t="e">
        <f>VLOOKUP($A1345,TAB_CORRECAO_U[[Q_DIAS_U_PARC_TIR]:[V_FUT_U_CORC-02]],E$5, FALSE)</f>
        <v>#N/A</v>
      </c>
      <c r="F1345" s="22" t="e">
        <f>VLOOKUP($A1345,TAB_AMORTIZACAO_U[[Q_DIAS_U_PARC_TIR]:[V_FUT_U_PCPL-02]], F$5, FALSE)</f>
        <v>#N/A</v>
      </c>
      <c r="H1345" s="20">
        <f t="shared" si="107"/>
        <v>0</v>
      </c>
      <c r="I1345" s="21">
        <f t="shared" si="108"/>
        <v>0</v>
      </c>
      <c r="J1345" s="22" t="e">
        <f>VLOOKUP($A1345, TAB_JUROS_C[[DIAS_CORRIDOS]:[V_FUT_UTEIS]], J$5, FALSE)</f>
        <v>#N/A</v>
      </c>
      <c r="K1345" s="22" t="e">
        <f>VLOOKUP($A1345, TAB_CORRECAO_C[[DIAS_CORRIDOS]:[V_FUT_UTEIS]],K$5, FALSE)</f>
        <v>#N/A</v>
      </c>
      <c r="L1345" s="22" t="e">
        <f>VLOOKUP($A1345, TAB_AMORTIZACAO_C[[DIAS_CORRIDOS]:[V_FUT_UTEIS]], L$5, FALSE)</f>
        <v>#N/A</v>
      </c>
    </row>
    <row r="1346" spans="1:12" hidden="1">
      <c r="A1346" s="19">
        <f t="shared" si="109"/>
        <v>1340</v>
      </c>
      <c r="B1346" s="20">
        <f t="shared" si="105"/>
        <v>0</v>
      </c>
      <c r="C1346" s="21">
        <f t="shared" si="106"/>
        <v>0</v>
      </c>
      <c r="D1346" s="22" t="e">
        <f>VLOOKUP($A1346, TAB_JUROS_U[[Q_DIAS_U_PARC_TIR]:[V_FUT_U_JURS CENARIO]], D$5, FALSE)</f>
        <v>#N/A</v>
      </c>
      <c r="E1346" s="22" t="e">
        <f>VLOOKUP($A1346,TAB_CORRECAO_U[[Q_DIAS_U_PARC_TIR]:[V_FUT_U_CORC-02]],E$5, FALSE)</f>
        <v>#N/A</v>
      </c>
      <c r="F1346" s="22" t="e">
        <f>VLOOKUP($A1346,TAB_AMORTIZACAO_U[[Q_DIAS_U_PARC_TIR]:[V_FUT_U_PCPL-02]], F$5, FALSE)</f>
        <v>#N/A</v>
      </c>
      <c r="H1346" s="20">
        <f t="shared" si="107"/>
        <v>0</v>
      </c>
      <c r="I1346" s="21">
        <f t="shared" si="108"/>
        <v>0</v>
      </c>
      <c r="J1346" s="22" t="e">
        <f>VLOOKUP($A1346, TAB_JUROS_C[[DIAS_CORRIDOS]:[V_FUT_UTEIS]], J$5, FALSE)</f>
        <v>#N/A</v>
      </c>
      <c r="K1346" s="22" t="e">
        <f>VLOOKUP($A1346, TAB_CORRECAO_C[[DIAS_CORRIDOS]:[V_FUT_UTEIS]],K$5, FALSE)</f>
        <v>#N/A</v>
      </c>
      <c r="L1346" s="22" t="e">
        <f>VLOOKUP($A1346, TAB_AMORTIZACAO_C[[DIAS_CORRIDOS]:[V_FUT_UTEIS]], L$5, FALSE)</f>
        <v>#N/A</v>
      </c>
    </row>
    <row r="1347" spans="1:12" hidden="1">
      <c r="A1347" s="19">
        <f t="shared" si="109"/>
        <v>1341</v>
      </c>
      <c r="B1347" s="20">
        <f t="shared" si="105"/>
        <v>0</v>
      </c>
      <c r="C1347" s="21">
        <f t="shared" si="106"/>
        <v>0</v>
      </c>
      <c r="D1347" s="22" t="e">
        <f>VLOOKUP($A1347, TAB_JUROS_U[[Q_DIAS_U_PARC_TIR]:[V_FUT_U_JURS CENARIO]], D$5, FALSE)</f>
        <v>#N/A</v>
      </c>
      <c r="E1347" s="22" t="e">
        <f>VLOOKUP($A1347,TAB_CORRECAO_U[[Q_DIAS_U_PARC_TIR]:[V_FUT_U_CORC-02]],E$5, FALSE)</f>
        <v>#N/A</v>
      </c>
      <c r="F1347" s="22" t="e">
        <f>VLOOKUP($A1347,TAB_AMORTIZACAO_U[[Q_DIAS_U_PARC_TIR]:[V_FUT_U_PCPL-02]], F$5, FALSE)</f>
        <v>#N/A</v>
      </c>
      <c r="H1347" s="20">
        <f t="shared" si="107"/>
        <v>0</v>
      </c>
      <c r="I1347" s="21">
        <f t="shared" si="108"/>
        <v>0</v>
      </c>
      <c r="J1347" s="22" t="e">
        <f>VLOOKUP($A1347, TAB_JUROS_C[[DIAS_CORRIDOS]:[V_FUT_UTEIS]], J$5, FALSE)</f>
        <v>#N/A</v>
      </c>
      <c r="K1347" s="22" t="e">
        <f>VLOOKUP($A1347, TAB_CORRECAO_C[[DIAS_CORRIDOS]:[V_FUT_UTEIS]],K$5, FALSE)</f>
        <v>#N/A</v>
      </c>
      <c r="L1347" s="22" t="e">
        <f>VLOOKUP($A1347, TAB_AMORTIZACAO_C[[DIAS_CORRIDOS]:[V_FUT_UTEIS]], L$5, FALSE)</f>
        <v>#N/A</v>
      </c>
    </row>
    <row r="1348" spans="1:12" hidden="1">
      <c r="A1348" s="19">
        <f t="shared" si="109"/>
        <v>1342</v>
      </c>
      <c r="B1348" s="20">
        <f t="shared" si="105"/>
        <v>0</v>
      </c>
      <c r="C1348" s="21">
        <f t="shared" si="106"/>
        <v>0</v>
      </c>
      <c r="D1348" s="22" t="e">
        <f>VLOOKUP($A1348, TAB_JUROS_U[[Q_DIAS_U_PARC_TIR]:[V_FUT_U_JURS CENARIO]], D$5, FALSE)</f>
        <v>#N/A</v>
      </c>
      <c r="E1348" s="22" t="e">
        <f>VLOOKUP($A1348,TAB_CORRECAO_U[[Q_DIAS_U_PARC_TIR]:[V_FUT_U_CORC-02]],E$5, FALSE)</f>
        <v>#N/A</v>
      </c>
      <c r="F1348" s="22" t="e">
        <f>VLOOKUP($A1348,TAB_AMORTIZACAO_U[[Q_DIAS_U_PARC_TIR]:[V_FUT_U_PCPL-02]], F$5, FALSE)</f>
        <v>#N/A</v>
      </c>
      <c r="H1348" s="20">
        <f t="shared" si="107"/>
        <v>0</v>
      </c>
      <c r="I1348" s="21">
        <f t="shared" si="108"/>
        <v>0</v>
      </c>
      <c r="J1348" s="22" t="e">
        <f>VLOOKUP($A1348, TAB_JUROS_C[[DIAS_CORRIDOS]:[V_FUT_UTEIS]], J$5, FALSE)</f>
        <v>#N/A</v>
      </c>
      <c r="K1348" s="22" t="e">
        <f>VLOOKUP($A1348, TAB_CORRECAO_C[[DIAS_CORRIDOS]:[V_FUT_UTEIS]],K$5, FALSE)</f>
        <v>#N/A</v>
      </c>
      <c r="L1348" s="22" t="e">
        <f>VLOOKUP($A1348, TAB_AMORTIZACAO_C[[DIAS_CORRIDOS]:[V_FUT_UTEIS]], L$5, FALSE)</f>
        <v>#N/A</v>
      </c>
    </row>
    <row r="1349" spans="1:12" hidden="1">
      <c r="A1349" s="19">
        <f t="shared" si="109"/>
        <v>1343</v>
      </c>
      <c r="B1349" s="20">
        <f t="shared" si="105"/>
        <v>0</v>
      </c>
      <c r="C1349" s="21">
        <f t="shared" si="106"/>
        <v>0</v>
      </c>
      <c r="D1349" s="22" t="e">
        <f>VLOOKUP($A1349, TAB_JUROS_U[[Q_DIAS_U_PARC_TIR]:[V_FUT_U_JURS CENARIO]], D$5, FALSE)</f>
        <v>#N/A</v>
      </c>
      <c r="E1349" s="22" t="e">
        <f>VLOOKUP($A1349,TAB_CORRECAO_U[[Q_DIAS_U_PARC_TIR]:[V_FUT_U_CORC-02]],E$5, FALSE)</f>
        <v>#N/A</v>
      </c>
      <c r="F1349" s="22" t="e">
        <f>VLOOKUP($A1349,TAB_AMORTIZACAO_U[[Q_DIAS_U_PARC_TIR]:[V_FUT_U_PCPL-02]], F$5, FALSE)</f>
        <v>#N/A</v>
      </c>
      <c r="H1349" s="20">
        <f t="shared" si="107"/>
        <v>0</v>
      </c>
      <c r="I1349" s="21">
        <f t="shared" si="108"/>
        <v>0</v>
      </c>
      <c r="J1349" s="22" t="e">
        <f>VLOOKUP($A1349, TAB_JUROS_C[[DIAS_CORRIDOS]:[V_FUT_UTEIS]], J$5, FALSE)</f>
        <v>#N/A</v>
      </c>
      <c r="K1349" s="22" t="e">
        <f>VLOOKUP($A1349, TAB_CORRECAO_C[[DIAS_CORRIDOS]:[V_FUT_UTEIS]],K$5, FALSE)</f>
        <v>#N/A</v>
      </c>
      <c r="L1349" s="22" t="e">
        <f>VLOOKUP($A1349, TAB_AMORTIZACAO_C[[DIAS_CORRIDOS]:[V_FUT_UTEIS]], L$5, FALSE)</f>
        <v>#N/A</v>
      </c>
    </row>
    <row r="1350" spans="1:12" hidden="1">
      <c r="A1350" s="19">
        <f t="shared" si="109"/>
        <v>1344</v>
      </c>
      <c r="B1350" s="20">
        <f t="shared" si="105"/>
        <v>0</v>
      </c>
      <c r="C1350" s="21">
        <f t="shared" si="106"/>
        <v>0</v>
      </c>
      <c r="D1350" s="22" t="e">
        <f>VLOOKUP($A1350, TAB_JUROS_U[[Q_DIAS_U_PARC_TIR]:[V_FUT_U_JURS CENARIO]], D$5, FALSE)</f>
        <v>#N/A</v>
      </c>
      <c r="E1350" s="22" t="e">
        <f>VLOOKUP($A1350,TAB_CORRECAO_U[[Q_DIAS_U_PARC_TIR]:[V_FUT_U_CORC-02]],E$5, FALSE)</f>
        <v>#N/A</v>
      </c>
      <c r="F1350" s="22" t="e">
        <f>VLOOKUP($A1350,TAB_AMORTIZACAO_U[[Q_DIAS_U_PARC_TIR]:[V_FUT_U_PCPL-02]], F$5, FALSE)</f>
        <v>#N/A</v>
      </c>
      <c r="H1350" s="20">
        <f t="shared" si="107"/>
        <v>0</v>
      </c>
      <c r="I1350" s="21">
        <f t="shared" si="108"/>
        <v>0</v>
      </c>
      <c r="J1350" s="22" t="e">
        <f>VLOOKUP($A1350, TAB_JUROS_C[[DIAS_CORRIDOS]:[V_FUT_UTEIS]], J$5, FALSE)</f>
        <v>#N/A</v>
      </c>
      <c r="K1350" s="22" t="e">
        <f>VLOOKUP($A1350, TAB_CORRECAO_C[[DIAS_CORRIDOS]:[V_FUT_UTEIS]],K$5, FALSE)</f>
        <v>#N/A</v>
      </c>
      <c r="L1350" s="22" t="e">
        <f>VLOOKUP($A1350, TAB_AMORTIZACAO_C[[DIAS_CORRIDOS]:[V_FUT_UTEIS]], L$5, FALSE)</f>
        <v>#N/A</v>
      </c>
    </row>
    <row r="1351" spans="1:12" hidden="1">
      <c r="A1351" s="19">
        <f t="shared" si="109"/>
        <v>1345</v>
      </c>
      <c r="B1351" s="20">
        <f t="shared" si="105"/>
        <v>0</v>
      </c>
      <c r="C1351" s="21">
        <f t="shared" si="106"/>
        <v>0</v>
      </c>
      <c r="D1351" s="22" t="e">
        <f>VLOOKUP($A1351, TAB_JUROS_U[[Q_DIAS_U_PARC_TIR]:[V_FUT_U_JURS CENARIO]], D$5, FALSE)</f>
        <v>#N/A</v>
      </c>
      <c r="E1351" s="22" t="e">
        <f>VLOOKUP($A1351,TAB_CORRECAO_U[[Q_DIAS_U_PARC_TIR]:[V_FUT_U_CORC-02]],E$5, FALSE)</f>
        <v>#N/A</v>
      </c>
      <c r="F1351" s="22" t="e">
        <f>VLOOKUP($A1351,TAB_AMORTIZACAO_U[[Q_DIAS_U_PARC_TIR]:[V_FUT_U_PCPL-02]], F$5, FALSE)</f>
        <v>#N/A</v>
      </c>
      <c r="H1351" s="20">
        <f t="shared" si="107"/>
        <v>0</v>
      </c>
      <c r="I1351" s="21">
        <f t="shared" si="108"/>
        <v>0</v>
      </c>
      <c r="J1351" s="22" t="e">
        <f>VLOOKUP($A1351, TAB_JUROS_C[[DIAS_CORRIDOS]:[V_FUT_UTEIS]], J$5, FALSE)</f>
        <v>#N/A</v>
      </c>
      <c r="K1351" s="22" t="e">
        <f>VLOOKUP($A1351, TAB_CORRECAO_C[[DIAS_CORRIDOS]:[V_FUT_UTEIS]],K$5, FALSE)</f>
        <v>#N/A</v>
      </c>
      <c r="L1351" s="22" t="e">
        <f>VLOOKUP($A1351, TAB_AMORTIZACAO_C[[DIAS_CORRIDOS]:[V_FUT_UTEIS]], L$5, FALSE)</f>
        <v>#N/A</v>
      </c>
    </row>
    <row r="1352" spans="1:12" hidden="1">
      <c r="A1352" s="19">
        <f t="shared" si="109"/>
        <v>1346</v>
      </c>
      <c r="B1352" s="20">
        <f t="shared" si="105"/>
        <v>0</v>
      </c>
      <c r="C1352" s="21">
        <f t="shared" si="106"/>
        <v>0</v>
      </c>
      <c r="D1352" s="22" t="e">
        <f>VLOOKUP($A1352, TAB_JUROS_U[[Q_DIAS_U_PARC_TIR]:[V_FUT_U_JURS CENARIO]], D$5, FALSE)</f>
        <v>#N/A</v>
      </c>
      <c r="E1352" s="22" t="e">
        <f>VLOOKUP($A1352,TAB_CORRECAO_U[[Q_DIAS_U_PARC_TIR]:[V_FUT_U_CORC-02]],E$5, FALSE)</f>
        <v>#N/A</v>
      </c>
      <c r="F1352" s="22" t="e">
        <f>VLOOKUP($A1352,TAB_AMORTIZACAO_U[[Q_DIAS_U_PARC_TIR]:[V_FUT_U_PCPL-02]], F$5, FALSE)</f>
        <v>#N/A</v>
      </c>
      <c r="H1352" s="20">
        <f t="shared" si="107"/>
        <v>0</v>
      </c>
      <c r="I1352" s="21">
        <f t="shared" si="108"/>
        <v>0</v>
      </c>
      <c r="J1352" s="22" t="e">
        <f>VLOOKUP($A1352, TAB_JUROS_C[[DIAS_CORRIDOS]:[V_FUT_UTEIS]], J$5, FALSE)</f>
        <v>#N/A</v>
      </c>
      <c r="K1352" s="22" t="e">
        <f>VLOOKUP($A1352, TAB_CORRECAO_C[[DIAS_CORRIDOS]:[V_FUT_UTEIS]],K$5, FALSE)</f>
        <v>#N/A</v>
      </c>
      <c r="L1352" s="22" t="e">
        <f>VLOOKUP($A1352, TAB_AMORTIZACAO_C[[DIAS_CORRIDOS]:[V_FUT_UTEIS]], L$5, FALSE)</f>
        <v>#N/A</v>
      </c>
    </row>
    <row r="1353" spans="1:12" hidden="1">
      <c r="A1353" s="19">
        <f t="shared" si="109"/>
        <v>1347</v>
      </c>
      <c r="B1353" s="20">
        <f t="shared" ref="B1353:B1416" si="110">IF(ISERROR(C1353), 0, C1353)</f>
        <v>0</v>
      </c>
      <c r="C1353" s="21">
        <f t="shared" ref="C1353:C1416" si="111">SUMIF(D1353:F1353, "&gt;0", D1353:F1353)</f>
        <v>0</v>
      </c>
      <c r="D1353" s="22" t="e">
        <f>VLOOKUP($A1353, TAB_JUROS_U[[Q_DIAS_U_PARC_TIR]:[V_FUT_U_JURS CENARIO]], D$5, FALSE)</f>
        <v>#N/A</v>
      </c>
      <c r="E1353" s="22" t="e">
        <f>VLOOKUP($A1353,TAB_CORRECAO_U[[Q_DIAS_U_PARC_TIR]:[V_FUT_U_CORC-02]],E$5, FALSE)</f>
        <v>#N/A</v>
      </c>
      <c r="F1353" s="22" t="e">
        <f>VLOOKUP($A1353,TAB_AMORTIZACAO_U[[Q_DIAS_U_PARC_TIR]:[V_FUT_U_PCPL-02]], F$5, FALSE)</f>
        <v>#N/A</v>
      </c>
      <c r="H1353" s="20">
        <f t="shared" ref="H1353:H1416" si="112">IF(ISERROR(I1353), 0, I1353)</f>
        <v>0</v>
      </c>
      <c r="I1353" s="21">
        <f t="shared" ref="I1353:I1416" si="113">SUMIF(J1353:L1353, "&gt;0", J1353:L1353)</f>
        <v>0</v>
      </c>
      <c r="J1353" s="22" t="e">
        <f>VLOOKUP($A1353, TAB_JUROS_C[[DIAS_CORRIDOS]:[V_FUT_UTEIS]], J$5, FALSE)</f>
        <v>#N/A</v>
      </c>
      <c r="K1353" s="22" t="e">
        <f>VLOOKUP($A1353, TAB_CORRECAO_C[[DIAS_CORRIDOS]:[V_FUT_UTEIS]],K$5, FALSE)</f>
        <v>#N/A</v>
      </c>
      <c r="L1353" s="22" t="e">
        <f>VLOOKUP($A1353, TAB_AMORTIZACAO_C[[DIAS_CORRIDOS]:[V_FUT_UTEIS]], L$5, FALSE)</f>
        <v>#N/A</v>
      </c>
    </row>
    <row r="1354" spans="1:12">
      <c r="A1354" s="19">
        <f t="shared" ref="A1354:A1417" si="114">A1353+1</f>
        <v>1348</v>
      </c>
      <c r="B1354" s="20">
        <f t="shared" si="110"/>
        <v>604.62448177474926</v>
      </c>
      <c r="C1354" s="21">
        <f t="shared" si="111"/>
        <v>604.62448177474926</v>
      </c>
      <c r="D1354" s="22">
        <f>VLOOKUP($A1354, TAB_JUROS_U[[Q_DIAS_U_PARC_TIR]:[V_FUT_U_JURS CENARIO]], D$5, FALSE)</f>
        <v>41.403321185982136</v>
      </c>
      <c r="E1354" s="22">
        <f>VLOOKUP($A1354,TAB_CORRECAO_U[[Q_DIAS_U_PARC_TIR]:[V_FUT_U_CORC-02]],E$5, FALSE)</f>
        <v>250.29699490885201</v>
      </c>
      <c r="F1354" s="22">
        <f>VLOOKUP($A1354,TAB_AMORTIZACAO_U[[Q_DIAS_U_PARC_TIR]:[V_FUT_U_PCPL-02]], F$5, FALSE)</f>
        <v>312.92416567991518</v>
      </c>
      <c r="H1354" s="20">
        <f t="shared" si="112"/>
        <v>0</v>
      </c>
      <c r="I1354" s="21">
        <f t="shared" si="113"/>
        <v>0</v>
      </c>
      <c r="J1354" s="22" t="e">
        <f>VLOOKUP($A1354, TAB_JUROS_C[[DIAS_CORRIDOS]:[V_FUT_UTEIS]], J$5, FALSE)</f>
        <v>#N/A</v>
      </c>
      <c r="K1354" s="22" t="e">
        <f>VLOOKUP($A1354, TAB_CORRECAO_C[[DIAS_CORRIDOS]:[V_FUT_UTEIS]],K$5, FALSE)</f>
        <v>#N/A</v>
      </c>
      <c r="L1354" s="22" t="e">
        <f>VLOOKUP($A1354, TAB_AMORTIZACAO_C[[DIAS_CORRIDOS]:[V_FUT_UTEIS]], L$5, FALSE)</f>
        <v>#N/A</v>
      </c>
    </row>
    <row r="1355" spans="1:12" hidden="1">
      <c r="A1355" s="19">
        <f t="shared" si="114"/>
        <v>1349</v>
      </c>
      <c r="B1355" s="20">
        <f t="shared" si="110"/>
        <v>0</v>
      </c>
      <c r="C1355" s="21">
        <f t="shared" si="111"/>
        <v>0</v>
      </c>
      <c r="D1355" s="22" t="e">
        <f>VLOOKUP($A1355, TAB_JUROS_U[[Q_DIAS_U_PARC_TIR]:[V_FUT_U_JURS CENARIO]], D$5, FALSE)</f>
        <v>#N/A</v>
      </c>
      <c r="E1355" s="22" t="e">
        <f>VLOOKUP($A1355,TAB_CORRECAO_U[[Q_DIAS_U_PARC_TIR]:[V_FUT_U_CORC-02]],E$5, FALSE)</f>
        <v>#N/A</v>
      </c>
      <c r="F1355" s="22" t="e">
        <f>VLOOKUP($A1355,TAB_AMORTIZACAO_U[[Q_DIAS_U_PARC_TIR]:[V_FUT_U_PCPL-02]], F$5, FALSE)</f>
        <v>#N/A</v>
      </c>
      <c r="H1355" s="20">
        <f t="shared" si="112"/>
        <v>0</v>
      </c>
      <c r="I1355" s="21">
        <f t="shared" si="113"/>
        <v>0</v>
      </c>
      <c r="J1355" s="22" t="e">
        <f>VLOOKUP($A1355, TAB_JUROS_C[[DIAS_CORRIDOS]:[V_FUT_UTEIS]], J$5, FALSE)</f>
        <v>#N/A</v>
      </c>
      <c r="K1355" s="22" t="e">
        <f>VLOOKUP($A1355, TAB_CORRECAO_C[[DIAS_CORRIDOS]:[V_FUT_UTEIS]],K$5, FALSE)</f>
        <v>#N/A</v>
      </c>
      <c r="L1355" s="22" t="e">
        <f>VLOOKUP($A1355, TAB_AMORTIZACAO_C[[DIAS_CORRIDOS]:[V_FUT_UTEIS]], L$5, FALSE)</f>
        <v>#N/A</v>
      </c>
    </row>
    <row r="1356" spans="1:12" hidden="1">
      <c r="A1356" s="19">
        <f t="shared" si="114"/>
        <v>1350</v>
      </c>
      <c r="B1356" s="20">
        <f t="shared" si="110"/>
        <v>0</v>
      </c>
      <c r="C1356" s="21">
        <f t="shared" si="111"/>
        <v>0</v>
      </c>
      <c r="D1356" s="22" t="e">
        <f>VLOOKUP($A1356, TAB_JUROS_U[[Q_DIAS_U_PARC_TIR]:[V_FUT_U_JURS CENARIO]], D$5, FALSE)</f>
        <v>#N/A</v>
      </c>
      <c r="E1356" s="22" t="e">
        <f>VLOOKUP($A1356,TAB_CORRECAO_U[[Q_DIAS_U_PARC_TIR]:[V_FUT_U_CORC-02]],E$5, FALSE)</f>
        <v>#N/A</v>
      </c>
      <c r="F1356" s="22" t="e">
        <f>VLOOKUP($A1356,TAB_AMORTIZACAO_U[[Q_DIAS_U_PARC_TIR]:[V_FUT_U_PCPL-02]], F$5, FALSE)</f>
        <v>#N/A</v>
      </c>
      <c r="H1356" s="20">
        <f t="shared" si="112"/>
        <v>0</v>
      </c>
      <c r="I1356" s="21">
        <f t="shared" si="113"/>
        <v>0</v>
      </c>
      <c r="J1356" s="22" t="e">
        <f>VLOOKUP($A1356, TAB_JUROS_C[[DIAS_CORRIDOS]:[V_FUT_UTEIS]], J$5, FALSE)</f>
        <v>#N/A</v>
      </c>
      <c r="K1356" s="22" t="e">
        <f>VLOOKUP($A1356, TAB_CORRECAO_C[[DIAS_CORRIDOS]:[V_FUT_UTEIS]],K$5, FALSE)</f>
        <v>#N/A</v>
      </c>
      <c r="L1356" s="22" t="e">
        <f>VLOOKUP($A1356, TAB_AMORTIZACAO_C[[DIAS_CORRIDOS]:[V_FUT_UTEIS]], L$5, FALSE)</f>
        <v>#N/A</v>
      </c>
    </row>
    <row r="1357" spans="1:12" hidden="1">
      <c r="A1357" s="19">
        <f t="shared" si="114"/>
        <v>1351</v>
      </c>
      <c r="B1357" s="20">
        <f t="shared" si="110"/>
        <v>0</v>
      </c>
      <c r="C1357" s="21">
        <f t="shared" si="111"/>
        <v>0</v>
      </c>
      <c r="D1357" s="22" t="e">
        <f>VLOOKUP($A1357, TAB_JUROS_U[[Q_DIAS_U_PARC_TIR]:[V_FUT_U_JURS CENARIO]], D$5, FALSE)</f>
        <v>#N/A</v>
      </c>
      <c r="E1357" s="22" t="e">
        <f>VLOOKUP($A1357,TAB_CORRECAO_U[[Q_DIAS_U_PARC_TIR]:[V_FUT_U_CORC-02]],E$5, FALSE)</f>
        <v>#N/A</v>
      </c>
      <c r="F1357" s="22" t="e">
        <f>VLOOKUP($A1357,TAB_AMORTIZACAO_U[[Q_DIAS_U_PARC_TIR]:[V_FUT_U_PCPL-02]], F$5, FALSE)</f>
        <v>#N/A</v>
      </c>
      <c r="H1357" s="20">
        <f t="shared" si="112"/>
        <v>969.12029585750247</v>
      </c>
      <c r="I1357" s="21">
        <f t="shared" si="113"/>
        <v>969.12029585750247</v>
      </c>
      <c r="J1357" s="22">
        <f>VLOOKUP($A1357, TAB_JUROS_C[[DIAS_CORRIDOS]:[V_FUT_UTEIS]], J$5, FALSE)</f>
        <v>76.574024015796724</v>
      </c>
      <c r="K1357" s="22">
        <f>VLOOKUP($A1357, TAB_CORRECAO_C[[DIAS_CORRIDOS]:[V_FUT_UTEIS]],K$5, FALSE)</f>
        <v>465.64595716965982</v>
      </c>
      <c r="L1357" s="22">
        <f>VLOOKUP($A1357, TAB_AMORTIZACAO_C[[DIAS_CORRIDOS]:[V_FUT_UTEIS]], L$5, FALSE)</f>
        <v>426.90031467204591</v>
      </c>
    </row>
    <row r="1358" spans="1:12" hidden="1">
      <c r="A1358" s="19">
        <f t="shared" si="114"/>
        <v>1352</v>
      </c>
      <c r="B1358" s="20">
        <f t="shared" si="110"/>
        <v>0</v>
      </c>
      <c r="C1358" s="21">
        <f t="shared" si="111"/>
        <v>0</v>
      </c>
      <c r="D1358" s="22" t="e">
        <f>VLOOKUP($A1358, TAB_JUROS_U[[Q_DIAS_U_PARC_TIR]:[V_FUT_U_JURS CENARIO]], D$5, FALSE)</f>
        <v>#N/A</v>
      </c>
      <c r="E1358" s="22" t="e">
        <f>VLOOKUP($A1358,TAB_CORRECAO_U[[Q_DIAS_U_PARC_TIR]:[V_FUT_U_CORC-02]],E$5, FALSE)</f>
        <v>#N/A</v>
      </c>
      <c r="F1358" s="22" t="e">
        <f>VLOOKUP($A1358,TAB_AMORTIZACAO_U[[Q_DIAS_U_PARC_TIR]:[V_FUT_U_PCPL-02]], F$5, FALSE)</f>
        <v>#N/A</v>
      </c>
      <c r="H1358" s="20">
        <f t="shared" si="112"/>
        <v>0</v>
      </c>
      <c r="I1358" s="21">
        <f t="shared" si="113"/>
        <v>0</v>
      </c>
      <c r="J1358" s="22" t="e">
        <f>VLOOKUP($A1358, TAB_JUROS_C[[DIAS_CORRIDOS]:[V_FUT_UTEIS]], J$5, FALSE)</f>
        <v>#N/A</v>
      </c>
      <c r="K1358" s="22" t="e">
        <f>VLOOKUP($A1358, TAB_CORRECAO_C[[DIAS_CORRIDOS]:[V_FUT_UTEIS]],K$5, FALSE)</f>
        <v>#N/A</v>
      </c>
      <c r="L1358" s="22" t="e">
        <f>VLOOKUP($A1358, TAB_AMORTIZACAO_C[[DIAS_CORRIDOS]:[V_FUT_UTEIS]], L$5, FALSE)</f>
        <v>#N/A</v>
      </c>
    </row>
    <row r="1359" spans="1:12" hidden="1">
      <c r="A1359" s="19">
        <f t="shared" si="114"/>
        <v>1353</v>
      </c>
      <c r="B1359" s="20">
        <f t="shared" si="110"/>
        <v>0</v>
      </c>
      <c r="C1359" s="21">
        <f t="shared" si="111"/>
        <v>0</v>
      </c>
      <c r="D1359" s="22" t="e">
        <f>VLOOKUP($A1359, TAB_JUROS_U[[Q_DIAS_U_PARC_TIR]:[V_FUT_U_JURS CENARIO]], D$5, FALSE)</f>
        <v>#N/A</v>
      </c>
      <c r="E1359" s="22" t="e">
        <f>VLOOKUP($A1359,TAB_CORRECAO_U[[Q_DIAS_U_PARC_TIR]:[V_FUT_U_CORC-02]],E$5, FALSE)</f>
        <v>#N/A</v>
      </c>
      <c r="F1359" s="22" t="e">
        <f>VLOOKUP($A1359,TAB_AMORTIZACAO_U[[Q_DIAS_U_PARC_TIR]:[V_FUT_U_PCPL-02]], F$5, FALSE)</f>
        <v>#N/A</v>
      </c>
      <c r="H1359" s="20">
        <f t="shared" si="112"/>
        <v>0</v>
      </c>
      <c r="I1359" s="21">
        <f t="shared" si="113"/>
        <v>0</v>
      </c>
      <c r="J1359" s="22" t="e">
        <f>VLOOKUP($A1359, TAB_JUROS_C[[DIAS_CORRIDOS]:[V_FUT_UTEIS]], J$5, FALSE)</f>
        <v>#N/A</v>
      </c>
      <c r="K1359" s="22" t="e">
        <f>VLOOKUP($A1359, TAB_CORRECAO_C[[DIAS_CORRIDOS]:[V_FUT_UTEIS]],K$5, FALSE)</f>
        <v>#N/A</v>
      </c>
      <c r="L1359" s="22" t="e">
        <f>VLOOKUP($A1359, TAB_AMORTIZACAO_C[[DIAS_CORRIDOS]:[V_FUT_UTEIS]], L$5, FALSE)</f>
        <v>#N/A</v>
      </c>
    </row>
    <row r="1360" spans="1:12" hidden="1">
      <c r="A1360" s="19">
        <f t="shared" si="114"/>
        <v>1354</v>
      </c>
      <c r="B1360" s="20">
        <f t="shared" si="110"/>
        <v>0</v>
      </c>
      <c r="C1360" s="21">
        <f t="shared" si="111"/>
        <v>0</v>
      </c>
      <c r="D1360" s="22" t="e">
        <f>VLOOKUP($A1360, TAB_JUROS_U[[Q_DIAS_U_PARC_TIR]:[V_FUT_U_JURS CENARIO]], D$5, FALSE)</f>
        <v>#N/A</v>
      </c>
      <c r="E1360" s="22" t="e">
        <f>VLOOKUP($A1360,TAB_CORRECAO_U[[Q_DIAS_U_PARC_TIR]:[V_FUT_U_CORC-02]],E$5, FALSE)</f>
        <v>#N/A</v>
      </c>
      <c r="F1360" s="22" t="e">
        <f>VLOOKUP($A1360,TAB_AMORTIZACAO_U[[Q_DIAS_U_PARC_TIR]:[V_FUT_U_PCPL-02]], F$5, FALSE)</f>
        <v>#N/A</v>
      </c>
      <c r="H1360" s="20">
        <f t="shared" si="112"/>
        <v>0</v>
      </c>
      <c r="I1360" s="21">
        <f t="shared" si="113"/>
        <v>0</v>
      </c>
      <c r="J1360" s="22" t="e">
        <f>VLOOKUP($A1360, TAB_JUROS_C[[DIAS_CORRIDOS]:[V_FUT_UTEIS]], J$5, FALSE)</f>
        <v>#N/A</v>
      </c>
      <c r="K1360" s="22" t="e">
        <f>VLOOKUP($A1360, TAB_CORRECAO_C[[DIAS_CORRIDOS]:[V_FUT_UTEIS]],K$5, FALSE)</f>
        <v>#N/A</v>
      </c>
      <c r="L1360" s="22" t="e">
        <f>VLOOKUP($A1360, TAB_AMORTIZACAO_C[[DIAS_CORRIDOS]:[V_FUT_UTEIS]], L$5, FALSE)</f>
        <v>#N/A</v>
      </c>
    </row>
    <row r="1361" spans="1:12" hidden="1">
      <c r="A1361" s="19">
        <f t="shared" si="114"/>
        <v>1355</v>
      </c>
      <c r="B1361" s="20">
        <f t="shared" si="110"/>
        <v>0</v>
      </c>
      <c r="C1361" s="21">
        <f t="shared" si="111"/>
        <v>0</v>
      </c>
      <c r="D1361" s="22" t="e">
        <f>VLOOKUP($A1361, TAB_JUROS_U[[Q_DIAS_U_PARC_TIR]:[V_FUT_U_JURS CENARIO]], D$5, FALSE)</f>
        <v>#N/A</v>
      </c>
      <c r="E1361" s="22" t="e">
        <f>VLOOKUP($A1361,TAB_CORRECAO_U[[Q_DIAS_U_PARC_TIR]:[V_FUT_U_CORC-02]],E$5, FALSE)</f>
        <v>#N/A</v>
      </c>
      <c r="F1361" s="22" t="e">
        <f>VLOOKUP($A1361,TAB_AMORTIZACAO_U[[Q_DIAS_U_PARC_TIR]:[V_FUT_U_PCPL-02]], F$5, FALSE)</f>
        <v>#N/A</v>
      </c>
      <c r="H1361" s="20">
        <f t="shared" si="112"/>
        <v>0</v>
      </c>
      <c r="I1361" s="21">
        <f t="shared" si="113"/>
        <v>0</v>
      </c>
      <c r="J1361" s="22" t="e">
        <f>VLOOKUP($A1361, TAB_JUROS_C[[DIAS_CORRIDOS]:[V_FUT_UTEIS]], J$5, FALSE)</f>
        <v>#N/A</v>
      </c>
      <c r="K1361" s="22" t="e">
        <f>VLOOKUP($A1361, TAB_CORRECAO_C[[DIAS_CORRIDOS]:[V_FUT_UTEIS]],K$5, FALSE)</f>
        <v>#N/A</v>
      </c>
      <c r="L1361" s="22" t="e">
        <f>VLOOKUP($A1361, TAB_AMORTIZACAO_C[[DIAS_CORRIDOS]:[V_FUT_UTEIS]], L$5, FALSE)</f>
        <v>#N/A</v>
      </c>
    </row>
    <row r="1362" spans="1:12" hidden="1">
      <c r="A1362" s="19">
        <f t="shared" si="114"/>
        <v>1356</v>
      </c>
      <c r="B1362" s="20">
        <f t="shared" si="110"/>
        <v>0</v>
      </c>
      <c r="C1362" s="21">
        <f t="shared" si="111"/>
        <v>0</v>
      </c>
      <c r="D1362" s="22" t="e">
        <f>VLOOKUP($A1362, TAB_JUROS_U[[Q_DIAS_U_PARC_TIR]:[V_FUT_U_JURS CENARIO]], D$5, FALSE)</f>
        <v>#N/A</v>
      </c>
      <c r="E1362" s="22" t="e">
        <f>VLOOKUP($A1362,TAB_CORRECAO_U[[Q_DIAS_U_PARC_TIR]:[V_FUT_U_CORC-02]],E$5, FALSE)</f>
        <v>#N/A</v>
      </c>
      <c r="F1362" s="22" t="e">
        <f>VLOOKUP($A1362,TAB_AMORTIZACAO_U[[Q_DIAS_U_PARC_TIR]:[V_FUT_U_PCPL-02]], F$5, FALSE)</f>
        <v>#N/A</v>
      </c>
      <c r="H1362" s="20">
        <f t="shared" si="112"/>
        <v>0</v>
      </c>
      <c r="I1362" s="21">
        <f t="shared" si="113"/>
        <v>0</v>
      </c>
      <c r="J1362" s="22" t="e">
        <f>VLOOKUP($A1362, TAB_JUROS_C[[DIAS_CORRIDOS]:[V_FUT_UTEIS]], J$5, FALSE)</f>
        <v>#N/A</v>
      </c>
      <c r="K1362" s="22" t="e">
        <f>VLOOKUP($A1362, TAB_CORRECAO_C[[DIAS_CORRIDOS]:[V_FUT_UTEIS]],K$5, FALSE)</f>
        <v>#N/A</v>
      </c>
      <c r="L1362" s="22" t="e">
        <f>VLOOKUP($A1362, TAB_AMORTIZACAO_C[[DIAS_CORRIDOS]:[V_FUT_UTEIS]], L$5, FALSE)</f>
        <v>#N/A</v>
      </c>
    </row>
    <row r="1363" spans="1:12" hidden="1">
      <c r="A1363" s="19">
        <f t="shared" si="114"/>
        <v>1357</v>
      </c>
      <c r="B1363" s="20">
        <f t="shared" si="110"/>
        <v>0</v>
      </c>
      <c r="C1363" s="21">
        <f t="shared" si="111"/>
        <v>0</v>
      </c>
      <c r="D1363" s="22" t="e">
        <f>VLOOKUP($A1363, TAB_JUROS_U[[Q_DIAS_U_PARC_TIR]:[V_FUT_U_JURS CENARIO]], D$5, FALSE)</f>
        <v>#N/A</v>
      </c>
      <c r="E1363" s="22" t="e">
        <f>VLOOKUP($A1363,TAB_CORRECAO_U[[Q_DIAS_U_PARC_TIR]:[V_FUT_U_CORC-02]],E$5, FALSE)</f>
        <v>#N/A</v>
      </c>
      <c r="F1363" s="22" t="e">
        <f>VLOOKUP($A1363,TAB_AMORTIZACAO_U[[Q_DIAS_U_PARC_TIR]:[V_FUT_U_PCPL-02]], F$5, FALSE)</f>
        <v>#N/A</v>
      </c>
      <c r="H1363" s="20">
        <f t="shared" si="112"/>
        <v>0</v>
      </c>
      <c r="I1363" s="21">
        <f t="shared" si="113"/>
        <v>0</v>
      </c>
      <c r="J1363" s="22" t="e">
        <f>VLOOKUP($A1363, TAB_JUROS_C[[DIAS_CORRIDOS]:[V_FUT_UTEIS]], J$5, FALSE)</f>
        <v>#N/A</v>
      </c>
      <c r="K1363" s="22" t="e">
        <f>VLOOKUP($A1363, TAB_CORRECAO_C[[DIAS_CORRIDOS]:[V_FUT_UTEIS]],K$5, FALSE)</f>
        <v>#N/A</v>
      </c>
      <c r="L1363" s="22" t="e">
        <f>VLOOKUP($A1363, TAB_AMORTIZACAO_C[[DIAS_CORRIDOS]:[V_FUT_UTEIS]], L$5, FALSE)</f>
        <v>#N/A</v>
      </c>
    </row>
    <row r="1364" spans="1:12" hidden="1">
      <c r="A1364" s="19">
        <f t="shared" si="114"/>
        <v>1358</v>
      </c>
      <c r="B1364" s="20">
        <f t="shared" si="110"/>
        <v>0</v>
      </c>
      <c r="C1364" s="21">
        <f t="shared" si="111"/>
        <v>0</v>
      </c>
      <c r="D1364" s="22" t="e">
        <f>VLOOKUP($A1364, TAB_JUROS_U[[Q_DIAS_U_PARC_TIR]:[V_FUT_U_JURS CENARIO]], D$5, FALSE)</f>
        <v>#N/A</v>
      </c>
      <c r="E1364" s="22" t="e">
        <f>VLOOKUP($A1364,TAB_CORRECAO_U[[Q_DIAS_U_PARC_TIR]:[V_FUT_U_CORC-02]],E$5, FALSE)</f>
        <v>#N/A</v>
      </c>
      <c r="F1364" s="22" t="e">
        <f>VLOOKUP($A1364,TAB_AMORTIZACAO_U[[Q_DIAS_U_PARC_TIR]:[V_FUT_U_PCPL-02]], F$5, FALSE)</f>
        <v>#N/A</v>
      </c>
      <c r="H1364" s="20">
        <f t="shared" si="112"/>
        <v>0</v>
      </c>
      <c r="I1364" s="21">
        <f t="shared" si="113"/>
        <v>0</v>
      </c>
      <c r="J1364" s="22" t="e">
        <f>VLOOKUP($A1364, TAB_JUROS_C[[DIAS_CORRIDOS]:[V_FUT_UTEIS]], J$5, FALSE)</f>
        <v>#N/A</v>
      </c>
      <c r="K1364" s="22" t="e">
        <f>VLOOKUP($A1364, TAB_CORRECAO_C[[DIAS_CORRIDOS]:[V_FUT_UTEIS]],K$5, FALSE)</f>
        <v>#N/A</v>
      </c>
      <c r="L1364" s="22" t="e">
        <f>VLOOKUP($A1364, TAB_AMORTIZACAO_C[[DIAS_CORRIDOS]:[V_FUT_UTEIS]], L$5, FALSE)</f>
        <v>#N/A</v>
      </c>
    </row>
    <row r="1365" spans="1:12" hidden="1">
      <c r="A1365" s="19">
        <f t="shared" si="114"/>
        <v>1359</v>
      </c>
      <c r="B1365" s="20">
        <f t="shared" si="110"/>
        <v>0</v>
      </c>
      <c r="C1365" s="21">
        <f t="shared" si="111"/>
        <v>0</v>
      </c>
      <c r="D1365" s="22" t="e">
        <f>VLOOKUP($A1365, TAB_JUROS_U[[Q_DIAS_U_PARC_TIR]:[V_FUT_U_JURS CENARIO]], D$5, FALSE)</f>
        <v>#N/A</v>
      </c>
      <c r="E1365" s="22" t="e">
        <f>VLOOKUP($A1365,TAB_CORRECAO_U[[Q_DIAS_U_PARC_TIR]:[V_FUT_U_CORC-02]],E$5, FALSE)</f>
        <v>#N/A</v>
      </c>
      <c r="F1365" s="22" t="e">
        <f>VLOOKUP($A1365,TAB_AMORTIZACAO_U[[Q_DIAS_U_PARC_TIR]:[V_FUT_U_PCPL-02]], F$5, FALSE)</f>
        <v>#N/A</v>
      </c>
      <c r="H1365" s="20">
        <f t="shared" si="112"/>
        <v>0</v>
      </c>
      <c r="I1365" s="21">
        <f t="shared" si="113"/>
        <v>0</v>
      </c>
      <c r="J1365" s="22" t="e">
        <f>VLOOKUP($A1365, TAB_JUROS_C[[DIAS_CORRIDOS]:[V_FUT_UTEIS]], J$5, FALSE)</f>
        <v>#N/A</v>
      </c>
      <c r="K1365" s="22" t="e">
        <f>VLOOKUP($A1365, TAB_CORRECAO_C[[DIAS_CORRIDOS]:[V_FUT_UTEIS]],K$5, FALSE)</f>
        <v>#N/A</v>
      </c>
      <c r="L1365" s="22" t="e">
        <f>VLOOKUP($A1365, TAB_AMORTIZACAO_C[[DIAS_CORRIDOS]:[V_FUT_UTEIS]], L$5, FALSE)</f>
        <v>#N/A</v>
      </c>
    </row>
    <row r="1366" spans="1:12" hidden="1">
      <c r="A1366" s="19">
        <f t="shared" si="114"/>
        <v>1360</v>
      </c>
      <c r="B1366" s="20">
        <f t="shared" si="110"/>
        <v>0</v>
      </c>
      <c r="C1366" s="21">
        <f t="shared" si="111"/>
        <v>0</v>
      </c>
      <c r="D1366" s="22" t="e">
        <f>VLOOKUP($A1366, TAB_JUROS_U[[Q_DIAS_U_PARC_TIR]:[V_FUT_U_JURS CENARIO]], D$5, FALSE)</f>
        <v>#N/A</v>
      </c>
      <c r="E1366" s="22" t="e">
        <f>VLOOKUP($A1366,TAB_CORRECAO_U[[Q_DIAS_U_PARC_TIR]:[V_FUT_U_CORC-02]],E$5, FALSE)</f>
        <v>#N/A</v>
      </c>
      <c r="F1366" s="22" t="e">
        <f>VLOOKUP($A1366,TAB_AMORTIZACAO_U[[Q_DIAS_U_PARC_TIR]:[V_FUT_U_PCPL-02]], F$5, FALSE)</f>
        <v>#N/A</v>
      </c>
      <c r="H1366" s="20">
        <f t="shared" si="112"/>
        <v>0</v>
      </c>
      <c r="I1366" s="21">
        <f t="shared" si="113"/>
        <v>0</v>
      </c>
      <c r="J1366" s="22" t="e">
        <f>VLOOKUP($A1366, TAB_JUROS_C[[DIAS_CORRIDOS]:[V_FUT_UTEIS]], J$5, FALSE)</f>
        <v>#N/A</v>
      </c>
      <c r="K1366" s="22" t="e">
        <f>VLOOKUP($A1366, TAB_CORRECAO_C[[DIAS_CORRIDOS]:[V_FUT_UTEIS]],K$5, FALSE)</f>
        <v>#N/A</v>
      </c>
      <c r="L1366" s="22" t="e">
        <f>VLOOKUP($A1366, TAB_AMORTIZACAO_C[[DIAS_CORRIDOS]:[V_FUT_UTEIS]], L$5, FALSE)</f>
        <v>#N/A</v>
      </c>
    </row>
    <row r="1367" spans="1:12" hidden="1">
      <c r="A1367" s="19">
        <f t="shared" si="114"/>
        <v>1361</v>
      </c>
      <c r="B1367" s="20">
        <f t="shared" si="110"/>
        <v>0</v>
      </c>
      <c r="C1367" s="21">
        <f t="shared" si="111"/>
        <v>0</v>
      </c>
      <c r="D1367" s="22" t="e">
        <f>VLOOKUP($A1367, TAB_JUROS_U[[Q_DIAS_U_PARC_TIR]:[V_FUT_U_JURS CENARIO]], D$5, FALSE)</f>
        <v>#N/A</v>
      </c>
      <c r="E1367" s="22" t="e">
        <f>VLOOKUP($A1367,TAB_CORRECAO_U[[Q_DIAS_U_PARC_TIR]:[V_FUT_U_CORC-02]],E$5, FALSE)</f>
        <v>#N/A</v>
      </c>
      <c r="F1367" s="22" t="e">
        <f>VLOOKUP($A1367,TAB_AMORTIZACAO_U[[Q_DIAS_U_PARC_TIR]:[V_FUT_U_PCPL-02]], F$5, FALSE)</f>
        <v>#N/A</v>
      </c>
      <c r="H1367" s="20">
        <f t="shared" si="112"/>
        <v>0</v>
      </c>
      <c r="I1367" s="21">
        <f t="shared" si="113"/>
        <v>0</v>
      </c>
      <c r="J1367" s="22" t="e">
        <f>VLOOKUP($A1367, TAB_JUROS_C[[DIAS_CORRIDOS]:[V_FUT_UTEIS]], J$5, FALSE)</f>
        <v>#N/A</v>
      </c>
      <c r="K1367" s="22" t="e">
        <f>VLOOKUP($A1367, TAB_CORRECAO_C[[DIAS_CORRIDOS]:[V_FUT_UTEIS]],K$5, FALSE)</f>
        <v>#N/A</v>
      </c>
      <c r="L1367" s="22" t="e">
        <f>VLOOKUP($A1367, TAB_AMORTIZACAO_C[[DIAS_CORRIDOS]:[V_FUT_UTEIS]], L$5, FALSE)</f>
        <v>#N/A</v>
      </c>
    </row>
    <row r="1368" spans="1:12" hidden="1">
      <c r="A1368" s="19">
        <f t="shared" si="114"/>
        <v>1362</v>
      </c>
      <c r="B1368" s="20">
        <f t="shared" si="110"/>
        <v>0</v>
      </c>
      <c r="C1368" s="21">
        <f t="shared" si="111"/>
        <v>0</v>
      </c>
      <c r="D1368" s="22" t="e">
        <f>VLOOKUP($A1368, TAB_JUROS_U[[Q_DIAS_U_PARC_TIR]:[V_FUT_U_JURS CENARIO]], D$5, FALSE)</f>
        <v>#N/A</v>
      </c>
      <c r="E1368" s="22" t="e">
        <f>VLOOKUP($A1368,TAB_CORRECAO_U[[Q_DIAS_U_PARC_TIR]:[V_FUT_U_CORC-02]],E$5, FALSE)</f>
        <v>#N/A</v>
      </c>
      <c r="F1368" s="22" t="e">
        <f>VLOOKUP($A1368,TAB_AMORTIZACAO_U[[Q_DIAS_U_PARC_TIR]:[V_FUT_U_PCPL-02]], F$5, FALSE)</f>
        <v>#N/A</v>
      </c>
      <c r="H1368" s="20">
        <f t="shared" si="112"/>
        <v>0</v>
      </c>
      <c r="I1368" s="21">
        <f t="shared" si="113"/>
        <v>0</v>
      </c>
      <c r="J1368" s="22" t="e">
        <f>VLOOKUP($A1368, TAB_JUROS_C[[DIAS_CORRIDOS]:[V_FUT_UTEIS]], J$5, FALSE)</f>
        <v>#N/A</v>
      </c>
      <c r="K1368" s="22" t="e">
        <f>VLOOKUP($A1368, TAB_CORRECAO_C[[DIAS_CORRIDOS]:[V_FUT_UTEIS]],K$5, FALSE)</f>
        <v>#N/A</v>
      </c>
      <c r="L1368" s="22" t="e">
        <f>VLOOKUP($A1368, TAB_AMORTIZACAO_C[[DIAS_CORRIDOS]:[V_FUT_UTEIS]], L$5, FALSE)</f>
        <v>#N/A</v>
      </c>
    </row>
    <row r="1369" spans="1:12" hidden="1">
      <c r="A1369" s="19">
        <f t="shared" si="114"/>
        <v>1363</v>
      </c>
      <c r="B1369" s="20">
        <f t="shared" si="110"/>
        <v>0</v>
      </c>
      <c r="C1369" s="21">
        <f t="shared" si="111"/>
        <v>0</v>
      </c>
      <c r="D1369" s="22" t="e">
        <f>VLOOKUP($A1369, TAB_JUROS_U[[Q_DIAS_U_PARC_TIR]:[V_FUT_U_JURS CENARIO]], D$5, FALSE)</f>
        <v>#N/A</v>
      </c>
      <c r="E1369" s="22" t="e">
        <f>VLOOKUP($A1369,TAB_CORRECAO_U[[Q_DIAS_U_PARC_TIR]:[V_FUT_U_CORC-02]],E$5, FALSE)</f>
        <v>#N/A</v>
      </c>
      <c r="F1369" s="22" t="e">
        <f>VLOOKUP($A1369,TAB_AMORTIZACAO_U[[Q_DIAS_U_PARC_TIR]:[V_FUT_U_PCPL-02]], F$5, FALSE)</f>
        <v>#N/A</v>
      </c>
      <c r="H1369" s="20">
        <f t="shared" si="112"/>
        <v>0</v>
      </c>
      <c r="I1369" s="21">
        <f t="shared" si="113"/>
        <v>0</v>
      </c>
      <c r="J1369" s="22" t="e">
        <f>VLOOKUP($A1369, TAB_JUROS_C[[DIAS_CORRIDOS]:[V_FUT_UTEIS]], J$5, FALSE)</f>
        <v>#N/A</v>
      </c>
      <c r="K1369" s="22" t="e">
        <f>VLOOKUP($A1369, TAB_CORRECAO_C[[DIAS_CORRIDOS]:[V_FUT_UTEIS]],K$5, FALSE)</f>
        <v>#N/A</v>
      </c>
      <c r="L1369" s="22" t="e">
        <f>VLOOKUP($A1369, TAB_AMORTIZACAO_C[[DIAS_CORRIDOS]:[V_FUT_UTEIS]], L$5, FALSE)</f>
        <v>#N/A</v>
      </c>
    </row>
    <row r="1370" spans="1:12" hidden="1">
      <c r="A1370" s="19">
        <f t="shared" si="114"/>
        <v>1364</v>
      </c>
      <c r="B1370" s="20">
        <f t="shared" si="110"/>
        <v>0</v>
      </c>
      <c r="C1370" s="21">
        <f t="shared" si="111"/>
        <v>0</v>
      </c>
      <c r="D1370" s="22" t="e">
        <f>VLOOKUP($A1370, TAB_JUROS_U[[Q_DIAS_U_PARC_TIR]:[V_FUT_U_JURS CENARIO]], D$5, FALSE)</f>
        <v>#N/A</v>
      </c>
      <c r="E1370" s="22" t="e">
        <f>VLOOKUP($A1370,TAB_CORRECAO_U[[Q_DIAS_U_PARC_TIR]:[V_FUT_U_CORC-02]],E$5, FALSE)</f>
        <v>#N/A</v>
      </c>
      <c r="F1370" s="22" t="e">
        <f>VLOOKUP($A1370,TAB_AMORTIZACAO_U[[Q_DIAS_U_PARC_TIR]:[V_FUT_U_PCPL-02]], F$5, FALSE)</f>
        <v>#N/A</v>
      </c>
      <c r="H1370" s="20">
        <f t="shared" si="112"/>
        <v>0</v>
      </c>
      <c r="I1370" s="21">
        <f t="shared" si="113"/>
        <v>0</v>
      </c>
      <c r="J1370" s="22" t="e">
        <f>VLOOKUP($A1370, TAB_JUROS_C[[DIAS_CORRIDOS]:[V_FUT_UTEIS]], J$5, FALSE)</f>
        <v>#N/A</v>
      </c>
      <c r="K1370" s="22" t="e">
        <f>VLOOKUP($A1370, TAB_CORRECAO_C[[DIAS_CORRIDOS]:[V_FUT_UTEIS]],K$5, FALSE)</f>
        <v>#N/A</v>
      </c>
      <c r="L1370" s="22" t="e">
        <f>VLOOKUP($A1370, TAB_AMORTIZACAO_C[[DIAS_CORRIDOS]:[V_FUT_UTEIS]], L$5, FALSE)</f>
        <v>#N/A</v>
      </c>
    </row>
    <row r="1371" spans="1:12" hidden="1">
      <c r="A1371" s="19">
        <f t="shared" si="114"/>
        <v>1365</v>
      </c>
      <c r="B1371" s="20">
        <f t="shared" si="110"/>
        <v>0</v>
      </c>
      <c r="C1371" s="21">
        <f t="shared" si="111"/>
        <v>0</v>
      </c>
      <c r="D1371" s="22" t="e">
        <f>VLOOKUP($A1371, TAB_JUROS_U[[Q_DIAS_U_PARC_TIR]:[V_FUT_U_JURS CENARIO]], D$5, FALSE)</f>
        <v>#N/A</v>
      </c>
      <c r="E1371" s="22" t="e">
        <f>VLOOKUP($A1371,TAB_CORRECAO_U[[Q_DIAS_U_PARC_TIR]:[V_FUT_U_CORC-02]],E$5, FALSE)</f>
        <v>#N/A</v>
      </c>
      <c r="F1371" s="22" t="e">
        <f>VLOOKUP($A1371,TAB_AMORTIZACAO_U[[Q_DIAS_U_PARC_TIR]:[V_FUT_U_PCPL-02]], F$5, FALSE)</f>
        <v>#N/A</v>
      </c>
      <c r="H1371" s="20">
        <f t="shared" si="112"/>
        <v>0</v>
      </c>
      <c r="I1371" s="21">
        <f t="shared" si="113"/>
        <v>0</v>
      </c>
      <c r="J1371" s="22" t="e">
        <f>VLOOKUP($A1371, TAB_JUROS_C[[DIAS_CORRIDOS]:[V_FUT_UTEIS]], J$5, FALSE)</f>
        <v>#N/A</v>
      </c>
      <c r="K1371" s="22" t="e">
        <f>VLOOKUP($A1371, TAB_CORRECAO_C[[DIAS_CORRIDOS]:[V_FUT_UTEIS]],K$5, FALSE)</f>
        <v>#N/A</v>
      </c>
      <c r="L1371" s="22" t="e">
        <f>VLOOKUP($A1371, TAB_AMORTIZACAO_C[[DIAS_CORRIDOS]:[V_FUT_UTEIS]], L$5, FALSE)</f>
        <v>#N/A</v>
      </c>
    </row>
    <row r="1372" spans="1:12" hidden="1">
      <c r="A1372" s="19">
        <f t="shared" si="114"/>
        <v>1366</v>
      </c>
      <c r="B1372" s="20">
        <f t="shared" si="110"/>
        <v>0</v>
      </c>
      <c r="C1372" s="21">
        <f t="shared" si="111"/>
        <v>0</v>
      </c>
      <c r="D1372" s="22" t="e">
        <f>VLOOKUP($A1372, TAB_JUROS_U[[Q_DIAS_U_PARC_TIR]:[V_FUT_U_JURS CENARIO]], D$5, FALSE)</f>
        <v>#N/A</v>
      </c>
      <c r="E1372" s="22" t="e">
        <f>VLOOKUP($A1372,TAB_CORRECAO_U[[Q_DIAS_U_PARC_TIR]:[V_FUT_U_CORC-02]],E$5, FALSE)</f>
        <v>#N/A</v>
      </c>
      <c r="F1372" s="22" t="e">
        <f>VLOOKUP($A1372,TAB_AMORTIZACAO_U[[Q_DIAS_U_PARC_TIR]:[V_FUT_U_PCPL-02]], F$5, FALSE)</f>
        <v>#N/A</v>
      </c>
      <c r="H1372" s="20">
        <f t="shared" si="112"/>
        <v>0</v>
      </c>
      <c r="I1372" s="21">
        <f t="shared" si="113"/>
        <v>0</v>
      </c>
      <c r="J1372" s="22" t="e">
        <f>VLOOKUP($A1372, TAB_JUROS_C[[DIAS_CORRIDOS]:[V_FUT_UTEIS]], J$5, FALSE)</f>
        <v>#N/A</v>
      </c>
      <c r="K1372" s="22" t="e">
        <f>VLOOKUP($A1372, TAB_CORRECAO_C[[DIAS_CORRIDOS]:[V_FUT_UTEIS]],K$5, FALSE)</f>
        <v>#N/A</v>
      </c>
      <c r="L1372" s="22" t="e">
        <f>VLOOKUP($A1372, TAB_AMORTIZACAO_C[[DIAS_CORRIDOS]:[V_FUT_UTEIS]], L$5, FALSE)</f>
        <v>#N/A</v>
      </c>
    </row>
    <row r="1373" spans="1:12" hidden="1">
      <c r="A1373" s="19">
        <f t="shared" si="114"/>
        <v>1367</v>
      </c>
      <c r="B1373" s="20">
        <f t="shared" si="110"/>
        <v>0</v>
      </c>
      <c r="C1373" s="21">
        <f t="shared" si="111"/>
        <v>0</v>
      </c>
      <c r="D1373" s="22" t="e">
        <f>VLOOKUP($A1373, TAB_JUROS_U[[Q_DIAS_U_PARC_TIR]:[V_FUT_U_JURS CENARIO]], D$5, FALSE)</f>
        <v>#N/A</v>
      </c>
      <c r="E1373" s="22" t="e">
        <f>VLOOKUP($A1373,TAB_CORRECAO_U[[Q_DIAS_U_PARC_TIR]:[V_FUT_U_CORC-02]],E$5, FALSE)</f>
        <v>#N/A</v>
      </c>
      <c r="F1373" s="22" t="e">
        <f>VLOOKUP($A1373,TAB_AMORTIZACAO_U[[Q_DIAS_U_PARC_TIR]:[V_FUT_U_PCPL-02]], F$5, FALSE)</f>
        <v>#N/A</v>
      </c>
      <c r="H1373" s="20">
        <f t="shared" si="112"/>
        <v>0</v>
      </c>
      <c r="I1373" s="21">
        <f t="shared" si="113"/>
        <v>0</v>
      </c>
      <c r="J1373" s="22" t="e">
        <f>VLOOKUP($A1373, TAB_JUROS_C[[DIAS_CORRIDOS]:[V_FUT_UTEIS]], J$5, FALSE)</f>
        <v>#N/A</v>
      </c>
      <c r="K1373" s="22" t="e">
        <f>VLOOKUP($A1373, TAB_CORRECAO_C[[DIAS_CORRIDOS]:[V_FUT_UTEIS]],K$5, FALSE)</f>
        <v>#N/A</v>
      </c>
      <c r="L1373" s="22" t="e">
        <f>VLOOKUP($A1373, TAB_AMORTIZACAO_C[[DIAS_CORRIDOS]:[V_FUT_UTEIS]], L$5, FALSE)</f>
        <v>#N/A</v>
      </c>
    </row>
    <row r="1374" spans="1:12" hidden="1">
      <c r="A1374" s="19">
        <f t="shared" si="114"/>
        <v>1368</v>
      </c>
      <c r="B1374" s="20">
        <f t="shared" si="110"/>
        <v>0</v>
      </c>
      <c r="C1374" s="21">
        <f t="shared" si="111"/>
        <v>0</v>
      </c>
      <c r="D1374" s="22" t="e">
        <f>VLOOKUP($A1374, TAB_JUROS_U[[Q_DIAS_U_PARC_TIR]:[V_FUT_U_JURS CENARIO]], D$5, FALSE)</f>
        <v>#N/A</v>
      </c>
      <c r="E1374" s="22" t="e">
        <f>VLOOKUP($A1374,TAB_CORRECAO_U[[Q_DIAS_U_PARC_TIR]:[V_FUT_U_CORC-02]],E$5, FALSE)</f>
        <v>#N/A</v>
      </c>
      <c r="F1374" s="22" t="e">
        <f>VLOOKUP($A1374,TAB_AMORTIZACAO_U[[Q_DIAS_U_PARC_TIR]:[V_FUT_U_PCPL-02]], F$5, FALSE)</f>
        <v>#N/A</v>
      </c>
      <c r="H1374" s="20">
        <f t="shared" si="112"/>
        <v>0</v>
      </c>
      <c r="I1374" s="21">
        <f t="shared" si="113"/>
        <v>0</v>
      </c>
      <c r="J1374" s="22" t="e">
        <f>VLOOKUP($A1374, TAB_JUROS_C[[DIAS_CORRIDOS]:[V_FUT_UTEIS]], J$5, FALSE)</f>
        <v>#N/A</v>
      </c>
      <c r="K1374" s="22" t="e">
        <f>VLOOKUP($A1374, TAB_CORRECAO_C[[DIAS_CORRIDOS]:[V_FUT_UTEIS]],K$5, FALSE)</f>
        <v>#N/A</v>
      </c>
      <c r="L1374" s="22" t="e">
        <f>VLOOKUP($A1374, TAB_AMORTIZACAO_C[[DIAS_CORRIDOS]:[V_FUT_UTEIS]], L$5, FALSE)</f>
        <v>#N/A</v>
      </c>
    </row>
    <row r="1375" spans="1:12">
      <c r="A1375" s="19">
        <f t="shared" si="114"/>
        <v>1369</v>
      </c>
      <c r="B1375" s="20">
        <f t="shared" si="110"/>
        <v>601.5480629645532</v>
      </c>
      <c r="C1375" s="21">
        <f t="shared" si="111"/>
        <v>601.5480629645532</v>
      </c>
      <c r="D1375" s="22">
        <f>VLOOKUP($A1375, TAB_JUROS_U[[Q_DIAS_U_PARC_TIR]:[V_FUT_U_JURS CENARIO]], D$5, FALSE)</f>
        <v>42.316201693997719</v>
      </c>
      <c r="E1375" s="22">
        <f>VLOOKUP($A1375,TAB_CORRECAO_U[[Q_DIAS_U_PARC_TIR]:[V_FUT_U_CORC-02]],E$5, FALSE)</f>
        <v>255.72710372459517</v>
      </c>
      <c r="F1375" s="22">
        <f>VLOOKUP($A1375,TAB_AMORTIZACAO_U[[Q_DIAS_U_PARC_TIR]:[V_FUT_U_PCPL-02]], F$5, FALSE)</f>
        <v>303.50475754596033</v>
      </c>
      <c r="H1375" s="20">
        <f t="shared" si="112"/>
        <v>0</v>
      </c>
      <c r="I1375" s="21">
        <f t="shared" si="113"/>
        <v>0</v>
      </c>
      <c r="J1375" s="22" t="e">
        <f>VLOOKUP($A1375, TAB_JUROS_C[[DIAS_CORRIDOS]:[V_FUT_UTEIS]], J$5, FALSE)</f>
        <v>#N/A</v>
      </c>
      <c r="K1375" s="22" t="e">
        <f>VLOOKUP($A1375, TAB_CORRECAO_C[[DIAS_CORRIDOS]:[V_FUT_UTEIS]],K$5, FALSE)</f>
        <v>#N/A</v>
      </c>
      <c r="L1375" s="22" t="e">
        <f>VLOOKUP($A1375, TAB_AMORTIZACAO_C[[DIAS_CORRIDOS]:[V_FUT_UTEIS]], L$5, FALSE)</f>
        <v>#N/A</v>
      </c>
    </row>
    <row r="1376" spans="1:12" hidden="1">
      <c r="A1376" s="19">
        <f t="shared" si="114"/>
        <v>1370</v>
      </c>
      <c r="B1376" s="20">
        <f t="shared" si="110"/>
        <v>0</v>
      </c>
      <c r="C1376" s="21">
        <f t="shared" si="111"/>
        <v>0</v>
      </c>
      <c r="D1376" s="22" t="e">
        <f>VLOOKUP($A1376, TAB_JUROS_U[[Q_DIAS_U_PARC_TIR]:[V_FUT_U_JURS CENARIO]], D$5, FALSE)</f>
        <v>#N/A</v>
      </c>
      <c r="E1376" s="22" t="e">
        <f>VLOOKUP($A1376,TAB_CORRECAO_U[[Q_DIAS_U_PARC_TIR]:[V_FUT_U_CORC-02]],E$5, FALSE)</f>
        <v>#N/A</v>
      </c>
      <c r="F1376" s="22" t="e">
        <f>VLOOKUP($A1376,TAB_AMORTIZACAO_U[[Q_DIAS_U_PARC_TIR]:[V_FUT_U_PCPL-02]], F$5, FALSE)</f>
        <v>#N/A</v>
      </c>
      <c r="H1376" s="20">
        <f t="shared" si="112"/>
        <v>0</v>
      </c>
      <c r="I1376" s="21">
        <f t="shared" si="113"/>
        <v>0</v>
      </c>
      <c r="J1376" s="22" t="e">
        <f>VLOOKUP($A1376, TAB_JUROS_C[[DIAS_CORRIDOS]:[V_FUT_UTEIS]], J$5, FALSE)</f>
        <v>#N/A</v>
      </c>
      <c r="K1376" s="22" t="e">
        <f>VLOOKUP($A1376, TAB_CORRECAO_C[[DIAS_CORRIDOS]:[V_FUT_UTEIS]],K$5, FALSE)</f>
        <v>#N/A</v>
      </c>
      <c r="L1376" s="22" t="e">
        <f>VLOOKUP($A1376, TAB_AMORTIZACAO_C[[DIAS_CORRIDOS]:[V_FUT_UTEIS]], L$5, FALSE)</f>
        <v>#N/A</v>
      </c>
    </row>
    <row r="1377" spans="1:12" hidden="1">
      <c r="A1377" s="19">
        <f t="shared" si="114"/>
        <v>1371</v>
      </c>
      <c r="B1377" s="20">
        <f t="shared" si="110"/>
        <v>0</v>
      </c>
      <c r="C1377" s="21">
        <f t="shared" si="111"/>
        <v>0</v>
      </c>
      <c r="D1377" s="22" t="e">
        <f>VLOOKUP($A1377, TAB_JUROS_U[[Q_DIAS_U_PARC_TIR]:[V_FUT_U_JURS CENARIO]], D$5, FALSE)</f>
        <v>#N/A</v>
      </c>
      <c r="E1377" s="22" t="e">
        <f>VLOOKUP($A1377,TAB_CORRECAO_U[[Q_DIAS_U_PARC_TIR]:[V_FUT_U_CORC-02]],E$5, FALSE)</f>
        <v>#N/A</v>
      </c>
      <c r="F1377" s="22" t="e">
        <f>VLOOKUP($A1377,TAB_AMORTIZACAO_U[[Q_DIAS_U_PARC_TIR]:[V_FUT_U_PCPL-02]], F$5, FALSE)</f>
        <v>#N/A</v>
      </c>
      <c r="H1377" s="20">
        <f t="shared" si="112"/>
        <v>0</v>
      </c>
      <c r="I1377" s="21">
        <f t="shared" si="113"/>
        <v>0</v>
      </c>
      <c r="J1377" s="22" t="e">
        <f>VLOOKUP($A1377, TAB_JUROS_C[[DIAS_CORRIDOS]:[V_FUT_UTEIS]], J$5, FALSE)</f>
        <v>#N/A</v>
      </c>
      <c r="K1377" s="22" t="e">
        <f>VLOOKUP($A1377, TAB_CORRECAO_C[[DIAS_CORRIDOS]:[V_FUT_UTEIS]],K$5, FALSE)</f>
        <v>#N/A</v>
      </c>
      <c r="L1377" s="22" t="e">
        <f>VLOOKUP($A1377, TAB_AMORTIZACAO_C[[DIAS_CORRIDOS]:[V_FUT_UTEIS]], L$5, FALSE)</f>
        <v>#N/A</v>
      </c>
    </row>
    <row r="1378" spans="1:12" hidden="1">
      <c r="A1378" s="19">
        <f t="shared" si="114"/>
        <v>1372</v>
      </c>
      <c r="B1378" s="20">
        <f t="shared" si="110"/>
        <v>0</v>
      </c>
      <c r="C1378" s="21">
        <f t="shared" si="111"/>
        <v>0</v>
      </c>
      <c r="D1378" s="22" t="e">
        <f>VLOOKUP($A1378, TAB_JUROS_U[[Q_DIAS_U_PARC_TIR]:[V_FUT_U_JURS CENARIO]], D$5, FALSE)</f>
        <v>#N/A</v>
      </c>
      <c r="E1378" s="22" t="e">
        <f>VLOOKUP($A1378,TAB_CORRECAO_U[[Q_DIAS_U_PARC_TIR]:[V_FUT_U_CORC-02]],E$5, FALSE)</f>
        <v>#N/A</v>
      </c>
      <c r="F1378" s="22" t="e">
        <f>VLOOKUP($A1378,TAB_AMORTIZACAO_U[[Q_DIAS_U_PARC_TIR]:[V_FUT_U_PCPL-02]], F$5, FALSE)</f>
        <v>#N/A</v>
      </c>
      <c r="H1378" s="20">
        <f t="shared" si="112"/>
        <v>0</v>
      </c>
      <c r="I1378" s="21">
        <f t="shared" si="113"/>
        <v>0</v>
      </c>
      <c r="J1378" s="22" t="e">
        <f>VLOOKUP($A1378, TAB_JUROS_C[[DIAS_CORRIDOS]:[V_FUT_UTEIS]], J$5, FALSE)</f>
        <v>#N/A</v>
      </c>
      <c r="K1378" s="22" t="e">
        <f>VLOOKUP($A1378, TAB_CORRECAO_C[[DIAS_CORRIDOS]:[V_FUT_UTEIS]],K$5, FALSE)</f>
        <v>#N/A</v>
      </c>
      <c r="L1378" s="22" t="e">
        <f>VLOOKUP($A1378, TAB_AMORTIZACAO_C[[DIAS_CORRIDOS]:[V_FUT_UTEIS]], L$5, FALSE)</f>
        <v>#N/A</v>
      </c>
    </row>
    <row r="1379" spans="1:12" hidden="1">
      <c r="A1379" s="19">
        <f t="shared" si="114"/>
        <v>1373</v>
      </c>
      <c r="B1379" s="20">
        <f t="shared" si="110"/>
        <v>0</v>
      </c>
      <c r="C1379" s="21">
        <f t="shared" si="111"/>
        <v>0</v>
      </c>
      <c r="D1379" s="22" t="e">
        <f>VLOOKUP($A1379, TAB_JUROS_U[[Q_DIAS_U_PARC_TIR]:[V_FUT_U_JURS CENARIO]], D$5, FALSE)</f>
        <v>#N/A</v>
      </c>
      <c r="E1379" s="22" t="e">
        <f>VLOOKUP($A1379,TAB_CORRECAO_U[[Q_DIAS_U_PARC_TIR]:[V_FUT_U_CORC-02]],E$5, FALSE)</f>
        <v>#N/A</v>
      </c>
      <c r="F1379" s="22" t="e">
        <f>VLOOKUP($A1379,TAB_AMORTIZACAO_U[[Q_DIAS_U_PARC_TIR]:[V_FUT_U_PCPL-02]], F$5, FALSE)</f>
        <v>#N/A</v>
      </c>
      <c r="H1379" s="20">
        <f t="shared" si="112"/>
        <v>0</v>
      </c>
      <c r="I1379" s="21">
        <f t="shared" si="113"/>
        <v>0</v>
      </c>
      <c r="J1379" s="22" t="e">
        <f>VLOOKUP($A1379, TAB_JUROS_C[[DIAS_CORRIDOS]:[V_FUT_UTEIS]], J$5, FALSE)</f>
        <v>#N/A</v>
      </c>
      <c r="K1379" s="22" t="e">
        <f>VLOOKUP($A1379, TAB_CORRECAO_C[[DIAS_CORRIDOS]:[V_FUT_UTEIS]],K$5, FALSE)</f>
        <v>#N/A</v>
      </c>
      <c r="L1379" s="22" t="e">
        <f>VLOOKUP($A1379, TAB_AMORTIZACAO_C[[DIAS_CORRIDOS]:[V_FUT_UTEIS]], L$5, FALSE)</f>
        <v>#N/A</v>
      </c>
    </row>
    <row r="1380" spans="1:12" hidden="1">
      <c r="A1380" s="19">
        <f t="shared" si="114"/>
        <v>1374</v>
      </c>
      <c r="B1380" s="20">
        <f t="shared" si="110"/>
        <v>0</v>
      </c>
      <c r="C1380" s="21">
        <f t="shared" si="111"/>
        <v>0</v>
      </c>
      <c r="D1380" s="22" t="e">
        <f>VLOOKUP($A1380, TAB_JUROS_U[[Q_DIAS_U_PARC_TIR]:[V_FUT_U_JURS CENARIO]], D$5, FALSE)</f>
        <v>#N/A</v>
      </c>
      <c r="E1380" s="22" t="e">
        <f>VLOOKUP($A1380,TAB_CORRECAO_U[[Q_DIAS_U_PARC_TIR]:[V_FUT_U_CORC-02]],E$5, FALSE)</f>
        <v>#N/A</v>
      </c>
      <c r="F1380" s="22" t="e">
        <f>VLOOKUP($A1380,TAB_AMORTIZACAO_U[[Q_DIAS_U_PARC_TIR]:[V_FUT_U_PCPL-02]], F$5, FALSE)</f>
        <v>#N/A</v>
      </c>
      <c r="H1380" s="20">
        <f t="shared" si="112"/>
        <v>0</v>
      </c>
      <c r="I1380" s="21">
        <f t="shared" si="113"/>
        <v>0</v>
      </c>
      <c r="J1380" s="22" t="e">
        <f>VLOOKUP($A1380, TAB_JUROS_C[[DIAS_CORRIDOS]:[V_FUT_UTEIS]], J$5, FALSE)</f>
        <v>#N/A</v>
      </c>
      <c r="K1380" s="22" t="e">
        <f>VLOOKUP($A1380, TAB_CORRECAO_C[[DIAS_CORRIDOS]:[V_FUT_UTEIS]],K$5, FALSE)</f>
        <v>#N/A</v>
      </c>
      <c r="L1380" s="22" t="e">
        <f>VLOOKUP($A1380, TAB_AMORTIZACAO_C[[DIAS_CORRIDOS]:[V_FUT_UTEIS]], L$5, FALSE)</f>
        <v>#N/A</v>
      </c>
    </row>
    <row r="1381" spans="1:12" hidden="1">
      <c r="A1381" s="19">
        <f t="shared" si="114"/>
        <v>1375</v>
      </c>
      <c r="B1381" s="20">
        <f t="shared" si="110"/>
        <v>0</v>
      </c>
      <c r="C1381" s="21">
        <f t="shared" si="111"/>
        <v>0</v>
      </c>
      <c r="D1381" s="22" t="e">
        <f>VLOOKUP($A1381, TAB_JUROS_U[[Q_DIAS_U_PARC_TIR]:[V_FUT_U_JURS CENARIO]], D$5, FALSE)</f>
        <v>#N/A</v>
      </c>
      <c r="E1381" s="22" t="e">
        <f>VLOOKUP($A1381,TAB_CORRECAO_U[[Q_DIAS_U_PARC_TIR]:[V_FUT_U_CORC-02]],E$5, FALSE)</f>
        <v>#N/A</v>
      </c>
      <c r="F1381" s="22" t="e">
        <f>VLOOKUP($A1381,TAB_AMORTIZACAO_U[[Q_DIAS_U_PARC_TIR]:[V_FUT_U_PCPL-02]], F$5, FALSE)</f>
        <v>#N/A</v>
      </c>
      <c r="H1381" s="20">
        <f t="shared" si="112"/>
        <v>0</v>
      </c>
      <c r="I1381" s="21">
        <f t="shared" si="113"/>
        <v>0</v>
      </c>
      <c r="J1381" s="22" t="e">
        <f>VLOOKUP($A1381, TAB_JUROS_C[[DIAS_CORRIDOS]:[V_FUT_UTEIS]], J$5, FALSE)</f>
        <v>#N/A</v>
      </c>
      <c r="K1381" s="22" t="e">
        <f>VLOOKUP($A1381, TAB_CORRECAO_C[[DIAS_CORRIDOS]:[V_FUT_UTEIS]],K$5, FALSE)</f>
        <v>#N/A</v>
      </c>
      <c r="L1381" s="22" t="e">
        <f>VLOOKUP($A1381, TAB_AMORTIZACAO_C[[DIAS_CORRIDOS]:[V_FUT_UTEIS]], L$5, FALSE)</f>
        <v>#N/A</v>
      </c>
    </row>
    <row r="1382" spans="1:12" hidden="1">
      <c r="A1382" s="19">
        <f t="shared" si="114"/>
        <v>1376</v>
      </c>
      <c r="B1382" s="20">
        <f t="shared" si="110"/>
        <v>0</v>
      </c>
      <c r="C1382" s="21">
        <f t="shared" si="111"/>
        <v>0</v>
      </c>
      <c r="D1382" s="22" t="e">
        <f>VLOOKUP($A1382, TAB_JUROS_U[[Q_DIAS_U_PARC_TIR]:[V_FUT_U_JURS CENARIO]], D$5, FALSE)</f>
        <v>#N/A</v>
      </c>
      <c r="E1382" s="22" t="e">
        <f>VLOOKUP($A1382,TAB_CORRECAO_U[[Q_DIAS_U_PARC_TIR]:[V_FUT_U_CORC-02]],E$5, FALSE)</f>
        <v>#N/A</v>
      </c>
      <c r="F1382" s="22" t="e">
        <f>VLOOKUP($A1382,TAB_AMORTIZACAO_U[[Q_DIAS_U_PARC_TIR]:[V_FUT_U_PCPL-02]], F$5, FALSE)</f>
        <v>#N/A</v>
      </c>
      <c r="H1382" s="20">
        <f t="shared" si="112"/>
        <v>0</v>
      </c>
      <c r="I1382" s="21">
        <f t="shared" si="113"/>
        <v>0</v>
      </c>
      <c r="J1382" s="22" t="e">
        <f>VLOOKUP($A1382, TAB_JUROS_C[[DIAS_CORRIDOS]:[V_FUT_UTEIS]], J$5, FALSE)</f>
        <v>#N/A</v>
      </c>
      <c r="K1382" s="22" t="e">
        <f>VLOOKUP($A1382, TAB_CORRECAO_C[[DIAS_CORRIDOS]:[V_FUT_UTEIS]],K$5, FALSE)</f>
        <v>#N/A</v>
      </c>
      <c r="L1382" s="22" t="e">
        <f>VLOOKUP($A1382, TAB_AMORTIZACAO_C[[DIAS_CORRIDOS]:[V_FUT_UTEIS]], L$5, FALSE)</f>
        <v>#N/A</v>
      </c>
    </row>
    <row r="1383" spans="1:12" hidden="1">
      <c r="A1383" s="19">
        <f t="shared" si="114"/>
        <v>1377</v>
      </c>
      <c r="B1383" s="20">
        <f t="shared" si="110"/>
        <v>0</v>
      </c>
      <c r="C1383" s="21">
        <f t="shared" si="111"/>
        <v>0</v>
      </c>
      <c r="D1383" s="22" t="e">
        <f>VLOOKUP($A1383, TAB_JUROS_U[[Q_DIAS_U_PARC_TIR]:[V_FUT_U_JURS CENARIO]], D$5, FALSE)</f>
        <v>#N/A</v>
      </c>
      <c r="E1383" s="22" t="e">
        <f>VLOOKUP($A1383,TAB_CORRECAO_U[[Q_DIAS_U_PARC_TIR]:[V_FUT_U_CORC-02]],E$5, FALSE)</f>
        <v>#N/A</v>
      </c>
      <c r="F1383" s="22" t="e">
        <f>VLOOKUP($A1383,TAB_AMORTIZACAO_U[[Q_DIAS_U_PARC_TIR]:[V_FUT_U_PCPL-02]], F$5, FALSE)</f>
        <v>#N/A</v>
      </c>
      <c r="H1383" s="20">
        <f t="shared" si="112"/>
        <v>0</v>
      </c>
      <c r="I1383" s="21">
        <f t="shared" si="113"/>
        <v>0</v>
      </c>
      <c r="J1383" s="22" t="e">
        <f>VLOOKUP($A1383, TAB_JUROS_C[[DIAS_CORRIDOS]:[V_FUT_UTEIS]], J$5, FALSE)</f>
        <v>#N/A</v>
      </c>
      <c r="K1383" s="22" t="e">
        <f>VLOOKUP($A1383, TAB_CORRECAO_C[[DIAS_CORRIDOS]:[V_FUT_UTEIS]],K$5, FALSE)</f>
        <v>#N/A</v>
      </c>
      <c r="L1383" s="22" t="e">
        <f>VLOOKUP($A1383, TAB_AMORTIZACAO_C[[DIAS_CORRIDOS]:[V_FUT_UTEIS]], L$5, FALSE)</f>
        <v>#N/A</v>
      </c>
    </row>
    <row r="1384" spans="1:12" hidden="1">
      <c r="A1384" s="19">
        <f t="shared" si="114"/>
        <v>1378</v>
      </c>
      <c r="B1384" s="20">
        <f t="shared" si="110"/>
        <v>0</v>
      </c>
      <c r="C1384" s="21">
        <f t="shared" si="111"/>
        <v>0</v>
      </c>
      <c r="D1384" s="22" t="e">
        <f>VLOOKUP($A1384, TAB_JUROS_U[[Q_DIAS_U_PARC_TIR]:[V_FUT_U_JURS CENARIO]], D$5, FALSE)</f>
        <v>#N/A</v>
      </c>
      <c r="E1384" s="22" t="e">
        <f>VLOOKUP($A1384,TAB_CORRECAO_U[[Q_DIAS_U_PARC_TIR]:[V_FUT_U_CORC-02]],E$5, FALSE)</f>
        <v>#N/A</v>
      </c>
      <c r="F1384" s="22" t="e">
        <f>VLOOKUP($A1384,TAB_AMORTIZACAO_U[[Q_DIAS_U_PARC_TIR]:[V_FUT_U_PCPL-02]], F$5, FALSE)</f>
        <v>#N/A</v>
      </c>
      <c r="H1384" s="20">
        <f t="shared" si="112"/>
        <v>0</v>
      </c>
      <c r="I1384" s="21">
        <f t="shared" si="113"/>
        <v>0</v>
      </c>
      <c r="J1384" s="22" t="e">
        <f>VLOOKUP($A1384, TAB_JUROS_C[[DIAS_CORRIDOS]:[V_FUT_UTEIS]], J$5, FALSE)</f>
        <v>#N/A</v>
      </c>
      <c r="K1384" s="22" t="e">
        <f>VLOOKUP($A1384, TAB_CORRECAO_C[[DIAS_CORRIDOS]:[V_FUT_UTEIS]],K$5, FALSE)</f>
        <v>#N/A</v>
      </c>
      <c r="L1384" s="22" t="e">
        <f>VLOOKUP($A1384, TAB_AMORTIZACAO_C[[DIAS_CORRIDOS]:[V_FUT_UTEIS]], L$5, FALSE)</f>
        <v>#N/A</v>
      </c>
    </row>
    <row r="1385" spans="1:12" hidden="1">
      <c r="A1385" s="19">
        <f t="shared" si="114"/>
        <v>1379</v>
      </c>
      <c r="B1385" s="20">
        <f t="shared" si="110"/>
        <v>0</v>
      </c>
      <c r="C1385" s="21">
        <f t="shared" si="111"/>
        <v>0</v>
      </c>
      <c r="D1385" s="22" t="e">
        <f>VLOOKUP($A1385, TAB_JUROS_U[[Q_DIAS_U_PARC_TIR]:[V_FUT_U_JURS CENARIO]], D$5, FALSE)</f>
        <v>#N/A</v>
      </c>
      <c r="E1385" s="22" t="e">
        <f>VLOOKUP($A1385,TAB_CORRECAO_U[[Q_DIAS_U_PARC_TIR]:[V_FUT_U_CORC-02]],E$5, FALSE)</f>
        <v>#N/A</v>
      </c>
      <c r="F1385" s="22" t="e">
        <f>VLOOKUP($A1385,TAB_AMORTIZACAO_U[[Q_DIAS_U_PARC_TIR]:[V_FUT_U_PCPL-02]], F$5, FALSE)</f>
        <v>#N/A</v>
      </c>
      <c r="H1385" s="20">
        <f t="shared" si="112"/>
        <v>0</v>
      </c>
      <c r="I1385" s="21">
        <f t="shared" si="113"/>
        <v>0</v>
      </c>
      <c r="J1385" s="22" t="e">
        <f>VLOOKUP($A1385, TAB_JUROS_C[[DIAS_CORRIDOS]:[V_FUT_UTEIS]], J$5, FALSE)</f>
        <v>#N/A</v>
      </c>
      <c r="K1385" s="22" t="e">
        <f>VLOOKUP($A1385, TAB_CORRECAO_C[[DIAS_CORRIDOS]:[V_FUT_UTEIS]],K$5, FALSE)</f>
        <v>#N/A</v>
      </c>
      <c r="L1385" s="22" t="e">
        <f>VLOOKUP($A1385, TAB_AMORTIZACAO_C[[DIAS_CORRIDOS]:[V_FUT_UTEIS]], L$5, FALSE)</f>
        <v>#N/A</v>
      </c>
    </row>
    <row r="1386" spans="1:12" hidden="1">
      <c r="A1386" s="19">
        <f t="shared" si="114"/>
        <v>1380</v>
      </c>
      <c r="B1386" s="20">
        <f t="shared" si="110"/>
        <v>0</v>
      </c>
      <c r="C1386" s="21">
        <f t="shared" si="111"/>
        <v>0</v>
      </c>
      <c r="D1386" s="22" t="e">
        <f>VLOOKUP($A1386, TAB_JUROS_U[[Q_DIAS_U_PARC_TIR]:[V_FUT_U_JURS CENARIO]], D$5, FALSE)</f>
        <v>#N/A</v>
      </c>
      <c r="E1386" s="22" t="e">
        <f>VLOOKUP($A1386,TAB_CORRECAO_U[[Q_DIAS_U_PARC_TIR]:[V_FUT_U_CORC-02]],E$5, FALSE)</f>
        <v>#N/A</v>
      </c>
      <c r="F1386" s="22" t="e">
        <f>VLOOKUP($A1386,TAB_AMORTIZACAO_U[[Q_DIAS_U_PARC_TIR]:[V_FUT_U_PCPL-02]], F$5, FALSE)</f>
        <v>#N/A</v>
      </c>
      <c r="H1386" s="20">
        <f t="shared" si="112"/>
        <v>924.76724241014438</v>
      </c>
      <c r="I1386" s="21">
        <f t="shared" si="113"/>
        <v>924.76724241014438</v>
      </c>
      <c r="J1386" s="22">
        <f>VLOOKUP($A1386, TAB_JUROS_C[[DIAS_CORRIDOS]:[V_FUT_UTEIS]], J$5, FALSE)</f>
        <v>71.2619388767028</v>
      </c>
      <c r="K1386" s="22">
        <f>VLOOKUP($A1386, TAB_CORRECAO_C[[DIAS_CORRIDOS]:[V_FUT_UTEIS]],K$5, FALSE)</f>
        <v>433.54720712522595</v>
      </c>
      <c r="L1386" s="22">
        <f>VLOOKUP($A1386, TAB_AMORTIZACAO_C[[DIAS_CORRIDOS]:[V_FUT_UTEIS]], L$5, FALSE)</f>
        <v>419.95809640821562</v>
      </c>
    </row>
    <row r="1387" spans="1:12" hidden="1">
      <c r="A1387" s="19">
        <f t="shared" si="114"/>
        <v>1381</v>
      </c>
      <c r="B1387" s="20">
        <f t="shared" si="110"/>
        <v>0</v>
      </c>
      <c r="C1387" s="21">
        <f t="shared" si="111"/>
        <v>0</v>
      </c>
      <c r="D1387" s="22" t="e">
        <f>VLOOKUP($A1387, TAB_JUROS_U[[Q_DIAS_U_PARC_TIR]:[V_FUT_U_JURS CENARIO]], D$5, FALSE)</f>
        <v>#N/A</v>
      </c>
      <c r="E1387" s="22" t="e">
        <f>VLOOKUP($A1387,TAB_CORRECAO_U[[Q_DIAS_U_PARC_TIR]:[V_FUT_U_CORC-02]],E$5, FALSE)</f>
        <v>#N/A</v>
      </c>
      <c r="F1387" s="22" t="e">
        <f>VLOOKUP($A1387,TAB_AMORTIZACAO_U[[Q_DIAS_U_PARC_TIR]:[V_FUT_U_PCPL-02]], F$5, FALSE)</f>
        <v>#N/A</v>
      </c>
      <c r="H1387" s="20">
        <f t="shared" si="112"/>
        <v>0</v>
      </c>
      <c r="I1387" s="21">
        <f t="shared" si="113"/>
        <v>0</v>
      </c>
      <c r="J1387" s="22" t="e">
        <f>VLOOKUP($A1387, TAB_JUROS_C[[DIAS_CORRIDOS]:[V_FUT_UTEIS]], J$5, FALSE)</f>
        <v>#N/A</v>
      </c>
      <c r="K1387" s="22" t="e">
        <f>VLOOKUP($A1387, TAB_CORRECAO_C[[DIAS_CORRIDOS]:[V_FUT_UTEIS]],K$5, FALSE)</f>
        <v>#N/A</v>
      </c>
      <c r="L1387" s="22" t="e">
        <f>VLOOKUP($A1387, TAB_AMORTIZACAO_C[[DIAS_CORRIDOS]:[V_FUT_UTEIS]], L$5, FALSE)</f>
        <v>#N/A</v>
      </c>
    </row>
    <row r="1388" spans="1:12" hidden="1">
      <c r="A1388" s="19">
        <f t="shared" si="114"/>
        <v>1382</v>
      </c>
      <c r="B1388" s="20">
        <f t="shared" si="110"/>
        <v>0</v>
      </c>
      <c r="C1388" s="21">
        <f t="shared" si="111"/>
        <v>0</v>
      </c>
      <c r="D1388" s="22" t="e">
        <f>VLOOKUP($A1388, TAB_JUROS_U[[Q_DIAS_U_PARC_TIR]:[V_FUT_U_JURS CENARIO]], D$5, FALSE)</f>
        <v>#N/A</v>
      </c>
      <c r="E1388" s="22" t="e">
        <f>VLOOKUP($A1388,TAB_CORRECAO_U[[Q_DIAS_U_PARC_TIR]:[V_FUT_U_CORC-02]],E$5, FALSE)</f>
        <v>#N/A</v>
      </c>
      <c r="F1388" s="22" t="e">
        <f>VLOOKUP($A1388,TAB_AMORTIZACAO_U[[Q_DIAS_U_PARC_TIR]:[V_FUT_U_PCPL-02]], F$5, FALSE)</f>
        <v>#N/A</v>
      </c>
      <c r="H1388" s="20">
        <f t="shared" si="112"/>
        <v>0</v>
      </c>
      <c r="I1388" s="21">
        <f t="shared" si="113"/>
        <v>0</v>
      </c>
      <c r="J1388" s="22" t="e">
        <f>VLOOKUP($A1388, TAB_JUROS_C[[DIAS_CORRIDOS]:[V_FUT_UTEIS]], J$5, FALSE)</f>
        <v>#N/A</v>
      </c>
      <c r="K1388" s="22" t="e">
        <f>VLOOKUP($A1388, TAB_CORRECAO_C[[DIAS_CORRIDOS]:[V_FUT_UTEIS]],K$5, FALSE)</f>
        <v>#N/A</v>
      </c>
      <c r="L1388" s="22" t="e">
        <f>VLOOKUP($A1388, TAB_AMORTIZACAO_C[[DIAS_CORRIDOS]:[V_FUT_UTEIS]], L$5, FALSE)</f>
        <v>#N/A</v>
      </c>
    </row>
    <row r="1389" spans="1:12" hidden="1">
      <c r="A1389" s="19">
        <f t="shared" si="114"/>
        <v>1383</v>
      </c>
      <c r="B1389" s="20">
        <f t="shared" si="110"/>
        <v>0</v>
      </c>
      <c r="C1389" s="21">
        <f t="shared" si="111"/>
        <v>0</v>
      </c>
      <c r="D1389" s="22" t="e">
        <f>VLOOKUP($A1389, TAB_JUROS_U[[Q_DIAS_U_PARC_TIR]:[V_FUT_U_JURS CENARIO]], D$5, FALSE)</f>
        <v>#N/A</v>
      </c>
      <c r="E1389" s="22" t="e">
        <f>VLOOKUP($A1389,TAB_CORRECAO_U[[Q_DIAS_U_PARC_TIR]:[V_FUT_U_CORC-02]],E$5, FALSE)</f>
        <v>#N/A</v>
      </c>
      <c r="F1389" s="22" t="e">
        <f>VLOOKUP($A1389,TAB_AMORTIZACAO_U[[Q_DIAS_U_PARC_TIR]:[V_FUT_U_PCPL-02]], F$5, FALSE)</f>
        <v>#N/A</v>
      </c>
      <c r="H1389" s="20">
        <f t="shared" si="112"/>
        <v>0</v>
      </c>
      <c r="I1389" s="21">
        <f t="shared" si="113"/>
        <v>0</v>
      </c>
      <c r="J1389" s="22" t="e">
        <f>VLOOKUP($A1389, TAB_JUROS_C[[DIAS_CORRIDOS]:[V_FUT_UTEIS]], J$5, FALSE)</f>
        <v>#N/A</v>
      </c>
      <c r="K1389" s="22" t="e">
        <f>VLOOKUP($A1389, TAB_CORRECAO_C[[DIAS_CORRIDOS]:[V_FUT_UTEIS]],K$5, FALSE)</f>
        <v>#N/A</v>
      </c>
      <c r="L1389" s="22" t="e">
        <f>VLOOKUP($A1389, TAB_AMORTIZACAO_C[[DIAS_CORRIDOS]:[V_FUT_UTEIS]], L$5, FALSE)</f>
        <v>#N/A</v>
      </c>
    </row>
    <row r="1390" spans="1:12" hidden="1">
      <c r="A1390" s="19">
        <f t="shared" si="114"/>
        <v>1384</v>
      </c>
      <c r="B1390" s="20">
        <f t="shared" si="110"/>
        <v>0</v>
      </c>
      <c r="C1390" s="21">
        <f t="shared" si="111"/>
        <v>0</v>
      </c>
      <c r="D1390" s="22" t="e">
        <f>VLOOKUP($A1390, TAB_JUROS_U[[Q_DIAS_U_PARC_TIR]:[V_FUT_U_JURS CENARIO]], D$5, FALSE)</f>
        <v>#N/A</v>
      </c>
      <c r="E1390" s="22" t="e">
        <f>VLOOKUP($A1390,TAB_CORRECAO_U[[Q_DIAS_U_PARC_TIR]:[V_FUT_U_CORC-02]],E$5, FALSE)</f>
        <v>#N/A</v>
      </c>
      <c r="F1390" s="22" t="e">
        <f>VLOOKUP($A1390,TAB_AMORTIZACAO_U[[Q_DIAS_U_PARC_TIR]:[V_FUT_U_PCPL-02]], F$5, FALSE)</f>
        <v>#N/A</v>
      </c>
      <c r="H1390" s="20">
        <f t="shared" si="112"/>
        <v>0</v>
      </c>
      <c r="I1390" s="21">
        <f t="shared" si="113"/>
        <v>0</v>
      </c>
      <c r="J1390" s="22" t="e">
        <f>VLOOKUP($A1390, TAB_JUROS_C[[DIAS_CORRIDOS]:[V_FUT_UTEIS]], J$5, FALSE)</f>
        <v>#N/A</v>
      </c>
      <c r="K1390" s="22" t="e">
        <f>VLOOKUP($A1390, TAB_CORRECAO_C[[DIAS_CORRIDOS]:[V_FUT_UTEIS]],K$5, FALSE)</f>
        <v>#N/A</v>
      </c>
      <c r="L1390" s="22" t="e">
        <f>VLOOKUP($A1390, TAB_AMORTIZACAO_C[[DIAS_CORRIDOS]:[V_FUT_UTEIS]], L$5, FALSE)</f>
        <v>#N/A</v>
      </c>
    </row>
    <row r="1391" spans="1:12" hidden="1">
      <c r="A1391" s="19">
        <f t="shared" si="114"/>
        <v>1385</v>
      </c>
      <c r="B1391" s="20">
        <f t="shared" si="110"/>
        <v>0</v>
      </c>
      <c r="C1391" s="21">
        <f t="shared" si="111"/>
        <v>0</v>
      </c>
      <c r="D1391" s="22" t="e">
        <f>VLOOKUP($A1391, TAB_JUROS_U[[Q_DIAS_U_PARC_TIR]:[V_FUT_U_JURS CENARIO]], D$5, FALSE)</f>
        <v>#N/A</v>
      </c>
      <c r="E1391" s="22" t="e">
        <f>VLOOKUP($A1391,TAB_CORRECAO_U[[Q_DIAS_U_PARC_TIR]:[V_FUT_U_CORC-02]],E$5, FALSE)</f>
        <v>#N/A</v>
      </c>
      <c r="F1391" s="22" t="e">
        <f>VLOOKUP($A1391,TAB_AMORTIZACAO_U[[Q_DIAS_U_PARC_TIR]:[V_FUT_U_PCPL-02]], F$5, FALSE)</f>
        <v>#N/A</v>
      </c>
      <c r="H1391" s="20">
        <f t="shared" si="112"/>
        <v>0</v>
      </c>
      <c r="I1391" s="21">
        <f t="shared" si="113"/>
        <v>0</v>
      </c>
      <c r="J1391" s="22" t="e">
        <f>VLOOKUP($A1391, TAB_JUROS_C[[DIAS_CORRIDOS]:[V_FUT_UTEIS]], J$5, FALSE)</f>
        <v>#N/A</v>
      </c>
      <c r="K1391" s="22" t="e">
        <f>VLOOKUP($A1391, TAB_CORRECAO_C[[DIAS_CORRIDOS]:[V_FUT_UTEIS]],K$5, FALSE)</f>
        <v>#N/A</v>
      </c>
      <c r="L1391" s="22" t="e">
        <f>VLOOKUP($A1391, TAB_AMORTIZACAO_C[[DIAS_CORRIDOS]:[V_FUT_UTEIS]], L$5, FALSE)</f>
        <v>#N/A</v>
      </c>
    </row>
    <row r="1392" spans="1:12" hidden="1">
      <c r="A1392" s="19">
        <f t="shared" si="114"/>
        <v>1386</v>
      </c>
      <c r="B1392" s="20">
        <f t="shared" si="110"/>
        <v>0</v>
      </c>
      <c r="C1392" s="21">
        <f t="shared" si="111"/>
        <v>0</v>
      </c>
      <c r="D1392" s="22" t="e">
        <f>VLOOKUP($A1392, TAB_JUROS_U[[Q_DIAS_U_PARC_TIR]:[V_FUT_U_JURS CENARIO]], D$5, FALSE)</f>
        <v>#N/A</v>
      </c>
      <c r="E1392" s="22" t="e">
        <f>VLOOKUP($A1392,TAB_CORRECAO_U[[Q_DIAS_U_PARC_TIR]:[V_FUT_U_CORC-02]],E$5, FALSE)</f>
        <v>#N/A</v>
      </c>
      <c r="F1392" s="22" t="e">
        <f>VLOOKUP($A1392,TAB_AMORTIZACAO_U[[Q_DIAS_U_PARC_TIR]:[V_FUT_U_PCPL-02]], F$5, FALSE)</f>
        <v>#N/A</v>
      </c>
      <c r="H1392" s="20">
        <f t="shared" si="112"/>
        <v>0</v>
      </c>
      <c r="I1392" s="21">
        <f t="shared" si="113"/>
        <v>0</v>
      </c>
      <c r="J1392" s="22" t="e">
        <f>VLOOKUP($A1392, TAB_JUROS_C[[DIAS_CORRIDOS]:[V_FUT_UTEIS]], J$5, FALSE)</f>
        <v>#N/A</v>
      </c>
      <c r="K1392" s="22" t="e">
        <f>VLOOKUP($A1392, TAB_CORRECAO_C[[DIAS_CORRIDOS]:[V_FUT_UTEIS]],K$5, FALSE)</f>
        <v>#N/A</v>
      </c>
      <c r="L1392" s="22" t="e">
        <f>VLOOKUP($A1392, TAB_AMORTIZACAO_C[[DIAS_CORRIDOS]:[V_FUT_UTEIS]], L$5, FALSE)</f>
        <v>#N/A</v>
      </c>
    </row>
    <row r="1393" spans="1:12" hidden="1">
      <c r="A1393" s="19">
        <f t="shared" si="114"/>
        <v>1387</v>
      </c>
      <c r="B1393" s="20">
        <f t="shared" si="110"/>
        <v>0</v>
      </c>
      <c r="C1393" s="21">
        <f t="shared" si="111"/>
        <v>0</v>
      </c>
      <c r="D1393" s="22" t="e">
        <f>VLOOKUP($A1393, TAB_JUROS_U[[Q_DIAS_U_PARC_TIR]:[V_FUT_U_JURS CENARIO]], D$5, FALSE)</f>
        <v>#N/A</v>
      </c>
      <c r="E1393" s="22" t="e">
        <f>VLOOKUP($A1393,TAB_CORRECAO_U[[Q_DIAS_U_PARC_TIR]:[V_FUT_U_CORC-02]],E$5, FALSE)</f>
        <v>#N/A</v>
      </c>
      <c r="F1393" s="22" t="e">
        <f>VLOOKUP($A1393,TAB_AMORTIZACAO_U[[Q_DIAS_U_PARC_TIR]:[V_FUT_U_PCPL-02]], F$5, FALSE)</f>
        <v>#N/A</v>
      </c>
      <c r="H1393" s="20">
        <f t="shared" si="112"/>
        <v>0</v>
      </c>
      <c r="I1393" s="21">
        <f t="shared" si="113"/>
        <v>0</v>
      </c>
      <c r="J1393" s="22" t="e">
        <f>VLOOKUP($A1393, TAB_JUROS_C[[DIAS_CORRIDOS]:[V_FUT_UTEIS]], J$5, FALSE)</f>
        <v>#N/A</v>
      </c>
      <c r="K1393" s="22" t="e">
        <f>VLOOKUP($A1393, TAB_CORRECAO_C[[DIAS_CORRIDOS]:[V_FUT_UTEIS]],K$5, FALSE)</f>
        <v>#N/A</v>
      </c>
      <c r="L1393" s="22" t="e">
        <f>VLOOKUP($A1393, TAB_AMORTIZACAO_C[[DIAS_CORRIDOS]:[V_FUT_UTEIS]], L$5, FALSE)</f>
        <v>#N/A</v>
      </c>
    </row>
    <row r="1394" spans="1:12" hidden="1">
      <c r="A1394" s="19">
        <f t="shared" si="114"/>
        <v>1388</v>
      </c>
      <c r="B1394" s="20">
        <f t="shared" si="110"/>
        <v>0</v>
      </c>
      <c r="C1394" s="21">
        <f t="shared" si="111"/>
        <v>0</v>
      </c>
      <c r="D1394" s="22" t="e">
        <f>VLOOKUP($A1394, TAB_JUROS_U[[Q_DIAS_U_PARC_TIR]:[V_FUT_U_JURS CENARIO]], D$5, FALSE)</f>
        <v>#N/A</v>
      </c>
      <c r="E1394" s="22" t="e">
        <f>VLOOKUP($A1394,TAB_CORRECAO_U[[Q_DIAS_U_PARC_TIR]:[V_FUT_U_CORC-02]],E$5, FALSE)</f>
        <v>#N/A</v>
      </c>
      <c r="F1394" s="22" t="e">
        <f>VLOOKUP($A1394,TAB_AMORTIZACAO_U[[Q_DIAS_U_PARC_TIR]:[V_FUT_U_PCPL-02]], F$5, FALSE)</f>
        <v>#N/A</v>
      </c>
      <c r="H1394" s="20">
        <f t="shared" si="112"/>
        <v>0</v>
      </c>
      <c r="I1394" s="21">
        <f t="shared" si="113"/>
        <v>0</v>
      </c>
      <c r="J1394" s="22" t="e">
        <f>VLOOKUP($A1394, TAB_JUROS_C[[DIAS_CORRIDOS]:[V_FUT_UTEIS]], J$5, FALSE)</f>
        <v>#N/A</v>
      </c>
      <c r="K1394" s="22" t="e">
        <f>VLOOKUP($A1394, TAB_CORRECAO_C[[DIAS_CORRIDOS]:[V_FUT_UTEIS]],K$5, FALSE)</f>
        <v>#N/A</v>
      </c>
      <c r="L1394" s="22" t="e">
        <f>VLOOKUP($A1394, TAB_AMORTIZACAO_C[[DIAS_CORRIDOS]:[V_FUT_UTEIS]], L$5, FALSE)</f>
        <v>#N/A</v>
      </c>
    </row>
    <row r="1395" spans="1:12" hidden="1">
      <c r="A1395" s="19">
        <f t="shared" si="114"/>
        <v>1389</v>
      </c>
      <c r="B1395" s="20">
        <f t="shared" si="110"/>
        <v>0</v>
      </c>
      <c r="C1395" s="21">
        <f t="shared" si="111"/>
        <v>0</v>
      </c>
      <c r="D1395" s="22" t="e">
        <f>VLOOKUP($A1395, TAB_JUROS_U[[Q_DIAS_U_PARC_TIR]:[V_FUT_U_JURS CENARIO]], D$5, FALSE)</f>
        <v>#N/A</v>
      </c>
      <c r="E1395" s="22" t="e">
        <f>VLOOKUP($A1395,TAB_CORRECAO_U[[Q_DIAS_U_PARC_TIR]:[V_FUT_U_CORC-02]],E$5, FALSE)</f>
        <v>#N/A</v>
      </c>
      <c r="F1395" s="22" t="e">
        <f>VLOOKUP($A1395,TAB_AMORTIZACAO_U[[Q_DIAS_U_PARC_TIR]:[V_FUT_U_PCPL-02]], F$5, FALSE)</f>
        <v>#N/A</v>
      </c>
      <c r="H1395" s="20">
        <f t="shared" si="112"/>
        <v>0</v>
      </c>
      <c r="I1395" s="21">
        <f t="shared" si="113"/>
        <v>0</v>
      </c>
      <c r="J1395" s="22" t="e">
        <f>VLOOKUP($A1395, TAB_JUROS_C[[DIAS_CORRIDOS]:[V_FUT_UTEIS]], J$5, FALSE)</f>
        <v>#N/A</v>
      </c>
      <c r="K1395" s="22" t="e">
        <f>VLOOKUP($A1395, TAB_CORRECAO_C[[DIAS_CORRIDOS]:[V_FUT_UTEIS]],K$5, FALSE)</f>
        <v>#N/A</v>
      </c>
      <c r="L1395" s="22" t="e">
        <f>VLOOKUP($A1395, TAB_AMORTIZACAO_C[[DIAS_CORRIDOS]:[V_FUT_UTEIS]], L$5, FALSE)</f>
        <v>#N/A</v>
      </c>
    </row>
    <row r="1396" spans="1:12">
      <c r="A1396" s="19">
        <f t="shared" si="114"/>
        <v>1390</v>
      </c>
      <c r="B1396" s="20">
        <f t="shared" si="110"/>
        <v>586.22049012454295</v>
      </c>
      <c r="C1396" s="21">
        <f t="shared" si="111"/>
        <v>586.22049012454295</v>
      </c>
      <c r="D1396" s="22">
        <f>VLOOKUP($A1396, TAB_JUROS_U[[Q_DIAS_U_PARC_TIR]:[V_FUT_U_JURS CENARIO]], D$5, FALSE)</f>
        <v>41.164713862810956</v>
      </c>
      <c r="E1396" s="22">
        <f>VLOOKUP($A1396,TAB_CORRECAO_U[[Q_DIAS_U_PARC_TIR]:[V_FUT_U_CORC-02]],E$5, FALSE)</f>
        <v>248.8038543378774</v>
      </c>
      <c r="F1396" s="22">
        <f>VLOOKUP($A1396,TAB_AMORTIZACAO_U[[Q_DIAS_U_PARC_TIR]:[V_FUT_U_PCPL-02]], F$5, FALSE)</f>
        <v>296.25192192385452</v>
      </c>
      <c r="H1396" s="20">
        <f t="shared" si="112"/>
        <v>0</v>
      </c>
      <c r="I1396" s="21">
        <f t="shared" si="113"/>
        <v>0</v>
      </c>
      <c r="J1396" s="22" t="e">
        <f>VLOOKUP($A1396, TAB_JUROS_C[[DIAS_CORRIDOS]:[V_FUT_UTEIS]], J$5, FALSE)</f>
        <v>#N/A</v>
      </c>
      <c r="K1396" s="22" t="e">
        <f>VLOOKUP($A1396, TAB_CORRECAO_C[[DIAS_CORRIDOS]:[V_FUT_UTEIS]],K$5, FALSE)</f>
        <v>#N/A</v>
      </c>
      <c r="L1396" s="22" t="e">
        <f>VLOOKUP($A1396, TAB_AMORTIZACAO_C[[DIAS_CORRIDOS]:[V_FUT_UTEIS]], L$5, FALSE)</f>
        <v>#N/A</v>
      </c>
    </row>
    <row r="1397" spans="1:12" hidden="1">
      <c r="A1397" s="19">
        <f t="shared" si="114"/>
        <v>1391</v>
      </c>
      <c r="B1397" s="20">
        <f t="shared" si="110"/>
        <v>0</v>
      </c>
      <c r="C1397" s="21">
        <f t="shared" si="111"/>
        <v>0</v>
      </c>
      <c r="D1397" s="22" t="e">
        <f>VLOOKUP($A1397, TAB_JUROS_U[[Q_DIAS_U_PARC_TIR]:[V_FUT_U_JURS CENARIO]], D$5, FALSE)</f>
        <v>#N/A</v>
      </c>
      <c r="E1397" s="22" t="e">
        <f>VLOOKUP($A1397,TAB_CORRECAO_U[[Q_DIAS_U_PARC_TIR]:[V_FUT_U_CORC-02]],E$5, FALSE)</f>
        <v>#N/A</v>
      </c>
      <c r="F1397" s="22" t="e">
        <f>VLOOKUP($A1397,TAB_AMORTIZACAO_U[[Q_DIAS_U_PARC_TIR]:[V_FUT_U_PCPL-02]], F$5, FALSE)</f>
        <v>#N/A</v>
      </c>
      <c r="H1397" s="20">
        <f t="shared" si="112"/>
        <v>0</v>
      </c>
      <c r="I1397" s="21">
        <f t="shared" si="113"/>
        <v>0</v>
      </c>
      <c r="J1397" s="22" t="e">
        <f>VLOOKUP($A1397, TAB_JUROS_C[[DIAS_CORRIDOS]:[V_FUT_UTEIS]], J$5, FALSE)</f>
        <v>#N/A</v>
      </c>
      <c r="K1397" s="22" t="e">
        <f>VLOOKUP($A1397, TAB_CORRECAO_C[[DIAS_CORRIDOS]:[V_FUT_UTEIS]],K$5, FALSE)</f>
        <v>#N/A</v>
      </c>
      <c r="L1397" s="22" t="e">
        <f>VLOOKUP($A1397, TAB_AMORTIZACAO_C[[DIAS_CORRIDOS]:[V_FUT_UTEIS]], L$5, FALSE)</f>
        <v>#N/A</v>
      </c>
    </row>
    <row r="1398" spans="1:12" hidden="1">
      <c r="A1398" s="19">
        <f t="shared" si="114"/>
        <v>1392</v>
      </c>
      <c r="B1398" s="20">
        <f t="shared" si="110"/>
        <v>0</v>
      </c>
      <c r="C1398" s="21">
        <f t="shared" si="111"/>
        <v>0</v>
      </c>
      <c r="D1398" s="22" t="e">
        <f>VLOOKUP($A1398, TAB_JUROS_U[[Q_DIAS_U_PARC_TIR]:[V_FUT_U_JURS CENARIO]], D$5, FALSE)</f>
        <v>#N/A</v>
      </c>
      <c r="E1398" s="22" t="e">
        <f>VLOOKUP($A1398,TAB_CORRECAO_U[[Q_DIAS_U_PARC_TIR]:[V_FUT_U_CORC-02]],E$5, FALSE)</f>
        <v>#N/A</v>
      </c>
      <c r="F1398" s="22" t="e">
        <f>VLOOKUP($A1398,TAB_AMORTIZACAO_U[[Q_DIAS_U_PARC_TIR]:[V_FUT_U_PCPL-02]], F$5, FALSE)</f>
        <v>#N/A</v>
      </c>
      <c r="H1398" s="20">
        <f t="shared" si="112"/>
        <v>0</v>
      </c>
      <c r="I1398" s="21">
        <f t="shared" si="113"/>
        <v>0</v>
      </c>
      <c r="J1398" s="22" t="e">
        <f>VLOOKUP($A1398, TAB_JUROS_C[[DIAS_CORRIDOS]:[V_FUT_UTEIS]], J$5, FALSE)</f>
        <v>#N/A</v>
      </c>
      <c r="K1398" s="22" t="e">
        <f>VLOOKUP($A1398, TAB_CORRECAO_C[[DIAS_CORRIDOS]:[V_FUT_UTEIS]],K$5, FALSE)</f>
        <v>#N/A</v>
      </c>
      <c r="L1398" s="22" t="e">
        <f>VLOOKUP($A1398, TAB_AMORTIZACAO_C[[DIAS_CORRIDOS]:[V_FUT_UTEIS]], L$5, FALSE)</f>
        <v>#N/A</v>
      </c>
    </row>
    <row r="1399" spans="1:12" hidden="1">
      <c r="A1399" s="19">
        <f t="shared" si="114"/>
        <v>1393</v>
      </c>
      <c r="B1399" s="20">
        <f t="shared" si="110"/>
        <v>0</v>
      </c>
      <c r="C1399" s="21">
        <f t="shared" si="111"/>
        <v>0</v>
      </c>
      <c r="D1399" s="22" t="e">
        <f>VLOOKUP($A1399, TAB_JUROS_U[[Q_DIAS_U_PARC_TIR]:[V_FUT_U_JURS CENARIO]], D$5, FALSE)</f>
        <v>#N/A</v>
      </c>
      <c r="E1399" s="22" t="e">
        <f>VLOOKUP($A1399,TAB_CORRECAO_U[[Q_DIAS_U_PARC_TIR]:[V_FUT_U_CORC-02]],E$5, FALSE)</f>
        <v>#N/A</v>
      </c>
      <c r="F1399" s="22" t="e">
        <f>VLOOKUP($A1399,TAB_AMORTIZACAO_U[[Q_DIAS_U_PARC_TIR]:[V_FUT_U_PCPL-02]], F$5, FALSE)</f>
        <v>#N/A</v>
      </c>
      <c r="H1399" s="20">
        <f t="shared" si="112"/>
        <v>0</v>
      </c>
      <c r="I1399" s="21">
        <f t="shared" si="113"/>
        <v>0</v>
      </c>
      <c r="J1399" s="22" t="e">
        <f>VLOOKUP($A1399, TAB_JUROS_C[[DIAS_CORRIDOS]:[V_FUT_UTEIS]], J$5, FALSE)</f>
        <v>#N/A</v>
      </c>
      <c r="K1399" s="22" t="e">
        <f>VLOOKUP($A1399, TAB_CORRECAO_C[[DIAS_CORRIDOS]:[V_FUT_UTEIS]],K$5, FALSE)</f>
        <v>#N/A</v>
      </c>
      <c r="L1399" s="22" t="e">
        <f>VLOOKUP($A1399, TAB_AMORTIZACAO_C[[DIAS_CORRIDOS]:[V_FUT_UTEIS]], L$5, FALSE)</f>
        <v>#N/A</v>
      </c>
    </row>
    <row r="1400" spans="1:12" hidden="1">
      <c r="A1400" s="19">
        <f t="shared" si="114"/>
        <v>1394</v>
      </c>
      <c r="B1400" s="20">
        <f t="shared" si="110"/>
        <v>0</v>
      </c>
      <c r="C1400" s="21">
        <f t="shared" si="111"/>
        <v>0</v>
      </c>
      <c r="D1400" s="22" t="e">
        <f>VLOOKUP($A1400, TAB_JUROS_U[[Q_DIAS_U_PARC_TIR]:[V_FUT_U_JURS CENARIO]], D$5, FALSE)</f>
        <v>#N/A</v>
      </c>
      <c r="E1400" s="22" t="e">
        <f>VLOOKUP($A1400,TAB_CORRECAO_U[[Q_DIAS_U_PARC_TIR]:[V_FUT_U_CORC-02]],E$5, FALSE)</f>
        <v>#N/A</v>
      </c>
      <c r="F1400" s="22" t="e">
        <f>VLOOKUP($A1400,TAB_AMORTIZACAO_U[[Q_DIAS_U_PARC_TIR]:[V_FUT_U_PCPL-02]], F$5, FALSE)</f>
        <v>#N/A</v>
      </c>
      <c r="H1400" s="20">
        <f t="shared" si="112"/>
        <v>0</v>
      </c>
      <c r="I1400" s="21">
        <f t="shared" si="113"/>
        <v>0</v>
      </c>
      <c r="J1400" s="22" t="e">
        <f>VLOOKUP($A1400, TAB_JUROS_C[[DIAS_CORRIDOS]:[V_FUT_UTEIS]], J$5, FALSE)</f>
        <v>#N/A</v>
      </c>
      <c r="K1400" s="22" t="e">
        <f>VLOOKUP($A1400, TAB_CORRECAO_C[[DIAS_CORRIDOS]:[V_FUT_UTEIS]],K$5, FALSE)</f>
        <v>#N/A</v>
      </c>
      <c r="L1400" s="22" t="e">
        <f>VLOOKUP($A1400, TAB_AMORTIZACAO_C[[DIAS_CORRIDOS]:[V_FUT_UTEIS]], L$5, FALSE)</f>
        <v>#N/A</v>
      </c>
    </row>
    <row r="1401" spans="1:12" hidden="1">
      <c r="A1401" s="19">
        <f t="shared" si="114"/>
        <v>1395</v>
      </c>
      <c r="B1401" s="20">
        <f t="shared" si="110"/>
        <v>0</v>
      </c>
      <c r="C1401" s="21">
        <f t="shared" si="111"/>
        <v>0</v>
      </c>
      <c r="D1401" s="22" t="e">
        <f>VLOOKUP($A1401, TAB_JUROS_U[[Q_DIAS_U_PARC_TIR]:[V_FUT_U_JURS CENARIO]], D$5, FALSE)</f>
        <v>#N/A</v>
      </c>
      <c r="E1401" s="22" t="e">
        <f>VLOOKUP($A1401,TAB_CORRECAO_U[[Q_DIAS_U_PARC_TIR]:[V_FUT_U_CORC-02]],E$5, FALSE)</f>
        <v>#N/A</v>
      </c>
      <c r="F1401" s="22" t="e">
        <f>VLOOKUP($A1401,TAB_AMORTIZACAO_U[[Q_DIAS_U_PARC_TIR]:[V_FUT_U_PCPL-02]], F$5, FALSE)</f>
        <v>#N/A</v>
      </c>
      <c r="H1401" s="20">
        <f t="shared" si="112"/>
        <v>0</v>
      </c>
      <c r="I1401" s="21">
        <f t="shared" si="113"/>
        <v>0</v>
      </c>
      <c r="J1401" s="22" t="e">
        <f>VLOOKUP($A1401, TAB_JUROS_C[[DIAS_CORRIDOS]:[V_FUT_UTEIS]], J$5, FALSE)</f>
        <v>#N/A</v>
      </c>
      <c r="K1401" s="22" t="e">
        <f>VLOOKUP($A1401, TAB_CORRECAO_C[[DIAS_CORRIDOS]:[V_FUT_UTEIS]],K$5, FALSE)</f>
        <v>#N/A</v>
      </c>
      <c r="L1401" s="22" t="e">
        <f>VLOOKUP($A1401, TAB_AMORTIZACAO_C[[DIAS_CORRIDOS]:[V_FUT_UTEIS]], L$5, FALSE)</f>
        <v>#N/A</v>
      </c>
    </row>
    <row r="1402" spans="1:12" hidden="1">
      <c r="A1402" s="19">
        <f t="shared" si="114"/>
        <v>1396</v>
      </c>
      <c r="B1402" s="20">
        <f t="shared" si="110"/>
        <v>0</v>
      </c>
      <c r="C1402" s="21">
        <f t="shared" si="111"/>
        <v>0</v>
      </c>
      <c r="D1402" s="22" t="e">
        <f>VLOOKUP($A1402, TAB_JUROS_U[[Q_DIAS_U_PARC_TIR]:[V_FUT_U_JURS CENARIO]], D$5, FALSE)</f>
        <v>#N/A</v>
      </c>
      <c r="E1402" s="22" t="e">
        <f>VLOOKUP($A1402,TAB_CORRECAO_U[[Q_DIAS_U_PARC_TIR]:[V_FUT_U_CORC-02]],E$5, FALSE)</f>
        <v>#N/A</v>
      </c>
      <c r="F1402" s="22" t="e">
        <f>VLOOKUP($A1402,TAB_AMORTIZACAO_U[[Q_DIAS_U_PARC_TIR]:[V_FUT_U_PCPL-02]], F$5, FALSE)</f>
        <v>#N/A</v>
      </c>
      <c r="H1402" s="20">
        <f t="shared" si="112"/>
        <v>0</v>
      </c>
      <c r="I1402" s="21">
        <f t="shared" si="113"/>
        <v>0</v>
      </c>
      <c r="J1402" s="22" t="e">
        <f>VLOOKUP($A1402, TAB_JUROS_C[[DIAS_CORRIDOS]:[V_FUT_UTEIS]], J$5, FALSE)</f>
        <v>#N/A</v>
      </c>
      <c r="K1402" s="22" t="e">
        <f>VLOOKUP($A1402, TAB_CORRECAO_C[[DIAS_CORRIDOS]:[V_FUT_UTEIS]],K$5, FALSE)</f>
        <v>#N/A</v>
      </c>
      <c r="L1402" s="22" t="e">
        <f>VLOOKUP($A1402, TAB_AMORTIZACAO_C[[DIAS_CORRIDOS]:[V_FUT_UTEIS]], L$5, FALSE)</f>
        <v>#N/A</v>
      </c>
    </row>
    <row r="1403" spans="1:12" hidden="1">
      <c r="A1403" s="19">
        <f t="shared" si="114"/>
        <v>1397</v>
      </c>
      <c r="B1403" s="20">
        <f t="shared" si="110"/>
        <v>0</v>
      </c>
      <c r="C1403" s="21">
        <f t="shared" si="111"/>
        <v>0</v>
      </c>
      <c r="D1403" s="22" t="e">
        <f>VLOOKUP($A1403, TAB_JUROS_U[[Q_DIAS_U_PARC_TIR]:[V_FUT_U_JURS CENARIO]], D$5, FALSE)</f>
        <v>#N/A</v>
      </c>
      <c r="E1403" s="22" t="e">
        <f>VLOOKUP($A1403,TAB_CORRECAO_U[[Q_DIAS_U_PARC_TIR]:[V_FUT_U_CORC-02]],E$5, FALSE)</f>
        <v>#N/A</v>
      </c>
      <c r="F1403" s="22" t="e">
        <f>VLOOKUP($A1403,TAB_AMORTIZACAO_U[[Q_DIAS_U_PARC_TIR]:[V_FUT_U_PCPL-02]], F$5, FALSE)</f>
        <v>#N/A</v>
      </c>
      <c r="H1403" s="20">
        <f t="shared" si="112"/>
        <v>0</v>
      </c>
      <c r="I1403" s="21">
        <f t="shared" si="113"/>
        <v>0</v>
      </c>
      <c r="J1403" s="22" t="e">
        <f>VLOOKUP($A1403, TAB_JUROS_C[[DIAS_CORRIDOS]:[V_FUT_UTEIS]], J$5, FALSE)</f>
        <v>#N/A</v>
      </c>
      <c r="K1403" s="22" t="e">
        <f>VLOOKUP($A1403, TAB_CORRECAO_C[[DIAS_CORRIDOS]:[V_FUT_UTEIS]],K$5, FALSE)</f>
        <v>#N/A</v>
      </c>
      <c r="L1403" s="22" t="e">
        <f>VLOOKUP($A1403, TAB_AMORTIZACAO_C[[DIAS_CORRIDOS]:[V_FUT_UTEIS]], L$5, FALSE)</f>
        <v>#N/A</v>
      </c>
    </row>
    <row r="1404" spans="1:12" hidden="1">
      <c r="A1404" s="19">
        <f t="shared" si="114"/>
        <v>1398</v>
      </c>
      <c r="B1404" s="20">
        <f t="shared" si="110"/>
        <v>0</v>
      </c>
      <c r="C1404" s="21">
        <f t="shared" si="111"/>
        <v>0</v>
      </c>
      <c r="D1404" s="22" t="e">
        <f>VLOOKUP($A1404, TAB_JUROS_U[[Q_DIAS_U_PARC_TIR]:[V_FUT_U_JURS CENARIO]], D$5, FALSE)</f>
        <v>#N/A</v>
      </c>
      <c r="E1404" s="22" t="e">
        <f>VLOOKUP($A1404,TAB_CORRECAO_U[[Q_DIAS_U_PARC_TIR]:[V_FUT_U_CORC-02]],E$5, FALSE)</f>
        <v>#N/A</v>
      </c>
      <c r="F1404" s="22" t="e">
        <f>VLOOKUP($A1404,TAB_AMORTIZACAO_U[[Q_DIAS_U_PARC_TIR]:[V_FUT_U_PCPL-02]], F$5, FALSE)</f>
        <v>#N/A</v>
      </c>
      <c r="H1404" s="20">
        <f t="shared" si="112"/>
        <v>0</v>
      </c>
      <c r="I1404" s="21">
        <f t="shared" si="113"/>
        <v>0</v>
      </c>
      <c r="J1404" s="22" t="e">
        <f>VLOOKUP($A1404, TAB_JUROS_C[[DIAS_CORRIDOS]:[V_FUT_UTEIS]], J$5, FALSE)</f>
        <v>#N/A</v>
      </c>
      <c r="K1404" s="22" t="e">
        <f>VLOOKUP($A1404, TAB_CORRECAO_C[[DIAS_CORRIDOS]:[V_FUT_UTEIS]],K$5, FALSE)</f>
        <v>#N/A</v>
      </c>
      <c r="L1404" s="22" t="e">
        <f>VLOOKUP($A1404, TAB_AMORTIZACAO_C[[DIAS_CORRIDOS]:[V_FUT_UTEIS]], L$5, FALSE)</f>
        <v>#N/A</v>
      </c>
    </row>
    <row r="1405" spans="1:12" hidden="1">
      <c r="A1405" s="19">
        <f t="shared" si="114"/>
        <v>1399</v>
      </c>
      <c r="B1405" s="20">
        <f t="shared" si="110"/>
        <v>0</v>
      </c>
      <c r="C1405" s="21">
        <f t="shared" si="111"/>
        <v>0</v>
      </c>
      <c r="D1405" s="22" t="e">
        <f>VLOOKUP($A1405, TAB_JUROS_U[[Q_DIAS_U_PARC_TIR]:[V_FUT_U_JURS CENARIO]], D$5, FALSE)</f>
        <v>#N/A</v>
      </c>
      <c r="E1405" s="22" t="e">
        <f>VLOOKUP($A1405,TAB_CORRECAO_U[[Q_DIAS_U_PARC_TIR]:[V_FUT_U_CORC-02]],E$5, FALSE)</f>
        <v>#N/A</v>
      </c>
      <c r="F1405" s="22" t="e">
        <f>VLOOKUP($A1405,TAB_AMORTIZACAO_U[[Q_DIAS_U_PARC_TIR]:[V_FUT_U_PCPL-02]], F$5, FALSE)</f>
        <v>#N/A</v>
      </c>
      <c r="H1405" s="20">
        <f t="shared" si="112"/>
        <v>0</v>
      </c>
      <c r="I1405" s="21">
        <f t="shared" si="113"/>
        <v>0</v>
      </c>
      <c r="J1405" s="22" t="e">
        <f>VLOOKUP($A1405, TAB_JUROS_C[[DIAS_CORRIDOS]:[V_FUT_UTEIS]], J$5, FALSE)</f>
        <v>#N/A</v>
      </c>
      <c r="K1405" s="22" t="e">
        <f>VLOOKUP($A1405, TAB_CORRECAO_C[[DIAS_CORRIDOS]:[V_FUT_UTEIS]],K$5, FALSE)</f>
        <v>#N/A</v>
      </c>
      <c r="L1405" s="22" t="e">
        <f>VLOOKUP($A1405, TAB_AMORTIZACAO_C[[DIAS_CORRIDOS]:[V_FUT_UTEIS]], L$5, FALSE)</f>
        <v>#N/A</v>
      </c>
    </row>
    <row r="1406" spans="1:12" hidden="1">
      <c r="A1406" s="19">
        <f t="shared" si="114"/>
        <v>1400</v>
      </c>
      <c r="B1406" s="20">
        <f t="shared" si="110"/>
        <v>0</v>
      </c>
      <c r="C1406" s="21">
        <f t="shared" si="111"/>
        <v>0</v>
      </c>
      <c r="D1406" s="22" t="e">
        <f>VLOOKUP($A1406, TAB_JUROS_U[[Q_DIAS_U_PARC_TIR]:[V_FUT_U_JURS CENARIO]], D$5, FALSE)</f>
        <v>#N/A</v>
      </c>
      <c r="E1406" s="22" t="e">
        <f>VLOOKUP($A1406,TAB_CORRECAO_U[[Q_DIAS_U_PARC_TIR]:[V_FUT_U_CORC-02]],E$5, FALSE)</f>
        <v>#N/A</v>
      </c>
      <c r="F1406" s="22" t="e">
        <f>VLOOKUP($A1406,TAB_AMORTIZACAO_U[[Q_DIAS_U_PARC_TIR]:[V_FUT_U_PCPL-02]], F$5, FALSE)</f>
        <v>#N/A</v>
      </c>
      <c r="H1406" s="20">
        <f t="shared" si="112"/>
        <v>0</v>
      </c>
      <c r="I1406" s="21">
        <f t="shared" si="113"/>
        <v>0</v>
      </c>
      <c r="J1406" s="22" t="e">
        <f>VLOOKUP($A1406, TAB_JUROS_C[[DIAS_CORRIDOS]:[V_FUT_UTEIS]], J$5, FALSE)</f>
        <v>#N/A</v>
      </c>
      <c r="K1406" s="22" t="e">
        <f>VLOOKUP($A1406, TAB_CORRECAO_C[[DIAS_CORRIDOS]:[V_FUT_UTEIS]],K$5, FALSE)</f>
        <v>#N/A</v>
      </c>
      <c r="L1406" s="22" t="e">
        <f>VLOOKUP($A1406, TAB_AMORTIZACAO_C[[DIAS_CORRIDOS]:[V_FUT_UTEIS]], L$5, FALSE)</f>
        <v>#N/A</v>
      </c>
    </row>
    <row r="1407" spans="1:12" hidden="1">
      <c r="A1407" s="19">
        <f t="shared" si="114"/>
        <v>1401</v>
      </c>
      <c r="B1407" s="20">
        <f t="shared" si="110"/>
        <v>0</v>
      </c>
      <c r="C1407" s="21">
        <f t="shared" si="111"/>
        <v>0</v>
      </c>
      <c r="D1407" s="22" t="e">
        <f>VLOOKUP($A1407, TAB_JUROS_U[[Q_DIAS_U_PARC_TIR]:[V_FUT_U_JURS CENARIO]], D$5, FALSE)</f>
        <v>#N/A</v>
      </c>
      <c r="E1407" s="22" t="e">
        <f>VLOOKUP($A1407,TAB_CORRECAO_U[[Q_DIAS_U_PARC_TIR]:[V_FUT_U_CORC-02]],E$5, FALSE)</f>
        <v>#N/A</v>
      </c>
      <c r="F1407" s="22" t="e">
        <f>VLOOKUP($A1407,TAB_AMORTIZACAO_U[[Q_DIAS_U_PARC_TIR]:[V_FUT_U_PCPL-02]], F$5, FALSE)</f>
        <v>#N/A</v>
      </c>
      <c r="H1407" s="20">
        <f t="shared" si="112"/>
        <v>0</v>
      </c>
      <c r="I1407" s="21">
        <f t="shared" si="113"/>
        <v>0</v>
      </c>
      <c r="J1407" s="22" t="e">
        <f>VLOOKUP($A1407, TAB_JUROS_C[[DIAS_CORRIDOS]:[V_FUT_UTEIS]], J$5, FALSE)</f>
        <v>#N/A</v>
      </c>
      <c r="K1407" s="22" t="e">
        <f>VLOOKUP($A1407, TAB_CORRECAO_C[[DIAS_CORRIDOS]:[V_FUT_UTEIS]],K$5, FALSE)</f>
        <v>#N/A</v>
      </c>
      <c r="L1407" s="22" t="e">
        <f>VLOOKUP($A1407, TAB_AMORTIZACAO_C[[DIAS_CORRIDOS]:[V_FUT_UTEIS]], L$5, FALSE)</f>
        <v>#N/A</v>
      </c>
    </row>
    <row r="1408" spans="1:12" hidden="1">
      <c r="A1408" s="19">
        <f t="shared" si="114"/>
        <v>1402</v>
      </c>
      <c r="B1408" s="20">
        <f t="shared" si="110"/>
        <v>0</v>
      </c>
      <c r="C1408" s="21">
        <f t="shared" si="111"/>
        <v>0</v>
      </c>
      <c r="D1408" s="22" t="e">
        <f>VLOOKUP($A1408, TAB_JUROS_U[[Q_DIAS_U_PARC_TIR]:[V_FUT_U_JURS CENARIO]], D$5, FALSE)</f>
        <v>#N/A</v>
      </c>
      <c r="E1408" s="22" t="e">
        <f>VLOOKUP($A1408,TAB_CORRECAO_U[[Q_DIAS_U_PARC_TIR]:[V_FUT_U_CORC-02]],E$5, FALSE)</f>
        <v>#N/A</v>
      </c>
      <c r="F1408" s="22" t="e">
        <f>VLOOKUP($A1408,TAB_AMORTIZACAO_U[[Q_DIAS_U_PARC_TIR]:[V_FUT_U_PCPL-02]], F$5, FALSE)</f>
        <v>#N/A</v>
      </c>
      <c r="H1408" s="20">
        <f t="shared" si="112"/>
        <v>0</v>
      </c>
      <c r="I1408" s="21">
        <f t="shared" si="113"/>
        <v>0</v>
      </c>
      <c r="J1408" s="22" t="e">
        <f>VLOOKUP($A1408, TAB_JUROS_C[[DIAS_CORRIDOS]:[V_FUT_UTEIS]], J$5, FALSE)</f>
        <v>#N/A</v>
      </c>
      <c r="K1408" s="22" t="e">
        <f>VLOOKUP($A1408, TAB_CORRECAO_C[[DIAS_CORRIDOS]:[V_FUT_UTEIS]],K$5, FALSE)</f>
        <v>#N/A</v>
      </c>
      <c r="L1408" s="22" t="e">
        <f>VLOOKUP($A1408, TAB_AMORTIZACAO_C[[DIAS_CORRIDOS]:[V_FUT_UTEIS]], L$5, FALSE)</f>
        <v>#N/A</v>
      </c>
    </row>
    <row r="1409" spans="1:12" hidden="1">
      <c r="A1409" s="19">
        <f t="shared" si="114"/>
        <v>1403</v>
      </c>
      <c r="B1409" s="20">
        <f t="shared" si="110"/>
        <v>0</v>
      </c>
      <c r="C1409" s="21">
        <f t="shared" si="111"/>
        <v>0</v>
      </c>
      <c r="D1409" s="22" t="e">
        <f>VLOOKUP($A1409, TAB_JUROS_U[[Q_DIAS_U_PARC_TIR]:[V_FUT_U_JURS CENARIO]], D$5, FALSE)</f>
        <v>#N/A</v>
      </c>
      <c r="E1409" s="22" t="e">
        <f>VLOOKUP($A1409,TAB_CORRECAO_U[[Q_DIAS_U_PARC_TIR]:[V_FUT_U_CORC-02]],E$5, FALSE)</f>
        <v>#N/A</v>
      </c>
      <c r="F1409" s="22" t="e">
        <f>VLOOKUP($A1409,TAB_AMORTIZACAO_U[[Q_DIAS_U_PARC_TIR]:[V_FUT_U_PCPL-02]], F$5, FALSE)</f>
        <v>#N/A</v>
      </c>
      <c r="H1409" s="20">
        <f t="shared" si="112"/>
        <v>0</v>
      </c>
      <c r="I1409" s="21">
        <f t="shared" si="113"/>
        <v>0</v>
      </c>
      <c r="J1409" s="22" t="e">
        <f>VLOOKUP($A1409, TAB_JUROS_C[[DIAS_CORRIDOS]:[V_FUT_UTEIS]], J$5, FALSE)</f>
        <v>#N/A</v>
      </c>
      <c r="K1409" s="22" t="e">
        <f>VLOOKUP($A1409, TAB_CORRECAO_C[[DIAS_CORRIDOS]:[V_FUT_UTEIS]],K$5, FALSE)</f>
        <v>#N/A</v>
      </c>
      <c r="L1409" s="22" t="e">
        <f>VLOOKUP($A1409, TAB_AMORTIZACAO_C[[DIAS_CORRIDOS]:[V_FUT_UTEIS]], L$5, FALSE)</f>
        <v>#N/A</v>
      </c>
    </row>
    <row r="1410" spans="1:12" hidden="1">
      <c r="A1410" s="19">
        <f t="shared" si="114"/>
        <v>1404</v>
      </c>
      <c r="B1410" s="20">
        <f t="shared" si="110"/>
        <v>0</v>
      </c>
      <c r="C1410" s="21">
        <f t="shared" si="111"/>
        <v>0</v>
      </c>
      <c r="D1410" s="22" t="e">
        <f>VLOOKUP($A1410, TAB_JUROS_U[[Q_DIAS_U_PARC_TIR]:[V_FUT_U_JURS CENARIO]], D$5, FALSE)</f>
        <v>#N/A</v>
      </c>
      <c r="E1410" s="22" t="e">
        <f>VLOOKUP($A1410,TAB_CORRECAO_U[[Q_DIAS_U_PARC_TIR]:[V_FUT_U_CORC-02]],E$5, FALSE)</f>
        <v>#N/A</v>
      </c>
      <c r="F1410" s="22" t="e">
        <f>VLOOKUP($A1410,TAB_AMORTIZACAO_U[[Q_DIAS_U_PARC_TIR]:[V_FUT_U_PCPL-02]], F$5, FALSE)</f>
        <v>#N/A</v>
      </c>
      <c r="H1410" s="20">
        <f t="shared" si="112"/>
        <v>0</v>
      </c>
      <c r="I1410" s="21">
        <f t="shared" si="113"/>
        <v>0</v>
      </c>
      <c r="J1410" s="22" t="e">
        <f>VLOOKUP($A1410, TAB_JUROS_C[[DIAS_CORRIDOS]:[V_FUT_UTEIS]], J$5, FALSE)</f>
        <v>#N/A</v>
      </c>
      <c r="K1410" s="22" t="e">
        <f>VLOOKUP($A1410, TAB_CORRECAO_C[[DIAS_CORRIDOS]:[V_FUT_UTEIS]],K$5, FALSE)</f>
        <v>#N/A</v>
      </c>
      <c r="L1410" s="22" t="e">
        <f>VLOOKUP($A1410, TAB_AMORTIZACAO_C[[DIAS_CORRIDOS]:[V_FUT_UTEIS]], L$5, FALSE)</f>
        <v>#N/A</v>
      </c>
    </row>
    <row r="1411" spans="1:12" hidden="1">
      <c r="A1411" s="19">
        <f t="shared" si="114"/>
        <v>1405</v>
      </c>
      <c r="B1411" s="20">
        <f t="shared" si="110"/>
        <v>0</v>
      </c>
      <c r="C1411" s="21">
        <f t="shared" si="111"/>
        <v>0</v>
      </c>
      <c r="D1411" s="22" t="e">
        <f>VLOOKUP($A1411, TAB_JUROS_U[[Q_DIAS_U_PARC_TIR]:[V_FUT_U_JURS CENARIO]], D$5, FALSE)</f>
        <v>#N/A</v>
      </c>
      <c r="E1411" s="22" t="e">
        <f>VLOOKUP($A1411,TAB_CORRECAO_U[[Q_DIAS_U_PARC_TIR]:[V_FUT_U_CORC-02]],E$5, FALSE)</f>
        <v>#N/A</v>
      </c>
      <c r="F1411" s="22" t="e">
        <f>VLOOKUP($A1411,TAB_AMORTIZACAO_U[[Q_DIAS_U_PARC_TIR]:[V_FUT_U_PCPL-02]], F$5, FALSE)</f>
        <v>#N/A</v>
      </c>
      <c r="H1411" s="20">
        <f t="shared" si="112"/>
        <v>0</v>
      </c>
      <c r="I1411" s="21">
        <f t="shared" si="113"/>
        <v>0</v>
      </c>
      <c r="J1411" s="22" t="e">
        <f>VLOOKUP($A1411, TAB_JUROS_C[[DIAS_CORRIDOS]:[V_FUT_UTEIS]], J$5, FALSE)</f>
        <v>#N/A</v>
      </c>
      <c r="K1411" s="22" t="e">
        <f>VLOOKUP($A1411, TAB_CORRECAO_C[[DIAS_CORRIDOS]:[V_FUT_UTEIS]],K$5, FALSE)</f>
        <v>#N/A</v>
      </c>
      <c r="L1411" s="22" t="e">
        <f>VLOOKUP($A1411, TAB_AMORTIZACAO_C[[DIAS_CORRIDOS]:[V_FUT_UTEIS]], L$5, FALSE)</f>
        <v>#N/A</v>
      </c>
    </row>
    <row r="1412" spans="1:12" hidden="1">
      <c r="A1412" s="19">
        <f t="shared" si="114"/>
        <v>1406</v>
      </c>
      <c r="B1412" s="20">
        <f t="shared" si="110"/>
        <v>0</v>
      </c>
      <c r="C1412" s="21">
        <f t="shared" si="111"/>
        <v>0</v>
      </c>
      <c r="D1412" s="22" t="e">
        <f>VLOOKUP($A1412, TAB_JUROS_U[[Q_DIAS_U_PARC_TIR]:[V_FUT_U_JURS CENARIO]], D$5, FALSE)</f>
        <v>#N/A</v>
      </c>
      <c r="E1412" s="22" t="e">
        <f>VLOOKUP($A1412,TAB_CORRECAO_U[[Q_DIAS_U_PARC_TIR]:[V_FUT_U_CORC-02]],E$5, FALSE)</f>
        <v>#N/A</v>
      </c>
      <c r="F1412" s="22" t="e">
        <f>VLOOKUP($A1412,TAB_AMORTIZACAO_U[[Q_DIAS_U_PARC_TIR]:[V_FUT_U_PCPL-02]], F$5, FALSE)</f>
        <v>#N/A</v>
      </c>
      <c r="H1412" s="20">
        <f t="shared" si="112"/>
        <v>0</v>
      </c>
      <c r="I1412" s="21">
        <f t="shared" si="113"/>
        <v>0</v>
      </c>
      <c r="J1412" s="22" t="e">
        <f>VLOOKUP($A1412, TAB_JUROS_C[[DIAS_CORRIDOS]:[V_FUT_UTEIS]], J$5, FALSE)</f>
        <v>#N/A</v>
      </c>
      <c r="K1412" s="22" t="e">
        <f>VLOOKUP($A1412, TAB_CORRECAO_C[[DIAS_CORRIDOS]:[V_FUT_UTEIS]],K$5, FALSE)</f>
        <v>#N/A</v>
      </c>
      <c r="L1412" s="22" t="e">
        <f>VLOOKUP($A1412, TAB_AMORTIZACAO_C[[DIAS_CORRIDOS]:[V_FUT_UTEIS]], L$5, FALSE)</f>
        <v>#N/A</v>
      </c>
    </row>
    <row r="1413" spans="1:12" hidden="1">
      <c r="A1413" s="19">
        <f t="shared" si="114"/>
        <v>1407</v>
      </c>
      <c r="B1413" s="20">
        <f t="shared" si="110"/>
        <v>0</v>
      </c>
      <c r="C1413" s="21">
        <f t="shared" si="111"/>
        <v>0</v>
      </c>
      <c r="D1413" s="22" t="e">
        <f>VLOOKUP($A1413, TAB_JUROS_U[[Q_DIAS_U_PARC_TIR]:[V_FUT_U_JURS CENARIO]], D$5, FALSE)</f>
        <v>#N/A</v>
      </c>
      <c r="E1413" s="22" t="e">
        <f>VLOOKUP($A1413,TAB_CORRECAO_U[[Q_DIAS_U_PARC_TIR]:[V_FUT_U_CORC-02]],E$5, FALSE)</f>
        <v>#N/A</v>
      </c>
      <c r="F1413" s="22" t="e">
        <f>VLOOKUP($A1413,TAB_AMORTIZACAO_U[[Q_DIAS_U_PARC_TIR]:[V_FUT_U_PCPL-02]], F$5, FALSE)</f>
        <v>#N/A</v>
      </c>
      <c r="H1413" s="20">
        <f t="shared" si="112"/>
        <v>0</v>
      </c>
      <c r="I1413" s="21">
        <f t="shared" si="113"/>
        <v>0</v>
      </c>
      <c r="J1413" s="22" t="e">
        <f>VLOOKUP($A1413, TAB_JUROS_C[[DIAS_CORRIDOS]:[V_FUT_UTEIS]], J$5, FALSE)</f>
        <v>#N/A</v>
      </c>
      <c r="K1413" s="22" t="e">
        <f>VLOOKUP($A1413, TAB_CORRECAO_C[[DIAS_CORRIDOS]:[V_FUT_UTEIS]],K$5, FALSE)</f>
        <v>#N/A</v>
      </c>
      <c r="L1413" s="22" t="e">
        <f>VLOOKUP($A1413, TAB_AMORTIZACAO_C[[DIAS_CORRIDOS]:[V_FUT_UTEIS]], L$5, FALSE)</f>
        <v>#N/A</v>
      </c>
    </row>
    <row r="1414" spans="1:12" hidden="1">
      <c r="A1414" s="19">
        <f t="shared" si="114"/>
        <v>1408</v>
      </c>
      <c r="B1414" s="20">
        <f t="shared" si="110"/>
        <v>0</v>
      </c>
      <c r="C1414" s="21">
        <f t="shared" si="111"/>
        <v>0</v>
      </c>
      <c r="D1414" s="22" t="e">
        <f>VLOOKUP($A1414, TAB_JUROS_U[[Q_DIAS_U_PARC_TIR]:[V_FUT_U_JURS CENARIO]], D$5, FALSE)</f>
        <v>#N/A</v>
      </c>
      <c r="E1414" s="22" t="e">
        <f>VLOOKUP($A1414,TAB_CORRECAO_U[[Q_DIAS_U_PARC_TIR]:[V_FUT_U_CORC-02]],E$5, FALSE)</f>
        <v>#N/A</v>
      </c>
      <c r="F1414" s="22" t="e">
        <f>VLOOKUP($A1414,TAB_AMORTIZACAO_U[[Q_DIAS_U_PARC_TIR]:[V_FUT_U_PCPL-02]], F$5, FALSE)</f>
        <v>#N/A</v>
      </c>
      <c r="H1414" s="20">
        <f t="shared" si="112"/>
        <v>0</v>
      </c>
      <c r="I1414" s="21">
        <f t="shared" si="113"/>
        <v>0</v>
      </c>
      <c r="J1414" s="22" t="e">
        <f>VLOOKUP($A1414, TAB_JUROS_C[[DIAS_CORRIDOS]:[V_FUT_UTEIS]], J$5, FALSE)</f>
        <v>#N/A</v>
      </c>
      <c r="K1414" s="22" t="e">
        <f>VLOOKUP($A1414, TAB_CORRECAO_C[[DIAS_CORRIDOS]:[V_FUT_UTEIS]],K$5, FALSE)</f>
        <v>#N/A</v>
      </c>
      <c r="L1414" s="22" t="e">
        <f>VLOOKUP($A1414, TAB_AMORTIZACAO_C[[DIAS_CORRIDOS]:[V_FUT_UTEIS]], L$5, FALSE)</f>
        <v>#N/A</v>
      </c>
    </row>
    <row r="1415" spans="1:12" hidden="1">
      <c r="A1415" s="19">
        <f t="shared" si="114"/>
        <v>1409</v>
      </c>
      <c r="B1415" s="20">
        <f t="shared" si="110"/>
        <v>0</v>
      </c>
      <c r="C1415" s="21">
        <f t="shared" si="111"/>
        <v>0</v>
      </c>
      <c r="D1415" s="22" t="e">
        <f>VLOOKUP($A1415, TAB_JUROS_U[[Q_DIAS_U_PARC_TIR]:[V_FUT_U_JURS CENARIO]], D$5, FALSE)</f>
        <v>#N/A</v>
      </c>
      <c r="E1415" s="22" t="e">
        <f>VLOOKUP($A1415,TAB_CORRECAO_U[[Q_DIAS_U_PARC_TIR]:[V_FUT_U_CORC-02]],E$5, FALSE)</f>
        <v>#N/A</v>
      </c>
      <c r="F1415" s="22" t="e">
        <f>VLOOKUP($A1415,TAB_AMORTIZACAO_U[[Q_DIAS_U_PARC_TIR]:[V_FUT_U_PCPL-02]], F$5, FALSE)</f>
        <v>#N/A</v>
      </c>
      <c r="H1415" s="20">
        <f t="shared" si="112"/>
        <v>0</v>
      </c>
      <c r="I1415" s="21">
        <f t="shared" si="113"/>
        <v>0</v>
      </c>
      <c r="J1415" s="22" t="e">
        <f>VLOOKUP($A1415, TAB_JUROS_C[[DIAS_CORRIDOS]:[V_FUT_UTEIS]], J$5, FALSE)</f>
        <v>#N/A</v>
      </c>
      <c r="K1415" s="22" t="e">
        <f>VLOOKUP($A1415, TAB_CORRECAO_C[[DIAS_CORRIDOS]:[V_FUT_UTEIS]],K$5, FALSE)</f>
        <v>#N/A</v>
      </c>
      <c r="L1415" s="22" t="e">
        <f>VLOOKUP($A1415, TAB_AMORTIZACAO_C[[DIAS_CORRIDOS]:[V_FUT_UTEIS]], L$5, FALSE)</f>
        <v>#N/A</v>
      </c>
    </row>
    <row r="1416" spans="1:12" hidden="1">
      <c r="A1416" s="19">
        <f t="shared" si="114"/>
        <v>1410</v>
      </c>
      <c r="B1416" s="20">
        <f t="shared" si="110"/>
        <v>0</v>
      </c>
      <c r="C1416" s="21">
        <f t="shared" si="111"/>
        <v>0</v>
      </c>
      <c r="D1416" s="22" t="e">
        <f>VLOOKUP($A1416, TAB_JUROS_U[[Q_DIAS_U_PARC_TIR]:[V_FUT_U_JURS CENARIO]], D$5, FALSE)</f>
        <v>#N/A</v>
      </c>
      <c r="E1416" s="22" t="e">
        <f>VLOOKUP($A1416,TAB_CORRECAO_U[[Q_DIAS_U_PARC_TIR]:[V_FUT_U_CORC-02]],E$5, FALSE)</f>
        <v>#N/A</v>
      </c>
      <c r="F1416" s="22" t="e">
        <f>VLOOKUP($A1416,TAB_AMORTIZACAO_U[[Q_DIAS_U_PARC_TIR]:[V_FUT_U_PCPL-02]], F$5, FALSE)</f>
        <v>#N/A</v>
      </c>
      <c r="H1416" s="20">
        <f t="shared" si="112"/>
        <v>0</v>
      </c>
      <c r="I1416" s="21">
        <f t="shared" si="113"/>
        <v>0</v>
      </c>
      <c r="J1416" s="22" t="e">
        <f>VLOOKUP($A1416, TAB_JUROS_C[[DIAS_CORRIDOS]:[V_FUT_UTEIS]], J$5, FALSE)</f>
        <v>#N/A</v>
      </c>
      <c r="K1416" s="22" t="e">
        <f>VLOOKUP($A1416, TAB_CORRECAO_C[[DIAS_CORRIDOS]:[V_FUT_UTEIS]],K$5, FALSE)</f>
        <v>#N/A</v>
      </c>
      <c r="L1416" s="22" t="e">
        <f>VLOOKUP($A1416, TAB_AMORTIZACAO_C[[DIAS_CORRIDOS]:[V_FUT_UTEIS]], L$5, FALSE)</f>
        <v>#N/A</v>
      </c>
    </row>
    <row r="1417" spans="1:12" hidden="1">
      <c r="A1417" s="19">
        <f t="shared" si="114"/>
        <v>1411</v>
      </c>
      <c r="B1417" s="20">
        <f t="shared" ref="B1417:B1480" si="115">IF(ISERROR(C1417), 0, C1417)</f>
        <v>0</v>
      </c>
      <c r="C1417" s="21">
        <f t="shared" ref="C1417:C1480" si="116">SUMIF(D1417:F1417, "&gt;0", D1417:F1417)</f>
        <v>0</v>
      </c>
      <c r="D1417" s="22" t="e">
        <f>VLOOKUP($A1417, TAB_JUROS_U[[Q_DIAS_U_PARC_TIR]:[V_FUT_U_JURS CENARIO]], D$5, FALSE)</f>
        <v>#N/A</v>
      </c>
      <c r="E1417" s="22" t="e">
        <f>VLOOKUP($A1417,TAB_CORRECAO_U[[Q_DIAS_U_PARC_TIR]:[V_FUT_U_CORC-02]],E$5, FALSE)</f>
        <v>#N/A</v>
      </c>
      <c r="F1417" s="22" t="e">
        <f>VLOOKUP($A1417,TAB_AMORTIZACAO_U[[Q_DIAS_U_PARC_TIR]:[V_FUT_U_PCPL-02]], F$5, FALSE)</f>
        <v>#N/A</v>
      </c>
      <c r="H1417" s="20">
        <f t="shared" ref="H1417:H1480" si="117">IF(ISERROR(I1417), 0, I1417)</f>
        <v>941.43271589753749</v>
      </c>
      <c r="I1417" s="21">
        <f t="shared" ref="I1417:I1480" si="118">SUMIF(J1417:L1417, "&gt;0", J1417:L1417)</f>
        <v>941.43271589753749</v>
      </c>
      <c r="J1417" s="22">
        <f>VLOOKUP($A1417, TAB_JUROS_C[[DIAS_CORRIDOS]:[V_FUT_UTEIS]], J$5, FALSE)</f>
        <v>76.143801931813343</v>
      </c>
      <c r="K1417" s="22">
        <f>VLOOKUP($A1417, TAB_CORRECAO_C[[DIAS_CORRIDOS]:[V_FUT_UTEIS]],K$5, FALSE)</f>
        <v>463.10498835262354</v>
      </c>
      <c r="L1417" s="22">
        <f>VLOOKUP($A1417, TAB_AMORTIZACAO_C[[DIAS_CORRIDOS]:[V_FUT_UTEIS]], L$5, FALSE)</f>
        <v>402.1839256131006</v>
      </c>
    </row>
    <row r="1418" spans="1:12">
      <c r="A1418" s="19">
        <f t="shared" ref="A1418:A1481" si="119">A1417+1</f>
        <v>1412</v>
      </c>
      <c r="B1418" s="20">
        <f t="shared" si="115"/>
        <v>582.54246877036235</v>
      </c>
      <c r="C1418" s="21">
        <f t="shared" si="116"/>
        <v>582.54246877036235</v>
      </c>
      <c r="D1418" s="22">
        <f>VLOOKUP($A1418, TAB_JUROS_U[[Q_DIAS_U_PARC_TIR]:[V_FUT_U_JURS CENARIO]], D$5, FALSE)</f>
        <v>41.951405549027292</v>
      </c>
      <c r="E1418" s="22">
        <f>VLOOKUP($A1418,TAB_CORRECAO_U[[Q_DIAS_U_PARC_TIR]:[V_FUT_U_CORC-02]],E$5, FALSE)</f>
        <v>253.58626541552775</v>
      </c>
      <c r="F1418" s="22">
        <f>VLOOKUP($A1418,TAB_AMORTIZACAO_U[[Q_DIAS_U_PARC_TIR]:[V_FUT_U_PCPL-02]], F$5, FALSE)</f>
        <v>287.00479780580736</v>
      </c>
      <c r="H1418" s="20">
        <f t="shared" si="117"/>
        <v>0</v>
      </c>
      <c r="I1418" s="21">
        <f t="shared" si="118"/>
        <v>0</v>
      </c>
      <c r="J1418" s="22" t="e">
        <f>VLOOKUP($A1418, TAB_JUROS_C[[DIAS_CORRIDOS]:[V_FUT_UTEIS]], J$5, FALSE)</f>
        <v>#N/A</v>
      </c>
      <c r="K1418" s="22" t="e">
        <f>VLOOKUP($A1418, TAB_CORRECAO_C[[DIAS_CORRIDOS]:[V_FUT_UTEIS]],K$5, FALSE)</f>
        <v>#N/A</v>
      </c>
      <c r="L1418" s="22" t="e">
        <f>VLOOKUP($A1418, TAB_AMORTIZACAO_C[[DIAS_CORRIDOS]:[V_FUT_UTEIS]], L$5, FALSE)</f>
        <v>#N/A</v>
      </c>
    </row>
    <row r="1419" spans="1:12" hidden="1">
      <c r="A1419" s="19">
        <f t="shared" si="119"/>
        <v>1413</v>
      </c>
      <c r="B1419" s="20">
        <f t="shared" si="115"/>
        <v>0</v>
      </c>
      <c r="C1419" s="21">
        <f t="shared" si="116"/>
        <v>0</v>
      </c>
      <c r="D1419" s="22" t="e">
        <f>VLOOKUP($A1419, TAB_JUROS_U[[Q_DIAS_U_PARC_TIR]:[V_FUT_U_JURS CENARIO]], D$5, FALSE)</f>
        <v>#N/A</v>
      </c>
      <c r="E1419" s="22" t="e">
        <f>VLOOKUP($A1419,TAB_CORRECAO_U[[Q_DIAS_U_PARC_TIR]:[V_FUT_U_CORC-02]],E$5, FALSE)</f>
        <v>#N/A</v>
      </c>
      <c r="F1419" s="22" t="e">
        <f>VLOOKUP($A1419,TAB_AMORTIZACAO_U[[Q_DIAS_U_PARC_TIR]:[V_FUT_U_PCPL-02]], F$5, FALSE)</f>
        <v>#N/A</v>
      </c>
      <c r="H1419" s="20">
        <f t="shared" si="117"/>
        <v>0</v>
      </c>
      <c r="I1419" s="21">
        <f t="shared" si="118"/>
        <v>0</v>
      </c>
      <c r="J1419" s="22" t="e">
        <f>VLOOKUP($A1419, TAB_JUROS_C[[DIAS_CORRIDOS]:[V_FUT_UTEIS]], J$5, FALSE)</f>
        <v>#N/A</v>
      </c>
      <c r="K1419" s="22" t="e">
        <f>VLOOKUP($A1419, TAB_CORRECAO_C[[DIAS_CORRIDOS]:[V_FUT_UTEIS]],K$5, FALSE)</f>
        <v>#N/A</v>
      </c>
      <c r="L1419" s="22" t="e">
        <f>VLOOKUP($A1419, TAB_AMORTIZACAO_C[[DIAS_CORRIDOS]:[V_FUT_UTEIS]], L$5, FALSE)</f>
        <v>#N/A</v>
      </c>
    </row>
    <row r="1420" spans="1:12" hidden="1">
      <c r="A1420" s="19">
        <f t="shared" si="119"/>
        <v>1414</v>
      </c>
      <c r="B1420" s="20">
        <f t="shared" si="115"/>
        <v>0</v>
      </c>
      <c r="C1420" s="21">
        <f t="shared" si="116"/>
        <v>0</v>
      </c>
      <c r="D1420" s="22" t="e">
        <f>VLOOKUP($A1420, TAB_JUROS_U[[Q_DIAS_U_PARC_TIR]:[V_FUT_U_JURS CENARIO]], D$5, FALSE)</f>
        <v>#N/A</v>
      </c>
      <c r="E1420" s="22" t="e">
        <f>VLOOKUP($A1420,TAB_CORRECAO_U[[Q_DIAS_U_PARC_TIR]:[V_FUT_U_CORC-02]],E$5, FALSE)</f>
        <v>#N/A</v>
      </c>
      <c r="F1420" s="22" t="e">
        <f>VLOOKUP($A1420,TAB_AMORTIZACAO_U[[Q_DIAS_U_PARC_TIR]:[V_FUT_U_PCPL-02]], F$5, FALSE)</f>
        <v>#N/A</v>
      </c>
      <c r="H1420" s="20">
        <f t="shared" si="117"/>
        <v>0</v>
      </c>
      <c r="I1420" s="21">
        <f t="shared" si="118"/>
        <v>0</v>
      </c>
      <c r="J1420" s="22" t="e">
        <f>VLOOKUP($A1420, TAB_JUROS_C[[DIAS_CORRIDOS]:[V_FUT_UTEIS]], J$5, FALSE)</f>
        <v>#N/A</v>
      </c>
      <c r="K1420" s="22" t="e">
        <f>VLOOKUP($A1420, TAB_CORRECAO_C[[DIAS_CORRIDOS]:[V_FUT_UTEIS]],K$5, FALSE)</f>
        <v>#N/A</v>
      </c>
      <c r="L1420" s="22" t="e">
        <f>VLOOKUP($A1420, TAB_AMORTIZACAO_C[[DIAS_CORRIDOS]:[V_FUT_UTEIS]], L$5, FALSE)</f>
        <v>#N/A</v>
      </c>
    </row>
    <row r="1421" spans="1:12" hidden="1">
      <c r="A1421" s="19">
        <f t="shared" si="119"/>
        <v>1415</v>
      </c>
      <c r="B1421" s="20">
        <f t="shared" si="115"/>
        <v>0</v>
      </c>
      <c r="C1421" s="21">
        <f t="shared" si="116"/>
        <v>0</v>
      </c>
      <c r="D1421" s="22" t="e">
        <f>VLOOKUP($A1421, TAB_JUROS_U[[Q_DIAS_U_PARC_TIR]:[V_FUT_U_JURS CENARIO]], D$5, FALSE)</f>
        <v>#N/A</v>
      </c>
      <c r="E1421" s="22" t="e">
        <f>VLOOKUP($A1421,TAB_CORRECAO_U[[Q_DIAS_U_PARC_TIR]:[V_FUT_U_CORC-02]],E$5, FALSE)</f>
        <v>#N/A</v>
      </c>
      <c r="F1421" s="22" t="e">
        <f>VLOOKUP($A1421,TAB_AMORTIZACAO_U[[Q_DIAS_U_PARC_TIR]:[V_FUT_U_PCPL-02]], F$5, FALSE)</f>
        <v>#N/A</v>
      </c>
      <c r="H1421" s="20">
        <f t="shared" si="117"/>
        <v>0</v>
      </c>
      <c r="I1421" s="21">
        <f t="shared" si="118"/>
        <v>0</v>
      </c>
      <c r="J1421" s="22" t="e">
        <f>VLOOKUP($A1421, TAB_JUROS_C[[DIAS_CORRIDOS]:[V_FUT_UTEIS]], J$5, FALSE)</f>
        <v>#N/A</v>
      </c>
      <c r="K1421" s="22" t="e">
        <f>VLOOKUP($A1421, TAB_CORRECAO_C[[DIAS_CORRIDOS]:[V_FUT_UTEIS]],K$5, FALSE)</f>
        <v>#N/A</v>
      </c>
      <c r="L1421" s="22" t="e">
        <f>VLOOKUP($A1421, TAB_AMORTIZACAO_C[[DIAS_CORRIDOS]:[V_FUT_UTEIS]], L$5, FALSE)</f>
        <v>#N/A</v>
      </c>
    </row>
    <row r="1422" spans="1:12" hidden="1">
      <c r="A1422" s="19">
        <f t="shared" si="119"/>
        <v>1416</v>
      </c>
      <c r="B1422" s="20">
        <f t="shared" si="115"/>
        <v>0</v>
      </c>
      <c r="C1422" s="21">
        <f t="shared" si="116"/>
        <v>0</v>
      </c>
      <c r="D1422" s="22" t="e">
        <f>VLOOKUP($A1422, TAB_JUROS_U[[Q_DIAS_U_PARC_TIR]:[V_FUT_U_JURS CENARIO]], D$5, FALSE)</f>
        <v>#N/A</v>
      </c>
      <c r="E1422" s="22" t="e">
        <f>VLOOKUP($A1422,TAB_CORRECAO_U[[Q_DIAS_U_PARC_TIR]:[V_FUT_U_CORC-02]],E$5, FALSE)</f>
        <v>#N/A</v>
      </c>
      <c r="F1422" s="22" t="e">
        <f>VLOOKUP($A1422,TAB_AMORTIZACAO_U[[Q_DIAS_U_PARC_TIR]:[V_FUT_U_PCPL-02]], F$5, FALSE)</f>
        <v>#N/A</v>
      </c>
      <c r="H1422" s="20">
        <f t="shared" si="117"/>
        <v>0</v>
      </c>
      <c r="I1422" s="21">
        <f t="shared" si="118"/>
        <v>0</v>
      </c>
      <c r="J1422" s="22" t="e">
        <f>VLOOKUP($A1422, TAB_JUROS_C[[DIAS_CORRIDOS]:[V_FUT_UTEIS]], J$5, FALSE)</f>
        <v>#N/A</v>
      </c>
      <c r="K1422" s="22" t="e">
        <f>VLOOKUP($A1422, TAB_CORRECAO_C[[DIAS_CORRIDOS]:[V_FUT_UTEIS]],K$5, FALSE)</f>
        <v>#N/A</v>
      </c>
      <c r="L1422" s="22" t="e">
        <f>VLOOKUP($A1422, TAB_AMORTIZACAO_C[[DIAS_CORRIDOS]:[V_FUT_UTEIS]], L$5, FALSE)</f>
        <v>#N/A</v>
      </c>
    </row>
    <row r="1423" spans="1:12" hidden="1">
      <c r="A1423" s="19">
        <f t="shared" si="119"/>
        <v>1417</v>
      </c>
      <c r="B1423" s="20">
        <f t="shared" si="115"/>
        <v>0</v>
      </c>
      <c r="C1423" s="21">
        <f t="shared" si="116"/>
        <v>0</v>
      </c>
      <c r="D1423" s="22" t="e">
        <f>VLOOKUP($A1423, TAB_JUROS_U[[Q_DIAS_U_PARC_TIR]:[V_FUT_U_JURS CENARIO]], D$5, FALSE)</f>
        <v>#N/A</v>
      </c>
      <c r="E1423" s="22" t="e">
        <f>VLOOKUP($A1423,TAB_CORRECAO_U[[Q_DIAS_U_PARC_TIR]:[V_FUT_U_CORC-02]],E$5, FALSE)</f>
        <v>#N/A</v>
      </c>
      <c r="F1423" s="22" t="e">
        <f>VLOOKUP($A1423,TAB_AMORTIZACAO_U[[Q_DIAS_U_PARC_TIR]:[V_FUT_U_PCPL-02]], F$5, FALSE)</f>
        <v>#N/A</v>
      </c>
      <c r="H1423" s="20">
        <f t="shared" si="117"/>
        <v>0</v>
      </c>
      <c r="I1423" s="21">
        <f t="shared" si="118"/>
        <v>0</v>
      </c>
      <c r="J1423" s="22" t="e">
        <f>VLOOKUP($A1423, TAB_JUROS_C[[DIAS_CORRIDOS]:[V_FUT_UTEIS]], J$5, FALSE)</f>
        <v>#N/A</v>
      </c>
      <c r="K1423" s="22" t="e">
        <f>VLOOKUP($A1423, TAB_CORRECAO_C[[DIAS_CORRIDOS]:[V_FUT_UTEIS]],K$5, FALSE)</f>
        <v>#N/A</v>
      </c>
      <c r="L1423" s="22" t="e">
        <f>VLOOKUP($A1423, TAB_AMORTIZACAO_C[[DIAS_CORRIDOS]:[V_FUT_UTEIS]], L$5, FALSE)</f>
        <v>#N/A</v>
      </c>
    </row>
    <row r="1424" spans="1:12" hidden="1">
      <c r="A1424" s="19">
        <f t="shared" si="119"/>
        <v>1418</v>
      </c>
      <c r="B1424" s="20">
        <f t="shared" si="115"/>
        <v>0</v>
      </c>
      <c r="C1424" s="21">
        <f t="shared" si="116"/>
        <v>0</v>
      </c>
      <c r="D1424" s="22" t="e">
        <f>VLOOKUP($A1424, TAB_JUROS_U[[Q_DIAS_U_PARC_TIR]:[V_FUT_U_JURS CENARIO]], D$5, FALSE)</f>
        <v>#N/A</v>
      </c>
      <c r="E1424" s="22" t="e">
        <f>VLOOKUP($A1424,TAB_CORRECAO_U[[Q_DIAS_U_PARC_TIR]:[V_FUT_U_CORC-02]],E$5, FALSE)</f>
        <v>#N/A</v>
      </c>
      <c r="F1424" s="22" t="e">
        <f>VLOOKUP($A1424,TAB_AMORTIZACAO_U[[Q_DIAS_U_PARC_TIR]:[V_FUT_U_PCPL-02]], F$5, FALSE)</f>
        <v>#N/A</v>
      </c>
      <c r="H1424" s="20">
        <f t="shared" si="117"/>
        <v>0</v>
      </c>
      <c r="I1424" s="21">
        <f t="shared" si="118"/>
        <v>0</v>
      </c>
      <c r="J1424" s="22" t="e">
        <f>VLOOKUP($A1424, TAB_JUROS_C[[DIAS_CORRIDOS]:[V_FUT_UTEIS]], J$5, FALSE)</f>
        <v>#N/A</v>
      </c>
      <c r="K1424" s="22" t="e">
        <f>VLOOKUP($A1424, TAB_CORRECAO_C[[DIAS_CORRIDOS]:[V_FUT_UTEIS]],K$5, FALSE)</f>
        <v>#N/A</v>
      </c>
      <c r="L1424" s="22" t="e">
        <f>VLOOKUP($A1424, TAB_AMORTIZACAO_C[[DIAS_CORRIDOS]:[V_FUT_UTEIS]], L$5, FALSE)</f>
        <v>#N/A</v>
      </c>
    </row>
    <row r="1425" spans="1:12" hidden="1">
      <c r="A1425" s="19">
        <f t="shared" si="119"/>
        <v>1419</v>
      </c>
      <c r="B1425" s="20">
        <f t="shared" si="115"/>
        <v>0</v>
      </c>
      <c r="C1425" s="21">
        <f t="shared" si="116"/>
        <v>0</v>
      </c>
      <c r="D1425" s="22" t="e">
        <f>VLOOKUP($A1425, TAB_JUROS_U[[Q_DIAS_U_PARC_TIR]:[V_FUT_U_JURS CENARIO]], D$5, FALSE)</f>
        <v>#N/A</v>
      </c>
      <c r="E1425" s="22" t="e">
        <f>VLOOKUP($A1425,TAB_CORRECAO_U[[Q_DIAS_U_PARC_TIR]:[V_FUT_U_CORC-02]],E$5, FALSE)</f>
        <v>#N/A</v>
      </c>
      <c r="F1425" s="22" t="e">
        <f>VLOOKUP($A1425,TAB_AMORTIZACAO_U[[Q_DIAS_U_PARC_TIR]:[V_FUT_U_PCPL-02]], F$5, FALSE)</f>
        <v>#N/A</v>
      </c>
      <c r="H1425" s="20">
        <f t="shared" si="117"/>
        <v>0</v>
      </c>
      <c r="I1425" s="21">
        <f t="shared" si="118"/>
        <v>0</v>
      </c>
      <c r="J1425" s="22" t="e">
        <f>VLOOKUP($A1425, TAB_JUROS_C[[DIAS_CORRIDOS]:[V_FUT_UTEIS]], J$5, FALSE)</f>
        <v>#N/A</v>
      </c>
      <c r="K1425" s="22" t="e">
        <f>VLOOKUP($A1425, TAB_CORRECAO_C[[DIAS_CORRIDOS]:[V_FUT_UTEIS]],K$5, FALSE)</f>
        <v>#N/A</v>
      </c>
      <c r="L1425" s="22" t="e">
        <f>VLOOKUP($A1425, TAB_AMORTIZACAO_C[[DIAS_CORRIDOS]:[V_FUT_UTEIS]], L$5, FALSE)</f>
        <v>#N/A</v>
      </c>
    </row>
    <row r="1426" spans="1:12" hidden="1">
      <c r="A1426" s="19">
        <f t="shared" si="119"/>
        <v>1420</v>
      </c>
      <c r="B1426" s="20">
        <f t="shared" si="115"/>
        <v>0</v>
      </c>
      <c r="C1426" s="21">
        <f t="shared" si="116"/>
        <v>0</v>
      </c>
      <c r="D1426" s="22" t="e">
        <f>VLOOKUP($A1426, TAB_JUROS_U[[Q_DIAS_U_PARC_TIR]:[V_FUT_U_JURS CENARIO]], D$5, FALSE)</f>
        <v>#N/A</v>
      </c>
      <c r="E1426" s="22" t="e">
        <f>VLOOKUP($A1426,TAB_CORRECAO_U[[Q_DIAS_U_PARC_TIR]:[V_FUT_U_CORC-02]],E$5, FALSE)</f>
        <v>#N/A</v>
      </c>
      <c r="F1426" s="22" t="e">
        <f>VLOOKUP($A1426,TAB_AMORTIZACAO_U[[Q_DIAS_U_PARC_TIR]:[V_FUT_U_PCPL-02]], F$5, FALSE)</f>
        <v>#N/A</v>
      </c>
      <c r="H1426" s="20">
        <f t="shared" si="117"/>
        <v>0</v>
      </c>
      <c r="I1426" s="21">
        <f t="shared" si="118"/>
        <v>0</v>
      </c>
      <c r="J1426" s="22" t="e">
        <f>VLOOKUP($A1426, TAB_JUROS_C[[DIAS_CORRIDOS]:[V_FUT_UTEIS]], J$5, FALSE)</f>
        <v>#N/A</v>
      </c>
      <c r="K1426" s="22" t="e">
        <f>VLOOKUP($A1426, TAB_CORRECAO_C[[DIAS_CORRIDOS]:[V_FUT_UTEIS]],K$5, FALSE)</f>
        <v>#N/A</v>
      </c>
      <c r="L1426" s="22" t="e">
        <f>VLOOKUP($A1426, TAB_AMORTIZACAO_C[[DIAS_CORRIDOS]:[V_FUT_UTEIS]], L$5, FALSE)</f>
        <v>#N/A</v>
      </c>
    </row>
    <row r="1427" spans="1:12" hidden="1">
      <c r="A1427" s="19">
        <f t="shared" si="119"/>
        <v>1421</v>
      </c>
      <c r="B1427" s="20">
        <f t="shared" si="115"/>
        <v>0</v>
      </c>
      <c r="C1427" s="21">
        <f t="shared" si="116"/>
        <v>0</v>
      </c>
      <c r="D1427" s="22" t="e">
        <f>VLOOKUP($A1427, TAB_JUROS_U[[Q_DIAS_U_PARC_TIR]:[V_FUT_U_JURS CENARIO]], D$5, FALSE)</f>
        <v>#N/A</v>
      </c>
      <c r="E1427" s="22" t="e">
        <f>VLOOKUP($A1427,TAB_CORRECAO_U[[Q_DIAS_U_PARC_TIR]:[V_FUT_U_CORC-02]],E$5, FALSE)</f>
        <v>#N/A</v>
      </c>
      <c r="F1427" s="22" t="e">
        <f>VLOOKUP($A1427,TAB_AMORTIZACAO_U[[Q_DIAS_U_PARC_TIR]:[V_FUT_U_PCPL-02]], F$5, FALSE)</f>
        <v>#N/A</v>
      </c>
      <c r="H1427" s="20">
        <f t="shared" si="117"/>
        <v>0</v>
      </c>
      <c r="I1427" s="21">
        <f t="shared" si="118"/>
        <v>0</v>
      </c>
      <c r="J1427" s="22" t="e">
        <f>VLOOKUP($A1427, TAB_JUROS_C[[DIAS_CORRIDOS]:[V_FUT_UTEIS]], J$5, FALSE)</f>
        <v>#N/A</v>
      </c>
      <c r="K1427" s="22" t="e">
        <f>VLOOKUP($A1427, TAB_CORRECAO_C[[DIAS_CORRIDOS]:[V_FUT_UTEIS]],K$5, FALSE)</f>
        <v>#N/A</v>
      </c>
      <c r="L1427" s="22" t="e">
        <f>VLOOKUP($A1427, TAB_AMORTIZACAO_C[[DIAS_CORRIDOS]:[V_FUT_UTEIS]], L$5, FALSE)</f>
        <v>#N/A</v>
      </c>
    </row>
    <row r="1428" spans="1:12" hidden="1">
      <c r="A1428" s="19">
        <f t="shared" si="119"/>
        <v>1422</v>
      </c>
      <c r="B1428" s="20">
        <f t="shared" si="115"/>
        <v>0</v>
      </c>
      <c r="C1428" s="21">
        <f t="shared" si="116"/>
        <v>0</v>
      </c>
      <c r="D1428" s="22" t="e">
        <f>VLOOKUP($A1428, TAB_JUROS_U[[Q_DIAS_U_PARC_TIR]:[V_FUT_U_JURS CENARIO]], D$5, FALSE)</f>
        <v>#N/A</v>
      </c>
      <c r="E1428" s="22" t="e">
        <f>VLOOKUP($A1428,TAB_CORRECAO_U[[Q_DIAS_U_PARC_TIR]:[V_FUT_U_CORC-02]],E$5, FALSE)</f>
        <v>#N/A</v>
      </c>
      <c r="F1428" s="22" t="e">
        <f>VLOOKUP($A1428,TAB_AMORTIZACAO_U[[Q_DIAS_U_PARC_TIR]:[V_FUT_U_PCPL-02]], F$5, FALSE)</f>
        <v>#N/A</v>
      </c>
      <c r="H1428" s="20">
        <f t="shared" si="117"/>
        <v>0</v>
      </c>
      <c r="I1428" s="21">
        <f t="shared" si="118"/>
        <v>0</v>
      </c>
      <c r="J1428" s="22" t="e">
        <f>VLOOKUP($A1428, TAB_JUROS_C[[DIAS_CORRIDOS]:[V_FUT_UTEIS]], J$5, FALSE)</f>
        <v>#N/A</v>
      </c>
      <c r="K1428" s="22" t="e">
        <f>VLOOKUP($A1428, TAB_CORRECAO_C[[DIAS_CORRIDOS]:[V_FUT_UTEIS]],K$5, FALSE)</f>
        <v>#N/A</v>
      </c>
      <c r="L1428" s="22" t="e">
        <f>VLOOKUP($A1428, TAB_AMORTIZACAO_C[[DIAS_CORRIDOS]:[V_FUT_UTEIS]], L$5, FALSE)</f>
        <v>#N/A</v>
      </c>
    </row>
    <row r="1429" spans="1:12" hidden="1">
      <c r="A1429" s="19">
        <f t="shared" si="119"/>
        <v>1423</v>
      </c>
      <c r="B1429" s="20">
        <f t="shared" si="115"/>
        <v>0</v>
      </c>
      <c r="C1429" s="21">
        <f t="shared" si="116"/>
        <v>0</v>
      </c>
      <c r="D1429" s="22" t="e">
        <f>VLOOKUP($A1429, TAB_JUROS_U[[Q_DIAS_U_PARC_TIR]:[V_FUT_U_JURS CENARIO]], D$5, FALSE)</f>
        <v>#N/A</v>
      </c>
      <c r="E1429" s="22" t="e">
        <f>VLOOKUP($A1429,TAB_CORRECAO_U[[Q_DIAS_U_PARC_TIR]:[V_FUT_U_CORC-02]],E$5, FALSE)</f>
        <v>#N/A</v>
      </c>
      <c r="F1429" s="22" t="e">
        <f>VLOOKUP($A1429,TAB_AMORTIZACAO_U[[Q_DIAS_U_PARC_TIR]:[V_FUT_U_PCPL-02]], F$5, FALSE)</f>
        <v>#N/A</v>
      </c>
      <c r="H1429" s="20">
        <f t="shared" si="117"/>
        <v>0</v>
      </c>
      <c r="I1429" s="21">
        <f t="shared" si="118"/>
        <v>0</v>
      </c>
      <c r="J1429" s="22" t="e">
        <f>VLOOKUP($A1429, TAB_JUROS_C[[DIAS_CORRIDOS]:[V_FUT_UTEIS]], J$5, FALSE)</f>
        <v>#N/A</v>
      </c>
      <c r="K1429" s="22" t="e">
        <f>VLOOKUP($A1429, TAB_CORRECAO_C[[DIAS_CORRIDOS]:[V_FUT_UTEIS]],K$5, FALSE)</f>
        <v>#N/A</v>
      </c>
      <c r="L1429" s="22" t="e">
        <f>VLOOKUP($A1429, TAB_AMORTIZACAO_C[[DIAS_CORRIDOS]:[V_FUT_UTEIS]], L$5, FALSE)</f>
        <v>#N/A</v>
      </c>
    </row>
    <row r="1430" spans="1:12" hidden="1">
      <c r="A1430" s="19">
        <f t="shared" si="119"/>
        <v>1424</v>
      </c>
      <c r="B1430" s="20">
        <f t="shared" si="115"/>
        <v>0</v>
      </c>
      <c r="C1430" s="21">
        <f t="shared" si="116"/>
        <v>0</v>
      </c>
      <c r="D1430" s="22" t="e">
        <f>VLOOKUP($A1430, TAB_JUROS_U[[Q_DIAS_U_PARC_TIR]:[V_FUT_U_JURS CENARIO]], D$5, FALSE)</f>
        <v>#N/A</v>
      </c>
      <c r="E1430" s="22" t="e">
        <f>VLOOKUP($A1430,TAB_CORRECAO_U[[Q_DIAS_U_PARC_TIR]:[V_FUT_U_CORC-02]],E$5, FALSE)</f>
        <v>#N/A</v>
      </c>
      <c r="F1430" s="22" t="e">
        <f>VLOOKUP($A1430,TAB_AMORTIZACAO_U[[Q_DIAS_U_PARC_TIR]:[V_FUT_U_PCPL-02]], F$5, FALSE)</f>
        <v>#N/A</v>
      </c>
      <c r="H1430" s="20">
        <f t="shared" si="117"/>
        <v>0</v>
      </c>
      <c r="I1430" s="21">
        <f t="shared" si="118"/>
        <v>0</v>
      </c>
      <c r="J1430" s="22" t="e">
        <f>VLOOKUP($A1430, TAB_JUROS_C[[DIAS_CORRIDOS]:[V_FUT_UTEIS]], J$5, FALSE)</f>
        <v>#N/A</v>
      </c>
      <c r="K1430" s="22" t="e">
        <f>VLOOKUP($A1430, TAB_CORRECAO_C[[DIAS_CORRIDOS]:[V_FUT_UTEIS]],K$5, FALSE)</f>
        <v>#N/A</v>
      </c>
      <c r="L1430" s="22" t="e">
        <f>VLOOKUP($A1430, TAB_AMORTIZACAO_C[[DIAS_CORRIDOS]:[V_FUT_UTEIS]], L$5, FALSE)</f>
        <v>#N/A</v>
      </c>
    </row>
    <row r="1431" spans="1:12" hidden="1">
      <c r="A1431" s="19">
        <f t="shared" si="119"/>
        <v>1425</v>
      </c>
      <c r="B1431" s="20">
        <f t="shared" si="115"/>
        <v>0</v>
      </c>
      <c r="C1431" s="21">
        <f t="shared" si="116"/>
        <v>0</v>
      </c>
      <c r="D1431" s="22" t="e">
        <f>VLOOKUP($A1431, TAB_JUROS_U[[Q_DIAS_U_PARC_TIR]:[V_FUT_U_JURS CENARIO]], D$5, FALSE)</f>
        <v>#N/A</v>
      </c>
      <c r="E1431" s="22" t="e">
        <f>VLOOKUP($A1431,TAB_CORRECAO_U[[Q_DIAS_U_PARC_TIR]:[V_FUT_U_CORC-02]],E$5, FALSE)</f>
        <v>#N/A</v>
      </c>
      <c r="F1431" s="22" t="e">
        <f>VLOOKUP($A1431,TAB_AMORTIZACAO_U[[Q_DIAS_U_PARC_TIR]:[V_FUT_U_PCPL-02]], F$5, FALSE)</f>
        <v>#N/A</v>
      </c>
      <c r="H1431" s="20">
        <f t="shared" si="117"/>
        <v>0</v>
      </c>
      <c r="I1431" s="21">
        <f t="shared" si="118"/>
        <v>0</v>
      </c>
      <c r="J1431" s="22" t="e">
        <f>VLOOKUP($A1431, TAB_JUROS_C[[DIAS_CORRIDOS]:[V_FUT_UTEIS]], J$5, FALSE)</f>
        <v>#N/A</v>
      </c>
      <c r="K1431" s="22" t="e">
        <f>VLOOKUP($A1431, TAB_CORRECAO_C[[DIAS_CORRIDOS]:[V_FUT_UTEIS]],K$5, FALSE)</f>
        <v>#N/A</v>
      </c>
      <c r="L1431" s="22" t="e">
        <f>VLOOKUP($A1431, TAB_AMORTIZACAO_C[[DIAS_CORRIDOS]:[V_FUT_UTEIS]], L$5, FALSE)</f>
        <v>#N/A</v>
      </c>
    </row>
    <row r="1432" spans="1:12" hidden="1">
      <c r="A1432" s="19">
        <f t="shared" si="119"/>
        <v>1426</v>
      </c>
      <c r="B1432" s="20">
        <f t="shared" si="115"/>
        <v>0</v>
      </c>
      <c r="C1432" s="21">
        <f t="shared" si="116"/>
        <v>0</v>
      </c>
      <c r="D1432" s="22" t="e">
        <f>VLOOKUP($A1432, TAB_JUROS_U[[Q_DIAS_U_PARC_TIR]:[V_FUT_U_JURS CENARIO]], D$5, FALSE)</f>
        <v>#N/A</v>
      </c>
      <c r="E1432" s="22" t="e">
        <f>VLOOKUP($A1432,TAB_CORRECAO_U[[Q_DIAS_U_PARC_TIR]:[V_FUT_U_CORC-02]],E$5, FALSE)</f>
        <v>#N/A</v>
      </c>
      <c r="F1432" s="22" t="e">
        <f>VLOOKUP($A1432,TAB_AMORTIZACAO_U[[Q_DIAS_U_PARC_TIR]:[V_FUT_U_PCPL-02]], F$5, FALSE)</f>
        <v>#N/A</v>
      </c>
      <c r="H1432" s="20">
        <f t="shared" si="117"/>
        <v>0</v>
      </c>
      <c r="I1432" s="21">
        <f t="shared" si="118"/>
        <v>0</v>
      </c>
      <c r="J1432" s="22" t="e">
        <f>VLOOKUP($A1432, TAB_JUROS_C[[DIAS_CORRIDOS]:[V_FUT_UTEIS]], J$5, FALSE)</f>
        <v>#N/A</v>
      </c>
      <c r="K1432" s="22" t="e">
        <f>VLOOKUP($A1432, TAB_CORRECAO_C[[DIAS_CORRIDOS]:[V_FUT_UTEIS]],K$5, FALSE)</f>
        <v>#N/A</v>
      </c>
      <c r="L1432" s="22" t="e">
        <f>VLOOKUP($A1432, TAB_AMORTIZACAO_C[[DIAS_CORRIDOS]:[V_FUT_UTEIS]], L$5, FALSE)</f>
        <v>#N/A</v>
      </c>
    </row>
    <row r="1433" spans="1:12" hidden="1">
      <c r="A1433" s="19">
        <f t="shared" si="119"/>
        <v>1427</v>
      </c>
      <c r="B1433" s="20">
        <f t="shared" si="115"/>
        <v>0</v>
      </c>
      <c r="C1433" s="21">
        <f t="shared" si="116"/>
        <v>0</v>
      </c>
      <c r="D1433" s="22" t="e">
        <f>VLOOKUP($A1433, TAB_JUROS_U[[Q_DIAS_U_PARC_TIR]:[V_FUT_U_JURS CENARIO]], D$5, FALSE)</f>
        <v>#N/A</v>
      </c>
      <c r="E1433" s="22" t="e">
        <f>VLOOKUP($A1433,TAB_CORRECAO_U[[Q_DIAS_U_PARC_TIR]:[V_FUT_U_CORC-02]],E$5, FALSE)</f>
        <v>#N/A</v>
      </c>
      <c r="F1433" s="22" t="e">
        <f>VLOOKUP($A1433,TAB_AMORTIZACAO_U[[Q_DIAS_U_PARC_TIR]:[V_FUT_U_PCPL-02]], F$5, FALSE)</f>
        <v>#N/A</v>
      </c>
      <c r="H1433" s="20">
        <f t="shared" si="117"/>
        <v>0</v>
      </c>
      <c r="I1433" s="21">
        <f t="shared" si="118"/>
        <v>0</v>
      </c>
      <c r="J1433" s="22" t="e">
        <f>VLOOKUP($A1433, TAB_JUROS_C[[DIAS_CORRIDOS]:[V_FUT_UTEIS]], J$5, FALSE)</f>
        <v>#N/A</v>
      </c>
      <c r="K1433" s="22" t="e">
        <f>VLOOKUP($A1433, TAB_CORRECAO_C[[DIAS_CORRIDOS]:[V_FUT_UTEIS]],K$5, FALSE)</f>
        <v>#N/A</v>
      </c>
      <c r="L1433" s="22" t="e">
        <f>VLOOKUP($A1433, TAB_AMORTIZACAO_C[[DIAS_CORRIDOS]:[V_FUT_UTEIS]], L$5, FALSE)</f>
        <v>#N/A</v>
      </c>
    </row>
    <row r="1434" spans="1:12" hidden="1">
      <c r="A1434" s="19">
        <f t="shared" si="119"/>
        <v>1428</v>
      </c>
      <c r="B1434" s="20">
        <f t="shared" si="115"/>
        <v>0</v>
      </c>
      <c r="C1434" s="21">
        <f t="shared" si="116"/>
        <v>0</v>
      </c>
      <c r="D1434" s="22" t="e">
        <f>VLOOKUP($A1434, TAB_JUROS_U[[Q_DIAS_U_PARC_TIR]:[V_FUT_U_JURS CENARIO]], D$5, FALSE)</f>
        <v>#N/A</v>
      </c>
      <c r="E1434" s="22" t="e">
        <f>VLOOKUP($A1434,TAB_CORRECAO_U[[Q_DIAS_U_PARC_TIR]:[V_FUT_U_CORC-02]],E$5, FALSE)</f>
        <v>#N/A</v>
      </c>
      <c r="F1434" s="22" t="e">
        <f>VLOOKUP($A1434,TAB_AMORTIZACAO_U[[Q_DIAS_U_PARC_TIR]:[V_FUT_U_PCPL-02]], F$5, FALSE)</f>
        <v>#N/A</v>
      </c>
      <c r="H1434" s="20">
        <f t="shared" si="117"/>
        <v>0</v>
      </c>
      <c r="I1434" s="21">
        <f t="shared" si="118"/>
        <v>0</v>
      </c>
      <c r="J1434" s="22" t="e">
        <f>VLOOKUP($A1434, TAB_JUROS_C[[DIAS_CORRIDOS]:[V_FUT_UTEIS]], J$5, FALSE)</f>
        <v>#N/A</v>
      </c>
      <c r="K1434" s="22" t="e">
        <f>VLOOKUP($A1434, TAB_CORRECAO_C[[DIAS_CORRIDOS]:[V_FUT_UTEIS]],K$5, FALSE)</f>
        <v>#N/A</v>
      </c>
      <c r="L1434" s="22" t="e">
        <f>VLOOKUP($A1434, TAB_AMORTIZACAO_C[[DIAS_CORRIDOS]:[V_FUT_UTEIS]], L$5, FALSE)</f>
        <v>#N/A</v>
      </c>
    </row>
    <row r="1435" spans="1:12" hidden="1">
      <c r="A1435" s="19">
        <f t="shared" si="119"/>
        <v>1429</v>
      </c>
      <c r="B1435" s="20">
        <f t="shared" si="115"/>
        <v>0</v>
      </c>
      <c r="C1435" s="21">
        <f t="shared" si="116"/>
        <v>0</v>
      </c>
      <c r="D1435" s="22" t="e">
        <f>VLOOKUP($A1435, TAB_JUROS_U[[Q_DIAS_U_PARC_TIR]:[V_FUT_U_JURS CENARIO]], D$5, FALSE)</f>
        <v>#N/A</v>
      </c>
      <c r="E1435" s="22" t="e">
        <f>VLOOKUP($A1435,TAB_CORRECAO_U[[Q_DIAS_U_PARC_TIR]:[V_FUT_U_CORC-02]],E$5, FALSE)</f>
        <v>#N/A</v>
      </c>
      <c r="F1435" s="22" t="e">
        <f>VLOOKUP($A1435,TAB_AMORTIZACAO_U[[Q_DIAS_U_PARC_TIR]:[V_FUT_U_PCPL-02]], F$5, FALSE)</f>
        <v>#N/A</v>
      </c>
      <c r="H1435" s="20">
        <f t="shared" si="117"/>
        <v>0</v>
      </c>
      <c r="I1435" s="21">
        <f t="shared" si="118"/>
        <v>0</v>
      </c>
      <c r="J1435" s="22" t="e">
        <f>VLOOKUP($A1435, TAB_JUROS_C[[DIAS_CORRIDOS]:[V_FUT_UTEIS]], J$5, FALSE)</f>
        <v>#N/A</v>
      </c>
      <c r="K1435" s="22" t="e">
        <f>VLOOKUP($A1435, TAB_CORRECAO_C[[DIAS_CORRIDOS]:[V_FUT_UTEIS]],K$5, FALSE)</f>
        <v>#N/A</v>
      </c>
      <c r="L1435" s="22" t="e">
        <f>VLOOKUP($A1435, TAB_AMORTIZACAO_C[[DIAS_CORRIDOS]:[V_FUT_UTEIS]], L$5, FALSE)</f>
        <v>#N/A</v>
      </c>
    </row>
    <row r="1436" spans="1:12" hidden="1">
      <c r="A1436" s="19">
        <f t="shared" si="119"/>
        <v>1430</v>
      </c>
      <c r="B1436" s="20">
        <f t="shared" si="115"/>
        <v>0</v>
      </c>
      <c r="C1436" s="21">
        <f t="shared" si="116"/>
        <v>0</v>
      </c>
      <c r="D1436" s="22" t="e">
        <f>VLOOKUP($A1436, TAB_JUROS_U[[Q_DIAS_U_PARC_TIR]:[V_FUT_U_JURS CENARIO]], D$5, FALSE)</f>
        <v>#N/A</v>
      </c>
      <c r="E1436" s="22" t="e">
        <f>VLOOKUP($A1436,TAB_CORRECAO_U[[Q_DIAS_U_PARC_TIR]:[V_FUT_U_CORC-02]],E$5, FALSE)</f>
        <v>#N/A</v>
      </c>
      <c r="F1436" s="22" t="e">
        <f>VLOOKUP($A1436,TAB_AMORTIZACAO_U[[Q_DIAS_U_PARC_TIR]:[V_FUT_U_PCPL-02]], F$5, FALSE)</f>
        <v>#N/A</v>
      </c>
      <c r="H1436" s="20">
        <f t="shared" si="117"/>
        <v>0</v>
      </c>
      <c r="I1436" s="21">
        <f t="shared" si="118"/>
        <v>0</v>
      </c>
      <c r="J1436" s="22" t="e">
        <f>VLOOKUP($A1436, TAB_JUROS_C[[DIAS_CORRIDOS]:[V_FUT_UTEIS]], J$5, FALSE)</f>
        <v>#N/A</v>
      </c>
      <c r="K1436" s="22" t="e">
        <f>VLOOKUP($A1436, TAB_CORRECAO_C[[DIAS_CORRIDOS]:[V_FUT_UTEIS]],K$5, FALSE)</f>
        <v>#N/A</v>
      </c>
      <c r="L1436" s="22" t="e">
        <f>VLOOKUP($A1436, TAB_AMORTIZACAO_C[[DIAS_CORRIDOS]:[V_FUT_UTEIS]], L$5, FALSE)</f>
        <v>#N/A</v>
      </c>
    </row>
    <row r="1437" spans="1:12" hidden="1">
      <c r="A1437" s="19">
        <f t="shared" si="119"/>
        <v>1431</v>
      </c>
      <c r="B1437" s="20">
        <f t="shared" si="115"/>
        <v>0</v>
      </c>
      <c r="C1437" s="21">
        <f t="shared" si="116"/>
        <v>0</v>
      </c>
      <c r="D1437" s="22" t="e">
        <f>VLOOKUP($A1437, TAB_JUROS_U[[Q_DIAS_U_PARC_TIR]:[V_FUT_U_JURS CENARIO]], D$5, FALSE)</f>
        <v>#N/A</v>
      </c>
      <c r="E1437" s="22" t="e">
        <f>VLOOKUP($A1437,TAB_CORRECAO_U[[Q_DIAS_U_PARC_TIR]:[V_FUT_U_CORC-02]],E$5, FALSE)</f>
        <v>#N/A</v>
      </c>
      <c r="F1437" s="22" t="e">
        <f>VLOOKUP($A1437,TAB_AMORTIZACAO_U[[Q_DIAS_U_PARC_TIR]:[V_FUT_U_PCPL-02]], F$5, FALSE)</f>
        <v>#N/A</v>
      </c>
      <c r="H1437" s="20">
        <f t="shared" si="117"/>
        <v>0</v>
      </c>
      <c r="I1437" s="21">
        <f t="shared" si="118"/>
        <v>0</v>
      </c>
      <c r="J1437" s="22" t="e">
        <f>VLOOKUP($A1437, TAB_JUROS_C[[DIAS_CORRIDOS]:[V_FUT_UTEIS]], J$5, FALSE)</f>
        <v>#N/A</v>
      </c>
      <c r="K1437" s="22" t="e">
        <f>VLOOKUP($A1437, TAB_CORRECAO_C[[DIAS_CORRIDOS]:[V_FUT_UTEIS]],K$5, FALSE)</f>
        <v>#N/A</v>
      </c>
      <c r="L1437" s="22" t="e">
        <f>VLOOKUP($A1437, TAB_AMORTIZACAO_C[[DIAS_CORRIDOS]:[V_FUT_UTEIS]], L$5, FALSE)</f>
        <v>#N/A</v>
      </c>
    </row>
    <row r="1438" spans="1:12" hidden="1">
      <c r="A1438" s="19">
        <f t="shared" si="119"/>
        <v>1432</v>
      </c>
      <c r="B1438" s="20">
        <f t="shared" si="115"/>
        <v>0</v>
      </c>
      <c r="C1438" s="21">
        <f t="shared" si="116"/>
        <v>0</v>
      </c>
      <c r="D1438" s="22" t="e">
        <f>VLOOKUP($A1438, TAB_JUROS_U[[Q_DIAS_U_PARC_TIR]:[V_FUT_U_JURS CENARIO]], D$5, FALSE)</f>
        <v>#N/A</v>
      </c>
      <c r="E1438" s="22" t="e">
        <f>VLOOKUP($A1438,TAB_CORRECAO_U[[Q_DIAS_U_PARC_TIR]:[V_FUT_U_CORC-02]],E$5, FALSE)</f>
        <v>#N/A</v>
      </c>
      <c r="F1438" s="22" t="e">
        <f>VLOOKUP($A1438,TAB_AMORTIZACAO_U[[Q_DIAS_U_PARC_TIR]:[V_FUT_U_PCPL-02]], F$5, FALSE)</f>
        <v>#N/A</v>
      </c>
      <c r="H1438" s="20">
        <f t="shared" si="117"/>
        <v>0</v>
      </c>
      <c r="I1438" s="21">
        <f t="shared" si="118"/>
        <v>0</v>
      </c>
      <c r="J1438" s="22" t="e">
        <f>VLOOKUP($A1438, TAB_JUROS_C[[DIAS_CORRIDOS]:[V_FUT_UTEIS]], J$5, FALSE)</f>
        <v>#N/A</v>
      </c>
      <c r="K1438" s="22" t="e">
        <f>VLOOKUP($A1438, TAB_CORRECAO_C[[DIAS_CORRIDOS]:[V_FUT_UTEIS]],K$5, FALSE)</f>
        <v>#N/A</v>
      </c>
      <c r="L1438" s="22" t="e">
        <f>VLOOKUP($A1438, TAB_AMORTIZACAO_C[[DIAS_CORRIDOS]:[V_FUT_UTEIS]], L$5, FALSE)</f>
        <v>#N/A</v>
      </c>
    </row>
    <row r="1439" spans="1:12" hidden="1">
      <c r="A1439" s="19">
        <f t="shared" si="119"/>
        <v>1433</v>
      </c>
      <c r="B1439" s="20">
        <f t="shared" si="115"/>
        <v>0</v>
      </c>
      <c r="C1439" s="21">
        <f t="shared" si="116"/>
        <v>0</v>
      </c>
      <c r="D1439" s="22" t="e">
        <f>VLOOKUP($A1439, TAB_JUROS_U[[Q_DIAS_U_PARC_TIR]:[V_FUT_U_JURS CENARIO]], D$5, FALSE)</f>
        <v>#N/A</v>
      </c>
      <c r="E1439" s="22" t="e">
        <f>VLOOKUP($A1439,TAB_CORRECAO_U[[Q_DIAS_U_PARC_TIR]:[V_FUT_U_CORC-02]],E$5, FALSE)</f>
        <v>#N/A</v>
      </c>
      <c r="F1439" s="22" t="e">
        <f>VLOOKUP($A1439,TAB_AMORTIZACAO_U[[Q_DIAS_U_PARC_TIR]:[V_FUT_U_PCPL-02]], F$5, FALSE)</f>
        <v>#N/A</v>
      </c>
      <c r="H1439" s="20">
        <f t="shared" si="117"/>
        <v>0</v>
      </c>
      <c r="I1439" s="21">
        <f t="shared" si="118"/>
        <v>0</v>
      </c>
      <c r="J1439" s="22" t="e">
        <f>VLOOKUP($A1439, TAB_JUROS_C[[DIAS_CORRIDOS]:[V_FUT_UTEIS]], J$5, FALSE)</f>
        <v>#N/A</v>
      </c>
      <c r="K1439" s="22" t="e">
        <f>VLOOKUP($A1439, TAB_CORRECAO_C[[DIAS_CORRIDOS]:[V_FUT_UTEIS]],K$5, FALSE)</f>
        <v>#N/A</v>
      </c>
      <c r="L1439" s="22" t="e">
        <f>VLOOKUP($A1439, TAB_AMORTIZACAO_C[[DIAS_CORRIDOS]:[V_FUT_UTEIS]], L$5, FALSE)</f>
        <v>#N/A</v>
      </c>
    </row>
    <row r="1440" spans="1:12">
      <c r="A1440" s="19">
        <f t="shared" si="119"/>
        <v>1434</v>
      </c>
      <c r="B1440" s="20">
        <f t="shared" si="115"/>
        <v>567.07877982528009</v>
      </c>
      <c r="C1440" s="21">
        <f t="shared" si="116"/>
        <v>567.07877982528009</v>
      </c>
      <c r="D1440" s="22">
        <f>VLOOKUP($A1440, TAB_JUROS_U[[Q_DIAS_U_PARC_TIR]:[V_FUT_U_JURS CENARIO]], D$5, FALSE)</f>
        <v>40.785410759446307</v>
      </c>
      <c r="E1440" s="22">
        <f>VLOOKUP($A1440,TAB_CORRECAO_U[[Q_DIAS_U_PARC_TIR]:[V_FUT_U_CORC-02]],E$5, FALSE)</f>
        <v>246.53810432737887</v>
      </c>
      <c r="F1440" s="22">
        <f>VLOOKUP($A1440,TAB_AMORTIZACAO_U[[Q_DIAS_U_PARC_TIR]:[V_FUT_U_PCPL-02]], F$5, FALSE)</f>
        <v>279.75526473845491</v>
      </c>
      <c r="H1440" s="20">
        <f t="shared" si="117"/>
        <v>0</v>
      </c>
      <c r="I1440" s="21">
        <f t="shared" si="118"/>
        <v>0</v>
      </c>
      <c r="J1440" s="22" t="e">
        <f>VLOOKUP($A1440, TAB_JUROS_C[[DIAS_CORRIDOS]:[V_FUT_UTEIS]], J$5, FALSE)</f>
        <v>#N/A</v>
      </c>
      <c r="K1440" s="22" t="e">
        <f>VLOOKUP($A1440, TAB_CORRECAO_C[[DIAS_CORRIDOS]:[V_FUT_UTEIS]],K$5, FALSE)</f>
        <v>#N/A</v>
      </c>
      <c r="L1440" s="22" t="e">
        <f>VLOOKUP($A1440, TAB_AMORTIZACAO_C[[DIAS_CORRIDOS]:[V_FUT_UTEIS]], L$5, FALSE)</f>
        <v>#N/A</v>
      </c>
    </row>
    <row r="1441" spans="1:12" hidden="1">
      <c r="A1441" s="19">
        <f t="shared" si="119"/>
        <v>1435</v>
      </c>
      <c r="B1441" s="20">
        <f t="shared" si="115"/>
        <v>0</v>
      </c>
      <c r="C1441" s="21">
        <f t="shared" si="116"/>
        <v>0</v>
      </c>
      <c r="D1441" s="22" t="e">
        <f>VLOOKUP($A1441, TAB_JUROS_U[[Q_DIAS_U_PARC_TIR]:[V_FUT_U_JURS CENARIO]], D$5, FALSE)</f>
        <v>#N/A</v>
      </c>
      <c r="E1441" s="22" t="e">
        <f>VLOOKUP($A1441,TAB_CORRECAO_U[[Q_DIAS_U_PARC_TIR]:[V_FUT_U_CORC-02]],E$5, FALSE)</f>
        <v>#N/A</v>
      </c>
      <c r="F1441" s="22" t="e">
        <f>VLOOKUP($A1441,TAB_AMORTIZACAO_U[[Q_DIAS_U_PARC_TIR]:[V_FUT_U_PCPL-02]], F$5, FALSE)</f>
        <v>#N/A</v>
      </c>
      <c r="H1441" s="20">
        <f t="shared" si="117"/>
        <v>0</v>
      </c>
      <c r="I1441" s="21">
        <f t="shared" si="118"/>
        <v>0</v>
      </c>
      <c r="J1441" s="22" t="e">
        <f>VLOOKUP($A1441, TAB_JUROS_C[[DIAS_CORRIDOS]:[V_FUT_UTEIS]], J$5, FALSE)</f>
        <v>#N/A</v>
      </c>
      <c r="K1441" s="22" t="e">
        <f>VLOOKUP($A1441, TAB_CORRECAO_C[[DIAS_CORRIDOS]:[V_FUT_UTEIS]],K$5, FALSE)</f>
        <v>#N/A</v>
      </c>
      <c r="L1441" s="22" t="e">
        <f>VLOOKUP($A1441, TAB_AMORTIZACAO_C[[DIAS_CORRIDOS]:[V_FUT_UTEIS]], L$5, FALSE)</f>
        <v>#N/A</v>
      </c>
    </row>
    <row r="1442" spans="1:12" hidden="1">
      <c r="A1442" s="19">
        <f t="shared" si="119"/>
        <v>1436</v>
      </c>
      <c r="B1442" s="20">
        <f t="shared" si="115"/>
        <v>0</v>
      </c>
      <c r="C1442" s="21">
        <f t="shared" si="116"/>
        <v>0</v>
      </c>
      <c r="D1442" s="22" t="e">
        <f>VLOOKUP($A1442, TAB_JUROS_U[[Q_DIAS_U_PARC_TIR]:[V_FUT_U_JURS CENARIO]], D$5, FALSE)</f>
        <v>#N/A</v>
      </c>
      <c r="E1442" s="22" t="e">
        <f>VLOOKUP($A1442,TAB_CORRECAO_U[[Q_DIAS_U_PARC_TIR]:[V_FUT_U_CORC-02]],E$5, FALSE)</f>
        <v>#N/A</v>
      </c>
      <c r="F1442" s="22" t="e">
        <f>VLOOKUP($A1442,TAB_AMORTIZACAO_U[[Q_DIAS_U_PARC_TIR]:[V_FUT_U_PCPL-02]], F$5, FALSE)</f>
        <v>#N/A</v>
      </c>
      <c r="H1442" s="20">
        <f t="shared" si="117"/>
        <v>0</v>
      </c>
      <c r="I1442" s="21">
        <f t="shared" si="118"/>
        <v>0</v>
      </c>
      <c r="J1442" s="22" t="e">
        <f>VLOOKUP($A1442, TAB_JUROS_C[[DIAS_CORRIDOS]:[V_FUT_UTEIS]], J$5, FALSE)</f>
        <v>#N/A</v>
      </c>
      <c r="K1442" s="22" t="e">
        <f>VLOOKUP($A1442, TAB_CORRECAO_C[[DIAS_CORRIDOS]:[V_FUT_UTEIS]],K$5, FALSE)</f>
        <v>#N/A</v>
      </c>
      <c r="L1442" s="22" t="e">
        <f>VLOOKUP($A1442, TAB_AMORTIZACAO_C[[DIAS_CORRIDOS]:[V_FUT_UTEIS]], L$5, FALSE)</f>
        <v>#N/A</v>
      </c>
    </row>
    <row r="1443" spans="1:12" hidden="1">
      <c r="A1443" s="19">
        <f t="shared" si="119"/>
        <v>1437</v>
      </c>
      <c r="B1443" s="20">
        <f t="shared" si="115"/>
        <v>0</v>
      </c>
      <c r="C1443" s="21">
        <f t="shared" si="116"/>
        <v>0</v>
      </c>
      <c r="D1443" s="22" t="e">
        <f>VLOOKUP($A1443, TAB_JUROS_U[[Q_DIAS_U_PARC_TIR]:[V_FUT_U_JURS CENARIO]], D$5, FALSE)</f>
        <v>#N/A</v>
      </c>
      <c r="E1443" s="22" t="e">
        <f>VLOOKUP($A1443,TAB_CORRECAO_U[[Q_DIAS_U_PARC_TIR]:[V_FUT_U_CORC-02]],E$5, FALSE)</f>
        <v>#N/A</v>
      </c>
      <c r="F1443" s="22" t="e">
        <f>VLOOKUP($A1443,TAB_AMORTIZACAO_U[[Q_DIAS_U_PARC_TIR]:[V_FUT_U_PCPL-02]], F$5, FALSE)</f>
        <v>#N/A</v>
      </c>
      <c r="H1443" s="20">
        <f t="shared" si="117"/>
        <v>0</v>
      </c>
      <c r="I1443" s="21">
        <f t="shared" si="118"/>
        <v>0</v>
      </c>
      <c r="J1443" s="22" t="e">
        <f>VLOOKUP($A1443, TAB_JUROS_C[[DIAS_CORRIDOS]:[V_FUT_UTEIS]], J$5, FALSE)</f>
        <v>#N/A</v>
      </c>
      <c r="K1443" s="22" t="e">
        <f>VLOOKUP($A1443, TAB_CORRECAO_C[[DIAS_CORRIDOS]:[V_FUT_UTEIS]],K$5, FALSE)</f>
        <v>#N/A</v>
      </c>
      <c r="L1443" s="22" t="e">
        <f>VLOOKUP($A1443, TAB_AMORTIZACAO_C[[DIAS_CORRIDOS]:[V_FUT_UTEIS]], L$5, FALSE)</f>
        <v>#N/A</v>
      </c>
    </row>
    <row r="1444" spans="1:12" hidden="1">
      <c r="A1444" s="19">
        <f t="shared" si="119"/>
        <v>1438</v>
      </c>
      <c r="B1444" s="20">
        <f t="shared" si="115"/>
        <v>0</v>
      </c>
      <c r="C1444" s="21">
        <f t="shared" si="116"/>
        <v>0</v>
      </c>
      <c r="D1444" s="22" t="e">
        <f>VLOOKUP($A1444, TAB_JUROS_U[[Q_DIAS_U_PARC_TIR]:[V_FUT_U_JURS CENARIO]], D$5, FALSE)</f>
        <v>#N/A</v>
      </c>
      <c r="E1444" s="22" t="e">
        <f>VLOOKUP($A1444,TAB_CORRECAO_U[[Q_DIAS_U_PARC_TIR]:[V_FUT_U_CORC-02]],E$5, FALSE)</f>
        <v>#N/A</v>
      </c>
      <c r="F1444" s="22" t="e">
        <f>VLOOKUP($A1444,TAB_AMORTIZACAO_U[[Q_DIAS_U_PARC_TIR]:[V_FUT_U_PCPL-02]], F$5, FALSE)</f>
        <v>#N/A</v>
      </c>
      <c r="H1444" s="20">
        <f t="shared" si="117"/>
        <v>0</v>
      </c>
      <c r="I1444" s="21">
        <f t="shared" si="118"/>
        <v>0</v>
      </c>
      <c r="J1444" s="22" t="e">
        <f>VLOOKUP($A1444, TAB_JUROS_C[[DIAS_CORRIDOS]:[V_FUT_UTEIS]], J$5, FALSE)</f>
        <v>#N/A</v>
      </c>
      <c r="K1444" s="22" t="e">
        <f>VLOOKUP($A1444, TAB_CORRECAO_C[[DIAS_CORRIDOS]:[V_FUT_UTEIS]],K$5, FALSE)</f>
        <v>#N/A</v>
      </c>
      <c r="L1444" s="22" t="e">
        <f>VLOOKUP($A1444, TAB_AMORTIZACAO_C[[DIAS_CORRIDOS]:[V_FUT_UTEIS]], L$5, FALSE)</f>
        <v>#N/A</v>
      </c>
    </row>
    <row r="1445" spans="1:12" hidden="1">
      <c r="A1445" s="19">
        <f t="shared" si="119"/>
        <v>1439</v>
      </c>
      <c r="B1445" s="20">
        <f t="shared" si="115"/>
        <v>0</v>
      </c>
      <c r="C1445" s="21">
        <f t="shared" si="116"/>
        <v>0</v>
      </c>
      <c r="D1445" s="22" t="e">
        <f>VLOOKUP($A1445, TAB_JUROS_U[[Q_DIAS_U_PARC_TIR]:[V_FUT_U_JURS CENARIO]], D$5, FALSE)</f>
        <v>#N/A</v>
      </c>
      <c r="E1445" s="22" t="e">
        <f>VLOOKUP($A1445,TAB_CORRECAO_U[[Q_DIAS_U_PARC_TIR]:[V_FUT_U_CORC-02]],E$5, FALSE)</f>
        <v>#N/A</v>
      </c>
      <c r="F1445" s="22" t="e">
        <f>VLOOKUP($A1445,TAB_AMORTIZACAO_U[[Q_DIAS_U_PARC_TIR]:[V_FUT_U_PCPL-02]], F$5, FALSE)</f>
        <v>#N/A</v>
      </c>
      <c r="H1445" s="20">
        <f t="shared" si="117"/>
        <v>0</v>
      </c>
      <c r="I1445" s="21">
        <f t="shared" si="118"/>
        <v>0</v>
      </c>
      <c r="J1445" s="22" t="e">
        <f>VLOOKUP($A1445, TAB_JUROS_C[[DIAS_CORRIDOS]:[V_FUT_UTEIS]], J$5, FALSE)</f>
        <v>#N/A</v>
      </c>
      <c r="K1445" s="22" t="e">
        <f>VLOOKUP($A1445, TAB_CORRECAO_C[[DIAS_CORRIDOS]:[V_FUT_UTEIS]],K$5, FALSE)</f>
        <v>#N/A</v>
      </c>
      <c r="L1445" s="22" t="e">
        <f>VLOOKUP($A1445, TAB_AMORTIZACAO_C[[DIAS_CORRIDOS]:[V_FUT_UTEIS]], L$5, FALSE)</f>
        <v>#N/A</v>
      </c>
    </row>
    <row r="1446" spans="1:12" hidden="1">
      <c r="A1446" s="19">
        <f t="shared" si="119"/>
        <v>1440</v>
      </c>
      <c r="B1446" s="20">
        <f t="shared" si="115"/>
        <v>0</v>
      </c>
      <c r="C1446" s="21">
        <f t="shared" si="116"/>
        <v>0</v>
      </c>
      <c r="D1446" s="22" t="e">
        <f>VLOOKUP($A1446, TAB_JUROS_U[[Q_DIAS_U_PARC_TIR]:[V_FUT_U_JURS CENARIO]], D$5, FALSE)</f>
        <v>#N/A</v>
      </c>
      <c r="E1446" s="22" t="e">
        <f>VLOOKUP($A1446,TAB_CORRECAO_U[[Q_DIAS_U_PARC_TIR]:[V_FUT_U_CORC-02]],E$5, FALSE)</f>
        <v>#N/A</v>
      </c>
      <c r="F1446" s="22" t="e">
        <f>VLOOKUP($A1446,TAB_AMORTIZACAO_U[[Q_DIAS_U_PARC_TIR]:[V_FUT_U_PCPL-02]], F$5, FALSE)</f>
        <v>#N/A</v>
      </c>
      <c r="H1446" s="20">
        <f t="shared" si="117"/>
        <v>0</v>
      </c>
      <c r="I1446" s="21">
        <f t="shared" si="118"/>
        <v>0</v>
      </c>
      <c r="J1446" s="22" t="e">
        <f>VLOOKUP($A1446, TAB_JUROS_C[[DIAS_CORRIDOS]:[V_FUT_UTEIS]], J$5, FALSE)</f>
        <v>#N/A</v>
      </c>
      <c r="K1446" s="22" t="e">
        <f>VLOOKUP($A1446, TAB_CORRECAO_C[[DIAS_CORRIDOS]:[V_FUT_UTEIS]],K$5, FALSE)</f>
        <v>#N/A</v>
      </c>
      <c r="L1446" s="22" t="e">
        <f>VLOOKUP($A1446, TAB_AMORTIZACAO_C[[DIAS_CORRIDOS]:[V_FUT_UTEIS]], L$5, FALSE)</f>
        <v>#N/A</v>
      </c>
    </row>
    <row r="1447" spans="1:12" hidden="1">
      <c r="A1447" s="19">
        <f t="shared" si="119"/>
        <v>1441</v>
      </c>
      <c r="B1447" s="20">
        <f t="shared" si="115"/>
        <v>0</v>
      </c>
      <c r="C1447" s="21">
        <f t="shared" si="116"/>
        <v>0</v>
      </c>
      <c r="D1447" s="22" t="e">
        <f>VLOOKUP($A1447, TAB_JUROS_U[[Q_DIAS_U_PARC_TIR]:[V_FUT_U_JURS CENARIO]], D$5, FALSE)</f>
        <v>#N/A</v>
      </c>
      <c r="E1447" s="22" t="e">
        <f>VLOOKUP($A1447,TAB_CORRECAO_U[[Q_DIAS_U_PARC_TIR]:[V_FUT_U_CORC-02]],E$5, FALSE)</f>
        <v>#N/A</v>
      </c>
      <c r="F1447" s="22" t="e">
        <f>VLOOKUP($A1447,TAB_AMORTIZACAO_U[[Q_DIAS_U_PARC_TIR]:[V_FUT_U_PCPL-02]], F$5, FALSE)</f>
        <v>#N/A</v>
      </c>
      <c r="H1447" s="20">
        <f t="shared" si="117"/>
        <v>0</v>
      </c>
      <c r="I1447" s="21">
        <f t="shared" si="118"/>
        <v>0</v>
      </c>
      <c r="J1447" s="22" t="e">
        <f>VLOOKUP($A1447, TAB_JUROS_C[[DIAS_CORRIDOS]:[V_FUT_UTEIS]], J$5, FALSE)</f>
        <v>#N/A</v>
      </c>
      <c r="K1447" s="22" t="e">
        <f>VLOOKUP($A1447, TAB_CORRECAO_C[[DIAS_CORRIDOS]:[V_FUT_UTEIS]],K$5, FALSE)</f>
        <v>#N/A</v>
      </c>
      <c r="L1447" s="22" t="e">
        <f>VLOOKUP($A1447, TAB_AMORTIZACAO_C[[DIAS_CORRIDOS]:[V_FUT_UTEIS]], L$5, FALSE)</f>
        <v>#N/A</v>
      </c>
    </row>
    <row r="1448" spans="1:12" hidden="1">
      <c r="A1448" s="19">
        <f t="shared" si="119"/>
        <v>1442</v>
      </c>
      <c r="B1448" s="20">
        <f t="shared" si="115"/>
        <v>0</v>
      </c>
      <c r="C1448" s="21">
        <f t="shared" si="116"/>
        <v>0</v>
      </c>
      <c r="D1448" s="22" t="e">
        <f>VLOOKUP($A1448, TAB_JUROS_U[[Q_DIAS_U_PARC_TIR]:[V_FUT_U_JURS CENARIO]], D$5, FALSE)</f>
        <v>#N/A</v>
      </c>
      <c r="E1448" s="22" t="e">
        <f>VLOOKUP($A1448,TAB_CORRECAO_U[[Q_DIAS_U_PARC_TIR]:[V_FUT_U_CORC-02]],E$5, FALSE)</f>
        <v>#N/A</v>
      </c>
      <c r="F1448" s="22" t="e">
        <f>VLOOKUP($A1448,TAB_AMORTIZACAO_U[[Q_DIAS_U_PARC_TIR]:[V_FUT_U_PCPL-02]], F$5, FALSE)</f>
        <v>#N/A</v>
      </c>
      <c r="H1448" s="20">
        <f t="shared" si="117"/>
        <v>859.68445877945931</v>
      </c>
      <c r="I1448" s="21">
        <f t="shared" si="118"/>
        <v>859.68445877945931</v>
      </c>
      <c r="J1448" s="22">
        <f>VLOOKUP($A1448, TAB_JUROS_C[[DIAS_CORRIDOS]:[V_FUT_UTEIS]], J$5, FALSE)</f>
        <v>64.514280843053712</v>
      </c>
      <c r="K1448" s="22">
        <f>VLOOKUP($A1448, TAB_CORRECAO_C[[DIAS_CORRIDOS]:[V_FUT_UTEIS]],K$5, FALSE)</f>
        <v>392.78542505607709</v>
      </c>
      <c r="L1448" s="22">
        <f>VLOOKUP($A1448, TAB_AMORTIZACAO_C[[DIAS_CORRIDOS]:[V_FUT_UTEIS]], L$5, FALSE)</f>
        <v>402.38475288032851</v>
      </c>
    </row>
    <row r="1449" spans="1:12" hidden="1">
      <c r="A1449" s="19">
        <f t="shared" si="119"/>
        <v>1443</v>
      </c>
      <c r="B1449" s="20">
        <f t="shared" si="115"/>
        <v>0</v>
      </c>
      <c r="C1449" s="21">
        <f t="shared" si="116"/>
        <v>0</v>
      </c>
      <c r="D1449" s="22" t="e">
        <f>VLOOKUP($A1449, TAB_JUROS_U[[Q_DIAS_U_PARC_TIR]:[V_FUT_U_JURS CENARIO]], D$5, FALSE)</f>
        <v>#N/A</v>
      </c>
      <c r="E1449" s="22" t="e">
        <f>VLOOKUP($A1449,TAB_CORRECAO_U[[Q_DIAS_U_PARC_TIR]:[V_FUT_U_CORC-02]],E$5, FALSE)</f>
        <v>#N/A</v>
      </c>
      <c r="F1449" s="22" t="e">
        <f>VLOOKUP($A1449,TAB_AMORTIZACAO_U[[Q_DIAS_U_PARC_TIR]:[V_FUT_U_PCPL-02]], F$5, FALSE)</f>
        <v>#N/A</v>
      </c>
      <c r="H1449" s="20">
        <f t="shared" si="117"/>
        <v>0</v>
      </c>
      <c r="I1449" s="21">
        <f t="shared" si="118"/>
        <v>0</v>
      </c>
      <c r="J1449" s="22" t="e">
        <f>VLOOKUP($A1449, TAB_JUROS_C[[DIAS_CORRIDOS]:[V_FUT_UTEIS]], J$5, FALSE)</f>
        <v>#N/A</v>
      </c>
      <c r="K1449" s="22" t="e">
        <f>VLOOKUP($A1449, TAB_CORRECAO_C[[DIAS_CORRIDOS]:[V_FUT_UTEIS]],K$5, FALSE)</f>
        <v>#N/A</v>
      </c>
      <c r="L1449" s="22" t="e">
        <f>VLOOKUP($A1449, TAB_AMORTIZACAO_C[[DIAS_CORRIDOS]:[V_FUT_UTEIS]], L$5, FALSE)</f>
        <v>#N/A</v>
      </c>
    </row>
    <row r="1450" spans="1:12" hidden="1">
      <c r="A1450" s="19">
        <f t="shared" si="119"/>
        <v>1444</v>
      </c>
      <c r="B1450" s="20">
        <f t="shared" si="115"/>
        <v>0</v>
      </c>
      <c r="C1450" s="21">
        <f t="shared" si="116"/>
        <v>0</v>
      </c>
      <c r="D1450" s="22" t="e">
        <f>VLOOKUP($A1450, TAB_JUROS_U[[Q_DIAS_U_PARC_TIR]:[V_FUT_U_JURS CENARIO]], D$5, FALSE)</f>
        <v>#N/A</v>
      </c>
      <c r="E1450" s="22" t="e">
        <f>VLOOKUP($A1450,TAB_CORRECAO_U[[Q_DIAS_U_PARC_TIR]:[V_FUT_U_CORC-02]],E$5, FALSE)</f>
        <v>#N/A</v>
      </c>
      <c r="F1450" s="22" t="e">
        <f>VLOOKUP($A1450,TAB_AMORTIZACAO_U[[Q_DIAS_U_PARC_TIR]:[V_FUT_U_PCPL-02]], F$5, FALSE)</f>
        <v>#N/A</v>
      </c>
      <c r="H1450" s="20">
        <f t="shared" si="117"/>
        <v>0</v>
      </c>
      <c r="I1450" s="21">
        <f t="shared" si="118"/>
        <v>0</v>
      </c>
      <c r="J1450" s="22" t="e">
        <f>VLOOKUP($A1450, TAB_JUROS_C[[DIAS_CORRIDOS]:[V_FUT_UTEIS]], J$5, FALSE)</f>
        <v>#N/A</v>
      </c>
      <c r="K1450" s="22" t="e">
        <f>VLOOKUP($A1450, TAB_CORRECAO_C[[DIAS_CORRIDOS]:[V_FUT_UTEIS]],K$5, FALSE)</f>
        <v>#N/A</v>
      </c>
      <c r="L1450" s="22" t="e">
        <f>VLOOKUP($A1450, TAB_AMORTIZACAO_C[[DIAS_CORRIDOS]:[V_FUT_UTEIS]], L$5, FALSE)</f>
        <v>#N/A</v>
      </c>
    </row>
    <row r="1451" spans="1:12" hidden="1">
      <c r="A1451" s="19">
        <f t="shared" si="119"/>
        <v>1445</v>
      </c>
      <c r="B1451" s="20">
        <f t="shared" si="115"/>
        <v>0</v>
      </c>
      <c r="C1451" s="21">
        <f t="shared" si="116"/>
        <v>0</v>
      </c>
      <c r="D1451" s="22" t="e">
        <f>VLOOKUP($A1451, TAB_JUROS_U[[Q_DIAS_U_PARC_TIR]:[V_FUT_U_JURS CENARIO]], D$5, FALSE)</f>
        <v>#N/A</v>
      </c>
      <c r="E1451" s="22" t="e">
        <f>VLOOKUP($A1451,TAB_CORRECAO_U[[Q_DIAS_U_PARC_TIR]:[V_FUT_U_CORC-02]],E$5, FALSE)</f>
        <v>#N/A</v>
      </c>
      <c r="F1451" s="22" t="e">
        <f>VLOOKUP($A1451,TAB_AMORTIZACAO_U[[Q_DIAS_U_PARC_TIR]:[V_FUT_U_PCPL-02]], F$5, FALSE)</f>
        <v>#N/A</v>
      </c>
      <c r="H1451" s="20">
        <f t="shared" si="117"/>
        <v>0</v>
      </c>
      <c r="I1451" s="21">
        <f t="shared" si="118"/>
        <v>0</v>
      </c>
      <c r="J1451" s="22" t="e">
        <f>VLOOKUP($A1451, TAB_JUROS_C[[DIAS_CORRIDOS]:[V_FUT_UTEIS]], J$5, FALSE)</f>
        <v>#N/A</v>
      </c>
      <c r="K1451" s="22" t="e">
        <f>VLOOKUP($A1451, TAB_CORRECAO_C[[DIAS_CORRIDOS]:[V_FUT_UTEIS]],K$5, FALSE)</f>
        <v>#N/A</v>
      </c>
      <c r="L1451" s="22" t="e">
        <f>VLOOKUP($A1451, TAB_AMORTIZACAO_C[[DIAS_CORRIDOS]:[V_FUT_UTEIS]], L$5, FALSE)</f>
        <v>#N/A</v>
      </c>
    </row>
    <row r="1452" spans="1:12" hidden="1">
      <c r="A1452" s="19">
        <f t="shared" si="119"/>
        <v>1446</v>
      </c>
      <c r="B1452" s="20">
        <f t="shared" si="115"/>
        <v>0</v>
      </c>
      <c r="C1452" s="21">
        <f t="shared" si="116"/>
        <v>0</v>
      </c>
      <c r="D1452" s="22" t="e">
        <f>VLOOKUP($A1452, TAB_JUROS_U[[Q_DIAS_U_PARC_TIR]:[V_FUT_U_JURS CENARIO]], D$5, FALSE)</f>
        <v>#N/A</v>
      </c>
      <c r="E1452" s="22" t="e">
        <f>VLOOKUP($A1452,TAB_CORRECAO_U[[Q_DIAS_U_PARC_TIR]:[V_FUT_U_CORC-02]],E$5, FALSE)</f>
        <v>#N/A</v>
      </c>
      <c r="F1452" s="22" t="e">
        <f>VLOOKUP($A1452,TAB_AMORTIZACAO_U[[Q_DIAS_U_PARC_TIR]:[V_FUT_U_PCPL-02]], F$5, FALSE)</f>
        <v>#N/A</v>
      </c>
      <c r="H1452" s="20">
        <f t="shared" si="117"/>
        <v>0</v>
      </c>
      <c r="I1452" s="21">
        <f t="shared" si="118"/>
        <v>0</v>
      </c>
      <c r="J1452" s="22" t="e">
        <f>VLOOKUP($A1452, TAB_JUROS_C[[DIAS_CORRIDOS]:[V_FUT_UTEIS]], J$5, FALSE)</f>
        <v>#N/A</v>
      </c>
      <c r="K1452" s="22" t="e">
        <f>VLOOKUP($A1452, TAB_CORRECAO_C[[DIAS_CORRIDOS]:[V_FUT_UTEIS]],K$5, FALSE)</f>
        <v>#N/A</v>
      </c>
      <c r="L1452" s="22" t="e">
        <f>VLOOKUP($A1452, TAB_AMORTIZACAO_C[[DIAS_CORRIDOS]:[V_FUT_UTEIS]], L$5, FALSE)</f>
        <v>#N/A</v>
      </c>
    </row>
    <row r="1453" spans="1:12" hidden="1">
      <c r="A1453" s="19">
        <f t="shared" si="119"/>
        <v>1447</v>
      </c>
      <c r="B1453" s="20">
        <f t="shared" si="115"/>
        <v>0</v>
      </c>
      <c r="C1453" s="21">
        <f t="shared" si="116"/>
        <v>0</v>
      </c>
      <c r="D1453" s="22" t="e">
        <f>VLOOKUP($A1453, TAB_JUROS_U[[Q_DIAS_U_PARC_TIR]:[V_FUT_U_JURS CENARIO]], D$5, FALSE)</f>
        <v>#N/A</v>
      </c>
      <c r="E1453" s="22" t="e">
        <f>VLOOKUP($A1453,TAB_CORRECAO_U[[Q_DIAS_U_PARC_TIR]:[V_FUT_U_CORC-02]],E$5, FALSE)</f>
        <v>#N/A</v>
      </c>
      <c r="F1453" s="22" t="e">
        <f>VLOOKUP($A1453,TAB_AMORTIZACAO_U[[Q_DIAS_U_PARC_TIR]:[V_FUT_U_PCPL-02]], F$5, FALSE)</f>
        <v>#N/A</v>
      </c>
      <c r="H1453" s="20">
        <f t="shared" si="117"/>
        <v>0</v>
      </c>
      <c r="I1453" s="21">
        <f t="shared" si="118"/>
        <v>0</v>
      </c>
      <c r="J1453" s="22" t="e">
        <f>VLOOKUP($A1453, TAB_JUROS_C[[DIAS_CORRIDOS]:[V_FUT_UTEIS]], J$5, FALSE)</f>
        <v>#N/A</v>
      </c>
      <c r="K1453" s="22" t="e">
        <f>VLOOKUP($A1453, TAB_CORRECAO_C[[DIAS_CORRIDOS]:[V_FUT_UTEIS]],K$5, FALSE)</f>
        <v>#N/A</v>
      </c>
      <c r="L1453" s="22" t="e">
        <f>VLOOKUP($A1453, TAB_AMORTIZACAO_C[[DIAS_CORRIDOS]:[V_FUT_UTEIS]], L$5, FALSE)</f>
        <v>#N/A</v>
      </c>
    </row>
    <row r="1454" spans="1:12" hidden="1">
      <c r="A1454" s="19">
        <f t="shared" si="119"/>
        <v>1448</v>
      </c>
      <c r="B1454" s="20">
        <f t="shared" si="115"/>
        <v>0</v>
      </c>
      <c r="C1454" s="21">
        <f t="shared" si="116"/>
        <v>0</v>
      </c>
      <c r="D1454" s="22" t="e">
        <f>VLOOKUP($A1454, TAB_JUROS_U[[Q_DIAS_U_PARC_TIR]:[V_FUT_U_JURS CENARIO]], D$5, FALSE)</f>
        <v>#N/A</v>
      </c>
      <c r="E1454" s="22" t="e">
        <f>VLOOKUP($A1454,TAB_CORRECAO_U[[Q_DIAS_U_PARC_TIR]:[V_FUT_U_CORC-02]],E$5, FALSE)</f>
        <v>#N/A</v>
      </c>
      <c r="F1454" s="22" t="e">
        <f>VLOOKUP($A1454,TAB_AMORTIZACAO_U[[Q_DIAS_U_PARC_TIR]:[V_FUT_U_PCPL-02]], F$5, FALSE)</f>
        <v>#N/A</v>
      </c>
      <c r="H1454" s="20">
        <f t="shared" si="117"/>
        <v>0</v>
      </c>
      <c r="I1454" s="21">
        <f t="shared" si="118"/>
        <v>0</v>
      </c>
      <c r="J1454" s="22" t="e">
        <f>VLOOKUP($A1454, TAB_JUROS_C[[DIAS_CORRIDOS]:[V_FUT_UTEIS]], J$5, FALSE)</f>
        <v>#N/A</v>
      </c>
      <c r="K1454" s="22" t="e">
        <f>VLOOKUP($A1454, TAB_CORRECAO_C[[DIAS_CORRIDOS]:[V_FUT_UTEIS]],K$5, FALSE)</f>
        <v>#N/A</v>
      </c>
      <c r="L1454" s="22" t="e">
        <f>VLOOKUP($A1454, TAB_AMORTIZACAO_C[[DIAS_CORRIDOS]:[V_FUT_UTEIS]], L$5, FALSE)</f>
        <v>#N/A</v>
      </c>
    </row>
    <row r="1455" spans="1:12" hidden="1">
      <c r="A1455" s="19">
        <f t="shared" si="119"/>
        <v>1449</v>
      </c>
      <c r="B1455" s="20">
        <f t="shared" si="115"/>
        <v>0</v>
      </c>
      <c r="C1455" s="21">
        <f t="shared" si="116"/>
        <v>0</v>
      </c>
      <c r="D1455" s="22" t="e">
        <f>VLOOKUP($A1455, TAB_JUROS_U[[Q_DIAS_U_PARC_TIR]:[V_FUT_U_JURS CENARIO]], D$5, FALSE)</f>
        <v>#N/A</v>
      </c>
      <c r="E1455" s="22" t="e">
        <f>VLOOKUP($A1455,TAB_CORRECAO_U[[Q_DIAS_U_PARC_TIR]:[V_FUT_U_CORC-02]],E$5, FALSE)</f>
        <v>#N/A</v>
      </c>
      <c r="F1455" s="22" t="e">
        <f>VLOOKUP($A1455,TAB_AMORTIZACAO_U[[Q_DIAS_U_PARC_TIR]:[V_FUT_U_PCPL-02]], F$5, FALSE)</f>
        <v>#N/A</v>
      </c>
      <c r="H1455" s="20">
        <f t="shared" si="117"/>
        <v>0</v>
      </c>
      <c r="I1455" s="21">
        <f t="shared" si="118"/>
        <v>0</v>
      </c>
      <c r="J1455" s="22" t="e">
        <f>VLOOKUP($A1455, TAB_JUROS_C[[DIAS_CORRIDOS]:[V_FUT_UTEIS]], J$5, FALSE)</f>
        <v>#N/A</v>
      </c>
      <c r="K1455" s="22" t="e">
        <f>VLOOKUP($A1455, TAB_CORRECAO_C[[DIAS_CORRIDOS]:[V_FUT_UTEIS]],K$5, FALSE)</f>
        <v>#N/A</v>
      </c>
      <c r="L1455" s="22" t="e">
        <f>VLOOKUP($A1455, TAB_AMORTIZACAO_C[[DIAS_CORRIDOS]:[V_FUT_UTEIS]], L$5, FALSE)</f>
        <v>#N/A</v>
      </c>
    </row>
    <row r="1456" spans="1:12" hidden="1">
      <c r="A1456" s="19">
        <f t="shared" si="119"/>
        <v>1450</v>
      </c>
      <c r="B1456" s="20">
        <f t="shared" si="115"/>
        <v>0</v>
      </c>
      <c r="C1456" s="21">
        <f t="shared" si="116"/>
        <v>0</v>
      </c>
      <c r="D1456" s="22" t="e">
        <f>VLOOKUP($A1456, TAB_JUROS_U[[Q_DIAS_U_PARC_TIR]:[V_FUT_U_JURS CENARIO]], D$5, FALSE)</f>
        <v>#N/A</v>
      </c>
      <c r="E1456" s="22" t="e">
        <f>VLOOKUP($A1456,TAB_CORRECAO_U[[Q_DIAS_U_PARC_TIR]:[V_FUT_U_CORC-02]],E$5, FALSE)</f>
        <v>#N/A</v>
      </c>
      <c r="F1456" s="22" t="e">
        <f>VLOOKUP($A1456,TAB_AMORTIZACAO_U[[Q_DIAS_U_PARC_TIR]:[V_FUT_U_PCPL-02]], F$5, FALSE)</f>
        <v>#N/A</v>
      </c>
      <c r="H1456" s="20">
        <f t="shared" si="117"/>
        <v>0</v>
      </c>
      <c r="I1456" s="21">
        <f t="shared" si="118"/>
        <v>0</v>
      </c>
      <c r="J1456" s="22" t="e">
        <f>VLOOKUP($A1456, TAB_JUROS_C[[DIAS_CORRIDOS]:[V_FUT_UTEIS]], J$5, FALSE)</f>
        <v>#N/A</v>
      </c>
      <c r="K1456" s="22" t="e">
        <f>VLOOKUP($A1456, TAB_CORRECAO_C[[DIAS_CORRIDOS]:[V_FUT_UTEIS]],K$5, FALSE)</f>
        <v>#N/A</v>
      </c>
      <c r="L1456" s="22" t="e">
        <f>VLOOKUP($A1456, TAB_AMORTIZACAO_C[[DIAS_CORRIDOS]:[V_FUT_UTEIS]], L$5, FALSE)</f>
        <v>#N/A</v>
      </c>
    </row>
    <row r="1457" spans="1:12" hidden="1">
      <c r="A1457" s="19">
        <f t="shared" si="119"/>
        <v>1451</v>
      </c>
      <c r="B1457" s="20">
        <f t="shared" si="115"/>
        <v>0</v>
      </c>
      <c r="C1457" s="21">
        <f t="shared" si="116"/>
        <v>0</v>
      </c>
      <c r="D1457" s="22" t="e">
        <f>VLOOKUP($A1457, TAB_JUROS_U[[Q_DIAS_U_PARC_TIR]:[V_FUT_U_JURS CENARIO]], D$5, FALSE)</f>
        <v>#N/A</v>
      </c>
      <c r="E1457" s="22" t="e">
        <f>VLOOKUP($A1457,TAB_CORRECAO_U[[Q_DIAS_U_PARC_TIR]:[V_FUT_U_CORC-02]],E$5, FALSE)</f>
        <v>#N/A</v>
      </c>
      <c r="F1457" s="22" t="e">
        <f>VLOOKUP($A1457,TAB_AMORTIZACAO_U[[Q_DIAS_U_PARC_TIR]:[V_FUT_U_PCPL-02]], F$5, FALSE)</f>
        <v>#N/A</v>
      </c>
      <c r="H1457" s="20">
        <f t="shared" si="117"/>
        <v>0</v>
      </c>
      <c r="I1457" s="21">
        <f t="shared" si="118"/>
        <v>0</v>
      </c>
      <c r="J1457" s="22" t="e">
        <f>VLOOKUP($A1457, TAB_JUROS_C[[DIAS_CORRIDOS]:[V_FUT_UTEIS]], J$5, FALSE)</f>
        <v>#N/A</v>
      </c>
      <c r="K1457" s="22" t="e">
        <f>VLOOKUP($A1457, TAB_CORRECAO_C[[DIAS_CORRIDOS]:[V_FUT_UTEIS]],K$5, FALSE)</f>
        <v>#N/A</v>
      </c>
      <c r="L1457" s="22" t="e">
        <f>VLOOKUP($A1457, TAB_AMORTIZACAO_C[[DIAS_CORRIDOS]:[V_FUT_UTEIS]], L$5, FALSE)</f>
        <v>#N/A</v>
      </c>
    </row>
    <row r="1458" spans="1:12" hidden="1">
      <c r="A1458" s="19">
        <f t="shared" si="119"/>
        <v>1452</v>
      </c>
      <c r="B1458" s="20">
        <f t="shared" si="115"/>
        <v>0</v>
      </c>
      <c r="C1458" s="21">
        <f t="shared" si="116"/>
        <v>0</v>
      </c>
      <c r="D1458" s="22" t="e">
        <f>VLOOKUP($A1458, TAB_JUROS_U[[Q_DIAS_U_PARC_TIR]:[V_FUT_U_JURS CENARIO]], D$5, FALSE)</f>
        <v>#N/A</v>
      </c>
      <c r="E1458" s="22" t="e">
        <f>VLOOKUP($A1458,TAB_CORRECAO_U[[Q_DIAS_U_PARC_TIR]:[V_FUT_U_CORC-02]],E$5, FALSE)</f>
        <v>#N/A</v>
      </c>
      <c r="F1458" s="22" t="e">
        <f>VLOOKUP($A1458,TAB_AMORTIZACAO_U[[Q_DIAS_U_PARC_TIR]:[V_FUT_U_PCPL-02]], F$5, FALSE)</f>
        <v>#N/A</v>
      </c>
      <c r="H1458" s="20">
        <f t="shared" si="117"/>
        <v>0</v>
      </c>
      <c r="I1458" s="21">
        <f t="shared" si="118"/>
        <v>0</v>
      </c>
      <c r="J1458" s="22" t="e">
        <f>VLOOKUP($A1458, TAB_JUROS_C[[DIAS_CORRIDOS]:[V_FUT_UTEIS]], J$5, FALSE)</f>
        <v>#N/A</v>
      </c>
      <c r="K1458" s="22" t="e">
        <f>VLOOKUP($A1458, TAB_CORRECAO_C[[DIAS_CORRIDOS]:[V_FUT_UTEIS]],K$5, FALSE)</f>
        <v>#N/A</v>
      </c>
      <c r="L1458" s="22" t="e">
        <f>VLOOKUP($A1458, TAB_AMORTIZACAO_C[[DIAS_CORRIDOS]:[V_FUT_UTEIS]], L$5, FALSE)</f>
        <v>#N/A</v>
      </c>
    </row>
    <row r="1459" spans="1:12" hidden="1">
      <c r="A1459" s="19">
        <f t="shared" si="119"/>
        <v>1453</v>
      </c>
      <c r="B1459" s="20">
        <f t="shared" si="115"/>
        <v>0</v>
      </c>
      <c r="C1459" s="21">
        <f t="shared" si="116"/>
        <v>0</v>
      </c>
      <c r="D1459" s="22" t="e">
        <f>VLOOKUP($A1459, TAB_JUROS_U[[Q_DIAS_U_PARC_TIR]:[V_FUT_U_JURS CENARIO]], D$5, FALSE)</f>
        <v>#N/A</v>
      </c>
      <c r="E1459" s="22" t="e">
        <f>VLOOKUP($A1459,TAB_CORRECAO_U[[Q_DIAS_U_PARC_TIR]:[V_FUT_U_CORC-02]],E$5, FALSE)</f>
        <v>#N/A</v>
      </c>
      <c r="F1459" s="22" t="e">
        <f>VLOOKUP($A1459,TAB_AMORTIZACAO_U[[Q_DIAS_U_PARC_TIR]:[V_FUT_U_PCPL-02]], F$5, FALSE)</f>
        <v>#N/A</v>
      </c>
      <c r="H1459" s="20">
        <f t="shared" si="117"/>
        <v>0</v>
      </c>
      <c r="I1459" s="21">
        <f t="shared" si="118"/>
        <v>0</v>
      </c>
      <c r="J1459" s="22" t="e">
        <f>VLOOKUP($A1459, TAB_JUROS_C[[DIAS_CORRIDOS]:[V_FUT_UTEIS]], J$5, FALSE)</f>
        <v>#N/A</v>
      </c>
      <c r="K1459" s="22" t="e">
        <f>VLOOKUP($A1459, TAB_CORRECAO_C[[DIAS_CORRIDOS]:[V_FUT_UTEIS]],K$5, FALSE)</f>
        <v>#N/A</v>
      </c>
      <c r="L1459" s="22" t="e">
        <f>VLOOKUP($A1459, TAB_AMORTIZACAO_C[[DIAS_CORRIDOS]:[V_FUT_UTEIS]], L$5, FALSE)</f>
        <v>#N/A</v>
      </c>
    </row>
    <row r="1460" spans="1:12" hidden="1">
      <c r="A1460" s="19">
        <f t="shared" si="119"/>
        <v>1454</v>
      </c>
      <c r="B1460" s="20">
        <f t="shared" si="115"/>
        <v>0</v>
      </c>
      <c r="C1460" s="21">
        <f t="shared" si="116"/>
        <v>0</v>
      </c>
      <c r="D1460" s="22" t="e">
        <f>VLOOKUP($A1460, TAB_JUROS_U[[Q_DIAS_U_PARC_TIR]:[V_FUT_U_JURS CENARIO]], D$5, FALSE)</f>
        <v>#N/A</v>
      </c>
      <c r="E1460" s="22" t="e">
        <f>VLOOKUP($A1460,TAB_CORRECAO_U[[Q_DIAS_U_PARC_TIR]:[V_FUT_U_CORC-02]],E$5, FALSE)</f>
        <v>#N/A</v>
      </c>
      <c r="F1460" s="22" t="e">
        <f>VLOOKUP($A1460,TAB_AMORTIZACAO_U[[Q_DIAS_U_PARC_TIR]:[V_FUT_U_PCPL-02]], F$5, FALSE)</f>
        <v>#N/A</v>
      </c>
      <c r="H1460" s="20">
        <f t="shared" si="117"/>
        <v>0</v>
      </c>
      <c r="I1460" s="21">
        <f t="shared" si="118"/>
        <v>0</v>
      </c>
      <c r="J1460" s="22" t="e">
        <f>VLOOKUP($A1460, TAB_JUROS_C[[DIAS_CORRIDOS]:[V_FUT_UTEIS]], J$5, FALSE)</f>
        <v>#N/A</v>
      </c>
      <c r="K1460" s="22" t="e">
        <f>VLOOKUP($A1460, TAB_CORRECAO_C[[DIAS_CORRIDOS]:[V_FUT_UTEIS]],K$5, FALSE)</f>
        <v>#N/A</v>
      </c>
      <c r="L1460" s="22" t="e">
        <f>VLOOKUP($A1460, TAB_AMORTIZACAO_C[[DIAS_CORRIDOS]:[V_FUT_UTEIS]], L$5, FALSE)</f>
        <v>#N/A</v>
      </c>
    </row>
    <row r="1461" spans="1:12">
      <c r="A1461" s="19">
        <f t="shared" si="119"/>
        <v>1455</v>
      </c>
      <c r="B1461" s="20">
        <f t="shared" si="115"/>
        <v>552.56055783226896</v>
      </c>
      <c r="C1461" s="21">
        <f t="shared" si="116"/>
        <v>552.56055783226896</v>
      </c>
      <c r="D1461" s="22">
        <f>VLOOKUP($A1461, TAB_JUROS_U[[Q_DIAS_U_PARC_TIR]:[V_FUT_U_JURS CENARIO]], D$5, FALSE)</f>
        <v>37.868777480934817</v>
      </c>
      <c r="E1461" s="22">
        <f>VLOOKUP($A1461,TAB_CORRECAO_U[[Q_DIAS_U_PARC_TIR]:[V_FUT_U_CORC-02]],E$5, FALSE)</f>
        <v>239.70955950266415</v>
      </c>
      <c r="F1461" s="22">
        <f>VLOOKUP($A1461,TAB_AMORTIZACAO_U[[Q_DIAS_U_PARC_TIR]:[V_FUT_U_PCPL-02]], F$5, FALSE)</f>
        <v>274.98222084867001</v>
      </c>
      <c r="H1461" s="20">
        <f t="shared" si="117"/>
        <v>0</v>
      </c>
      <c r="I1461" s="21">
        <f t="shared" si="118"/>
        <v>0</v>
      </c>
      <c r="J1461" s="22" t="e">
        <f>VLOOKUP($A1461, TAB_JUROS_C[[DIAS_CORRIDOS]:[V_FUT_UTEIS]], J$5, FALSE)</f>
        <v>#N/A</v>
      </c>
      <c r="K1461" s="22" t="e">
        <f>VLOOKUP($A1461, TAB_CORRECAO_C[[DIAS_CORRIDOS]:[V_FUT_UTEIS]],K$5, FALSE)</f>
        <v>#N/A</v>
      </c>
      <c r="L1461" s="22" t="e">
        <f>VLOOKUP($A1461, TAB_AMORTIZACAO_C[[DIAS_CORRIDOS]:[V_FUT_UTEIS]], L$5, FALSE)</f>
        <v>#N/A</v>
      </c>
    </row>
    <row r="1462" spans="1:12" hidden="1">
      <c r="A1462" s="19">
        <f t="shared" si="119"/>
        <v>1456</v>
      </c>
      <c r="B1462" s="20">
        <f t="shared" si="115"/>
        <v>0</v>
      </c>
      <c r="C1462" s="21">
        <f t="shared" si="116"/>
        <v>0</v>
      </c>
      <c r="D1462" s="22" t="e">
        <f>VLOOKUP($A1462, TAB_JUROS_U[[Q_DIAS_U_PARC_TIR]:[V_FUT_U_JURS CENARIO]], D$5, FALSE)</f>
        <v>#N/A</v>
      </c>
      <c r="E1462" s="22" t="e">
        <f>VLOOKUP($A1462,TAB_CORRECAO_U[[Q_DIAS_U_PARC_TIR]:[V_FUT_U_CORC-02]],E$5, FALSE)</f>
        <v>#N/A</v>
      </c>
      <c r="F1462" s="22" t="e">
        <f>VLOOKUP($A1462,TAB_AMORTIZACAO_U[[Q_DIAS_U_PARC_TIR]:[V_FUT_U_PCPL-02]], F$5, FALSE)</f>
        <v>#N/A</v>
      </c>
      <c r="H1462" s="20">
        <f t="shared" si="117"/>
        <v>0</v>
      </c>
      <c r="I1462" s="21">
        <f t="shared" si="118"/>
        <v>0</v>
      </c>
      <c r="J1462" s="22" t="e">
        <f>VLOOKUP($A1462, TAB_JUROS_C[[DIAS_CORRIDOS]:[V_FUT_UTEIS]], J$5, FALSE)</f>
        <v>#N/A</v>
      </c>
      <c r="K1462" s="22" t="e">
        <f>VLOOKUP($A1462, TAB_CORRECAO_C[[DIAS_CORRIDOS]:[V_FUT_UTEIS]],K$5, FALSE)</f>
        <v>#N/A</v>
      </c>
      <c r="L1462" s="22" t="e">
        <f>VLOOKUP($A1462, TAB_AMORTIZACAO_C[[DIAS_CORRIDOS]:[V_FUT_UTEIS]], L$5, FALSE)</f>
        <v>#N/A</v>
      </c>
    </row>
    <row r="1463" spans="1:12" hidden="1">
      <c r="A1463" s="19">
        <f t="shared" si="119"/>
        <v>1457</v>
      </c>
      <c r="B1463" s="20">
        <f t="shared" si="115"/>
        <v>0</v>
      </c>
      <c r="C1463" s="21">
        <f t="shared" si="116"/>
        <v>0</v>
      </c>
      <c r="D1463" s="22" t="e">
        <f>VLOOKUP($A1463, TAB_JUROS_U[[Q_DIAS_U_PARC_TIR]:[V_FUT_U_JURS CENARIO]], D$5, FALSE)</f>
        <v>#N/A</v>
      </c>
      <c r="E1463" s="22" t="e">
        <f>VLOOKUP($A1463,TAB_CORRECAO_U[[Q_DIAS_U_PARC_TIR]:[V_FUT_U_CORC-02]],E$5, FALSE)</f>
        <v>#N/A</v>
      </c>
      <c r="F1463" s="22" t="e">
        <f>VLOOKUP($A1463,TAB_AMORTIZACAO_U[[Q_DIAS_U_PARC_TIR]:[V_FUT_U_PCPL-02]], F$5, FALSE)</f>
        <v>#N/A</v>
      </c>
      <c r="H1463" s="20">
        <f t="shared" si="117"/>
        <v>0</v>
      </c>
      <c r="I1463" s="21">
        <f t="shared" si="118"/>
        <v>0</v>
      </c>
      <c r="J1463" s="22" t="e">
        <f>VLOOKUP($A1463, TAB_JUROS_C[[DIAS_CORRIDOS]:[V_FUT_UTEIS]], J$5, FALSE)</f>
        <v>#N/A</v>
      </c>
      <c r="K1463" s="22" t="e">
        <f>VLOOKUP($A1463, TAB_CORRECAO_C[[DIAS_CORRIDOS]:[V_FUT_UTEIS]],K$5, FALSE)</f>
        <v>#N/A</v>
      </c>
      <c r="L1463" s="22" t="e">
        <f>VLOOKUP($A1463, TAB_AMORTIZACAO_C[[DIAS_CORRIDOS]:[V_FUT_UTEIS]], L$5, FALSE)</f>
        <v>#N/A</v>
      </c>
    </row>
    <row r="1464" spans="1:12" hidden="1">
      <c r="A1464" s="19">
        <f t="shared" si="119"/>
        <v>1458</v>
      </c>
      <c r="B1464" s="20">
        <f t="shared" si="115"/>
        <v>0</v>
      </c>
      <c r="C1464" s="21">
        <f t="shared" si="116"/>
        <v>0</v>
      </c>
      <c r="D1464" s="22" t="e">
        <f>VLOOKUP($A1464, TAB_JUROS_U[[Q_DIAS_U_PARC_TIR]:[V_FUT_U_JURS CENARIO]], D$5, FALSE)</f>
        <v>#N/A</v>
      </c>
      <c r="E1464" s="22" t="e">
        <f>VLOOKUP($A1464,TAB_CORRECAO_U[[Q_DIAS_U_PARC_TIR]:[V_FUT_U_CORC-02]],E$5, FALSE)</f>
        <v>#N/A</v>
      </c>
      <c r="F1464" s="22" t="e">
        <f>VLOOKUP($A1464,TAB_AMORTIZACAO_U[[Q_DIAS_U_PARC_TIR]:[V_FUT_U_PCPL-02]], F$5, FALSE)</f>
        <v>#N/A</v>
      </c>
      <c r="H1464" s="20">
        <f t="shared" si="117"/>
        <v>0</v>
      </c>
      <c r="I1464" s="21">
        <f t="shared" si="118"/>
        <v>0</v>
      </c>
      <c r="J1464" s="22" t="e">
        <f>VLOOKUP($A1464, TAB_JUROS_C[[DIAS_CORRIDOS]:[V_FUT_UTEIS]], J$5, FALSE)</f>
        <v>#N/A</v>
      </c>
      <c r="K1464" s="22" t="e">
        <f>VLOOKUP($A1464, TAB_CORRECAO_C[[DIAS_CORRIDOS]:[V_FUT_UTEIS]],K$5, FALSE)</f>
        <v>#N/A</v>
      </c>
      <c r="L1464" s="22" t="e">
        <f>VLOOKUP($A1464, TAB_AMORTIZACAO_C[[DIAS_CORRIDOS]:[V_FUT_UTEIS]], L$5, FALSE)</f>
        <v>#N/A</v>
      </c>
    </row>
    <row r="1465" spans="1:12" hidden="1">
      <c r="A1465" s="19">
        <f t="shared" si="119"/>
        <v>1459</v>
      </c>
      <c r="B1465" s="20">
        <f t="shared" si="115"/>
        <v>0</v>
      </c>
      <c r="C1465" s="21">
        <f t="shared" si="116"/>
        <v>0</v>
      </c>
      <c r="D1465" s="22" t="e">
        <f>VLOOKUP($A1465, TAB_JUROS_U[[Q_DIAS_U_PARC_TIR]:[V_FUT_U_JURS CENARIO]], D$5, FALSE)</f>
        <v>#N/A</v>
      </c>
      <c r="E1465" s="22" t="e">
        <f>VLOOKUP($A1465,TAB_CORRECAO_U[[Q_DIAS_U_PARC_TIR]:[V_FUT_U_CORC-02]],E$5, FALSE)</f>
        <v>#N/A</v>
      </c>
      <c r="F1465" s="22" t="e">
        <f>VLOOKUP($A1465,TAB_AMORTIZACAO_U[[Q_DIAS_U_PARC_TIR]:[V_FUT_U_PCPL-02]], F$5, FALSE)</f>
        <v>#N/A</v>
      </c>
      <c r="H1465" s="20">
        <f t="shared" si="117"/>
        <v>0</v>
      </c>
      <c r="I1465" s="21">
        <f t="shared" si="118"/>
        <v>0</v>
      </c>
      <c r="J1465" s="22" t="e">
        <f>VLOOKUP($A1465, TAB_JUROS_C[[DIAS_CORRIDOS]:[V_FUT_UTEIS]], J$5, FALSE)</f>
        <v>#N/A</v>
      </c>
      <c r="K1465" s="22" t="e">
        <f>VLOOKUP($A1465, TAB_CORRECAO_C[[DIAS_CORRIDOS]:[V_FUT_UTEIS]],K$5, FALSE)</f>
        <v>#N/A</v>
      </c>
      <c r="L1465" s="22" t="e">
        <f>VLOOKUP($A1465, TAB_AMORTIZACAO_C[[DIAS_CORRIDOS]:[V_FUT_UTEIS]], L$5, FALSE)</f>
        <v>#N/A</v>
      </c>
    </row>
    <row r="1466" spans="1:12" hidden="1">
      <c r="A1466" s="19">
        <f t="shared" si="119"/>
        <v>1460</v>
      </c>
      <c r="B1466" s="20">
        <f t="shared" si="115"/>
        <v>0</v>
      </c>
      <c r="C1466" s="21">
        <f t="shared" si="116"/>
        <v>0</v>
      </c>
      <c r="D1466" s="22" t="e">
        <f>VLOOKUP($A1466, TAB_JUROS_U[[Q_DIAS_U_PARC_TIR]:[V_FUT_U_JURS CENARIO]], D$5, FALSE)</f>
        <v>#N/A</v>
      </c>
      <c r="E1466" s="22" t="e">
        <f>VLOOKUP($A1466,TAB_CORRECAO_U[[Q_DIAS_U_PARC_TIR]:[V_FUT_U_CORC-02]],E$5, FALSE)</f>
        <v>#N/A</v>
      </c>
      <c r="F1466" s="22" t="e">
        <f>VLOOKUP($A1466,TAB_AMORTIZACAO_U[[Q_DIAS_U_PARC_TIR]:[V_FUT_U_PCPL-02]], F$5, FALSE)</f>
        <v>#N/A</v>
      </c>
      <c r="H1466" s="20">
        <f t="shared" si="117"/>
        <v>0</v>
      </c>
      <c r="I1466" s="21">
        <f t="shared" si="118"/>
        <v>0</v>
      </c>
      <c r="J1466" s="22" t="e">
        <f>VLOOKUP($A1466, TAB_JUROS_C[[DIAS_CORRIDOS]:[V_FUT_UTEIS]], J$5, FALSE)</f>
        <v>#N/A</v>
      </c>
      <c r="K1466" s="22" t="e">
        <f>VLOOKUP($A1466, TAB_CORRECAO_C[[DIAS_CORRIDOS]:[V_FUT_UTEIS]],K$5, FALSE)</f>
        <v>#N/A</v>
      </c>
      <c r="L1466" s="22" t="e">
        <f>VLOOKUP($A1466, TAB_AMORTIZACAO_C[[DIAS_CORRIDOS]:[V_FUT_UTEIS]], L$5, FALSE)</f>
        <v>#N/A</v>
      </c>
    </row>
    <row r="1467" spans="1:12" hidden="1">
      <c r="A1467" s="19">
        <f t="shared" si="119"/>
        <v>1461</v>
      </c>
      <c r="B1467" s="20">
        <f t="shared" si="115"/>
        <v>0</v>
      </c>
      <c r="C1467" s="21">
        <f t="shared" si="116"/>
        <v>0</v>
      </c>
      <c r="D1467" s="22" t="e">
        <f>VLOOKUP($A1467, TAB_JUROS_U[[Q_DIAS_U_PARC_TIR]:[V_FUT_U_JURS CENARIO]], D$5, FALSE)</f>
        <v>#N/A</v>
      </c>
      <c r="E1467" s="22" t="e">
        <f>VLOOKUP($A1467,TAB_CORRECAO_U[[Q_DIAS_U_PARC_TIR]:[V_FUT_U_CORC-02]],E$5, FALSE)</f>
        <v>#N/A</v>
      </c>
      <c r="F1467" s="22" t="e">
        <f>VLOOKUP($A1467,TAB_AMORTIZACAO_U[[Q_DIAS_U_PARC_TIR]:[V_FUT_U_PCPL-02]], F$5, FALSE)</f>
        <v>#N/A</v>
      </c>
      <c r="H1467" s="20">
        <f t="shared" si="117"/>
        <v>0</v>
      </c>
      <c r="I1467" s="21">
        <f t="shared" si="118"/>
        <v>0</v>
      </c>
      <c r="J1467" s="22" t="e">
        <f>VLOOKUP($A1467, TAB_JUROS_C[[DIAS_CORRIDOS]:[V_FUT_UTEIS]], J$5, FALSE)</f>
        <v>#N/A</v>
      </c>
      <c r="K1467" s="22" t="e">
        <f>VLOOKUP($A1467, TAB_CORRECAO_C[[DIAS_CORRIDOS]:[V_FUT_UTEIS]],K$5, FALSE)</f>
        <v>#N/A</v>
      </c>
      <c r="L1467" s="22" t="e">
        <f>VLOOKUP($A1467, TAB_AMORTIZACAO_C[[DIAS_CORRIDOS]:[V_FUT_UTEIS]], L$5, FALSE)</f>
        <v>#N/A</v>
      </c>
    </row>
    <row r="1468" spans="1:12" hidden="1">
      <c r="A1468" s="19">
        <f t="shared" si="119"/>
        <v>1462</v>
      </c>
      <c r="B1468" s="20">
        <f t="shared" si="115"/>
        <v>0</v>
      </c>
      <c r="C1468" s="21">
        <f t="shared" si="116"/>
        <v>0</v>
      </c>
      <c r="D1468" s="22" t="e">
        <f>VLOOKUP($A1468, TAB_JUROS_U[[Q_DIAS_U_PARC_TIR]:[V_FUT_U_JURS CENARIO]], D$5, FALSE)</f>
        <v>#N/A</v>
      </c>
      <c r="E1468" s="22" t="e">
        <f>VLOOKUP($A1468,TAB_CORRECAO_U[[Q_DIAS_U_PARC_TIR]:[V_FUT_U_CORC-02]],E$5, FALSE)</f>
        <v>#N/A</v>
      </c>
      <c r="F1468" s="22" t="e">
        <f>VLOOKUP($A1468,TAB_AMORTIZACAO_U[[Q_DIAS_U_PARC_TIR]:[V_FUT_U_PCPL-02]], F$5, FALSE)</f>
        <v>#N/A</v>
      </c>
      <c r="H1468" s="20">
        <f t="shared" si="117"/>
        <v>0</v>
      </c>
      <c r="I1468" s="21">
        <f t="shared" si="118"/>
        <v>0</v>
      </c>
      <c r="J1468" s="22" t="e">
        <f>VLOOKUP($A1468, TAB_JUROS_C[[DIAS_CORRIDOS]:[V_FUT_UTEIS]], J$5, FALSE)</f>
        <v>#N/A</v>
      </c>
      <c r="K1468" s="22" t="e">
        <f>VLOOKUP($A1468, TAB_CORRECAO_C[[DIAS_CORRIDOS]:[V_FUT_UTEIS]],K$5, FALSE)</f>
        <v>#N/A</v>
      </c>
      <c r="L1468" s="22" t="e">
        <f>VLOOKUP($A1468, TAB_AMORTIZACAO_C[[DIAS_CORRIDOS]:[V_FUT_UTEIS]], L$5, FALSE)</f>
        <v>#N/A</v>
      </c>
    </row>
    <row r="1469" spans="1:12" hidden="1">
      <c r="A1469" s="19">
        <f t="shared" si="119"/>
        <v>1463</v>
      </c>
      <c r="B1469" s="20">
        <f t="shared" si="115"/>
        <v>0</v>
      </c>
      <c r="C1469" s="21">
        <f t="shared" si="116"/>
        <v>0</v>
      </c>
      <c r="D1469" s="22" t="e">
        <f>VLOOKUP($A1469, TAB_JUROS_U[[Q_DIAS_U_PARC_TIR]:[V_FUT_U_JURS CENARIO]], D$5, FALSE)</f>
        <v>#N/A</v>
      </c>
      <c r="E1469" s="22" t="e">
        <f>VLOOKUP($A1469,TAB_CORRECAO_U[[Q_DIAS_U_PARC_TIR]:[V_FUT_U_CORC-02]],E$5, FALSE)</f>
        <v>#N/A</v>
      </c>
      <c r="F1469" s="22" t="e">
        <f>VLOOKUP($A1469,TAB_AMORTIZACAO_U[[Q_DIAS_U_PARC_TIR]:[V_FUT_U_PCPL-02]], F$5, FALSE)</f>
        <v>#N/A</v>
      </c>
      <c r="H1469" s="20">
        <f t="shared" si="117"/>
        <v>0</v>
      </c>
      <c r="I1469" s="21">
        <f t="shared" si="118"/>
        <v>0</v>
      </c>
      <c r="J1469" s="22" t="e">
        <f>VLOOKUP($A1469, TAB_JUROS_C[[DIAS_CORRIDOS]:[V_FUT_UTEIS]], J$5, FALSE)</f>
        <v>#N/A</v>
      </c>
      <c r="K1469" s="22" t="e">
        <f>VLOOKUP($A1469, TAB_CORRECAO_C[[DIAS_CORRIDOS]:[V_FUT_UTEIS]],K$5, FALSE)</f>
        <v>#N/A</v>
      </c>
      <c r="L1469" s="22" t="e">
        <f>VLOOKUP($A1469, TAB_AMORTIZACAO_C[[DIAS_CORRIDOS]:[V_FUT_UTEIS]], L$5, FALSE)</f>
        <v>#N/A</v>
      </c>
    </row>
    <row r="1470" spans="1:12" hidden="1">
      <c r="A1470" s="19">
        <f t="shared" si="119"/>
        <v>1464</v>
      </c>
      <c r="B1470" s="20">
        <f t="shared" si="115"/>
        <v>0</v>
      </c>
      <c r="C1470" s="21">
        <f t="shared" si="116"/>
        <v>0</v>
      </c>
      <c r="D1470" s="22" t="e">
        <f>VLOOKUP($A1470, TAB_JUROS_U[[Q_DIAS_U_PARC_TIR]:[V_FUT_U_JURS CENARIO]], D$5, FALSE)</f>
        <v>#N/A</v>
      </c>
      <c r="E1470" s="22" t="e">
        <f>VLOOKUP($A1470,TAB_CORRECAO_U[[Q_DIAS_U_PARC_TIR]:[V_FUT_U_CORC-02]],E$5, FALSE)</f>
        <v>#N/A</v>
      </c>
      <c r="F1470" s="22" t="e">
        <f>VLOOKUP($A1470,TAB_AMORTIZACAO_U[[Q_DIAS_U_PARC_TIR]:[V_FUT_U_PCPL-02]], F$5, FALSE)</f>
        <v>#N/A</v>
      </c>
      <c r="H1470" s="20">
        <f t="shared" si="117"/>
        <v>0</v>
      </c>
      <c r="I1470" s="21">
        <f t="shared" si="118"/>
        <v>0</v>
      </c>
      <c r="J1470" s="22" t="e">
        <f>VLOOKUP($A1470, TAB_JUROS_C[[DIAS_CORRIDOS]:[V_FUT_UTEIS]], J$5, FALSE)</f>
        <v>#N/A</v>
      </c>
      <c r="K1470" s="22" t="e">
        <f>VLOOKUP($A1470, TAB_CORRECAO_C[[DIAS_CORRIDOS]:[V_FUT_UTEIS]],K$5, FALSE)</f>
        <v>#N/A</v>
      </c>
      <c r="L1470" s="22" t="e">
        <f>VLOOKUP($A1470, TAB_AMORTIZACAO_C[[DIAS_CORRIDOS]:[V_FUT_UTEIS]], L$5, FALSE)</f>
        <v>#N/A</v>
      </c>
    </row>
    <row r="1471" spans="1:12" hidden="1">
      <c r="A1471" s="19">
        <f t="shared" si="119"/>
        <v>1465</v>
      </c>
      <c r="B1471" s="20">
        <f t="shared" si="115"/>
        <v>0</v>
      </c>
      <c r="C1471" s="21">
        <f t="shared" si="116"/>
        <v>0</v>
      </c>
      <c r="D1471" s="22" t="e">
        <f>VLOOKUP($A1471, TAB_JUROS_U[[Q_DIAS_U_PARC_TIR]:[V_FUT_U_JURS CENARIO]], D$5, FALSE)</f>
        <v>#N/A</v>
      </c>
      <c r="E1471" s="22" t="e">
        <f>VLOOKUP($A1471,TAB_CORRECAO_U[[Q_DIAS_U_PARC_TIR]:[V_FUT_U_CORC-02]],E$5, FALSE)</f>
        <v>#N/A</v>
      </c>
      <c r="F1471" s="22" t="e">
        <f>VLOOKUP($A1471,TAB_AMORTIZACAO_U[[Q_DIAS_U_PARC_TIR]:[V_FUT_U_PCPL-02]], F$5, FALSE)</f>
        <v>#N/A</v>
      </c>
      <c r="H1471" s="20">
        <f t="shared" si="117"/>
        <v>0</v>
      </c>
      <c r="I1471" s="21">
        <f t="shared" si="118"/>
        <v>0</v>
      </c>
      <c r="J1471" s="22" t="e">
        <f>VLOOKUP($A1471, TAB_JUROS_C[[DIAS_CORRIDOS]:[V_FUT_UTEIS]], J$5, FALSE)</f>
        <v>#N/A</v>
      </c>
      <c r="K1471" s="22" t="e">
        <f>VLOOKUP($A1471, TAB_CORRECAO_C[[DIAS_CORRIDOS]:[V_FUT_UTEIS]],K$5, FALSE)</f>
        <v>#N/A</v>
      </c>
      <c r="L1471" s="22" t="e">
        <f>VLOOKUP($A1471, TAB_AMORTIZACAO_C[[DIAS_CORRIDOS]:[V_FUT_UTEIS]], L$5, FALSE)</f>
        <v>#N/A</v>
      </c>
    </row>
    <row r="1472" spans="1:12" hidden="1">
      <c r="A1472" s="19">
        <f t="shared" si="119"/>
        <v>1466</v>
      </c>
      <c r="B1472" s="20">
        <f t="shared" si="115"/>
        <v>0</v>
      </c>
      <c r="C1472" s="21">
        <f t="shared" si="116"/>
        <v>0</v>
      </c>
      <c r="D1472" s="22" t="e">
        <f>VLOOKUP($A1472, TAB_JUROS_U[[Q_DIAS_U_PARC_TIR]:[V_FUT_U_JURS CENARIO]], D$5, FALSE)</f>
        <v>#N/A</v>
      </c>
      <c r="E1472" s="22" t="e">
        <f>VLOOKUP($A1472,TAB_CORRECAO_U[[Q_DIAS_U_PARC_TIR]:[V_FUT_U_CORC-02]],E$5, FALSE)</f>
        <v>#N/A</v>
      </c>
      <c r="F1472" s="22" t="e">
        <f>VLOOKUP($A1472,TAB_AMORTIZACAO_U[[Q_DIAS_U_PARC_TIR]:[V_FUT_U_PCPL-02]], F$5, FALSE)</f>
        <v>#N/A</v>
      </c>
      <c r="H1472" s="20">
        <f t="shared" si="117"/>
        <v>0</v>
      </c>
      <c r="I1472" s="21">
        <f t="shared" si="118"/>
        <v>0</v>
      </c>
      <c r="J1472" s="22" t="e">
        <f>VLOOKUP($A1472, TAB_JUROS_C[[DIAS_CORRIDOS]:[V_FUT_UTEIS]], J$5, FALSE)</f>
        <v>#N/A</v>
      </c>
      <c r="K1472" s="22" t="e">
        <f>VLOOKUP($A1472, TAB_CORRECAO_C[[DIAS_CORRIDOS]:[V_FUT_UTEIS]],K$5, FALSE)</f>
        <v>#N/A</v>
      </c>
      <c r="L1472" s="22" t="e">
        <f>VLOOKUP($A1472, TAB_AMORTIZACAO_C[[DIAS_CORRIDOS]:[V_FUT_UTEIS]], L$5, FALSE)</f>
        <v>#N/A</v>
      </c>
    </row>
    <row r="1473" spans="1:12" hidden="1">
      <c r="A1473" s="19">
        <f t="shared" si="119"/>
        <v>1467</v>
      </c>
      <c r="B1473" s="20">
        <f t="shared" si="115"/>
        <v>0</v>
      </c>
      <c r="C1473" s="21">
        <f t="shared" si="116"/>
        <v>0</v>
      </c>
      <c r="D1473" s="22" t="e">
        <f>VLOOKUP($A1473, TAB_JUROS_U[[Q_DIAS_U_PARC_TIR]:[V_FUT_U_JURS CENARIO]], D$5, FALSE)</f>
        <v>#N/A</v>
      </c>
      <c r="E1473" s="22" t="e">
        <f>VLOOKUP($A1473,TAB_CORRECAO_U[[Q_DIAS_U_PARC_TIR]:[V_FUT_U_CORC-02]],E$5, FALSE)</f>
        <v>#N/A</v>
      </c>
      <c r="F1473" s="22" t="e">
        <f>VLOOKUP($A1473,TAB_AMORTIZACAO_U[[Q_DIAS_U_PARC_TIR]:[V_FUT_U_PCPL-02]], F$5, FALSE)</f>
        <v>#N/A</v>
      </c>
      <c r="H1473" s="20">
        <f t="shared" si="117"/>
        <v>0</v>
      </c>
      <c r="I1473" s="21">
        <f t="shared" si="118"/>
        <v>0</v>
      </c>
      <c r="J1473" s="22" t="e">
        <f>VLOOKUP($A1473, TAB_JUROS_C[[DIAS_CORRIDOS]:[V_FUT_UTEIS]], J$5, FALSE)</f>
        <v>#N/A</v>
      </c>
      <c r="K1473" s="22" t="e">
        <f>VLOOKUP($A1473, TAB_CORRECAO_C[[DIAS_CORRIDOS]:[V_FUT_UTEIS]],K$5, FALSE)</f>
        <v>#N/A</v>
      </c>
      <c r="L1473" s="22" t="e">
        <f>VLOOKUP($A1473, TAB_AMORTIZACAO_C[[DIAS_CORRIDOS]:[V_FUT_UTEIS]], L$5, FALSE)</f>
        <v>#N/A</v>
      </c>
    </row>
    <row r="1474" spans="1:12" hidden="1">
      <c r="A1474" s="19">
        <f t="shared" si="119"/>
        <v>1468</v>
      </c>
      <c r="B1474" s="20">
        <f t="shared" si="115"/>
        <v>0</v>
      </c>
      <c r="C1474" s="21">
        <f t="shared" si="116"/>
        <v>0</v>
      </c>
      <c r="D1474" s="22" t="e">
        <f>VLOOKUP($A1474, TAB_JUROS_U[[Q_DIAS_U_PARC_TIR]:[V_FUT_U_JURS CENARIO]], D$5, FALSE)</f>
        <v>#N/A</v>
      </c>
      <c r="E1474" s="22" t="e">
        <f>VLOOKUP($A1474,TAB_CORRECAO_U[[Q_DIAS_U_PARC_TIR]:[V_FUT_U_CORC-02]],E$5, FALSE)</f>
        <v>#N/A</v>
      </c>
      <c r="F1474" s="22" t="e">
        <f>VLOOKUP($A1474,TAB_AMORTIZACAO_U[[Q_DIAS_U_PARC_TIR]:[V_FUT_U_PCPL-02]], F$5, FALSE)</f>
        <v>#N/A</v>
      </c>
      <c r="H1474" s="20">
        <f t="shared" si="117"/>
        <v>0</v>
      </c>
      <c r="I1474" s="21">
        <f t="shared" si="118"/>
        <v>0</v>
      </c>
      <c r="J1474" s="22" t="e">
        <f>VLOOKUP($A1474, TAB_JUROS_C[[DIAS_CORRIDOS]:[V_FUT_UTEIS]], J$5, FALSE)</f>
        <v>#N/A</v>
      </c>
      <c r="K1474" s="22" t="e">
        <f>VLOOKUP($A1474, TAB_CORRECAO_C[[DIAS_CORRIDOS]:[V_FUT_UTEIS]],K$5, FALSE)</f>
        <v>#N/A</v>
      </c>
      <c r="L1474" s="22" t="e">
        <f>VLOOKUP($A1474, TAB_AMORTIZACAO_C[[DIAS_CORRIDOS]:[V_FUT_UTEIS]], L$5, FALSE)</f>
        <v>#N/A</v>
      </c>
    </row>
    <row r="1475" spans="1:12" hidden="1">
      <c r="A1475" s="19">
        <f t="shared" si="119"/>
        <v>1469</v>
      </c>
      <c r="B1475" s="20">
        <f t="shared" si="115"/>
        <v>0</v>
      </c>
      <c r="C1475" s="21">
        <f t="shared" si="116"/>
        <v>0</v>
      </c>
      <c r="D1475" s="22" t="e">
        <f>VLOOKUP($A1475, TAB_JUROS_U[[Q_DIAS_U_PARC_TIR]:[V_FUT_U_JURS CENARIO]], D$5, FALSE)</f>
        <v>#N/A</v>
      </c>
      <c r="E1475" s="22" t="e">
        <f>VLOOKUP($A1475,TAB_CORRECAO_U[[Q_DIAS_U_PARC_TIR]:[V_FUT_U_CORC-02]],E$5, FALSE)</f>
        <v>#N/A</v>
      </c>
      <c r="F1475" s="22" t="e">
        <f>VLOOKUP($A1475,TAB_AMORTIZACAO_U[[Q_DIAS_U_PARC_TIR]:[V_FUT_U_PCPL-02]], F$5, FALSE)</f>
        <v>#N/A</v>
      </c>
      <c r="H1475" s="20">
        <f t="shared" si="117"/>
        <v>0</v>
      </c>
      <c r="I1475" s="21">
        <f t="shared" si="118"/>
        <v>0</v>
      </c>
      <c r="J1475" s="22" t="e">
        <f>VLOOKUP($A1475, TAB_JUROS_C[[DIAS_CORRIDOS]:[V_FUT_UTEIS]], J$5, FALSE)</f>
        <v>#N/A</v>
      </c>
      <c r="K1475" s="22" t="e">
        <f>VLOOKUP($A1475, TAB_CORRECAO_C[[DIAS_CORRIDOS]:[V_FUT_UTEIS]],K$5, FALSE)</f>
        <v>#N/A</v>
      </c>
      <c r="L1475" s="22" t="e">
        <f>VLOOKUP($A1475, TAB_AMORTIZACAO_C[[DIAS_CORRIDOS]:[V_FUT_UTEIS]], L$5, FALSE)</f>
        <v>#N/A</v>
      </c>
    </row>
    <row r="1476" spans="1:12" hidden="1">
      <c r="A1476" s="19">
        <f t="shared" si="119"/>
        <v>1470</v>
      </c>
      <c r="B1476" s="20">
        <f t="shared" si="115"/>
        <v>0</v>
      </c>
      <c r="C1476" s="21">
        <f t="shared" si="116"/>
        <v>0</v>
      </c>
      <c r="D1476" s="22" t="e">
        <f>VLOOKUP($A1476, TAB_JUROS_U[[Q_DIAS_U_PARC_TIR]:[V_FUT_U_JURS CENARIO]], D$5, FALSE)</f>
        <v>#N/A</v>
      </c>
      <c r="E1476" s="22" t="e">
        <f>VLOOKUP($A1476,TAB_CORRECAO_U[[Q_DIAS_U_PARC_TIR]:[V_FUT_U_CORC-02]],E$5, FALSE)</f>
        <v>#N/A</v>
      </c>
      <c r="F1476" s="22" t="e">
        <f>VLOOKUP($A1476,TAB_AMORTIZACAO_U[[Q_DIAS_U_PARC_TIR]:[V_FUT_U_PCPL-02]], F$5, FALSE)</f>
        <v>#N/A</v>
      </c>
      <c r="H1476" s="20">
        <f t="shared" si="117"/>
        <v>0</v>
      </c>
      <c r="I1476" s="21">
        <f t="shared" si="118"/>
        <v>0</v>
      </c>
      <c r="J1476" s="22" t="e">
        <f>VLOOKUP($A1476, TAB_JUROS_C[[DIAS_CORRIDOS]:[V_FUT_UTEIS]], J$5, FALSE)</f>
        <v>#N/A</v>
      </c>
      <c r="K1476" s="22" t="e">
        <f>VLOOKUP($A1476, TAB_CORRECAO_C[[DIAS_CORRIDOS]:[V_FUT_UTEIS]],K$5, FALSE)</f>
        <v>#N/A</v>
      </c>
      <c r="L1476" s="22" t="e">
        <f>VLOOKUP($A1476, TAB_AMORTIZACAO_C[[DIAS_CORRIDOS]:[V_FUT_UTEIS]], L$5, FALSE)</f>
        <v>#N/A</v>
      </c>
    </row>
    <row r="1477" spans="1:12" hidden="1">
      <c r="A1477" s="19">
        <f t="shared" si="119"/>
        <v>1471</v>
      </c>
      <c r="B1477" s="20">
        <f t="shared" si="115"/>
        <v>0</v>
      </c>
      <c r="C1477" s="21">
        <f t="shared" si="116"/>
        <v>0</v>
      </c>
      <c r="D1477" s="22" t="e">
        <f>VLOOKUP($A1477, TAB_JUROS_U[[Q_DIAS_U_PARC_TIR]:[V_FUT_U_JURS CENARIO]], D$5, FALSE)</f>
        <v>#N/A</v>
      </c>
      <c r="E1477" s="22" t="e">
        <f>VLOOKUP($A1477,TAB_CORRECAO_U[[Q_DIAS_U_PARC_TIR]:[V_FUT_U_CORC-02]],E$5, FALSE)</f>
        <v>#N/A</v>
      </c>
      <c r="F1477" s="22" t="e">
        <f>VLOOKUP($A1477,TAB_AMORTIZACAO_U[[Q_DIAS_U_PARC_TIR]:[V_FUT_U_PCPL-02]], F$5, FALSE)</f>
        <v>#N/A</v>
      </c>
      <c r="H1477" s="20">
        <f t="shared" si="117"/>
        <v>0</v>
      </c>
      <c r="I1477" s="21">
        <f t="shared" si="118"/>
        <v>0</v>
      </c>
      <c r="J1477" s="22" t="e">
        <f>VLOOKUP($A1477, TAB_JUROS_C[[DIAS_CORRIDOS]:[V_FUT_UTEIS]], J$5, FALSE)</f>
        <v>#N/A</v>
      </c>
      <c r="K1477" s="22" t="e">
        <f>VLOOKUP($A1477, TAB_CORRECAO_C[[DIAS_CORRIDOS]:[V_FUT_UTEIS]],K$5, FALSE)</f>
        <v>#N/A</v>
      </c>
      <c r="L1477" s="22" t="e">
        <f>VLOOKUP($A1477, TAB_AMORTIZACAO_C[[DIAS_CORRIDOS]:[V_FUT_UTEIS]], L$5, FALSE)</f>
        <v>#N/A</v>
      </c>
    </row>
    <row r="1478" spans="1:12" hidden="1">
      <c r="A1478" s="19">
        <f t="shared" si="119"/>
        <v>1472</v>
      </c>
      <c r="B1478" s="20">
        <f t="shared" si="115"/>
        <v>0</v>
      </c>
      <c r="C1478" s="21">
        <f t="shared" si="116"/>
        <v>0</v>
      </c>
      <c r="D1478" s="22" t="e">
        <f>VLOOKUP($A1478, TAB_JUROS_U[[Q_DIAS_U_PARC_TIR]:[V_FUT_U_JURS CENARIO]], D$5, FALSE)</f>
        <v>#N/A</v>
      </c>
      <c r="E1478" s="22" t="e">
        <f>VLOOKUP($A1478,TAB_CORRECAO_U[[Q_DIAS_U_PARC_TIR]:[V_FUT_U_CORC-02]],E$5, FALSE)</f>
        <v>#N/A</v>
      </c>
      <c r="F1478" s="22" t="e">
        <f>VLOOKUP($A1478,TAB_AMORTIZACAO_U[[Q_DIAS_U_PARC_TIR]:[V_FUT_U_PCPL-02]], F$5, FALSE)</f>
        <v>#N/A</v>
      </c>
      <c r="H1478" s="20">
        <f t="shared" si="117"/>
        <v>0</v>
      </c>
      <c r="I1478" s="21">
        <f t="shared" si="118"/>
        <v>0</v>
      </c>
      <c r="J1478" s="22" t="e">
        <f>VLOOKUP($A1478, TAB_JUROS_C[[DIAS_CORRIDOS]:[V_FUT_UTEIS]], J$5, FALSE)</f>
        <v>#N/A</v>
      </c>
      <c r="K1478" s="22" t="e">
        <f>VLOOKUP($A1478, TAB_CORRECAO_C[[DIAS_CORRIDOS]:[V_FUT_UTEIS]],K$5, FALSE)</f>
        <v>#N/A</v>
      </c>
      <c r="L1478" s="22" t="e">
        <f>VLOOKUP($A1478, TAB_AMORTIZACAO_C[[DIAS_CORRIDOS]:[V_FUT_UTEIS]], L$5, FALSE)</f>
        <v>#N/A</v>
      </c>
    </row>
    <row r="1479" spans="1:12" hidden="1">
      <c r="A1479" s="19">
        <f t="shared" si="119"/>
        <v>1473</v>
      </c>
      <c r="B1479" s="20">
        <f t="shared" si="115"/>
        <v>0</v>
      </c>
      <c r="C1479" s="21">
        <f t="shared" si="116"/>
        <v>0</v>
      </c>
      <c r="D1479" s="22" t="e">
        <f>VLOOKUP($A1479, TAB_JUROS_U[[Q_DIAS_U_PARC_TIR]:[V_FUT_U_JURS CENARIO]], D$5, FALSE)</f>
        <v>#N/A</v>
      </c>
      <c r="E1479" s="22" t="e">
        <f>VLOOKUP($A1479,TAB_CORRECAO_U[[Q_DIAS_U_PARC_TIR]:[V_FUT_U_CORC-02]],E$5, FALSE)</f>
        <v>#N/A</v>
      </c>
      <c r="F1479" s="22" t="e">
        <f>VLOOKUP($A1479,TAB_AMORTIZACAO_U[[Q_DIAS_U_PARC_TIR]:[V_FUT_U_PCPL-02]], F$5, FALSE)</f>
        <v>#N/A</v>
      </c>
      <c r="H1479" s="20">
        <f t="shared" si="117"/>
        <v>888.06996341974332</v>
      </c>
      <c r="I1479" s="21">
        <f t="shared" si="118"/>
        <v>888.06996341974332</v>
      </c>
      <c r="J1479" s="22">
        <f>VLOOKUP($A1479, TAB_JUROS_C[[DIAS_CORRIDOS]:[V_FUT_UTEIS]], J$5, FALSE)</f>
        <v>66.114412788364589</v>
      </c>
      <c r="K1479" s="22">
        <f>VLOOKUP($A1479, TAB_CORRECAO_C[[DIAS_CORRIDOS]:[V_FUT_UTEIS]],K$5, FALSE)</f>
        <v>400.84136753919842</v>
      </c>
      <c r="L1479" s="22">
        <f>VLOOKUP($A1479, TAB_AMORTIZACAO_C[[DIAS_CORRIDOS]:[V_FUT_UTEIS]], L$5, FALSE)</f>
        <v>421.11418309218033</v>
      </c>
    </row>
    <row r="1480" spans="1:12" hidden="1">
      <c r="A1480" s="19">
        <f t="shared" si="119"/>
        <v>1474</v>
      </c>
      <c r="B1480" s="20">
        <f t="shared" si="115"/>
        <v>0</v>
      </c>
      <c r="C1480" s="21">
        <f t="shared" si="116"/>
        <v>0</v>
      </c>
      <c r="D1480" s="22" t="e">
        <f>VLOOKUP($A1480, TAB_JUROS_U[[Q_DIAS_U_PARC_TIR]:[V_FUT_U_JURS CENARIO]], D$5, FALSE)</f>
        <v>#N/A</v>
      </c>
      <c r="E1480" s="22" t="e">
        <f>VLOOKUP($A1480,TAB_CORRECAO_U[[Q_DIAS_U_PARC_TIR]:[V_FUT_U_CORC-02]],E$5, FALSE)</f>
        <v>#N/A</v>
      </c>
      <c r="F1480" s="22" t="e">
        <f>VLOOKUP($A1480,TAB_AMORTIZACAO_U[[Q_DIAS_U_PARC_TIR]:[V_FUT_U_PCPL-02]], F$5, FALSE)</f>
        <v>#N/A</v>
      </c>
      <c r="H1480" s="20">
        <f t="shared" si="117"/>
        <v>0</v>
      </c>
      <c r="I1480" s="21">
        <f t="shared" si="118"/>
        <v>0</v>
      </c>
      <c r="J1480" s="22" t="e">
        <f>VLOOKUP($A1480, TAB_JUROS_C[[DIAS_CORRIDOS]:[V_FUT_UTEIS]], J$5, FALSE)</f>
        <v>#N/A</v>
      </c>
      <c r="K1480" s="22" t="e">
        <f>VLOOKUP($A1480, TAB_CORRECAO_C[[DIAS_CORRIDOS]:[V_FUT_UTEIS]],K$5, FALSE)</f>
        <v>#N/A</v>
      </c>
      <c r="L1480" s="22" t="e">
        <f>VLOOKUP($A1480, TAB_AMORTIZACAO_C[[DIAS_CORRIDOS]:[V_FUT_UTEIS]], L$5, FALSE)</f>
        <v>#N/A</v>
      </c>
    </row>
    <row r="1481" spans="1:12">
      <c r="A1481" s="19">
        <f t="shared" si="119"/>
        <v>1475</v>
      </c>
      <c r="B1481" s="20">
        <f t="shared" ref="B1481:B1544" si="120">IF(ISERROR(C1481), 0, C1481)</f>
        <v>517.17633437499035</v>
      </c>
      <c r="C1481" s="21">
        <f t="shared" ref="C1481:C1544" si="121">SUMIF(D1481:F1481, "&gt;0", D1481:F1481)</f>
        <v>517.17633437499035</v>
      </c>
      <c r="D1481" s="22">
        <f>VLOOKUP($A1481, TAB_JUROS_U[[Q_DIAS_U_PARC_TIR]:[V_FUT_U_JURS CENARIO]], D$5, FALSE)</f>
        <v>35.05461493032076</v>
      </c>
      <c r="E1481" s="22">
        <f>VLOOKUP($A1481,TAB_CORRECAO_U[[Q_DIAS_U_PARC_TIR]:[V_FUT_U_CORC-02]],E$5, FALSE)</f>
        <v>211.68555966506193</v>
      </c>
      <c r="F1481" s="22">
        <f>VLOOKUP($A1481,TAB_AMORTIZACAO_U[[Q_DIAS_U_PARC_TIR]:[V_FUT_U_PCPL-02]], F$5, FALSE)</f>
        <v>270.43615977960764</v>
      </c>
      <c r="H1481" s="20">
        <f t="shared" ref="H1481:H1544" si="122">IF(ISERROR(I1481), 0, I1481)</f>
        <v>0</v>
      </c>
      <c r="I1481" s="21">
        <f t="shared" ref="I1481:I1544" si="123">SUMIF(J1481:L1481, "&gt;0", J1481:L1481)</f>
        <v>0</v>
      </c>
      <c r="J1481" s="22" t="e">
        <f>VLOOKUP($A1481, TAB_JUROS_C[[DIAS_CORRIDOS]:[V_FUT_UTEIS]], J$5, FALSE)</f>
        <v>#N/A</v>
      </c>
      <c r="K1481" s="22" t="e">
        <f>VLOOKUP($A1481, TAB_CORRECAO_C[[DIAS_CORRIDOS]:[V_FUT_UTEIS]],K$5, FALSE)</f>
        <v>#N/A</v>
      </c>
      <c r="L1481" s="22" t="e">
        <f>VLOOKUP($A1481, TAB_AMORTIZACAO_C[[DIAS_CORRIDOS]:[V_FUT_UTEIS]], L$5, FALSE)</f>
        <v>#N/A</v>
      </c>
    </row>
    <row r="1482" spans="1:12" hidden="1">
      <c r="A1482" s="19">
        <f t="shared" ref="A1482:A1545" si="124">A1481+1</f>
        <v>1476</v>
      </c>
      <c r="B1482" s="20">
        <f t="shared" si="120"/>
        <v>0</v>
      </c>
      <c r="C1482" s="21">
        <f t="shared" si="121"/>
        <v>0</v>
      </c>
      <c r="D1482" s="22" t="e">
        <f>VLOOKUP($A1482, TAB_JUROS_U[[Q_DIAS_U_PARC_TIR]:[V_FUT_U_JURS CENARIO]], D$5, FALSE)</f>
        <v>#N/A</v>
      </c>
      <c r="E1482" s="22" t="e">
        <f>VLOOKUP($A1482,TAB_CORRECAO_U[[Q_DIAS_U_PARC_TIR]:[V_FUT_U_CORC-02]],E$5, FALSE)</f>
        <v>#N/A</v>
      </c>
      <c r="F1482" s="22" t="e">
        <f>VLOOKUP($A1482,TAB_AMORTIZACAO_U[[Q_DIAS_U_PARC_TIR]:[V_FUT_U_PCPL-02]], F$5, FALSE)</f>
        <v>#N/A</v>
      </c>
      <c r="H1482" s="20">
        <f t="shared" si="122"/>
        <v>0</v>
      </c>
      <c r="I1482" s="21">
        <f t="shared" si="123"/>
        <v>0</v>
      </c>
      <c r="J1482" s="22" t="e">
        <f>VLOOKUP($A1482, TAB_JUROS_C[[DIAS_CORRIDOS]:[V_FUT_UTEIS]], J$5, FALSE)</f>
        <v>#N/A</v>
      </c>
      <c r="K1482" s="22" t="e">
        <f>VLOOKUP($A1482, TAB_CORRECAO_C[[DIAS_CORRIDOS]:[V_FUT_UTEIS]],K$5, FALSE)</f>
        <v>#N/A</v>
      </c>
      <c r="L1482" s="22" t="e">
        <f>VLOOKUP($A1482, TAB_AMORTIZACAO_C[[DIAS_CORRIDOS]:[V_FUT_UTEIS]], L$5, FALSE)</f>
        <v>#N/A</v>
      </c>
    </row>
    <row r="1483" spans="1:12" hidden="1">
      <c r="A1483" s="19">
        <f t="shared" si="124"/>
        <v>1477</v>
      </c>
      <c r="B1483" s="20">
        <f t="shared" si="120"/>
        <v>0</v>
      </c>
      <c r="C1483" s="21">
        <f t="shared" si="121"/>
        <v>0</v>
      </c>
      <c r="D1483" s="22" t="e">
        <f>VLOOKUP($A1483, TAB_JUROS_U[[Q_DIAS_U_PARC_TIR]:[V_FUT_U_JURS CENARIO]], D$5, FALSE)</f>
        <v>#N/A</v>
      </c>
      <c r="E1483" s="22" t="e">
        <f>VLOOKUP($A1483,TAB_CORRECAO_U[[Q_DIAS_U_PARC_TIR]:[V_FUT_U_CORC-02]],E$5, FALSE)</f>
        <v>#N/A</v>
      </c>
      <c r="F1483" s="22" t="e">
        <f>VLOOKUP($A1483,TAB_AMORTIZACAO_U[[Q_DIAS_U_PARC_TIR]:[V_FUT_U_PCPL-02]], F$5, FALSE)</f>
        <v>#N/A</v>
      </c>
      <c r="H1483" s="20">
        <f t="shared" si="122"/>
        <v>0</v>
      </c>
      <c r="I1483" s="21">
        <f t="shared" si="123"/>
        <v>0</v>
      </c>
      <c r="J1483" s="22" t="e">
        <f>VLOOKUP($A1483, TAB_JUROS_C[[DIAS_CORRIDOS]:[V_FUT_UTEIS]], J$5, FALSE)</f>
        <v>#N/A</v>
      </c>
      <c r="K1483" s="22" t="e">
        <f>VLOOKUP($A1483, TAB_CORRECAO_C[[DIAS_CORRIDOS]:[V_FUT_UTEIS]],K$5, FALSE)</f>
        <v>#N/A</v>
      </c>
      <c r="L1483" s="22" t="e">
        <f>VLOOKUP($A1483, TAB_AMORTIZACAO_C[[DIAS_CORRIDOS]:[V_FUT_UTEIS]], L$5, FALSE)</f>
        <v>#N/A</v>
      </c>
    </row>
    <row r="1484" spans="1:12" hidden="1">
      <c r="A1484" s="19">
        <f t="shared" si="124"/>
        <v>1478</v>
      </c>
      <c r="B1484" s="20">
        <f t="shared" si="120"/>
        <v>0</v>
      </c>
      <c r="C1484" s="21">
        <f t="shared" si="121"/>
        <v>0</v>
      </c>
      <c r="D1484" s="22" t="e">
        <f>VLOOKUP($A1484, TAB_JUROS_U[[Q_DIAS_U_PARC_TIR]:[V_FUT_U_JURS CENARIO]], D$5, FALSE)</f>
        <v>#N/A</v>
      </c>
      <c r="E1484" s="22" t="e">
        <f>VLOOKUP($A1484,TAB_CORRECAO_U[[Q_DIAS_U_PARC_TIR]:[V_FUT_U_CORC-02]],E$5, FALSE)</f>
        <v>#N/A</v>
      </c>
      <c r="F1484" s="22" t="e">
        <f>VLOOKUP($A1484,TAB_AMORTIZACAO_U[[Q_DIAS_U_PARC_TIR]:[V_FUT_U_PCPL-02]], F$5, FALSE)</f>
        <v>#N/A</v>
      </c>
      <c r="H1484" s="20">
        <f t="shared" si="122"/>
        <v>0</v>
      </c>
      <c r="I1484" s="21">
        <f t="shared" si="123"/>
        <v>0</v>
      </c>
      <c r="J1484" s="22" t="e">
        <f>VLOOKUP($A1484, TAB_JUROS_C[[DIAS_CORRIDOS]:[V_FUT_UTEIS]], J$5, FALSE)</f>
        <v>#N/A</v>
      </c>
      <c r="K1484" s="22" t="e">
        <f>VLOOKUP($A1484, TAB_CORRECAO_C[[DIAS_CORRIDOS]:[V_FUT_UTEIS]],K$5, FALSE)</f>
        <v>#N/A</v>
      </c>
      <c r="L1484" s="22" t="e">
        <f>VLOOKUP($A1484, TAB_AMORTIZACAO_C[[DIAS_CORRIDOS]:[V_FUT_UTEIS]], L$5, FALSE)</f>
        <v>#N/A</v>
      </c>
    </row>
    <row r="1485" spans="1:12" hidden="1">
      <c r="A1485" s="19">
        <f t="shared" si="124"/>
        <v>1479</v>
      </c>
      <c r="B1485" s="20">
        <f t="shared" si="120"/>
        <v>0</v>
      </c>
      <c r="C1485" s="21">
        <f t="shared" si="121"/>
        <v>0</v>
      </c>
      <c r="D1485" s="22" t="e">
        <f>VLOOKUP($A1485, TAB_JUROS_U[[Q_DIAS_U_PARC_TIR]:[V_FUT_U_JURS CENARIO]], D$5, FALSE)</f>
        <v>#N/A</v>
      </c>
      <c r="E1485" s="22" t="e">
        <f>VLOOKUP($A1485,TAB_CORRECAO_U[[Q_DIAS_U_PARC_TIR]:[V_FUT_U_CORC-02]],E$5, FALSE)</f>
        <v>#N/A</v>
      </c>
      <c r="F1485" s="22" t="e">
        <f>VLOOKUP($A1485,TAB_AMORTIZACAO_U[[Q_DIAS_U_PARC_TIR]:[V_FUT_U_PCPL-02]], F$5, FALSE)</f>
        <v>#N/A</v>
      </c>
      <c r="H1485" s="20">
        <f t="shared" si="122"/>
        <v>0</v>
      </c>
      <c r="I1485" s="21">
        <f t="shared" si="123"/>
        <v>0</v>
      </c>
      <c r="J1485" s="22" t="e">
        <f>VLOOKUP($A1485, TAB_JUROS_C[[DIAS_CORRIDOS]:[V_FUT_UTEIS]], J$5, FALSE)</f>
        <v>#N/A</v>
      </c>
      <c r="K1485" s="22" t="e">
        <f>VLOOKUP($A1485, TAB_CORRECAO_C[[DIAS_CORRIDOS]:[V_FUT_UTEIS]],K$5, FALSE)</f>
        <v>#N/A</v>
      </c>
      <c r="L1485" s="22" t="e">
        <f>VLOOKUP($A1485, TAB_AMORTIZACAO_C[[DIAS_CORRIDOS]:[V_FUT_UTEIS]], L$5, FALSE)</f>
        <v>#N/A</v>
      </c>
    </row>
    <row r="1486" spans="1:12" hidden="1">
      <c r="A1486" s="19">
        <f t="shared" si="124"/>
        <v>1480</v>
      </c>
      <c r="B1486" s="20">
        <f t="shared" si="120"/>
        <v>0</v>
      </c>
      <c r="C1486" s="21">
        <f t="shared" si="121"/>
        <v>0</v>
      </c>
      <c r="D1486" s="22" t="e">
        <f>VLOOKUP($A1486, TAB_JUROS_U[[Q_DIAS_U_PARC_TIR]:[V_FUT_U_JURS CENARIO]], D$5, FALSE)</f>
        <v>#N/A</v>
      </c>
      <c r="E1486" s="22" t="e">
        <f>VLOOKUP($A1486,TAB_CORRECAO_U[[Q_DIAS_U_PARC_TIR]:[V_FUT_U_CORC-02]],E$5, FALSE)</f>
        <v>#N/A</v>
      </c>
      <c r="F1486" s="22" t="e">
        <f>VLOOKUP($A1486,TAB_AMORTIZACAO_U[[Q_DIAS_U_PARC_TIR]:[V_FUT_U_PCPL-02]], F$5, FALSE)</f>
        <v>#N/A</v>
      </c>
      <c r="H1486" s="20">
        <f t="shared" si="122"/>
        <v>0</v>
      </c>
      <c r="I1486" s="21">
        <f t="shared" si="123"/>
        <v>0</v>
      </c>
      <c r="J1486" s="22" t="e">
        <f>VLOOKUP($A1486, TAB_JUROS_C[[DIAS_CORRIDOS]:[V_FUT_UTEIS]], J$5, FALSE)</f>
        <v>#N/A</v>
      </c>
      <c r="K1486" s="22" t="e">
        <f>VLOOKUP($A1486, TAB_CORRECAO_C[[DIAS_CORRIDOS]:[V_FUT_UTEIS]],K$5, FALSE)</f>
        <v>#N/A</v>
      </c>
      <c r="L1486" s="22" t="e">
        <f>VLOOKUP($A1486, TAB_AMORTIZACAO_C[[DIAS_CORRIDOS]:[V_FUT_UTEIS]], L$5, FALSE)</f>
        <v>#N/A</v>
      </c>
    </row>
    <row r="1487" spans="1:12" hidden="1">
      <c r="A1487" s="19">
        <f t="shared" si="124"/>
        <v>1481</v>
      </c>
      <c r="B1487" s="20">
        <f t="shared" si="120"/>
        <v>0</v>
      </c>
      <c r="C1487" s="21">
        <f t="shared" si="121"/>
        <v>0</v>
      </c>
      <c r="D1487" s="22" t="e">
        <f>VLOOKUP($A1487, TAB_JUROS_U[[Q_DIAS_U_PARC_TIR]:[V_FUT_U_JURS CENARIO]], D$5, FALSE)</f>
        <v>#N/A</v>
      </c>
      <c r="E1487" s="22" t="e">
        <f>VLOOKUP($A1487,TAB_CORRECAO_U[[Q_DIAS_U_PARC_TIR]:[V_FUT_U_CORC-02]],E$5, FALSE)</f>
        <v>#N/A</v>
      </c>
      <c r="F1487" s="22" t="e">
        <f>VLOOKUP($A1487,TAB_AMORTIZACAO_U[[Q_DIAS_U_PARC_TIR]:[V_FUT_U_PCPL-02]], F$5, FALSE)</f>
        <v>#N/A</v>
      </c>
      <c r="H1487" s="20">
        <f t="shared" si="122"/>
        <v>0</v>
      </c>
      <c r="I1487" s="21">
        <f t="shared" si="123"/>
        <v>0</v>
      </c>
      <c r="J1487" s="22" t="e">
        <f>VLOOKUP($A1487, TAB_JUROS_C[[DIAS_CORRIDOS]:[V_FUT_UTEIS]], J$5, FALSE)</f>
        <v>#N/A</v>
      </c>
      <c r="K1487" s="22" t="e">
        <f>VLOOKUP($A1487, TAB_CORRECAO_C[[DIAS_CORRIDOS]:[V_FUT_UTEIS]],K$5, FALSE)</f>
        <v>#N/A</v>
      </c>
      <c r="L1487" s="22" t="e">
        <f>VLOOKUP($A1487, TAB_AMORTIZACAO_C[[DIAS_CORRIDOS]:[V_FUT_UTEIS]], L$5, FALSE)</f>
        <v>#N/A</v>
      </c>
    </row>
    <row r="1488" spans="1:12" hidden="1">
      <c r="A1488" s="19">
        <f t="shared" si="124"/>
        <v>1482</v>
      </c>
      <c r="B1488" s="20">
        <f t="shared" si="120"/>
        <v>0</v>
      </c>
      <c r="C1488" s="21">
        <f t="shared" si="121"/>
        <v>0</v>
      </c>
      <c r="D1488" s="22" t="e">
        <f>VLOOKUP($A1488, TAB_JUROS_U[[Q_DIAS_U_PARC_TIR]:[V_FUT_U_JURS CENARIO]], D$5, FALSE)</f>
        <v>#N/A</v>
      </c>
      <c r="E1488" s="22" t="e">
        <f>VLOOKUP($A1488,TAB_CORRECAO_U[[Q_DIAS_U_PARC_TIR]:[V_FUT_U_CORC-02]],E$5, FALSE)</f>
        <v>#N/A</v>
      </c>
      <c r="F1488" s="22" t="e">
        <f>VLOOKUP($A1488,TAB_AMORTIZACAO_U[[Q_DIAS_U_PARC_TIR]:[V_FUT_U_PCPL-02]], F$5, FALSE)</f>
        <v>#N/A</v>
      </c>
      <c r="H1488" s="20">
        <f t="shared" si="122"/>
        <v>0</v>
      </c>
      <c r="I1488" s="21">
        <f t="shared" si="123"/>
        <v>0</v>
      </c>
      <c r="J1488" s="22" t="e">
        <f>VLOOKUP($A1488, TAB_JUROS_C[[DIAS_CORRIDOS]:[V_FUT_UTEIS]], J$5, FALSE)</f>
        <v>#N/A</v>
      </c>
      <c r="K1488" s="22" t="e">
        <f>VLOOKUP($A1488, TAB_CORRECAO_C[[DIAS_CORRIDOS]:[V_FUT_UTEIS]],K$5, FALSE)</f>
        <v>#N/A</v>
      </c>
      <c r="L1488" s="22" t="e">
        <f>VLOOKUP($A1488, TAB_AMORTIZACAO_C[[DIAS_CORRIDOS]:[V_FUT_UTEIS]], L$5, FALSE)</f>
        <v>#N/A</v>
      </c>
    </row>
    <row r="1489" spans="1:12" hidden="1">
      <c r="A1489" s="19">
        <f t="shared" si="124"/>
        <v>1483</v>
      </c>
      <c r="B1489" s="20">
        <f t="shared" si="120"/>
        <v>0</v>
      </c>
      <c r="C1489" s="21">
        <f t="shared" si="121"/>
        <v>0</v>
      </c>
      <c r="D1489" s="22" t="e">
        <f>VLOOKUP($A1489, TAB_JUROS_U[[Q_DIAS_U_PARC_TIR]:[V_FUT_U_JURS CENARIO]], D$5, FALSE)</f>
        <v>#N/A</v>
      </c>
      <c r="E1489" s="22" t="e">
        <f>VLOOKUP($A1489,TAB_CORRECAO_U[[Q_DIAS_U_PARC_TIR]:[V_FUT_U_CORC-02]],E$5, FALSE)</f>
        <v>#N/A</v>
      </c>
      <c r="F1489" s="22" t="e">
        <f>VLOOKUP($A1489,TAB_AMORTIZACAO_U[[Q_DIAS_U_PARC_TIR]:[V_FUT_U_PCPL-02]], F$5, FALSE)</f>
        <v>#N/A</v>
      </c>
      <c r="H1489" s="20">
        <f t="shared" si="122"/>
        <v>0</v>
      </c>
      <c r="I1489" s="21">
        <f t="shared" si="123"/>
        <v>0</v>
      </c>
      <c r="J1489" s="22" t="e">
        <f>VLOOKUP($A1489, TAB_JUROS_C[[DIAS_CORRIDOS]:[V_FUT_UTEIS]], J$5, FALSE)</f>
        <v>#N/A</v>
      </c>
      <c r="K1489" s="22" t="e">
        <f>VLOOKUP($A1489, TAB_CORRECAO_C[[DIAS_CORRIDOS]:[V_FUT_UTEIS]],K$5, FALSE)</f>
        <v>#N/A</v>
      </c>
      <c r="L1489" s="22" t="e">
        <f>VLOOKUP($A1489, TAB_AMORTIZACAO_C[[DIAS_CORRIDOS]:[V_FUT_UTEIS]], L$5, FALSE)</f>
        <v>#N/A</v>
      </c>
    </row>
    <row r="1490" spans="1:12" hidden="1">
      <c r="A1490" s="19">
        <f t="shared" si="124"/>
        <v>1484</v>
      </c>
      <c r="B1490" s="20">
        <f t="shared" si="120"/>
        <v>0</v>
      </c>
      <c r="C1490" s="21">
        <f t="shared" si="121"/>
        <v>0</v>
      </c>
      <c r="D1490" s="22" t="e">
        <f>VLOOKUP($A1490, TAB_JUROS_U[[Q_DIAS_U_PARC_TIR]:[V_FUT_U_JURS CENARIO]], D$5, FALSE)</f>
        <v>#N/A</v>
      </c>
      <c r="E1490" s="22" t="e">
        <f>VLOOKUP($A1490,TAB_CORRECAO_U[[Q_DIAS_U_PARC_TIR]:[V_FUT_U_CORC-02]],E$5, FALSE)</f>
        <v>#N/A</v>
      </c>
      <c r="F1490" s="22" t="e">
        <f>VLOOKUP($A1490,TAB_AMORTIZACAO_U[[Q_DIAS_U_PARC_TIR]:[V_FUT_U_PCPL-02]], F$5, FALSE)</f>
        <v>#N/A</v>
      </c>
      <c r="H1490" s="20">
        <f t="shared" si="122"/>
        <v>0</v>
      </c>
      <c r="I1490" s="21">
        <f t="shared" si="123"/>
        <v>0</v>
      </c>
      <c r="J1490" s="22" t="e">
        <f>VLOOKUP($A1490, TAB_JUROS_C[[DIAS_CORRIDOS]:[V_FUT_UTEIS]], J$5, FALSE)</f>
        <v>#N/A</v>
      </c>
      <c r="K1490" s="22" t="e">
        <f>VLOOKUP($A1490, TAB_CORRECAO_C[[DIAS_CORRIDOS]:[V_FUT_UTEIS]],K$5, FALSE)</f>
        <v>#N/A</v>
      </c>
      <c r="L1490" s="22" t="e">
        <f>VLOOKUP($A1490, TAB_AMORTIZACAO_C[[DIAS_CORRIDOS]:[V_FUT_UTEIS]], L$5, FALSE)</f>
        <v>#N/A</v>
      </c>
    </row>
    <row r="1491" spans="1:12" hidden="1">
      <c r="A1491" s="19">
        <f t="shared" si="124"/>
        <v>1485</v>
      </c>
      <c r="B1491" s="20">
        <f t="shared" si="120"/>
        <v>0</v>
      </c>
      <c r="C1491" s="21">
        <f t="shared" si="121"/>
        <v>0</v>
      </c>
      <c r="D1491" s="22" t="e">
        <f>VLOOKUP($A1491, TAB_JUROS_U[[Q_DIAS_U_PARC_TIR]:[V_FUT_U_JURS CENARIO]], D$5, FALSE)</f>
        <v>#N/A</v>
      </c>
      <c r="E1491" s="22" t="e">
        <f>VLOOKUP($A1491,TAB_CORRECAO_U[[Q_DIAS_U_PARC_TIR]:[V_FUT_U_CORC-02]],E$5, FALSE)</f>
        <v>#N/A</v>
      </c>
      <c r="F1491" s="22" t="e">
        <f>VLOOKUP($A1491,TAB_AMORTIZACAO_U[[Q_DIAS_U_PARC_TIR]:[V_FUT_U_PCPL-02]], F$5, FALSE)</f>
        <v>#N/A</v>
      </c>
      <c r="H1491" s="20">
        <f t="shared" si="122"/>
        <v>0</v>
      </c>
      <c r="I1491" s="21">
        <f t="shared" si="123"/>
        <v>0</v>
      </c>
      <c r="J1491" s="22" t="e">
        <f>VLOOKUP($A1491, TAB_JUROS_C[[DIAS_CORRIDOS]:[V_FUT_UTEIS]], J$5, FALSE)</f>
        <v>#N/A</v>
      </c>
      <c r="K1491" s="22" t="e">
        <f>VLOOKUP($A1491, TAB_CORRECAO_C[[DIAS_CORRIDOS]:[V_FUT_UTEIS]],K$5, FALSE)</f>
        <v>#N/A</v>
      </c>
      <c r="L1491" s="22" t="e">
        <f>VLOOKUP($A1491, TAB_AMORTIZACAO_C[[DIAS_CORRIDOS]:[V_FUT_UTEIS]], L$5, FALSE)</f>
        <v>#N/A</v>
      </c>
    </row>
    <row r="1492" spans="1:12" hidden="1">
      <c r="A1492" s="19">
        <f t="shared" si="124"/>
        <v>1486</v>
      </c>
      <c r="B1492" s="20">
        <f t="shared" si="120"/>
        <v>0</v>
      </c>
      <c r="C1492" s="21">
        <f t="shared" si="121"/>
        <v>0</v>
      </c>
      <c r="D1492" s="22" t="e">
        <f>VLOOKUP($A1492, TAB_JUROS_U[[Q_DIAS_U_PARC_TIR]:[V_FUT_U_JURS CENARIO]], D$5, FALSE)</f>
        <v>#N/A</v>
      </c>
      <c r="E1492" s="22" t="e">
        <f>VLOOKUP($A1492,TAB_CORRECAO_U[[Q_DIAS_U_PARC_TIR]:[V_FUT_U_CORC-02]],E$5, FALSE)</f>
        <v>#N/A</v>
      </c>
      <c r="F1492" s="22" t="e">
        <f>VLOOKUP($A1492,TAB_AMORTIZACAO_U[[Q_DIAS_U_PARC_TIR]:[V_FUT_U_PCPL-02]], F$5, FALSE)</f>
        <v>#N/A</v>
      </c>
      <c r="H1492" s="20">
        <f t="shared" si="122"/>
        <v>0</v>
      </c>
      <c r="I1492" s="21">
        <f t="shared" si="123"/>
        <v>0</v>
      </c>
      <c r="J1492" s="22" t="e">
        <f>VLOOKUP($A1492, TAB_JUROS_C[[DIAS_CORRIDOS]:[V_FUT_UTEIS]], J$5, FALSE)</f>
        <v>#N/A</v>
      </c>
      <c r="K1492" s="22" t="e">
        <f>VLOOKUP($A1492, TAB_CORRECAO_C[[DIAS_CORRIDOS]:[V_FUT_UTEIS]],K$5, FALSE)</f>
        <v>#N/A</v>
      </c>
      <c r="L1492" s="22" t="e">
        <f>VLOOKUP($A1492, TAB_AMORTIZACAO_C[[DIAS_CORRIDOS]:[V_FUT_UTEIS]], L$5, FALSE)</f>
        <v>#N/A</v>
      </c>
    </row>
    <row r="1493" spans="1:12" hidden="1">
      <c r="A1493" s="19">
        <f t="shared" si="124"/>
        <v>1487</v>
      </c>
      <c r="B1493" s="20">
        <f t="shared" si="120"/>
        <v>0</v>
      </c>
      <c r="C1493" s="21">
        <f t="shared" si="121"/>
        <v>0</v>
      </c>
      <c r="D1493" s="22" t="e">
        <f>VLOOKUP($A1493, TAB_JUROS_U[[Q_DIAS_U_PARC_TIR]:[V_FUT_U_JURS CENARIO]], D$5, FALSE)</f>
        <v>#N/A</v>
      </c>
      <c r="E1493" s="22" t="e">
        <f>VLOOKUP($A1493,TAB_CORRECAO_U[[Q_DIAS_U_PARC_TIR]:[V_FUT_U_CORC-02]],E$5, FALSE)</f>
        <v>#N/A</v>
      </c>
      <c r="F1493" s="22" t="e">
        <f>VLOOKUP($A1493,TAB_AMORTIZACAO_U[[Q_DIAS_U_PARC_TIR]:[V_FUT_U_PCPL-02]], F$5, FALSE)</f>
        <v>#N/A</v>
      </c>
      <c r="H1493" s="20">
        <f t="shared" si="122"/>
        <v>0</v>
      </c>
      <c r="I1493" s="21">
        <f t="shared" si="123"/>
        <v>0</v>
      </c>
      <c r="J1493" s="22" t="e">
        <f>VLOOKUP($A1493, TAB_JUROS_C[[DIAS_CORRIDOS]:[V_FUT_UTEIS]], J$5, FALSE)</f>
        <v>#N/A</v>
      </c>
      <c r="K1493" s="22" t="e">
        <f>VLOOKUP($A1493, TAB_CORRECAO_C[[DIAS_CORRIDOS]:[V_FUT_UTEIS]],K$5, FALSE)</f>
        <v>#N/A</v>
      </c>
      <c r="L1493" s="22" t="e">
        <f>VLOOKUP($A1493, TAB_AMORTIZACAO_C[[DIAS_CORRIDOS]:[V_FUT_UTEIS]], L$5, FALSE)</f>
        <v>#N/A</v>
      </c>
    </row>
    <row r="1494" spans="1:12" hidden="1">
      <c r="A1494" s="19">
        <f t="shared" si="124"/>
        <v>1488</v>
      </c>
      <c r="B1494" s="20">
        <f t="shared" si="120"/>
        <v>0</v>
      </c>
      <c r="C1494" s="21">
        <f t="shared" si="121"/>
        <v>0</v>
      </c>
      <c r="D1494" s="22" t="e">
        <f>VLOOKUP($A1494, TAB_JUROS_U[[Q_DIAS_U_PARC_TIR]:[V_FUT_U_JURS CENARIO]], D$5, FALSE)</f>
        <v>#N/A</v>
      </c>
      <c r="E1494" s="22" t="e">
        <f>VLOOKUP($A1494,TAB_CORRECAO_U[[Q_DIAS_U_PARC_TIR]:[V_FUT_U_CORC-02]],E$5, FALSE)</f>
        <v>#N/A</v>
      </c>
      <c r="F1494" s="22" t="e">
        <f>VLOOKUP($A1494,TAB_AMORTIZACAO_U[[Q_DIAS_U_PARC_TIR]:[V_FUT_U_PCPL-02]], F$5, FALSE)</f>
        <v>#N/A</v>
      </c>
      <c r="H1494" s="20">
        <f t="shared" si="122"/>
        <v>0</v>
      </c>
      <c r="I1494" s="21">
        <f t="shared" si="123"/>
        <v>0</v>
      </c>
      <c r="J1494" s="22" t="e">
        <f>VLOOKUP($A1494, TAB_JUROS_C[[DIAS_CORRIDOS]:[V_FUT_UTEIS]], J$5, FALSE)</f>
        <v>#N/A</v>
      </c>
      <c r="K1494" s="22" t="e">
        <f>VLOOKUP($A1494, TAB_CORRECAO_C[[DIAS_CORRIDOS]:[V_FUT_UTEIS]],K$5, FALSE)</f>
        <v>#N/A</v>
      </c>
      <c r="L1494" s="22" t="e">
        <f>VLOOKUP($A1494, TAB_AMORTIZACAO_C[[DIAS_CORRIDOS]:[V_FUT_UTEIS]], L$5, FALSE)</f>
        <v>#N/A</v>
      </c>
    </row>
    <row r="1495" spans="1:12" hidden="1">
      <c r="A1495" s="19">
        <f t="shared" si="124"/>
        <v>1489</v>
      </c>
      <c r="B1495" s="20">
        <f t="shared" si="120"/>
        <v>0</v>
      </c>
      <c r="C1495" s="21">
        <f t="shared" si="121"/>
        <v>0</v>
      </c>
      <c r="D1495" s="22" t="e">
        <f>VLOOKUP($A1495, TAB_JUROS_U[[Q_DIAS_U_PARC_TIR]:[V_FUT_U_JURS CENARIO]], D$5, FALSE)</f>
        <v>#N/A</v>
      </c>
      <c r="E1495" s="22" t="e">
        <f>VLOOKUP($A1495,TAB_CORRECAO_U[[Q_DIAS_U_PARC_TIR]:[V_FUT_U_CORC-02]],E$5, FALSE)</f>
        <v>#N/A</v>
      </c>
      <c r="F1495" s="22" t="e">
        <f>VLOOKUP($A1495,TAB_AMORTIZACAO_U[[Q_DIAS_U_PARC_TIR]:[V_FUT_U_PCPL-02]], F$5, FALSE)</f>
        <v>#N/A</v>
      </c>
      <c r="H1495" s="20">
        <f t="shared" si="122"/>
        <v>0</v>
      </c>
      <c r="I1495" s="21">
        <f t="shared" si="123"/>
        <v>0</v>
      </c>
      <c r="J1495" s="22" t="e">
        <f>VLOOKUP($A1495, TAB_JUROS_C[[DIAS_CORRIDOS]:[V_FUT_UTEIS]], J$5, FALSE)</f>
        <v>#N/A</v>
      </c>
      <c r="K1495" s="22" t="e">
        <f>VLOOKUP($A1495, TAB_CORRECAO_C[[DIAS_CORRIDOS]:[V_FUT_UTEIS]],K$5, FALSE)</f>
        <v>#N/A</v>
      </c>
      <c r="L1495" s="22" t="e">
        <f>VLOOKUP($A1495, TAB_AMORTIZACAO_C[[DIAS_CORRIDOS]:[V_FUT_UTEIS]], L$5, FALSE)</f>
        <v>#N/A</v>
      </c>
    </row>
    <row r="1496" spans="1:12" hidden="1">
      <c r="A1496" s="19">
        <f t="shared" si="124"/>
        <v>1490</v>
      </c>
      <c r="B1496" s="20">
        <f t="shared" si="120"/>
        <v>0</v>
      </c>
      <c r="C1496" s="21">
        <f t="shared" si="121"/>
        <v>0</v>
      </c>
      <c r="D1496" s="22" t="e">
        <f>VLOOKUP($A1496, TAB_JUROS_U[[Q_DIAS_U_PARC_TIR]:[V_FUT_U_JURS CENARIO]], D$5, FALSE)</f>
        <v>#N/A</v>
      </c>
      <c r="E1496" s="22" t="e">
        <f>VLOOKUP($A1496,TAB_CORRECAO_U[[Q_DIAS_U_PARC_TIR]:[V_FUT_U_CORC-02]],E$5, FALSE)</f>
        <v>#N/A</v>
      </c>
      <c r="F1496" s="22" t="e">
        <f>VLOOKUP($A1496,TAB_AMORTIZACAO_U[[Q_DIAS_U_PARC_TIR]:[V_FUT_U_PCPL-02]], F$5, FALSE)</f>
        <v>#N/A</v>
      </c>
      <c r="H1496" s="20">
        <f t="shared" si="122"/>
        <v>0</v>
      </c>
      <c r="I1496" s="21">
        <f t="shared" si="123"/>
        <v>0</v>
      </c>
      <c r="J1496" s="22" t="e">
        <f>VLOOKUP($A1496, TAB_JUROS_C[[DIAS_CORRIDOS]:[V_FUT_UTEIS]], J$5, FALSE)</f>
        <v>#N/A</v>
      </c>
      <c r="K1496" s="22" t="e">
        <f>VLOOKUP($A1496, TAB_CORRECAO_C[[DIAS_CORRIDOS]:[V_FUT_UTEIS]],K$5, FALSE)</f>
        <v>#N/A</v>
      </c>
      <c r="L1496" s="22" t="e">
        <f>VLOOKUP($A1496, TAB_AMORTIZACAO_C[[DIAS_CORRIDOS]:[V_FUT_UTEIS]], L$5, FALSE)</f>
        <v>#N/A</v>
      </c>
    </row>
    <row r="1497" spans="1:12" hidden="1">
      <c r="A1497" s="19">
        <f t="shared" si="124"/>
        <v>1491</v>
      </c>
      <c r="B1497" s="20">
        <f t="shared" si="120"/>
        <v>0</v>
      </c>
      <c r="C1497" s="21">
        <f t="shared" si="121"/>
        <v>0</v>
      </c>
      <c r="D1497" s="22" t="e">
        <f>VLOOKUP($A1497, TAB_JUROS_U[[Q_DIAS_U_PARC_TIR]:[V_FUT_U_JURS CENARIO]], D$5, FALSE)</f>
        <v>#N/A</v>
      </c>
      <c r="E1497" s="22" t="e">
        <f>VLOOKUP($A1497,TAB_CORRECAO_U[[Q_DIAS_U_PARC_TIR]:[V_FUT_U_CORC-02]],E$5, FALSE)</f>
        <v>#N/A</v>
      </c>
      <c r="F1497" s="22" t="e">
        <f>VLOOKUP($A1497,TAB_AMORTIZACAO_U[[Q_DIAS_U_PARC_TIR]:[V_FUT_U_PCPL-02]], F$5, FALSE)</f>
        <v>#N/A</v>
      </c>
      <c r="H1497" s="20">
        <f t="shared" si="122"/>
        <v>0</v>
      </c>
      <c r="I1497" s="21">
        <f t="shared" si="123"/>
        <v>0</v>
      </c>
      <c r="J1497" s="22" t="e">
        <f>VLOOKUP($A1497, TAB_JUROS_C[[DIAS_CORRIDOS]:[V_FUT_UTEIS]], J$5, FALSE)</f>
        <v>#N/A</v>
      </c>
      <c r="K1497" s="22" t="e">
        <f>VLOOKUP($A1497, TAB_CORRECAO_C[[DIAS_CORRIDOS]:[V_FUT_UTEIS]],K$5, FALSE)</f>
        <v>#N/A</v>
      </c>
      <c r="L1497" s="22" t="e">
        <f>VLOOKUP($A1497, TAB_AMORTIZACAO_C[[DIAS_CORRIDOS]:[V_FUT_UTEIS]], L$5, FALSE)</f>
        <v>#N/A</v>
      </c>
    </row>
    <row r="1498" spans="1:12" hidden="1">
      <c r="A1498" s="19">
        <f t="shared" si="124"/>
        <v>1492</v>
      </c>
      <c r="B1498" s="20">
        <f t="shared" si="120"/>
        <v>0</v>
      </c>
      <c r="C1498" s="21">
        <f t="shared" si="121"/>
        <v>0</v>
      </c>
      <c r="D1498" s="22" t="e">
        <f>VLOOKUP($A1498, TAB_JUROS_U[[Q_DIAS_U_PARC_TIR]:[V_FUT_U_JURS CENARIO]], D$5, FALSE)</f>
        <v>#N/A</v>
      </c>
      <c r="E1498" s="22" t="e">
        <f>VLOOKUP($A1498,TAB_CORRECAO_U[[Q_DIAS_U_PARC_TIR]:[V_FUT_U_CORC-02]],E$5, FALSE)</f>
        <v>#N/A</v>
      </c>
      <c r="F1498" s="22" t="e">
        <f>VLOOKUP($A1498,TAB_AMORTIZACAO_U[[Q_DIAS_U_PARC_TIR]:[V_FUT_U_PCPL-02]], F$5, FALSE)</f>
        <v>#N/A</v>
      </c>
      <c r="H1498" s="20">
        <f t="shared" si="122"/>
        <v>0</v>
      </c>
      <c r="I1498" s="21">
        <f t="shared" si="123"/>
        <v>0</v>
      </c>
      <c r="J1498" s="22" t="e">
        <f>VLOOKUP($A1498, TAB_JUROS_C[[DIAS_CORRIDOS]:[V_FUT_UTEIS]], J$5, FALSE)</f>
        <v>#N/A</v>
      </c>
      <c r="K1498" s="22" t="e">
        <f>VLOOKUP($A1498, TAB_CORRECAO_C[[DIAS_CORRIDOS]:[V_FUT_UTEIS]],K$5, FALSE)</f>
        <v>#N/A</v>
      </c>
      <c r="L1498" s="22" t="e">
        <f>VLOOKUP($A1498, TAB_AMORTIZACAO_C[[DIAS_CORRIDOS]:[V_FUT_UTEIS]], L$5, FALSE)</f>
        <v>#N/A</v>
      </c>
    </row>
    <row r="1499" spans="1:12" hidden="1">
      <c r="A1499" s="19">
        <f t="shared" si="124"/>
        <v>1493</v>
      </c>
      <c r="B1499" s="20">
        <f t="shared" si="120"/>
        <v>0</v>
      </c>
      <c r="C1499" s="21">
        <f t="shared" si="121"/>
        <v>0</v>
      </c>
      <c r="D1499" s="22" t="e">
        <f>VLOOKUP($A1499, TAB_JUROS_U[[Q_DIAS_U_PARC_TIR]:[V_FUT_U_JURS CENARIO]], D$5, FALSE)</f>
        <v>#N/A</v>
      </c>
      <c r="E1499" s="22" t="e">
        <f>VLOOKUP($A1499,TAB_CORRECAO_U[[Q_DIAS_U_PARC_TIR]:[V_FUT_U_CORC-02]],E$5, FALSE)</f>
        <v>#N/A</v>
      </c>
      <c r="F1499" s="22" t="e">
        <f>VLOOKUP($A1499,TAB_AMORTIZACAO_U[[Q_DIAS_U_PARC_TIR]:[V_FUT_U_PCPL-02]], F$5, FALSE)</f>
        <v>#N/A</v>
      </c>
      <c r="H1499" s="20">
        <f t="shared" si="122"/>
        <v>0</v>
      </c>
      <c r="I1499" s="21">
        <f t="shared" si="123"/>
        <v>0</v>
      </c>
      <c r="J1499" s="22" t="e">
        <f>VLOOKUP($A1499, TAB_JUROS_C[[DIAS_CORRIDOS]:[V_FUT_UTEIS]], J$5, FALSE)</f>
        <v>#N/A</v>
      </c>
      <c r="K1499" s="22" t="e">
        <f>VLOOKUP($A1499, TAB_CORRECAO_C[[DIAS_CORRIDOS]:[V_FUT_UTEIS]],K$5, FALSE)</f>
        <v>#N/A</v>
      </c>
      <c r="L1499" s="22" t="e">
        <f>VLOOKUP($A1499, TAB_AMORTIZACAO_C[[DIAS_CORRIDOS]:[V_FUT_UTEIS]], L$5, FALSE)</f>
        <v>#N/A</v>
      </c>
    </row>
    <row r="1500" spans="1:12" hidden="1">
      <c r="A1500" s="19">
        <f t="shared" si="124"/>
        <v>1494</v>
      </c>
      <c r="B1500" s="20">
        <f t="shared" si="120"/>
        <v>0</v>
      </c>
      <c r="C1500" s="21">
        <f t="shared" si="121"/>
        <v>0</v>
      </c>
      <c r="D1500" s="22" t="e">
        <f>VLOOKUP($A1500, TAB_JUROS_U[[Q_DIAS_U_PARC_TIR]:[V_FUT_U_JURS CENARIO]], D$5, FALSE)</f>
        <v>#N/A</v>
      </c>
      <c r="E1500" s="22" t="e">
        <f>VLOOKUP($A1500,TAB_CORRECAO_U[[Q_DIAS_U_PARC_TIR]:[V_FUT_U_CORC-02]],E$5, FALSE)</f>
        <v>#N/A</v>
      </c>
      <c r="F1500" s="22" t="e">
        <f>VLOOKUP($A1500,TAB_AMORTIZACAO_U[[Q_DIAS_U_PARC_TIR]:[V_FUT_U_PCPL-02]], F$5, FALSE)</f>
        <v>#N/A</v>
      </c>
      <c r="H1500" s="20">
        <f t="shared" si="122"/>
        <v>0</v>
      </c>
      <c r="I1500" s="21">
        <f t="shared" si="123"/>
        <v>0</v>
      </c>
      <c r="J1500" s="22" t="e">
        <f>VLOOKUP($A1500, TAB_JUROS_C[[DIAS_CORRIDOS]:[V_FUT_UTEIS]], J$5, FALSE)</f>
        <v>#N/A</v>
      </c>
      <c r="K1500" s="22" t="e">
        <f>VLOOKUP($A1500, TAB_CORRECAO_C[[DIAS_CORRIDOS]:[V_FUT_UTEIS]],K$5, FALSE)</f>
        <v>#N/A</v>
      </c>
      <c r="L1500" s="22" t="e">
        <f>VLOOKUP($A1500, TAB_AMORTIZACAO_C[[DIAS_CORRIDOS]:[V_FUT_UTEIS]], L$5, FALSE)</f>
        <v>#N/A</v>
      </c>
    </row>
    <row r="1501" spans="1:12">
      <c r="A1501" s="19">
        <f t="shared" si="124"/>
        <v>1495</v>
      </c>
      <c r="B1501" s="20">
        <f t="shared" si="120"/>
        <v>494.03870315535346</v>
      </c>
      <c r="C1501" s="21">
        <f t="shared" si="121"/>
        <v>494.03870315535346</v>
      </c>
      <c r="D1501" s="22">
        <f>VLOOKUP($A1501, TAB_JUROS_U[[Q_DIAS_U_PARC_TIR]:[V_FUT_U_JURS CENARIO]], D$5, FALSE)</f>
        <v>34.089048529776719</v>
      </c>
      <c r="E1501" s="22">
        <f>VLOOKUP($A1501,TAB_CORRECAO_U[[Q_DIAS_U_PARC_TIR]:[V_FUT_U_CORC-02]],E$5, FALSE)</f>
        <v>195.62025246662603</v>
      </c>
      <c r="F1501" s="22">
        <f>VLOOKUP($A1501,TAB_AMORTIZACAO_U[[Q_DIAS_U_PARC_TIR]:[V_FUT_U_PCPL-02]], F$5, FALSE)</f>
        <v>264.3294021589507</v>
      </c>
      <c r="H1501" s="20">
        <f t="shared" si="122"/>
        <v>0</v>
      </c>
      <c r="I1501" s="21">
        <f t="shared" si="123"/>
        <v>0</v>
      </c>
      <c r="J1501" s="22" t="e">
        <f>VLOOKUP($A1501, TAB_JUROS_C[[DIAS_CORRIDOS]:[V_FUT_UTEIS]], J$5, FALSE)</f>
        <v>#N/A</v>
      </c>
      <c r="K1501" s="22" t="e">
        <f>VLOOKUP($A1501, TAB_CORRECAO_C[[DIAS_CORRIDOS]:[V_FUT_UTEIS]],K$5, FALSE)</f>
        <v>#N/A</v>
      </c>
      <c r="L1501" s="22" t="e">
        <f>VLOOKUP($A1501, TAB_AMORTIZACAO_C[[DIAS_CORRIDOS]:[V_FUT_UTEIS]], L$5, FALSE)</f>
        <v>#N/A</v>
      </c>
    </row>
    <row r="1502" spans="1:12" hidden="1">
      <c r="A1502" s="19">
        <f t="shared" si="124"/>
        <v>1496</v>
      </c>
      <c r="B1502" s="20">
        <f t="shared" si="120"/>
        <v>0</v>
      </c>
      <c r="C1502" s="21">
        <f t="shared" si="121"/>
        <v>0</v>
      </c>
      <c r="D1502" s="22" t="e">
        <f>VLOOKUP($A1502, TAB_JUROS_U[[Q_DIAS_U_PARC_TIR]:[V_FUT_U_JURS CENARIO]], D$5, FALSE)</f>
        <v>#N/A</v>
      </c>
      <c r="E1502" s="22" t="e">
        <f>VLOOKUP($A1502,TAB_CORRECAO_U[[Q_DIAS_U_PARC_TIR]:[V_FUT_U_CORC-02]],E$5, FALSE)</f>
        <v>#N/A</v>
      </c>
      <c r="F1502" s="22" t="e">
        <f>VLOOKUP($A1502,TAB_AMORTIZACAO_U[[Q_DIAS_U_PARC_TIR]:[V_FUT_U_PCPL-02]], F$5, FALSE)</f>
        <v>#N/A</v>
      </c>
      <c r="H1502" s="20">
        <f t="shared" si="122"/>
        <v>0</v>
      </c>
      <c r="I1502" s="21">
        <f t="shared" si="123"/>
        <v>0</v>
      </c>
      <c r="J1502" s="22" t="e">
        <f>VLOOKUP($A1502, TAB_JUROS_C[[DIAS_CORRIDOS]:[V_FUT_UTEIS]], J$5, FALSE)</f>
        <v>#N/A</v>
      </c>
      <c r="K1502" s="22" t="e">
        <f>VLOOKUP($A1502, TAB_CORRECAO_C[[DIAS_CORRIDOS]:[V_FUT_UTEIS]],K$5, FALSE)</f>
        <v>#N/A</v>
      </c>
      <c r="L1502" s="22" t="e">
        <f>VLOOKUP($A1502, TAB_AMORTIZACAO_C[[DIAS_CORRIDOS]:[V_FUT_UTEIS]], L$5, FALSE)</f>
        <v>#N/A</v>
      </c>
    </row>
    <row r="1503" spans="1:12" hidden="1">
      <c r="A1503" s="19">
        <f t="shared" si="124"/>
        <v>1497</v>
      </c>
      <c r="B1503" s="20">
        <f t="shared" si="120"/>
        <v>0</v>
      </c>
      <c r="C1503" s="21">
        <f t="shared" si="121"/>
        <v>0</v>
      </c>
      <c r="D1503" s="22" t="e">
        <f>VLOOKUP($A1503, TAB_JUROS_U[[Q_DIAS_U_PARC_TIR]:[V_FUT_U_JURS CENARIO]], D$5, FALSE)</f>
        <v>#N/A</v>
      </c>
      <c r="E1503" s="22" t="e">
        <f>VLOOKUP($A1503,TAB_CORRECAO_U[[Q_DIAS_U_PARC_TIR]:[V_FUT_U_CORC-02]],E$5, FALSE)</f>
        <v>#N/A</v>
      </c>
      <c r="F1503" s="22" t="e">
        <f>VLOOKUP($A1503,TAB_AMORTIZACAO_U[[Q_DIAS_U_PARC_TIR]:[V_FUT_U_PCPL-02]], F$5, FALSE)</f>
        <v>#N/A</v>
      </c>
      <c r="H1503" s="20">
        <f t="shared" si="122"/>
        <v>0</v>
      </c>
      <c r="I1503" s="21">
        <f t="shared" si="123"/>
        <v>0</v>
      </c>
      <c r="J1503" s="22" t="e">
        <f>VLOOKUP($A1503, TAB_JUROS_C[[DIAS_CORRIDOS]:[V_FUT_UTEIS]], J$5, FALSE)</f>
        <v>#N/A</v>
      </c>
      <c r="K1503" s="22" t="e">
        <f>VLOOKUP($A1503, TAB_CORRECAO_C[[DIAS_CORRIDOS]:[V_FUT_UTEIS]],K$5, FALSE)</f>
        <v>#N/A</v>
      </c>
      <c r="L1503" s="22" t="e">
        <f>VLOOKUP($A1503, TAB_AMORTIZACAO_C[[DIAS_CORRIDOS]:[V_FUT_UTEIS]], L$5, FALSE)</f>
        <v>#N/A</v>
      </c>
    </row>
    <row r="1504" spans="1:12" hidden="1">
      <c r="A1504" s="19">
        <f t="shared" si="124"/>
        <v>1498</v>
      </c>
      <c r="B1504" s="20">
        <f t="shared" si="120"/>
        <v>0</v>
      </c>
      <c r="C1504" s="21">
        <f t="shared" si="121"/>
        <v>0</v>
      </c>
      <c r="D1504" s="22" t="e">
        <f>VLOOKUP($A1504, TAB_JUROS_U[[Q_DIAS_U_PARC_TIR]:[V_FUT_U_JURS CENARIO]], D$5, FALSE)</f>
        <v>#N/A</v>
      </c>
      <c r="E1504" s="22" t="e">
        <f>VLOOKUP($A1504,TAB_CORRECAO_U[[Q_DIAS_U_PARC_TIR]:[V_FUT_U_CORC-02]],E$5, FALSE)</f>
        <v>#N/A</v>
      </c>
      <c r="F1504" s="22" t="e">
        <f>VLOOKUP($A1504,TAB_AMORTIZACAO_U[[Q_DIAS_U_PARC_TIR]:[V_FUT_U_PCPL-02]], F$5, FALSE)</f>
        <v>#N/A</v>
      </c>
      <c r="H1504" s="20">
        <f t="shared" si="122"/>
        <v>0</v>
      </c>
      <c r="I1504" s="21">
        <f t="shared" si="123"/>
        <v>0</v>
      </c>
      <c r="J1504" s="22" t="e">
        <f>VLOOKUP($A1504, TAB_JUROS_C[[DIAS_CORRIDOS]:[V_FUT_UTEIS]], J$5, FALSE)</f>
        <v>#N/A</v>
      </c>
      <c r="K1504" s="22" t="e">
        <f>VLOOKUP($A1504, TAB_CORRECAO_C[[DIAS_CORRIDOS]:[V_FUT_UTEIS]],K$5, FALSE)</f>
        <v>#N/A</v>
      </c>
      <c r="L1504" s="22" t="e">
        <f>VLOOKUP($A1504, TAB_AMORTIZACAO_C[[DIAS_CORRIDOS]:[V_FUT_UTEIS]], L$5, FALSE)</f>
        <v>#N/A</v>
      </c>
    </row>
    <row r="1505" spans="1:12" hidden="1">
      <c r="A1505" s="19">
        <f t="shared" si="124"/>
        <v>1499</v>
      </c>
      <c r="B1505" s="20">
        <f t="shared" si="120"/>
        <v>0</v>
      </c>
      <c r="C1505" s="21">
        <f t="shared" si="121"/>
        <v>0</v>
      </c>
      <c r="D1505" s="22" t="e">
        <f>VLOOKUP($A1505, TAB_JUROS_U[[Q_DIAS_U_PARC_TIR]:[V_FUT_U_JURS CENARIO]], D$5, FALSE)</f>
        <v>#N/A</v>
      </c>
      <c r="E1505" s="22" t="e">
        <f>VLOOKUP($A1505,TAB_CORRECAO_U[[Q_DIAS_U_PARC_TIR]:[V_FUT_U_CORC-02]],E$5, FALSE)</f>
        <v>#N/A</v>
      </c>
      <c r="F1505" s="22" t="e">
        <f>VLOOKUP($A1505,TAB_AMORTIZACAO_U[[Q_DIAS_U_PARC_TIR]:[V_FUT_U_PCPL-02]], F$5, FALSE)</f>
        <v>#N/A</v>
      </c>
      <c r="H1505" s="20">
        <f t="shared" si="122"/>
        <v>0</v>
      </c>
      <c r="I1505" s="21">
        <f t="shared" si="123"/>
        <v>0</v>
      </c>
      <c r="J1505" s="22" t="e">
        <f>VLOOKUP($A1505, TAB_JUROS_C[[DIAS_CORRIDOS]:[V_FUT_UTEIS]], J$5, FALSE)</f>
        <v>#N/A</v>
      </c>
      <c r="K1505" s="22" t="e">
        <f>VLOOKUP($A1505, TAB_CORRECAO_C[[DIAS_CORRIDOS]:[V_FUT_UTEIS]],K$5, FALSE)</f>
        <v>#N/A</v>
      </c>
      <c r="L1505" s="22" t="e">
        <f>VLOOKUP($A1505, TAB_AMORTIZACAO_C[[DIAS_CORRIDOS]:[V_FUT_UTEIS]], L$5, FALSE)</f>
        <v>#N/A</v>
      </c>
    </row>
    <row r="1506" spans="1:12" hidden="1">
      <c r="A1506" s="19">
        <f t="shared" si="124"/>
        <v>1500</v>
      </c>
      <c r="B1506" s="20">
        <f t="shared" si="120"/>
        <v>0</v>
      </c>
      <c r="C1506" s="21">
        <f t="shared" si="121"/>
        <v>0</v>
      </c>
      <c r="D1506" s="22" t="e">
        <f>VLOOKUP($A1506, TAB_JUROS_U[[Q_DIAS_U_PARC_TIR]:[V_FUT_U_JURS CENARIO]], D$5, FALSE)</f>
        <v>#N/A</v>
      </c>
      <c r="E1506" s="22" t="e">
        <f>VLOOKUP($A1506,TAB_CORRECAO_U[[Q_DIAS_U_PARC_TIR]:[V_FUT_U_CORC-02]],E$5, FALSE)</f>
        <v>#N/A</v>
      </c>
      <c r="F1506" s="22" t="e">
        <f>VLOOKUP($A1506,TAB_AMORTIZACAO_U[[Q_DIAS_U_PARC_TIR]:[V_FUT_U_PCPL-02]], F$5, FALSE)</f>
        <v>#N/A</v>
      </c>
      <c r="H1506" s="20">
        <f t="shared" si="122"/>
        <v>0</v>
      </c>
      <c r="I1506" s="21">
        <f t="shared" si="123"/>
        <v>0</v>
      </c>
      <c r="J1506" s="22" t="e">
        <f>VLOOKUP($A1506, TAB_JUROS_C[[DIAS_CORRIDOS]:[V_FUT_UTEIS]], J$5, FALSE)</f>
        <v>#N/A</v>
      </c>
      <c r="K1506" s="22" t="e">
        <f>VLOOKUP($A1506, TAB_CORRECAO_C[[DIAS_CORRIDOS]:[V_FUT_UTEIS]],K$5, FALSE)</f>
        <v>#N/A</v>
      </c>
      <c r="L1506" s="22" t="e">
        <f>VLOOKUP($A1506, TAB_AMORTIZACAO_C[[DIAS_CORRIDOS]:[V_FUT_UTEIS]], L$5, FALSE)</f>
        <v>#N/A</v>
      </c>
    </row>
    <row r="1507" spans="1:12" hidden="1">
      <c r="A1507" s="19">
        <f t="shared" si="124"/>
        <v>1501</v>
      </c>
      <c r="B1507" s="20">
        <f t="shared" si="120"/>
        <v>0</v>
      </c>
      <c r="C1507" s="21">
        <f t="shared" si="121"/>
        <v>0</v>
      </c>
      <c r="D1507" s="22" t="e">
        <f>VLOOKUP($A1507, TAB_JUROS_U[[Q_DIAS_U_PARC_TIR]:[V_FUT_U_JURS CENARIO]], D$5, FALSE)</f>
        <v>#N/A</v>
      </c>
      <c r="E1507" s="22" t="e">
        <f>VLOOKUP($A1507,TAB_CORRECAO_U[[Q_DIAS_U_PARC_TIR]:[V_FUT_U_CORC-02]],E$5, FALSE)</f>
        <v>#N/A</v>
      </c>
      <c r="F1507" s="22" t="e">
        <f>VLOOKUP($A1507,TAB_AMORTIZACAO_U[[Q_DIAS_U_PARC_TIR]:[V_FUT_U_PCPL-02]], F$5, FALSE)</f>
        <v>#N/A</v>
      </c>
      <c r="H1507" s="20">
        <f t="shared" si="122"/>
        <v>0</v>
      </c>
      <c r="I1507" s="21">
        <f t="shared" si="123"/>
        <v>0</v>
      </c>
      <c r="J1507" s="22" t="e">
        <f>VLOOKUP($A1507, TAB_JUROS_C[[DIAS_CORRIDOS]:[V_FUT_UTEIS]], J$5, FALSE)</f>
        <v>#N/A</v>
      </c>
      <c r="K1507" s="22" t="e">
        <f>VLOOKUP($A1507, TAB_CORRECAO_C[[DIAS_CORRIDOS]:[V_FUT_UTEIS]],K$5, FALSE)</f>
        <v>#N/A</v>
      </c>
      <c r="L1507" s="22" t="e">
        <f>VLOOKUP($A1507, TAB_AMORTIZACAO_C[[DIAS_CORRIDOS]:[V_FUT_UTEIS]], L$5, FALSE)</f>
        <v>#N/A</v>
      </c>
    </row>
    <row r="1508" spans="1:12" hidden="1">
      <c r="A1508" s="19">
        <f t="shared" si="124"/>
        <v>1502</v>
      </c>
      <c r="B1508" s="20">
        <f t="shared" si="120"/>
        <v>0</v>
      </c>
      <c r="C1508" s="21">
        <f t="shared" si="121"/>
        <v>0</v>
      </c>
      <c r="D1508" s="22" t="e">
        <f>VLOOKUP($A1508, TAB_JUROS_U[[Q_DIAS_U_PARC_TIR]:[V_FUT_U_JURS CENARIO]], D$5, FALSE)</f>
        <v>#N/A</v>
      </c>
      <c r="E1508" s="22" t="e">
        <f>VLOOKUP($A1508,TAB_CORRECAO_U[[Q_DIAS_U_PARC_TIR]:[V_FUT_U_CORC-02]],E$5, FALSE)</f>
        <v>#N/A</v>
      </c>
      <c r="F1508" s="22" t="e">
        <f>VLOOKUP($A1508,TAB_AMORTIZACAO_U[[Q_DIAS_U_PARC_TIR]:[V_FUT_U_PCPL-02]], F$5, FALSE)</f>
        <v>#N/A</v>
      </c>
      <c r="H1508" s="20">
        <f t="shared" si="122"/>
        <v>0</v>
      </c>
      <c r="I1508" s="21">
        <f t="shared" si="123"/>
        <v>0</v>
      </c>
      <c r="J1508" s="22" t="e">
        <f>VLOOKUP($A1508, TAB_JUROS_C[[DIAS_CORRIDOS]:[V_FUT_UTEIS]], J$5, FALSE)</f>
        <v>#N/A</v>
      </c>
      <c r="K1508" s="22" t="e">
        <f>VLOOKUP($A1508, TAB_CORRECAO_C[[DIAS_CORRIDOS]:[V_FUT_UTEIS]],K$5, FALSE)</f>
        <v>#N/A</v>
      </c>
      <c r="L1508" s="22" t="e">
        <f>VLOOKUP($A1508, TAB_AMORTIZACAO_C[[DIAS_CORRIDOS]:[V_FUT_UTEIS]], L$5, FALSE)</f>
        <v>#N/A</v>
      </c>
    </row>
    <row r="1509" spans="1:12" hidden="1">
      <c r="A1509" s="19">
        <f t="shared" si="124"/>
        <v>1503</v>
      </c>
      <c r="B1509" s="20">
        <f t="shared" si="120"/>
        <v>0</v>
      </c>
      <c r="C1509" s="21">
        <f t="shared" si="121"/>
        <v>0</v>
      </c>
      <c r="D1509" s="22" t="e">
        <f>VLOOKUP($A1509, TAB_JUROS_U[[Q_DIAS_U_PARC_TIR]:[V_FUT_U_JURS CENARIO]], D$5, FALSE)</f>
        <v>#N/A</v>
      </c>
      <c r="E1509" s="22" t="e">
        <f>VLOOKUP($A1509,TAB_CORRECAO_U[[Q_DIAS_U_PARC_TIR]:[V_FUT_U_CORC-02]],E$5, FALSE)</f>
        <v>#N/A</v>
      </c>
      <c r="F1509" s="22" t="e">
        <f>VLOOKUP($A1509,TAB_AMORTIZACAO_U[[Q_DIAS_U_PARC_TIR]:[V_FUT_U_PCPL-02]], F$5, FALSE)</f>
        <v>#N/A</v>
      </c>
      <c r="H1509" s="20">
        <f t="shared" si="122"/>
        <v>0</v>
      </c>
      <c r="I1509" s="21">
        <f t="shared" si="123"/>
        <v>0</v>
      </c>
      <c r="J1509" s="22" t="e">
        <f>VLOOKUP($A1509, TAB_JUROS_C[[DIAS_CORRIDOS]:[V_FUT_UTEIS]], J$5, FALSE)</f>
        <v>#N/A</v>
      </c>
      <c r="K1509" s="22" t="e">
        <f>VLOOKUP($A1509, TAB_CORRECAO_C[[DIAS_CORRIDOS]:[V_FUT_UTEIS]],K$5, FALSE)</f>
        <v>#N/A</v>
      </c>
      <c r="L1509" s="22" t="e">
        <f>VLOOKUP($A1509, TAB_AMORTIZACAO_C[[DIAS_CORRIDOS]:[V_FUT_UTEIS]], L$5, FALSE)</f>
        <v>#N/A</v>
      </c>
    </row>
    <row r="1510" spans="1:12" hidden="1">
      <c r="A1510" s="19">
        <f t="shared" si="124"/>
        <v>1504</v>
      </c>
      <c r="B1510" s="20">
        <f t="shared" si="120"/>
        <v>0</v>
      </c>
      <c r="C1510" s="21">
        <f t="shared" si="121"/>
        <v>0</v>
      </c>
      <c r="D1510" s="22" t="e">
        <f>VLOOKUP($A1510, TAB_JUROS_U[[Q_DIAS_U_PARC_TIR]:[V_FUT_U_JURS CENARIO]], D$5, FALSE)</f>
        <v>#N/A</v>
      </c>
      <c r="E1510" s="22" t="e">
        <f>VLOOKUP($A1510,TAB_CORRECAO_U[[Q_DIAS_U_PARC_TIR]:[V_FUT_U_CORC-02]],E$5, FALSE)</f>
        <v>#N/A</v>
      </c>
      <c r="F1510" s="22" t="e">
        <f>VLOOKUP($A1510,TAB_AMORTIZACAO_U[[Q_DIAS_U_PARC_TIR]:[V_FUT_U_PCPL-02]], F$5, FALSE)</f>
        <v>#N/A</v>
      </c>
      <c r="H1510" s="20">
        <f t="shared" si="122"/>
        <v>0</v>
      </c>
      <c r="I1510" s="21">
        <f t="shared" si="123"/>
        <v>0</v>
      </c>
      <c r="J1510" s="22" t="e">
        <f>VLOOKUP($A1510, TAB_JUROS_C[[DIAS_CORRIDOS]:[V_FUT_UTEIS]], J$5, FALSE)</f>
        <v>#N/A</v>
      </c>
      <c r="K1510" s="22" t="e">
        <f>VLOOKUP($A1510, TAB_CORRECAO_C[[DIAS_CORRIDOS]:[V_FUT_UTEIS]],K$5, FALSE)</f>
        <v>#N/A</v>
      </c>
      <c r="L1510" s="22" t="e">
        <f>VLOOKUP($A1510, TAB_AMORTIZACAO_C[[DIAS_CORRIDOS]:[V_FUT_UTEIS]], L$5, FALSE)</f>
        <v>#N/A</v>
      </c>
    </row>
    <row r="1511" spans="1:12" hidden="1">
      <c r="A1511" s="19">
        <f t="shared" si="124"/>
        <v>1505</v>
      </c>
      <c r="B1511" s="20">
        <f t="shared" si="120"/>
        <v>0</v>
      </c>
      <c r="C1511" s="21">
        <f t="shared" si="121"/>
        <v>0</v>
      </c>
      <c r="D1511" s="22" t="e">
        <f>VLOOKUP($A1511, TAB_JUROS_U[[Q_DIAS_U_PARC_TIR]:[V_FUT_U_JURS CENARIO]], D$5, FALSE)</f>
        <v>#N/A</v>
      </c>
      <c r="E1511" s="22" t="e">
        <f>VLOOKUP($A1511,TAB_CORRECAO_U[[Q_DIAS_U_PARC_TIR]:[V_FUT_U_CORC-02]],E$5, FALSE)</f>
        <v>#N/A</v>
      </c>
      <c r="F1511" s="22" t="e">
        <f>VLOOKUP($A1511,TAB_AMORTIZACAO_U[[Q_DIAS_U_PARC_TIR]:[V_FUT_U_PCPL-02]], F$5, FALSE)</f>
        <v>#N/A</v>
      </c>
      <c r="H1511" s="20">
        <f t="shared" si="122"/>
        <v>879.13708024772438</v>
      </c>
      <c r="I1511" s="21">
        <f t="shared" si="123"/>
        <v>879.13708024772438</v>
      </c>
      <c r="J1511" s="22">
        <f>VLOOKUP($A1511, TAB_JUROS_C[[DIAS_CORRIDOS]:[V_FUT_UTEIS]], J$5, FALSE)</f>
        <v>67.493675355544994</v>
      </c>
      <c r="K1511" s="22">
        <f>VLOOKUP($A1511, TAB_CORRECAO_C[[DIAS_CORRIDOS]:[V_FUT_UTEIS]],K$5, FALSE)</f>
        <v>404.01494291627154</v>
      </c>
      <c r="L1511" s="22">
        <f>VLOOKUP($A1511, TAB_AMORTIZACAO_C[[DIAS_CORRIDOS]:[V_FUT_UTEIS]], L$5, FALSE)</f>
        <v>407.62846197590784</v>
      </c>
    </row>
    <row r="1512" spans="1:12" hidden="1">
      <c r="A1512" s="19">
        <f t="shared" si="124"/>
        <v>1506</v>
      </c>
      <c r="B1512" s="20">
        <f t="shared" si="120"/>
        <v>0</v>
      </c>
      <c r="C1512" s="21">
        <f t="shared" si="121"/>
        <v>0</v>
      </c>
      <c r="D1512" s="22" t="e">
        <f>VLOOKUP($A1512, TAB_JUROS_U[[Q_DIAS_U_PARC_TIR]:[V_FUT_U_JURS CENARIO]], D$5, FALSE)</f>
        <v>#N/A</v>
      </c>
      <c r="E1512" s="22" t="e">
        <f>VLOOKUP($A1512,TAB_CORRECAO_U[[Q_DIAS_U_PARC_TIR]:[V_FUT_U_CORC-02]],E$5, FALSE)</f>
        <v>#N/A</v>
      </c>
      <c r="F1512" s="22" t="e">
        <f>VLOOKUP($A1512,TAB_AMORTIZACAO_U[[Q_DIAS_U_PARC_TIR]:[V_FUT_U_PCPL-02]], F$5, FALSE)</f>
        <v>#N/A</v>
      </c>
      <c r="H1512" s="20">
        <f t="shared" si="122"/>
        <v>0</v>
      </c>
      <c r="I1512" s="21">
        <f t="shared" si="123"/>
        <v>0</v>
      </c>
      <c r="J1512" s="22" t="e">
        <f>VLOOKUP($A1512, TAB_JUROS_C[[DIAS_CORRIDOS]:[V_FUT_UTEIS]], J$5, FALSE)</f>
        <v>#N/A</v>
      </c>
      <c r="K1512" s="22" t="e">
        <f>VLOOKUP($A1512, TAB_CORRECAO_C[[DIAS_CORRIDOS]:[V_FUT_UTEIS]],K$5, FALSE)</f>
        <v>#N/A</v>
      </c>
      <c r="L1512" s="22" t="e">
        <f>VLOOKUP($A1512, TAB_AMORTIZACAO_C[[DIAS_CORRIDOS]:[V_FUT_UTEIS]], L$5, FALSE)</f>
        <v>#N/A</v>
      </c>
    </row>
    <row r="1513" spans="1:12" hidden="1">
      <c r="A1513" s="19">
        <f t="shared" si="124"/>
        <v>1507</v>
      </c>
      <c r="B1513" s="20">
        <f t="shared" si="120"/>
        <v>0</v>
      </c>
      <c r="C1513" s="21">
        <f t="shared" si="121"/>
        <v>0</v>
      </c>
      <c r="D1513" s="22" t="e">
        <f>VLOOKUP($A1513, TAB_JUROS_U[[Q_DIAS_U_PARC_TIR]:[V_FUT_U_JURS CENARIO]], D$5, FALSE)</f>
        <v>#N/A</v>
      </c>
      <c r="E1513" s="22" t="e">
        <f>VLOOKUP($A1513,TAB_CORRECAO_U[[Q_DIAS_U_PARC_TIR]:[V_FUT_U_CORC-02]],E$5, FALSE)</f>
        <v>#N/A</v>
      </c>
      <c r="F1513" s="22" t="e">
        <f>VLOOKUP($A1513,TAB_AMORTIZACAO_U[[Q_DIAS_U_PARC_TIR]:[V_FUT_U_PCPL-02]], F$5, FALSE)</f>
        <v>#N/A</v>
      </c>
      <c r="H1513" s="20">
        <f t="shared" si="122"/>
        <v>0</v>
      </c>
      <c r="I1513" s="21">
        <f t="shared" si="123"/>
        <v>0</v>
      </c>
      <c r="J1513" s="22" t="e">
        <f>VLOOKUP($A1513, TAB_JUROS_C[[DIAS_CORRIDOS]:[V_FUT_UTEIS]], J$5, FALSE)</f>
        <v>#N/A</v>
      </c>
      <c r="K1513" s="22" t="e">
        <f>VLOOKUP($A1513, TAB_CORRECAO_C[[DIAS_CORRIDOS]:[V_FUT_UTEIS]],K$5, FALSE)</f>
        <v>#N/A</v>
      </c>
      <c r="L1513" s="22" t="e">
        <f>VLOOKUP($A1513, TAB_AMORTIZACAO_C[[DIAS_CORRIDOS]:[V_FUT_UTEIS]], L$5, FALSE)</f>
        <v>#N/A</v>
      </c>
    </row>
    <row r="1514" spans="1:12" hidden="1">
      <c r="A1514" s="19">
        <f t="shared" si="124"/>
        <v>1508</v>
      </c>
      <c r="B1514" s="20">
        <f t="shared" si="120"/>
        <v>0</v>
      </c>
      <c r="C1514" s="21">
        <f t="shared" si="121"/>
        <v>0</v>
      </c>
      <c r="D1514" s="22" t="e">
        <f>VLOOKUP($A1514, TAB_JUROS_U[[Q_DIAS_U_PARC_TIR]:[V_FUT_U_JURS CENARIO]], D$5, FALSE)</f>
        <v>#N/A</v>
      </c>
      <c r="E1514" s="22" t="e">
        <f>VLOOKUP($A1514,TAB_CORRECAO_U[[Q_DIAS_U_PARC_TIR]:[V_FUT_U_CORC-02]],E$5, FALSE)</f>
        <v>#N/A</v>
      </c>
      <c r="F1514" s="22" t="e">
        <f>VLOOKUP($A1514,TAB_AMORTIZACAO_U[[Q_DIAS_U_PARC_TIR]:[V_FUT_U_PCPL-02]], F$5, FALSE)</f>
        <v>#N/A</v>
      </c>
      <c r="H1514" s="20">
        <f t="shared" si="122"/>
        <v>0</v>
      </c>
      <c r="I1514" s="21">
        <f t="shared" si="123"/>
        <v>0</v>
      </c>
      <c r="J1514" s="22" t="e">
        <f>VLOOKUP($A1514, TAB_JUROS_C[[DIAS_CORRIDOS]:[V_FUT_UTEIS]], J$5, FALSE)</f>
        <v>#N/A</v>
      </c>
      <c r="K1514" s="22" t="e">
        <f>VLOOKUP($A1514, TAB_CORRECAO_C[[DIAS_CORRIDOS]:[V_FUT_UTEIS]],K$5, FALSE)</f>
        <v>#N/A</v>
      </c>
      <c r="L1514" s="22" t="e">
        <f>VLOOKUP($A1514, TAB_AMORTIZACAO_C[[DIAS_CORRIDOS]:[V_FUT_UTEIS]], L$5, FALSE)</f>
        <v>#N/A</v>
      </c>
    </row>
    <row r="1515" spans="1:12" hidden="1">
      <c r="A1515" s="19">
        <f t="shared" si="124"/>
        <v>1509</v>
      </c>
      <c r="B1515" s="20">
        <f t="shared" si="120"/>
        <v>0</v>
      </c>
      <c r="C1515" s="21">
        <f t="shared" si="121"/>
        <v>0</v>
      </c>
      <c r="D1515" s="22" t="e">
        <f>VLOOKUP($A1515, TAB_JUROS_U[[Q_DIAS_U_PARC_TIR]:[V_FUT_U_JURS CENARIO]], D$5, FALSE)</f>
        <v>#N/A</v>
      </c>
      <c r="E1515" s="22" t="e">
        <f>VLOOKUP($A1515,TAB_CORRECAO_U[[Q_DIAS_U_PARC_TIR]:[V_FUT_U_CORC-02]],E$5, FALSE)</f>
        <v>#N/A</v>
      </c>
      <c r="F1515" s="22" t="e">
        <f>VLOOKUP($A1515,TAB_AMORTIZACAO_U[[Q_DIAS_U_PARC_TIR]:[V_FUT_U_PCPL-02]], F$5, FALSE)</f>
        <v>#N/A</v>
      </c>
      <c r="H1515" s="20">
        <f t="shared" si="122"/>
        <v>0</v>
      </c>
      <c r="I1515" s="21">
        <f t="shared" si="123"/>
        <v>0</v>
      </c>
      <c r="J1515" s="22" t="e">
        <f>VLOOKUP($A1515, TAB_JUROS_C[[DIAS_CORRIDOS]:[V_FUT_UTEIS]], J$5, FALSE)</f>
        <v>#N/A</v>
      </c>
      <c r="K1515" s="22" t="e">
        <f>VLOOKUP($A1515, TAB_CORRECAO_C[[DIAS_CORRIDOS]:[V_FUT_UTEIS]],K$5, FALSE)</f>
        <v>#N/A</v>
      </c>
      <c r="L1515" s="22" t="e">
        <f>VLOOKUP($A1515, TAB_AMORTIZACAO_C[[DIAS_CORRIDOS]:[V_FUT_UTEIS]], L$5, FALSE)</f>
        <v>#N/A</v>
      </c>
    </row>
    <row r="1516" spans="1:12" hidden="1">
      <c r="A1516" s="19">
        <f t="shared" si="124"/>
        <v>1510</v>
      </c>
      <c r="B1516" s="20">
        <f t="shared" si="120"/>
        <v>0</v>
      </c>
      <c r="C1516" s="21">
        <f t="shared" si="121"/>
        <v>0</v>
      </c>
      <c r="D1516" s="22" t="e">
        <f>VLOOKUP($A1516, TAB_JUROS_U[[Q_DIAS_U_PARC_TIR]:[V_FUT_U_JURS CENARIO]], D$5, FALSE)</f>
        <v>#N/A</v>
      </c>
      <c r="E1516" s="22" t="e">
        <f>VLOOKUP($A1516,TAB_CORRECAO_U[[Q_DIAS_U_PARC_TIR]:[V_FUT_U_CORC-02]],E$5, FALSE)</f>
        <v>#N/A</v>
      </c>
      <c r="F1516" s="22" t="e">
        <f>VLOOKUP($A1516,TAB_AMORTIZACAO_U[[Q_DIAS_U_PARC_TIR]:[V_FUT_U_PCPL-02]], F$5, FALSE)</f>
        <v>#N/A</v>
      </c>
      <c r="H1516" s="20">
        <f t="shared" si="122"/>
        <v>0</v>
      </c>
      <c r="I1516" s="21">
        <f t="shared" si="123"/>
        <v>0</v>
      </c>
      <c r="J1516" s="22" t="e">
        <f>VLOOKUP($A1516, TAB_JUROS_C[[DIAS_CORRIDOS]:[V_FUT_UTEIS]], J$5, FALSE)</f>
        <v>#N/A</v>
      </c>
      <c r="K1516" s="22" t="e">
        <f>VLOOKUP($A1516, TAB_CORRECAO_C[[DIAS_CORRIDOS]:[V_FUT_UTEIS]],K$5, FALSE)</f>
        <v>#N/A</v>
      </c>
      <c r="L1516" s="22" t="e">
        <f>VLOOKUP($A1516, TAB_AMORTIZACAO_C[[DIAS_CORRIDOS]:[V_FUT_UTEIS]], L$5, FALSE)</f>
        <v>#N/A</v>
      </c>
    </row>
    <row r="1517" spans="1:12" hidden="1">
      <c r="A1517" s="19">
        <f t="shared" si="124"/>
        <v>1511</v>
      </c>
      <c r="B1517" s="20">
        <f t="shared" si="120"/>
        <v>0</v>
      </c>
      <c r="C1517" s="21">
        <f t="shared" si="121"/>
        <v>0</v>
      </c>
      <c r="D1517" s="22" t="e">
        <f>VLOOKUP($A1517, TAB_JUROS_U[[Q_DIAS_U_PARC_TIR]:[V_FUT_U_JURS CENARIO]], D$5, FALSE)</f>
        <v>#N/A</v>
      </c>
      <c r="E1517" s="22" t="e">
        <f>VLOOKUP($A1517,TAB_CORRECAO_U[[Q_DIAS_U_PARC_TIR]:[V_FUT_U_CORC-02]],E$5, FALSE)</f>
        <v>#N/A</v>
      </c>
      <c r="F1517" s="22" t="e">
        <f>VLOOKUP($A1517,TAB_AMORTIZACAO_U[[Q_DIAS_U_PARC_TIR]:[V_FUT_U_PCPL-02]], F$5, FALSE)</f>
        <v>#N/A</v>
      </c>
      <c r="H1517" s="20">
        <f t="shared" si="122"/>
        <v>0</v>
      </c>
      <c r="I1517" s="21">
        <f t="shared" si="123"/>
        <v>0</v>
      </c>
      <c r="J1517" s="22" t="e">
        <f>VLOOKUP($A1517, TAB_JUROS_C[[DIAS_CORRIDOS]:[V_FUT_UTEIS]], J$5, FALSE)</f>
        <v>#N/A</v>
      </c>
      <c r="K1517" s="22" t="e">
        <f>VLOOKUP($A1517, TAB_CORRECAO_C[[DIAS_CORRIDOS]:[V_FUT_UTEIS]],K$5, FALSE)</f>
        <v>#N/A</v>
      </c>
      <c r="L1517" s="22" t="e">
        <f>VLOOKUP($A1517, TAB_AMORTIZACAO_C[[DIAS_CORRIDOS]:[V_FUT_UTEIS]], L$5, FALSE)</f>
        <v>#N/A</v>
      </c>
    </row>
    <row r="1518" spans="1:12" hidden="1">
      <c r="A1518" s="19">
        <f t="shared" si="124"/>
        <v>1512</v>
      </c>
      <c r="B1518" s="20">
        <f t="shared" si="120"/>
        <v>0</v>
      </c>
      <c r="C1518" s="21">
        <f t="shared" si="121"/>
        <v>0</v>
      </c>
      <c r="D1518" s="22" t="e">
        <f>VLOOKUP($A1518, TAB_JUROS_U[[Q_DIAS_U_PARC_TIR]:[V_FUT_U_JURS CENARIO]], D$5, FALSE)</f>
        <v>#N/A</v>
      </c>
      <c r="E1518" s="22" t="e">
        <f>VLOOKUP($A1518,TAB_CORRECAO_U[[Q_DIAS_U_PARC_TIR]:[V_FUT_U_CORC-02]],E$5, FALSE)</f>
        <v>#N/A</v>
      </c>
      <c r="F1518" s="22" t="e">
        <f>VLOOKUP($A1518,TAB_AMORTIZACAO_U[[Q_DIAS_U_PARC_TIR]:[V_FUT_U_PCPL-02]], F$5, FALSE)</f>
        <v>#N/A</v>
      </c>
      <c r="H1518" s="20">
        <f t="shared" si="122"/>
        <v>0</v>
      </c>
      <c r="I1518" s="21">
        <f t="shared" si="123"/>
        <v>0</v>
      </c>
      <c r="J1518" s="22" t="e">
        <f>VLOOKUP($A1518, TAB_JUROS_C[[DIAS_CORRIDOS]:[V_FUT_UTEIS]], J$5, FALSE)</f>
        <v>#N/A</v>
      </c>
      <c r="K1518" s="22" t="e">
        <f>VLOOKUP($A1518, TAB_CORRECAO_C[[DIAS_CORRIDOS]:[V_FUT_UTEIS]],K$5, FALSE)</f>
        <v>#N/A</v>
      </c>
      <c r="L1518" s="22" t="e">
        <f>VLOOKUP($A1518, TAB_AMORTIZACAO_C[[DIAS_CORRIDOS]:[V_FUT_UTEIS]], L$5, FALSE)</f>
        <v>#N/A</v>
      </c>
    </row>
    <row r="1519" spans="1:12" hidden="1">
      <c r="A1519" s="19">
        <f t="shared" si="124"/>
        <v>1513</v>
      </c>
      <c r="B1519" s="20">
        <f t="shared" si="120"/>
        <v>0</v>
      </c>
      <c r="C1519" s="21">
        <f t="shared" si="121"/>
        <v>0</v>
      </c>
      <c r="D1519" s="22" t="e">
        <f>VLOOKUP($A1519, TAB_JUROS_U[[Q_DIAS_U_PARC_TIR]:[V_FUT_U_JURS CENARIO]], D$5, FALSE)</f>
        <v>#N/A</v>
      </c>
      <c r="E1519" s="22" t="e">
        <f>VLOOKUP($A1519,TAB_CORRECAO_U[[Q_DIAS_U_PARC_TIR]:[V_FUT_U_CORC-02]],E$5, FALSE)</f>
        <v>#N/A</v>
      </c>
      <c r="F1519" s="22" t="e">
        <f>VLOOKUP($A1519,TAB_AMORTIZACAO_U[[Q_DIAS_U_PARC_TIR]:[V_FUT_U_PCPL-02]], F$5, FALSE)</f>
        <v>#N/A</v>
      </c>
      <c r="H1519" s="20">
        <f t="shared" si="122"/>
        <v>0</v>
      </c>
      <c r="I1519" s="21">
        <f t="shared" si="123"/>
        <v>0</v>
      </c>
      <c r="J1519" s="22" t="e">
        <f>VLOOKUP($A1519, TAB_JUROS_C[[DIAS_CORRIDOS]:[V_FUT_UTEIS]], J$5, FALSE)</f>
        <v>#N/A</v>
      </c>
      <c r="K1519" s="22" t="e">
        <f>VLOOKUP($A1519, TAB_CORRECAO_C[[DIAS_CORRIDOS]:[V_FUT_UTEIS]],K$5, FALSE)</f>
        <v>#N/A</v>
      </c>
      <c r="L1519" s="22" t="e">
        <f>VLOOKUP($A1519, TAB_AMORTIZACAO_C[[DIAS_CORRIDOS]:[V_FUT_UTEIS]], L$5, FALSE)</f>
        <v>#N/A</v>
      </c>
    </row>
    <row r="1520" spans="1:12" hidden="1">
      <c r="A1520" s="19">
        <f t="shared" si="124"/>
        <v>1514</v>
      </c>
      <c r="B1520" s="20">
        <f t="shared" si="120"/>
        <v>0</v>
      </c>
      <c r="C1520" s="21">
        <f t="shared" si="121"/>
        <v>0</v>
      </c>
      <c r="D1520" s="22" t="e">
        <f>VLOOKUP($A1520, TAB_JUROS_U[[Q_DIAS_U_PARC_TIR]:[V_FUT_U_JURS CENARIO]], D$5, FALSE)</f>
        <v>#N/A</v>
      </c>
      <c r="E1520" s="22" t="e">
        <f>VLOOKUP($A1520,TAB_CORRECAO_U[[Q_DIAS_U_PARC_TIR]:[V_FUT_U_CORC-02]],E$5, FALSE)</f>
        <v>#N/A</v>
      </c>
      <c r="F1520" s="22" t="e">
        <f>VLOOKUP($A1520,TAB_AMORTIZACAO_U[[Q_DIAS_U_PARC_TIR]:[V_FUT_U_PCPL-02]], F$5, FALSE)</f>
        <v>#N/A</v>
      </c>
      <c r="H1520" s="20">
        <f t="shared" si="122"/>
        <v>0</v>
      </c>
      <c r="I1520" s="21">
        <f t="shared" si="123"/>
        <v>0</v>
      </c>
      <c r="J1520" s="22" t="e">
        <f>VLOOKUP($A1520, TAB_JUROS_C[[DIAS_CORRIDOS]:[V_FUT_UTEIS]], J$5, FALSE)</f>
        <v>#N/A</v>
      </c>
      <c r="K1520" s="22" t="e">
        <f>VLOOKUP($A1520, TAB_CORRECAO_C[[DIAS_CORRIDOS]:[V_FUT_UTEIS]],K$5, FALSE)</f>
        <v>#N/A</v>
      </c>
      <c r="L1520" s="22" t="e">
        <f>VLOOKUP($A1520, TAB_AMORTIZACAO_C[[DIAS_CORRIDOS]:[V_FUT_UTEIS]], L$5, FALSE)</f>
        <v>#N/A</v>
      </c>
    </row>
    <row r="1521" spans="1:12" hidden="1">
      <c r="A1521" s="19">
        <f t="shared" si="124"/>
        <v>1515</v>
      </c>
      <c r="B1521" s="20">
        <f t="shared" si="120"/>
        <v>0</v>
      </c>
      <c r="C1521" s="21">
        <f t="shared" si="121"/>
        <v>0</v>
      </c>
      <c r="D1521" s="22" t="e">
        <f>VLOOKUP($A1521, TAB_JUROS_U[[Q_DIAS_U_PARC_TIR]:[V_FUT_U_JURS CENARIO]], D$5, FALSE)</f>
        <v>#N/A</v>
      </c>
      <c r="E1521" s="22" t="e">
        <f>VLOOKUP($A1521,TAB_CORRECAO_U[[Q_DIAS_U_PARC_TIR]:[V_FUT_U_CORC-02]],E$5, FALSE)</f>
        <v>#N/A</v>
      </c>
      <c r="F1521" s="22" t="e">
        <f>VLOOKUP($A1521,TAB_AMORTIZACAO_U[[Q_DIAS_U_PARC_TIR]:[V_FUT_U_PCPL-02]], F$5, FALSE)</f>
        <v>#N/A</v>
      </c>
      <c r="H1521" s="20">
        <f t="shared" si="122"/>
        <v>0</v>
      </c>
      <c r="I1521" s="21">
        <f t="shared" si="123"/>
        <v>0</v>
      </c>
      <c r="J1521" s="22" t="e">
        <f>VLOOKUP($A1521, TAB_JUROS_C[[DIAS_CORRIDOS]:[V_FUT_UTEIS]], J$5, FALSE)</f>
        <v>#N/A</v>
      </c>
      <c r="K1521" s="22" t="e">
        <f>VLOOKUP($A1521, TAB_CORRECAO_C[[DIAS_CORRIDOS]:[V_FUT_UTEIS]],K$5, FALSE)</f>
        <v>#N/A</v>
      </c>
      <c r="L1521" s="22" t="e">
        <f>VLOOKUP($A1521, TAB_AMORTIZACAO_C[[DIAS_CORRIDOS]:[V_FUT_UTEIS]], L$5, FALSE)</f>
        <v>#N/A</v>
      </c>
    </row>
    <row r="1522" spans="1:12" hidden="1">
      <c r="A1522" s="19">
        <f t="shared" si="124"/>
        <v>1516</v>
      </c>
      <c r="B1522" s="20">
        <f t="shared" si="120"/>
        <v>0</v>
      </c>
      <c r="C1522" s="21">
        <f t="shared" si="121"/>
        <v>0</v>
      </c>
      <c r="D1522" s="22" t="e">
        <f>VLOOKUP($A1522, TAB_JUROS_U[[Q_DIAS_U_PARC_TIR]:[V_FUT_U_JURS CENARIO]], D$5, FALSE)</f>
        <v>#N/A</v>
      </c>
      <c r="E1522" s="22" t="e">
        <f>VLOOKUP($A1522,TAB_CORRECAO_U[[Q_DIAS_U_PARC_TIR]:[V_FUT_U_CORC-02]],E$5, FALSE)</f>
        <v>#N/A</v>
      </c>
      <c r="F1522" s="22" t="e">
        <f>VLOOKUP($A1522,TAB_AMORTIZACAO_U[[Q_DIAS_U_PARC_TIR]:[V_FUT_U_PCPL-02]], F$5, FALSE)</f>
        <v>#N/A</v>
      </c>
      <c r="H1522" s="20">
        <f t="shared" si="122"/>
        <v>0</v>
      </c>
      <c r="I1522" s="21">
        <f t="shared" si="123"/>
        <v>0</v>
      </c>
      <c r="J1522" s="22" t="e">
        <f>VLOOKUP($A1522, TAB_JUROS_C[[DIAS_CORRIDOS]:[V_FUT_UTEIS]], J$5, FALSE)</f>
        <v>#N/A</v>
      </c>
      <c r="K1522" s="22" t="e">
        <f>VLOOKUP($A1522, TAB_CORRECAO_C[[DIAS_CORRIDOS]:[V_FUT_UTEIS]],K$5, FALSE)</f>
        <v>#N/A</v>
      </c>
      <c r="L1522" s="22" t="e">
        <f>VLOOKUP($A1522, TAB_AMORTIZACAO_C[[DIAS_CORRIDOS]:[V_FUT_UTEIS]], L$5, FALSE)</f>
        <v>#N/A</v>
      </c>
    </row>
    <row r="1523" spans="1:12" hidden="1">
      <c r="A1523" s="19">
        <f t="shared" si="124"/>
        <v>1517</v>
      </c>
      <c r="B1523" s="20">
        <f t="shared" si="120"/>
        <v>0</v>
      </c>
      <c r="C1523" s="21">
        <f t="shared" si="121"/>
        <v>0</v>
      </c>
      <c r="D1523" s="22" t="e">
        <f>VLOOKUP($A1523, TAB_JUROS_U[[Q_DIAS_U_PARC_TIR]:[V_FUT_U_JURS CENARIO]], D$5, FALSE)</f>
        <v>#N/A</v>
      </c>
      <c r="E1523" s="22" t="e">
        <f>VLOOKUP($A1523,TAB_CORRECAO_U[[Q_DIAS_U_PARC_TIR]:[V_FUT_U_CORC-02]],E$5, FALSE)</f>
        <v>#N/A</v>
      </c>
      <c r="F1523" s="22" t="e">
        <f>VLOOKUP($A1523,TAB_AMORTIZACAO_U[[Q_DIAS_U_PARC_TIR]:[V_FUT_U_PCPL-02]], F$5, FALSE)</f>
        <v>#N/A</v>
      </c>
      <c r="H1523" s="20">
        <f t="shared" si="122"/>
        <v>0</v>
      </c>
      <c r="I1523" s="21">
        <f t="shared" si="123"/>
        <v>0</v>
      </c>
      <c r="J1523" s="22" t="e">
        <f>VLOOKUP($A1523, TAB_JUROS_C[[DIAS_CORRIDOS]:[V_FUT_UTEIS]], J$5, FALSE)</f>
        <v>#N/A</v>
      </c>
      <c r="K1523" s="22" t="e">
        <f>VLOOKUP($A1523, TAB_CORRECAO_C[[DIAS_CORRIDOS]:[V_FUT_UTEIS]],K$5, FALSE)</f>
        <v>#N/A</v>
      </c>
      <c r="L1523" s="22" t="e">
        <f>VLOOKUP($A1523, TAB_AMORTIZACAO_C[[DIAS_CORRIDOS]:[V_FUT_UTEIS]], L$5, FALSE)</f>
        <v>#N/A</v>
      </c>
    </row>
    <row r="1524" spans="1:12">
      <c r="A1524" s="19">
        <f t="shared" si="124"/>
        <v>1518</v>
      </c>
      <c r="B1524" s="20">
        <f t="shared" si="120"/>
        <v>543.06098777890975</v>
      </c>
      <c r="C1524" s="21">
        <f t="shared" si="121"/>
        <v>543.06098777890975</v>
      </c>
      <c r="D1524" s="22">
        <f>VLOOKUP($A1524, TAB_JUROS_U[[Q_DIAS_U_PARC_TIR]:[V_FUT_U_JURS CENARIO]], D$5, FALSE)</f>
        <v>38.170837986232172</v>
      </c>
      <c r="E1524" s="22">
        <f>VLOOKUP($A1524,TAB_CORRECAO_U[[Q_DIAS_U_PARC_TIR]:[V_FUT_U_CORC-02]],E$5, FALSE)</f>
        <v>230.34558964585946</v>
      </c>
      <c r="F1524" s="22">
        <f>VLOOKUP($A1524,TAB_AMORTIZACAO_U[[Q_DIAS_U_PARC_TIR]:[V_FUT_U_PCPL-02]], F$5, FALSE)</f>
        <v>274.54456014681813</v>
      </c>
      <c r="H1524" s="20">
        <f t="shared" si="122"/>
        <v>0</v>
      </c>
      <c r="I1524" s="21">
        <f t="shared" si="123"/>
        <v>0</v>
      </c>
      <c r="J1524" s="22" t="e">
        <f>VLOOKUP($A1524, TAB_JUROS_C[[DIAS_CORRIDOS]:[V_FUT_UTEIS]], J$5, FALSE)</f>
        <v>#N/A</v>
      </c>
      <c r="K1524" s="22" t="e">
        <f>VLOOKUP($A1524, TAB_CORRECAO_C[[DIAS_CORRIDOS]:[V_FUT_UTEIS]],K$5, FALSE)</f>
        <v>#N/A</v>
      </c>
      <c r="L1524" s="22" t="e">
        <f>VLOOKUP($A1524, TAB_AMORTIZACAO_C[[DIAS_CORRIDOS]:[V_FUT_UTEIS]], L$5, FALSE)</f>
        <v>#N/A</v>
      </c>
    </row>
    <row r="1525" spans="1:12" hidden="1">
      <c r="A1525" s="19">
        <f t="shared" si="124"/>
        <v>1519</v>
      </c>
      <c r="B1525" s="20">
        <f t="shared" si="120"/>
        <v>0</v>
      </c>
      <c r="C1525" s="21">
        <f t="shared" si="121"/>
        <v>0</v>
      </c>
      <c r="D1525" s="22" t="e">
        <f>VLOOKUP($A1525, TAB_JUROS_U[[Q_DIAS_U_PARC_TIR]:[V_FUT_U_JURS CENARIO]], D$5, FALSE)</f>
        <v>#N/A</v>
      </c>
      <c r="E1525" s="22" t="e">
        <f>VLOOKUP($A1525,TAB_CORRECAO_U[[Q_DIAS_U_PARC_TIR]:[V_FUT_U_CORC-02]],E$5, FALSE)</f>
        <v>#N/A</v>
      </c>
      <c r="F1525" s="22" t="e">
        <f>VLOOKUP($A1525,TAB_AMORTIZACAO_U[[Q_DIAS_U_PARC_TIR]:[V_FUT_U_PCPL-02]], F$5, FALSE)</f>
        <v>#N/A</v>
      </c>
      <c r="H1525" s="20">
        <f t="shared" si="122"/>
        <v>0</v>
      </c>
      <c r="I1525" s="21">
        <f t="shared" si="123"/>
        <v>0</v>
      </c>
      <c r="J1525" s="22" t="e">
        <f>VLOOKUP($A1525, TAB_JUROS_C[[DIAS_CORRIDOS]:[V_FUT_UTEIS]], J$5, FALSE)</f>
        <v>#N/A</v>
      </c>
      <c r="K1525" s="22" t="e">
        <f>VLOOKUP($A1525, TAB_CORRECAO_C[[DIAS_CORRIDOS]:[V_FUT_UTEIS]],K$5, FALSE)</f>
        <v>#N/A</v>
      </c>
      <c r="L1525" s="22" t="e">
        <f>VLOOKUP($A1525, TAB_AMORTIZACAO_C[[DIAS_CORRIDOS]:[V_FUT_UTEIS]], L$5, FALSE)</f>
        <v>#N/A</v>
      </c>
    </row>
    <row r="1526" spans="1:12" hidden="1">
      <c r="A1526" s="19">
        <f t="shared" si="124"/>
        <v>1520</v>
      </c>
      <c r="B1526" s="20">
        <f t="shared" si="120"/>
        <v>0</v>
      </c>
      <c r="C1526" s="21">
        <f t="shared" si="121"/>
        <v>0</v>
      </c>
      <c r="D1526" s="22" t="e">
        <f>VLOOKUP($A1526, TAB_JUROS_U[[Q_DIAS_U_PARC_TIR]:[V_FUT_U_JURS CENARIO]], D$5, FALSE)</f>
        <v>#N/A</v>
      </c>
      <c r="E1526" s="22" t="e">
        <f>VLOOKUP($A1526,TAB_CORRECAO_U[[Q_DIAS_U_PARC_TIR]:[V_FUT_U_CORC-02]],E$5, FALSE)</f>
        <v>#N/A</v>
      </c>
      <c r="F1526" s="22" t="e">
        <f>VLOOKUP($A1526,TAB_AMORTIZACAO_U[[Q_DIAS_U_PARC_TIR]:[V_FUT_U_PCPL-02]], F$5, FALSE)</f>
        <v>#N/A</v>
      </c>
      <c r="H1526" s="20">
        <f t="shared" si="122"/>
        <v>0</v>
      </c>
      <c r="I1526" s="21">
        <f t="shared" si="123"/>
        <v>0</v>
      </c>
      <c r="J1526" s="22" t="e">
        <f>VLOOKUP($A1526, TAB_JUROS_C[[DIAS_CORRIDOS]:[V_FUT_UTEIS]], J$5, FALSE)</f>
        <v>#N/A</v>
      </c>
      <c r="K1526" s="22" t="e">
        <f>VLOOKUP($A1526, TAB_CORRECAO_C[[DIAS_CORRIDOS]:[V_FUT_UTEIS]],K$5, FALSE)</f>
        <v>#N/A</v>
      </c>
      <c r="L1526" s="22" t="e">
        <f>VLOOKUP($A1526, TAB_AMORTIZACAO_C[[DIAS_CORRIDOS]:[V_FUT_UTEIS]], L$5, FALSE)</f>
        <v>#N/A</v>
      </c>
    </row>
    <row r="1527" spans="1:12" hidden="1">
      <c r="A1527" s="19">
        <f t="shared" si="124"/>
        <v>1521</v>
      </c>
      <c r="B1527" s="20">
        <f t="shared" si="120"/>
        <v>0</v>
      </c>
      <c r="C1527" s="21">
        <f t="shared" si="121"/>
        <v>0</v>
      </c>
      <c r="D1527" s="22" t="e">
        <f>VLOOKUP($A1527, TAB_JUROS_U[[Q_DIAS_U_PARC_TIR]:[V_FUT_U_JURS CENARIO]], D$5, FALSE)</f>
        <v>#N/A</v>
      </c>
      <c r="E1527" s="22" t="e">
        <f>VLOOKUP($A1527,TAB_CORRECAO_U[[Q_DIAS_U_PARC_TIR]:[V_FUT_U_CORC-02]],E$5, FALSE)</f>
        <v>#N/A</v>
      </c>
      <c r="F1527" s="22" t="e">
        <f>VLOOKUP($A1527,TAB_AMORTIZACAO_U[[Q_DIAS_U_PARC_TIR]:[V_FUT_U_PCPL-02]], F$5, FALSE)</f>
        <v>#N/A</v>
      </c>
      <c r="H1527" s="20">
        <f t="shared" si="122"/>
        <v>0</v>
      </c>
      <c r="I1527" s="21">
        <f t="shared" si="123"/>
        <v>0</v>
      </c>
      <c r="J1527" s="22" t="e">
        <f>VLOOKUP($A1527, TAB_JUROS_C[[DIAS_CORRIDOS]:[V_FUT_UTEIS]], J$5, FALSE)</f>
        <v>#N/A</v>
      </c>
      <c r="K1527" s="22" t="e">
        <f>VLOOKUP($A1527, TAB_CORRECAO_C[[DIAS_CORRIDOS]:[V_FUT_UTEIS]],K$5, FALSE)</f>
        <v>#N/A</v>
      </c>
      <c r="L1527" s="22" t="e">
        <f>VLOOKUP($A1527, TAB_AMORTIZACAO_C[[DIAS_CORRIDOS]:[V_FUT_UTEIS]], L$5, FALSE)</f>
        <v>#N/A</v>
      </c>
    </row>
    <row r="1528" spans="1:12" hidden="1">
      <c r="A1528" s="19">
        <f t="shared" si="124"/>
        <v>1522</v>
      </c>
      <c r="B1528" s="20">
        <f t="shared" si="120"/>
        <v>0</v>
      </c>
      <c r="C1528" s="21">
        <f t="shared" si="121"/>
        <v>0</v>
      </c>
      <c r="D1528" s="22" t="e">
        <f>VLOOKUP($A1528, TAB_JUROS_U[[Q_DIAS_U_PARC_TIR]:[V_FUT_U_JURS CENARIO]], D$5, FALSE)</f>
        <v>#N/A</v>
      </c>
      <c r="E1528" s="22" t="e">
        <f>VLOOKUP($A1528,TAB_CORRECAO_U[[Q_DIAS_U_PARC_TIR]:[V_FUT_U_CORC-02]],E$5, FALSE)</f>
        <v>#N/A</v>
      </c>
      <c r="F1528" s="22" t="e">
        <f>VLOOKUP($A1528,TAB_AMORTIZACAO_U[[Q_DIAS_U_PARC_TIR]:[V_FUT_U_PCPL-02]], F$5, FALSE)</f>
        <v>#N/A</v>
      </c>
      <c r="H1528" s="20">
        <f t="shared" si="122"/>
        <v>0</v>
      </c>
      <c r="I1528" s="21">
        <f t="shared" si="123"/>
        <v>0</v>
      </c>
      <c r="J1528" s="22" t="e">
        <f>VLOOKUP($A1528, TAB_JUROS_C[[DIAS_CORRIDOS]:[V_FUT_UTEIS]], J$5, FALSE)</f>
        <v>#N/A</v>
      </c>
      <c r="K1528" s="22" t="e">
        <f>VLOOKUP($A1528, TAB_CORRECAO_C[[DIAS_CORRIDOS]:[V_FUT_UTEIS]],K$5, FALSE)</f>
        <v>#N/A</v>
      </c>
      <c r="L1528" s="22" t="e">
        <f>VLOOKUP($A1528, TAB_AMORTIZACAO_C[[DIAS_CORRIDOS]:[V_FUT_UTEIS]], L$5, FALSE)</f>
        <v>#N/A</v>
      </c>
    </row>
    <row r="1529" spans="1:12" hidden="1">
      <c r="A1529" s="19">
        <f t="shared" si="124"/>
        <v>1523</v>
      </c>
      <c r="B1529" s="20">
        <f t="shared" si="120"/>
        <v>0</v>
      </c>
      <c r="C1529" s="21">
        <f t="shared" si="121"/>
        <v>0</v>
      </c>
      <c r="D1529" s="22" t="e">
        <f>VLOOKUP($A1529, TAB_JUROS_U[[Q_DIAS_U_PARC_TIR]:[V_FUT_U_JURS CENARIO]], D$5, FALSE)</f>
        <v>#N/A</v>
      </c>
      <c r="E1529" s="22" t="e">
        <f>VLOOKUP($A1529,TAB_CORRECAO_U[[Q_DIAS_U_PARC_TIR]:[V_FUT_U_CORC-02]],E$5, FALSE)</f>
        <v>#N/A</v>
      </c>
      <c r="F1529" s="22" t="e">
        <f>VLOOKUP($A1529,TAB_AMORTIZACAO_U[[Q_DIAS_U_PARC_TIR]:[V_FUT_U_PCPL-02]], F$5, FALSE)</f>
        <v>#N/A</v>
      </c>
      <c r="H1529" s="20">
        <f t="shared" si="122"/>
        <v>0</v>
      </c>
      <c r="I1529" s="21">
        <f t="shared" si="123"/>
        <v>0</v>
      </c>
      <c r="J1529" s="22" t="e">
        <f>VLOOKUP($A1529, TAB_JUROS_C[[DIAS_CORRIDOS]:[V_FUT_UTEIS]], J$5, FALSE)</f>
        <v>#N/A</v>
      </c>
      <c r="K1529" s="22" t="e">
        <f>VLOOKUP($A1529, TAB_CORRECAO_C[[DIAS_CORRIDOS]:[V_FUT_UTEIS]],K$5, FALSE)</f>
        <v>#N/A</v>
      </c>
      <c r="L1529" s="22" t="e">
        <f>VLOOKUP($A1529, TAB_AMORTIZACAO_C[[DIAS_CORRIDOS]:[V_FUT_UTEIS]], L$5, FALSE)</f>
        <v>#N/A</v>
      </c>
    </row>
    <row r="1530" spans="1:12" hidden="1">
      <c r="A1530" s="19">
        <f t="shared" si="124"/>
        <v>1524</v>
      </c>
      <c r="B1530" s="20">
        <f t="shared" si="120"/>
        <v>0</v>
      </c>
      <c r="C1530" s="21">
        <f t="shared" si="121"/>
        <v>0</v>
      </c>
      <c r="D1530" s="22" t="e">
        <f>VLOOKUP($A1530, TAB_JUROS_U[[Q_DIAS_U_PARC_TIR]:[V_FUT_U_JURS CENARIO]], D$5, FALSE)</f>
        <v>#N/A</v>
      </c>
      <c r="E1530" s="22" t="e">
        <f>VLOOKUP($A1530,TAB_CORRECAO_U[[Q_DIAS_U_PARC_TIR]:[V_FUT_U_CORC-02]],E$5, FALSE)</f>
        <v>#N/A</v>
      </c>
      <c r="F1530" s="22" t="e">
        <f>VLOOKUP($A1530,TAB_AMORTIZACAO_U[[Q_DIAS_U_PARC_TIR]:[V_FUT_U_PCPL-02]], F$5, FALSE)</f>
        <v>#N/A</v>
      </c>
      <c r="H1530" s="20">
        <f t="shared" si="122"/>
        <v>0</v>
      </c>
      <c r="I1530" s="21">
        <f t="shared" si="123"/>
        <v>0</v>
      </c>
      <c r="J1530" s="22" t="e">
        <f>VLOOKUP($A1530, TAB_JUROS_C[[DIAS_CORRIDOS]:[V_FUT_UTEIS]], J$5, FALSE)</f>
        <v>#N/A</v>
      </c>
      <c r="K1530" s="22" t="e">
        <f>VLOOKUP($A1530, TAB_CORRECAO_C[[DIAS_CORRIDOS]:[V_FUT_UTEIS]],K$5, FALSE)</f>
        <v>#N/A</v>
      </c>
      <c r="L1530" s="22" t="e">
        <f>VLOOKUP($A1530, TAB_AMORTIZACAO_C[[DIAS_CORRIDOS]:[V_FUT_UTEIS]], L$5, FALSE)</f>
        <v>#N/A</v>
      </c>
    </row>
    <row r="1531" spans="1:12" hidden="1">
      <c r="A1531" s="19">
        <f t="shared" si="124"/>
        <v>1525</v>
      </c>
      <c r="B1531" s="20">
        <f t="shared" si="120"/>
        <v>0</v>
      </c>
      <c r="C1531" s="21">
        <f t="shared" si="121"/>
        <v>0</v>
      </c>
      <c r="D1531" s="22" t="e">
        <f>VLOOKUP($A1531, TAB_JUROS_U[[Q_DIAS_U_PARC_TIR]:[V_FUT_U_JURS CENARIO]], D$5, FALSE)</f>
        <v>#N/A</v>
      </c>
      <c r="E1531" s="22" t="e">
        <f>VLOOKUP($A1531,TAB_CORRECAO_U[[Q_DIAS_U_PARC_TIR]:[V_FUT_U_CORC-02]],E$5, FALSE)</f>
        <v>#N/A</v>
      </c>
      <c r="F1531" s="22" t="e">
        <f>VLOOKUP($A1531,TAB_AMORTIZACAO_U[[Q_DIAS_U_PARC_TIR]:[V_FUT_U_PCPL-02]], F$5, FALSE)</f>
        <v>#N/A</v>
      </c>
      <c r="H1531" s="20">
        <f t="shared" si="122"/>
        <v>0</v>
      </c>
      <c r="I1531" s="21">
        <f t="shared" si="123"/>
        <v>0</v>
      </c>
      <c r="J1531" s="22" t="e">
        <f>VLOOKUP($A1531, TAB_JUROS_C[[DIAS_CORRIDOS]:[V_FUT_UTEIS]], J$5, FALSE)</f>
        <v>#N/A</v>
      </c>
      <c r="K1531" s="22" t="e">
        <f>VLOOKUP($A1531, TAB_CORRECAO_C[[DIAS_CORRIDOS]:[V_FUT_UTEIS]],K$5, FALSE)</f>
        <v>#N/A</v>
      </c>
      <c r="L1531" s="22" t="e">
        <f>VLOOKUP($A1531, TAB_AMORTIZACAO_C[[DIAS_CORRIDOS]:[V_FUT_UTEIS]], L$5, FALSE)</f>
        <v>#N/A</v>
      </c>
    </row>
    <row r="1532" spans="1:12" hidden="1">
      <c r="A1532" s="19">
        <f t="shared" si="124"/>
        <v>1526</v>
      </c>
      <c r="B1532" s="20">
        <f t="shared" si="120"/>
        <v>0</v>
      </c>
      <c r="C1532" s="21">
        <f t="shared" si="121"/>
        <v>0</v>
      </c>
      <c r="D1532" s="22" t="e">
        <f>VLOOKUP($A1532, TAB_JUROS_U[[Q_DIAS_U_PARC_TIR]:[V_FUT_U_JURS CENARIO]], D$5, FALSE)</f>
        <v>#N/A</v>
      </c>
      <c r="E1532" s="22" t="e">
        <f>VLOOKUP($A1532,TAB_CORRECAO_U[[Q_DIAS_U_PARC_TIR]:[V_FUT_U_CORC-02]],E$5, FALSE)</f>
        <v>#N/A</v>
      </c>
      <c r="F1532" s="22" t="e">
        <f>VLOOKUP($A1532,TAB_AMORTIZACAO_U[[Q_DIAS_U_PARC_TIR]:[V_FUT_U_PCPL-02]], F$5, FALSE)</f>
        <v>#N/A</v>
      </c>
      <c r="H1532" s="20">
        <f t="shared" si="122"/>
        <v>0</v>
      </c>
      <c r="I1532" s="21">
        <f t="shared" si="123"/>
        <v>0</v>
      </c>
      <c r="J1532" s="22" t="e">
        <f>VLOOKUP($A1532, TAB_JUROS_C[[DIAS_CORRIDOS]:[V_FUT_UTEIS]], J$5, FALSE)</f>
        <v>#N/A</v>
      </c>
      <c r="K1532" s="22" t="e">
        <f>VLOOKUP($A1532, TAB_CORRECAO_C[[DIAS_CORRIDOS]:[V_FUT_UTEIS]],K$5, FALSE)</f>
        <v>#N/A</v>
      </c>
      <c r="L1532" s="22" t="e">
        <f>VLOOKUP($A1532, TAB_AMORTIZACAO_C[[DIAS_CORRIDOS]:[V_FUT_UTEIS]], L$5, FALSE)</f>
        <v>#N/A</v>
      </c>
    </row>
    <row r="1533" spans="1:12" hidden="1">
      <c r="A1533" s="19">
        <f t="shared" si="124"/>
        <v>1527</v>
      </c>
      <c r="B1533" s="20">
        <f t="shared" si="120"/>
        <v>0</v>
      </c>
      <c r="C1533" s="21">
        <f t="shared" si="121"/>
        <v>0</v>
      </c>
      <c r="D1533" s="22" t="e">
        <f>VLOOKUP($A1533, TAB_JUROS_U[[Q_DIAS_U_PARC_TIR]:[V_FUT_U_JURS CENARIO]], D$5, FALSE)</f>
        <v>#N/A</v>
      </c>
      <c r="E1533" s="22" t="e">
        <f>VLOOKUP($A1533,TAB_CORRECAO_U[[Q_DIAS_U_PARC_TIR]:[V_FUT_U_CORC-02]],E$5, FALSE)</f>
        <v>#N/A</v>
      </c>
      <c r="F1533" s="22" t="e">
        <f>VLOOKUP($A1533,TAB_AMORTIZACAO_U[[Q_DIAS_U_PARC_TIR]:[V_FUT_U_PCPL-02]], F$5, FALSE)</f>
        <v>#N/A</v>
      </c>
      <c r="H1533" s="20">
        <f t="shared" si="122"/>
        <v>0</v>
      </c>
      <c r="I1533" s="21">
        <f t="shared" si="123"/>
        <v>0</v>
      </c>
      <c r="J1533" s="22" t="e">
        <f>VLOOKUP($A1533, TAB_JUROS_C[[DIAS_CORRIDOS]:[V_FUT_UTEIS]], J$5, FALSE)</f>
        <v>#N/A</v>
      </c>
      <c r="K1533" s="22" t="e">
        <f>VLOOKUP($A1533, TAB_CORRECAO_C[[DIAS_CORRIDOS]:[V_FUT_UTEIS]],K$5, FALSE)</f>
        <v>#N/A</v>
      </c>
      <c r="L1533" s="22" t="e">
        <f>VLOOKUP($A1533, TAB_AMORTIZACAO_C[[DIAS_CORRIDOS]:[V_FUT_UTEIS]], L$5, FALSE)</f>
        <v>#N/A</v>
      </c>
    </row>
    <row r="1534" spans="1:12" hidden="1">
      <c r="A1534" s="19">
        <f t="shared" si="124"/>
        <v>1528</v>
      </c>
      <c r="B1534" s="20">
        <f t="shared" si="120"/>
        <v>0</v>
      </c>
      <c r="C1534" s="21">
        <f t="shared" si="121"/>
        <v>0</v>
      </c>
      <c r="D1534" s="22" t="e">
        <f>VLOOKUP($A1534, TAB_JUROS_U[[Q_DIAS_U_PARC_TIR]:[V_FUT_U_JURS CENARIO]], D$5, FALSE)</f>
        <v>#N/A</v>
      </c>
      <c r="E1534" s="22" t="e">
        <f>VLOOKUP($A1534,TAB_CORRECAO_U[[Q_DIAS_U_PARC_TIR]:[V_FUT_U_CORC-02]],E$5, FALSE)</f>
        <v>#N/A</v>
      </c>
      <c r="F1534" s="22" t="e">
        <f>VLOOKUP($A1534,TAB_AMORTIZACAO_U[[Q_DIAS_U_PARC_TIR]:[V_FUT_U_PCPL-02]], F$5, FALSE)</f>
        <v>#N/A</v>
      </c>
      <c r="H1534" s="20">
        <f t="shared" si="122"/>
        <v>0</v>
      </c>
      <c r="I1534" s="21">
        <f t="shared" si="123"/>
        <v>0</v>
      </c>
      <c r="J1534" s="22" t="e">
        <f>VLOOKUP($A1534, TAB_JUROS_C[[DIAS_CORRIDOS]:[V_FUT_UTEIS]], J$5, FALSE)</f>
        <v>#N/A</v>
      </c>
      <c r="K1534" s="22" t="e">
        <f>VLOOKUP($A1534, TAB_CORRECAO_C[[DIAS_CORRIDOS]:[V_FUT_UTEIS]],K$5, FALSE)</f>
        <v>#N/A</v>
      </c>
      <c r="L1534" s="22" t="e">
        <f>VLOOKUP($A1534, TAB_AMORTIZACAO_C[[DIAS_CORRIDOS]:[V_FUT_UTEIS]], L$5, FALSE)</f>
        <v>#N/A</v>
      </c>
    </row>
    <row r="1535" spans="1:12" hidden="1">
      <c r="A1535" s="19">
        <f t="shared" si="124"/>
        <v>1529</v>
      </c>
      <c r="B1535" s="20">
        <f t="shared" si="120"/>
        <v>0</v>
      </c>
      <c r="C1535" s="21">
        <f t="shared" si="121"/>
        <v>0</v>
      </c>
      <c r="D1535" s="22" t="e">
        <f>VLOOKUP($A1535, TAB_JUROS_U[[Q_DIAS_U_PARC_TIR]:[V_FUT_U_JURS CENARIO]], D$5, FALSE)</f>
        <v>#N/A</v>
      </c>
      <c r="E1535" s="22" t="e">
        <f>VLOOKUP($A1535,TAB_CORRECAO_U[[Q_DIAS_U_PARC_TIR]:[V_FUT_U_CORC-02]],E$5, FALSE)</f>
        <v>#N/A</v>
      </c>
      <c r="F1535" s="22" t="e">
        <f>VLOOKUP($A1535,TAB_AMORTIZACAO_U[[Q_DIAS_U_PARC_TIR]:[V_FUT_U_PCPL-02]], F$5, FALSE)</f>
        <v>#N/A</v>
      </c>
      <c r="H1535" s="20">
        <f t="shared" si="122"/>
        <v>0</v>
      </c>
      <c r="I1535" s="21">
        <f t="shared" si="123"/>
        <v>0</v>
      </c>
      <c r="J1535" s="22" t="e">
        <f>VLOOKUP($A1535, TAB_JUROS_C[[DIAS_CORRIDOS]:[V_FUT_UTEIS]], J$5, FALSE)</f>
        <v>#N/A</v>
      </c>
      <c r="K1535" s="22" t="e">
        <f>VLOOKUP($A1535, TAB_CORRECAO_C[[DIAS_CORRIDOS]:[V_FUT_UTEIS]],K$5, FALSE)</f>
        <v>#N/A</v>
      </c>
      <c r="L1535" s="22" t="e">
        <f>VLOOKUP($A1535, TAB_AMORTIZACAO_C[[DIAS_CORRIDOS]:[V_FUT_UTEIS]], L$5, FALSE)</f>
        <v>#N/A</v>
      </c>
    </row>
    <row r="1536" spans="1:12" hidden="1">
      <c r="A1536" s="19">
        <f t="shared" si="124"/>
        <v>1530</v>
      </c>
      <c r="B1536" s="20">
        <f t="shared" si="120"/>
        <v>0</v>
      </c>
      <c r="C1536" s="21">
        <f t="shared" si="121"/>
        <v>0</v>
      </c>
      <c r="D1536" s="22" t="e">
        <f>VLOOKUP($A1536, TAB_JUROS_U[[Q_DIAS_U_PARC_TIR]:[V_FUT_U_JURS CENARIO]], D$5, FALSE)</f>
        <v>#N/A</v>
      </c>
      <c r="E1536" s="22" t="e">
        <f>VLOOKUP($A1536,TAB_CORRECAO_U[[Q_DIAS_U_PARC_TIR]:[V_FUT_U_CORC-02]],E$5, FALSE)</f>
        <v>#N/A</v>
      </c>
      <c r="F1536" s="22" t="e">
        <f>VLOOKUP($A1536,TAB_AMORTIZACAO_U[[Q_DIAS_U_PARC_TIR]:[V_FUT_U_PCPL-02]], F$5, FALSE)</f>
        <v>#N/A</v>
      </c>
      <c r="H1536" s="20">
        <f t="shared" si="122"/>
        <v>0</v>
      </c>
      <c r="I1536" s="21">
        <f t="shared" si="123"/>
        <v>0</v>
      </c>
      <c r="J1536" s="22" t="e">
        <f>VLOOKUP($A1536, TAB_JUROS_C[[DIAS_CORRIDOS]:[V_FUT_UTEIS]], J$5, FALSE)</f>
        <v>#N/A</v>
      </c>
      <c r="K1536" s="22" t="e">
        <f>VLOOKUP($A1536, TAB_CORRECAO_C[[DIAS_CORRIDOS]:[V_FUT_UTEIS]],K$5, FALSE)</f>
        <v>#N/A</v>
      </c>
      <c r="L1536" s="22" t="e">
        <f>VLOOKUP($A1536, TAB_AMORTIZACAO_C[[DIAS_CORRIDOS]:[V_FUT_UTEIS]], L$5, FALSE)</f>
        <v>#N/A</v>
      </c>
    </row>
    <row r="1537" spans="1:12" hidden="1">
      <c r="A1537" s="19">
        <f t="shared" si="124"/>
        <v>1531</v>
      </c>
      <c r="B1537" s="20">
        <f t="shared" si="120"/>
        <v>0</v>
      </c>
      <c r="C1537" s="21">
        <f t="shared" si="121"/>
        <v>0</v>
      </c>
      <c r="D1537" s="22" t="e">
        <f>VLOOKUP($A1537, TAB_JUROS_U[[Q_DIAS_U_PARC_TIR]:[V_FUT_U_JURS CENARIO]], D$5, FALSE)</f>
        <v>#N/A</v>
      </c>
      <c r="E1537" s="22" t="e">
        <f>VLOOKUP($A1537,TAB_CORRECAO_U[[Q_DIAS_U_PARC_TIR]:[V_FUT_U_CORC-02]],E$5, FALSE)</f>
        <v>#N/A</v>
      </c>
      <c r="F1537" s="22" t="e">
        <f>VLOOKUP($A1537,TAB_AMORTIZACAO_U[[Q_DIAS_U_PARC_TIR]:[V_FUT_U_PCPL-02]], F$5, FALSE)</f>
        <v>#N/A</v>
      </c>
      <c r="H1537" s="20">
        <f t="shared" si="122"/>
        <v>0</v>
      </c>
      <c r="I1537" s="21">
        <f t="shared" si="123"/>
        <v>0</v>
      </c>
      <c r="J1537" s="22" t="e">
        <f>VLOOKUP($A1537, TAB_JUROS_C[[DIAS_CORRIDOS]:[V_FUT_UTEIS]], J$5, FALSE)</f>
        <v>#N/A</v>
      </c>
      <c r="K1537" s="22" t="e">
        <f>VLOOKUP($A1537, TAB_CORRECAO_C[[DIAS_CORRIDOS]:[V_FUT_UTEIS]],K$5, FALSE)</f>
        <v>#N/A</v>
      </c>
      <c r="L1537" s="22" t="e">
        <f>VLOOKUP($A1537, TAB_AMORTIZACAO_C[[DIAS_CORRIDOS]:[V_FUT_UTEIS]], L$5, FALSE)</f>
        <v>#N/A</v>
      </c>
    </row>
    <row r="1538" spans="1:12" hidden="1">
      <c r="A1538" s="19">
        <f t="shared" si="124"/>
        <v>1532</v>
      </c>
      <c r="B1538" s="20">
        <f t="shared" si="120"/>
        <v>0</v>
      </c>
      <c r="C1538" s="21">
        <f t="shared" si="121"/>
        <v>0</v>
      </c>
      <c r="D1538" s="22" t="e">
        <f>VLOOKUP($A1538, TAB_JUROS_U[[Q_DIAS_U_PARC_TIR]:[V_FUT_U_JURS CENARIO]], D$5, FALSE)</f>
        <v>#N/A</v>
      </c>
      <c r="E1538" s="22" t="e">
        <f>VLOOKUP($A1538,TAB_CORRECAO_U[[Q_DIAS_U_PARC_TIR]:[V_FUT_U_CORC-02]],E$5, FALSE)</f>
        <v>#N/A</v>
      </c>
      <c r="F1538" s="22" t="e">
        <f>VLOOKUP($A1538,TAB_AMORTIZACAO_U[[Q_DIAS_U_PARC_TIR]:[V_FUT_U_PCPL-02]], F$5, FALSE)</f>
        <v>#N/A</v>
      </c>
      <c r="H1538" s="20">
        <f t="shared" si="122"/>
        <v>0</v>
      </c>
      <c r="I1538" s="21">
        <f t="shared" si="123"/>
        <v>0</v>
      </c>
      <c r="J1538" s="22" t="e">
        <f>VLOOKUP($A1538, TAB_JUROS_C[[DIAS_CORRIDOS]:[V_FUT_UTEIS]], J$5, FALSE)</f>
        <v>#N/A</v>
      </c>
      <c r="K1538" s="22" t="e">
        <f>VLOOKUP($A1538, TAB_CORRECAO_C[[DIAS_CORRIDOS]:[V_FUT_UTEIS]],K$5, FALSE)</f>
        <v>#N/A</v>
      </c>
      <c r="L1538" s="22" t="e">
        <f>VLOOKUP($A1538, TAB_AMORTIZACAO_C[[DIAS_CORRIDOS]:[V_FUT_UTEIS]], L$5, FALSE)</f>
        <v>#N/A</v>
      </c>
    </row>
    <row r="1539" spans="1:12" hidden="1">
      <c r="A1539" s="19">
        <f t="shared" si="124"/>
        <v>1533</v>
      </c>
      <c r="B1539" s="20">
        <f t="shared" si="120"/>
        <v>0</v>
      </c>
      <c r="C1539" s="21">
        <f t="shared" si="121"/>
        <v>0</v>
      </c>
      <c r="D1539" s="22" t="e">
        <f>VLOOKUP($A1539, TAB_JUROS_U[[Q_DIAS_U_PARC_TIR]:[V_FUT_U_JURS CENARIO]], D$5, FALSE)</f>
        <v>#N/A</v>
      </c>
      <c r="E1539" s="22" t="e">
        <f>VLOOKUP($A1539,TAB_CORRECAO_U[[Q_DIAS_U_PARC_TIR]:[V_FUT_U_CORC-02]],E$5, FALSE)</f>
        <v>#N/A</v>
      </c>
      <c r="F1539" s="22" t="e">
        <f>VLOOKUP($A1539,TAB_AMORTIZACAO_U[[Q_DIAS_U_PARC_TIR]:[V_FUT_U_PCPL-02]], F$5, FALSE)</f>
        <v>#N/A</v>
      </c>
      <c r="H1539" s="20">
        <f t="shared" si="122"/>
        <v>787.55508001944372</v>
      </c>
      <c r="I1539" s="21">
        <f t="shared" si="123"/>
        <v>787.55508001944372</v>
      </c>
      <c r="J1539" s="22">
        <f>VLOOKUP($A1539, TAB_JUROS_C[[DIAS_CORRIDOS]:[V_FUT_UTEIS]], J$5, FALSE)</f>
        <v>53.779464285413646</v>
      </c>
      <c r="K1539" s="22">
        <f>VLOOKUP($A1539, TAB_CORRECAO_C[[DIAS_CORRIDOS]:[V_FUT_UTEIS]],K$5, FALSE)</f>
        <v>322.36527575777353</v>
      </c>
      <c r="L1539" s="22">
        <f>VLOOKUP($A1539, TAB_AMORTIZACAO_C[[DIAS_CORRIDOS]:[V_FUT_UTEIS]], L$5, FALSE)</f>
        <v>411.41033997625652</v>
      </c>
    </row>
    <row r="1540" spans="1:12" hidden="1">
      <c r="A1540" s="19">
        <f t="shared" si="124"/>
        <v>1534</v>
      </c>
      <c r="B1540" s="20">
        <f t="shared" si="120"/>
        <v>0</v>
      </c>
      <c r="C1540" s="21">
        <f t="shared" si="121"/>
        <v>0</v>
      </c>
      <c r="D1540" s="22" t="e">
        <f>VLOOKUP($A1540, TAB_JUROS_U[[Q_DIAS_U_PARC_TIR]:[V_FUT_U_JURS CENARIO]], D$5, FALSE)</f>
        <v>#N/A</v>
      </c>
      <c r="E1540" s="22" t="e">
        <f>VLOOKUP($A1540,TAB_CORRECAO_U[[Q_DIAS_U_PARC_TIR]:[V_FUT_U_CORC-02]],E$5, FALSE)</f>
        <v>#N/A</v>
      </c>
      <c r="F1540" s="22" t="e">
        <f>VLOOKUP($A1540,TAB_AMORTIZACAO_U[[Q_DIAS_U_PARC_TIR]:[V_FUT_U_PCPL-02]], F$5, FALSE)</f>
        <v>#N/A</v>
      </c>
      <c r="H1540" s="20">
        <f t="shared" si="122"/>
        <v>0</v>
      </c>
      <c r="I1540" s="21">
        <f t="shared" si="123"/>
        <v>0</v>
      </c>
      <c r="J1540" s="22" t="e">
        <f>VLOOKUP($A1540, TAB_JUROS_C[[DIAS_CORRIDOS]:[V_FUT_UTEIS]], J$5, FALSE)</f>
        <v>#N/A</v>
      </c>
      <c r="K1540" s="22" t="e">
        <f>VLOOKUP($A1540, TAB_CORRECAO_C[[DIAS_CORRIDOS]:[V_FUT_UTEIS]],K$5, FALSE)</f>
        <v>#N/A</v>
      </c>
      <c r="L1540" s="22" t="e">
        <f>VLOOKUP($A1540, TAB_AMORTIZACAO_C[[DIAS_CORRIDOS]:[V_FUT_UTEIS]], L$5, FALSE)</f>
        <v>#N/A</v>
      </c>
    </row>
    <row r="1541" spans="1:12" hidden="1">
      <c r="A1541" s="19">
        <f t="shared" si="124"/>
        <v>1535</v>
      </c>
      <c r="B1541" s="20">
        <f t="shared" si="120"/>
        <v>0</v>
      </c>
      <c r="C1541" s="21">
        <f t="shared" si="121"/>
        <v>0</v>
      </c>
      <c r="D1541" s="22" t="e">
        <f>VLOOKUP($A1541, TAB_JUROS_U[[Q_DIAS_U_PARC_TIR]:[V_FUT_U_JURS CENARIO]], D$5, FALSE)</f>
        <v>#N/A</v>
      </c>
      <c r="E1541" s="22" t="e">
        <f>VLOOKUP($A1541,TAB_CORRECAO_U[[Q_DIAS_U_PARC_TIR]:[V_FUT_U_CORC-02]],E$5, FALSE)</f>
        <v>#N/A</v>
      </c>
      <c r="F1541" s="22" t="e">
        <f>VLOOKUP($A1541,TAB_AMORTIZACAO_U[[Q_DIAS_U_PARC_TIR]:[V_FUT_U_PCPL-02]], F$5, FALSE)</f>
        <v>#N/A</v>
      </c>
      <c r="H1541" s="20">
        <f t="shared" si="122"/>
        <v>0</v>
      </c>
      <c r="I1541" s="21">
        <f t="shared" si="123"/>
        <v>0</v>
      </c>
      <c r="J1541" s="22" t="e">
        <f>VLOOKUP($A1541, TAB_JUROS_C[[DIAS_CORRIDOS]:[V_FUT_UTEIS]], J$5, FALSE)</f>
        <v>#N/A</v>
      </c>
      <c r="K1541" s="22" t="e">
        <f>VLOOKUP($A1541, TAB_CORRECAO_C[[DIAS_CORRIDOS]:[V_FUT_UTEIS]],K$5, FALSE)</f>
        <v>#N/A</v>
      </c>
      <c r="L1541" s="22" t="e">
        <f>VLOOKUP($A1541, TAB_AMORTIZACAO_C[[DIAS_CORRIDOS]:[V_FUT_UTEIS]], L$5, FALSE)</f>
        <v>#N/A</v>
      </c>
    </row>
    <row r="1542" spans="1:12" hidden="1">
      <c r="A1542" s="19">
        <f t="shared" si="124"/>
        <v>1536</v>
      </c>
      <c r="B1542" s="20">
        <f t="shared" si="120"/>
        <v>0</v>
      </c>
      <c r="C1542" s="21">
        <f t="shared" si="121"/>
        <v>0</v>
      </c>
      <c r="D1542" s="22" t="e">
        <f>VLOOKUP($A1542, TAB_JUROS_U[[Q_DIAS_U_PARC_TIR]:[V_FUT_U_JURS CENARIO]], D$5, FALSE)</f>
        <v>#N/A</v>
      </c>
      <c r="E1542" s="22" t="e">
        <f>VLOOKUP($A1542,TAB_CORRECAO_U[[Q_DIAS_U_PARC_TIR]:[V_FUT_U_CORC-02]],E$5, FALSE)</f>
        <v>#N/A</v>
      </c>
      <c r="F1542" s="22" t="e">
        <f>VLOOKUP($A1542,TAB_AMORTIZACAO_U[[Q_DIAS_U_PARC_TIR]:[V_FUT_U_PCPL-02]], F$5, FALSE)</f>
        <v>#N/A</v>
      </c>
      <c r="H1542" s="20">
        <f t="shared" si="122"/>
        <v>0</v>
      </c>
      <c r="I1542" s="21">
        <f t="shared" si="123"/>
        <v>0</v>
      </c>
      <c r="J1542" s="22" t="e">
        <f>VLOOKUP($A1542, TAB_JUROS_C[[DIAS_CORRIDOS]:[V_FUT_UTEIS]], J$5, FALSE)</f>
        <v>#N/A</v>
      </c>
      <c r="K1542" s="22" t="e">
        <f>VLOOKUP($A1542, TAB_CORRECAO_C[[DIAS_CORRIDOS]:[V_FUT_UTEIS]],K$5, FALSE)</f>
        <v>#N/A</v>
      </c>
      <c r="L1542" s="22" t="e">
        <f>VLOOKUP($A1542, TAB_AMORTIZACAO_C[[DIAS_CORRIDOS]:[V_FUT_UTEIS]], L$5, FALSE)</f>
        <v>#N/A</v>
      </c>
    </row>
    <row r="1543" spans="1:12" hidden="1">
      <c r="A1543" s="19">
        <f t="shared" si="124"/>
        <v>1537</v>
      </c>
      <c r="B1543" s="20">
        <f t="shared" si="120"/>
        <v>0</v>
      </c>
      <c r="C1543" s="21">
        <f t="shared" si="121"/>
        <v>0</v>
      </c>
      <c r="D1543" s="22" t="e">
        <f>VLOOKUP($A1543, TAB_JUROS_U[[Q_DIAS_U_PARC_TIR]:[V_FUT_U_JURS CENARIO]], D$5, FALSE)</f>
        <v>#N/A</v>
      </c>
      <c r="E1543" s="22" t="e">
        <f>VLOOKUP($A1543,TAB_CORRECAO_U[[Q_DIAS_U_PARC_TIR]:[V_FUT_U_CORC-02]],E$5, FALSE)</f>
        <v>#N/A</v>
      </c>
      <c r="F1543" s="22" t="e">
        <f>VLOOKUP($A1543,TAB_AMORTIZACAO_U[[Q_DIAS_U_PARC_TIR]:[V_FUT_U_PCPL-02]], F$5, FALSE)</f>
        <v>#N/A</v>
      </c>
      <c r="H1543" s="20">
        <f t="shared" si="122"/>
        <v>0</v>
      </c>
      <c r="I1543" s="21">
        <f t="shared" si="123"/>
        <v>0</v>
      </c>
      <c r="J1543" s="22" t="e">
        <f>VLOOKUP($A1543, TAB_JUROS_C[[DIAS_CORRIDOS]:[V_FUT_UTEIS]], J$5, FALSE)</f>
        <v>#N/A</v>
      </c>
      <c r="K1543" s="22" t="e">
        <f>VLOOKUP($A1543, TAB_CORRECAO_C[[DIAS_CORRIDOS]:[V_FUT_UTEIS]],K$5, FALSE)</f>
        <v>#N/A</v>
      </c>
      <c r="L1543" s="22" t="e">
        <f>VLOOKUP($A1543, TAB_AMORTIZACAO_C[[DIAS_CORRIDOS]:[V_FUT_UTEIS]], L$5, FALSE)</f>
        <v>#N/A</v>
      </c>
    </row>
    <row r="1544" spans="1:12" hidden="1">
      <c r="A1544" s="19">
        <f t="shared" si="124"/>
        <v>1538</v>
      </c>
      <c r="B1544" s="20">
        <f t="shared" si="120"/>
        <v>0</v>
      </c>
      <c r="C1544" s="21">
        <f t="shared" si="121"/>
        <v>0</v>
      </c>
      <c r="D1544" s="22" t="e">
        <f>VLOOKUP($A1544, TAB_JUROS_U[[Q_DIAS_U_PARC_TIR]:[V_FUT_U_JURS CENARIO]], D$5, FALSE)</f>
        <v>#N/A</v>
      </c>
      <c r="E1544" s="22" t="e">
        <f>VLOOKUP($A1544,TAB_CORRECAO_U[[Q_DIAS_U_PARC_TIR]:[V_FUT_U_CORC-02]],E$5, FALSE)</f>
        <v>#N/A</v>
      </c>
      <c r="F1544" s="22" t="e">
        <f>VLOOKUP($A1544,TAB_AMORTIZACAO_U[[Q_DIAS_U_PARC_TIR]:[V_FUT_U_PCPL-02]], F$5, FALSE)</f>
        <v>#N/A</v>
      </c>
      <c r="H1544" s="20">
        <f t="shared" si="122"/>
        <v>0</v>
      </c>
      <c r="I1544" s="21">
        <f t="shared" si="123"/>
        <v>0</v>
      </c>
      <c r="J1544" s="22" t="e">
        <f>VLOOKUP($A1544, TAB_JUROS_C[[DIAS_CORRIDOS]:[V_FUT_UTEIS]], J$5, FALSE)</f>
        <v>#N/A</v>
      </c>
      <c r="K1544" s="22" t="e">
        <f>VLOOKUP($A1544, TAB_CORRECAO_C[[DIAS_CORRIDOS]:[V_FUT_UTEIS]],K$5, FALSE)</f>
        <v>#N/A</v>
      </c>
      <c r="L1544" s="22" t="e">
        <f>VLOOKUP($A1544, TAB_AMORTIZACAO_C[[DIAS_CORRIDOS]:[V_FUT_UTEIS]], L$5, FALSE)</f>
        <v>#N/A</v>
      </c>
    </row>
    <row r="1545" spans="1:12">
      <c r="A1545" s="19">
        <f t="shared" si="124"/>
        <v>1539</v>
      </c>
      <c r="B1545" s="20">
        <f t="shared" ref="B1545:B1608" si="125">IF(ISERROR(C1545), 0, C1545)</f>
        <v>509.39080361169863</v>
      </c>
      <c r="C1545" s="21">
        <f t="shared" ref="C1545:C1608" si="126">SUMIF(D1545:F1545, "&gt;0", D1545:F1545)</f>
        <v>509.39080361169863</v>
      </c>
      <c r="D1545" s="22">
        <f>VLOOKUP($A1545, TAB_JUROS_U[[Q_DIAS_U_PARC_TIR]:[V_FUT_U_JURS CENARIO]], D$5, FALSE)</f>
        <v>33.808786987650208</v>
      </c>
      <c r="E1545" s="22">
        <f>VLOOKUP($A1545,TAB_CORRECAO_U[[Q_DIAS_U_PARC_TIR]:[V_FUT_U_CORC-02]],E$5, FALSE)</f>
        <v>204.42309489186275</v>
      </c>
      <c r="F1545" s="22">
        <f>VLOOKUP($A1545,TAB_AMORTIZACAO_U[[Q_DIAS_U_PARC_TIR]:[V_FUT_U_PCPL-02]], F$5, FALSE)</f>
        <v>271.15892173218566</v>
      </c>
      <c r="H1545" s="20">
        <f t="shared" ref="H1545:H1608" si="127">IF(ISERROR(I1545), 0, I1545)</f>
        <v>0</v>
      </c>
      <c r="I1545" s="21">
        <f t="shared" ref="I1545:I1608" si="128">SUMIF(J1545:L1545, "&gt;0", J1545:L1545)</f>
        <v>0</v>
      </c>
      <c r="J1545" s="22" t="e">
        <f>VLOOKUP($A1545, TAB_JUROS_C[[DIAS_CORRIDOS]:[V_FUT_UTEIS]], J$5, FALSE)</f>
        <v>#N/A</v>
      </c>
      <c r="K1545" s="22" t="e">
        <f>VLOOKUP($A1545, TAB_CORRECAO_C[[DIAS_CORRIDOS]:[V_FUT_UTEIS]],K$5, FALSE)</f>
        <v>#N/A</v>
      </c>
      <c r="L1545" s="22" t="e">
        <f>VLOOKUP($A1545, TAB_AMORTIZACAO_C[[DIAS_CORRIDOS]:[V_FUT_UTEIS]], L$5, FALSE)</f>
        <v>#N/A</v>
      </c>
    </row>
    <row r="1546" spans="1:12" hidden="1">
      <c r="A1546" s="19">
        <f t="shared" ref="A1546:A1609" si="129">A1545+1</f>
        <v>1540</v>
      </c>
      <c r="B1546" s="20">
        <f t="shared" si="125"/>
        <v>0</v>
      </c>
      <c r="C1546" s="21">
        <f t="shared" si="126"/>
        <v>0</v>
      </c>
      <c r="D1546" s="22" t="e">
        <f>VLOOKUP($A1546, TAB_JUROS_U[[Q_DIAS_U_PARC_TIR]:[V_FUT_U_JURS CENARIO]], D$5, FALSE)</f>
        <v>#N/A</v>
      </c>
      <c r="E1546" s="22" t="e">
        <f>VLOOKUP($A1546,TAB_CORRECAO_U[[Q_DIAS_U_PARC_TIR]:[V_FUT_U_CORC-02]],E$5, FALSE)</f>
        <v>#N/A</v>
      </c>
      <c r="F1546" s="22" t="e">
        <f>VLOOKUP($A1546,TAB_AMORTIZACAO_U[[Q_DIAS_U_PARC_TIR]:[V_FUT_U_PCPL-02]], F$5, FALSE)</f>
        <v>#N/A</v>
      </c>
      <c r="H1546" s="20">
        <f t="shared" si="127"/>
        <v>0</v>
      </c>
      <c r="I1546" s="21">
        <f t="shared" si="128"/>
        <v>0</v>
      </c>
      <c r="J1546" s="22" t="e">
        <f>VLOOKUP($A1546, TAB_JUROS_C[[DIAS_CORRIDOS]:[V_FUT_UTEIS]], J$5, FALSE)</f>
        <v>#N/A</v>
      </c>
      <c r="K1546" s="22" t="e">
        <f>VLOOKUP($A1546, TAB_CORRECAO_C[[DIAS_CORRIDOS]:[V_FUT_UTEIS]],K$5, FALSE)</f>
        <v>#N/A</v>
      </c>
      <c r="L1546" s="22" t="e">
        <f>VLOOKUP($A1546, TAB_AMORTIZACAO_C[[DIAS_CORRIDOS]:[V_FUT_UTEIS]], L$5, FALSE)</f>
        <v>#N/A</v>
      </c>
    </row>
    <row r="1547" spans="1:12" hidden="1">
      <c r="A1547" s="19">
        <f t="shared" si="129"/>
        <v>1541</v>
      </c>
      <c r="B1547" s="20">
        <f t="shared" si="125"/>
        <v>0</v>
      </c>
      <c r="C1547" s="21">
        <f t="shared" si="126"/>
        <v>0</v>
      </c>
      <c r="D1547" s="22" t="e">
        <f>VLOOKUP($A1547, TAB_JUROS_U[[Q_DIAS_U_PARC_TIR]:[V_FUT_U_JURS CENARIO]], D$5, FALSE)</f>
        <v>#N/A</v>
      </c>
      <c r="E1547" s="22" t="e">
        <f>VLOOKUP($A1547,TAB_CORRECAO_U[[Q_DIAS_U_PARC_TIR]:[V_FUT_U_CORC-02]],E$5, FALSE)</f>
        <v>#N/A</v>
      </c>
      <c r="F1547" s="22" t="e">
        <f>VLOOKUP($A1547,TAB_AMORTIZACAO_U[[Q_DIAS_U_PARC_TIR]:[V_FUT_U_PCPL-02]], F$5, FALSE)</f>
        <v>#N/A</v>
      </c>
      <c r="H1547" s="20">
        <f t="shared" si="127"/>
        <v>0</v>
      </c>
      <c r="I1547" s="21">
        <f t="shared" si="128"/>
        <v>0</v>
      </c>
      <c r="J1547" s="22" t="e">
        <f>VLOOKUP($A1547, TAB_JUROS_C[[DIAS_CORRIDOS]:[V_FUT_UTEIS]], J$5, FALSE)</f>
        <v>#N/A</v>
      </c>
      <c r="K1547" s="22" t="e">
        <f>VLOOKUP($A1547, TAB_CORRECAO_C[[DIAS_CORRIDOS]:[V_FUT_UTEIS]],K$5, FALSE)</f>
        <v>#N/A</v>
      </c>
      <c r="L1547" s="22" t="e">
        <f>VLOOKUP($A1547, TAB_AMORTIZACAO_C[[DIAS_CORRIDOS]:[V_FUT_UTEIS]], L$5, FALSE)</f>
        <v>#N/A</v>
      </c>
    </row>
    <row r="1548" spans="1:12" hidden="1">
      <c r="A1548" s="19">
        <f t="shared" si="129"/>
        <v>1542</v>
      </c>
      <c r="B1548" s="20">
        <f t="shared" si="125"/>
        <v>0</v>
      </c>
      <c r="C1548" s="21">
        <f t="shared" si="126"/>
        <v>0</v>
      </c>
      <c r="D1548" s="22" t="e">
        <f>VLOOKUP($A1548, TAB_JUROS_U[[Q_DIAS_U_PARC_TIR]:[V_FUT_U_JURS CENARIO]], D$5, FALSE)</f>
        <v>#N/A</v>
      </c>
      <c r="E1548" s="22" t="e">
        <f>VLOOKUP($A1548,TAB_CORRECAO_U[[Q_DIAS_U_PARC_TIR]:[V_FUT_U_CORC-02]],E$5, FALSE)</f>
        <v>#N/A</v>
      </c>
      <c r="F1548" s="22" t="e">
        <f>VLOOKUP($A1548,TAB_AMORTIZACAO_U[[Q_DIAS_U_PARC_TIR]:[V_FUT_U_PCPL-02]], F$5, FALSE)</f>
        <v>#N/A</v>
      </c>
      <c r="H1548" s="20">
        <f t="shared" si="127"/>
        <v>0</v>
      </c>
      <c r="I1548" s="21">
        <f t="shared" si="128"/>
        <v>0</v>
      </c>
      <c r="J1548" s="22" t="e">
        <f>VLOOKUP($A1548, TAB_JUROS_C[[DIAS_CORRIDOS]:[V_FUT_UTEIS]], J$5, FALSE)</f>
        <v>#N/A</v>
      </c>
      <c r="K1548" s="22" t="e">
        <f>VLOOKUP($A1548, TAB_CORRECAO_C[[DIAS_CORRIDOS]:[V_FUT_UTEIS]],K$5, FALSE)</f>
        <v>#N/A</v>
      </c>
      <c r="L1548" s="22" t="e">
        <f>VLOOKUP($A1548, TAB_AMORTIZACAO_C[[DIAS_CORRIDOS]:[V_FUT_UTEIS]], L$5, FALSE)</f>
        <v>#N/A</v>
      </c>
    </row>
    <row r="1549" spans="1:12" hidden="1">
      <c r="A1549" s="19">
        <f t="shared" si="129"/>
        <v>1543</v>
      </c>
      <c r="B1549" s="20">
        <f t="shared" si="125"/>
        <v>0</v>
      </c>
      <c r="C1549" s="21">
        <f t="shared" si="126"/>
        <v>0</v>
      </c>
      <c r="D1549" s="22" t="e">
        <f>VLOOKUP($A1549, TAB_JUROS_U[[Q_DIAS_U_PARC_TIR]:[V_FUT_U_JURS CENARIO]], D$5, FALSE)</f>
        <v>#N/A</v>
      </c>
      <c r="E1549" s="22" t="e">
        <f>VLOOKUP($A1549,TAB_CORRECAO_U[[Q_DIAS_U_PARC_TIR]:[V_FUT_U_CORC-02]],E$5, FALSE)</f>
        <v>#N/A</v>
      </c>
      <c r="F1549" s="22" t="e">
        <f>VLOOKUP($A1549,TAB_AMORTIZACAO_U[[Q_DIAS_U_PARC_TIR]:[V_FUT_U_PCPL-02]], F$5, FALSE)</f>
        <v>#N/A</v>
      </c>
      <c r="H1549" s="20">
        <f t="shared" si="127"/>
        <v>0</v>
      </c>
      <c r="I1549" s="21">
        <f t="shared" si="128"/>
        <v>0</v>
      </c>
      <c r="J1549" s="22" t="e">
        <f>VLOOKUP($A1549, TAB_JUROS_C[[DIAS_CORRIDOS]:[V_FUT_UTEIS]], J$5, FALSE)</f>
        <v>#N/A</v>
      </c>
      <c r="K1549" s="22" t="e">
        <f>VLOOKUP($A1549, TAB_CORRECAO_C[[DIAS_CORRIDOS]:[V_FUT_UTEIS]],K$5, FALSE)</f>
        <v>#N/A</v>
      </c>
      <c r="L1549" s="22" t="e">
        <f>VLOOKUP($A1549, TAB_AMORTIZACAO_C[[DIAS_CORRIDOS]:[V_FUT_UTEIS]], L$5, FALSE)</f>
        <v>#N/A</v>
      </c>
    </row>
    <row r="1550" spans="1:12" hidden="1">
      <c r="A1550" s="19">
        <f t="shared" si="129"/>
        <v>1544</v>
      </c>
      <c r="B1550" s="20">
        <f t="shared" si="125"/>
        <v>0</v>
      </c>
      <c r="C1550" s="21">
        <f t="shared" si="126"/>
        <v>0</v>
      </c>
      <c r="D1550" s="22" t="e">
        <f>VLOOKUP($A1550, TAB_JUROS_U[[Q_DIAS_U_PARC_TIR]:[V_FUT_U_JURS CENARIO]], D$5, FALSE)</f>
        <v>#N/A</v>
      </c>
      <c r="E1550" s="22" t="e">
        <f>VLOOKUP($A1550,TAB_CORRECAO_U[[Q_DIAS_U_PARC_TIR]:[V_FUT_U_CORC-02]],E$5, FALSE)</f>
        <v>#N/A</v>
      </c>
      <c r="F1550" s="22" t="e">
        <f>VLOOKUP($A1550,TAB_AMORTIZACAO_U[[Q_DIAS_U_PARC_TIR]:[V_FUT_U_PCPL-02]], F$5, FALSE)</f>
        <v>#N/A</v>
      </c>
      <c r="H1550" s="20">
        <f t="shared" si="127"/>
        <v>0</v>
      </c>
      <c r="I1550" s="21">
        <f t="shared" si="128"/>
        <v>0</v>
      </c>
      <c r="J1550" s="22" t="e">
        <f>VLOOKUP($A1550, TAB_JUROS_C[[DIAS_CORRIDOS]:[V_FUT_UTEIS]], J$5, FALSE)</f>
        <v>#N/A</v>
      </c>
      <c r="K1550" s="22" t="e">
        <f>VLOOKUP($A1550, TAB_CORRECAO_C[[DIAS_CORRIDOS]:[V_FUT_UTEIS]],K$5, FALSE)</f>
        <v>#N/A</v>
      </c>
      <c r="L1550" s="22" t="e">
        <f>VLOOKUP($A1550, TAB_AMORTIZACAO_C[[DIAS_CORRIDOS]:[V_FUT_UTEIS]], L$5, FALSE)</f>
        <v>#N/A</v>
      </c>
    </row>
    <row r="1551" spans="1:12" hidden="1">
      <c r="A1551" s="19">
        <f t="shared" si="129"/>
        <v>1545</v>
      </c>
      <c r="B1551" s="20">
        <f t="shared" si="125"/>
        <v>0</v>
      </c>
      <c r="C1551" s="21">
        <f t="shared" si="126"/>
        <v>0</v>
      </c>
      <c r="D1551" s="22" t="e">
        <f>VLOOKUP($A1551, TAB_JUROS_U[[Q_DIAS_U_PARC_TIR]:[V_FUT_U_JURS CENARIO]], D$5, FALSE)</f>
        <v>#N/A</v>
      </c>
      <c r="E1551" s="22" t="e">
        <f>VLOOKUP($A1551,TAB_CORRECAO_U[[Q_DIAS_U_PARC_TIR]:[V_FUT_U_CORC-02]],E$5, FALSE)</f>
        <v>#N/A</v>
      </c>
      <c r="F1551" s="22" t="e">
        <f>VLOOKUP($A1551,TAB_AMORTIZACAO_U[[Q_DIAS_U_PARC_TIR]:[V_FUT_U_PCPL-02]], F$5, FALSE)</f>
        <v>#N/A</v>
      </c>
      <c r="H1551" s="20">
        <f t="shared" si="127"/>
        <v>0</v>
      </c>
      <c r="I1551" s="21">
        <f t="shared" si="128"/>
        <v>0</v>
      </c>
      <c r="J1551" s="22" t="e">
        <f>VLOOKUP($A1551, TAB_JUROS_C[[DIAS_CORRIDOS]:[V_FUT_UTEIS]], J$5, FALSE)</f>
        <v>#N/A</v>
      </c>
      <c r="K1551" s="22" t="e">
        <f>VLOOKUP($A1551, TAB_CORRECAO_C[[DIAS_CORRIDOS]:[V_FUT_UTEIS]],K$5, FALSE)</f>
        <v>#N/A</v>
      </c>
      <c r="L1551" s="22" t="e">
        <f>VLOOKUP($A1551, TAB_AMORTIZACAO_C[[DIAS_CORRIDOS]:[V_FUT_UTEIS]], L$5, FALSE)</f>
        <v>#N/A</v>
      </c>
    </row>
    <row r="1552" spans="1:12" hidden="1">
      <c r="A1552" s="19">
        <f t="shared" si="129"/>
        <v>1546</v>
      </c>
      <c r="B1552" s="20">
        <f t="shared" si="125"/>
        <v>0</v>
      </c>
      <c r="C1552" s="21">
        <f t="shared" si="126"/>
        <v>0</v>
      </c>
      <c r="D1552" s="22" t="e">
        <f>VLOOKUP($A1552, TAB_JUROS_U[[Q_DIAS_U_PARC_TIR]:[V_FUT_U_JURS CENARIO]], D$5, FALSE)</f>
        <v>#N/A</v>
      </c>
      <c r="E1552" s="22" t="e">
        <f>VLOOKUP($A1552,TAB_CORRECAO_U[[Q_DIAS_U_PARC_TIR]:[V_FUT_U_CORC-02]],E$5, FALSE)</f>
        <v>#N/A</v>
      </c>
      <c r="F1552" s="22" t="e">
        <f>VLOOKUP($A1552,TAB_AMORTIZACAO_U[[Q_DIAS_U_PARC_TIR]:[V_FUT_U_PCPL-02]], F$5, FALSE)</f>
        <v>#N/A</v>
      </c>
      <c r="H1552" s="20">
        <f t="shared" si="127"/>
        <v>0</v>
      </c>
      <c r="I1552" s="21">
        <f t="shared" si="128"/>
        <v>0</v>
      </c>
      <c r="J1552" s="22" t="e">
        <f>VLOOKUP($A1552, TAB_JUROS_C[[DIAS_CORRIDOS]:[V_FUT_UTEIS]], J$5, FALSE)</f>
        <v>#N/A</v>
      </c>
      <c r="K1552" s="22" t="e">
        <f>VLOOKUP($A1552, TAB_CORRECAO_C[[DIAS_CORRIDOS]:[V_FUT_UTEIS]],K$5, FALSE)</f>
        <v>#N/A</v>
      </c>
      <c r="L1552" s="22" t="e">
        <f>VLOOKUP($A1552, TAB_AMORTIZACAO_C[[DIAS_CORRIDOS]:[V_FUT_UTEIS]], L$5, FALSE)</f>
        <v>#N/A</v>
      </c>
    </row>
    <row r="1553" spans="1:12" hidden="1">
      <c r="A1553" s="19">
        <f t="shared" si="129"/>
        <v>1547</v>
      </c>
      <c r="B1553" s="20">
        <f t="shared" si="125"/>
        <v>0</v>
      </c>
      <c r="C1553" s="21">
        <f t="shared" si="126"/>
        <v>0</v>
      </c>
      <c r="D1553" s="22" t="e">
        <f>VLOOKUP($A1553, TAB_JUROS_U[[Q_DIAS_U_PARC_TIR]:[V_FUT_U_JURS CENARIO]], D$5, FALSE)</f>
        <v>#N/A</v>
      </c>
      <c r="E1553" s="22" t="e">
        <f>VLOOKUP($A1553,TAB_CORRECAO_U[[Q_DIAS_U_PARC_TIR]:[V_FUT_U_CORC-02]],E$5, FALSE)</f>
        <v>#N/A</v>
      </c>
      <c r="F1553" s="22" t="e">
        <f>VLOOKUP($A1553,TAB_AMORTIZACAO_U[[Q_DIAS_U_PARC_TIR]:[V_FUT_U_PCPL-02]], F$5, FALSE)</f>
        <v>#N/A</v>
      </c>
      <c r="H1553" s="20">
        <f t="shared" si="127"/>
        <v>0</v>
      </c>
      <c r="I1553" s="21">
        <f t="shared" si="128"/>
        <v>0</v>
      </c>
      <c r="J1553" s="22" t="e">
        <f>VLOOKUP($A1553, TAB_JUROS_C[[DIAS_CORRIDOS]:[V_FUT_UTEIS]], J$5, FALSE)</f>
        <v>#N/A</v>
      </c>
      <c r="K1553" s="22" t="e">
        <f>VLOOKUP($A1553, TAB_CORRECAO_C[[DIAS_CORRIDOS]:[V_FUT_UTEIS]],K$5, FALSE)</f>
        <v>#N/A</v>
      </c>
      <c r="L1553" s="22" t="e">
        <f>VLOOKUP($A1553, TAB_AMORTIZACAO_C[[DIAS_CORRIDOS]:[V_FUT_UTEIS]], L$5, FALSE)</f>
        <v>#N/A</v>
      </c>
    </row>
    <row r="1554" spans="1:12" hidden="1">
      <c r="A1554" s="19">
        <f t="shared" si="129"/>
        <v>1548</v>
      </c>
      <c r="B1554" s="20">
        <f t="shared" si="125"/>
        <v>0</v>
      </c>
      <c r="C1554" s="21">
        <f t="shared" si="126"/>
        <v>0</v>
      </c>
      <c r="D1554" s="22" t="e">
        <f>VLOOKUP($A1554, TAB_JUROS_U[[Q_DIAS_U_PARC_TIR]:[V_FUT_U_JURS CENARIO]], D$5, FALSE)</f>
        <v>#N/A</v>
      </c>
      <c r="E1554" s="22" t="e">
        <f>VLOOKUP($A1554,TAB_CORRECAO_U[[Q_DIAS_U_PARC_TIR]:[V_FUT_U_CORC-02]],E$5, FALSE)</f>
        <v>#N/A</v>
      </c>
      <c r="F1554" s="22" t="e">
        <f>VLOOKUP($A1554,TAB_AMORTIZACAO_U[[Q_DIAS_U_PARC_TIR]:[V_FUT_U_PCPL-02]], F$5, FALSE)</f>
        <v>#N/A</v>
      </c>
      <c r="H1554" s="20">
        <f t="shared" si="127"/>
        <v>0</v>
      </c>
      <c r="I1554" s="21">
        <f t="shared" si="128"/>
        <v>0</v>
      </c>
      <c r="J1554" s="22" t="e">
        <f>VLOOKUP($A1554, TAB_JUROS_C[[DIAS_CORRIDOS]:[V_FUT_UTEIS]], J$5, FALSE)</f>
        <v>#N/A</v>
      </c>
      <c r="K1554" s="22" t="e">
        <f>VLOOKUP($A1554, TAB_CORRECAO_C[[DIAS_CORRIDOS]:[V_FUT_UTEIS]],K$5, FALSE)</f>
        <v>#N/A</v>
      </c>
      <c r="L1554" s="22" t="e">
        <f>VLOOKUP($A1554, TAB_AMORTIZACAO_C[[DIAS_CORRIDOS]:[V_FUT_UTEIS]], L$5, FALSE)</f>
        <v>#N/A</v>
      </c>
    </row>
    <row r="1555" spans="1:12" hidden="1">
      <c r="A1555" s="19">
        <f t="shared" si="129"/>
        <v>1549</v>
      </c>
      <c r="B1555" s="20">
        <f t="shared" si="125"/>
        <v>0</v>
      </c>
      <c r="C1555" s="21">
        <f t="shared" si="126"/>
        <v>0</v>
      </c>
      <c r="D1555" s="22" t="e">
        <f>VLOOKUP($A1555, TAB_JUROS_U[[Q_DIAS_U_PARC_TIR]:[V_FUT_U_JURS CENARIO]], D$5, FALSE)</f>
        <v>#N/A</v>
      </c>
      <c r="E1555" s="22" t="e">
        <f>VLOOKUP($A1555,TAB_CORRECAO_U[[Q_DIAS_U_PARC_TIR]:[V_FUT_U_CORC-02]],E$5, FALSE)</f>
        <v>#N/A</v>
      </c>
      <c r="F1555" s="22" t="e">
        <f>VLOOKUP($A1555,TAB_AMORTIZACAO_U[[Q_DIAS_U_PARC_TIR]:[V_FUT_U_PCPL-02]], F$5, FALSE)</f>
        <v>#N/A</v>
      </c>
      <c r="H1555" s="20">
        <f t="shared" si="127"/>
        <v>0</v>
      </c>
      <c r="I1555" s="21">
        <f t="shared" si="128"/>
        <v>0</v>
      </c>
      <c r="J1555" s="22" t="e">
        <f>VLOOKUP($A1555, TAB_JUROS_C[[DIAS_CORRIDOS]:[V_FUT_UTEIS]], J$5, FALSE)</f>
        <v>#N/A</v>
      </c>
      <c r="K1555" s="22" t="e">
        <f>VLOOKUP($A1555, TAB_CORRECAO_C[[DIAS_CORRIDOS]:[V_FUT_UTEIS]],K$5, FALSE)</f>
        <v>#N/A</v>
      </c>
      <c r="L1555" s="22" t="e">
        <f>VLOOKUP($A1555, TAB_AMORTIZACAO_C[[DIAS_CORRIDOS]:[V_FUT_UTEIS]], L$5, FALSE)</f>
        <v>#N/A</v>
      </c>
    </row>
    <row r="1556" spans="1:12" hidden="1">
      <c r="A1556" s="19">
        <f t="shared" si="129"/>
        <v>1550</v>
      </c>
      <c r="B1556" s="20">
        <f t="shared" si="125"/>
        <v>0</v>
      </c>
      <c r="C1556" s="21">
        <f t="shared" si="126"/>
        <v>0</v>
      </c>
      <c r="D1556" s="22" t="e">
        <f>VLOOKUP($A1556, TAB_JUROS_U[[Q_DIAS_U_PARC_TIR]:[V_FUT_U_JURS CENARIO]], D$5, FALSE)</f>
        <v>#N/A</v>
      </c>
      <c r="E1556" s="22" t="e">
        <f>VLOOKUP($A1556,TAB_CORRECAO_U[[Q_DIAS_U_PARC_TIR]:[V_FUT_U_CORC-02]],E$5, FALSE)</f>
        <v>#N/A</v>
      </c>
      <c r="F1556" s="22" t="e">
        <f>VLOOKUP($A1556,TAB_AMORTIZACAO_U[[Q_DIAS_U_PARC_TIR]:[V_FUT_U_PCPL-02]], F$5, FALSE)</f>
        <v>#N/A</v>
      </c>
      <c r="H1556" s="20">
        <f t="shared" si="127"/>
        <v>0</v>
      </c>
      <c r="I1556" s="21">
        <f t="shared" si="128"/>
        <v>0</v>
      </c>
      <c r="J1556" s="22" t="e">
        <f>VLOOKUP($A1556, TAB_JUROS_C[[DIAS_CORRIDOS]:[V_FUT_UTEIS]], J$5, FALSE)</f>
        <v>#N/A</v>
      </c>
      <c r="K1556" s="22" t="e">
        <f>VLOOKUP($A1556, TAB_CORRECAO_C[[DIAS_CORRIDOS]:[V_FUT_UTEIS]],K$5, FALSE)</f>
        <v>#N/A</v>
      </c>
      <c r="L1556" s="22" t="e">
        <f>VLOOKUP($A1556, TAB_AMORTIZACAO_C[[DIAS_CORRIDOS]:[V_FUT_UTEIS]], L$5, FALSE)</f>
        <v>#N/A</v>
      </c>
    </row>
    <row r="1557" spans="1:12" hidden="1">
      <c r="A1557" s="19">
        <f t="shared" si="129"/>
        <v>1551</v>
      </c>
      <c r="B1557" s="20">
        <f t="shared" si="125"/>
        <v>0</v>
      </c>
      <c r="C1557" s="21">
        <f t="shared" si="126"/>
        <v>0</v>
      </c>
      <c r="D1557" s="22" t="e">
        <f>VLOOKUP($A1557, TAB_JUROS_U[[Q_DIAS_U_PARC_TIR]:[V_FUT_U_JURS CENARIO]], D$5, FALSE)</f>
        <v>#N/A</v>
      </c>
      <c r="E1557" s="22" t="e">
        <f>VLOOKUP($A1557,TAB_CORRECAO_U[[Q_DIAS_U_PARC_TIR]:[V_FUT_U_CORC-02]],E$5, FALSE)</f>
        <v>#N/A</v>
      </c>
      <c r="F1557" s="22" t="e">
        <f>VLOOKUP($A1557,TAB_AMORTIZACAO_U[[Q_DIAS_U_PARC_TIR]:[V_FUT_U_PCPL-02]], F$5, FALSE)</f>
        <v>#N/A</v>
      </c>
      <c r="H1557" s="20">
        <f t="shared" si="127"/>
        <v>0</v>
      </c>
      <c r="I1557" s="21">
        <f t="shared" si="128"/>
        <v>0</v>
      </c>
      <c r="J1557" s="22" t="e">
        <f>VLOOKUP($A1557, TAB_JUROS_C[[DIAS_CORRIDOS]:[V_FUT_UTEIS]], J$5, FALSE)</f>
        <v>#N/A</v>
      </c>
      <c r="K1557" s="22" t="e">
        <f>VLOOKUP($A1557, TAB_CORRECAO_C[[DIAS_CORRIDOS]:[V_FUT_UTEIS]],K$5, FALSE)</f>
        <v>#N/A</v>
      </c>
      <c r="L1557" s="22" t="e">
        <f>VLOOKUP($A1557, TAB_AMORTIZACAO_C[[DIAS_CORRIDOS]:[V_FUT_UTEIS]], L$5, FALSE)</f>
        <v>#N/A</v>
      </c>
    </row>
    <row r="1558" spans="1:12" hidden="1">
      <c r="A1558" s="19">
        <f t="shared" si="129"/>
        <v>1552</v>
      </c>
      <c r="B1558" s="20">
        <f t="shared" si="125"/>
        <v>0</v>
      </c>
      <c r="C1558" s="21">
        <f t="shared" si="126"/>
        <v>0</v>
      </c>
      <c r="D1558" s="22" t="e">
        <f>VLOOKUP($A1558, TAB_JUROS_U[[Q_DIAS_U_PARC_TIR]:[V_FUT_U_JURS CENARIO]], D$5, FALSE)</f>
        <v>#N/A</v>
      </c>
      <c r="E1558" s="22" t="e">
        <f>VLOOKUP($A1558,TAB_CORRECAO_U[[Q_DIAS_U_PARC_TIR]:[V_FUT_U_CORC-02]],E$5, FALSE)</f>
        <v>#N/A</v>
      </c>
      <c r="F1558" s="22" t="e">
        <f>VLOOKUP($A1558,TAB_AMORTIZACAO_U[[Q_DIAS_U_PARC_TIR]:[V_FUT_U_PCPL-02]], F$5, FALSE)</f>
        <v>#N/A</v>
      </c>
      <c r="H1558" s="20">
        <f t="shared" si="127"/>
        <v>0</v>
      </c>
      <c r="I1558" s="21">
        <f t="shared" si="128"/>
        <v>0</v>
      </c>
      <c r="J1558" s="22" t="e">
        <f>VLOOKUP($A1558, TAB_JUROS_C[[DIAS_CORRIDOS]:[V_FUT_UTEIS]], J$5, FALSE)</f>
        <v>#N/A</v>
      </c>
      <c r="K1558" s="22" t="e">
        <f>VLOOKUP($A1558, TAB_CORRECAO_C[[DIAS_CORRIDOS]:[V_FUT_UTEIS]],K$5, FALSE)</f>
        <v>#N/A</v>
      </c>
      <c r="L1558" s="22" t="e">
        <f>VLOOKUP($A1558, TAB_AMORTIZACAO_C[[DIAS_CORRIDOS]:[V_FUT_UTEIS]], L$5, FALSE)</f>
        <v>#N/A</v>
      </c>
    </row>
    <row r="1559" spans="1:12" hidden="1">
      <c r="A1559" s="19">
        <f t="shared" si="129"/>
        <v>1553</v>
      </c>
      <c r="B1559" s="20">
        <f t="shared" si="125"/>
        <v>0</v>
      </c>
      <c r="C1559" s="21">
        <f t="shared" si="126"/>
        <v>0</v>
      </c>
      <c r="D1559" s="22" t="e">
        <f>VLOOKUP($A1559, TAB_JUROS_U[[Q_DIAS_U_PARC_TIR]:[V_FUT_U_JURS CENARIO]], D$5, FALSE)</f>
        <v>#N/A</v>
      </c>
      <c r="E1559" s="22" t="e">
        <f>VLOOKUP($A1559,TAB_CORRECAO_U[[Q_DIAS_U_PARC_TIR]:[V_FUT_U_CORC-02]],E$5, FALSE)</f>
        <v>#N/A</v>
      </c>
      <c r="F1559" s="22" t="e">
        <f>VLOOKUP($A1559,TAB_AMORTIZACAO_U[[Q_DIAS_U_PARC_TIR]:[V_FUT_U_PCPL-02]], F$5, FALSE)</f>
        <v>#N/A</v>
      </c>
      <c r="H1559" s="20">
        <f t="shared" si="127"/>
        <v>0</v>
      </c>
      <c r="I1559" s="21">
        <f t="shared" si="128"/>
        <v>0</v>
      </c>
      <c r="J1559" s="22" t="e">
        <f>VLOOKUP($A1559, TAB_JUROS_C[[DIAS_CORRIDOS]:[V_FUT_UTEIS]], J$5, FALSE)</f>
        <v>#N/A</v>
      </c>
      <c r="K1559" s="22" t="e">
        <f>VLOOKUP($A1559, TAB_CORRECAO_C[[DIAS_CORRIDOS]:[V_FUT_UTEIS]],K$5, FALSE)</f>
        <v>#N/A</v>
      </c>
      <c r="L1559" s="22" t="e">
        <f>VLOOKUP($A1559, TAB_AMORTIZACAO_C[[DIAS_CORRIDOS]:[V_FUT_UTEIS]], L$5, FALSE)</f>
        <v>#N/A</v>
      </c>
    </row>
    <row r="1560" spans="1:12" hidden="1">
      <c r="A1560" s="19">
        <f t="shared" si="129"/>
        <v>1554</v>
      </c>
      <c r="B1560" s="20">
        <f t="shared" si="125"/>
        <v>0</v>
      </c>
      <c r="C1560" s="21">
        <f t="shared" si="126"/>
        <v>0</v>
      </c>
      <c r="D1560" s="22" t="e">
        <f>VLOOKUP($A1560, TAB_JUROS_U[[Q_DIAS_U_PARC_TIR]:[V_FUT_U_JURS CENARIO]], D$5, FALSE)</f>
        <v>#N/A</v>
      </c>
      <c r="E1560" s="22" t="e">
        <f>VLOOKUP($A1560,TAB_CORRECAO_U[[Q_DIAS_U_PARC_TIR]:[V_FUT_U_CORC-02]],E$5, FALSE)</f>
        <v>#N/A</v>
      </c>
      <c r="F1560" s="22" t="e">
        <f>VLOOKUP($A1560,TAB_AMORTIZACAO_U[[Q_DIAS_U_PARC_TIR]:[V_FUT_U_PCPL-02]], F$5, FALSE)</f>
        <v>#N/A</v>
      </c>
      <c r="H1560" s="20">
        <f t="shared" si="127"/>
        <v>0</v>
      </c>
      <c r="I1560" s="21">
        <f t="shared" si="128"/>
        <v>0</v>
      </c>
      <c r="J1560" s="22" t="e">
        <f>VLOOKUP($A1560, TAB_JUROS_C[[DIAS_CORRIDOS]:[V_FUT_UTEIS]], J$5, FALSE)</f>
        <v>#N/A</v>
      </c>
      <c r="K1560" s="22" t="e">
        <f>VLOOKUP($A1560, TAB_CORRECAO_C[[DIAS_CORRIDOS]:[V_FUT_UTEIS]],K$5, FALSE)</f>
        <v>#N/A</v>
      </c>
      <c r="L1560" s="22" t="e">
        <f>VLOOKUP($A1560, TAB_AMORTIZACAO_C[[DIAS_CORRIDOS]:[V_FUT_UTEIS]], L$5, FALSE)</f>
        <v>#N/A</v>
      </c>
    </row>
    <row r="1561" spans="1:12" hidden="1">
      <c r="A1561" s="19">
        <f t="shared" si="129"/>
        <v>1555</v>
      </c>
      <c r="B1561" s="20">
        <f t="shared" si="125"/>
        <v>0</v>
      </c>
      <c r="C1561" s="21">
        <f t="shared" si="126"/>
        <v>0</v>
      </c>
      <c r="D1561" s="22" t="e">
        <f>VLOOKUP($A1561, TAB_JUROS_U[[Q_DIAS_U_PARC_TIR]:[V_FUT_U_JURS CENARIO]], D$5, FALSE)</f>
        <v>#N/A</v>
      </c>
      <c r="E1561" s="22" t="e">
        <f>VLOOKUP($A1561,TAB_CORRECAO_U[[Q_DIAS_U_PARC_TIR]:[V_FUT_U_CORC-02]],E$5, FALSE)</f>
        <v>#N/A</v>
      </c>
      <c r="F1561" s="22" t="e">
        <f>VLOOKUP($A1561,TAB_AMORTIZACAO_U[[Q_DIAS_U_PARC_TIR]:[V_FUT_U_PCPL-02]], F$5, FALSE)</f>
        <v>#N/A</v>
      </c>
      <c r="H1561" s="20">
        <f t="shared" si="127"/>
        <v>0</v>
      </c>
      <c r="I1561" s="21">
        <f t="shared" si="128"/>
        <v>0</v>
      </c>
      <c r="J1561" s="22" t="e">
        <f>VLOOKUP($A1561, TAB_JUROS_C[[DIAS_CORRIDOS]:[V_FUT_UTEIS]], J$5, FALSE)</f>
        <v>#N/A</v>
      </c>
      <c r="K1561" s="22" t="e">
        <f>VLOOKUP($A1561, TAB_CORRECAO_C[[DIAS_CORRIDOS]:[V_FUT_UTEIS]],K$5, FALSE)</f>
        <v>#N/A</v>
      </c>
      <c r="L1561" s="22" t="e">
        <f>VLOOKUP($A1561, TAB_AMORTIZACAO_C[[DIAS_CORRIDOS]:[V_FUT_UTEIS]], L$5, FALSE)</f>
        <v>#N/A</v>
      </c>
    </row>
    <row r="1562" spans="1:12" hidden="1">
      <c r="A1562" s="19">
        <f t="shared" si="129"/>
        <v>1556</v>
      </c>
      <c r="B1562" s="20">
        <f t="shared" si="125"/>
        <v>0</v>
      </c>
      <c r="C1562" s="21">
        <f t="shared" si="126"/>
        <v>0</v>
      </c>
      <c r="D1562" s="22" t="e">
        <f>VLOOKUP($A1562, TAB_JUROS_U[[Q_DIAS_U_PARC_TIR]:[V_FUT_U_JURS CENARIO]], D$5, FALSE)</f>
        <v>#N/A</v>
      </c>
      <c r="E1562" s="22" t="e">
        <f>VLOOKUP($A1562,TAB_CORRECAO_U[[Q_DIAS_U_PARC_TIR]:[V_FUT_U_CORC-02]],E$5, FALSE)</f>
        <v>#N/A</v>
      </c>
      <c r="F1562" s="22" t="e">
        <f>VLOOKUP($A1562,TAB_AMORTIZACAO_U[[Q_DIAS_U_PARC_TIR]:[V_FUT_U_PCPL-02]], F$5, FALSE)</f>
        <v>#N/A</v>
      </c>
      <c r="H1562" s="20">
        <f t="shared" si="127"/>
        <v>0</v>
      </c>
      <c r="I1562" s="21">
        <f t="shared" si="128"/>
        <v>0</v>
      </c>
      <c r="J1562" s="22" t="e">
        <f>VLOOKUP($A1562, TAB_JUROS_C[[DIAS_CORRIDOS]:[V_FUT_UTEIS]], J$5, FALSE)</f>
        <v>#N/A</v>
      </c>
      <c r="K1562" s="22" t="e">
        <f>VLOOKUP($A1562, TAB_CORRECAO_C[[DIAS_CORRIDOS]:[V_FUT_UTEIS]],K$5, FALSE)</f>
        <v>#N/A</v>
      </c>
      <c r="L1562" s="22" t="e">
        <f>VLOOKUP($A1562, TAB_AMORTIZACAO_C[[DIAS_CORRIDOS]:[V_FUT_UTEIS]], L$5, FALSE)</f>
        <v>#N/A</v>
      </c>
    </row>
    <row r="1563" spans="1:12" hidden="1">
      <c r="A1563" s="19">
        <f t="shared" si="129"/>
        <v>1557</v>
      </c>
      <c r="B1563" s="20">
        <f t="shared" si="125"/>
        <v>0</v>
      </c>
      <c r="C1563" s="21">
        <f t="shared" si="126"/>
        <v>0</v>
      </c>
      <c r="D1563" s="22" t="e">
        <f>VLOOKUP($A1563, TAB_JUROS_U[[Q_DIAS_U_PARC_TIR]:[V_FUT_U_JURS CENARIO]], D$5, FALSE)</f>
        <v>#N/A</v>
      </c>
      <c r="E1563" s="22" t="e">
        <f>VLOOKUP($A1563,TAB_CORRECAO_U[[Q_DIAS_U_PARC_TIR]:[V_FUT_U_CORC-02]],E$5, FALSE)</f>
        <v>#N/A</v>
      </c>
      <c r="F1563" s="22" t="e">
        <f>VLOOKUP($A1563,TAB_AMORTIZACAO_U[[Q_DIAS_U_PARC_TIR]:[V_FUT_U_PCPL-02]], F$5, FALSE)</f>
        <v>#N/A</v>
      </c>
      <c r="H1563" s="20">
        <f t="shared" si="127"/>
        <v>0</v>
      </c>
      <c r="I1563" s="21">
        <f t="shared" si="128"/>
        <v>0</v>
      </c>
      <c r="J1563" s="22" t="e">
        <f>VLOOKUP($A1563, TAB_JUROS_C[[DIAS_CORRIDOS]:[V_FUT_UTEIS]], J$5, FALSE)</f>
        <v>#N/A</v>
      </c>
      <c r="K1563" s="22" t="e">
        <f>VLOOKUP($A1563, TAB_CORRECAO_C[[DIAS_CORRIDOS]:[V_FUT_UTEIS]],K$5, FALSE)</f>
        <v>#N/A</v>
      </c>
      <c r="L1563" s="22" t="e">
        <f>VLOOKUP($A1563, TAB_AMORTIZACAO_C[[DIAS_CORRIDOS]:[V_FUT_UTEIS]], L$5, FALSE)</f>
        <v>#N/A</v>
      </c>
    </row>
    <row r="1564" spans="1:12">
      <c r="A1564" s="19">
        <f t="shared" si="129"/>
        <v>1558</v>
      </c>
      <c r="B1564" s="20">
        <f t="shared" si="125"/>
        <v>477.98840396980097</v>
      </c>
      <c r="C1564" s="21">
        <f t="shared" si="126"/>
        <v>477.98840396980097</v>
      </c>
      <c r="D1564" s="22">
        <f>VLOOKUP($A1564, TAB_JUROS_U[[Q_DIAS_U_PARC_TIR]:[V_FUT_U_JURS CENARIO]], D$5, FALSE)</f>
        <v>29.700060548811926</v>
      </c>
      <c r="E1564" s="22">
        <f>VLOOKUP($A1564,TAB_CORRECAO_U[[Q_DIAS_U_PARC_TIR]:[V_FUT_U_CORC-02]],E$5, FALSE)</f>
        <v>179.70453500874191</v>
      </c>
      <c r="F1564" s="22">
        <f>VLOOKUP($A1564,TAB_AMORTIZACAO_U[[Q_DIAS_U_PARC_TIR]:[V_FUT_U_PCPL-02]], F$5, FALSE)</f>
        <v>268.58380841224715</v>
      </c>
      <c r="H1564" s="20">
        <f t="shared" si="127"/>
        <v>0</v>
      </c>
      <c r="I1564" s="21">
        <f t="shared" si="128"/>
        <v>0</v>
      </c>
      <c r="J1564" s="22" t="e">
        <f>VLOOKUP($A1564, TAB_JUROS_C[[DIAS_CORRIDOS]:[V_FUT_UTEIS]], J$5, FALSE)</f>
        <v>#N/A</v>
      </c>
      <c r="K1564" s="22" t="e">
        <f>VLOOKUP($A1564, TAB_CORRECAO_C[[DIAS_CORRIDOS]:[V_FUT_UTEIS]],K$5, FALSE)</f>
        <v>#N/A</v>
      </c>
      <c r="L1564" s="22" t="e">
        <f>VLOOKUP($A1564, TAB_AMORTIZACAO_C[[DIAS_CORRIDOS]:[V_FUT_UTEIS]], L$5, FALSE)</f>
        <v>#N/A</v>
      </c>
    </row>
    <row r="1565" spans="1:12" hidden="1">
      <c r="A1565" s="19">
        <f t="shared" si="129"/>
        <v>1559</v>
      </c>
      <c r="B1565" s="20">
        <f t="shared" si="125"/>
        <v>0</v>
      </c>
      <c r="C1565" s="21">
        <f t="shared" si="126"/>
        <v>0</v>
      </c>
      <c r="D1565" s="22" t="e">
        <f>VLOOKUP($A1565, TAB_JUROS_U[[Q_DIAS_U_PARC_TIR]:[V_FUT_U_JURS CENARIO]], D$5, FALSE)</f>
        <v>#N/A</v>
      </c>
      <c r="E1565" s="22" t="e">
        <f>VLOOKUP($A1565,TAB_CORRECAO_U[[Q_DIAS_U_PARC_TIR]:[V_FUT_U_CORC-02]],E$5, FALSE)</f>
        <v>#N/A</v>
      </c>
      <c r="F1565" s="22" t="e">
        <f>VLOOKUP($A1565,TAB_AMORTIZACAO_U[[Q_DIAS_U_PARC_TIR]:[V_FUT_U_PCPL-02]], F$5, FALSE)</f>
        <v>#N/A</v>
      </c>
      <c r="H1565" s="20">
        <f t="shared" si="127"/>
        <v>0</v>
      </c>
      <c r="I1565" s="21">
        <f t="shared" si="128"/>
        <v>0</v>
      </c>
      <c r="J1565" s="22" t="e">
        <f>VLOOKUP($A1565, TAB_JUROS_C[[DIAS_CORRIDOS]:[V_FUT_UTEIS]], J$5, FALSE)</f>
        <v>#N/A</v>
      </c>
      <c r="K1565" s="22" t="e">
        <f>VLOOKUP($A1565, TAB_CORRECAO_C[[DIAS_CORRIDOS]:[V_FUT_UTEIS]],K$5, FALSE)</f>
        <v>#N/A</v>
      </c>
      <c r="L1565" s="22" t="e">
        <f>VLOOKUP($A1565, TAB_AMORTIZACAO_C[[DIAS_CORRIDOS]:[V_FUT_UTEIS]], L$5, FALSE)</f>
        <v>#N/A</v>
      </c>
    </row>
    <row r="1566" spans="1:12" hidden="1">
      <c r="A1566" s="19">
        <f t="shared" si="129"/>
        <v>1560</v>
      </c>
      <c r="B1566" s="20">
        <f t="shared" si="125"/>
        <v>0</v>
      </c>
      <c r="C1566" s="21">
        <f t="shared" si="126"/>
        <v>0</v>
      </c>
      <c r="D1566" s="22" t="e">
        <f>VLOOKUP($A1566, TAB_JUROS_U[[Q_DIAS_U_PARC_TIR]:[V_FUT_U_JURS CENARIO]], D$5, FALSE)</f>
        <v>#N/A</v>
      </c>
      <c r="E1566" s="22" t="e">
        <f>VLOOKUP($A1566,TAB_CORRECAO_U[[Q_DIAS_U_PARC_TIR]:[V_FUT_U_CORC-02]],E$5, FALSE)</f>
        <v>#N/A</v>
      </c>
      <c r="F1566" s="22" t="e">
        <f>VLOOKUP($A1566,TAB_AMORTIZACAO_U[[Q_DIAS_U_PARC_TIR]:[V_FUT_U_PCPL-02]], F$5, FALSE)</f>
        <v>#N/A</v>
      </c>
      <c r="H1566" s="20">
        <f t="shared" si="127"/>
        <v>0</v>
      </c>
      <c r="I1566" s="21">
        <f t="shared" si="128"/>
        <v>0</v>
      </c>
      <c r="J1566" s="22" t="e">
        <f>VLOOKUP($A1566, TAB_JUROS_C[[DIAS_CORRIDOS]:[V_FUT_UTEIS]], J$5, FALSE)</f>
        <v>#N/A</v>
      </c>
      <c r="K1566" s="22" t="e">
        <f>VLOOKUP($A1566, TAB_CORRECAO_C[[DIAS_CORRIDOS]:[V_FUT_UTEIS]],K$5, FALSE)</f>
        <v>#N/A</v>
      </c>
      <c r="L1566" s="22" t="e">
        <f>VLOOKUP($A1566, TAB_AMORTIZACAO_C[[DIAS_CORRIDOS]:[V_FUT_UTEIS]], L$5, FALSE)</f>
        <v>#N/A</v>
      </c>
    </row>
    <row r="1567" spans="1:12" hidden="1">
      <c r="A1567" s="19">
        <f t="shared" si="129"/>
        <v>1561</v>
      </c>
      <c r="B1567" s="20">
        <f t="shared" si="125"/>
        <v>0</v>
      </c>
      <c r="C1567" s="21">
        <f t="shared" si="126"/>
        <v>0</v>
      </c>
      <c r="D1567" s="22" t="e">
        <f>VLOOKUP($A1567, TAB_JUROS_U[[Q_DIAS_U_PARC_TIR]:[V_FUT_U_JURS CENARIO]], D$5, FALSE)</f>
        <v>#N/A</v>
      </c>
      <c r="E1567" s="22" t="e">
        <f>VLOOKUP($A1567,TAB_CORRECAO_U[[Q_DIAS_U_PARC_TIR]:[V_FUT_U_CORC-02]],E$5, FALSE)</f>
        <v>#N/A</v>
      </c>
      <c r="F1567" s="22" t="e">
        <f>VLOOKUP($A1567,TAB_AMORTIZACAO_U[[Q_DIAS_U_PARC_TIR]:[V_FUT_U_PCPL-02]], F$5, FALSE)</f>
        <v>#N/A</v>
      </c>
      <c r="H1567" s="20">
        <f t="shared" si="127"/>
        <v>0</v>
      </c>
      <c r="I1567" s="21">
        <f t="shared" si="128"/>
        <v>0</v>
      </c>
      <c r="J1567" s="22" t="e">
        <f>VLOOKUP($A1567, TAB_JUROS_C[[DIAS_CORRIDOS]:[V_FUT_UTEIS]], J$5, FALSE)</f>
        <v>#N/A</v>
      </c>
      <c r="K1567" s="22" t="e">
        <f>VLOOKUP($A1567, TAB_CORRECAO_C[[DIAS_CORRIDOS]:[V_FUT_UTEIS]],K$5, FALSE)</f>
        <v>#N/A</v>
      </c>
      <c r="L1567" s="22" t="e">
        <f>VLOOKUP($A1567, TAB_AMORTIZACAO_C[[DIAS_CORRIDOS]:[V_FUT_UTEIS]], L$5, FALSE)</f>
        <v>#N/A</v>
      </c>
    </row>
    <row r="1568" spans="1:12" hidden="1">
      <c r="A1568" s="19">
        <f t="shared" si="129"/>
        <v>1562</v>
      </c>
      <c r="B1568" s="20">
        <f t="shared" si="125"/>
        <v>0</v>
      </c>
      <c r="C1568" s="21">
        <f t="shared" si="126"/>
        <v>0</v>
      </c>
      <c r="D1568" s="22" t="e">
        <f>VLOOKUP($A1568, TAB_JUROS_U[[Q_DIAS_U_PARC_TIR]:[V_FUT_U_JURS CENARIO]], D$5, FALSE)</f>
        <v>#N/A</v>
      </c>
      <c r="E1568" s="22" t="e">
        <f>VLOOKUP($A1568,TAB_CORRECAO_U[[Q_DIAS_U_PARC_TIR]:[V_FUT_U_CORC-02]],E$5, FALSE)</f>
        <v>#N/A</v>
      </c>
      <c r="F1568" s="22" t="e">
        <f>VLOOKUP($A1568,TAB_AMORTIZACAO_U[[Q_DIAS_U_PARC_TIR]:[V_FUT_U_PCPL-02]], F$5, FALSE)</f>
        <v>#N/A</v>
      </c>
      <c r="H1568" s="20">
        <f t="shared" si="127"/>
        <v>0</v>
      </c>
      <c r="I1568" s="21">
        <f t="shared" si="128"/>
        <v>0</v>
      </c>
      <c r="J1568" s="22" t="e">
        <f>VLOOKUP($A1568, TAB_JUROS_C[[DIAS_CORRIDOS]:[V_FUT_UTEIS]], J$5, FALSE)</f>
        <v>#N/A</v>
      </c>
      <c r="K1568" s="22" t="e">
        <f>VLOOKUP($A1568, TAB_CORRECAO_C[[DIAS_CORRIDOS]:[V_FUT_UTEIS]],K$5, FALSE)</f>
        <v>#N/A</v>
      </c>
      <c r="L1568" s="22" t="e">
        <f>VLOOKUP($A1568, TAB_AMORTIZACAO_C[[DIAS_CORRIDOS]:[V_FUT_UTEIS]], L$5, FALSE)</f>
        <v>#N/A</v>
      </c>
    </row>
    <row r="1569" spans="1:12" hidden="1">
      <c r="A1569" s="19">
        <f t="shared" si="129"/>
        <v>1563</v>
      </c>
      <c r="B1569" s="20">
        <f t="shared" si="125"/>
        <v>0</v>
      </c>
      <c r="C1569" s="21">
        <f t="shared" si="126"/>
        <v>0</v>
      </c>
      <c r="D1569" s="22" t="e">
        <f>VLOOKUP($A1569, TAB_JUROS_U[[Q_DIAS_U_PARC_TIR]:[V_FUT_U_JURS CENARIO]], D$5, FALSE)</f>
        <v>#N/A</v>
      </c>
      <c r="E1569" s="22" t="e">
        <f>VLOOKUP($A1569,TAB_CORRECAO_U[[Q_DIAS_U_PARC_TIR]:[V_FUT_U_CORC-02]],E$5, FALSE)</f>
        <v>#N/A</v>
      </c>
      <c r="F1569" s="22" t="e">
        <f>VLOOKUP($A1569,TAB_AMORTIZACAO_U[[Q_DIAS_U_PARC_TIR]:[V_FUT_U_PCPL-02]], F$5, FALSE)</f>
        <v>#N/A</v>
      </c>
      <c r="H1569" s="20">
        <f t="shared" si="127"/>
        <v>0</v>
      </c>
      <c r="I1569" s="21">
        <f t="shared" si="128"/>
        <v>0</v>
      </c>
      <c r="J1569" s="22" t="e">
        <f>VLOOKUP($A1569, TAB_JUROS_C[[DIAS_CORRIDOS]:[V_FUT_UTEIS]], J$5, FALSE)</f>
        <v>#N/A</v>
      </c>
      <c r="K1569" s="22" t="e">
        <f>VLOOKUP($A1569, TAB_CORRECAO_C[[DIAS_CORRIDOS]:[V_FUT_UTEIS]],K$5, FALSE)</f>
        <v>#N/A</v>
      </c>
      <c r="L1569" s="22" t="e">
        <f>VLOOKUP($A1569, TAB_AMORTIZACAO_C[[DIAS_CORRIDOS]:[V_FUT_UTEIS]], L$5, FALSE)</f>
        <v>#N/A</v>
      </c>
    </row>
    <row r="1570" spans="1:12" hidden="1">
      <c r="A1570" s="19">
        <f t="shared" si="129"/>
        <v>1564</v>
      </c>
      <c r="B1570" s="20">
        <f t="shared" si="125"/>
        <v>0</v>
      </c>
      <c r="C1570" s="21">
        <f t="shared" si="126"/>
        <v>0</v>
      </c>
      <c r="D1570" s="22" t="e">
        <f>VLOOKUP($A1570, TAB_JUROS_U[[Q_DIAS_U_PARC_TIR]:[V_FUT_U_JURS CENARIO]], D$5, FALSE)</f>
        <v>#N/A</v>
      </c>
      <c r="E1570" s="22" t="e">
        <f>VLOOKUP($A1570,TAB_CORRECAO_U[[Q_DIAS_U_PARC_TIR]:[V_FUT_U_CORC-02]],E$5, FALSE)</f>
        <v>#N/A</v>
      </c>
      <c r="F1570" s="22" t="e">
        <f>VLOOKUP($A1570,TAB_AMORTIZACAO_U[[Q_DIAS_U_PARC_TIR]:[V_FUT_U_PCPL-02]], F$5, FALSE)</f>
        <v>#N/A</v>
      </c>
      <c r="H1570" s="20">
        <f t="shared" si="127"/>
        <v>855.55023809113868</v>
      </c>
      <c r="I1570" s="21">
        <f t="shared" si="128"/>
        <v>855.55023809113868</v>
      </c>
      <c r="J1570" s="22">
        <f>VLOOKUP($A1570, TAB_JUROS_C[[DIAS_CORRIDOS]:[V_FUT_UTEIS]], J$5, FALSE)</f>
        <v>64.199043978635288</v>
      </c>
      <c r="K1570" s="22">
        <f>VLOOKUP($A1570, TAB_CORRECAO_C[[DIAS_CORRIDOS]:[V_FUT_UTEIS]],K$5, FALSE)</f>
        <v>401.64879393757292</v>
      </c>
      <c r="L1570" s="22">
        <f>VLOOKUP($A1570, TAB_AMORTIZACAO_C[[DIAS_CORRIDOS]:[V_FUT_UTEIS]], L$5, FALSE)</f>
        <v>389.70240017493052</v>
      </c>
    </row>
    <row r="1571" spans="1:12" hidden="1">
      <c r="A1571" s="19">
        <f t="shared" si="129"/>
        <v>1565</v>
      </c>
      <c r="B1571" s="20">
        <f t="shared" si="125"/>
        <v>0</v>
      </c>
      <c r="C1571" s="21">
        <f t="shared" si="126"/>
        <v>0</v>
      </c>
      <c r="D1571" s="22" t="e">
        <f>VLOOKUP($A1571, TAB_JUROS_U[[Q_DIAS_U_PARC_TIR]:[V_FUT_U_JURS CENARIO]], D$5, FALSE)</f>
        <v>#N/A</v>
      </c>
      <c r="E1571" s="22" t="e">
        <f>VLOOKUP($A1571,TAB_CORRECAO_U[[Q_DIAS_U_PARC_TIR]:[V_FUT_U_CORC-02]],E$5, FALSE)</f>
        <v>#N/A</v>
      </c>
      <c r="F1571" s="22" t="e">
        <f>VLOOKUP($A1571,TAB_AMORTIZACAO_U[[Q_DIAS_U_PARC_TIR]:[V_FUT_U_PCPL-02]], F$5, FALSE)</f>
        <v>#N/A</v>
      </c>
      <c r="H1571" s="20">
        <f t="shared" si="127"/>
        <v>0</v>
      </c>
      <c r="I1571" s="21">
        <f t="shared" si="128"/>
        <v>0</v>
      </c>
      <c r="J1571" s="22" t="e">
        <f>VLOOKUP($A1571, TAB_JUROS_C[[DIAS_CORRIDOS]:[V_FUT_UTEIS]], J$5, FALSE)</f>
        <v>#N/A</v>
      </c>
      <c r="K1571" s="22" t="e">
        <f>VLOOKUP($A1571, TAB_CORRECAO_C[[DIAS_CORRIDOS]:[V_FUT_UTEIS]],K$5, FALSE)</f>
        <v>#N/A</v>
      </c>
      <c r="L1571" s="22" t="e">
        <f>VLOOKUP($A1571, TAB_AMORTIZACAO_C[[DIAS_CORRIDOS]:[V_FUT_UTEIS]], L$5, FALSE)</f>
        <v>#N/A</v>
      </c>
    </row>
    <row r="1572" spans="1:12" hidden="1">
      <c r="A1572" s="19">
        <f t="shared" si="129"/>
        <v>1566</v>
      </c>
      <c r="B1572" s="20">
        <f t="shared" si="125"/>
        <v>0</v>
      </c>
      <c r="C1572" s="21">
        <f t="shared" si="126"/>
        <v>0</v>
      </c>
      <c r="D1572" s="22" t="e">
        <f>VLOOKUP($A1572, TAB_JUROS_U[[Q_DIAS_U_PARC_TIR]:[V_FUT_U_JURS CENARIO]], D$5, FALSE)</f>
        <v>#N/A</v>
      </c>
      <c r="E1572" s="22" t="e">
        <f>VLOOKUP($A1572,TAB_CORRECAO_U[[Q_DIAS_U_PARC_TIR]:[V_FUT_U_CORC-02]],E$5, FALSE)</f>
        <v>#N/A</v>
      </c>
      <c r="F1572" s="22" t="e">
        <f>VLOOKUP($A1572,TAB_AMORTIZACAO_U[[Q_DIAS_U_PARC_TIR]:[V_FUT_U_PCPL-02]], F$5, FALSE)</f>
        <v>#N/A</v>
      </c>
      <c r="H1572" s="20">
        <f t="shared" si="127"/>
        <v>0</v>
      </c>
      <c r="I1572" s="21">
        <f t="shared" si="128"/>
        <v>0</v>
      </c>
      <c r="J1572" s="22" t="e">
        <f>VLOOKUP($A1572, TAB_JUROS_C[[DIAS_CORRIDOS]:[V_FUT_UTEIS]], J$5, FALSE)</f>
        <v>#N/A</v>
      </c>
      <c r="K1572" s="22" t="e">
        <f>VLOOKUP($A1572, TAB_CORRECAO_C[[DIAS_CORRIDOS]:[V_FUT_UTEIS]],K$5, FALSE)</f>
        <v>#N/A</v>
      </c>
      <c r="L1572" s="22" t="e">
        <f>VLOOKUP($A1572, TAB_AMORTIZACAO_C[[DIAS_CORRIDOS]:[V_FUT_UTEIS]], L$5, FALSE)</f>
        <v>#N/A</v>
      </c>
    </row>
    <row r="1573" spans="1:12" hidden="1">
      <c r="A1573" s="19">
        <f t="shared" si="129"/>
        <v>1567</v>
      </c>
      <c r="B1573" s="20">
        <f t="shared" si="125"/>
        <v>0</v>
      </c>
      <c r="C1573" s="21">
        <f t="shared" si="126"/>
        <v>0</v>
      </c>
      <c r="D1573" s="22" t="e">
        <f>VLOOKUP($A1573, TAB_JUROS_U[[Q_DIAS_U_PARC_TIR]:[V_FUT_U_JURS CENARIO]], D$5, FALSE)</f>
        <v>#N/A</v>
      </c>
      <c r="E1573" s="22" t="e">
        <f>VLOOKUP($A1573,TAB_CORRECAO_U[[Q_DIAS_U_PARC_TIR]:[V_FUT_U_CORC-02]],E$5, FALSE)</f>
        <v>#N/A</v>
      </c>
      <c r="F1573" s="22" t="e">
        <f>VLOOKUP($A1573,TAB_AMORTIZACAO_U[[Q_DIAS_U_PARC_TIR]:[V_FUT_U_PCPL-02]], F$5, FALSE)</f>
        <v>#N/A</v>
      </c>
      <c r="H1573" s="20">
        <f t="shared" si="127"/>
        <v>0</v>
      </c>
      <c r="I1573" s="21">
        <f t="shared" si="128"/>
        <v>0</v>
      </c>
      <c r="J1573" s="22" t="e">
        <f>VLOOKUP($A1573, TAB_JUROS_C[[DIAS_CORRIDOS]:[V_FUT_UTEIS]], J$5, FALSE)</f>
        <v>#N/A</v>
      </c>
      <c r="K1573" s="22" t="e">
        <f>VLOOKUP($A1573, TAB_CORRECAO_C[[DIAS_CORRIDOS]:[V_FUT_UTEIS]],K$5, FALSE)</f>
        <v>#N/A</v>
      </c>
      <c r="L1573" s="22" t="e">
        <f>VLOOKUP($A1573, TAB_AMORTIZACAO_C[[DIAS_CORRIDOS]:[V_FUT_UTEIS]], L$5, FALSE)</f>
        <v>#N/A</v>
      </c>
    </row>
    <row r="1574" spans="1:12" hidden="1">
      <c r="A1574" s="19">
        <f t="shared" si="129"/>
        <v>1568</v>
      </c>
      <c r="B1574" s="20">
        <f t="shared" si="125"/>
        <v>0</v>
      </c>
      <c r="C1574" s="21">
        <f t="shared" si="126"/>
        <v>0</v>
      </c>
      <c r="D1574" s="22" t="e">
        <f>VLOOKUP($A1574, TAB_JUROS_U[[Q_DIAS_U_PARC_TIR]:[V_FUT_U_JURS CENARIO]], D$5, FALSE)</f>
        <v>#N/A</v>
      </c>
      <c r="E1574" s="22" t="e">
        <f>VLOOKUP($A1574,TAB_CORRECAO_U[[Q_DIAS_U_PARC_TIR]:[V_FUT_U_CORC-02]],E$5, FALSE)</f>
        <v>#N/A</v>
      </c>
      <c r="F1574" s="22" t="e">
        <f>VLOOKUP($A1574,TAB_AMORTIZACAO_U[[Q_DIAS_U_PARC_TIR]:[V_FUT_U_PCPL-02]], F$5, FALSE)</f>
        <v>#N/A</v>
      </c>
      <c r="H1574" s="20">
        <f t="shared" si="127"/>
        <v>0</v>
      </c>
      <c r="I1574" s="21">
        <f t="shared" si="128"/>
        <v>0</v>
      </c>
      <c r="J1574" s="22" t="e">
        <f>VLOOKUP($A1574, TAB_JUROS_C[[DIAS_CORRIDOS]:[V_FUT_UTEIS]], J$5, FALSE)</f>
        <v>#N/A</v>
      </c>
      <c r="K1574" s="22" t="e">
        <f>VLOOKUP($A1574, TAB_CORRECAO_C[[DIAS_CORRIDOS]:[V_FUT_UTEIS]],K$5, FALSE)</f>
        <v>#N/A</v>
      </c>
      <c r="L1574" s="22" t="e">
        <f>VLOOKUP($A1574, TAB_AMORTIZACAO_C[[DIAS_CORRIDOS]:[V_FUT_UTEIS]], L$5, FALSE)</f>
        <v>#N/A</v>
      </c>
    </row>
    <row r="1575" spans="1:12" hidden="1">
      <c r="A1575" s="19">
        <f t="shared" si="129"/>
        <v>1569</v>
      </c>
      <c r="B1575" s="20">
        <f t="shared" si="125"/>
        <v>0</v>
      </c>
      <c r="C1575" s="21">
        <f t="shared" si="126"/>
        <v>0</v>
      </c>
      <c r="D1575" s="22" t="e">
        <f>VLOOKUP($A1575, TAB_JUROS_U[[Q_DIAS_U_PARC_TIR]:[V_FUT_U_JURS CENARIO]], D$5, FALSE)</f>
        <v>#N/A</v>
      </c>
      <c r="E1575" s="22" t="e">
        <f>VLOOKUP($A1575,TAB_CORRECAO_U[[Q_DIAS_U_PARC_TIR]:[V_FUT_U_CORC-02]],E$5, FALSE)</f>
        <v>#N/A</v>
      </c>
      <c r="F1575" s="22" t="e">
        <f>VLOOKUP($A1575,TAB_AMORTIZACAO_U[[Q_DIAS_U_PARC_TIR]:[V_FUT_U_PCPL-02]], F$5, FALSE)</f>
        <v>#N/A</v>
      </c>
      <c r="H1575" s="20">
        <f t="shared" si="127"/>
        <v>0</v>
      </c>
      <c r="I1575" s="21">
        <f t="shared" si="128"/>
        <v>0</v>
      </c>
      <c r="J1575" s="22" t="e">
        <f>VLOOKUP($A1575, TAB_JUROS_C[[DIAS_CORRIDOS]:[V_FUT_UTEIS]], J$5, FALSE)</f>
        <v>#N/A</v>
      </c>
      <c r="K1575" s="22" t="e">
        <f>VLOOKUP($A1575, TAB_CORRECAO_C[[DIAS_CORRIDOS]:[V_FUT_UTEIS]],K$5, FALSE)</f>
        <v>#N/A</v>
      </c>
      <c r="L1575" s="22" t="e">
        <f>VLOOKUP($A1575, TAB_AMORTIZACAO_C[[DIAS_CORRIDOS]:[V_FUT_UTEIS]], L$5, FALSE)</f>
        <v>#N/A</v>
      </c>
    </row>
    <row r="1576" spans="1:12" hidden="1">
      <c r="A1576" s="19">
        <f t="shared" si="129"/>
        <v>1570</v>
      </c>
      <c r="B1576" s="20">
        <f t="shared" si="125"/>
        <v>0</v>
      </c>
      <c r="C1576" s="21">
        <f t="shared" si="126"/>
        <v>0</v>
      </c>
      <c r="D1576" s="22" t="e">
        <f>VLOOKUP($A1576, TAB_JUROS_U[[Q_DIAS_U_PARC_TIR]:[V_FUT_U_JURS CENARIO]], D$5, FALSE)</f>
        <v>#N/A</v>
      </c>
      <c r="E1576" s="22" t="e">
        <f>VLOOKUP($A1576,TAB_CORRECAO_U[[Q_DIAS_U_PARC_TIR]:[V_FUT_U_CORC-02]],E$5, FALSE)</f>
        <v>#N/A</v>
      </c>
      <c r="F1576" s="22" t="e">
        <f>VLOOKUP($A1576,TAB_AMORTIZACAO_U[[Q_DIAS_U_PARC_TIR]:[V_FUT_U_PCPL-02]], F$5, FALSE)</f>
        <v>#N/A</v>
      </c>
      <c r="H1576" s="20">
        <f t="shared" si="127"/>
        <v>0</v>
      </c>
      <c r="I1576" s="21">
        <f t="shared" si="128"/>
        <v>0</v>
      </c>
      <c r="J1576" s="22" t="e">
        <f>VLOOKUP($A1576, TAB_JUROS_C[[DIAS_CORRIDOS]:[V_FUT_UTEIS]], J$5, FALSE)</f>
        <v>#N/A</v>
      </c>
      <c r="K1576" s="22" t="e">
        <f>VLOOKUP($A1576, TAB_CORRECAO_C[[DIAS_CORRIDOS]:[V_FUT_UTEIS]],K$5, FALSE)</f>
        <v>#N/A</v>
      </c>
      <c r="L1576" s="22" t="e">
        <f>VLOOKUP($A1576, TAB_AMORTIZACAO_C[[DIAS_CORRIDOS]:[V_FUT_UTEIS]], L$5, FALSE)</f>
        <v>#N/A</v>
      </c>
    </row>
    <row r="1577" spans="1:12" hidden="1">
      <c r="A1577" s="19">
        <f t="shared" si="129"/>
        <v>1571</v>
      </c>
      <c r="B1577" s="20">
        <f t="shared" si="125"/>
        <v>0</v>
      </c>
      <c r="C1577" s="21">
        <f t="shared" si="126"/>
        <v>0</v>
      </c>
      <c r="D1577" s="22" t="e">
        <f>VLOOKUP($A1577, TAB_JUROS_U[[Q_DIAS_U_PARC_TIR]:[V_FUT_U_JURS CENARIO]], D$5, FALSE)</f>
        <v>#N/A</v>
      </c>
      <c r="E1577" s="22" t="e">
        <f>VLOOKUP($A1577,TAB_CORRECAO_U[[Q_DIAS_U_PARC_TIR]:[V_FUT_U_CORC-02]],E$5, FALSE)</f>
        <v>#N/A</v>
      </c>
      <c r="F1577" s="22" t="e">
        <f>VLOOKUP($A1577,TAB_AMORTIZACAO_U[[Q_DIAS_U_PARC_TIR]:[V_FUT_U_PCPL-02]], F$5, FALSE)</f>
        <v>#N/A</v>
      </c>
      <c r="H1577" s="20">
        <f t="shared" si="127"/>
        <v>0</v>
      </c>
      <c r="I1577" s="21">
        <f t="shared" si="128"/>
        <v>0</v>
      </c>
      <c r="J1577" s="22" t="e">
        <f>VLOOKUP($A1577, TAB_JUROS_C[[DIAS_CORRIDOS]:[V_FUT_UTEIS]], J$5, FALSE)</f>
        <v>#N/A</v>
      </c>
      <c r="K1577" s="22" t="e">
        <f>VLOOKUP($A1577, TAB_CORRECAO_C[[DIAS_CORRIDOS]:[V_FUT_UTEIS]],K$5, FALSE)</f>
        <v>#N/A</v>
      </c>
      <c r="L1577" s="22" t="e">
        <f>VLOOKUP($A1577, TAB_AMORTIZACAO_C[[DIAS_CORRIDOS]:[V_FUT_UTEIS]], L$5, FALSE)</f>
        <v>#N/A</v>
      </c>
    </row>
    <row r="1578" spans="1:12" hidden="1">
      <c r="A1578" s="19">
        <f t="shared" si="129"/>
        <v>1572</v>
      </c>
      <c r="B1578" s="20">
        <f t="shared" si="125"/>
        <v>0</v>
      </c>
      <c r="C1578" s="21">
        <f t="shared" si="126"/>
        <v>0</v>
      </c>
      <c r="D1578" s="22" t="e">
        <f>VLOOKUP($A1578, TAB_JUROS_U[[Q_DIAS_U_PARC_TIR]:[V_FUT_U_JURS CENARIO]], D$5, FALSE)</f>
        <v>#N/A</v>
      </c>
      <c r="E1578" s="22" t="e">
        <f>VLOOKUP($A1578,TAB_CORRECAO_U[[Q_DIAS_U_PARC_TIR]:[V_FUT_U_CORC-02]],E$5, FALSE)</f>
        <v>#N/A</v>
      </c>
      <c r="F1578" s="22" t="e">
        <f>VLOOKUP($A1578,TAB_AMORTIZACAO_U[[Q_DIAS_U_PARC_TIR]:[V_FUT_U_PCPL-02]], F$5, FALSE)</f>
        <v>#N/A</v>
      </c>
      <c r="H1578" s="20">
        <f t="shared" si="127"/>
        <v>0</v>
      </c>
      <c r="I1578" s="21">
        <f t="shared" si="128"/>
        <v>0</v>
      </c>
      <c r="J1578" s="22" t="e">
        <f>VLOOKUP($A1578, TAB_JUROS_C[[DIAS_CORRIDOS]:[V_FUT_UTEIS]], J$5, FALSE)</f>
        <v>#N/A</v>
      </c>
      <c r="K1578" s="22" t="e">
        <f>VLOOKUP($A1578, TAB_CORRECAO_C[[DIAS_CORRIDOS]:[V_FUT_UTEIS]],K$5, FALSE)</f>
        <v>#N/A</v>
      </c>
      <c r="L1578" s="22" t="e">
        <f>VLOOKUP($A1578, TAB_AMORTIZACAO_C[[DIAS_CORRIDOS]:[V_FUT_UTEIS]], L$5, FALSE)</f>
        <v>#N/A</v>
      </c>
    </row>
    <row r="1579" spans="1:12" hidden="1">
      <c r="A1579" s="19">
        <f t="shared" si="129"/>
        <v>1573</v>
      </c>
      <c r="B1579" s="20">
        <f t="shared" si="125"/>
        <v>0</v>
      </c>
      <c r="C1579" s="21">
        <f t="shared" si="126"/>
        <v>0</v>
      </c>
      <c r="D1579" s="22" t="e">
        <f>VLOOKUP($A1579, TAB_JUROS_U[[Q_DIAS_U_PARC_TIR]:[V_FUT_U_JURS CENARIO]], D$5, FALSE)</f>
        <v>#N/A</v>
      </c>
      <c r="E1579" s="22" t="e">
        <f>VLOOKUP($A1579,TAB_CORRECAO_U[[Q_DIAS_U_PARC_TIR]:[V_FUT_U_CORC-02]],E$5, FALSE)</f>
        <v>#N/A</v>
      </c>
      <c r="F1579" s="22" t="e">
        <f>VLOOKUP($A1579,TAB_AMORTIZACAO_U[[Q_DIAS_U_PARC_TIR]:[V_FUT_U_PCPL-02]], F$5, FALSE)</f>
        <v>#N/A</v>
      </c>
      <c r="H1579" s="20">
        <f t="shared" si="127"/>
        <v>0</v>
      </c>
      <c r="I1579" s="21">
        <f t="shared" si="128"/>
        <v>0</v>
      </c>
      <c r="J1579" s="22" t="e">
        <f>VLOOKUP($A1579, TAB_JUROS_C[[DIAS_CORRIDOS]:[V_FUT_UTEIS]], J$5, FALSE)</f>
        <v>#N/A</v>
      </c>
      <c r="K1579" s="22" t="e">
        <f>VLOOKUP($A1579, TAB_CORRECAO_C[[DIAS_CORRIDOS]:[V_FUT_UTEIS]],K$5, FALSE)</f>
        <v>#N/A</v>
      </c>
      <c r="L1579" s="22" t="e">
        <f>VLOOKUP($A1579, TAB_AMORTIZACAO_C[[DIAS_CORRIDOS]:[V_FUT_UTEIS]], L$5, FALSE)</f>
        <v>#N/A</v>
      </c>
    </row>
    <row r="1580" spans="1:12" hidden="1">
      <c r="A1580" s="19">
        <f t="shared" si="129"/>
        <v>1574</v>
      </c>
      <c r="B1580" s="20">
        <f t="shared" si="125"/>
        <v>0</v>
      </c>
      <c r="C1580" s="21">
        <f t="shared" si="126"/>
        <v>0</v>
      </c>
      <c r="D1580" s="22" t="e">
        <f>VLOOKUP($A1580, TAB_JUROS_U[[Q_DIAS_U_PARC_TIR]:[V_FUT_U_JURS CENARIO]], D$5, FALSE)</f>
        <v>#N/A</v>
      </c>
      <c r="E1580" s="22" t="e">
        <f>VLOOKUP($A1580,TAB_CORRECAO_U[[Q_DIAS_U_PARC_TIR]:[V_FUT_U_CORC-02]],E$5, FALSE)</f>
        <v>#N/A</v>
      </c>
      <c r="F1580" s="22" t="e">
        <f>VLOOKUP($A1580,TAB_AMORTIZACAO_U[[Q_DIAS_U_PARC_TIR]:[V_FUT_U_PCPL-02]], F$5, FALSE)</f>
        <v>#N/A</v>
      </c>
      <c r="H1580" s="20">
        <f t="shared" si="127"/>
        <v>0</v>
      </c>
      <c r="I1580" s="21">
        <f t="shared" si="128"/>
        <v>0</v>
      </c>
      <c r="J1580" s="22" t="e">
        <f>VLOOKUP($A1580, TAB_JUROS_C[[DIAS_CORRIDOS]:[V_FUT_UTEIS]], J$5, FALSE)</f>
        <v>#N/A</v>
      </c>
      <c r="K1580" s="22" t="e">
        <f>VLOOKUP($A1580, TAB_CORRECAO_C[[DIAS_CORRIDOS]:[V_FUT_UTEIS]],K$5, FALSE)</f>
        <v>#N/A</v>
      </c>
      <c r="L1580" s="22" t="e">
        <f>VLOOKUP($A1580, TAB_AMORTIZACAO_C[[DIAS_CORRIDOS]:[V_FUT_UTEIS]], L$5, FALSE)</f>
        <v>#N/A</v>
      </c>
    </row>
    <row r="1581" spans="1:12" hidden="1">
      <c r="A1581" s="19">
        <f t="shared" si="129"/>
        <v>1575</v>
      </c>
      <c r="B1581" s="20">
        <f t="shared" si="125"/>
        <v>0</v>
      </c>
      <c r="C1581" s="21">
        <f t="shared" si="126"/>
        <v>0</v>
      </c>
      <c r="D1581" s="22" t="e">
        <f>VLOOKUP($A1581, TAB_JUROS_U[[Q_DIAS_U_PARC_TIR]:[V_FUT_U_JURS CENARIO]], D$5, FALSE)</f>
        <v>#N/A</v>
      </c>
      <c r="E1581" s="22" t="e">
        <f>VLOOKUP($A1581,TAB_CORRECAO_U[[Q_DIAS_U_PARC_TIR]:[V_FUT_U_CORC-02]],E$5, FALSE)</f>
        <v>#N/A</v>
      </c>
      <c r="F1581" s="22" t="e">
        <f>VLOOKUP($A1581,TAB_AMORTIZACAO_U[[Q_DIAS_U_PARC_TIR]:[V_FUT_U_PCPL-02]], F$5, FALSE)</f>
        <v>#N/A</v>
      </c>
      <c r="H1581" s="20">
        <f t="shared" si="127"/>
        <v>0</v>
      </c>
      <c r="I1581" s="21">
        <f t="shared" si="128"/>
        <v>0</v>
      </c>
      <c r="J1581" s="22" t="e">
        <f>VLOOKUP($A1581, TAB_JUROS_C[[DIAS_CORRIDOS]:[V_FUT_UTEIS]], J$5, FALSE)</f>
        <v>#N/A</v>
      </c>
      <c r="K1581" s="22" t="e">
        <f>VLOOKUP($A1581, TAB_CORRECAO_C[[DIAS_CORRIDOS]:[V_FUT_UTEIS]],K$5, FALSE)</f>
        <v>#N/A</v>
      </c>
      <c r="L1581" s="22" t="e">
        <f>VLOOKUP($A1581, TAB_AMORTIZACAO_C[[DIAS_CORRIDOS]:[V_FUT_UTEIS]], L$5, FALSE)</f>
        <v>#N/A</v>
      </c>
    </row>
    <row r="1582" spans="1:12" hidden="1">
      <c r="A1582" s="19">
        <f t="shared" si="129"/>
        <v>1576</v>
      </c>
      <c r="B1582" s="20">
        <f t="shared" si="125"/>
        <v>0</v>
      </c>
      <c r="C1582" s="21">
        <f t="shared" si="126"/>
        <v>0</v>
      </c>
      <c r="D1582" s="22" t="e">
        <f>VLOOKUP($A1582, TAB_JUROS_U[[Q_DIAS_U_PARC_TIR]:[V_FUT_U_JURS CENARIO]], D$5, FALSE)</f>
        <v>#N/A</v>
      </c>
      <c r="E1582" s="22" t="e">
        <f>VLOOKUP($A1582,TAB_CORRECAO_U[[Q_DIAS_U_PARC_TIR]:[V_FUT_U_CORC-02]],E$5, FALSE)</f>
        <v>#N/A</v>
      </c>
      <c r="F1582" s="22" t="e">
        <f>VLOOKUP($A1582,TAB_AMORTIZACAO_U[[Q_DIAS_U_PARC_TIR]:[V_FUT_U_PCPL-02]], F$5, FALSE)</f>
        <v>#N/A</v>
      </c>
      <c r="H1582" s="20">
        <f t="shared" si="127"/>
        <v>0</v>
      </c>
      <c r="I1582" s="21">
        <f t="shared" si="128"/>
        <v>0</v>
      </c>
      <c r="J1582" s="22" t="e">
        <f>VLOOKUP($A1582, TAB_JUROS_C[[DIAS_CORRIDOS]:[V_FUT_UTEIS]], J$5, FALSE)</f>
        <v>#N/A</v>
      </c>
      <c r="K1582" s="22" t="e">
        <f>VLOOKUP($A1582, TAB_CORRECAO_C[[DIAS_CORRIDOS]:[V_FUT_UTEIS]],K$5, FALSE)</f>
        <v>#N/A</v>
      </c>
      <c r="L1582" s="22" t="e">
        <f>VLOOKUP($A1582, TAB_AMORTIZACAO_C[[DIAS_CORRIDOS]:[V_FUT_UTEIS]], L$5, FALSE)</f>
        <v>#N/A</v>
      </c>
    </row>
    <row r="1583" spans="1:12" hidden="1">
      <c r="A1583" s="19">
        <f t="shared" si="129"/>
        <v>1577</v>
      </c>
      <c r="B1583" s="20">
        <f t="shared" si="125"/>
        <v>0</v>
      </c>
      <c r="C1583" s="21">
        <f t="shared" si="126"/>
        <v>0</v>
      </c>
      <c r="D1583" s="22" t="e">
        <f>VLOOKUP($A1583, TAB_JUROS_U[[Q_DIAS_U_PARC_TIR]:[V_FUT_U_JURS CENARIO]], D$5, FALSE)</f>
        <v>#N/A</v>
      </c>
      <c r="E1583" s="22" t="e">
        <f>VLOOKUP($A1583,TAB_CORRECAO_U[[Q_DIAS_U_PARC_TIR]:[V_FUT_U_CORC-02]],E$5, FALSE)</f>
        <v>#N/A</v>
      </c>
      <c r="F1583" s="22" t="e">
        <f>VLOOKUP($A1583,TAB_AMORTIZACAO_U[[Q_DIAS_U_PARC_TIR]:[V_FUT_U_PCPL-02]], F$5, FALSE)</f>
        <v>#N/A</v>
      </c>
      <c r="H1583" s="20">
        <f t="shared" si="127"/>
        <v>0</v>
      </c>
      <c r="I1583" s="21">
        <f t="shared" si="128"/>
        <v>0</v>
      </c>
      <c r="J1583" s="22" t="e">
        <f>VLOOKUP($A1583, TAB_JUROS_C[[DIAS_CORRIDOS]:[V_FUT_UTEIS]], J$5, FALSE)</f>
        <v>#N/A</v>
      </c>
      <c r="K1583" s="22" t="e">
        <f>VLOOKUP($A1583, TAB_CORRECAO_C[[DIAS_CORRIDOS]:[V_FUT_UTEIS]],K$5, FALSE)</f>
        <v>#N/A</v>
      </c>
      <c r="L1583" s="22" t="e">
        <f>VLOOKUP($A1583, TAB_AMORTIZACAO_C[[DIAS_CORRIDOS]:[V_FUT_UTEIS]], L$5, FALSE)</f>
        <v>#N/A</v>
      </c>
    </row>
    <row r="1584" spans="1:12" hidden="1">
      <c r="A1584" s="19">
        <f t="shared" si="129"/>
        <v>1578</v>
      </c>
      <c r="B1584" s="20">
        <f t="shared" si="125"/>
        <v>0</v>
      </c>
      <c r="C1584" s="21">
        <f t="shared" si="126"/>
        <v>0</v>
      </c>
      <c r="D1584" s="22" t="e">
        <f>VLOOKUP($A1584, TAB_JUROS_U[[Q_DIAS_U_PARC_TIR]:[V_FUT_U_JURS CENARIO]], D$5, FALSE)</f>
        <v>#N/A</v>
      </c>
      <c r="E1584" s="22" t="e">
        <f>VLOOKUP($A1584,TAB_CORRECAO_U[[Q_DIAS_U_PARC_TIR]:[V_FUT_U_CORC-02]],E$5, FALSE)</f>
        <v>#N/A</v>
      </c>
      <c r="F1584" s="22" t="e">
        <f>VLOOKUP($A1584,TAB_AMORTIZACAO_U[[Q_DIAS_U_PARC_TIR]:[V_FUT_U_PCPL-02]], F$5, FALSE)</f>
        <v>#N/A</v>
      </c>
      <c r="H1584" s="20">
        <f t="shared" si="127"/>
        <v>0</v>
      </c>
      <c r="I1584" s="21">
        <f t="shared" si="128"/>
        <v>0</v>
      </c>
      <c r="J1584" s="22" t="e">
        <f>VLOOKUP($A1584, TAB_JUROS_C[[DIAS_CORRIDOS]:[V_FUT_UTEIS]], J$5, FALSE)</f>
        <v>#N/A</v>
      </c>
      <c r="K1584" s="22" t="e">
        <f>VLOOKUP($A1584, TAB_CORRECAO_C[[DIAS_CORRIDOS]:[V_FUT_UTEIS]],K$5, FALSE)</f>
        <v>#N/A</v>
      </c>
      <c r="L1584" s="22" t="e">
        <f>VLOOKUP($A1584, TAB_AMORTIZACAO_C[[DIAS_CORRIDOS]:[V_FUT_UTEIS]], L$5, FALSE)</f>
        <v>#N/A</v>
      </c>
    </row>
    <row r="1585" spans="1:12" hidden="1">
      <c r="A1585" s="19">
        <f t="shared" si="129"/>
        <v>1579</v>
      </c>
      <c r="B1585" s="20">
        <f t="shared" si="125"/>
        <v>0</v>
      </c>
      <c r="C1585" s="21">
        <f t="shared" si="126"/>
        <v>0</v>
      </c>
      <c r="D1585" s="22" t="e">
        <f>VLOOKUP($A1585, TAB_JUROS_U[[Q_DIAS_U_PARC_TIR]:[V_FUT_U_JURS CENARIO]], D$5, FALSE)</f>
        <v>#N/A</v>
      </c>
      <c r="E1585" s="22" t="e">
        <f>VLOOKUP($A1585,TAB_CORRECAO_U[[Q_DIAS_U_PARC_TIR]:[V_FUT_U_CORC-02]],E$5, FALSE)</f>
        <v>#N/A</v>
      </c>
      <c r="F1585" s="22" t="e">
        <f>VLOOKUP($A1585,TAB_AMORTIZACAO_U[[Q_DIAS_U_PARC_TIR]:[V_FUT_U_PCPL-02]], F$5, FALSE)</f>
        <v>#N/A</v>
      </c>
      <c r="H1585" s="20">
        <f t="shared" si="127"/>
        <v>0</v>
      </c>
      <c r="I1585" s="21">
        <f t="shared" si="128"/>
        <v>0</v>
      </c>
      <c r="J1585" s="22" t="e">
        <f>VLOOKUP($A1585, TAB_JUROS_C[[DIAS_CORRIDOS]:[V_FUT_UTEIS]], J$5, FALSE)</f>
        <v>#N/A</v>
      </c>
      <c r="K1585" s="22" t="e">
        <f>VLOOKUP($A1585, TAB_CORRECAO_C[[DIAS_CORRIDOS]:[V_FUT_UTEIS]],K$5, FALSE)</f>
        <v>#N/A</v>
      </c>
      <c r="L1585" s="22" t="e">
        <f>VLOOKUP($A1585, TAB_AMORTIZACAO_C[[DIAS_CORRIDOS]:[V_FUT_UTEIS]], L$5, FALSE)</f>
        <v>#N/A</v>
      </c>
    </row>
    <row r="1586" spans="1:12">
      <c r="A1586" s="19">
        <f t="shared" si="129"/>
        <v>1580</v>
      </c>
      <c r="B1586" s="20">
        <f t="shared" si="125"/>
        <v>492.83115835748288</v>
      </c>
      <c r="C1586" s="21">
        <f t="shared" si="126"/>
        <v>492.83115835748288</v>
      </c>
      <c r="D1586" s="22">
        <f>VLOOKUP($A1586, TAB_JUROS_U[[Q_DIAS_U_PARC_TIR]:[V_FUT_U_JURS CENARIO]], D$5, FALSE)</f>
        <v>33.427611938533637</v>
      </c>
      <c r="E1586" s="22">
        <f>VLOOKUP($A1586,TAB_CORRECAO_U[[Q_DIAS_U_PARC_TIR]:[V_FUT_U_CORC-02]],E$5, FALSE)</f>
        <v>202.04823058461355</v>
      </c>
      <c r="F1586" s="22">
        <f>VLOOKUP($A1586,TAB_AMORTIZACAO_U[[Q_DIAS_U_PARC_TIR]:[V_FUT_U_PCPL-02]], F$5, FALSE)</f>
        <v>257.35531583433573</v>
      </c>
      <c r="H1586" s="20">
        <f t="shared" si="127"/>
        <v>0</v>
      </c>
      <c r="I1586" s="21">
        <f t="shared" si="128"/>
        <v>0</v>
      </c>
      <c r="J1586" s="22" t="e">
        <f>VLOOKUP($A1586, TAB_JUROS_C[[DIAS_CORRIDOS]:[V_FUT_UTEIS]], J$5, FALSE)</f>
        <v>#N/A</v>
      </c>
      <c r="K1586" s="22" t="e">
        <f>VLOOKUP($A1586, TAB_CORRECAO_C[[DIAS_CORRIDOS]:[V_FUT_UTEIS]],K$5, FALSE)</f>
        <v>#N/A</v>
      </c>
      <c r="L1586" s="22" t="e">
        <f>VLOOKUP($A1586, TAB_AMORTIZACAO_C[[DIAS_CORRIDOS]:[V_FUT_UTEIS]], L$5, FALSE)</f>
        <v>#N/A</v>
      </c>
    </row>
    <row r="1587" spans="1:12" hidden="1">
      <c r="A1587" s="19">
        <f t="shared" si="129"/>
        <v>1581</v>
      </c>
      <c r="B1587" s="20">
        <f t="shared" si="125"/>
        <v>0</v>
      </c>
      <c r="C1587" s="21">
        <f t="shared" si="126"/>
        <v>0</v>
      </c>
      <c r="D1587" s="22" t="e">
        <f>VLOOKUP($A1587, TAB_JUROS_U[[Q_DIAS_U_PARC_TIR]:[V_FUT_U_JURS CENARIO]], D$5, FALSE)</f>
        <v>#N/A</v>
      </c>
      <c r="E1587" s="22" t="e">
        <f>VLOOKUP($A1587,TAB_CORRECAO_U[[Q_DIAS_U_PARC_TIR]:[V_FUT_U_CORC-02]],E$5, FALSE)</f>
        <v>#N/A</v>
      </c>
      <c r="F1587" s="22" t="e">
        <f>VLOOKUP($A1587,TAB_AMORTIZACAO_U[[Q_DIAS_U_PARC_TIR]:[V_FUT_U_PCPL-02]], F$5, FALSE)</f>
        <v>#N/A</v>
      </c>
      <c r="H1587" s="20">
        <f t="shared" si="127"/>
        <v>0</v>
      </c>
      <c r="I1587" s="21">
        <f t="shared" si="128"/>
        <v>0</v>
      </c>
      <c r="J1587" s="22" t="e">
        <f>VLOOKUP($A1587, TAB_JUROS_C[[DIAS_CORRIDOS]:[V_FUT_UTEIS]], J$5, FALSE)</f>
        <v>#N/A</v>
      </c>
      <c r="K1587" s="22" t="e">
        <f>VLOOKUP($A1587, TAB_CORRECAO_C[[DIAS_CORRIDOS]:[V_FUT_UTEIS]],K$5, FALSE)</f>
        <v>#N/A</v>
      </c>
      <c r="L1587" s="22" t="e">
        <f>VLOOKUP($A1587, TAB_AMORTIZACAO_C[[DIAS_CORRIDOS]:[V_FUT_UTEIS]], L$5, FALSE)</f>
        <v>#N/A</v>
      </c>
    </row>
    <row r="1588" spans="1:12" hidden="1">
      <c r="A1588" s="19">
        <f t="shared" si="129"/>
        <v>1582</v>
      </c>
      <c r="B1588" s="20">
        <f t="shared" si="125"/>
        <v>0</v>
      </c>
      <c r="C1588" s="21">
        <f t="shared" si="126"/>
        <v>0</v>
      </c>
      <c r="D1588" s="22" t="e">
        <f>VLOOKUP($A1588, TAB_JUROS_U[[Q_DIAS_U_PARC_TIR]:[V_FUT_U_JURS CENARIO]], D$5, FALSE)</f>
        <v>#N/A</v>
      </c>
      <c r="E1588" s="22" t="e">
        <f>VLOOKUP($A1588,TAB_CORRECAO_U[[Q_DIAS_U_PARC_TIR]:[V_FUT_U_CORC-02]],E$5, FALSE)</f>
        <v>#N/A</v>
      </c>
      <c r="F1588" s="22" t="e">
        <f>VLOOKUP($A1588,TAB_AMORTIZACAO_U[[Q_DIAS_U_PARC_TIR]:[V_FUT_U_PCPL-02]], F$5, FALSE)</f>
        <v>#N/A</v>
      </c>
      <c r="H1588" s="20">
        <f t="shared" si="127"/>
        <v>0</v>
      </c>
      <c r="I1588" s="21">
        <f t="shared" si="128"/>
        <v>0</v>
      </c>
      <c r="J1588" s="22" t="e">
        <f>VLOOKUP($A1588, TAB_JUROS_C[[DIAS_CORRIDOS]:[V_FUT_UTEIS]], J$5, FALSE)</f>
        <v>#N/A</v>
      </c>
      <c r="K1588" s="22" t="e">
        <f>VLOOKUP($A1588, TAB_CORRECAO_C[[DIAS_CORRIDOS]:[V_FUT_UTEIS]],K$5, FALSE)</f>
        <v>#N/A</v>
      </c>
      <c r="L1588" s="22" t="e">
        <f>VLOOKUP($A1588, TAB_AMORTIZACAO_C[[DIAS_CORRIDOS]:[V_FUT_UTEIS]], L$5, FALSE)</f>
        <v>#N/A</v>
      </c>
    </row>
    <row r="1589" spans="1:12" hidden="1">
      <c r="A1589" s="19">
        <f t="shared" si="129"/>
        <v>1583</v>
      </c>
      <c r="B1589" s="20">
        <f t="shared" si="125"/>
        <v>0</v>
      </c>
      <c r="C1589" s="21">
        <f t="shared" si="126"/>
        <v>0</v>
      </c>
      <c r="D1589" s="22" t="e">
        <f>VLOOKUP($A1589, TAB_JUROS_U[[Q_DIAS_U_PARC_TIR]:[V_FUT_U_JURS CENARIO]], D$5, FALSE)</f>
        <v>#N/A</v>
      </c>
      <c r="E1589" s="22" t="e">
        <f>VLOOKUP($A1589,TAB_CORRECAO_U[[Q_DIAS_U_PARC_TIR]:[V_FUT_U_CORC-02]],E$5, FALSE)</f>
        <v>#N/A</v>
      </c>
      <c r="F1589" s="22" t="e">
        <f>VLOOKUP($A1589,TAB_AMORTIZACAO_U[[Q_DIAS_U_PARC_TIR]:[V_FUT_U_PCPL-02]], F$5, FALSE)</f>
        <v>#N/A</v>
      </c>
      <c r="H1589" s="20">
        <f t="shared" si="127"/>
        <v>0</v>
      </c>
      <c r="I1589" s="21">
        <f t="shared" si="128"/>
        <v>0</v>
      </c>
      <c r="J1589" s="22" t="e">
        <f>VLOOKUP($A1589, TAB_JUROS_C[[DIAS_CORRIDOS]:[V_FUT_UTEIS]], J$5, FALSE)</f>
        <v>#N/A</v>
      </c>
      <c r="K1589" s="22" t="e">
        <f>VLOOKUP($A1589, TAB_CORRECAO_C[[DIAS_CORRIDOS]:[V_FUT_UTEIS]],K$5, FALSE)</f>
        <v>#N/A</v>
      </c>
      <c r="L1589" s="22" t="e">
        <f>VLOOKUP($A1589, TAB_AMORTIZACAO_C[[DIAS_CORRIDOS]:[V_FUT_UTEIS]], L$5, FALSE)</f>
        <v>#N/A</v>
      </c>
    </row>
    <row r="1590" spans="1:12" hidden="1">
      <c r="A1590" s="19">
        <f t="shared" si="129"/>
        <v>1584</v>
      </c>
      <c r="B1590" s="20">
        <f t="shared" si="125"/>
        <v>0</v>
      </c>
      <c r="C1590" s="21">
        <f t="shared" si="126"/>
        <v>0</v>
      </c>
      <c r="D1590" s="22" t="e">
        <f>VLOOKUP($A1590, TAB_JUROS_U[[Q_DIAS_U_PARC_TIR]:[V_FUT_U_JURS CENARIO]], D$5, FALSE)</f>
        <v>#N/A</v>
      </c>
      <c r="E1590" s="22" t="e">
        <f>VLOOKUP($A1590,TAB_CORRECAO_U[[Q_DIAS_U_PARC_TIR]:[V_FUT_U_CORC-02]],E$5, FALSE)</f>
        <v>#N/A</v>
      </c>
      <c r="F1590" s="22" t="e">
        <f>VLOOKUP($A1590,TAB_AMORTIZACAO_U[[Q_DIAS_U_PARC_TIR]:[V_FUT_U_PCPL-02]], F$5, FALSE)</f>
        <v>#N/A</v>
      </c>
      <c r="H1590" s="20">
        <f t="shared" si="127"/>
        <v>0</v>
      </c>
      <c r="I1590" s="21">
        <f t="shared" si="128"/>
        <v>0</v>
      </c>
      <c r="J1590" s="22" t="e">
        <f>VLOOKUP($A1590, TAB_JUROS_C[[DIAS_CORRIDOS]:[V_FUT_UTEIS]], J$5, FALSE)</f>
        <v>#N/A</v>
      </c>
      <c r="K1590" s="22" t="e">
        <f>VLOOKUP($A1590, TAB_CORRECAO_C[[DIAS_CORRIDOS]:[V_FUT_UTEIS]],K$5, FALSE)</f>
        <v>#N/A</v>
      </c>
      <c r="L1590" s="22" t="e">
        <f>VLOOKUP($A1590, TAB_AMORTIZACAO_C[[DIAS_CORRIDOS]:[V_FUT_UTEIS]], L$5, FALSE)</f>
        <v>#N/A</v>
      </c>
    </row>
    <row r="1591" spans="1:12" hidden="1">
      <c r="A1591" s="19">
        <f t="shared" si="129"/>
        <v>1585</v>
      </c>
      <c r="B1591" s="20">
        <f t="shared" si="125"/>
        <v>0</v>
      </c>
      <c r="C1591" s="21">
        <f t="shared" si="126"/>
        <v>0</v>
      </c>
      <c r="D1591" s="22" t="e">
        <f>VLOOKUP($A1591, TAB_JUROS_U[[Q_DIAS_U_PARC_TIR]:[V_FUT_U_JURS CENARIO]], D$5, FALSE)</f>
        <v>#N/A</v>
      </c>
      <c r="E1591" s="22" t="e">
        <f>VLOOKUP($A1591,TAB_CORRECAO_U[[Q_DIAS_U_PARC_TIR]:[V_FUT_U_CORC-02]],E$5, FALSE)</f>
        <v>#N/A</v>
      </c>
      <c r="F1591" s="22" t="e">
        <f>VLOOKUP($A1591,TAB_AMORTIZACAO_U[[Q_DIAS_U_PARC_TIR]:[V_FUT_U_PCPL-02]], F$5, FALSE)</f>
        <v>#N/A</v>
      </c>
      <c r="H1591" s="20">
        <f t="shared" si="127"/>
        <v>0</v>
      </c>
      <c r="I1591" s="21">
        <f t="shared" si="128"/>
        <v>0</v>
      </c>
      <c r="J1591" s="22" t="e">
        <f>VLOOKUP($A1591, TAB_JUROS_C[[DIAS_CORRIDOS]:[V_FUT_UTEIS]], J$5, FALSE)</f>
        <v>#N/A</v>
      </c>
      <c r="K1591" s="22" t="e">
        <f>VLOOKUP($A1591, TAB_CORRECAO_C[[DIAS_CORRIDOS]:[V_FUT_UTEIS]],K$5, FALSE)</f>
        <v>#N/A</v>
      </c>
      <c r="L1591" s="22" t="e">
        <f>VLOOKUP($A1591, TAB_AMORTIZACAO_C[[DIAS_CORRIDOS]:[V_FUT_UTEIS]], L$5, FALSE)</f>
        <v>#N/A</v>
      </c>
    </row>
    <row r="1592" spans="1:12" hidden="1">
      <c r="A1592" s="19">
        <f t="shared" si="129"/>
        <v>1586</v>
      </c>
      <c r="B1592" s="20">
        <f t="shared" si="125"/>
        <v>0</v>
      </c>
      <c r="C1592" s="21">
        <f t="shared" si="126"/>
        <v>0</v>
      </c>
      <c r="D1592" s="22" t="e">
        <f>VLOOKUP($A1592, TAB_JUROS_U[[Q_DIAS_U_PARC_TIR]:[V_FUT_U_JURS CENARIO]], D$5, FALSE)</f>
        <v>#N/A</v>
      </c>
      <c r="E1592" s="22" t="e">
        <f>VLOOKUP($A1592,TAB_CORRECAO_U[[Q_DIAS_U_PARC_TIR]:[V_FUT_U_CORC-02]],E$5, FALSE)</f>
        <v>#N/A</v>
      </c>
      <c r="F1592" s="22" t="e">
        <f>VLOOKUP($A1592,TAB_AMORTIZACAO_U[[Q_DIAS_U_PARC_TIR]:[V_FUT_U_PCPL-02]], F$5, FALSE)</f>
        <v>#N/A</v>
      </c>
      <c r="H1592" s="20">
        <f t="shared" si="127"/>
        <v>0</v>
      </c>
      <c r="I1592" s="21">
        <f t="shared" si="128"/>
        <v>0</v>
      </c>
      <c r="J1592" s="22" t="e">
        <f>VLOOKUP($A1592, TAB_JUROS_C[[DIAS_CORRIDOS]:[V_FUT_UTEIS]], J$5, FALSE)</f>
        <v>#N/A</v>
      </c>
      <c r="K1592" s="22" t="e">
        <f>VLOOKUP($A1592, TAB_CORRECAO_C[[DIAS_CORRIDOS]:[V_FUT_UTEIS]],K$5, FALSE)</f>
        <v>#N/A</v>
      </c>
      <c r="L1592" s="22" t="e">
        <f>VLOOKUP($A1592, TAB_AMORTIZACAO_C[[DIAS_CORRIDOS]:[V_FUT_UTEIS]], L$5, FALSE)</f>
        <v>#N/A</v>
      </c>
    </row>
    <row r="1593" spans="1:12" hidden="1">
      <c r="A1593" s="19">
        <f t="shared" si="129"/>
        <v>1587</v>
      </c>
      <c r="B1593" s="20">
        <f t="shared" si="125"/>
        <v>0</v>
      </c>
      <c r="C1593" s="21">
        <f t="shared" si="126"/>
        <v>0</v>
      </c>
      <c r="D1593" s="22" t="e">
        <f>VLOOKUP($A1593, TAB_JUROS_U[[Q_DIAS_U_PARC_TIR]:[V_FUT_U_JURS CENARIO]], D$5, FALSE)</f>
        <v>#N/A</v>
      </c>
      <c r="E1593" s="22" t="e">
        <f>VLOOKUP($A1593,TAB_CORRECAO_U[[Q_DIAS_U_PARC_TIR]:[V_FUT_U_CORC-02]],E$5, FALSE)</f>
        <v>#N/A</v>
      </c>
      <c r="F1593" s="22" t="e">
        <f>VLOOKUP($A1593,TAB_AMORTIZACAO_U[[Q_DIAS_U_PARC_TIR]:[V_FUT_U_PCPL-02]], F$5, FALSE)</f>
        <v>#N/A</v>
      </c>
      <c r="H1593" s="20">
        <f t="shared" si="127"/>
        <v>0</v>
      </c>
      <c r="I1593" s="21">
        <f t="shared" si="128"/>
        <v>0</v>
      </c>
      <c r="J1593" s="22" t="e">
        <f>VLOOKUP($A1593, TAB_JUROS_C[[DIAS_CORRIDOS]:[V_FUT_UTEIS]], J$5, FALSE)</f>
        <v>#N/A</v>
      </c>
      <c r="K1593" s="22" t="e">
        <f>VLOOKUP($A1593, TAB_CORRECAO_C[[DIAS_CORRIDOS]:[V_FUT_UTEIS]],K$5, FALSE)</f>
        <v>#N/A</v>
      </c>
      <c r="L1593" s="22" t="e">
        <f>VLOOKUP($A1593, TAB_AMORTIZACAO_C[[DIAS_CORRIDOS]:[V_FUT_UTEIS]], L$5, FALSE)</f>
        <v>#N/A</v>
      </c>
    </row>
    <row r="1594" spans="1:12" hidden="1">
      <c r="A1594" s="19">
        <f t="shared" si="129"/>
        <v>1588</v>
      </c>
      <c r="B1594" s="20">
        <f t="shared" si="125"/>
        <v>0</v>
      </c>
      <c r="C1594" s="21">
        <f t="shared" si="126"/>
        <v>0</v>
      </c>
      <c r="D1594" s="22" t="e">
        <f>VLOOKUP($A1594, TAB_JUROS_U[[Q_DIAS_U_PARC_TIR]:[V_FUT_U_JURS CENARIO]], D$5, FALSE)</f>
        <v>#N/A</v>
      </c>
      <c r="E1594" s="22" t="e">
        <f>VLOOKUP($A1594,TAB_CORRECAO_U[[Q_DIAS_U_PARC_TIR]:[V_FUT_U_CORC-02]],E$5, FALSE)</f>
        <v>#N/A</v>
      </c>
      <c r="F1594" s="22" t="e">
        <f>VLOOKUP($A1594,TAB_AMORTIZACAO_U[[Q_DIAS_U_PARC_TIR]:[V_FUT_U_PCPL-02]], F$5, FALSE)</f>
        <v>#N/A</v>
      </c>
      <c r="H1594" s="20">
        <f t="shared" si="127"/>
        <v>0</v>
      </c>
      <c r="I1594" s="21">
        <f t="shared" si="128"/>
        <v>0</v>
      </c>
      <c r="J1594" s="22" t="e">
        <f>VLOOKUP($A1594, TAB_JUROS_C[[DIAS_CORRIDOS]:[V_FUT_UTEIS]], J$5, FALSE)</f>
        <v>#N/A</v>
      </c>
      <c r="K1594" s="22" t="e">
        <f>VLOOKUP($A1594, TAB_CORRECAO_C[[DIAS_CORRIDOS]:[V_FUT_UTEIS]],K$5, FALSE)</f>
        <v>#N/A</v>
      </c>
      <c r="L1594" s="22" t="e">
        <f>VLOOKUP($A1594, TAB_AMORTIZACAO_C[[DIAS_CORRIDOS]:[V_FUT_UTEIS]], L$5, FALSE)</f>
        <v>#N/A</v>
      </c>
    </row>
    <row r="1595" spans="1:12" hidden="1">
      <c r="A1595" s="19">
        <f t="shared" si="129"/>
        <v>1589</v>
      </c>
      <c r="B1595" s="20">
        <f t="shared" si="125"/>
        <v>0</v>
      </c>
      <c r="C1595" s="21">
        <f t="shared" si="126"/>
        <v>0</v>
      </c>
      <c r="D1595" s="22" t="e">
        <f>VLOOKUP($A1595, TAB_JUROS_U[[Q_DIAS_U_PARC_TIR]:[V_FUT_U_JURS CENARIO]], D$5, FALSE)</f>
        <v>#N/A</v>
      </c>
      <c r="E1595" s="22" t="e">
        <f>VLOOKUP($A1595,TAB_CORRECAO_U[[Q_DIAS_U_PARC_TIR]:[V_FUT_U_CORC-02]],E$5, FALSE)</f>
        <v>#N/A</v>
      </c>
      <c r="F1595" s="22" t="e">
        <f>VLOOKUP($A1595,TAB_AMORTIZACAO_U[[Q_DIAS_U_PARC_TIR]:[V_FUT_U_PCPL-02]], F$5, FALSE)</f>
        <v>#N/A</v>
      </c>
      <c r="H1595" s="20">
        <f t="shared" si="127"/>
        <v>0</v>
      </c>
      <c r="I1595" s="21">
        <f t="shared" si="128"/>
        <v>0</v>
      </c>
      <c r="J1595" s="22" t="e">
        <f>VLOOKUP($A1595, TAB_JUROS_C[[DIAS_CORRIDOS]:[V_FUT_UTEIS]], J$5, FALSE)</f>
        <v>#N/A</v>
      </c>
      <c r="K1595" s="22" t="e">
        <f>VLOOKUP($A1595, TAB_CORRECAO_C[[DIAS_CORRIDOS]:[V_FUT_UTEIS]],K$5, FALSE)</f>
        <v>#N/A</v>
      </c>
      <c r="L1595" s="22" t="e">
        <f>VLOOKUP($A1595, TAB_AMORTIZACAO_C[[DIAS_CORRIDOS]:[V_FUT_UTEIS]], L$5, FALSE)</f>
        <v>#N/A</v>
      </c>
    </row>
    <row r="1596" spans="1:12" hidden="1">
      <c r="A1596" s="19">
        <f t="shared" si="129"/>
        <v>1590</v>
      </c>
      <c r="B1596" s="20">
        <f t="shared" si="125"/>
        <v>0</v>
      </c>
      <c r="C1596" s="21">
        <f t="shared" si="126"/>
        <v>0</v>
      </c>
      <c r="D1596" s="22" t="e">
        <f>VLOOKUP($A1596, TAB_JUROS_U[[Q_DIAS_U_PARC_TIR]:[V_FUT_U_JURS CENARIO]], D$5, FALSE)</f>
        <v>#N/A</v>
      </c>
      <c r="E1596" s="22" t="e">
        <f>VLOOKUP($A1596,TAB_CORRECAO_U[[Q_DIAS_U_PARC_TIR]:[V_FUT_U_CORC-02]],E$5, FALSE)</f>
        <v>#N/A</v>
      </c>
      <c r="F1596" s="22" t="e">
        <f>VLOOKUP($A1596,TAB_AMORTIZACAO_U[[Q_DIAS_U_PARC_TIR]:[V_FUT_U_PCPL-02]], F$5, FALSE)</f>
        <v>#N/A</v>
      </c>
      <c r="H1596" s="20">
        <f t="shared" si="127"/>
        <v>0</v>
      </c>
      <c r="I1596" s="21">
        <f t="shared" si="128"/>
        <v>0</v>
      </c>
      <c r="J1596" s="22" t="e">
        <f>VLOOKUP($A1596, TAB_JUROS_C[[DIAS_CORRIDOS]:[V_FUT_UTEIS]], J$5, FALSE)</f>
        <v>#N/A</v>
      </c>
      <c r="K1596" s="22" t="e">
        <f>VLOOKUP($A1596, TAB_CORRECAO_C[[DIAS_CORRIDOS]:[V_FUT_UTEIS]],K$5, FALSE)</f>
        <v>#N/A</v>
      </c>
      <c r="L1596" s="22" t="e">
        <f>VLOOKUP($A1596, TAB_AMORTIZACAO_C[[DIAS_CORRIDOS]:[V_FUT_UTEIS]], L$5, FALSE)</f>
        <v>#N/A</v>
      </c>
    </row>
    <row r="1597" spans="1:12" hidden="1">
      <c r="A1597" s="19">
        <f t="shared" si="129"/>
        <v>1591</v>
      </c>
      <c r="B1597" s="20">
        <f t="shared" si="125"/>
        <v>0</v>
      </c>
      <c r="C1597" s="21">
        <f t="shared" si="126"/>
        <v>0</v>
      </c>
      <c r="D1597" s="22" t="e">
        <f>VLOOKUP($A1597, TAB_JUROS_U[[Q_DIAS_U_PARC_TIR]:[V_FUT_U_JURS CENARIO]], D$5, FALSE)</f>
        <v>#N/A</v>
      </c>
      <c r="E1597" s="22" t="e">
        <f>VLOOKUP($A1597,TAB_CORRECAO_U[[Q_DIAS_U_PARC_TIR]:[V_FUT_U_CORC-02]],E$5, FALSE)</f>
        <v>#N/A</v>
      </c>
      <c r="F1597" s="22" t="e">
        <f>VLOOKUP($A1597,TAB_AMORTIZACAO_U[[Q_DIAS_U_PARC_TIR]:[V_FUT_U_PCPL-02]], F$5, FALSE)</f>
        <v>#N/A</v>
      </c>
      <c r="H1597" s="20">
        <f t="shared" si="127"/>
        <v>0</v>
      </c>
      <c r="I1597" s="21">
        <f t="shared" si="128"/>
        <v>0</v>
      </c>
      <c r="J1597" s="22" t="e">
        <f>VLOOKUP($A1597, TAB_JUROS_C[[DIAS_CORRIDOS]:[V_FUT_UTEIS]], J$5, FALSE)</f>
        <v>#N/A</v>
      </c>
      <c r="K1597" s="22" t="e">
        <f>VLOOKUP($A1597, TAB_CORRECAO_C[[DIAS_CORRIDOS]:[V_FUT_UTEIS]],K$5, FALSE)</f>
        <v>#N/A</v>
      </c>
      <c r="L1597" s="22" t="e">
        <f>VLOOKUP($A1597, TAB_AMORTIZACAO_C[[DIAS_CORRIDOS]:[V_FUT_UTEIS]], L$5, FALSE)</f>
        <v>#N/A</v>
      </c>
    </row>
    <row r="1598" spans="1:12" hidden="1">
      <c r="A1598" s="19">
        <f t="shared" si="129"/>
        <v>1592</v>
      </c>
      <c r="B1598" s="20">
        <f t="shared" si="125"/>
        <v>0</v>
      </c>
      <c r="C1598" s="21">
        <f t="shared" si="126"/>
        <v>0</v>
      </c>
      <c r="D1598" s="22" t="e">
        <f>VLOOKUP($A1598, TAB_JUROS_U[[Q_DIAS_U_PARC_TIR]:[V_FUT_U_JURS CENARIO]], D$5, FALSE)</f>
        <v>#N/A</v>
      </c>
      <c r="E1598" s="22" t="e">
        <f>VLOOKUP($A1598,TAB_CORRECAO_U[[Q_DIAS_U_PARC_TIR]:[V_FUT_U_CORC-02]],E$5, FALSE)</f>
        <v>#N/A</v>
      </c>
      <c r="F1598" s="22" t="e">
        <f>VLOOKUP($A1598,TAB_AMORTIZACAO_U[[Q_DIAS_U_PARC_TIR]:[V_FUT_U_PCPL-02]], F$5, FALSE)</f>
        <v>#N/A</v>
      </c>
      <c r="H1598" s="20">
        <f t="shared" si="127"/>
        <v>0</v>
      </c>
      <c r="I1598" s="21">
        <f t="shared" si="128"/>
        <v>0</v>
      </c>
      <c r="J1598" s="22" t="e">
        <f>VLOOKUP($A1598, TAB_JUROS_C[[DIAS_CORRIDOS]:[V_FUT_UTEIS]], J$5, FALSE)</f>
        <v>#N/A</v>
      </c>
      <c r="K1598" s="22" t="e">
        <f>VLOOKUP($A1598, TAB_CORRECAO_C[[DIAS_CORRIDOS]:[V_FUT_UTEIS]],K$5, FALSE)</f>
        <v>#N/A</v>
      </c>
      <c r="L1598" s="22" t="e">
        <f>VLOOKUP($A1598, TAB_AMORTIZACAO_C[[DIAS_CORRIDOS]:[V_FUT_UTEIS]], L$5, FALSE)</f>
        <v>#N/A</v>
      </c>
    </row>
    <row r="1599" spans="1:12" hidden="1">
      <c r="A1599" s="19">
        <f t="shared" si="129"/>
        <v>1593</v>
      </c>
      <c r="B1599" s="20">
        <f t="shared" si="125"/>
        <v>0</v>
      </c>
      <c r="C1599" s="21">
        <f t="shared" si="126"/>
        <v>0</v>
      </c>
      <c r="D1599" s="22" t="e">
        <f>VLOOKUP($A1599, TAB_JUROS_U[[Q_DIAS_U_PARC_TIR]:[V_FUT_U_JURS CENARIO]], D$5, FALSE)</f>
        <v>#N/A</v>
      </c>
      <c r="E1599" s="22" t="e">
        <f>VLOOKUP($A1599,TAB_CORRECAO_U[[Q_DIAS_U_PARC_TIR]:[V_FUT_U_CORC-02]],E$5, FALSE)</f>
        <v>#N/A</v>
      </c>
      <c r="F1599" s="22" t="e">
        <f>VLOOKUP($A1599,TAB_AMORTIZACAO_U[[Q_DIAS_U_PARC_TIR]:[V_FUT_U_PCPL-02]], F$5, FALSE)</f>
        <v>#N/A</v>
      </c>
      <c r="H1599" s="20">
        <f t="shared" si="127"/>
        <v>0</v>
      </c>
      <c r="I1599" s="21">
        <f t="shared" si="128"/>
        <v>0</v>
      </c>
      <c r="J1599" s="22" t="e">
        <f>VLOOKUP($A1599, TAB_JUROS_C[[DIAS_CORRIDOS]:[V_FUT_UTEIS]], J$5, FALSE)</f>
        <v>#N/A</v>
      </c>
      <c r="K1599" s="22" t="e">
        <f>VLOOKUP($A1599, TAB_CORRECAO_C[[DIAS_CORRIDOS]:[V_FUT_UTEIS]],K$5, FALSE)</f>
        <v>#N/A</v>
      </c>
      <c r="L1599" s="22" t="e">
        <f>VLOOKUP($A1599, TAB_AMORTIZACAO_C[[DIAS_CORRIDOS]:[V_FUT_UTEIS]], L$5, FALSE)</f>
        <v>#N/A</v>
      </c>
    </row>
    <row r="1600" spans="1:12" hidden="1">
      <c r="A1600" s="19">
        <f t="shared" si="129"/>
        <v>1594</v>
      </c>
      <c r="B1600" s="20">
        <f t="shared" si="125"/>
        <v>0</v>
      </c>
      <c r="C1600" s="21">
        <f t="shared" si="126"/>
        <v>0</v>
      </c>
      <c r="D1600" s="22" t="e">
        <f>VLOOKUP($A1600, TAB_JUROS_U[[Q_DIAS_U_PARC_TIR]:[V_FUT_U_JURS CENARIO]], D$5, FALSE)</f>
        <v>#N/A</v>
      </c>
      <c r="E1600" s="22" t="e">
        <f>VLOOKUP($A1600,TAB_CORRECAO_U[[Q_DIAS_U_PARC_TIR]:[V_FUT_U_CORC-02]],E$5, FALSE)</f>
        <v>#N/A</v>
      </c>
      <c r="F1600" s="22" t="e">
        <f>VLOOKUP($A1600,TAB_AMORTIZACAO_U[[Q_DIAS_U_PARC_TIR]:[V_FUT_U_PCPL-02]], F$5, FALSE)</f>
        <v>#N/A</v>
      </c>
      <c r="H1600" s="20">
        <f t="shared" si="127"/>
        <v>0</v>
      </c>
      <c r="I1600" s="21">
        <f t="shared" si="128"/>
        <v>0</v>
      </c>
      <c r="J1600" s="22" t="e">
        <f>VLOOKUP($A1600, TAB_JUROS_C[[DIAS_CORRIDOS]:[V_FUT_UTEIS]], J$5, FALSE)</f>
        <v>#N/A</v>
      </c>
      <c r="K1600" s="22" t="e">
        <f>VLOOKUP($A1600, TAB_CORRECAO_C[[DIAS_CORRIDOS]:[V_FUT_UTEIS]],K$5, FALSE)</f>
        <v>#N/A</v>
      </c>
      <c r="L1600" s="22" t="e">
        <f>VLOOKUP($A1600, TAB_AMORTIZACAO_C[[DIAS_CORRIDOS]:[V_FUT_UTEIS]], L$5, FALSE)</f>
        <v>#N/A</v>
      </c>
    </row>
    <row r="1601" spans="1:12" hidden="1">
      <c r="A1601" s="19">
        <f t="shared" si="129"/>
        <v>1595</v>
      </c>
      <c r="B1601" s="20">
        <f t="shared" si="125"/>
        <v>0</v>
      </c>
      <c r="C1601" s="21">
        <f t="shared" si="126"/>
        <v>0</v>
      </c>
      <c r="D1601" s="22" t="e">
        <f>VLOOKUP($A1601, TAB_JUROS_U[[Q_DIAS_U_PARC_TIR]:[V_FUT_U_JURS CENARIO]], D$5, FALSE)</f>
        <v>#N/A</v>
      </c>
      <c r="E1601" s="22" t="e">
        <f>VLOOKUP($A1601,TAB_CORRECAO_U[[Q_DIAS_U_PARC_TIR]:[V_FUT_U_CORC-02]],E$5, FALSE)</f>
        <v>#N/A</v>
      </c>
      <c r="F1601" s="22" t="e">
        <f>VLOOKUP($A1601,TAB_AMORTIZACAO_U[[Q_DIAS_U_PARC_TIR]:[V_FUT_U_PCPL-02]], F$5, FALSE)</f>
        <v>#N/A</v>
      </c>
      <c r="H1601" s="20">
        <f t="shared" si="127"/>
        <v>0</v>
      </c>
      <c r="I1601" s="21">
        <f t="shared" si="128"/>
        <v>0</v>
      </c>
      <c r="J1601" s="22" t="e">
        <f>VLOOKUP($A1601, TAB_JUROS_C[[DIAS_CORRIDOS]:[V_FUT_UTEIS]], J$5, FALSE)</f>
        <v>#N/A</v>
      </c>
      <c r="K1601" s="22" t="e">
        <f>VLOOKUP($A1601, TAB_CORRECAO_C[[DIAS_CORRIDOS]:[V_FUT_UTEIS]],K$5, FALSE)</f>
        <v>#N/A</v>
      </c>
      <c r="L1601" s="22" t="e">
        <f>VLOOKUP($A1601, TAB_AMORTIZACAO_C[[DIAS_CORRIDOS]:[V_FUT_UTEIS]], L$5, FALSE)</f>
        <v>#N/A</v>
      </c>
    </row>
    <row r="1602" spans="1:12" hidden="1">
      <c r="A1602" s="19">
        <f t="shared" si="129"/>
        <v>1596</v>
      </c>
      <c r="B1602" s="20">
        <f t="shared" si="125"/>
        <v>0</v>
      </c>
      <c r="C1602" s="21">
        <f t="shared" si="126"/>
        <v>0</v>
      </c>
      <c r="D1602" s="22" t="e">
        <f>VLOOKUP($A1602, TAB_JUROS_U[[Q_DIAS_U_PARC_TIR]:[V_FUT_U_JURS CENARIO]], D$5, FALSE)</f>
        <v>#N/A</v>
      </c>
      <c r="E1602" s="22" t="e">
        <f>VLOOKUP($A1602,TAB_CORRECAO_U[[Q_DIAS_U_PARC_TIR]:[V_FUT_U_CORC-02]],E$5, FALSE)</f>
        <v>#N/A</v>
      </c>
      <c r="F1602" s="22" t="e">
        <f>VLOOKUP($A1602,TAB_AMORTIZACAO_U[[Q_DIAS_U_PARC_TIR]:[V_FUT_U_PCPL-02]], F$5, FALSE)</f>
        <v>#N/A</v>
      </c>
      <c r="H1602" s="20">
        <f t="shared" si="127"/>
        <v>766.63900928786688</v>
      </c>
      <c r="I1602" s="21">
        <f t="shared" si="128"/>
        <v>766.63900928786688</v>
      </c>
      <c r="J1602" s="22">
        <f>VLOOKUP($A1602, TAB_JUROS_C[[DIAS_CORRIDOS]:[V_FUT_UTEIS]], J$5, FALSE)</f>
        <v>56.772387137069174</v>
      </c>
      <c r="K1602" s="22">
        <f>VLOOKUP($A1602, TAB_CORRECAO_C[[DIAS_CORRIDOS]:[V_FUT_UTEIS]],K$5, FALSE)</f>
        <v>323.18130069334518</v>
      </c>
      <c r="L1602" s="22">
        <f>VLOOKUP($A1602, TAB_AMORTIZACAO_C[[DIAS_CORRIDOS]:[V_FUT_UTEIS]], L$5, FALSE)</f>
        <v>386.68532145745246</v>
      </c>
    </row>
    <row r="1603" spans="1:12" hidden="1">
      <c r="A1603" s="19">
        <f t="shared" si="129"/>
        <v>1597</v>
      </c>
      <c r="B1603" s="20">
        <f t="shared" si="125"/>
        <v>0</v>
      </c>
      <c r="C1603" s="21">
        <f t="shared" si="126"/>
        <v>0</v>
      </c>
      <c r="D1603" s="22" t="e">
        <f>VLOOKUP($A1603, TAB_JUROS_U[[Q_DIAS_U_PARC_TIR]:[V_FUT_U_JURS CENARIO]], D$5, FALSE)</f>
        <v>#N/A</v>
      </c>
      <c r="E1603" s="22" t="e">
        <f>VLOOKUP($A1603,TAB_CORRECAO_U[[Q_DIAS_U_PARC_TIR]:[V_FUT_U_CORC-02]],E$5, FALSE)</f>
        <v>#N/A</v>
      </c>
      <c r="F1603" s="22" t="e">
        <f>VLOOKUP($A1603,TAB_AMORTIZACAO_U[[Q_DIAS_U_PARC_TIR]:[V_FUT_U_PCPL-02]], F$5, FALSE)</f>
        <v>#N/A</v>
      </c>
      <c r="H1603" s="20">
        <f t="shared" si="127"/>
        <v>0</v>
      </c>
      <c r="I1603" s="21">
        <f t="shared" si="128"/>
        <v>0</v>
      </c>
      <c r="J1603" s="22" t="e">
        <f>VLOOKUP($A1603, TAB_JUROS_C[[DIAS_CORRIDOS]:[V_FUT_UTEIS]], J$5, FALSE)</f>
        <v>#N/A</v>
      </c>
      <c r="K1603" s="22" t="e">
        <f>VLOOKUP($A1603, TAB_CORRECAO_C[[DIAS_CORRIDOS]:[V_FUT_UTEIS]],K$5, FALSE)</f>
        <v>#N/A</v>
      </c>
      <c r="L1603" s="22" t="e">
        <f>VLOOKUP($A1603, TAB_AMORTIZACAO_C[[DIAS_CORRIDOS]:[V_FUT_UTEIS]], L$5, FALSE)</f>
        <v>#N/A</v>
      </c>
    </row>
    <row r="1604" spans="1:12" hidden="1">
      <c r="A1604" s="19">
        <f t="shared" si="129"/>
        <v>1598</v>
      </c>
      <c r="B1604" s="20">
        <f t="shared" si="125"/>
        <v>0</v>
      </c>
      <c r="C1604" s="21">
        <f t="shared" si="126"/>
        <v>0</v>
      </c>
      <c r="D1604" s="22" t="e">
        <f>VLOOKUP($A1604, TAB_JUROS_U[[Q_DIAS_U_PARC_TIR]:[V_FUT_U_JURS CENARIO]], D$5, FALSE)</f>
        <v>#N/A</v>
      </c>
      <c r="E1604" s="22" t="e">
        <f>VLOOKUP($A1604,TAB_CORRECAO_U[[Q_DIAS_U_PARC_TIR]:[V_FUT_U_CORC-02]],E$5, FALSE)</f>
        <v>#N/A</v>
      </c>
      <c r="F1604" s="22" t="e">
        <f>VLOOKUP($A1604,TAB_AMORTIZACAO_U[[Q_DIAS_U_PARC_TIR]:[V_FUT_U_PCPL-02]], F$5, FALSE)</f>
        <v>#N/A</v>
      </c>
      <c r="H1604" s="20">
        <f t="shared" si="127"/>
        <v>0</v>
      </c>
      <c r="I1604" s="21">
        <f t="shared" si="128"/>
        <v>0</v>
      </c>
      <c r="J1604" s="22" t="e">
        <f>VLOOKUP($A1604, TAB_JUROS_C[[DIAS_CORRIDOS]:[V_FUT_UTEIS]], J$5, FALSE)</f>
        <v>#N/A</v>
      </c>
      <c r="K1604" s="22" t="e">
        <f>VLOOKUP($A1604, TAB_CORRECAO_C[[DIAS_CORRIDOS]:[V_FUT_UTEIS]],K$5, FALSE)</f>
        <v>#N/A</v>
      </c>
      <c r="L1604" s="22" t="e">
        <f>VLOOKUP($A1604, TAB_AMORTIZACAO_C[[DIAS_CORRIDOS]:[V_FUT_UTEIS]], L$5, FALSE)</f>
        <v>#N/A</v>
      </c>
    </row>
    <row r="1605" spans="1:12">
      <c r="A1605" s="19">
        <f t="shared" si="129"/>
        <v>1599</v>
      </c>
      <c r="B1605" s="20">
        <f t="shared" si="125"/>
        <v>453.7067520137561</v>
      </c>
      <c r="C1605" s="21">
        <f t="shared" si="126"/>
        <v>453.7067520137561</v>
      </c>
      <c r="D1605" s="22">
        <f>VLOOKUP($A1605, TAB_JUROS_U[[Q_DIAS_U_PARC_TIR]:[V_FUT_U_JURS CENARIO]], D$5, FALSE)</f>
        <v>28.009395543909669</v>
      </c>
      <c r="E1605" s="22">
        <f>VLOOKUP($A1605,TAB_CORRECAO_U[[Q_DIAS_U_PARC_TIR]:[V_FUT_U_CORC-02]],E$5, FALSE)</f>
        <v>169.47492055855631</v>
      </c>
      <c r="F1605" s="22">
        <f>VLOOKUP($A1605,TAB_AMORTIZACAO_U[[Q_DIAS_U_PARC_TIR]:[V_FUT_U_PCPL-02]], F$5, FALSE)</f>
        <v>256.22243591129012</v>
      </c>
      <c r="H1605" s="20">
        <f t="shared" si="127"/>
        <v>0</v>
      </c>
      <c r="I1605" s="21">
        <f t="shared" si="128"/>
        <v>0</v>
      </c>
      <c r="J1605" s="22" t="e">
        <f>VLOOKUP($A1605, TAB_JUROS_C[[DIAS_CORRIDOS]:[V_FUT_UTEIS]], J$5, FALSE)</f>
        <v>#N/A</v>
      </c>
      <c r="K1605" s="22" t="e">
        <f>VLOOKUP($A1605, TAB_CORRECAO_C[[DIAS_CORRIDOS]:[V_FUT_UTEIS]],K$5, FALSE)</f>
        <v>#N/A</v>
      </c>
      <c r="L1605" s="22" t="e">
        <f>VLOOKUP($A1605, TAB_AMORTIZACAO_C[[DIAS_CORRIDOS]:[V_FUT_UTEIS]], L$5, FALSE)</f>
        <v>#N/A</v>
      </c>
    </row>
    <row r="1606" spans="1:12" hidden="1">
      <c r="A1606" s="19">
        <f t="shared" si="129"/>
        <v>1600</v>
      </c>
      <c r="B1606" s="20">
        <f t="shared" si="125"/>
        <v>0</v>
      </c>
      <c r="C1606" s="21">
        <f t="shared" si="126"/>
        <v>0</v>
      </c>
      <c r="D1606" s="22" t="e">
        <f>VLOOKUP($A1606, TAB_JUROS_U[[Q_DIAS_U_PARC_TIR]:[V_FUT_U_JURS CENARIO]], D$5, FALSE)</f>
        <v>#N/A</v>
      </c>
      <c r="E1606" s="22" t="e">
        <f>VLOOKUP($A1606,TAB_CORRECAO_U[[Q_DIAS_U_PARC_TIR]:[V_FUT_U_CORC-02]],E$5, FALSE)</f>
        <v>#N/A</v>
      </c>
      <c r="F1606" s="22" t="e">
        <f>VLOOKUP($A1606,TAB_AMORTIZACAO_U[[Q_DIAS_U_PARC_TIR]:[V_FUT_U_PCPL-02]], F$5, FALSE)</f>
        <v>#N/A</v>
      </c>
      <c r="H1606" s="20">
        <f t="shared" si="127"/>
        <v>0</v>
      </c>
      <c r="I1606" s="21">
        <f t="shared" si="128"/>
        <v>0</v>
      </c>
      <c r="J1606" s="22" t="e">
        <f>VLOOKUP($A1606, TAB_JUROS_C[[DIAS_CORRIDOS]:[V_FUT_UTEIS]], J$5, FALSE)</f>
        <v>#N/A</v>
      </c>
      <c r="K1606" s="22" t="e">
        <f>VLOOKUP($A1606, TAB_CORRECAO_C[[DIAS_CORRIDOS]:[V_FUT_UTEIS]],K$5, FALSE)</f>
        <v>#N/A</v>
      </c>
      <c r="L1606" s="22" t="e">
        <f>VLOOKUP($A1606, TAB_AMORTIZACAO_C[[DIAS_CORRIDOS]:[V_FUT_UTEIS]], L$5, FALSE)</f>
        <v>#N/A</v>
      </c>
    </row>
    <row r="1607" spans="1:12" hidden="1">
      <c r="A1607" s="19">
        <f t="shared" si="129"/>
        <v>1601</v>
      </c>
      <c r="B1607" s="20">
        <f t="shared" si="125"/>
        <v>0</v>
      </c>
      <c r="C1607" s="21">
        <f t="shared" si="126"/>
        <v>0</v>
      </c>
      <c r="D1607" s="22" t="e">
        <f>VLOOKUP($A1607, TAB_JUROS_U[[Q_DIAS_U_PARC_TIR]:[V_FUT_U_JURS CENARIO]], D$5, FALSE)</f>
        <v>#N/A</v>
      </c>
      <c r="E1607" s="22" t="e">
        <f>VLOOKUP($A1607,TAB_CORRECAO_U[[Q_DIAS_U_PARC_TIR]:[V_FUT_U_CORC-02]],E$5, FALSE)</f>
        <v>#N/A</v>
      </c>
      <c r="F1607" s="22" t="e">
        <f>VLOOKUP($A1607,TAB_AMORTIZACAO_U[[Q_DIAS_U_PARC_TIR]:[V_FUT_U_PCPL-02]], F$5, FALSE)</f>
        <v>#N/A</v>
      </c>
      <c r="H1607" s="20">
        <f t="shared" si="127"/>
        <v>0</v>
      </c>
      <c r="I1607" s="21">
        <f t="shared" si="128"/>
        <v>0</v>
      </c>
      <c r="J1607" s="22" t="e">
        <f>VLOOKUP($A1607, TAB_JUROS_C[[DIAS_CORRIDOS]:[V_FUT_UTEIS]], J$5, FALSE)</f>
        <v>#N/A</v>
      </c>
      <c r="K1607" s="22" t="e">
        <f>VLOOKUP($A1607, TAB_CORRECAO_C[[DIAS_CORRIDOS]:[V_FUT_UTEIS]],K$5, FALSE)</f>
        <v>#N/A</v>
      </c>
      <c r="L1607" s="22" t="e">
        <f>VLOOKUP($A1607, TAB_AMORTIZACAO_C[[DIAS_CORRIDOS]:[V_FUT_UTEIS]], L$5, FALSE)</f>
        <v>#N/A</v>
      </c>
    </row>
    <row r="1608" spans="1:12" hidden="1">
      <c r="A1608" s="19">
        <f t="shared" si="129"/>
        <v>1602</v>
      </c>
      <c r="B1608" s="20">
        <f t="shared" si="125"/>
        <v>0</v>
      </c>
      <c r="C1608" s="21">
        <f t="shared" si="126"/>
        <v>0</v>
      </c>
      <c r="D1608" s="22" t="e">
        <f>VLOOKUP($A1608, TAB_JUROS_U[[Q_DIAS_U_PARC_TIR]:[V_FUT_U_JURS CENARIO]], D$5, FALSE)</f>
        <v>#N/A</v>
      </c>
      <c r="E1608" s="22" t="e">
        <f>VLOOKUP($A1608,TAB_CORRECAO_U[[Q_DIAS_U_PARC_TIR]:[V_FUT_U_CORC-02]],E$5, FALSE)</f>
        <v>#N/A</v>
      </c>
      <c r="F1608" s="22" t="e">
        <f>VLOOKUP($A1608,TAB_AMORTIZACAO_U[[Q_DIAS_U_PARC_TIR]:[V_FUT_U_PCPL-02]], F$5, FALSE)</f>
        <v>#N/A</v>
      </c>
      <c r="H1608" s="20">
        <f t="shared" si="127"/>
        <v>0</v>
      </c>
      <c r="I1608" s="21">
        <f t="shared" si="128"/>
        <v>0</v>
      </c>
      <c r="J1608" s="22" t="e">
        <f>VLOOKUP($A1608, TAB_JUROS_C[[DIAS_CORRIDOS]:[V_FUT_UTEIS]], J$5, FALSE)</f>
        <v>#N/A</v>
      </c>
      <c r="K1608" s="22" t="e">
        <f>VLOOKUP($A1608, TAB_CORRECAO_C[[DIAS_CORRIDOS]:[V_FUT_UTEIS]],K$5, FALSE)</f>
        <v>#N/A</v>
      </c>
      <c r="L1608" s="22" t="e">
        <f>VLOOKUP($A1608, TAB_AMORTIZACAO_C[[DIAS_CORRIDOS]:[V_FUT_UTEIS]], L$5, FALSE)</f>
        <v>#N/A</v>
      </c>
    </row>
    <row r="1609" spans="1:12" hidden="1">
      <c r="A1609" s="19">
        <f t="shared" si="129"/>
        <v>1603</v>
      </c>
      <c r="B1609" s="20">
        <f t="shared" ref="B1609:B1672" si="130">IF(ISERROR(C1609), 0, C1609)</f>
        <v>0</v>
      </c>
      <c r="C1609" s="21">
        <f t="shared" ref="C1609:C1672" si="131">SUMIF(D1609:F1609, "&gt;0", D1609:F1609)</f>
        <v>0</v>
      </c>
      <c r="D1609" s="22" t="e">
        <f>VLOOKUP($A1609, TAB_JUROS_U[[Q_DIAS_U_PARC_TIR]:[V_FUT_U_JURS CENARIO]], D$5, FALSE)</f>
        <v>#N/A</v>
      </c>
      <c r="E1609" s="22" t="e">
        <f>VLOOKUP($A1609,TAB_CORRECAO_U[[Q_DIAS_U_PARC_TIR]:[V_FUT_U_CORC-02]],E$5, FALSE)</f>
        <v>#N/A</v>
      </c>
      <c r="F1609" s="22" t="e">
        <f>VLOOKUP($A1609,TAB_AMORTIZACAO_U[[Q_DIAS_U_PARC_TIR]:[V_FUT_U_PCPL-02]], F$5, FALSE)</f>
        <v>#N/A</v>
      </c>
      <c r="H1609" s="20">
        <f t="shared" ref="H1609:H1672" si="132">IF(ISERROR(I1609), 0, I1609)</f>
        <v>0</v>
      </c>
      <c r="I1609" s="21">
        <f t="shared" ref="I1609:I1672" si="133">SUMIF(J1609:L1609, "&gt;0", J1609:L1609)</f>
        <v>0</v>
      </c>
      <c r="J1609" s="22" t="e">
        <f>VLOOKUP($A1609, TAB_JUROS_C[[DIAS_CORRIDOS]:[V_FUT_UTEIS]], J$5, FALSE)</f>
        <v>#N/A</v>
      </c>
      <c r="K1609" s="22" t="e">
        <f>VLOOKUP($A1609, TAB_CORRECAO_C[[DIAS_CORRIDOS]:[V_FUT_UTEIS]],K$5, FALSE)</f>
        <v>#N/A</v>
      </c>
      <c r="L1609" s="22" t="e">
        <f>VLOOKUP($A1609, TAB_AMORTIZACAO_C[[DIAS_CORRIDOS]:[V_FUT_UTEIS]], L$5, FALSE)</f>
        <v>#N/A</v>
      </c>
    </row>
    <row r="1610" spans="1:12" hidden="1">
      <c r="A1610" s="19">
        <f t="shared" ref="A1610:A1673" si="134">A1609+1</f>
        <v>1604</v>
      </c>
      <c r="B1610" s="20">
        <f t="shared" si="130"/>
        <v>0</v>
      </c>
      <c r="C1610" s="21">
        <f t="shared" si="131"/>
        <v>0</v>
      </c>
      <c r="D1610" s="22" t="e">
        <f>VLOOKUP($A1610, TAB_JUROS_U[[Q_DIAS_U_PARC_TIR]:[V_FUT_U_JURS CENARIO]], D$5, FALSE)</f>
        <v>#N/A</v>
      </c>
      <c r="E1610" s="22" t="e">
        <f>VLOOKUP($A1610,TAB_CORRECAO_U[[Q_DIAS_U_PARC_TIR]:[V_FUT_U_CORC-02]],E$5, FALSE)</f>
        <v>#N/A</v>
      </c>
      <c r="F1610" s="22" t="e">
        <f>VLOOKUP($A1610,TAB_AMORTIZACAO_U[[Q_DIAS_U_PARC_TIR]:[V_FUT_U_PCPL-02]], F$5, FALSE)</f>
        <v>#N/A</v>
      </c>
      <c r="H1610" s="20">
        <f t="shared" si="132"/>
        <v>0</v>
      </c>
      <c r="I1610" s="21">
        <f t="shared" si="133"/>
        <v>0</v>
      </c>
      <c r="J1610" s="22" t="e">
        <f>VLOOKUP($A1610, TAB_JUROS_C[[DIAS_CORRIDOS]:[V_FUT_UTEIS]], J$5, FALSE)</f>
        <v>#N/A</v>
      </c>
      <c r="K1610" s="22" t="e">
        <f>VLOOKUP($A1610, TAB_CORRECAO_C[[DIAS_CORRIDOS]:[V_FUT_UTEIS]],K$5, FALSE)</f>
        <v>#N/A</v>
      </c>
      <c r="L1610" s="22" t="e">
        <f>VLOOKUP($A1610, TAB_AMORTIZACAO_C[[DIAS_CORRIDOS]:[V_FUT_UTEIS]], L$5, FALSE)</f>
        <v>#N/A</v>
      </c>
    </row>
    <row r="1611" spans="1:12" hidden="1">
      <c r="A1611" s="19">
        <f t="shared" si="134"/>
        <v>1605</v>
      </c>
      <c r="B1611" s="20">
        <f t="shared" si="130"/>
        <v>0</v>
      </c>
      <c r="C1611" s="21">
        <f t="shared" si="131"/>
        <v>0</v>
      </c>
      <c r="D1611" s="22" t="e">
        <f>VLOOKUP($A1611, TAB_JUROS_U[[Q_DIAS_U_PARC_TIR]:[V_FUT_U_JURS CENARIO]], D$5, FALSE)</f>
        <v>#N/A</v>
      </c>
      <c r="E1611" s="22" t="e">
        <f>VLOOKUP($A1611,TAB_CORRECAO_U[[Q_DIAS_U_PARC_TIR]:[V_FUT_U_CORC-02]],E$5, FALSE)</f>
        <v>#N/A</v>
      </c>
      <c r="F1611" s="22" t="e">
        <f>VLOOKUP($A1611,TAB_AMORTIZACAO_U[[Q_DIAS_U_PARC_TIR]:[V_FUT_U_PCPL-02]], F$5, FALSE)</f>
        <v>#N/A</v>
      </c>
      <c r="H1611" s="20">
        <f t="shared" si="132"/>
        <v>0</v>
      </c>
      <c r="I1611" s="21">
        <f t="shared" si="133"/>
        <v>0</v>
      </c>
      <c r="J1611" s="22" t="e">
        <f>VLOOKUP($A1611, TAB_JUROS_C[[DIAS_CORRIDOS]:[V_FUT_UTEIS]], J$5, FALSE)</f>
        <v>#N/A</v>
      </c>
      <c r="K1611" s="22" t="e">
        <f>VLOOKUP($A1611, TAB_CORRECAO_C[[DIAS_CORRIDOS]:[V_FUT_UTEIS]],K$5, FALSE)</f>
        <v>#N/A</v>
      </c>
      <c r="L1611" s="22" t="e">
        <f>VLOOKUP($A1611, TAB_AMORTIZACAO_C[[DIAS_CORRIDOS]:[V_FUT_UTEIS]], L$5, FALSE)</f>
        <v>#N/A</v>
      </c>
    </row>
    <row r="1612" spans="1:12" hidden="1">
      <c r="A1612" s="19">
        <f t="shared" si="134"/>
        <v>1606</v>
      </c>
      <c r="B1612" s="20">
        <f t="shared" si="130"/>
        <v>0</v>
      </c>
      <c r="C1612" s="21">
        <f t="shared" si="131"/>
        <v>0</v>
      </c>
      <c r="D1612" s="22" t="e">
        <f>VLOOKUP($A1612, TAB_JUROS_U[[Q_DIAS_U_PARC_TIR]:[V_FUT_U_JURS CENARIO]], D$5, FALSE)</f>
        <v>#N/A</v>
      </c>
      <c r="E1612" s="22" t="e">
        <f>VLOOKUP($A1612,TAB_CORRECAO_U[[Q_DIAS_U_PARC_TIR]:[V_FUT_U_CORC-02]],E$5, FALSE)</f>
        <v>#N/A</v>
      </c>
      <c r="F1612" s="22" t="e">
        <f>VLOOKUP($A1612,TAB_AMORTIZACAO_U[[Q_DIAS_U_PARC_TIR]:[V_FUT_U_PCPL-02]], F$5, FALSE)</f>
        <v>#N/A</v>
      </c>
      <c r="H1612" s="20">
        <f t="shared" si="132"/>
        <v>0</v>
      </c>
      <c r="I1612" s="21">
        <f t="shared" si="133"/>
        <v>0</v>
      </c>
      <c r="J1612" s="22" t="e">
        <f>VLOOKUP($A1612, TAB_JUROS_C[[DIAS_CORRIDOS]:[V_FUT_UTEIS]], J$5, FALSE)</f>
        <v>#N/A</v>
      </c>
      <c r="K1612" s="22" t="e">
        <f>VLOOKUP($A1612, TAB_CORRECAO_C[[DIAS_CORRIDOS]:[V_FUT_UTEIS]],K$5, FALSE)</f>
        <v>#N/A</v>
      </c>
      <c r="L1612" s="22" t="e">
        <f>VLOOKUP($A1612, TAB_AMORTIZACAO_C[[DIAS_CORRIDOS]:[V_FUT_UTEIS]], L$5, FALSE)</f>
        <v>#N/A</v>
      </c>
    </row>
    <row r="1613" spans="1:12" hidden="1">
      <c r="A1613" s="19">
        <f t="shared" si="134"/>
        <v>1607</v>
      </c>
      <c r="B1613" s="20">
        <f t="shared" si="130"/>
        <v>0</v>
      </c>
      <c r="C1613" s="21">
        <f t="shared" si="131"/>
        <v>0</v>
      </c>
      <c r="D1613" s="22" t="e">
        <f>VLOOKUP($A1613, TAB_JUROS_U[[Q_DIAS_U_PARC_TIR]:[V_FUT_U_JURS CENARIO]], D$5, FALSE)</f>
        <v>#N/A</v>
      </c>
      <c r="E1613" s="22" t="e">
        <f>VLOOKUP($A1613,TAB_CORRECAO_U[[Q_DIAS_U_PARC_TIR]:[V_FUT_U_CORC-02]],E$5, FALSE)</f>
        <v>#N/A</v>
      </c>
      <c r="F1613" s="22" t="e">
        <f>VLOOKUP($A1613,TAB_AMORTIZACAO_U[[Q_DIAS_U_PARC_TIR]:[V_FUT_U_PCPL-02]], F$5, FALSE)</f>
        <v>#N/A</v>
      </c>
      <c r="H1613" s="20">
        <f t="shared" si="132"/>
        <v>0</v>
      </c>
      <c r="I1613" s="21">
        <f t="shared" si="133"/>
        <v>0</v>
      </c>
      <c r="J1613" s="22" t="e">
        <f>VLOOKUP($A1613, TAB_JUROS_C[[DIAS_CORRIDOS]:[V_FUT_UTEIS]], J$5, FALSE)</f>
        <v>#N/A</v>
      </c>
      <c r="K1613" s="22" t="e">
        <f>VLOOKUP($A1613, TAB_CORRECAO_C[[DIAS_CORRIDOS]:[V_FUT_UTEIS]],K$5, FALSE)</f>
        <v>#N/A</v>
      </c>
      <c r="L1613" s="22" t="e">
        <f>VLOOKUP($A1613, TAB_AMORTIZACAO_C[[DIAS_CORRIDOS]:[V_FUT_UTEIS]], L$5, FALSE)</f>
        <v>#N/A</v>
      </c>
    </row>
    <row r="1614" spans="1:12" hidden="1">
      <c r="A1614" s="19">
        <f t="shared" si="134"/>
        <v>1608</v>
      </c>
      <c r="B1614" s="20">
        <f t="shared" si="130"/>
        <v>0</v>
      </c>
      <c r="C1614" s="21">
        <f t="shared" si="131"/>
        <v>0</v>
      </c>
      <c r="D1614" s="22" t="e">
        <f>VLOOKUP($A1614, TAB_JUROS_U[[Q_DIAS_U_PARC_TIR]:[V_FUT_U_JURS CENARIO]], D$5, FALSE)</f>
        <v>#N/A</v>
      </c>
      <c r="E1614" s="22" t="e">
        <f>VLOOKUP($A1614,TAB_CORRECAO_U[[Q_DIAS_U_PARC_TIR]:[V_FUT_U_CORC-02]],E$5, FALSE)</f>
        <v>#N/A</v>
      </c>
      <c r="F1614" s="22" t="e">
        <f>VLOOKUP($A1614,TAB_AMORTIZACAO_U[[Q_DIAS_U_PARC_TIR]:[V_FUT_U_PCPL-02]], F$5, FALSE)</f>
        <v>#N/A</v>
      </c>
      <c r="H1614" s="20">
        <f t="shared" si="132"/>
        <v>0</v>
      </c>
      <c r="I1614" s="21">
        <f t="shared" si="133"/>
        <v>0</v>
      </c>
      <c r="J1614" s="22" t="e">
        <f>VLOOKUP($A1614, TAB_JUROS_C[[DIAS_CORRIDOS]:[V_FUT_UTEIS]], J$5, FALSE)</f>
        <v>#N/A</v>
      </c>
      <c r="K1614" s="22" t="e">
        <f>VLOOKUP($A1614, TAB_CORRECAO_C[[DIAS_CORRIDOS]:[V_FUT_UTEIS]],K$5, FALSE)</f>
        <v>#N/A</v>
      </c>
      <c r="L1614" s="22" t="e">
        <f>VLOOKUP($A1614, TAB_AMORTIZACAO_C[[DIAS_CORRIDOS]:[V_FUT_UTEIS]], L$5, FALSE)</f>
        <v>#N/A</v>
      </c>
    </row>
    <row r="1615" spans="1:12" hidden="1">
      <c r="A1615" s="19">
        <f t="shared" si="134"/>
        <v>1609</v>
      </c>
      <c r="B1615" s="20">
        <f t="shared" si="130"/>
        <v>0</v>
      </c>
      <c r="C1615" s="21">
        <f t="shared" si="131"/>
        <v>0</v>
      </c>
      <c r="D1615" s="22" t="e">
        <f>VLOOKUP($A1615, TAB_JUROS_U[[Q_DIAS_U_PARC_TIR]:[V_FUT_U_JURS CENARIO]], D$5, FALSE)</f>
        <v>#N/A</v>
      </c>
      <c r="E1615" s="22" t="e">
        <f>VLOOKUP($A1615,TAB_CORRECAO_U[[Q_DIAS_U_PARC_TIR]:[V_FUT_U_CORC-02]],E$5, FALSE)</f>
        <v>#N/A</v>
      </c>
      <c r="F1615" s="22" t="e">
        <f>VLOOKUP($A1615,TAB_AMORTIZACAO_U[[Q_DIAS_U_PARC_TIR]:[V_FUT_U_PCPL-02]], F$5, FALSE)</f>
        <v>#N/A</v>
      </c>
      <c r="H1615" s="20">
        <f t="shared" si="132"/>
        <v>0</v>
      </c>
      <c r="I1615" s="21">
        <f t="shared" si="133"/>
        <v>0</v>
      </c>
      <c r="J1615" s="22" t="e">
        <f>VLOOKUP($A1615, TAB_JUROS_C[[DIAS_CORRIDOS]:[V_FUT_UTEIS]], J$5, FALSE)</f>
        <v>#N/A</v>
      </c>
      <c r="K1615" s="22" t="e">
        <f>VLOOKUP($A1615, TAB_CORRECAO_C[[DIAS_CORRIDOS]:[V_FUT_UTEIS]],K$5, FALSE)</f>
        <v>#N/A</v>
      </c>
      <c r="L1615" s="22" t="e">
        <f>VLOOKUP($A1615, TAB_AMORTIZACAO_C[[DIAS_CORRIDOS]:[V_FUT_UTEIS]], L$5, FALSE)</f>
        <v>#N/A</v>
      </c>
    </row>
    <row r="1616" spans="1:12" hidden="1">
      <c r="A1616" s="19">
        <f t="shared" si="134"/>
        <v>1610</v>
      </c>
      <c r="B1616" s="20">
        <f t="shared" si="130"/>
        <v>0</v>
      </c>
      <c r="C1616" s="21">
        <f t="shared" si="131"/>
        <v>0</v>
      </c>
      <c r="D1616" s="22" t="e">
        <f>VLOOKUP($A1616, TAB_JUROS_U[[Q_DIAS_U_PARC_TIR]:[V_FUT_U_JURS CENARIO]], D$5, FALSE)</f>
        <v>#N/A</v>
      </c>
      <c r="E1616" s="22" t="e">
        <f>VLOOKUP($A1616,TAB_CORRECAO_U[[Q_DIAS_U_PARC_TIR]:[V_FUT_U_CORC-02]],E$5, FALSE)</f>
        <v>#N/A</v>
      </c>
      <c r="F1616" s="22" t="e">
        <f>VLOOKUP($A1616,TAB_AMORTIZACAO_U[[Q_DIAS_U_PARC_TIR]:[V_FUT_U_PCPL-02]], F$5, FALSE)</f>
        <v>#N/A</v>
      </c>
      <c r="H1616" s="20">
        <f t="shared" si="132"/>
        <v>0</v>
      </c>
      <c r="I1616" s="21">
        <f t="shared" si="133"/>
        <v>0</v>
      </c>
      <c r="J1616" s="22" t="e">
        <f>VLOOKUP($A1616, TAB_JUROS_C[[DIAS_CORRIDOS]:[V_FUT_UTEIS]], J$5, FALSE)</f>
        <v>#N/A</v>
      </c>
      <c r="K1616" s="22" t="e">
        <f>VLOOKUP($A1616, TAB_CORRECAO_C[[DIAS_CORRIDOS]:[V_FUT_UTEIS]],K$5, FALSE)</f>
        <v>#N/A</v>
      </c>
      <c r="L1616" s="22" t="e">
        <f>VLOOKUP($A1616, TAB_AMORTIZACAO_C[[DIAS_CORRIDOS]:[V_FUT_UTEIS]], L$5, FALSE)</f>
        <v>#N/A</v>
      </c>
    </row>
    <row r="1617" spans="1:12" hidden="1">
      <c r="A1617" s="19">
        <f t="shared" si="134"/>
        <v>1611</v>
      </c>
      <c r="B1617" s="20">
        <f t="shared" si="130"/>
        <v>0</v>
      </c>
      <c r="C1617" s="21">
        <f t="shared" si="131"/>
        <v>0</v>
      </c>
      <c r="D1617" s="22" t="e">
        <f>VLOOKUP($A1617, TAB_JUROS_U[[Q_DIAS_U_PARC_TIR]:[V_FUT_U_JURS CENARIO]], D$5, FALSE)</f>
        <v>#N/A</v>
      </c>
      <c r="E1617" s="22" t="e">
        <f>VLOOKUP($A1617,TAB_CORRECAO_U[[Q_DIAS_U_PARC_TIR]:[V_FUT_U_CORC-02]],E$5, FALSE)</f>
        <v>#N/A</v>
      </c>
      <c r="F1617" s="22" t="e">
        <f>VLOOKUP($A1617,TAB_AMORTIZACAO_U[[Q_DIAS_U_PARC_TIR]:[V_FUT_U_PCPL-02]], F$5, FALSE)</f>
        <v>#N/A</v>
      </c>
      <c r="H1617" s="20">
        <f t="shared" si="132"/>
        <v>0</v>
      </c>
      <c r="I1617" s="21">
        <f t="shared" si="133"/>
        <v>0</v>
      </c>
      <c r="J1617" s="22" t="e">
        <f>VLOOKUP($A1617, TAB_JUROS_C[[DIAS_CORRIDOS]:[V_FUT_UTEIS]], J$5, FALSE)</f>
        <v>#N/A</v>
      </c>
      <c r="K1617" s="22" t="e">
        <f>VLOOKUP($A1617, TAB_CORRECAO_C[[DIAS_CORRIDOS]:[V_FUT_UTEIS]],K$5, FALSE)</f>
        <v>#N/A</v>
      </c>
      <c r="L1617" s="22" t="e">
        <f>VLOOKUP($A1617, TAB_AMORTIZACAO_C[[DIAS_CORRIDOS]:[V_FUT_UTEIS]], L$5, FALSE)</f>
        <v>#N/A</v>
      </c>
    </row>
    <row r="1618" spans="1:12" hidden="1">
      <c r="A1618" s="19">
        <f t="shared" si="134"/>
        <v>1612</v>
      </c>
      <c r="B1618" s="20">
        <f t="shared" si="130"/>
        <v>0</v>
      </c>
      <c r="C1618" s="21">
        <f t="shared" si="131"/>
        <v>0</v>
      </c>
      <c r="D1618" s="22" t="e">
        <f>VLOOKUP($A1618, TAB_JUROS_U[[Q_DIAS_U_PARC_TIR]:[V_FUT_U_JURS CENARIO]], D$5, FALSE)</f>
        <v>#N/A</v>
      </c>
      <c r="E1618" s="22" t="e">
        <f>VLOOKUP($A1618,TAB_CORRECAO_U[[Q_DIAS_U_PARC_TIR]:[V_FUT_U_CORC-02]],E$5, FALSE)</f>
        <v>#N/A</v>
      </c>
      <c r="F1618" s="22" t="e">
        <f>VLOOKUP($A1618,TAB_AMORTIZACAO_U[[Q_DIAS_U_PARC_TIR]:[V_FUT_U_PCPL-02]], F$5, FALSE)</f>
        <v>#N/A</v>
      </c>
      <c r="H1618" s="20">
        <f t="shared" si="132"/>
        <v>0</v>
      </c>
      <c r="I1618" s="21">
        <f t="shared" si="133"/>
        <v>0</v>
      </c>
      <c r="J1618" s="22" t="e">
        <f>VLOOKUP($A1618, TAB_JUROS_C[[DIAS_CORRIDOS]:[V_FUT_UTEIS]], J$5, FALSE)</f>
        <v>#N/A</v>
      </c>
      <c r="K1618" s="22" t="e">
        <f>VLOOKUP($A1618, TAB_CORRECAO_C[[DIAS_CORRIDOS]:[V_FUT_UTEIS]],K$5, FALSE)</f>
        <v>#N/A</v>
      </c>
      <c r="L1618" s="22" t="e">
        <f>VLOOKUP($A1618, TAB_AMORTIZACAO_C[[DIAS_CORRIDOS]:[V_FUT_UTEIS]], L$5, FALSE)</f>
        <v>#N/A</v>
      </c>
    </row>
    <row r="1619" spans="1:12" hidden="1">
      <c r="A1619" s="19">
        <f t="shared" si="134"/>
        <v>1613</v>
      </c>
      <c r="B1619" s="20">
        <f t="shared" si="130"/>
        <v>0</v>
      </c>
      <c r="C1619" s="21">
        <f t="shared" si="131"/>
        <v>0</v>
      </c>
      <c r="D1619" s="22" t="e">
        <f>VLOOKUP($A1619, TAB_JUROS_U[[Q_DIAS_U_PARC_TIR]:[V_FUT_U_JURS CENARIO]], D$5, FALSE)</f>
        <v>#N/A</v>
      </c>
      <c r="E1619" s="22" t="e">
        <f>VLOOKUP($A1619,TAB_CORRECAO_U[[Q_DIAS_U_PARC_TIR]:[V_FUT_U_CORC-02]],E$5, FALSE)</f>
        <v>#N/A</v>
      </c>
      <c r="F1619" s="22" t="e">
        <f>VLOOKUP($A1619,TAB_AMORTIZACAO_U[[Q_DIAS_U_PARC_TIR]:[V_FUT_U_PCPL-02]], F$5, FALSE)</f>
        <v>#N/A</v>
      </c>
      <c r="H1619" s="20">
        <f t="shared" si="132"/>
        <v>0</v>
      </c>
      <c r="I1619" s="21">
        <f t="shared" si="133"/>
        <v>0</v>
      </c>
      <c r="J1619" s="22" t="e">
        <f>VLOOKUP($A1619, TAB_JUROS_C[[DIAS_CORRIDOS]:[V_FUT_UTEIS]], J$5, FALSE)</f>
        <v>#N/A</v>
      </c>
      <c r="K1619" s="22" t="e">
        <f>VLOOKUP($A1619, TAB_CORRECAO_C[[DIAS_CORRIDOS]:[V_FUT_UTEIS]],K$5, FALSE)</f>
        <v>#N/A</v>
      </c>
      <c r="L1619" s="22" t="e">
        <f>VLOOKUP($A1619, TAB_AMORTIZACAO_C[[DIAS_CORRIDOS]:[V_FUT_UTEIS]], L$5, FALSE)</f>
        <v>#N/A</v>
      </c>
    </row>
    <row r="1620" spans="1:12" hidden="1">
      <c r="A1620" s="19">
        <f t="shared" si="134"/>
        <v>1614</v>
      </c>
      <c r="B1620" s="20">
        <f t="shared" si="130"/>
        <v>0</v>
      </c>
      <c r="C1620" s="21">
        <f t="shared" si="131"/>
        <v>0</v>
      </c>
      <c r="D1620" s="22" t="e">
        <f>VLOOKUP($A1620, TAB_JUROS_U[[Q_DIAS_U_PARC_TIR]:[V_FUT_U_JURS CENARIO]], D$5, FALSE)</f>
        <v>#N/A</v>
      </c>
      <c r="E1620" s="22" t="e">
        <f>VLOOKUP($A1620,TAB_CORRECAO_U[[Q_DIAS_U_PARC_TIR]:[V_FUT_U_CORC-02]],E$5, FALSE)</f>
        <v>#N/A</v>
      </c>
      <c r="F1620" s="22" t="e">
        <f>VLOOKUP($A1620,TAB_AMORTIZACAO_U[[Q_DIAS_U_PARC_TIR]:[V_FUT_U_PCPL-02]], F$5, FALSE)</f>
        <v>#N/A</v>
      </c>
      <c r="H1620" s="20">
        <f t="shared" si="132"/>
        <v>0</v>
      </c>
      <c r="I1620" s="21">
        <f t="shared" si="133"/>
        <v>0</v>
      </c>
      <c r="J1620" s="22" t="e">
        <f>VLOOKUP($A1620, TAB_JUROS_C[[DIAS_CORRIDOS]:[V_FUT_UTEIS]], J$5, FALSE)</f>
        <v>#N/A</v>
      </c>
      <c r="K1620" s="22" t="e">
        <f>VLOOKUP($A1620, TAB_CORRECAO_C[[DIAS_CORRIDOS]:[V_FUT_UTEIS]],K$5, FALSE)</f>
        <v>#N/A</v>
      </c>
      <c r="L1620" s="22" t="e">
        <f>VLOOKUP($A1620, TAB_AMORTIZACAO_C[[DIAS_CORRIDOS]:[V_FUT_UTEIS]], L$5, FALSE)</f>
        <v>#N/A</v>
      </c>
    </row>
    <row r="1621" spans="1:12" hidden="1">
      <c r="A1621" s="19">
        <f t="shared" si="134"/>
        <v>1615</v>
      </c>
      <c r="B1621" s="20">
        <f t="shared" si="130"/>
        <v>0</v>
      </c>
      <c r="C1621" s="21">
        <f t="shared" si="131"/>
        <v>0</v>
      </c>
      <c r="D1621" s="22" t="e">
        <f>VLOOKUP($A1621, TAB_JUROS_U[[Q_DIAS_U_PARC_TIR]:[V_FUT_U_JURS CENARIO]], D$5, FALSE)</f>
        <v>#N/A</v>
      </c>
      <c r="E1621" s="22" t="e">
        <f>VLOOKUP($A1621,TAB_CORRECAO_U[[Q_DIAS_U_PARC_TIR]:[V_FUT_U_CORC-02]],E$5, FALSE)</f>
        <v>#N/A</v>
      </c>
      <c r="F1621" s="22" t="e">
        <f>VLOOKUP($A1621,TAB_AMORTIZACAO_U[[Q_DIAS_U_PARC_TIR]:[V_FUT_U_PCPL-02]], F$5, FALSE)</f>
        <v>#N/A</v>
      </c>
      <c r="H1621" s="20">
        <f t="shared" si="132"/>
        <v>0</v>
      </c>
      <c r="I1621" s="21">
        <f t="shared" si="133"/>
        <v>0</v>
      </c>
      <c r="J1621" s="22" t="e">
        <f>VLOOKUP($A1621, TAB_JUROS_C[[DIAS_CORRIDOS]:[V_FUT_UTEIS]], J$5, FALSE)</f>
        <v>#N/A</v>
      </c>
      <c r="K1621" s="22" t="e">
        <f>VLOOKUP($A1621, TAB_CORRECAO_C[[DIAS_CORRIDOS]:[V_FUT_UTEIS]],K$5, FALSE)</f>
        <v>#N/A</v>
      </c>
      <c r="L1621" s="22" t="e">
        <f>VLOOKUP($A1621, TAB_AMORTIZACAO_C[[DIAS_CORRIDOS]:[V_FUT_UTEIS]], L$5, FALSE)</f>
        <v>#N/A</v>
      </c>
    </row>
    <row r="1622" spans="1:12" hidden="1">
      <c r="A1622" s="19">
        <f t="shared" si="134"/>
        <v>1616</v>
      </c>
      <c r="B1622" s="20">
        <f t="shared" si="130"/>
        <v>0</v>
      </c>
      <c r="C1622" s="21">
        <f t="shared" si="131"/>
        <v>0</v>
      </c>
      <c r="D1622" s="22" t="e">
        <f>VLOOKUP($A1622, TAB_JUROS_U[[Q_DIAS_U_PARC_TIR]:[V_FUT_U_JURS CENARIO]], D$5, FALSE)</f>
        <v>#N/A</v>
      </c>
      <c r="E1622" s="22" t="e">
        <f>VLOOKUP($A1622,TAB_CORRECAO_U[[Q_DIAS_U_PARC_TIR]:[V_FUT_U_CORC-02]],E$5, FALSE)</f>
        <v>#N/A</v>
      </c>
      <c r="F1622" s="22" t="e">
        <f>VLOOKUP($A1622,TAB_AMORTIZACAO_U[[Q_DIAS_U_PARC_TIR]:[V_FUT_U_PCPL-02]], F$5, FALSE)</f>
        <v>#N/A</v>
      </c>
      <c r="H1622" s="20">
        <f t="shared" si="132"/>
        <v>0</v>
      </c>
      <c r="I1622" s="21">
        <f t="shared" si="133"/>
        <v>0</v>
      </c>
      <c r="J1622" s="22" t="e">
        <f>VLOOKUP($A1622, TAB_JUROS_C[[DIAS_CORRIDOS]:[V_FUT_UTEIS]], J$5, FALSE)</f>
        <v>#N/A</v>
      </c>
      <c r="K1622" s="22" t="e">
        <f>VLOOKUP($A1622, TAB_CORRECAO_C[[DIAS_CORRIDOS]:[V_FUT_UTEIS]],K$5, FALSE)</f>
        <v>#N/A</v>
      </c>
      <c r="L1622" s="22" t="e">
        <f>VLOOKUP($A1622, TAB_AMORTIZACAO_C[[DIAS_CORRIDOS]:[V_FUT_UTEIS]], L$5, FALSE)</f>
        <v>#N/A</v>
      </c>
    </row>
    <row r="1623" spans="1:12" hidden="1">
      <c r="A1623" s="19">
        <f t="shared" si="134"/>
        <v>1617</v>
      </c>
      <c r="B1623" s="20">
        <f t="shared" si="130"/>
        <v>0</v>
      </c>
      <c r="C1623" s="21">
        <f t="shared" si="131"/>
        <v>0</v>
      </c>
      <c r="D1623" s="22" t="e">
        <f>VLOOKUP($A1623, TAB_JUROS_U[[Q_DIAS_U_PARC_TIR]:[V_FUT_U_JURS CENARIO]], D$5, FALSE)</f>
        <v>#N/A</v>
      </c>
      <c r="E1623" s="22" t="e">
        <f>VLOOKUP($A1623,TAB_CORRECAO_U[[Q_DIAS_U_PARC_TIR]:[V_FUT_U_CORC-02]],E$5, FALSE)</f>
        <v>#N/A</v>
      </c>
      <c r="F1623" s="22" t="e">
        <f>VLOOKUP($A1623,TAB_AMORTIZACAO_U[[Q_DIAS_U_PARC_TIR]:[V_FUT_U_PCPL-02]], F$5, FALSE)</f>
        <v>#N/A</v>
      </c>
      <c r="H1623" s="20">
        <f t="shared" si="132"/>
        <v>0</v>
      </c>
      <c r="I1623" s="21">
        <f t="shared" si="133"/>
        <v>0</v>
      </c>
      <c r="J1623" s="22" t="e">
        <f>VLOOKUP($A1623, TAB_JUROS_C[[DIAS_CORRIDOS]:[V_FUT_UTEIS]], J$5, FALSE)</f>
        <v>#N/A</v>
      </c>
      <c r="K1623" s="22" t="e">
        <f>VLOOKUP($A1623, TAB_CORRECAO_C[[DIAS_CORRIDOS]:[V_FUT_UTEIS]],K$5, FALSE)</f>
        <v>#N/A</v>
      </c>
      <c r="L1623" s="22" t="e">
        <f>VLOOKUP($A1623, TAB_AMORTIZACAO_C[[DIAS_CORRIDOS]:[V_FUT_UTEIS]], L$5, FALSE)</f>
        <v>#N/A</v>
      </c>
    </row>
    <row r="1624" spans="1:12" hidden="1">
      <c r="A1624" s="19">
        <f t="shared" si="134"/>
        <v>1618</v>
      </c>
      <c r="B1624" s="20">
        <f t="shared" si="130"/>
        <v>0</v>
      </c>
      <c r="C1624" s="21">
        <f t="shared" si="131"/>
        <v>0</v>
      </c>
      <c r="D1624" s="22" t="e">
        <f>VLOOKUP($A1624, TAB_JUROS_U[[Q_DIAS_U_PARC_TIR]:[V_FUT_U_JURS CENARIO]], D$5, FALSE)</f>
        <v>#N/A</v>
      </c>
      <c r="E1624" s="22" t="e">
        <f>VLOOKUP($A1624,TAB_CORRECAO_U[[Q_DIAS_U_PARC_TIR]:[V_FUT_U_CORC-02]],E$5, FALSE)</f>
        <v>#N/A</v>
      </c>
      <c r="F1624" s="22" t="e">
        <f>VLOOKUP($A1624,TAB_AMORTIZACAO_U[[Q_DIAS_U_PARC_TIR]:[V_FUT_U_PCPL-02]], F$5, FALSE)</f>
        <v>#N/A</v>
      </c>
      <c r="H1624" s="20">
        <f t="shared" si="132"/>
        <v>0</v>
      </c>
      <c r="I1624" s="21">
        <f t="shared" si="133"/>
        <v>0</v>
      </c>
      <c r="J1624" s="22" t="e">
        <f>VLOOKUP($A1624, TAB_JUROS_C[[DIAS_CORRIDOS]:[V_FUT_UTEIS]], J$5, FALSE)</f>
        <v>#N/A</v>
      </c>
      <c r="K1624" s="22" t="e">
        <f>VLOOKUP($A1624, TAB_CORRECAO_C[[DIAS_CORRIDOS]:[V_FUT_UTEIS]],K$5, FALSE)</f>
        <v>#N/A</v>
      </c>
      <c r="L1624" s="22" t="e">
        <f>VLOOKUP($A1624, TAB_AMORTIZACAO_C[[DIAS_CORRIDOS]:[V_FUT_UTEIS]], L$5, FALSE)</f>
        <v>#N/A</v>
      </c>
    </row>
    <row r="1625" spans="1:12" hidden="1">
      <c r="A1625" s="19">
        <f t="shared" si="134"/>
        <v>1619</v>
      </c>
      <c r="B1625" s="20">
        <f t="shared" si="130"/>
        <v>0</v>
      </c>
      <c r="C1625" s="21">
        <f t="shared" si="131"/>
        <v>0</v>
      </c>
      <c r="D1625" s="22" t="e">
        <f>VLOOKUP($A1625, TAB_JUROS_U[[Q_DIAS_U_PARC_TIR]:[V_FUT_U_JURS CENARIO]], D$5, FALSE)</f>
        <v>#N/A</v>
      </c>
      <c r="E1625" s="22" t="e">
        <f>VLOOKUP($A1625,TAB_CORRECAO_U[[Q_DIAS_U_PARC_TIR]:[V_FUT_U_CORC-02]],E$5, FALSE)</f>
        <v>#N/A</v>
      </c>
      <c r="F1625" s="22" t="e">
        <f>VLOOKUP($A1625,TAB_AMORTIZACAO_U[[Q_DIAS_U_PARC_TIR]:[V_FUT_U_PCPL-02]], F$5, FALSE)</f>
        <v>#N/A</v>
      </c>
      <c r="H1625" s="20">
        <f t="shared" si="132"/>
        <v>0</v>
      </c>
      <c r="I1625" s="21">
        <f t="shared" si="133"/>
        <v>0</v>
      </c>
      <c r="J1625" s="22" t="e">
        <f>VLOOKUP($A1625, TAB_JUROS_C[[DIAS_CORRIDOS]:[V_FUT_UTEIS]], J$5, FALSE)</f>
        <v>#N/A</v>
      </c>
      <c r="K1625" s="22" t="e">
        <f>VLOOKUP($A1625, TAB_CORRECAO_C[[DIAS_CORRIDOS]:[V_FUT_UTEIS]],K$5, FALSE)</f>
        <v>#N/A</v>
      </c>
      <c r="L1625" s="22" t="e">
        <f>VLOOKUP($A1625, TAB_AMORTIZACAO_C[[DIAS_CORRIDOS]:[V_FUT_UTEIS]], L$5, FALSE)</f>
        <v>#N/A</v>
      </c>
    </row>
    <row r="1626" spans="1:12" hidden="1">
      <c r="A1626" s="19">
        <f t="shared" si="134"/>
        <v>1620</v>
      </c>
      <c r="B1626" s="20">
        <f t="shared" si="130"/>
        <v>0</v>
      </c>
      <c r="C1626" s="21">
        <f t="shared" si="131"/>
        <v>0</v>
      </c>
      <c r="D1626" s="22" t="e">
        <f>VLOOKUP($A1626, TAB_JUROS_U[[Q_DIAS_U_PARC_TIR]:[V_FUT_U_JURS CENARIO]], D$5, FALSE)</f>
        <v>#N/A</v>
      </c>
      <c r="E1626" s="22" t="e">
        <f>VLOOKUP($A1626,TAB_CORRECAO_U[[Q_DIAS_U_PARC_TIR]:[V_FUT_U_CORC-02]],E$5, FALSE)</f>
        <v>#N/A</v>
      </c>
      <c r="F1626" s="22" t="e">
        <f>VLOOKUP($A1626,TAB_AMORTIZACAO_U[[Q_DIAS_U_PARC_TIR]:[V_FUT_U_PCPL-02]], F$5, FALSE)</f>
        <v>#N/A</v>
      </c>
      <c r="H1626" s="20">
        <f t="shared" si="132"/>
        <v>0</v>
      </c>
      <c r="I1626" s="21">
        <f t="shared" si="133"/>
        <v>0</v>
      </c>
      <c r="J1626" s="22" t="e">
        <f>VLOOKUP($A1626, TAB_JUROS_C[[DIAS_CORRIDOS]:[V_FUT_UTEIS]], J$5, FALSE)</f>
        <v>#N/A</v>
      </c>
      <c r="K1626" s="22" t="e">
        <f>VLOOKUP($A1626, TAB_CORRECAO_C[[DIAS_CORRIDOS]:[V_FUT_UTEIS]],K$5, FALSE)</f>
        <v>#N/A</v>
      </c>
      <c r="L1626" s="22" t="e">
        <f>VLOOKUP($A1626, TAB_AMORTIZACAO_C[[DIAS_CORRIDOS]:[V_FUT_UTEIS]], L$5, FALSE)</f>
        <v>#N/A</v>
      </c>
    </row>
    <row r="1627" spans="1:12">
      <c r="A1627" s="19">
        <f t="shared" si="134"/>
        <v>1621</v>
      </c>
      <c r="B1627" s="20">
        <f t="shared" si="130"/>
        <v>467.65196290420243</v>
      </c>
      <c r="C1627" s="21">
        <f t="shared" si="131"/>
        <v>467.65196290420243</v>
      </c>
      <c r="D1627" s="22">
        <f>VLOOKUP($A1627, TAB_JUROS_U[[Q_DIAS_U_PARC_TIR]:[V_FUT_U_JURS CENARIO]], D$5, FALSE)</f>
        <v>31.51835582070434</v>
      </c>
      <c r="E1627" s="22">
        <f>VLOOKUP($A1627,TAB_CORRECAO_U[[Q_DIAS_U_PARC_TIR]:[V_FUT_U_CORC-02]],E$5, FALSE)</f>
        <v>190.50801583491523</v>
      </c>
      <c r="F1627" s="22">
        <f>VLOOKUP($A1627,TAB_AMORTIZACAO_U[[Q_DIAS_U_PARC_TIR]:[V_FUT_U_PCPL-02]], F$5, FALSE)</f>
        <v>245.62559124858288</v>
      </c>
      <c r="H1627" s="20">
        <f t="shared" si="132"/>
        <v>0</v>
      </c>
      <c r="I1627" s="21">
        <f t="shared" si="133"/>
        <v>0</v>
      </c>
      <c r="J1627" s="22" t="e">
        <f>VLOOKUP($A1627, TAB_JUROS_C[[DIAS_CORRIDOS]:[V_FUT_UTEIS]], J$5, FALSE)</f>
        <v>#N/A</v>
      </c>
      <c r="K1627" s="22" t="e">
        <f>VLOOKUP($A1627, TAB_CORRECAO_C[[DIAS_CORRIDOS]:[V_FUT_UTEIS]],K$5, FALSE)</f>
        <v>#N/A</v>
      </c>
      <c r="L1627" s="22" t="e">
        <f>VLOOKUP($A1627, TAB_AMORTIZACAO_C[[DIAS_CORRIDOS]:[V_FUT_UTEIS]], L$5, FALSE)</f>
        <v>#N/A</v>
      </c>
    </row>
    <row r="1628" spans="1:12" hidden="1">
      <c r="A1628" s="19">
        <f t="shared" si="134"/>
        <v>1622</v>
      </c>
      <c r="B1628" s="20">
        <f t="shared" si="130"/>
        <v>0</v>
      </c>
      <c r="C1628" s="21">
        <f t="shared" si="131"/>
        <v>0</v>
      </c>
      <c r="D1628" s="22" t="e">
        <f>VLOOKUP($A1628, TAB_JUROS_U[[Q_DIAS_U_PARC_TIR]:[V_FUT_U_JURS CENARIO]], D$5, FALSE)</f>
        <v>#N/A</v>
      </c>
      <c r="E1628" s="22" t="e">
        <f>VLOOKUP($A1628,TAB_CORRECAO_U[[Q_DIAS_U_PARC_TIR]:[V_FUT_U_CORC-02]],E$5, FALSE)</f>
        <v>#N/A</v>
      </c>
      <c r="F1628" s="22" t="e">
        <f>VLOOKUP($A1628,TAB_AMORTIZACAO_U[[Q_DIAS_U_PARC_TIR]:[V_FUT_U_PCPL-02]], F$5, FALSE)</f>
        <v>#N/A</v>
      </c>
      <c r="H1628" s="20">
        <f t="shared" si="132"/>
        <v>0</v>
      </c>
      <c r="I1628" s="21">
        <f t="shared" si="133"/>
        <v>0</v>
      </c>
      <c r="J1628" s="22" t="e">
        <f>VLOOKUP($A1628, TAB_JUROS_C[[DIAS_CORRIDOS]:[V_FUT_UTEIS]], J$5, FALSE)</f>
        <v>#N/A</v>
      </c>
      <c r="K1628" s="22" t="e">
        <f>VLOOKUP($A1628, TAB_CORRECAO_C[[DIAS_CORRIDOS]:[V_FUT_UTEIS]],K$5, FALSE)</f>
        <v>#N/A</v>
      </c>
      <c r="L1628" s="22" t="e">
        <f>VLOOKUP($A1628, TAB_AMORTIZACAO_C[[DIAS_CORRIDOS]:[V_FUT_UTEIS]], L$5, FALSE)</f>
        <v>#N/A</v>
      </c>
    </row>
    <row r="1629" spans="1:12" hidden="1">
      <c r="A1629" s="19">
        <f t="shared" si="134"/>
        <v>1623</v>
      </c>
      <c r="B1629" s="20">
        <f t="shared" si="130"/>
        <v>0</v>
      </c>
      <c r="C1629" s="21">
        <f t="shared" si="131"/>
        <v>0</v>
      </c>
      <c r="D1629" s="22" t="e">
        <f>VLOOKUP($A1629, TAB_JUROS_U[[Q_DIAS_U_PARC_TIR]:[V_FUT_U_JURS CENARIO]], D$5, FALSE)</f>
        <v>#N/A</v>
      </c>
      <c r="E1629" s="22" t="e">
        <f>VLOOKUP($A1629,TAB_CORRECAO_U[[Q_DIAS_U_PARC_TIR]:[V_FUT_U_CORC-02]],E$5, FALSE)</f>
        <v>#N/A</v>
      </c>
      <c r="F1629" s="22" t="e">
        <f>VLOOKUP($A1629,TAB_AMORTIZACAO_U[[Q_DIAS_U_PARC_TIR]:[V_FUT_U_PCPL-02]], F$5, FALSE)</f>
        <v>#N/A</v>
      </c>
      <c r="H1629" s="20">
        <f t="shared" si="132"/>
        <v>0</v>
      </c>
      <c r="I1629" s="21">
        <f t="shared" si="133"/>
        <v>0</v>
      </c>
      <c r="J1629" s="22" t="e">
        <f>VLOOKUP($A1629, TAB_JUROS_C[[DIAS_CORRIDOS]:[V_FUT_UTEIS]], J$5, FALSE)</f>
        <v>#N/A</v>
      </c>
      <c r="K1629" s="22" t="e">
        <f>VLOOKUP($A1629, TAB_CORRECAO_C[[DIAS_CORRIDOS]:[V_FUT_UTEIS]],K$5, FALSE)</f>
        <v>#N/A</v>
      </c>
      <c r="L1629" s="22" t="e">
        <f>VLOOKUP($A1629, TAB_AMORTIZACAO_C[[DIAS_CORRIDOS]:[V_FUT_UTEIS]], L$5, FALSE)</f>
        <v>#N/A</v>
      </c>
    </row>
    <row r="1630" spans="1:12" hidden="1">
      <c r="A1630" s="19">
        <f t="shared" si="134"/>
        <v>1624</v>
      </c>
      <c r="B1630" s="20">
        <f t="shared" si="130"/>
        <v>0</v>
      </c>
      <c r="C1630" s="21">
        <f t="shared" si="131"/>
        <v>0</v>
      </c>
      <c r="D1630" s="22" t="e">
        <f>VLOOKUP($A1630, TAB_JUROS_U[[Q_DIAS_U_PARC_TIR]:[V_FUT_U_JURS CENARIO]], D$5, FALSE)</f>
        <v>#N/A</v>
      </c>
      <c r="E1630" s="22" t="e">
        <f>VLOOKUP($A1630,TAB_CORRECAO_U[[Q_DIAS_U_PARC_TIR]:[V_FUT_U_CORC-02]],E$5, FALSE)</f>
        <v>#N/A</v>
      </c>
      <c r="F1630" s="22" t="e">
        <f>VLOOKUP($A1630,TAB_AMORTIZACAO_U[[Q_DIAS_U_PARC_TIR]:[V_FUT_U_PCPL-02]], F$5, FALSE)</f>
        <v>#N/A</v>
      </c>
      <c r="H1630" s="20">
        <f t="shared" si="132"/>
        <v>0</v>
      </c>
      <c r="I1630" s="21">
        <f t="shared" si="133"/>
        <v>0</v>
      </c>
      <c r="J1630" s="22" t="e">
        <f>VLOOKUP($A1630, TAB_JUROS_C[[DIAS_CORRIDOS]:[V_FUT_UTEIS]], J$5, FALSE)</f>
        <v>#N/A</v>
      </c>
      <c r="K1630" s="22" t="e">
        <f>VLOOKUP($A1630, TAB_CORRECAO_C[[DIAS_CORRIDOS]:[V_FUT_UTEIS]],K$5, FALSE)</f>
        <v>#N/A</v>
      </c>
      <c r="L1630" s="22" t="e">
        <f>VLOOKUP($A1630, TAB_AMORTIZACAO_C[[DIAS_CORRIDOS]:[V_FUT_UTEIS]], L$5, FALSE)</f>
        <v>#N/A</v>
      </c>
    </row>
    <row r="1631" spans="1:12" hidden="1">
      <c r="A1631" s="19">
        <f t="shared" si="134"/>
        <v>1625</v>
      </c>
      <c r="B1631" s="20">
        <f t="shared" si="130"/>
        <v>0</v>
      </c>
      <c r="C1631" s="21">
        <f t="shared" si="131"/>
        <v>0</v>
      </c>
      <c r="D1631" s="22" t="e">
        <f>VLOOKUP($A1631, TAB_JUROS_U[[Q_DIAS_U_PARC_TIR]:[V_FUT_U_JURS CENARIO]], D$5, FALSE)</f>
        <v>#N/A</v>
      </c>
      <c r="E1631" s="22" t="e">
        <f>VLOOKUP($A1631,TAB_CORRECAO_U[[Q_DIAS_U_PARC_TIR]:[V_FUT_U_CORC-02]],E$5, FALSE)</f>
        <v>#N/A</v>
      </c>
      <c r="F1631" s="22" t="e">
        <f>VLOOKUP($A1631,TAB_AMORTIZACAO_U[[Q_DIAS_U_PARC_TIR]:[V_FUT_U_PCPL-02]], F$5, FALSE)</f>
        <v>#N/A</v>
      </c>
      <c r="H1631" s="20">
        <f t="shared" si="132"/>
        <v>781.9339035006609</v>
      </c>
      <c r="I1631" s="21">
        <f t="shared" si="133"/>
        <v>781.9339035006609</v>
      </c>
      <c r="J1631" s="22">
        <f>VLOOKUP($A1631, TAB_JUROS_C[[DIAS_CORRIDOS]:[V_FUT_UTEIS]], J$5, FALSE)</f>
        <v>55.413744222751838</v>
      </c>
      <c r="K1631" s="22">
        <f>VLOOKUP($A1631, TAB_CORRECAO_C[[DIAS_CORRIDOS]:[V_FUT_UTEIS]],K$5, FALSE)</f>
        <v>348.44654688322373</v>
      </c>
      <c r="L1631" s="22">
        <f>VLOOKUP($A1631, TAB_AMORTIZACAO_C[[DIAS_CORRIDOS]:[V_FUT_UTEIS]], L$5, FALSE)</f>
        <v>378.07361239468531</v>
      </c>
    </row>
    <row r="1632" spans="1:12" hidden="1">
      <c r="A1632" s="19">
        <f t="shared" si="134"/>
        <v>1626</v>
      </c>
      <c r="B1632" s="20">
        <f t="shared" si="130"/>
        <v>0</v>
      </c>
      <c r="C1632" s="21">
        <f t="shared" si="131"/>
        <v>0</v>
      </c>
      <c r="D1632" s="22" t="e">
        <f>VLOOKUP($A1632, TAB_JUROS_U[[Q_DIAS_U_PARC_TIR]:[V_FUT_U_JURS CENARIO]], D$5, FALSE)</f>
        <v>#N/A</v>
      </c>
      <c r="E1632" s="22" t="e">
        <f>VLOOKUP($A1632,TAB_CORRECAO_U[[Q_DIAS_U_PARC_TIR]:[V_FUT_U_CORC-02]],E$5, FALSE)</f>
        <v>#N/A</v>
      </c>
      <c r="F1632" s="22" t="e">
        <f>VLOOKUP($A1632,TAB_AMORTIZACAO_U[[Q_DIAS_U_PARC_TIR]:[V_FUT_U_PCPL-02]], F$5, FALSE)</f>
        <v>#N/A</v>
      </c>
      <c r="H1632" s="20">
        <f t="shared" si="132"/>
        <v>0</v>
      </c>
      <c r="I1632" s="21">
        <f t="shared" si="133"/>
        <v>0</v>
      </c>
      <c r="J1632" s="22" t="e">
        <f>VLOOKUP($A1632, TAB_JUROS_C[[DIAS_CORRIDOS]:[V_FUT_UTEIS]], J$5, FALSE)</f>
        <v>#N/A</v>
      </c>
      <c r="K1632" s="22" t="e">
        <f>VLOOKUP($A1632, TAB_CORRECAO_C[[DIAS_CORRIDOS]:[V_FUT_UTEIS]],K$5, FALSE)</f>
        <v>#N/A</v>
      </c>
      <c r="L1632" s="22" t="e">
        <f>VLOOKUP($A1632, TAB_AMORTIZACAO_C[[DIAS_CORRIDOS]:[V_FUT_UTEIS]], L$5, FALSE)</f>
        <v>#N/A</v>
      </c>
    </row>
    <row r="1633" spans="1:12" hidden="1">
      <c r="A1633" s="19">
        <f t="shared" si="134"/>
        <v>1627</v>
      </c>
      <c r="B1633" s="20">
        <f t="shared" si="130"/>
        <v>0</v>
      </c>
      <c r="C1633" s="21">
        <f t="shared" si="131"/>
        <v>0</v>
      </c>
      <c r="D1633" s="22" t="e">
        <f>VLOOKUP($A1633, TAB_JUROS_U[[Q_DIAS_U_PARC_TIR]:[V_FUT_U_JURS CENARIO]], D$5, FALSE)</f>
        <v>#N/A</v>
      </c>
      <c r="E1633" s="22" t="e">
        <f>VLOOKUP($A1633,TAB_CORRECAO_U[[Q_DIAS_U_PARC_TIR]:[V_FUT_U_CORC-02]],E$5, FALSE)</f>
        <v>#N/A</v>
      </c>
      <c r="F1633" s="22" t="e">
        <f>VLOOKUP($A1633,TAB_AMORTIZACAO_U[[Q_DIAS_U_PARC_TIR]:[V_FUT_U_PCPL-02]], F$5, FALSE)</f>
        <v>#N/A</v>
      </c>
      <c r="H1633" s="20">
        <f t="shared" si="132"/>
        <v>0</v>
      </c>
      <c r="I1633" s="21">
        <f t="shared" si="133"/>
        <v>0</v>
      </c>
      <c r="J1633" s="22" t="e">
        <f>VLOOKUP($A1633, TAB_JUROS_C[[DIAS_CORRIDOS]:[V_FUT_UTEIS]], J$5, FALSE)</f>
        <v>#N/A</v>
      </c>
      <c r="K1633" s="22" t="e">
        <f>VLOOKUP($A1633, TAB_CORRECAO_C[[DIAS_CORRIDOS]:[V_FUT_UTEIS]],K$5, FALSE)</f>
        <v>#N/A</v>
      </c>
      <c r="L1633" s="22" t="e">
        <f>VLOOKUP($A1633, TAB_AMORTIZACAO_C[[DIAS_CORRIDOS]:[V_FUT_UTEIS]], L$5, FALSE)</f>
        <v>#N/A</v>
      </c>
    </row>
    <row r="1634" spans="1:12" hidden="1">
      <c r="A1634" s="19">
        <f t="shared" si="134"/>
        <v>1628</v>
      </c>
      <c r="B1634" s="20">
        <f t="shared" si="130"/>
        <v>0</v>
      </c>
      <c r="C1634" s="21">
        <f t="shared" si="131"/>
        <v>0</v>
      </c>
      <c r="D1634" s="22" t="e">
        <f>VLOOKUP($A1634, TAB_JUROS_U[[Q_DIAS_U_PARC_TIR]:[V_FUT_U_JURS CENARIO]], D$5, FALSE)</f>
        <v>#N/A</v>
      </c>
      <c r="E1634" s="22" t="e">
        <f>VLOOKUP($A1634,TAB_CORRECAO_U[[Q_DIAS_U_PARC_TIR]:[V_FUT_U_CORC-02]],E$5, FALSE)</f>
        <v>#N/A</v>
      </c>
      <c r="F1634" s="22" t="e">
        <f>VLOOKUP($A1634,TAB_AMORTIZACAO_U[[Q_DIAS_U_PARC_TIR]:[V_FUT_U_PCPL-02]], F$5, FALSE)</f>
        <v>#N/A</v>
      </c>
      <c r="H1634" s="20">
        <f t="shared" si="132"/>
        <v>0</v>
      </c>
      <c r="I1634" s="21">
        <f t="shared" si="133"/>
        <v>0</v>
      </c>
      <c r="J1634" s="22" t="e">
        <f>VLOOKUP($A1634, TAB_JUROS_C[[DIAS_CORRIDOS]:[V_FUT_UTEIS]], J$5, FALSE)</f>
        <v>#N/A</v>
      </c>
      <c r="K1634" s="22" t="e">
        <f>VLOOKUP($A1634, TAB_CORRECAO_C[[DIAS_CORRIDOS]:[V_FUT_UTEIS]],K$5, FALSE)</f>
        <v>#N/A</v>
      </c>
      <c r="L1634" s="22" t="e">
        <f>VLOOKUP($A1634, TAB_AMORTIZACAO_C[[DIAS_CORRIDOS]:[V_FUT_UTEIS]], L$5, FALSE)</f>
        <v>#N/A</v>
      </c>
    </row>
    <row r="1635" spans="1:12" hidden="1">
      <c r="A1635" s="19">
        <f t="shared" si="134"/>
        <v>1629</v>
      </c>
      <c r="B1635" s="20">
        <f t="shared" si="130"/>
        <v>0</v>
      </c>
      <c r="C1635" s="21">
        <f t="shared" si="131"/>
        <v>0</v>
      </c>
      <c r="D1635" s="22" t="e">
        <f>VLOOKUP($A1635, TAB_JUROS_U[[Q_DIAS_U_PARC_TIR]:[V_FUT_U_JURS CENARIO]], D$5, FALSE)</f>
        <v>#N/A</v>
      </c>
      <c r="E1635" s="22" t="e">
        <f>VLOOKUP($A1635,TAB_CORRECAO_U[[Q_DIAS_U_PARC_TIR]:[V_FUT_U_CORC-02]],E$5, FALSE)</f>
        <v>#N/A</v>
      </c>
      <c r="F1635" s="22" t="e">
        <f>VLOOKUP($A1635,TAB_AMORTIZACAO_U[[Q_DIAS_U_PARC_TIR]:[V_FUT_U_PCPL-02]], F$5, FALSE)</f>
        <v>#N/A</v>
      </c>
      <c r="H1635" s="20">
        <f t="shared" si="132"/>
        <v>0</v>
      </c>
      <c r="I1635" s="21">
        <f t="shared" si="133"/>
        <v>0</v>
      </c>
      <c r="J1635" s="22" t="e">
        <f>VLOOKUP($A1635, TAB_JUROS_C[[DIAS_CORRIDOS]:[V_FUT_UTEIS]], J$5, FALSE)</f>
        <v>#N/A</v>
      </c>
      <c r="K1635" s="22" t="e">
        <f>VLOOKUP($A1635, TAB_CORRECAO_C[[DIAS_CORRIDOS]:[V_FUT_UTEIS]],K$5, FALSE)</f>
        <v>#N/A</v>
      </c>
      <c r="L1635" s="22" t="e">
        <f>VLOOKUP($A1635, TAB_AMORTIZACAO_C[[DIAS_CORRIDOS]:[V_FUT_UTEIS]], L$5, FALSE)</f>
        <v>#N/A</v>
      </c>
    </row>
    <row r="1636" spans="1:12" hidden="1">
      <c r="A1636" s="19">
        <f t="shared" si="134"/>
        <v>1630</v>
      </c>
      <c r="B1636" s="20">
        <f t="shared" si="130"/>
        <v>0</v>
      </c>
      <c r="C1636" s="21">
        <f t="shared" si="131"/>
        <v>0</v>
      </c>
      <c r="D1636" s="22" t="e">
        <f>VLOOKUP($A1636, TAB_JUROS_U[[Q_DIAS_U_PARC_TIR]:[V_FUT_U_JURS CENARIO]], D$5, FALSE)</f>
        <v>#N/A</v>
      </c>
      <c r="E1636" s="22" t="e">
        <f>VLOOKUP($A1636,TAB_CORRECAO_U[[Q_DIAS_U_PARC_TIR]:[V_FUT_U_CORC-02]],E$5, FALSE)</f>
        <v>#N/A</v>
      </c>
      <c r="F1636" s="22" t="e">
        <f>VLOOKUP($A1636,TAB_AMORTIZACAO_U[[Q_DIAS_U_PARC_TIR]:[V_FUT_U_PCPL-02]], F$5, FALSE)</f>
        <v>#N/A</v>
      </c>
      <c r="H1636" s="20">
        <f t="shared" si="132"/>
        <v>0</v>
      </c>
      <c r="I1636" s="21">
        <f t="shared" si="133"/>
        <v>0</v>
      </c>
      <c r="J1636" s="22" t="e">
        <f>VLOOKUP($A1636, TAB_JUROS_C[[DIAS_CORRIDOS]:[V_FUT_UTEIS]], J$5, FALSE)</f>
        <v>#N/A</v>
      </c>
      <c r="K1636" s="22" t="e">
        <f>VLOOKUP($A1636, TAB_CORRECAO_C[[DIAS_CORRIDOS]:[V_FUT_UTEIS]],K$5, FALSE)</f>
        <v>#N/A</v>
      </c>
      <c r="L1636" s="22" t="e">
        <f>VLOOKUP($A1636, TAB_AMORTIZACAO_C[[DIAS_CORRIDOS]:[V_FUT_UTEIS]], L$5, FALSE)</f>
        <v>#N/A</v>
      </c>
    </row>
    <row r="1637" spans="1:12" hidden="1">
      <c r="A1637" s="19">
        <f t="shared" si="134"/>
        <v>1631</v>
      </c>
      <c r="B1637" s="20">
        <f t="shared" si="130"/>
        <v>0</v>
      </c>
      <c r="C1637" s="21">
        <f t="shared" si="131"/>
        <v>0</v>
      </c>
      <c r="D1637" s="22" t="e">
        <f>VLOOKUP($A1637, TAB_JUROS_U[[Q_DIAS_U_PARC_TIR]:[V_FUT_U_JURS CENARIO]], D$5, FALSE)</f>
        <v>#N/A</v>
      </c>
      <c r="E1637" s="22" t="e">
        <f>VLOOKUP($A1637,TAB_CORRECAO_U[[Q_DIAS_U_PARC_TIR]:[V_FUT_U_CORC-02]],E$5, FALSE)</f>
        <v>#N/A</v>
      </c>
      <c r="F1637" s="22" t="e">
        <f>VLOOKUP($A1637,TAB_AMORTIZACAO_U[[Q_DIAS_U_PARC_TIR]:[V_FUT_U_PCPL-02]], F$5, FALSE)</f>
        <v>#N/A</v>
      </c>
      <c r="H1637" s="20">
        <f t="shared" si="132"/>
        <v>0</v>
      </c>
      <c r="I1637" s="21">
        <f t="shared" si="133"/>
        <v>0</v>
      </c>
      <c r="J1637" s="22" t="e">
        <f>VLOOKUP($A1637, TAB_JUROS_C[[DIAS_CORRIDOS]:[V_FUT_UTEIS]], J$5, FALSE)</f>
        <v>#N/A</v>
      </c>
      <c r="K1637" s="22" t="e">
        <f>VLOOKUP($A1637, TAB_CORRECAO_C[[DIAS_CORRIDOS]:[V_FUT_UTEIS]],K$5, FALSE)</f>
        <v>#N/A</v>
      </c>
      <c r="L1637" s="22" t="e">
        <f>VLOOKUP($A1637, TAB_AMORTIZACAO_C[[DIAS_CORRIDOS]:[V_FUT_UTEIS]], L$5, FALSE)</f>
        <v>#N/A</v>
      </c>
    </row>
    <row r="1638" spans="1:12" hidden="1">
      <c r="A1638" s="19">
        <f t="shared" si="134"/>
        <v>1632</v>
      </c>
      <c r="B1638" s="20">
        <f t="shared" si="130"/>
        <v>0</v>
      </c>
      <c r="C1638" s="21">
        <f t="shared" si="131"/>
        <v>0</v>
      </c>
      <c r="D1638" s="22" t="e">
        <f>VLOOKUP($A1638, TAB_JUROS_U[[Q_DIAS_U_PARC_TIR]:[V_FUT_U_JURS CENARIO]], D$5, FALSE)</f>
        <v>#N/A</v>
      </c>
      <c r="E1638" s="22" t="e">
        <f>VLOOKUP($A1638,TAB_CORRECAO_U[[Q_DIAS_U_PARC_TIR]:[V_FUT_U_CORC-02]],E$5, FALSE)</f>
        <v>#N/A</v>
      </c>
      <c r="F1638" s="22" t="e">
        <f>VLOOKUP($A1638,TAB_AMORTIZACAO_U[[Q_DIAS_U_PARC_TIR]:[V_FUT_U_PCPL-02]], F$5, FALSE)</f>
        <v>#N/A</v>
      </c>
      <c r="H1638" s="20">
        <f t="shared" si="132"/>
        <v>0</v>
      </c>
      <c r="I1638" s="21">
        <f t="shared" si="133"/>
        <v>0</v>
      </c>
      <c r="J1638" s="22" t="e">
        <f>VLOOKUP($A1638, TAB_JUROS_C[[DIAS_CORRIDOS]:[V_FUT_UTEIS]], J$5, FALSE)</f>
        <v>#N/A</v>
      </c>
      <c r="K1638" s="22" t="e">
        <f>VLOOKUP($A1638, TAB_CORRECAO_C[[DIAS_CORRIDOS]:[V_FUT_UTEIS]],K$5, FALSE)</f>
        <v>#N/A</v>
      </c>
      <c r="L1638" s="22" t="e">
        <f>VLOOKUP($A1638, TAB_AMORTIZACAO_C[[DIAS_CORRIDOS]:[V_FUT_UTEIS]], L$5, FALSE)</f>
        <v>#N/A</v>
      </c>
    </row>
    <row r="1639" spans="1:12" hidden="1">
      <c r="A1639" s="19">
        <f t="shared" si="134"/>
        <v>1633</v>
      </c>
      <c r="B1639" s="20">
        <f t="shared" si="130"/>
        <v>0</v>
      </c>
      <c r="C1639" s="21">
        <f t="shared" si="131"/>
        <v>0</v>
      </c>
      <c r="D1639" s="22" t="e">
        <f>VLOOKUP($A1639, TAB_JUROS_U[[Q_DIAS_U_PARC_TIR]:[V_FUT_U_JURS CENARIO]], D$5, FALSE)</f>
        <v>#N/A</v>
      </c>
      <c r="E1639" s="22" t="e">
        <f>VLOOKUP($A1639,TAB_CORRECAO_U[[Q_DIAS_U_PARC_TIR]:[V_FUT_U_CORC-02]],E$5, FALSE)</f>
        <v>#N/A</v>
      </c>
      <c r="F1639" s="22" t="e">
        <f>VLOOKUP($A1639,TAB_AMORTIZACAO_U[[Q_DIAS_U_PARC_TIR]:[V_FUT_U_PCPL-02]], F$5, FALSE)</f>
        <v>#N/A</v>
      </c>
      <c r="H1639" s="20">
        <f t="shared" si="132"/>
        <v>0</v>
      </c>
      <c r="I1639" s="21">
        <f t="shared" si="133"/>
        <v>0</v>
      </c>
      <c r="J1639" s="22" t="e">
        <f>VLOOKUP($A1639, TAB_JUROS_C[[DIAS_CORRIDOS]:[V_FUT_UTEIS]], J$5, FALSE)</f>
        <v>#N/A</v>
      </c>
      <c r="K1639" s="22" t="e">
        <f>VLOOKUP($A1639, TAB_CORRECAO_C[[DIAS_CORRIDOS]:[V_FUT_UTEIS]],K$5, FALSE)</f>
        <v>#N/A</v>
      </c>
      <c r="L1639" s="22" t="e">
        <f>VLOOKUP($A1639, TAB_AMORTIZACAO_C[[DIAS_CORRIDOS]:[V_FUT_UTEIS]], L$5, FALSE)</f>
        <v>#N/A</v>
      </c>
    </row>
    <row r="1640" spans="1:12" hidden="1">
      <c r="A1640" s="19">
        <f t="shared" si="134"/>
        <v>1634</v>
      </c>
      <c r="B1640" s="20">
        <f t="shared" si="130"/>
        <v>0</v>
      </c>
      <c r="C1640" s="21">
        <f t="shared" si="131"/>
        <v>0</v>
      </c>
      <c r="D1640" s="22" t="e">
        <f>VLOOKUP($A1640, TAB_JUROS_U[[Q_DIAS_U_PARC_TIR]:[V_FUT_U_JURS CENARIO]], D$5, FALSE)</f>
        <v>#N/A</v>
      </c>
      <c r="E1640" s="22" t="e">
        <f>VLOOKUP($A1640,TAB_CORRECAO_U[[Q_DIAS_U_PARC_TIR]:[V_FUT_U_CORC-02]],E$5, FALSE)</f>
        <v>#N/A</v>
      </c>
      <c r="F1640" s="22" t="e">
        <f>VLOOKUP($A1640,TAB_AMORTIZACAO_U[[Q_DIAS_U_PARC_TIR]:[V_FUT_U_PCPL-02]], F$5, FALSE)</f>
        <v>#N/A</v>
      </c>
      <c r="H1640" s="20">
        <f t="shared" si="132"/>
        <v>0</v>
      </c>
      <c r="I1640" s="21">
        <f t="shared" si="133"/>
        <v>0</v>
      </c>
      <c r="J1640" s="22" t="e">
        <f>VLOOKUP($A1640, TAB_JUROS_C[[DIAS_CORRIDOS]:[V_FUT_UTEIS]], J$5, FALSE)</f>
        <v>#N/A</v>
      </c>
      <c r="K1640" s="22" t="e">
        <f>VLOOKUP($A1640, TAB_CORRECAO_C[[DIAS_CORRIDOS]:[V_FUT_UTEIS]],K$5, FALSE)</f>
        <v>#N/A</v>
      </c>
      <c r="L1640" s="22" t="e">
        <f>VLOOKUP($A1640, TAB_AMORTIZACAO_C[[DIAS_CORRIDOS]:[V_FUT_UTEIS]], L$5, FALSE)</f>
        <v>#N/A</v>
      </c>
    </row>
    <row r="1641" spans="1:12" hidden="1">
      <c r="A1641" s="19">
        <f t="shared" si="134"/>
        <v>1635</v>
      </c>
      <c r="B1641" s="20">
        <f t="shared" si="130"/>
        <v>0</v>
      </c>
      <c r="C1641" s="21">
        <f t="shared" si="131"/>
        <v>0</v>
      </c>
      <c r="D1641" s="22" t="e">
        <f>VLOOKUP($A1641, TAB_JUROS_U[[Q_DIAS_U_PARC_TIR]:[V_FUT_U_JURS CENARIO]], D$5, FALSE)</f>
        <v>#N/A</v>
      </c>
      <c r="E1641" s="22" t="e">
        <f>VLOOKUP($A1641,TAB_CORRECAO_U[[Q_DIAS_U_PARC_TIR]:[V_FUT_U_CORC-02]],E$5, FALSE)</f>
        <v>#N/A</v>
      </c>
      <c r="F1641" s="22" t="e">
        <f>VLOOKUP($A1641,TAB_AMORTIZACAO_U[[Q_DIAS_U_PARC_TIR]:[V_FUT_U_PCPL-02]], F$5, FALSE)</f>
        <v>#N/A</v>
      </c>
      <c r="H1641" s="20">
        <f t="shared" si="132"/>
        <v>0</v>
      </c>
      <c r="I1641" s="21">
        <f t="shared" si="133"/>
        <v>0</v>
      </c>
      <c r="J1641" s="22" t="e">
        <f>VLOOKUP($A1641, TAB_JUROS_C[[DIAS_CORRIDOS]:[V_FUT_UTEIS]], J$5, FALSE)</f>
        <v>#N/A</v>
      </c>
      <c r="K1641" s="22" t="e">
        <f>VLOOKUP($A1641, TAB_CORRECAO_C[[DIAS_CORRIDOS]:[V_FUT_UTEIS]],K$5, FALSE)</f>
        <v>#N/A</v>
      </c>
      <c r="L1641" s="22" t="e">
        <f>VLOOKUP($A1641, TAB_AMORTIZACAO_C[[DIAS_CORRIDOS]:[V_FUT_UTEIS]], L$5, FALSE)</f>
        <v>#N/A</v>
      </c>
    </row>
    <row r="1642" spans="1:12" hidden="1">
      <c r="A1642" s="19">
        <f t="shared" si="134"/>
        <v>1636</v>
      </c>
      <c r="B1642" s="20">
        <f t="shared" si="130"/>
        <v>0</v>
      </c>
      <c r="C1642" s="21">
        <f t="shared" si="131"/>
        <v>0</v>
      </c>
      <c r="D1642" s="22" t="e">
        <f>VLOOKUP($A1642, TAB_JUROS_U[[Q_DIAS_U_PARC_TIR]:[V_FUT_U_JURS CENARIO]], D$5, FALSE)</f>
        <v>#N/A</v>
      </c>
      <c r="E1642" s="22" t="e">
        <f>VLOOKUP($A1642,TAB_CORRECAO_U[[Q_DIAS_U_PARC_TIR]:[V_FUT_U_CORC-02]],E$5, FALSE)</f>
        <v>#N/A</v>
      </c>
      <c r="F1642" s="22" t="e">
        <f>VLOOKUP($A1642,TAB_AMORTIZACAO_U[[Q_DIAS_U_PARC_TIR]:[V_FUT_U_PCPL-02]], F$5, FALSE)</f>
        <v>#N/A</v>
      </c>
      <c r="H1642" s="20">
        <f t="shared" si="132"/>
        <v>0</v>
      </c>
      <c r="I1642" s="21">
        <f t="shared" si="133"/>
        <v>0</v>
      </c>
      <c r="J1642" s="22" t="e">
        <f>VLOOKUP($A1642, TAB_JUROS_C[[DIAS_CORRIDOS]:[V_FUT_UTEIS]], J$5, FALSE)</f>
        <v>#N/A</v>
      </c>
      <c r="K1642" s="22" t="e">
        <f>VLOOKUP($A1642, TAB_CORRECAO_C[[DIAS_CORRIDOS]:[V_FUT_UTEIS]],K$5, FALSE)</f>
        <v>#N/A</v>
      </c>
      <c r="L1642" s="22" t="e">
        <f>VLOOKUP($A1642, TAB_AMORTIZACAO_C[[DIAS_CORRIDOS]:[V_FUT_UTEIS]], L$5, FALSE)</f>
        <v>#N/A</v>
      </c>
    </row>
    <row r="1643" spans="1:12" hidden="1">
      <c r="A1643" s="19">
        <f t="shared" si="134"/>
        <v>1637</v>
      </c>
      <c r="B1643" s="20">
        <f t="shared" si="130"/>
        <v>0</v>
      </c>
      <c r="C1643" s="21">
        <f t="shared" si="131"/>
        <v>0</v>
      </c>
      <c r="D1643" s="22" t="e">
        <f>VLOOKUP($A1643, TAB_JUROS_U[[Q_DIAS_U_PARC_TIR]:[V_FUT_U_JURS CENARIO]], D$5, FALSE)</f>
        <v>#N/A</v>
      </c>
      <c r="E1643" s="22" t="e">
        <f>VLOOKUP($A1643,TAB_CORRECAO_U[[Q_DIAS_U_PARC_TIR]:[V_FUT_U_CORC-02]],E$5, FALSE)</f>
        <v>#N/A</v>
      </c>
      <c r="F1643" s="22" t="e">
        <f>VLOOKUP($A1643,TAB_AMORTIZACAO_U[[Q_DIAS_U_PARC_TIR]:[V_FUT_U_PCPL-02]], F$5, FALSE)</f>
        <v>#N/A</v>
      </c>
      <c r="H1643" s="20">
        <f t="shared" si="132"/>
        <v>0</v>
      </c>
      <c r="I1643" s="21">
        <f t="shared" si="133"/>
        <v>0</v>
      </c>
      <c r="J1643" s="22" t="e">
        <f>VLOOKUP($A1643, TAB_JUROS_C[[DIAS_CORRIDOS]:[V_FUT_UTEIS]], J$5, FALSE)</f>
        <v>#N/A</v>
      </c>
      <c r="K1643" s="22" t="e">
        <f>VLOOKUP($A1643, TAB_CORRECAO_C[[DIAS_CORRIDOS]:[V_FUT_UTEIS]],K$5, FALSE)</f>
        <v>#N/A</v>
      </c>
      <c r="L1643" s="22" t="e">
        <f>VLOOKUP($A1643, TAB_AMORTIZACAO_C[[DIAS_CORRIDOS]:[V_FUT_UTEIS]], L$5, FALSE)</f>
        <v>#N/A</v>
      </c>
    </row>
    <row r="1644" spans="1:12" hidden="1">
      <c r="A1644" s="19">
        <f t="shared" si="134"/>
        <v>1638</v>
      </c>
      <c r="B1644" s="20">
        <f t="shared" si="130"/>
        <v>0</v>
      </c>
      <c r="C1644" s="21">
        <f t="shared" si="131"/>
        <v>0</v>
      </c>
      <c r="D1644" s="22" t="e">
        <f>VLOOKUP($A1644, TAB_JUROS_U[[Q_DIAS_U_PARC_TIR]:[V_FUT_U_JURS CENARIO]], D$5, FALSE)</f>
        <v>#N/A</v>
      </c>
      <c r="E1644" s="22" t="e">
        <f>VLOOKUP($A1644,TAB_CORRECAO_U[[Q_DIAS_U_PARC_TIR]:[V_FUT_U_CORC-02]],E$5, FALSE)</f>
        <v>#N/A</v>
      </c>
      <c r="F1644" s="22" t="e">
        <f>VLOOKUP($A1644,TAB_AMORTIZACAO_U[[Q_DIAS_U_PARC_TIR]:[V_FUT_U_PCPL-02]], F$5, FALSE)</f>
        <v>#N/A</v>
      </c>
      <c r="H1644" s="20">
        <f t="shared" si="132"/>
        <v>0</v>
      </c>
      <c r="I1644" s="21">
        <f t="shared" si="133"/>
        <v>0</v>
      </c>
      <c r="J1644" s="22" t="e">
        <f>VLOOKUP($A1644, TAB_JUROS_C[[DIAS_CORRIDOS]:[V_FUT_UTEIS]], J$5, FALSE)</f>
        <v>#N/A</v>
      </c>
      <c r="K1644" s="22" t="e">
        <f>VLOOKUP($A1644, TAB_CORRECAO_C[[DIAS_CORRIDOS]:[V_FUT_UTEIS]],K$5, FALSE)</f>
        <v>#N/A</v>
      </c>
      <c r="L1644" s="22" t="e">
        <f>VLOOKUP($A1644, TAB_AMORTIZACAO_C[[DIAS_CORRIDOS]:[V_FUT_UTEIS]], L$5, FALSE)</f>
        <v>#N/A</v>
      </c>
    </row>
    <row r="1645" spans="1:12" hidden="1">
      <c r="A1645" s="19">
        <f t="shared" si="134"/>
        <v>1639</v>
      </c>
      <c r="B1645" s="20">
        <f t="shared" si="130"/>
        <v>0</v>
      </c>
      <c r="C1645" s="21">
        <f t="shared" si="131"/>
        <v>0</v>
      </c>
      <c r="D1645" s="22" t="e">
        <f>VLOOKUP($A1645, TAB_JUROS_U[[Q_DIAS_U_PARC_TIR]:[V_FUT_U_JURS CENARIO]], D$5, FALSE)</f>
        <v>#N/A</v>
      </c>
      <c r="E1645" s="22" t="e">
        <f>VLOOKUP($A1645,TAB_CORRECAO_U[[Q_DIAS_U_PARC_TIR]:[V_FUT_U_CORC-02]],E$5, FALSE)</f>
        <v>#N/A</v>
      </c>
      <c r="F1645" s="22" t="e">
        <f>VLOOKUP($A1645,TAB_AMORTIZACAO_U[[Q_DIAS_U_PARC_TIR]:[V_FUT_U_PCPL-02]], F$5, FALSE)</f>
        <v>#N/A</v>
      </c>
      <c r="H1645" s="20">
        <f t="shared" si="132"/>
        <v>0</v>
      </c>
      <c r="I1645" s="21">
        <f t="shared" si="133"/>
        <v>0</v>
      </c>
      <c r="J1645" s="22" t="e">
        <f>VLOOKUP($A1645, TAB_JUROS_C[[DIAS_CORRIDOS]:[V_FUT_UTEIS]], J$5, FALSE)</f>
        <v>#N/A</v>
      </c>
      <c r="K1645" s="22" t="e">
        <f>VLOOKUP($A1645, TAB_CORRECAO_C[[DIAS_CORRIDOS]:[V_FUT_UTEIS]],K$5, FALSE)</f>
        <v>#N/A</v>
      </c>
      <c r="L1645" s="22" t="e">
        <f>VLOOKUP($A1645, TAB_AMORTIZACAO_C[[DIAS_CORRIDOS]:[V_FUT_UTEIS]], L$5, FALSE)</f>
        <v>#N/A</v>
      </c>
    </row>
    <row r="1646" spans="1:12" hidden="1">
      <c r="A1646" s="19">
        <f t="shared" si="134"/>
        <v>1640</v>
      </c>
      <c r="B1646" s="20">
        <f t="shared" si="130"/>
        <v>0</v>
      </c>
      <c r="C1646" s="21">
        <f t="shared" si="131"/>
        <v>0</v>
      </c>
      <c r="D1646" s="22" t="e">
        <f>VLOOKUP($A1646, TAB_JUROS_U[[Q_DIAS_U_PARC_TIR]:[V_FUT_U_JURS CENARIO]], D$5, FALSE)</f>
        <v>#N/A</v>
      </c>
      <c r="E1646" s="22" t="e">
        <f>VLOOKUP($A1646,TAB_CORRECAO_U[[Q_DIAS_U_PARC_TIR]:[V_FUT_U_CORC-02]],E$5, FALSE)</f>
        <v>#N/A</v>
      </c>
      <c r="F1646" s="22" t="e">
        <f>VLOOKUP($A1646,TAB_AMORTIZACAO_U[[Q_DIAS_U_PARC_TIR]:[V_FUT_U_PCPL-02]], F$5, FALSE)</f>
        <v>#N/A</v>
      </c>
      <c r="H1646" s="20">
        <f t="shared" si="132"/>
        <v>0</v>
      </c>
      <c r="I1646" s="21">
        <f t="shared" si="133"/>
        <v>0</v>
      </c>
      <c r="J1646" s="22" t="e">
        <f>VLOOKUP($A1646, TAB_JUROS_C[[DIAS_CORRIDOS]:[V_FUT_UTEIS]], J$5, FALSE)</f>
        <v>#N/A</v>
      </c>
      <c r="K1646" s="22" t="e">
        <f>VLOOKUP($A1646, TAB_CORRECAO_C[[DIAS_CORRIDOS]:[V_FUT_UTEIS]],K$5, FALSE)</f>
        <v>#N/A</v>
      </c>
      <c r="L1646" s="22" t="e">
        <f>VLOOKUP($A1646, TAB_AMORTIZACAO_C[[DIAS_CORRIDOS]:[V_FUT_UTEIS]], L$5, FALSE)</f>
        <v>#N/A</v>
      </c>
    </row>
    <row r="1647" spans="1:12" hidden="1">
      <c r="A1647" s="19">
        <f t="shared" si="134"/>
        <v>1641</v>
      </c>
      <c r="B1647" s="20">
        <f t="shared" si="130"/>
        <v>0</v>
      </c>
      <c r="C1647" s="21">
        <f t="shared" si="131"/>
        <v>0</v>
      </c>
      <c r="D1647" s="22" t="e">
        <f>VLOOKUP($A1647, TAB_JUROS_U[[Q_DIAS_U_PARC_TIR]:[V_FUT_U_JURS CENARIO]], D$5, FALSE)</f>
        <v>#N/A</v>
      </c>
      <c r="E1647" s="22" t="e">
        <f>VLOOKUP($A1647,TAB_CORRECAO_U[[Q_DIAS_U_PARC_TIR]:[V_FUT_U_CORC-02]],E$5, FALSE)</f>
        <v>#N/A</v>
      </c>
      <c r="F1647" s="22" t="e">
        <f>VLOOKUP($A1647,TAB_AMORTIZACAO_U[[Q_DIAS_U_PARC_TIR]:[V_FUT_U_PCPL-02]], F$5, FALSE)</f>
        <v>#N/A</v>
      </c>
      <c r="H1647" s="20">
        <f t="shared" si="132"/>
        <v>0</v>
      </c>
      <c r="I1647" s="21">
        <f t="shared" si="133"/>
        <v>0</v>
      </c>
      <c r="J1647" s="22" t="e">
        <f>VLOOKUP($A1647, TAB_JUROS_C[[DIAS_CORRIDOS]:[V_FUT_UTEIS]], J$5, FALSE)</f>
        <v>#N/A</v>
      </c>
      <c r="K1647" s="22" t="e">
        <f>VLOOKUP($A1647, TAB_CORRECAO_C[[DIAS_CORRIDOS]:[V_FUT_UTEIS]],K$5, FALSE)</f>
        <v>#N/A</v>
      </c>
      <c r="L1647" s="22" t="e">
        <f>VLOOKUP($A1647, TAB_AMORTIZACAO_C[[DIAS_CORRIDOS]:[V_FUT_UTEIS]], L$5, FALSE)</f>
        <v>#N/A</v>
      </c>
    </row>
    <row r="1648" spans="1:12">
      <c r="A1648" s="19">
        <f t="shared" si="134"/>
        <v>1642</v>
      </c>
      <c r="B1648" s="20">
        <f t="shared" si="130"/>
        <v>446.84769473247007</v>
      </c>
      <c r="C1648" s="21">
        <f t="shared" si="131"/>
        <v>446.84769473247007</v>
      </c>
      <c r="D1648" s="22">
        <f>VLOOKUP($A1648, TAB_JUROS_U[[Q_DIAS_U_PARC_TIR]:[V_FUT_U_JURS CENARIO]], D$5, FALSE)</f>
        <v>29.186398920529264</v>
      </c>
      <c r="E1648" s="22">
        <f>VLOOKUP($A1648,TAB_CORRECAO_U[[Q_DIAS_U_PARC_TIR]:[V_FUT_U_CORC-02]],E$5, FALSE)</f>
        <v>176.43868721351828</v>
      </c>
      <c r="F1648" s="22">
        <f>VLOOKUP($A1648,TAB_AMORTIZACAO_U[[Q_DIAS_U_PARC_TIR]:[V_FUT_U_PCPL-02]], F$5, FALSE)</f>
        <v>241.22260859842254</v>
      </c>
      <c r="H1648" s="20">
        <f t="shared" si="132"/>
        <v>0</v>
      </c>
      <c r="I1648" s="21">
        <f t="shared" si="133"/>
        <v>0</v>
      </c>
      <c r="J1648" s="22" t="e">
        <f>VLOOKUP($A1648, TAB_JUROS_C[[DIAS_CORRIDOS]:[V_FUT_UTEIS]], J$5, FALSE)</f>
        <v>#N/A</v>
      </c>
      <c r="K1648" s="22" t="e">
        <f>VLOOKUP($A1648, TAB_CORRECAO_C[[DIAS_CORRIDOS]:[V_FUT_UTEIS]],K$5, FALSE)</f>
        <v>#N/A</v>
      </c>
      <c r="L1648" s="22" t="e">
        <f>VLOOKUP($A1648, TAB_AMORTIZACAO_C[[DIAS_CORRIDOS]:[V_FUT_UTEIS]], L$5, FALSE)</f>
        <v>#N/A</v>
      </c>
    </row>
    <row r="1649" spans="1:12" hidden="1">
      <c r="A1649" s="19">
        <f t="shared" si="134"/>
        <v>1643</v>
      </c>
      <c r="B1649" s="20">
        <f t="shared" si="130"/>
        <v>0</v>
      </c>
      <c r="C1649" s="21">
        <f t="shared" si="131"/>
        <v>0</v>
      </c>
      <c r="D1649" s="22" t="e">
        <f>VLOOKUP($A1649, TAB_JUROS_U[[Q_DIAS_U_PARC_TIR]:[V_FUT_U_JURS CENARIO]], D$5, FALSE)</f>
        <v>#N/A</v>
      </c>
      <c r="E1649" s="22" t="e">
        <f>VLOOKUP($A1649,TAB_CORRECAO_U[[Q_DIAS_U_PARC_TIR]:[V_FUT_U_CORC-02]],E$5, FALSE)</f>
        <v>#N/A</v>
      </c>
      <c r="F1649" s="22" t="e">
        <f>VLOOKUP($A1649,TAB_AMORTIZACAO_U[[Q_DIAS_U_PARC_TIR]:[V_FUT_U_PCPL-02]], F$5, FALSE)</f>
        <v>#N/A</v>
      </c>
      <c r="H1649" s="20">
        <f t="shared" si="132"/>
        <v>0</v>
      </c>
      <c r="I1649" s="21">
        <f t="shared" si="133"/>
        <v>0</v>
      </c>
      <c r="J1649" s="22" t="e">
        <f>VLOOKUP($A1649, TAB_JUROS_C[[DIAS_CORRIDOS]:[V_FUT_UTEIS]], J$5, FALSE)</f>
        <v>#N/A</v>
      </c>
      <c r="K1649" s="22" t="e">
        <f>VLOOKUP($A1649, TAB_CORRECAO_C[[DIAS_CORRIDOS]:[V_FUT_UTEIS]],K$5, FALSE)</f>
        <v>#N/A</v>
      </c>
      <c r="L1649" s="22" t="e">
        <f>VLOOKUP($A1649, TAB_AMORTIZACAO_C[[DIAS_CORRIDOS]:[V_FUT_UTEIS]], L$5, FALSE)</f>
        <v>#N/A</v>
      </c>
    </row>
    <row r="1650" spans="1:12" hidden="1">
      <c r="A1650" s="19">
        <f t="shared" si="134"/>
        <v>1644</v>
      </c>
      <c r="B1650" s="20">
        <f t="shared" si="130"/>
        <v>0</v>
      </c>
      <c r="C1650" s="21">
        <f t="shared" si="131"/>
        <v>0</v>
      </c>
      <c r="D1650" s="22" t="e">
        <f>VLOOKUP($A1650, TAB_JUROS_U[[Q_DIAS_U_PARC_TIR]:[V_FUT_U_JURS CENARIO]], D$5, FALSE)</f>
        <v>#N/A</v>
      </c>
      <c r="E1650" s="22" t="e">
        <f>VLOOKUP($A1650,TAB_CORRECAO_U[[Q_DIAS_U_PARC_TIR]:[V_FUT_U_CORC-02]],E$5, FALSE)</f>
        <v>#N/A</v>
      </c>
      <c r="F1650" s="22" t="e">
        <f>VLOOKUP($A1650,TAB_AMORTIZACAO_U[[Q_DIAS_U_PARC_TIR]:[V_FUT_U_PCPL-02]], F$5, FALSE)</f>
        <v>#N/A</v>
      </c>
      <c r="H1650" s="20">
        <f t="shared" si="132"/>
        <v>0</v>
      </c>
      <c r="I1650" s="21">
        <f t="shared" si="133"/>
        <v>0</v>
      </c>
      <c r="J1650" s="22" t="e">
        <f>VLOOKUP($A1650, TAB_JUROS_C[[DIAS_CORRIDOS]:[V_FUT_UTEIS]], J$5, FALSE)</f>
        <v>#N/A</v>
      </c>
      <c r="K1650" s="22" t="e">
        <f>VLOOKUP($A1650, TAB_CORRECAO_C[[DIAS_CORRIDOS]:[V_FUT_UTEIS]],K$5, FALSE)</f>
        <v>#N/A</v>
      </c>
      <c r="L1650" s="22" t="e">
        <f>VLOOKUP($A1650, TAB_AMORTIZACAO_C[[DIAS_CORRIDOS]:[V_FUT_UTEIS]], L$5, FALSE)</f>
        <v>#N/A</v>
      </c>
    </row>
    <row r="1651" spans="1:12" hidden="1">
      <c r="A1651" s="19">
        <f t="shared" si="134"/>
        <v>1645</v>
      </c>
      <c r="B1651" s="20">
        <f t="shared" si="130"/>
        <v>0</v>
      </c>
      <c r="C1651" s="21">
        <f t="shared" si="131"/>
        <v>0</v>
      </c>
      <c r="D1651" s="22" t="e">
        <f>VLOOKUP($A1651, TAB_JUROS_U[[Q_DIAS_U_PARC_TIR]:[V_FUT_U_JURS CENARIO]], D$5, FALSE)</f>
        <v>#N/A</v>
      </c>
      <c r="E1651" s="22" t="e">
        <f>VLOOKUP($A1651,TAB_CORRECAO_U[[Q_DIAS_U_PARC_TIR]:[V_FUT_U_CORC-02]],E$5, FALSE)</f>
        <v>#N/A</v>
      </c>
      <c r="F1651" s="22" t="e">
        <f>VLOOKUP($A1651,TAB_AMORTIZACAO_U[[Q_DIAS_U_PARC_TIR]:[V_FUT_U_PCPL-02]], F$5, FALSE)</f>
        <v>#N/A</v>
      </c>
      <c r="H1651" s="20">
        <f t="shared" si="132"/>
        <v>0</v>
      </c>
      <c r="I1651" s="21">
        <f t="shared" si="133"/>
        <v>0</v>
      </c>
      <c r="J1651" s="22" t="e">
        <f>VLOOKUP($A1651, TAB_JUROS_C[[DIAS_CORRIDOS]:[V_FUT_UTEIS]], J$5, FALSE)</f>
        <v>#N/A</v>
      </c>
      <c r="K1651" s="22" t="e">
        <f>VLOOKUP($A1651, TAB_CORRECAO_C[[DIAS_CORRIDOS]:[V_FUT_UTEIS]],K$5, FALSE)</f>
        <v>#N/A</v>
      </c>
      <c r="L1651" s="22" t="e">
        <f>VLOOKUP($A1651, TAB_AMORTIZACAO_C[[DIAS_CORRIDOS]:[V_FUT_UTEIS]], L$5, FALSE)</f>
        <v>#N/A</v>
      </c>
    </row>
    <row r="1652" spans="1:12" hidden="1">
      <c r="A1652" s="19">
        <f t="shared" si="134"/>
        <v>1646</v>
      </c>
      <c r="B1652" s="20">
        <f t="shared" si="130"/>
        <v>0</v>
      </c>
      <c r="C1652" s="21">
        <f t="shared" si="131"/>
        <v>0</v>
      </c>
      <c r="D1652" s="22" t="e">
        <f>VLOOKUP($A1652, TAB_JUROS_U[[Q_DIAS_U_PARC_TIR]:[V_FUT_U_JURS CENARIO]], D$5, FALSE)</f>
        <v>#N/A</v>
      </c>
      <c r="E1652" s="22" t="e">
        <f>VLOOKUP($A1652,TAB_CORRECAO_U[[Q_DIAS_U_PARC_TIR]:[V_FUT_U_CORC-02]],E$5, FALSE)</f>
        <v>#N/A</v>
      </c>
      <c r="F1652" s="22" t="e">
        <f>VLOOKUP($A1652,TAB_AMORTIZACAO_U[[Q_DIAS_U_PARC_TIR]:[V_FUT_U_PCPL-02]], F$5, FALSE)</f>
        <v>#N/A</v>
      </c>
      <c r="H1652" s="20">
        <f t="shared" si="132"/>
        <v>0</v>
      </c>
      <c r="I1652" s="21">
        <f t="shared" si="133"/>
        <v>0</v>
      </c>
      <c r="J1652" s="22" t="e">
        <f>VLOOKUP($A1652, TAB_JUROS_C[[DIAS_CORRIDOS]:[V_FUT_UTEIS]], J$5, FALSE)</f>
        <v>#N/A</v>
      </c>
      <c r="K1652" s="22" t="e">
        <f>VLOOKUP($A1652, TAB_CORRECAO_C[[DIAS_CORRIDOS]:[V_FUT_UTEIS]],K$5, FALSE)</f>
        <v>#N/A</v>
      </c>
      <c r="L1652" s="22" t="e">
        <f>VLOOKUP($A1652, TAB_AMORTIZACAO_C[[DIAS_CORRIDOS]:[V_FUT_UTEIS]], L$5, FALSE)</f>
        <v>#N/A</v>
      </c>
    </row>
    <row r="1653" spans="1:12" hidden="1">
      <c r="A1653" s="19">
        <f t="shared" si="134"/>
        <v>1647</v>
      </c>
      <c r="B1653" s="20">
        <f t="shared" si="130"/>
        <v>0</v>
      </c>
      <c r="C1653" s="21">
        <f t="shared" si="131"/>
        <v>0</v>
      </c>
      <c r="D1653" s="22" t="e">
        <f>VLOOKUP($A1653, TAB_JUROS_U[[Q_DIAS_U_PARC_TIR]:[V_FUT_U_JURS CENARIO]], D$5, FALSE)</f>
        <v>#N/A</v>
      </c>
      <c r="E1653" s="22" t="e">
        <f>VLOOKUP($A1653,TAB_CORRECAO_U[[Q_DIAS_U_PARC_TIR]:[V_FUT_U_CORC-02]],E$5, FALSE)</f>
        <v>#N/A</v>
      </c>
      <c r="F1653" s="22" t="e">
        <f>VLOOKUP($A1653,TAB_AMORTIZACAO_U[[Q_DIAS_U_PARC_TIR]:[V_FUT_U_PCPL-02]], F$5, FALSE)</f>
        <v>#N/A</v>
      </c>
      <c r="H1653" s="20">
        <f t="shared" si="132"/>
        <v>0</v>
      </c>
      <c r="I1653" s="21">
        <f t="shared" si="133"/>
        <v>0</v>
      </c>
      <c r="J1653" s="22" t="e">
        <f>VLOOKUP($A1653, TAB_JUROS_C[[DIAS_CORRIDOS]:[V_FUT_UTEIS]], J$5, FALSE)</f>
        <v>#N/A</v>
      </c>
      <c r="K1653" s="22" t="e">
        <f>VLOOKUP($A1653, TAB_CORRECAO_C[[DIAS_CORRIDOS]:[V_FUT_UTEIS]],K$5, FALSE)</f>
        <v>#N/A</v>
      </c>
      <c r="L1653" s="22" t="e">
        <f>VLOOKUP($A1653, TAB_AMORTIZACAO_C[[DIAS_CORRIDOS]:[V_FUT_UTEIS]], L$5, FALSE)</f>
        <v>#N/A</v>
      </c>
    </row>
    <row r="1654" spans="1:12" hidden="1">
      <c r="A1654" s="19">
        <f t="shared" si="134"/>
        <v>1648</v>
      </c>
      <c r="B1654" s="20">
        <f t="shared" si="130"/>
        <v>0</v>
      </c>
      <c r="C1654" s="21">
        <f t="shared" si="131"/>
        <v>0</v>
      </c>
      <c r="D1654" s="22" t="e">
        <f>VLOOKUP($A1654, TAB_JUROS_U[[Q_DIAS_U_PARC_TIR]:[V_FUT_U_JURS CENARIO]], D$5, FALSE)</f>
        <v>#N/A</v>
      </c>
      <c r="E1654" s="22" t="e">
        <f>VLOOKUP($A1654,TAB_CORRECAO_U[[Q_DIAS_U_PARC_TIR]:[V_FUT_U_CORC-02]],E$5, FALSE)</f>
        <v>#N/A</v>
      </c>
      <c r="F1654" s="22" t="e">
        <f>VLOOKUP($A1654,TAB_AMORTIZACAO_U[[Q_DIAS_U_PARC_TIR]:[V_FUT_U_PCPL-02]], F$5, FALSE)</f>
        <v>#N/A</v>
      </c>
      <c r="H1654" s="20">
        <f t="shared" si="132"/>
        <v>0</v>
      </c>
      <c r="I1654" s="21">
        <f t="shared" si="133"/>
        <v>0</v>
      </c>
      <c r="J1654" s="22" t="e">
        <f>VLOOKUP($A1654, TAB_JUROS_C[[DIAS_CORRIDOS]:[V_FUT_UTEIS]], J$5, FALSE)</f>
        <v>#N/A</v>
      </c>
      <c r="K1654" s="22" t="e">
        <f>VLOOKUP($A1654, TAB_CORRECAO_C[[DIAS_CORRIDOS]:[V_FUT_UTEIS]],K$5, FALSE)</f>
        <v>#N/A</v>
      </c>
      <c r="L1654" s="22" t="e">
        <f>VLOOKUP($A1654, TAB_AMORTIZACAO_C[[DIAS_CORRIDOS]:[V_FUT_UTEIS]], L$5, FALSE)</f>
        <v>#N/A</v>
      </c>
    </row>
    <row r="1655" spans="1:12" hidden="1">
      <c r="A1655" s="19">
        <f t="shared" si="134"/>
        <v>1649</v>
      </c>
      <c r="B1655" s="20">
        <f t="shared" si="130"/>
        <v>0</v>
      </c>
      <c r="C1655" s="21">
        <f t="shared" si="131"/>
        <v>0</v>
      </c>
      <c r="D1655" s="22" t="e">
        <f>VLOOKUP($A1655, TAB_JUROS_U[[Q_DIAS_U_PARC_TIR]:[V_FUT_U_JURS CENARIO]], D$5, FALSE)</f>
        <v>#N/A</v>
      </c>
      <c r="E1655" s="22" t="e">
        <f>VLOOKUP($A1655,TAB_CORRECAO_U[[Q_DIAS_U_PARC_TIR]:[V_FUT_U_CORC-02]],E$5, FALSE)</f>
        <v>#N/A</v>
      </c>
      <c r="F1655" s="22" t="e">
        <f>VLOOKUP($A1655,TAB_AMORTIZACAO_U[[Q_DIAS_U_PARC_TIR]:[V_FUT_U_PCPL-02]], F$5, FALSE)</f>
        <v>#N/A</v>
      </c>
      <c r="H1655" s="20">
        <f t="shared" si="132"/>
        <v>0</v>
      </c>
      <c r="I1655" s="21">
        <f t="shared" si="133"/>
        <v>0</v>
      </c>
      <c r="J1655" s="22" t="e">
        <f>VLOOKUP($A1655, TAB_JUROS_C[[DIAS_CORRIDOS]:[V_FUT_UTEIS]], J$5, FALSE)</f>
        <v>#N/A</v>
      </c>
      <c r="K1655" s="22" t="e">
        <f>VLOOKUP($A1655, TAB_CORRECAO_C[[DIAS_CORRIDOS]:[V_FUT_UTEIS]],K$5, FALSE)</f>
        <v>#N/A</v>
      </c>
      <c r="L1655" s="22" t="e">
        <f>VLOOKUP($A1655, TAB_AMORTIZACAO_C[[DIAS_CORRIDOS]:[V_FUT_UTEIS]], L$5, FALSE)</f>
        <v>#N/A</v>
      </c>
    </row>
    <row r="1656" spans="1:12" hidden="1">
      <c r="A1656" s="19">
        <f t="shared" si="134"/>
        <v>1650</v>
      </c>
      <c r="B1656" s="20">
        <f t="shared" si="130"/>
        <v>0</v>
      </c>
      <c r="C1656" s="21">
        <f t="shared" si="131"/>
        <v>0</v>
      </c>
      <c r="D1656" s="22" t="e">
        <f>VLOOKUP($A1656, TAB_JUROS_U[[Q_DIAS_U_PARC_TIR]:[V_FUT_U_JURS CENARIO]], D$5, FALSE)</f>
        <v>#N/A</v>
      </c>
      <c r="E1656" s="22" t="e">
        <f>VLOOKUP($A1656,TAB_CORRECAO_U[[Q_DIAS_U_PARC_TIR]:[V_FUT_U_CORC-02]],E$5, FALSE)</f>
        <v>#N/A</v>
      </c>
      <c r="F1656" s="22" t="e">
        <f>VLOOKUP($A1656,TAB_AMORTIZACAO_U[[Q_DIAS_U_PARC_TIR]:[V_FUT_U_PCPL-02]], F$5, FALSE)</f>
        <v>#N/A</v>
      </c>
      <c r="H1656" s="20">
        <f t="shared" si="132"/>
        <v>0</v>
      </c>
      <c r="I1656" s="21">
        <f t="shared" si="133"/>
        <v>0</v>
      </c>
      <c r="J1656" s="22" t="e">
        <f>VLOOKUP($A1656, TAB_JUROS_C[[DIAS_CORRIDOS]:[V_FUT_UTEIS]], J$5, FALSE)</f>
        <v>#N/A</v>
      </c>
      <c r="K1656" s="22" t="e">
        <f>VLOOKUP($A1656, TAB_CORRECAO_C[[DIAS_CORRIDOS]:[V_FUT_UTEIS]],K$5, FALSE)</f>
        <v>#N/A</v>
      </c>
      <c r="L1656" s="22" t="e">
        <f>VLOOKUP($A1656, TAB_AMORTIZACAO_C[[DIAS_CORRIDOS]:[V_FUT_UTEIS]], L$5, FALSE)</f>
        <v>#N/A</v>
      </c>
    </row>
    <row r="1657" spans="1:12" hidden="1">
      <c r="A1657" s="19">
        <f t="shared" si="134"/>
        <v>1651</v>
      </c>
      <c r="B1657" s="20">
        <f t="shared" si="130"/>
        <v>0</v>
      </c>
      <c r="C1657" s="21">
        <f t="shared" si="131"/>
        <v>0</v>
      </c>
      <c r="D1657" s="22" t="e">
        <f>VLOOKUP($A1657, TAB_JUROS_U[[Q_DIAS_U_PARC_TIR]:[V_FUT_U_JURS CENARIO]], D$5, FALSE)</f>
        <v>#N/A</v>
      </c>
      <c r="E1657" s="22" t="e">
        <f>VLOOKUP($A1657,TAB_CORRECAO_U[[Q_DIAS_U_PARC_TIR]:[V_FUT_U_CORC-02]],E$5, FALSE)</f>
        <v>#N/A</v>
      </c>
      <c r="F1657" s="22" t="e">
        <f>VLOOKUP($A1657,TAB_AMORTIZACAO_U[[Q_DIAS_U_PARC_TIR]:[V_FUT_U_PCPL-02]], F$5, FALSE)</f>
        <v>#N/A</v>
      </c>
      <c r="H1657" s="20">
        <f t="shared" si="132"/>
        <v>0</v>
      </c>
      <c r="I1657" s="21">
        <f t="shared" si="133"/>
        <v>0</v>
      </c>
      <c r="J1657" s="22" t="e">
        <f>VLOOKUP($A1657, TAB_JUROS_C[[DIAS_CORRIDOS]:[V_FUT_UTEIS]], J$5, FALSE)</f>
        <v>#N/A</v>
      </c>
      <c r="K1657" s="22" t="e">
        <f>VLOOKUP($A1657, TAB_CORRECAO_C[[DIAS_CORRIDOS]:[V_FUT_UTEIS]],K$5, FALSE)</f>
        <v>#N/A</v>
      </c>
      <c r="L1657" s="22" t="e">
        <f>VLOOKUP($A1657, TAB_AMORTIZACAO_C[[DIAS_CORRIDOS]:[V_FUT_UTEIS]], L$5, FALSE)</f>
        <v>#N/A</v>
      </c>
    </row>
    <row r="1658" spans="1:12" hidden="1">
      <c r="A1658" s="19">
        <f t="shared" si="134"/>
        <v>1652</v>
      </c>
      <c r="B1658" s="20">
        <f t="shared" si="130"/>
        <v>0</v>
      </c>
      <c r="C1658" s="21">
        <f t="shared" si="131"/>
        <v>0</v>
      </c>
      <c r="D1658" s="22" t="e">
        <f>VLOOKUP($A1658, TAB_JUROS_U[[Q_DIAS_U_PARC_TIR]:[V_FUT_U_JURS CENARIO]], D$5, FALSE)</f>
        <v>#N/A</v>
      </c>
      <c r="E1658" s="22" t="e">
        <f>VLOOKUP($A1658,TAB_CORRECAO_U[[Q_DIAS_U_PARC_TIR]:[V_FUT_U_CORC-02]],E$5, FALSE)</f>
        <v>#N/A</v>
      </c>
      <c r="F1658" s="22" t="e">
        <f>VLOOKUP($A1658,TAB_AMORTIZACAO_U[[Q_DIAS_U_PARC_TIR]:[V_FUT_U_PCPL-02]], F$5, FALSE)</f>
        <v>#N/A</v>
      </c>
      <c r="H1658" s="20">
        <f t="shared" si="132"/>
        <v>0</v>
      </c>
      <c r="I1658" s="21">
        <f t="shared" si="133"/>
        <v>0</v>
      </c>
      <c r="J1658" s="22" t="e">
        <f>VLOOKUP($A1658, TAB_JUROS_C[[DIAS_CORRIDOS]:[V_FUT_UTEIS]], J$5, FALSE)</f>
        <v>#N/A</v>
      </c>
      <c r="K1658" s="22" t="e">
        <f>VLOOKUP($A1658, TAB_CORRECAO_C[[DIAS_CORRIDOS]:[V_FUT_UTEIS]],K$5, FALSE)</f>
        <v>#N/A</v>
      </c>
      <c r="L1658" s="22" t="e">
        <f>VLOOKUP($A1658, TAB_AMORTIZACAO_C[[DIAS_CORRIDOS]:[V_FUT_UTEIS]], L$5, FALSE)</f>
        <v>#N/A</v>
      </c>
    </row>
    <row r="1659" spans="1:12" hidden="1">
      <c r="A1659" s="19">
        <f t="shared" si="134"/>
        <v>1653</v>
      </c>
      <c r="B1659" s="20">
        <f t="shared" si="130"/>
        <v>0</v>
      </c>
      <c r="C1659" s="21">
        <f t="shared" si="131"/>
        <v>0</v>
      </c>
      <c r="D1659" s="22" t="e">
        <f>VLOOKUP($A1659, TAB_JUROS_U[[Q_DIAS_U_PARC_TIR]:[V_FUT_U_JURS CENARIO]], D$5, FALSE)</f>
        <v>#N/A</v>
      </c>
      <c r="E1659" s="22" t="e">
        <f>VLOOKUP($A1659,TAB_CORRECAO_U[[Q_DIAS_U_PARC_TIR]:[V_FUT_U_CORC-02]],E$5, FALSE)</f>
        <v>#N/A</v>
      </c>
      <c r="F1659" s="22" t="e">
        <f>VLOOKUP($A1659,TAB_AMORTIZACAO_U[[Q_DIAS_U_PARC_TIR]:[V_FUT_U_PCPL-02]], F$5, FALSE)</f>
        <v>#N/A</v>
      </c>
      <c r="H1659" s="20">
        <f t="shared" si="132"/>
        <v>0</v>
      </c>
      <c r="I1659" s="21">
        <f t="shared" si="133"/>
        <v>0</v>
      </c>
      <c r="J1659" s="22" t="e">
        <f>VLOOKUP($A1659, TAB_JUROS_C[[DIAS_CORRIDOS]:[V_FUT_UTEIS]], J$5, FALSE)</f>
        <v>#N/A</v>
      </c>
      <c r="K1659" s="22" t="e">
        <f>VLOOKUP($A1659, TAB_CORRECAO_C[[DIAS_CORRIDOS]:[V_FUT_UTEIS]],K$5, FALSE)</f>
        <v>#N/A</v>
      </c>
      <c r="L1659" s="22" t="e">
        <f>VLOOKUP($A1659, TAB_AMORTIZACAO_C[[DIAS_CORRIDOS]:[V_FUT_UTEIS]], L$5, FALSE)</f>
        <v>#N/A</v>
      </c>
    </row>
    <row r="1660" spans="1:12" hidden="1">
      <c r="A1660" s="19">
        <f t="shared" si="134"/>
        <v>1654</v>
      </c>
      <c r="B1660" s="20">
        <f t="shared" si="130"/>
        <v>0</v>
      </c>
      <c r="C1660" s="21">
        <f t="shared" si="131"/>
        <v>0</v>
      </c>
      <c r="D1660" s="22" t="e">
        <f>VLOOKUP($A1660, TAB_JUROS_U[[Q_DIAS_U_PARC_TIR]:[V_FUT_U_JURS CENARIO]], D$5, FALSE)</f>
        <v>#N/A</v>
      </c>
      <c r="E1660" s="22" t="e">
        <f>VLOOKUP($A1660,TAB_CORRECAO_U[[Q_DIAS_U_PARC_TIR]:[V_FUT_U_CORC-02]],E$5, FALSE)</f>
        <v>#N/A</v>
      </c>
      <c r="F1660" s="22" t="e">
        <f>VLOOKUP($A1660,TAB_AMORTIZACAO_U[[Q_DIAS_U_PARC_TIR]:[V_FUT_U_PCPL-02]], F$5, FALSE)</f>
        <v>#N/A</v>
      </c>
      <c r="H1660" s="20">
        <f t="shared" si="132"/>
        <v>746.42447353072885</v>
      </c>
      <c r="I1660" s="21">
        <f t="shared" si="133"/>
        <v>746.42447353072885</v>
      </c>
      <c r="J1660" s="22">
        <f>VLOOKUP($A1660, TAB_JUROS_C[[DIAS_CORRIDOS]:[V_FUT_UTEIS]], J$5, FALSE)</f>
        <v>56.658397652353081</v>
      </c>
      <c r="K1660" s="22">
        <f>VLOOKUP($A1660, TAB_CORRECAO_C[[DIAS_CORRIDOS]:[V_FUT_UTEIS]],K$5, FALSE)</f>
        <v>323.20250876354146</v>
      </c>
      <c r="L1660" s="22">
        <f>VLOOKUP($A1660, TAB_AMORTIZACAO_C[[DIAS_CORRIDOS]:[V_FUT_UTEIS]], L$5, FALSE)</f>
        <v>366.56356711483431</v>
      </c>
    </row>
    <row r="1661" spans="1:12" hidden="1">
      <c r="A1661" s="19">
        <f t="shared" si="134"/>
        <v>1655</v>
      </c>
      <c r="B1661" s="20">
        <f t="shared" si="130"/>
        <v>0</v>
      </c>
      <c r="C1661" s="21">
        <f t="shared" si="131"/>
        <v>0</v>
      </c>
      <c r="D1661" s="22" t="e">
        <f>VLOOKUP($A1661, TAB_JUROS_U[[Q_DIAS_U_PARC_TIR]:[V_FUT_U_JURS CENARIO]], D$5, FALSE)</f>
        <v>#N/A</v>
      </c>
      <c r="E1661" s="22" t="e">
        <f>VLOOKUP($A1661,TAB_CORRECAO_U[[Q_DIAS_U_PARC_TIR]:[V_FUT_U_CORC-02]],E$5, FALSE)</f>
        <v>#N/A</v>
      </c>
      <c r="F1661" s="22" t="e">
        <f>VLOOKUP($A1661,TAB_AMORTIZACAO_U[[Q_DIAS_U_PARC_TIR]:[V_FUT_U_PCPL-02]], F$5, FALSE)</f>
        <v>#N/A</v>
      </c>
      <c r="H1661" s="20">
        <f t="shared" si="132"/>
        <v>0</v>
      </c>
      <c r="I1661" s="21">
        <f t="shared" si="133"/>
        <v>0</v>
      </c>
      <c r="J1661" s="22" t="e">
        <f>VLOOKUP($A1661, TAB_JUROS_C[[DIAS_CORRIDOS]:[V_FUT_UTEIS]], J$5, FALSE)</f>
        <v>#N/A</v>
      </c>
      <c r="K1661" s="22" t="e">
        <f>VLOOKUP($A1661, TAB_CORRECAO_C[[DIAS_CORRIDOS]:[V_FUT_UTEIS]],K$5, FALSE)</f>
        <v>#N/A</v>
      </c>
      <c r="L1661" s="22" t="e">
        <f>VLOOKUP($A1661, TAB_AMORTIZACAO_C[[DIAS_CORRIDOS]:[V_FUT_UTEIS]], L$5, FALSE)</f>
        <v>#N/A</v>
      </c>
    </row>
    <row r="1662" spans="1:12" hidden="1">
      <c r="A1662" s="19">
        <f t="shared" si="134"/>
        <v>1656</v>
      </c>
      <c r="B1662" s="20">
        <f t="shared" si="130"/>
        <v>0</v>
      </c>
      <c r="C1662" s="21">
        <f t="shared" si="131"/>
        <v>0</v>
      </c>
      <c r="D1662" s="22" t="e">
        <f>VLOOKUP($A1662, TAB_JUROS_U[[Q_DIAS_U_PARC_TIR]:[V_FUT_U_JURS CENARIO]], D$5, FALSE)</f>
        <v>#N/A</v>
      </c>
      <c r="E1662" s="22" t="e">
        <f>VLOOKUP($A1662,TAB_CORRECAO_U[[Q_DIAS_U_PARC_TIR]:[V_FUT_U_CORC-02]],E$5, FALSE)</f>
        <v>#N/A</v>
      </c>
      <c r="F1662" s="22" t="e">
        <f>VLOOKUP($A1662,TAB_AMORTIZACAO_U[[Q_DIAS_U_PARC_TIR]:[V_FUT_U_PCPL-02]], F$5, FALSE)</f>
        <v>#N/A</v>
      </c>
      <c r="H1662" s="20">
        <f t="shared" si="132"/>
        <v>0</v>
      </c>
      <c r="I1662" s="21">
        <f t="shared" si="133"/>
        <v>0</v>
      </c>
      <c r="J1662" s="22" t="e">
        <f>VLOOKUP($A1662, TAB_JUROS_C[[DIAS_CORRIDOS]:[V_FUT_UTEIS]], J$5, FALSE)</f>
        <v>#N/A</v>
      </c>
      <c r="K1662" s="22" t="e">
        <f>VLOOKUP($A1662, TAB_CORRECAO_C[[DIAS_CORRIDOS]:[V_FUT_UTEIS]],K$5, FALSE)</f>
        <v>#N/A</v>
      </c>
      <c r="L1662" s="22" t="e">
        <f>VLOOKUP($A1662, TAB_AMORTIZACAO_C[[DIAS_CORRIDOS]:[V_FUT_UTEIS]], L$5, FALSE)</f>
        <v>#N/A</v>
      </c>
    </row>
    <row r="1663" spans="1:12" hidden="1">
      <c r="A1663" s="19">
        <f t="shared" si="134"/>
        <v>1657</v>
      </c>
      <c r="B1663" s="20">
        <f t="shared" si="130"/>
        <v>0</v>
      </c>
      <c r="C1663" s="21">
        <f t="shared" si="131"/>
        <v>0</v>
      </c>
      <c r="D1663" s="22" t="e">
        <f>VLOOKUP($A1663, TAB_JUROS_U[[Q_DIAS_U_PARC_TIR]:[V_FUT_U_JURS CENARIO]], D$5, FALSE)</f>
        <v>#N/A</v>
      </c>
      <c r="E1663" s="22" t="e">
        <f>VLOOKUP($A1663,TAB_CORRECAO_U[[Q_DIAS_U_PARC_TIR]:[V_FUT_U_CORC-02]],E$5, FALSE)</f>
        <v>#N/A</v>
      </c>
      <c r="F1663" s="22" t="e">
        <f>VLOOKUP($A1663,TAB_AMORTIZACAO_U[[Q_DIAS_U_PARC_TIR]:[V_FUT_U_PCPL-02]], F$5, FALSE)</f>
        <v>#N/A</v>
      </c>
      <c r="H1663" s="20">
        <f t="shared" si="132"/>
        <v>0</v>
      </c>
      <c r="I1663" s="21">
        <f t="shared" si="133"/>
        <v>0</v>
      </c>
      <c r="J1663" s="22" t="e">
        <f>VLOOKUP($A1663, TAB_JUROS_C[[DIAS_CORRIDOS]:[V_FUT_UTEIS]], J$5, FALSE)</f>
        <v>#N/A</v>
      </c>
      <c r="K1663" s="22" t="e">
        <f>VLOOKUP($A1663, TAB_CORRECAO_C[[DIAS_CORRIDOS]:[V_FUT_UTEIS]],K$5, FALSE)</f>
        <v>#N/A</v>
      </c>
      <c r="L1663" s="22" t="e">
        <f>VLOOKUP($A1663, TAB_AMORTIZACAO_C[[DIAS_CORRIDOS]:[V_FUT_UTEIS]], L$5, FALSE)</f>
        <v>#N/A</v>
      </c>
    </row>
    <row r="1664" spans="1:12" hidden="1">
      <c r="A1664" s="19">
        <f t="shared" si="134"/>
        <v>1658</v>
      </c>
      <c r="B1664" s="20">
        <f t="shared" si="130"/>
        <v>0</v>
      </c>
      <c r="C1664" s="21">
        <f t="shared" si="131"/>
        <v>0</v>
      </c>
      <c r="D1664" s="22" t="e">
        <f>VLOOKUP($A1664, TAB_JUROS_U[[Q_DIAS_U_PARC_TIR]:[V_FUT_U_JURS CENARIO]], D$5, FALSE)</f>
        <v>#N/A</v>
      </c>
      <c r="E1664" s="22" t="e">
        <f>VLOOKUP($A1664,TAB_CORRECAO_U[[Q_DIAS_U_PARC_TIR]:[V_FUT_U_CORC-02]],E$5, FALSE)</f>
        <v>#N/A</v>
      </c>
      <c r="F1664" s="22" t="e">
        <f>VLOOKUP($A1664,TAB_AMORTIZACAO_U[[Q_DIAS_U_PARC_TIR]:[V_FUT_U_PCPL-02]], F$5, FALSE)</f>
        <v>#N/A</v>
      </c>
      <c r="H1664" s="20">
        <f t="shared" si="132"/>
        <v>0</v>
      </c>
      <c r="I1664" s="21">
        <f t="shared" si="133"/>
        <v>0</v>
      </c>
      <c r="J1664" s="22" t="e">
        <f>VLOOKUP($A1664, TAB_JUROS_C[[DIAS_CORRIDOS]:[V_FUT_UTEIS]], J$5, FALSE)</f>
        <v>#N/A</v>
      </c>
      <c r="K1664" s="22" t="e">
        <f>VLOOKUP($A1664, TAB_CORRECAO_C[[DIAS_CORRIDOS]:[V_FUT_UTEIS]],K$5, FALSE)</f>
        <v>#N/A</v>
      </c>
      <c r="L1664" s="22" t="e">
        <f>VLOOKUP($A1664, TAB_AMORTIZACAO_C[[DIAS_CORRIDOS]:[V_FUT_UTEIS]], L$5, FALSE)</f>
        <v>#N/A</v>
      </c>
    </row>
    <row r="1665" spans="1:12" hidden="1">
      <c r="A1665" s="19">
        <f t="shared" si="134"/>
        <v>1659</v>
      </c>
      <c r="B1665" s="20">
        <f t="shared" si="130"/>
        <v>0</v>
      </c>
      <c r="C1665" s="21">
        <f t="shared" si="131"/>
        <v>0</v>
      </c>
      <c r="D1665" s="22" t="e">
        <f>VLOOKUP($A1665, TAB_JUROS_U[[Q_DIAS_U_PARC_TIR]:[V_FUT_U_JURS CENARIO]], D$5, FALSE)</f>
        <v>#N/A</v>
      </c>
      <c r="E1665" s="22" t="e">
        <f>VLOOKUP($A1665,TAB_CORRECAO_U[[Q_DIAS_U_PARC_TIR]:[V_FUT_U_CORC-02]],E$5, FALSE)</f>
        <v>#N/A</v>
      </c>
      <c r="F1665" s="22" t="e">
        <f>VLOOKUP($A1665,TAB_AMORTIZACAO_U[[Q_DIAS_U_PARC_TIR]:[V_FUT_U_PCPL-02]], F$5, FALSE)</f>
        <v>#N/A</v>
      </c>
      <c r="H1665" s="20">
        <f t="shared" si="132"/>
        <v>0</v>
      </c>
      <c r="I1665" s="21">
        <f t="shared" si="133"/>
        <v>0</v>
      </c>
      <c r="J1665" s="22" t="e">
        <f>VLOOKUP($A1665, TAB_JUROS_C[[DIAS_CORRIDOS]:[V_FUT_UTEIS]], J$5, FALSE)</f>
        <v>#N/A</v>
      </c>
      <c r="K1665" s="22" t="e">
        <f>VLOOKUP($A1665, TAB_CORRECAO_C[[DIAS_CORRIDOS]:[V_FUT_UTEIS]],K$5, FALSE)</f>
        <v>#N/A</v>
      </c>
      <c r="L1665" s="22" t="e">
        <f>VLOOKUP($A1665, TAB_AMORTIZACAO_C[[DIAS_CORRIDOS]:[V_FUT_UTEIS]], L$5, FALSE)</f>
        <v>#N/A</v>
      </c>
    </row>
    <row r="1666" spans="1:12" hidden="1">
      <c r="A1666" s="19">
        <f t="shared" si="134"/>
        <v>1660</v>
      </c>
      <c r="B1666" s="20">
        <f t="shared" si="130"/>
        <v>0</v>
      </c>
      <c r="C1666" s="21">
        <f t="shared" si="131"/>
        <v>0</v>
      </c>
      <c r="D1666" s="22" t="e">
        <f>VLOOKUP($A1666, TAB_JUROS_U[[Q_DIAS_U_PARC_TIR]:[V_FUT_U_JURS CENARIO]], D$5, FALSE)</f>
        <v>#N/A</v>
      </c>
      <c r="E1666" s="22" t="e">
        <f>VLOOKUP($A1666,TAB_CORRECAO_U[[Q_DIAS_U_PARC_TIR]:[V_FUT_U_CORC-02]],E$5, FALSE)</f>
        <v>#N/A</v>
      </c>
      <c r="F1666" s="22" t="e">
        <f>VLOOKUP($A1666,TAB_AMORTIZACAO_U[[Q_DIAS_U_PARC_TIR]:[V_FUT_U_PCPL-02]], F$5, FALSE)</f>
        <v>#N/A</v>
      </c>
      <c r="H1666" s="20">
        <f t="shared" si="132"/>
        <v>0</v>
      </c>
      <c r="I1666" s="21">
        <f t="shared" si="133"/>
        <v>0</v>
      </c>
      <c r="J1666" s="22" t="e">
        <f>VLOOKUP($A1666, TAB_JUROS_C[[DIAS_CORRIDOS]:[V_FUT_UTEIS]], J$5, FALSE)</f>
        <v>#N/A</v>
      </c>
      <c r="K1666" s="22" t="e">
        <f>VLOOKUP($A1666, TAB_CORRECAO_C[[DIAS_CORRIDOS]:[V_FUT_UTEIS]],K$5, FALSE)</f>
        <v>#N/A</v>
      </c>
      <c r="L1666" s="22" t="e">
        <f>VLOOKUP($A1666, TAB_AMORTIZACAO_C[[DIAS_CORRIDOS]:[V_FUT_UTEIS]], L$5, FALSE)</f>
        <v>#N/A</v>
      </c>
    </row>
    <row r="1667" spans="1:12" hidden="1">
      <c r="A1667" s="19">
        <f t="shared" si="134"/>
        <v>1661</v>
      </c>
      <c r="B1667" s="20">
        <f t="shared" si="130"/>
        <v>0</v>
      </c>
      <c r="C1667" s="21">
        <f t="shared" si="131"/>
        <v>0</v>
      </c>
      <c r="D1667" s="22" t="e">
        <f>VLOOKUP($A1667, TAB_JUROS_U[[Q_DIAS_U_PARC_TIR]:[V_FUT_U_JURS CENARIO]], D$5, FALSE)</f>
        <v>#N/A</v>
      </c>
      <c r="E1667" s="22" t="e">
        <f>VLOOKUP($A1667,TAB_CORRECAO_U[[Q_DIAS_U_PARC_TIR]:[V_FUT_U_CORC-02]],E$5, FALSE)</f>
        <v>#N/A</v>
      </c>
      <c r="F1667" s="22" t="e">
        <f>VLOOKUP($A1667,TAB_AMORTIZACAO_U[[Q_DIAS_U_PARC_TIR]:[V_FUT_U_PCPL-02]], F$5, FALSE)</f>
        <v>#N/A</v>
      </c>
      <c r="H1667" s="20">
        <f t="shared" si="132"/>
        <v>0</v>
      </c>
      <c r="I1667" s="21">
        <f t="shared" si="133"/>
        <v>0</v>
      </c>
      <c r="J1667" s="22" t="e">
        <f>VLOOKUP($A1667, TAB_JUROS_C[[DIAS_CORRIDOS]:[V_FUT_UTEIS]], J$5, FALSE)</f>
        <v>#N/A</v>
      </c>
      <c r="K1667" s="22" t="e">
        <f>VLOOKUP($A1667, TAB_CORRECAO_C[[DIAS_CORRIDOS]:[V_FUT_UTEIS]],K$5, FALSE)</f>
        <v>#N/A</v>
      </c>
      <c r="L1667" s="22" t="e">
        <f>VLOOKUP($A1667, TAB_AMORTIZACAO_C[[DIAS_CORRIDOS]:[V_FUT_UTEIS]], L$5, FALSE)</f>
        <v>#N/A</v>
      </c>
    </row>
    <row r="1668" spans="1:12" hidden="1">
      <c r="A1668" s="19">
        <f t="shared" si="134"/>
        <v>1662</v>
      </c>
      <c r="B1668" s="20">
        <f t="shared" si="130"/>
        <v>0</v>
      </c>
      <c r="C1668" s="21">
        <f t="shared" si="131"/>
        <v>0</v>
      </c>
      <c r="D1668" s="22" t="e">
        <f>VLOOKUP($A1668, TAB_JUROS_U[[Q_DIAS_U_PARC_TIR]:[V_FUT_U_JURS CENARIO]], D$5, FALSE)</f>
        <v>#N/A</v>
      </c>
      <c r="E1668" s="22" t="e">
        <f>VLOOKUP($A1668,TAB_CORRECAO_U[[Q_DIAS_U_PARC_TIR]:[V_FUT_U_CORC-02]],E$5, FALSE)</f>
        <v>#N/A</v>
      </c>
      <c r="F1668" s="22" t="e">
        <f>VLOOKUP($A1668,TAB_AMORTIZACAO_U[[Q_DIAS_U_PARC_TIR]:[V_FUT_U_PCPL-02]], F$5, FALSE)</f>
        <v>#N/A</v>
      </c>
      <c r="H1668" s="20">
        <f t="shared" si="132"/>
        <v>0</v>
      </c>
      <c r="I1668" s="21">
        <f t="shared" si="133"/>
        <v>0</v>
      </c>
      <c r="J1668" s="22" t="e">
        <f>VLOOKUP($A1668, TAB_JUROS_C[[DIAS_CORRIDOS]:[V_FUT_UTEIS]], J$5, FALSE)</f>
        <v>#N/A</v>
      </c>
      <c r="K1668" s="22" t="e">
        <f>VLOOKUP($A1668, TAB_CORRECAO_C[[DIAS_CORRIDOS]:[V_FUT_UTEIS]],K$5, FALSE)</f>
        <v>#N/A</v>
      </c>
      <c r="L1668" s="22" t="e">
        <f>VLOOKUP($A1668, TAB_AMORTIZACAO_C[[DIAS_CORRIDOS]:[V_FUT_UTEIS]], L$5, FALSE)</f>
        <v>#N/A</v>
      </c>
    </row>
    <row r="1669" spans="1:12">
      <c r="A1669" s="19">
        <f t="shared" si="134"/>
        <v>1663</v>
      </c>
      <c r="B1669" s="20">
        <f t="shared" si="130"/>
        <v>434.91874407838355</v>
      </c>
      <c r="C1669" s="21">
        <f t="shared" si="131"/>
        <v>434.91874407838355</v>
      </c>
      <c r="D1669" s="22">
        <f>VLOOKUP($A1669, TAB_JUROS_U[[Q_DIAS_U_PARC_TIR]:[V_FUT_U_JURS CENARIO]], D$5, FALSE)</f>
        <v>28.326487514405443</v>
      </c>
      <c r="E1669" s="22">
        <f>VLOOKUP($A1669,TAB_CORRECAO_U[[Q_DIAS_U_PARC_TIR]:[V_FUT_U_CORC-02]],E$5, FALSE)</f>
        <v>171.13034438334208</v>
      </c>
      <c r="F1669" s="22">
        <f>VLOOKUP($A1669,TAB_AMORTIZACAO_U[[Q_DIAS_U_PARC_TIR]:[V_FUT_U_PCPL-02]], F$5, FALSE)</f>
        <v>235.46191218063603</v>
      </c>
      <c r="H1669" s="20">
        <f t="shared" si="132"/>
        <v>0</v>
      </c>
      <c r="I1669" s="21">
        <f t="shared" si="133"/>
        <v>0</v>
      </c>
      <c r="J1669" s="22" t="e">
        <f>VLOOKUP($A1669, TAB_JUROS_C[[DIAS_CORRIDOS]:[V_FUT_UTEIS]], J$5, FALSE)</f>
        <v>#N/A</v>
      </c>
      <c r="K1669" s="22" t="e">
        <f>VLOOKUP($A1669, TAB_CORRECAO_C[[DIAS_CORRIDOS]:[V_FUT_UTEIS]],K$5, FALSE)</f>
        <v>#N/A</v>
      </c>
      <c r="L1669" s="22" t="e">
        <f>VLOOKUP($A1669, TAB_AMORTIZACAO_C[[DIAS_CORRIDOS]:[V_FUT_UTEIS]], L$5, FALSE)</f>
        <v>#N/A</v>
      </c>
    </row>
    <row r="1670" spans="1:12" hidden="1">
      <c r="A1670" s="19">
        <f t="shared" si="134"/>
        <v>1664</v>
      </c>
      <c r="B1670" s="20">
        <f t="shared" si="130"/>
        <v>0</v>
      </c>
      <c r="C1670" s="21">
        <f t="shared" si="131"/>
        <v>0</v>
      </c>
      <c r="D1670" s="22" t="e">
        <f>VLOOKUP($A1670, TAB_JUROS_U[[Q_DIAS_U_PARC_TIR]:[V_FUT_U_JURS CENARIO]], D$5, FALSE)</f>
        <v>#N/A</v>
      </c>
      <c r="E1670" s="22" t="e">
        <f>VLOOKUP($A1670,TAB_CORRECAO_U[[Q_DIAS_U_PARC_TIR]:[V_FUT_U_CORC-02]],E$5, FALSE)</f>
        <v>#N/A</v>
      </c>
      <c r="F1670" s="22" t="e">
        <f>VLOOKUP($A1670,TAB_AMORTIZACAO_U[[Q_DIAS_U_PARC_TIR]:[V_FUT_U_PCPL-02]], F$5, FALSE)</f>
        <v>#N/A</v>
      </c>
      <c r="H1670" s="20">
        <f t="shared" si="132"/>
        <v>0</v>
      </c>
      <c r="I1670" s="21">
        <f t="shared" si="133"/>
        <v>0</v>
      </c>
      <c r="J1670" s="22" t="e">
        <f>VLOOKUP($A1670, TAB_JUROS_C[[DIAS_CORRIDOS]:[V_FUT_UTEIS]], J$5, FALSE)</f>
        <v>#N/A</v>
      </c>
      <c r="K1670" s="22" t="e">
        <f>VLOOKUP($A1670, TAB_CORRECAO_C[[DIAS_CORRIDOS]:[V_FUT_UTEIS]],K$5, FALSE)</f>
        <v>#N/A</v>
      </c>
      <c r="L1670" s="22" t="e">
        <f>VLOOKUP($A1670, TAB_AMORTIZACAO_C[[DIAS_CORRIDOS]:[V_FUT_UTEIS]], L$5, FALSE)</f>
        <v>#N/A</v>
      </c>
    </row>
    <row r="1671" spans="1:12" hidden="1">
      <c r="A1671" s="19">
        <f t="shared" si="134"/>
        <v>1665</v>
      </c>
      <c r="B1671" s="20">
        <f t="shared" si="130"/>
        <v>0</v>
      </c>
      <c r="C1671" s="21">
        <f t="shared" si="131"/>
        <v>0</v>
      </c>
      <c r="D1671" s="22" t="e">
        <f>VLOOKUP($A1671, TAB_JUROS_U[[Q_DIAS_U_PARC_TIR]:[V_FUT_U_JURS CENARIO]], D$5, FALSE)</f>
        <v>#N/A</v>
      </c>
      <c r="E1671" s="22" t="e">
        <f>VLOOKUP($A1671,TAB_CORRECAO_U[[Q_DIAS_U_PARC_TIR]:[V_FUT_U_CORC-02]],E$5, FALSE)</f>
        <v>#N/A</v>
      </c>
      <c r="F1671" s="22" t="e">
        <f>VLOOKUP($A1671,TAB_AMORTIZACAO_U[[Q_DIAS_U_PARC_TIR]:[V_FUT_U_PCPL-02]], F$5, FALSE)</f>
        <v>#N/A</v>
      </c>
      <c r="H1671" s="20">
        <f t="shared" si="132"/>
        <v>0</v>
      </c>
      <c r="I1671" s="21">
        <f t="shared" si="133"/>
        <v>0</v>
      </c>
      <c r="J1671" s="22" t="e">
        <f>VLOOKUP($A1671, TAB_JUROS_C[[DIAS_CORRIDOS]:[V_FUT_UTEIS]], J$5, FALSE)</f>
        <v>#N/A</v>
      </c>
      <c r="K1671" s="22" t="e">
        <f>VLOOKUP($A1671, TAB_CORRECAO_C[[DIAS_CORRIDOS]:[V_FUT_UTEIS]],K$5, FALSE)</f>
        <v>#N/A</v>
      </c>
      <c r="L1671" s="22" t="e">
        <f>VLOOKUP($A1671, TAB_AMORTIZACAO_C[[DIAS_CORRIDOS]:[V_FUT_UTEIS]], L$5, FALSE)</f>
        <v>#N/A</v>
      </c>
    </row>
    <row r="1672" spans="1:12" hidden="1">
      <c r="A1672" s="19">
        <f t="shared" si="134"/>
        <v>1666</v>
      </c>
      <c r="B1672" s="20">
        <f t="shared" si="130"/>
        <v>0</v>
      </c>
      <c r="C1672" s="21">
        <f t="shared" si="131"/>
        <v>0</v>
      </c>
      <c r="D1672" s="22" t="e">
        <f>VLOOKUP($A1672, TAB_JUROS_U[[Q_DIAS_U_PARC_TIR]:[V_FUT_U_JURS CENARIO]], D$5, FALSE)</f>
        <v>#N/A</v>
      </c>
      <c r="E1672" s="22" t="e">
        <f>VLOOKUP($A1672,TAB_CORRECAO_U[[Q_DIAS_U_PARC_TIR]:[V_FUT_U_CORC-02]],E$5, FALSE)</f>
        <v>#N/A</v>
      </c>
      <c r="F1672" s="22" t="e">
        <f>VLOOKUP($A1672,TAB_AMORTIZACAO_U[[Q_DIAS_U_PARC_TIR]:[V_FUT_U_PCPL-02]], F$5, FALSE)</f>
        <v>#N/A</v>
      </c>
      <c r="H1672" s="20">
        <f t="shared" si="132"/>
        <v>0</v>
      </c>
      <c r="I1672" s="21">
        <f t="shared" si="133"/>
        <v>0</v>
      </c>
      <c r="J1672" s="22" t="e">
        <f>VLOOKUP($A1672, TAB_JUROS_C[[DIAS_CORRIDOS]:[V_FUT_UTEIS]], J$5, FALSE)</f>
        <v>#N/A</v>
      </c>
      <c r="K1672" s="22" t="e">
        <f>VLOOKUP($A1672, TAB_CORRECAO_C[[DIAS_CORRIDOS]:[V_FUT_UTEIS]],K$5, FALSE)</f>
        <v>#N/A</v>
      </c>
      <c r="L1672" s="22" t="e">
        <f>VLOOKUP($A1672, TAB_AMORTIZACAO_C[[DIAS_CORRIDOS]:[V_FUT_UTEIS]], L$5, FALSE)</f>
        <v>#N/A</v>
      </c>
    </row>
    <row r="1673" spans="1:12" hidden="1">
      <c r="A1673" s="19">
        <f t="shared" si="134"/>
        <v>1667</v>
      </c>
      <c r="B1673" s="20">
        <f t="shared" ref="B1673:B1736" si="135">IF(ISERROR(C1673), 0, C1673)</f>
        <v>0</v>
      </c>
      <c r="C1673" s="21">
        <f t="shared" ref="C1673:C1736" si="136">SUMIF(D1673:F1673, "&gt;0", D1673:F1673)</f>
        <v>0</v>
      </c>
      <c r="D1673" s="22" t="e">
        <f>VLOOKUP($A1673, TAB_JUROS_U[[Q_DIAS_U_PARC_TIR]:[V_FUT_U_JURS CENARIO]], D$5, FALSE)</f>
        <v>#N/A</v>
      </c>
      <c r="E1673" s="22" t="e">
        <f>VLOOKUP($A1673,TAB_CORRECAO_U[[Q_DIAS_U_PARC_TIR]:[V_FUT_U_CORC-02]],E$5, FALSE)</f>
        <v>#N/A</v>
      </c>
      <c r="F1673" s="22" t="e">
        <f>VLOOKUP($A1673,TAB_AMORTIZACAO_U[[Q_DIAS_U_PARC_TIR]:[V_FUT_U_PCPL-02]], F$5, FALSE)</f>
        <v>#N/A</v>
      </c>
      <c r="H1673" s="20">
        <f t="shared" ref="H1673:H1736" si="137">IF(ISERROR(I1673), 0, I1673)</f>
        <v>0</v>
      </c>
      <c r="I1673" s="21">
        <f t="shared" ref="I1673:I1736" si="138">SUMIF(J1673:L1673, "&gt;0", J1673:L1673)</f>
        <v>0</v>
      </c>
      <c r="J1673" s="22" t="e">
        <f>VLOOKUP($A1673, TAB_JUROS_C[[DIAS_CORRIDOS]:[V_FUT_UTEIS]], J$5, FALSE)</f>
        <v>#N/A</v>
      </c>
      <c r="K1673" s="22" t="e">
        <f>VLOOKUP($A1673, TAB_CORRECAO_C[[DIAS_CORRIDOS]:[V_FUT_UTEIS]],K$5, FALSE)</f>
        <v>#N/A</v>
      </c>
      <c r="L1673" s="22" t="e">
        <f>VLOOKUP($A1673, TAB_AMORTIZACAO_C[[DIAS_CORRIDOS]:[V_FUT_UTEIS]], L$5, FALSE)</f>
        <v>#N/A</v>
      </c>
    </row>
    <row r="1674" spans="1:12" hidden="1">
      <c r="A1674" s="19">
        <f t="shared" ref="A1674:A1737" si="139">A1673+1</f>
        <v>1668</v>
      </c>
      <c r="B1674" s="20">
        <f t="shared" si="135"/>
        <v>0</v>
      </c>
      <c r="C1674" s="21">
        <f t="shared" si="136"/>
        <v>0</v>
      </c>
      <c r="D1674" s="22" t="e">
        <f>VLOOKUP($A1674, TAB_JUROS_U[[Q_DIAS_U_PARC_TIR]:[V_FUT_U_JURS CENARIO]], D$5, FALSE)</f>
        <v>#N/A</v>
      </c>
      <c r="E1674" s="22" t="e">
        <f>VLOOKUP($A1674,TAB_CORRECAO_U[[Q_DIAS_U_PARC_TIR]:[V_FUT_U_CORC-02]],E$5, FALSE)</f>
        <v>#N/A</v>
      </c>
      <c r="F1674" s="22" t="e">
        <f>VLOOKUP($A1674,TAB_AMORTIZACAO_U[[Q_DIAS_U_PARC_TIR]:[V_FUT_U_PCPL-02]], F$5, FALSE)</f>
        <v>#N/A</v>
      </c>
      <c r="H1674" s="20">
        <f t="shared" si="137"/>
        <v>0</v>
      </c>
      <c r="I1674" s="21">
        <f t="shared" si="138"/>
        <v>0</v>
      </c>
      <c r="J1674" s="22" t="e">
        <f>VLOOKUP($A1674, TAB_JUROS_C[[DIAS_CORRIDOS]:[V_FUT_UTEIS]], J$5, FALSE)</f>
        <v>#N/A</v>
      </c>
      <c r="K1674" s="22" t="e">
        <f>VLOOKUP($A1674, TAB_CORRECAO_C[[DIAS_CORRIDOS]:[V_FUT_UTEIS]],K$5, FALSE)</f>
        <v>#N/A</v>
      </c>
      <c r="L1674" s="22" t="e">
        <f>VLOOKUP($A1674, TAB_AMORTIZACAO_C[[DIAS_CORRIDOS]:[V_FUT_UTEIS]], L$5, FALSE)</f>
        <v>#N/A</v>
      </c>
    </row>
    <row r="1675" spans="1:12" hidden="1">
      <c r="A1675" s="19">
        <f t="shared" si="139"/>
        <v>1669</v>
      </c>
      <c r="B1675" s="20">
        <f t="shared" si="135"/>
        <v>0</v>
      </c>
      <c r="C1675" s="21">
        <f t="shared" si="136"/>
        <v>0</v>
      </c>
      <c r="D1675" s="22" t="e">
        <f>VLOOKUP($A1675, TAB_JUROS_U[[Q_DIAS_U_PARC_TIR]:[V_FUT_U_JURS CENARIO]], D$5, FALSE)</f>
        <v>#N/A</v>
      </c>
      <c r="E1675" s="22" t="e">
        <f>VLOOKUP($A1675,TAB_CORRECAO_U[[Q_DIAS_U_PARC_TIR]:[V_FUT_U_CORC-02]],E$5, FALSE)</f>
        <v>#N/A</v>
      </c>
      <c r="F1675" s="22" t="e">
        <f>VLOOKUP($A1675,TAB_AMORTIZACAO_U[[Q_DIAS_U_PARC_TIR]:[V_FUT_U_PCPL-02]], F$5, FALSE)</f>
        <v>#N/A</v>
      </c>
      <c r="H1675" s="20">
        <f t="shared" si="137"/>
        <v>0</v>
      </c>
      <c r="I1675" s="21">
        <f t="shared" si="138"/>
        <v>0</v>
      </c>
      <c r="J1675" s="22" t="e">
        <f>VLOOKUP($A1675, TAB_JUROS_C[[DIAS_CORRIDOS]:[V_FUT_UTEIS]], J$5, FALSE)</f>
        <v>#N/A</v>
      </c>
      <c r="K1675" s="22" t="e">
        <f>VLOOKUP($A1675, TAB_CORRECAO_C[[DIAS_CORRIDOS]:[V_FUT_UTEIS]],K$5, FALSE)</f>
        <v>#N/A</v>
      </c>
      <c r="L1675" s="22" t="e">
        <f>VLOOKUP($A1675, TAB_AMORTIZACAO_C[[DIAS_CORRIDOS]:[V_FUT_UTEIS]], L$5, FALSE)</f>
        <v>#N/A</v>
      </c>
    </row>
    <row r="1676" spans="1:12" hidden="1">
      <c r="A1676" s="19">
        <f t="shared" si="139"/>
        <v>1670</v>
      </c>
      <c r="B1676" s="20">
        <f t="shared" si="135"/>
        <v>0</v>
      </c>
      <c r="C1676" s="21">
        <f t="shared" si="136"/>
        <v>0</v>
      </c>
      <c r="D1676" s="22" t="e">
        <f>VLOOKUP($A1676, TAB_JUROS_U[[Q_DIAS_U_PARC_TIR]:[V_FUT_U_JURS CENARIO]], D$5, FALSE)</f>
        <v>#N/A</v>
      </c>
      <c r="E1676" s="22" t="e">
        <f>VLOOKUP($A1676,TAB_CORRECAO_U[[Q_DIAS_U_PARC_TIR]:[V_FUT_U_CORC-02]],E$5, FALSE)</f>
        <v>#N/A</v>
      </c>
      <c r="F1676" s="22" t="e">
        <f>VLOOKUP($A1676,TAB_AMORTIZACAO_U[[Q_DIAS_U_PARC_TIR]:[V_FUT_U_PCPL-02]], F$5, FALSE)</f>
        <v>#N/A</v>
      </c>
      <c r="H1676" s="20">
        <f t="shared" si="137"/>
        <v>0</v>
      </c>
      <c r="I1676" s="21">
        <f t="shared" si="138"/>
        <v>0</v>
      </c>
      <c r="J1676" s="22" t="e">
        <f>VLOOKUP($A1676, TAB_JUROS_C[[DIAS_CORRIDOS]:[V_FUT_UTEIS]], J$5, FALSE)</f>
        <v>#N/A</v>
      </c>
      <c r="K1676" s="22" t="e">
        <f>VLOOKUP($A1676, TAB_CORRECAO_C[[DIAS_CORRIDOS]:[V_FUT_UTEIS]],K$5, FALSE)</f>
        <v>#N/A</v>
      </c>
      <c r="L1676" s="22" t="e">
        <f>VLOOKUP($A1676, TAB_AMORTIZACAO_C[[DIAS_CORRIDOS]:[V_FUT_UTEIS]], L$5, FALSE)</f>
        <v>#N/A</v>
      </c>
    </row>
    <row r="1677" spans="1:12" hidden="1">
      <c r="A1677" s="19">
        <f t="shared" si="139"/>
        <v>1671</v>
      </c>
      <c r="B1677" s="20">
        <f t="shared" si="135"/>
        <v>0</v>
      </c>
      <c r="C1677" s="21">
        <f t="shared" si="136"/>
        <v>0</v>
      </c>
      <c r="D1677" s="22" t="e">
        <f>VLOOKUP($A1677, TAB_JUROS_U[[Q_DIAS_U_PARC_TIR]:[V_FUT_U_JURS CENARIO]], D$5, FALSE)</f>
        <v>#N/A</v>
      </c>
      <c r="E1677" s="22" t="e">
        <f>VLOOKUP($A1677,TAB_CORRECAO_U[[Q_DIAS_U_PARC_TIR]:[V_FUT_U_CORC-02]],E$5, FALSE)</f>
        <v>#N/A</v>
      </c>
      <c r="F1677" s="22" t="e">
        <f>VLOOKUP($A1677,TAB_AMORTIZACAO_U[[Q_DIAS_U_PARC_TIR]:[V_FUT_U_PCPL-02]], F$5, FALSE)</f>
        <v>#N/A</v>
      </c>
      <c r="H1677" s="20">
        <f t="shared" si="137"/>
        <v>0</v>
      </c>
      <c r="I1677" s="21">
        <f t="shared" si="138"/>
        <v>0</v>
      </c>
      <c r="J1677" s="22" t="e">
        <f>VLOOKUP($A1677, TAB_JUROS_C[[DIAS_CORRIDOS]:[V_FUT_UTEIS]], J$5, FALSE)</f>
        <v>#N/A</v>
      </c>
      <c r="K1677" s="22" t="e">
        <f>VLOOKUP($A1677, TAB_CORRECAO_C[[DIAS_CORRIDOS]:[V_FUT_UTEIS]],K$5, FALSE)</f>
        <v>#N/A</v>
      </c>
      <c r="L1677" s="22" t="e">
        <f>VLOOKUP($A1677, TAB_AMORTIZACAO_C[[DIAS_CORRIDOS]:[V_FUT_UTEIS]], L$5, FALSE)</f>
        <v>#N/A</v>
      </c>
    </row>
    <row r="1678" spans="1:12" hidden="1">
      <c r="A1678" s="19">
        <f t="shared" si="139"/>
        <v>1672</v>
      </c>
      <c r="B1678" s="20">
        <f t="shared" si="135"/>
        <v>0</v>
      </c>
      <c r="C1678" s="21">
        <f t="shared" si="136"/>
        <v>0</v>
      </c>
      <c r="D1678" s="22" t="e">
        <f>VLOOKUP($A1678, TAB_JUROS_U[[Q_DIAS_U_PARC_TIR]:[V_FUT_U_JURS CENARIO]], D$5, FALSE)</f>
        <v>#N/A</v>
      </c>
      <c r="E1678" s="22" t="e">
        <f>VLOOKUP($A1678,TAB_CORRECAO_U[[Q_DIAS_U_PARC_TIR]:[V_FUT_U_CORC-02]],E$5, FALSE)</f>
        <v>#N/A</v>
      </c>
      <c r="F1678" s="22" t="e">
        <f>VLOOKUP($A1678,TAB_AMORTIZACAO_U[[Q_DIAS_U_PARC_TIR]:[V_FUT_U_PCPL-02]], F$5, FALSE)</f>
        <v>#N/A</v>
      </c>
      <c r="H1678" s="20">
        <f t="shared" si="137"/>
        <v>0</v>
      </c>
      <c r="I1678" s="21">
        <f t="shared" si="138"/>
        <v>0</v>
      </c>
      <c r="J1678" s="22" t="e">
        <f>VLOOKUP($A1678, TAB_JUROS_C[[DIAS_CORRIDOS]:[V_FUT_UTEIS]], J$5, FALSE)</f>
        <v>#N/A</v>
      </c>
      <c r="K1678" s="22" t="e">
        <f>VLOOKUP($A1678, TAB_CORRECAO_C[[DIAS_CORRIDOS]:[V_FUT_UTEIS]],K$5, FALSE)</f>
        <v>#N/A</v>
      </c>
      <c r="L1678" s="22" t="e">
        <f>VLOOKUP($A1678, TAB_AMORTIZACAO_C[[DIAS_CORRIDOS]:[V_FUT_UTEIS]], L$5, FALSE)</f>
        <v>#N/A</v>
      </c>
    </row>
    <row r="1679" spans="1:12" hidden="1">
      <c r="A1679" s="19">
        <f t="shared" si="139"/>
        <v>1673</v>
      </c>
      <c r="B1679" s="20">
        <f t="shared" si="135"/>
        <v>0</v>
      </c>
      <c r="C1679" s="21">
        <f t="shared" si="136"/>
        <v>0</v>
      </c>
      <c r="D1679" s="22" t="e">
        <f>VLOOKUP($A1679, TAB_JUROS_U[[Q_DIAS_U_PARC_TIR]:[V_FUT_U_JURS CENARIO]], D$5, FALSE)</f>
        <v>#N/A</v>
      </c>
      <c r="E1679" s="22" t="e">
        <f>VLOOKUP($A1679,TAB_CORRECAO_U[[Q_DIAS_U_PARC_TIR]:[V_FUT_U_CORC-02]],E$5, FALSE)</f>
        <v>#N/A</v>
      </c>
      <c r="F1679" s="22" t="e">
        <f>VLOOKUP($A1679,TAB_AMORTIZACAO_U[[Q_DIAS_U_PARC_TIR]:[V_FUT_U_PCPL-02]], F$5, FALSE)</f>
        <v>#N/A</v>
      </c>
      <c r="H1679" s="20">
        <f t="shared" si="137"/>
        <v>0</v>
      </c>
      <c r="I1679" s="21">
        <f t="shared" si="138"/>
        <v>0</v>
      </c>
      <c r="J1679" s="22" t="e">
        <f>VLOOKUP($A1679, TAB_JUROS_C[[DIAS_CORRIDOS]:[V_FUT_UTEIS]], J$5, FALSE)</f>
        <v>#N/A</v>
      </c>
      <c r="K1679" s="22" t="e">
        <f>VLOOKUP($A1679, TAB_CORRECAO_C[[DIAS_CORRIDOS]:[V_FUT_UTEIS]],K$5, FALSE)</f>
        <v>#N/A</v>
      </c>
      <c r="L1679" s="22" t="e">
        <f>VLOOKUP($A1679, TAB_AMORTIZACAO_C[[DIAS_CORRIDOS]:[V_FUT_UTEIS]], L$5, FALSE)</f>
        <v>#N/A</v>
      </c>
    </row>
    <row r="1680" spans="1:12" hidden="1">
      <c r="A1680" s="19">
        <f t="shared" si="139"/>
        <v>1674</v>
      </c>
      <c r="B1680" s="20">
        <f t="shared" si="135"/>
        <v>0</v>
      </c>
      <c r="C1680" s="21">
        <f t="shared" si="136"/>
        <v>0</v>
      </c>
      <c r="D1680" s="22" t="e">
        <f>VLOOKUP($A1680, TAB_JUROS_U[[Q_DIAS_U_PARC_TIR]:[V_FUT_U_JURS CENARIO]], D$5, FALSE)</f>
        <v>#N/A</v>
      </c>
      <c r="E1680" s="22" t="e">
        <f>VLOOKUP($A1680,TAB_CORRECAO_U[[Q_DIAS_U_PARC_TIR]:[V_FUT_U_CORC-02]],E$5, FALSE)</f>
        <v>#N/A</v>
      </c>
      <c r="F1680" s="22" t="e">
        <f>VLOOKUP($A1680,TAB_AMORTIZACAO_U[[Q_DIAS_U_PARC_TIR]:[V_FUT_U_PCPL-02]], F$5, FALSE)</f>
        <v>#N/A</v>
      </c>
      <c r="H1680" s="20">
        <f t="shared" si="137"/>
        <v>0</v>
      </c>
      <c r="I1680" s="21">
        <f t="shared" si="138"/>
        <v>0</v>
      </c>
      <c r="J1680" s="22" t="e">
        <f>VLOOKUP($A1680, TAB_JUROS_C[[DIAS_CORRIDOS]:[V_FUT_UTEIS]], J$5, FALSE)</f>
        <v>#N/A</v>
      </c>
      <c r="K1680" s="22" t="e">
        <f>VLOOKUP($A1680, TAB_CORRECAO_C[[DIAS_CORRIDOS]:[V_FUT_UTEIS]],K$5, FALSE)</f>
        <v>#N/A</v>
      </c>
      <c r="L1680" s="22" t="e">
        <f>VLOOKUP($A1680, TAB_AMORTIZACAO_C[[DIAS_CORRIDOS]:[V_FUT_UTEIS]], L$5, FALSE)</f>
        <v>#N/A</v>
      </c>
    </row>
    <row r="1681" spans="1:12" hidden="1">
      <c r="A1681" s="19">
        <f t="shared" si="139"/>
        <v>1675</v>
      </c>
      <c r="B1681" s="20">
        <f t="shared" si="135"/>
        <v>0</v>
      </c>
      <c r="C1681" s="21">
        <f t="shared" si="136"/>
        <v>0</v>
      </c>
      <c r="D1681" s="22" t="e">
        <f>VLOOKUP($A1681, TAB_JUROS_U[[Q_DIAS_U_PARC_TIR]:[V_FUT_U_JURS CENARIO]], D$5, FALSE)</f>
        <v>#N/A</v>
      </c>
      <c r="E1681" s="22" t="e">
        <f>VLOOKUP($A1681,TAB_CORRECAO_U[[Q_DIAS_U_PARC_TIR]:[V_FUT_U_CORC-02]],E$5, FALSE)</f>
        <v>#N/A</v>
      </c>
      <c r="F1681" s="22" t="e">
        <f>VLOOKUP($A1681,TAB_AMORTIZACAO_U[[Q_DIAS_U_PARC_TIR]:[V_FUT_U_PCPL-02]], F$5, FALSE)</f>
        <v>#N/A</v>
      </c>
      <c r="H1681" s="20">
        <f t="shared" si="137"/>
        <v>0</v>
      </c>
      <c r="I1681" s="21">
        <f t="shared" si="138"/>
        <v>0</v>
      </c>
      <c r="J1681" s="22" t="e">
        <f>VLOOKUP($A1681, TAB_JUROS_C[[DIAS_CORRIDOS]:[V_FUT_UTEIS]], J$5, FALSE)</f>
        <v>#N/A</v>
      </c>
      <c r="K1681" s="22" t="e">
        <f>VLOOKUP($A1681, TAB_CORRECAO_C[[DIAS_CORRIDOS]:[V_FUT_UTEIS]],K$5, FALSE)</f>
        <v>#N/A</v>
      </c>
      <c r="L1681" s="22" t="e">
        <f>VLOOKUP($A1681, TAB_AMORTIZACAO_C[[DIAS_CORRIDOS]:[V_FUT_UTEIS]], L$5, FALSE)</f>
        <v>#N/A</v>
      </c>
    </row>
    <row r="1682" spans="1:12" hidden="1">
      <c r="A1682" s="19">
        <f t="shared" si="139"/>
        <v>1676</v>
      </c>
      <c r="B1682" s="20">
        <f t="shared" si="135"/>
        <v>0</v>
      </c>
      <c r="C1682" s="21">
        <f t="shared" si="136"/>
        <v>0</v>
      </c>
      <c r="D1682" s="22" t="e">
        <f>VLOOKUP($A1682, TAB_JUROS_U[[Q_DIAS_U_PARC_TIR]:[V_FUT_U_JURS CENARIO]], D$5, FALSE)</f>
        <v>#N/A</v>
      </c>
      <c r="E1682" s="22" t="e">
        <f>VLOOKUP($A1682,TAB_CORRECAO_U[[Q_DIAS_U_PARC_TIR]:[V_FUT_U_CORC-02]],E$5, FALSE)</f>
        <v>#N/A</v>
      </c>
      <c r="F1682" s="22" t="e">
        <f>VLOOKUP($A1682,TAB_AMORTIZACAO_U[[Q_DIAS_U_PARC_TIR]:[V_FUT_U_PCPL-02]], F$5, FALSE)</f>
        <v>#N/A</v>
      </c>
      <c r="H1682" s="20">
        <f t="shared" si="137"/>
        <v>0</v>
      </c>
      <c r="I1682" s="21">
        <f t="shared" si="138"/>
        <v>0</v>
      </c>
      <c r="J1682" s="22" t="e">
        <f>VLOOKUP($A1682, TAB_JUROS_C[[DIAS_CORRIDOS]:[V_FUT_UTEIS]], J$5, FALSE)</f>
        <v>#N/A</v>
      </c>
      <c r="K1682" s="22" t="e">
        <f>VLOOKUP($A1682, TAB_CORRECAO_C[[DIAS_CORRIDOS]:[V_FUT_UTEIS]],K$5, FALSE)</f>
        <v>#N/A</v>
      </c>
      <c r="L1682" s="22" t="e">
        <f>VLOOKUP($A1682, TAB_AMORTIZACAO_C[[DIAS_CORRIDOS]:[V_FUT_UTEIS]], L$5, FALSE)</f>
        <v>#N/A</v>
      </c>
    </row>
    <row r="1683" spans="1:12" hidden="1">
      <c r="A1683" s="19">
        <f t="shared" si="139"/>
        <v>1677</v>
      </c>
      <c r="B1683" s="20">
        <f t="shared" si="135"/>
        <v>0</v>
      </c>
      <c r="C1683" s="21">
        <f t="shared" si="136"/>
        <v>0</v>
      </c>
      <c r="D1683" s="22" t="e">
        <f>VLOOKUP($A1683, TAB_JUROS_U[[Q_DIAS_U_PARC_TIR]:[V_FUT_U_JURS CENARIO]], D$5, FALSE)</f>
        <v>#N/A</v>
      </c>
      <c r="E1683" s="22" t="e">
        <f>VLOOKUP($A1683,TAB_CORRECAO_U[[Q_DIAS_U_PARC_TIR]:[V_FUT_U_CORC-02]],E$5, FALSE)</f>
        <v>#N/A</v>
      </c>
      <c r="F1683" s="22" t="e">
        <f>VLOOKUP($A1683,TAB_AMORTIZACAO_U[[Q_DIAS_U_PARC_TIR]:[V_FUT_U_PCPL-02]], F$5, FALSE)</f>
        <v>#N/A</v>
      </c>
      <c r="H1683" s="20">
        <f t="shared" si="137"/>
        <v>0</v>
      </c>
      <c r="I1683" s="21">
        <f t="shared" si="138"/>
        <v>0</v>
      </c>
      <c r="J1683" s="22" t="e">
        <f>VLOOKUP($A1683, TAB_JUROS_C[[DIAS_CORRIDOS]:[V_FUT_UTEIS]], J$5, FALSE)</f>
        <v>#N/A</v>
      </c>
      <c r="K1683" s="22" t="e">
        <f>VLOOKUP($A1683, TAB_CORRECAO_C[[DIAS_CORRIDOS]:[V_FUT_UTEIS]],K$5, FALSE)</f>
        <v>#N/A</v>
      </c>
      <c r="L1683" s="22" t="e">
        <f>VLOOKUP($A1683, TAB_AMORTIZACAO_C[[DIAS_CORRIDOS]:[V_FUT_UTEIS]], L$5, FALSE)</f>
        <v>#N/A</v>
      </c>
    </row>
    <row r="1684" spans="1:12" hidden="1">
      <c r="A1684" s="19">
        <f t="shared" si="139"/>
        <v>1678</v>
      </c>
      <c r="B1684" s="20">
        <f t="shared" si="135"/>
        <v>0</v>
      </c>
      <c r="C1684" s="21">
        <f t="shared" si="136"/>
        <v>0</v>
      </c>
      <c r="D1684" s="22" t="e">
        <f>VLOOKUP($A1684, TAB_JUROS_U[[Q_DIAS_U_PARC_TIR]:[V_FUT_U_JURS CENARIO]], D$5, FALSE)</f>
        <v>#N/A</v>
      </c>
      <c r="E1684" s="22" t="e">
        <f>VLOOKUP($A1684,TAB_CORRECAO_U[[Q_DIAS_U_PARC_TIR]:[V_FUT_U_CORC-02]],E$5, FALSE)</f>
        <v>#N/A</v>
      </c>
      <c r="F1684" s="22" t="e">
        <f>VLOOKUP($A1684,TAB_AMORTIZACAO_U[[Q_DIAS_U_PARC_TIR]:[V_FUT_U_PCPL-02]], F$5, FALSE)</f>
        <v>#N/A</v>
      </c>
      <c r="H1684" s="20">
        <f t="shared" si="137"/>
        <v>0</v>
      </c>
      <c r="I1684" s="21">
        <f t="shared" si="138"/>
        <v>0</v>
      </c>
      <c r="J1684" s="22" t="e">
        <f>VLOOKUP($A1684, TAB_JUROS_C[[DIAS_CORRIDOS]:[V_FUT_UTEIS]], J$5, FALSE)</f>
        <v>#N/A</v>
      </c>
      <c r="K1684" s="22" t="e">
        <f>VLOOKUP($A1684, TAB_CORRECAO_C[[DIAS_CORRIDOS]:[V_FUT_UTEIS]],K$5, FALSE)</f>
        <v>#N/A</v>
      </c>
      <c r="L1684" s="22" t="e">
        <f>VLOOKUP($A1684, TAB_AMORTIZACAO_C[[DIAS_CORRIDOS]:[V_FUT_UTEIS]], L$5, FALSE)</f>
        <v>#N/A</v>
      </c>
    </row>
    <row r="1685" spans="1:12" hidden="1">
      <c r="A1685" s="19">
        <f t="shared" si="139"/>
        <v>1679</v>
      </c>
      <c r="B1685" s="20">
        <f t="shared" si="135"/>
        <v>0</v>
      </c>
      <c r="C1685" s="21">
        <f t="shared" si="136"/>
        <v>0</v>
      </c>
      <c r="D1685" s="22" t="e">
        <f>VLOOKUP($A1685, TAB_JUROS_U[[Q_DIAS_U_PARC_TIR]:[V_FUT_U_JURS CENARIO]], D$5, FALSE)</f>
        <v>#N/A</v>
      </c>
      <c r="E1685" s="22" t="e">
        <f>VLOOKUP($A1685,TAB_CORRECAO_U[[Q_DIAS_U_PARC_TIR]:[V_FUT_U_CORC-02]],E$5, FALSE)</f>
        <v>#N/A</v>
      </c>
      <c r="F1685" s="22" t="e">
        <f>VLOOKUP($A1685,TAB_AMORTIZACAO_U[[Q_DIAS_U_PARC_TIR]:[V_FUT_U_PCPL-02]], F$5, FALSE)</f>
        <v>#N/A</v>
      </c>
      <c r="H1685" s="20">
        <f t="shared" si="137"/>
        <v>0</v>
      </c>
      <c r="I1685" s="21">
        <f t="shared" si="138"/>
        <v>0</v>
      </c>
      <c r="J1685" s="22" t="e">
        <f>VLOOKUP($A1685, TAB_JUROS_C[[DIAS_CORRIDOS]:[V_FUT_UTEIS]], J$5, FALSE)</f>
        <v>#N/A</v>
      </c>
      <c r="K1685" s="22" t="e">
        <f>VLOOKUP($A1685, TAB_CORRECAO_C[[DIAS_CORRIDOS]:[V_FUT_UTEIS]],K$5, FALSE)</f>
        <v>#N/A</v>
      </c>
      <c r="L1685" s="22" t="e">
        <f>VLOOKUP($A1685, TAB_AMORTIZACAO_C[[DIAS_CORRIDOS]:[V_FUT_UTEIS]], L$5, FALSE)</f>
        <v>#N/A</v>
      </c>
    </row>
    <row r="1686" spans="1:12" hidden="1">
      <c r="A1686" s="19">
        <f t="shared" si="139"/>
        <v>1680</v>
      </c>
      <c r="B1686" s="20">
        <f t="shared" si="135"/>
        <v>0</v>
      </c>
      <c r="C1686" s="21">
        <f t="shared" si="136"/>
        <v>0</v>
      </c>
      <c r="D1686" s="22" t="e">
        <f>VLOOKUP($A1686, TAB_JUROS_U[[Q_DIAS_U_PARC_TIR]:[V_FUT_U_JURS CENARIO]], D$5, FALSE)</f>
        <v>#N/A</v>
      </c>
      <c r="E1686" s="22" t="e">
        <f>VLOOKUP($A1686,TAB_CORRECAO_U[[Q_DIAS_U_PARC_TIR]:[V_FUT_U_CORC-02]],E$5, FALSE)</f>
        <v>#N/A</v>
      </c>
      <c r="F1686" s="22" t="e">
        <f>VLOOKUP($A1686,TAB_AMORTIZACAO_U[[Q_DIAS_U_PARC_TIR]:[V_FUT_U_PCPL-02]], F$5, FALSE)</f>
        <v>#N/A</v>
      </c>
      <c r="H1686" s="20">
        <f t="shared" si="137"/>
        <v>0</v>
      </c>
      <c r="I1686" s="21">
        <f t="shared" si="138"/>
        <v>0</v>
      </c>
      <c r="J1686" s="22" t="e">
        <f>VLOOKUP($A1686, TAB_JUROS_C[[DIAS_CORRIDOS]:[V_FUT_UTEIS]], J$5, FALSE)</f>
        <v>#N/A</v>
      </c>
      <c r="K1686" s="22" t="e">
        <f>VLOOKUP($A1686, TAB_CORRECAO_C[[DIAS_CORRIDOS]:[V_FUT_UTEIS]],K$5, FALSE)</f>
        <v>#N/A</v>
      </c>
      <c r="L1686" s="22" t="e">
        <f>VLOOKUP($A1686, TAB_AMORTIZACAO_C[[DIAS_CORRIDOS]:[V_FUT_UTEIS]], L$5, FALSE)</f>
        <v>#N/A</v>
      </c>
    </row>
    <row r="1687" spans="1:12" hidden="1">
      <c r="A1687" s="19">
        <f t="shared" si="139"/>
        <v>1681</v>
      </c>
      <c r="B1687" s="20">
        <f t="shared" si="135"/>
        <v>0</v>
      </c>
      <c r="C1687" s="21">
        <f t="shared" si="136"/>
        <v>0</v>
      </c>
      <c r="D1687" s="22" t="e">
        <f>VLOOKUP($A1687, TAB_JUROS_U[[Q_DIAS_U_PARC_TIR]:[V_FUT_U_JURS CENARIO]], D$5, FALSE)</f>
        <v>#N/A</v>
      </c>
      <c r="E1687" s="22" t="e">
        <f>VLOOKUP($A1687,TAB_CORRECAO_U[[Q_DIAS_U_PARC_TIR]:[V_FUT_U_CORC-02]],E$5, FALSE)</f>
        <v>#N/A</v>
      </c>
      <c r="F1687" s="22" t="e">
        <f>VLOOKUP($A1687,TAB_AMORTIZACAO_U[[Q_DIAS_U_PARC_TIR]:[V_FUT_U_PCPL-02]], F$5, FALSE)</f>
        <v>#N/A</v>
      </c>
      <c r="H1687" s="20">
        <f t="shared" si="137"/>
        <v>0</v>
      </c>
      <c r="I1687" s="21">
        <f t="shared" si="138"/>
        <v>0</v>
      </c>
      <c r="J1687" s="22" t="e">
        <f>VLOOKUP($A1687, TAB_JUROS_C[[DIAS_CORRIDOS]:[V_FUT_UTEIS]], J$5, FALSE)</f>
        <v>#N/A</v>
      </c>
      <c r="K1687" s="22" t="e">
        <f>VLOOKUP($A1687, TAB_CORRECAO_C[[DIAS_CORRIDOS]:[V_FUT_UTEIS]],K$5, FALSE)</f>
        <v>#N/A</v>
      </c>
      <c r="L1687" s="22" t="e">
        <f>VLOOKUP($A1687, TAB_AMORTIZACAO_C[[DIAS_CORRIDOS]:[V_FUT_UTEIS]], L$5, FALSE)</f>
        <v>#N/A</v>
      </c>
    </row>
    <row r="1688" spans="1:12" hidden="1">
      <c r="A1688" s="19">
        <f t="shared" si="139"/>
        <v>1682</v>
      </c>
      <c r="B1688" s="20">
        <f t="shared" si="135"/>
        <v>0</v>
      </c>
      <c r="C1688" s="21">
        <f t="shared" si="136"/>
        <v>0</v>
      </c>
      <c r="D1688" s="22" t="e">
        <f>VLOOKUP($A1688, TAB_JUROS_U[[Q_DIAS_U_PARC_TIR]:[V_FUT_U_JURS CENARIO]], D$5, FALSE)</f>
        <v>#N/A</v>
      </c>
      <c r="E1688" s="22" t="e">
        <f>VLOOKUP($A1688,TAB_CORRECAO_U[[Q_DIAS_U_PARC_TIR]:[V_FUT_U_CORC-02]],E$5, FALSE)</f>
        <v>#N/A</v>
      </c>
      <c r="F1688" s="22" t="e">
        <f>VLOOKUP($A1688,TAB_AMORTIZACAO_U[[Q_DIAS_U_PARC_TIR]:[V_FUT_U_PCPL-02]], F$5, FALSE)</f>
        <v>#N/A</v>
      </c>
      <c r="H1688" s="20">
        <f t="shared" si="137"/>
        <v>0</v>
      </c>
      <c r="I1688" s="21">
        <f t="shared" si="138"/>
        <v>0</v>
      </c>
      <c r="J1688" s="22" t="e">
        <f>VLOOKUP($A1688, TAB_JUROS_C[[DIAS_CORRIDOS]:[V_FUT_UTEIS]], J$5, FALSE)</f>
        <v>#N/A</v>
      </c>
      <c r="K1688" s="22" t="e">
        <f>VLOOKUP($A1688, TAB_CORRECAO_C[[DIAS_CORRIDOS]:[V_FUT_UTEIS]],K$5, FALSE)</f>
        <v>#N/A</v>
      </c>
      <c r="L1688" s="22" t="e">
        <f>VLOOKUP($A1688, TAB_AMORTIZACAO_C[[DIAS_CORRIDOS]:[V_FUT_UTEIS]], L$5, FALSE)</f>
        <v>#N/A</v>
      </c>
    </row>
    <row r="1689" spans="1:12" hidden="1">
      <c r="A1689" s="19">
        <f t="shared" si="139"/>
        <v>1683</v>
      </c>
      <c r="B1689" s="20">
        <f t="shared" si="135"/>
        <v>0</v>
      </c>
      <c r="C1689" s="21">
        <f t="shared" si="136"/>
        <v>0</v>
      </c>
      <c r="D1689" s="22" t="e">
        <f>VLOOKUP($A1689, TAB_JUROS_U[[Q_DIAS_U_PARC_TIR]:[V_FUT_U_JURS CENARIO]], D$5, FALSE)</f>
        <v>#N/A</v>
      </c>
      <c r="E1689" s="22" t="e">
        <f>VLOOKUP($A1689,TAB_CORRECAO_U[[Q_DIAS_U_PARC_TIR]:[V_FUT_U_CORC-02]],E$5, FALSE)</f>
        <v>#N/A</v>
      </c>
      <c r="F1689" s="22" t="e">
        <f>VLOOKUP($A1689,TAB_AMORTIZACAO_U[[Q_DIAS_U_PARC_TIR]:[V_FUT_U_PCPL-02]], F$5, FALSE)</f>
        <v>#N/A</v>
      </c>
      <c r="H1689" s="20">
        <f t="shared" si="137"/>
        <v>0</v>
      </c>
      <c r="I1689" s="21">
        <f t="shared" si="138"/>
        <v>0</v>
      </c>
      <c r="J1689" s="22" t="e">
        <f>VLOOKUP($A1689, TAB_JUROS_C[[DIAS_CORRIDOS]:[V_FUT_UTEIS]], J$5, FALSE)</f>
        <v>#N/A</v>
      </c>
      <c r="K1689" s="22" t="e">
        <f>VLOOKUP($A1689, TAB_CORRECAO_C[[DIAS_CORRIDOS]:[V_FUT_UTEIS]],K$5, FALSE)</f>
        <v>#N/A</v>
      </c>
      <c r="L1689" s="22" t="e">
        <f>VLOOKUP($A1689, TAB_AMORTIZACAO_C[[DIAS_CORRIDOS]:[V_FUT_UTEIS]], L$5, FALSE)</f>
        <v>#N/A</v>
      </c>
    </row>
    <row r="1690" spans="1:12" hidden="1">
      <c r="A1690" s="19">
        <f t="shared" si="139"/>
        <v>1684</v>
      </c>
      <c r="B1690" s="20">
        <f t="shared" si="135"/>
        <v>0</v>
      </c>
      <c r="C1690" s="21">
        <f t="shared" si="136"/>
        <v>0</v>
      </c>
      <c r="D1690" s="22" t="e">
        <f>VLOOKUP($A1690, TAB_JUROS_U[[Q_DIAS_U_PARC_TIR]:[V_FUT_U_JURS CENARIO]], D$5, FALSE)</f>
        <v>#N/A</v>
      </c>
      <c r="E1690" s="22" t="e">
        <f>VLOOKUP($A1690,TAB_CORRECAO_U[[Q_DIAS_U_PARC_TIR]:[V_FUT_U_CORC-02]],E$5, FALSE)</f>
        <v>#N/A</v>
      </c>
      <c r="F1690" s="22" t="e">
        <f>VLOOKUP($A1690,TAB_AMORTIZACAO_U[[Q_DIAS_U_PARC_TIR]:[V_FUT_U_PCPL-02]], F$5, FALSE)</f>
        <v>#N/A</v>
      </c>
      <c r="H1690" s="20">
        <f t="shared" si="137"/>
        <v>0</v>
      </c>
      <c r="I1690" s="21">
        <f t="shared" si="138"/>
        <v>0</v>
      </c>
      <c r="J1690" s="22" t="e">
        <f>VLOOKUP($A1690, TAB_JUROS_C[[DIAS_CORRIDOS]:[V_FUT_UTEIS]], J$5, FALSE)</f>
        <v>#N/A</v>
      </c>
      <c r="K1690" s="22" t="e">
        <f>VLOOKUP($A1690, TAB_CORRECAO_C[[DIAS_CORRIDOS]:[V_FUT_UTEIS]],K$5, FALSE)</f>
        <v>#N/A</v>
      </c>
      <c r="L1690" s="22" t="e">
        <f>VLOOKUP($A1690, TAB_AMORTIZACAO_C[[DIAS_CORRIDOS]:[V_FUT_UTEIS]], L$5, FALSE)</f>
        <v>#N/A</v>
      </c>
    </row>
    <row r="1691" spans="1:12" hidden="1">
      <c r="A1691" s="19">
        <f t="shared" si="139"/>
        <v>1685</v>
      </c>
      <c r="B1691" s="20">
        <f t="shared" si="135"/>
        <v>0</v>
      </c>
      <c r="C1691" s="21">
        <f t="shared" si="136"/>
        <v>0</v>
      </c>
      <c r="D1691" s="22" t="e">
        <f>VLOOKUP($A1691, TAB_JUROS_U[[Q_DIAS_U_PARC_TIR]:[V_FUT_U_JURS CENARIO]], D$5, FALSE)</f>
        <v>#N/A</v>
      </c>
      <c r="E1691" s="22" t="e">
        <f>VLOOKUP($A1691,TAB_CORRECAO_U[[Q_DIAS_U_PARC_TIR]:[V_FUT_U_CORC-02]],E$5, FALSE)</f>
        <v>#N/A</v>
      </c>
      <c r="F1691" s="22" t="e">
        <f>VLOOKUP($A1691,TAB_AMORTIZACAO_U[[Q_DIAS_U_PARC_TIR]:[V_FUT_U_PCPL-02]], F$5, FALSE)</f>
        <v>#N/A</v>
      </c>
      <c r="H1691" s="20">
        <f t="shared" si="137"/>
        <v>0</v>
      </c>
      <c r="I1691" s="21">
        <f t="shared" si="138"/>
        <v>0</v>
      </c>
      <c r="J1691" s="22" t="e">
        <f>VLOOKUP($A1691, TAB_JUROS_C[[DIAS_CORRIDOS]:[V_FUT_UTEIS]], J$5, FALSE)</f>
        <v>#N/A</v>
      </c>
      <c r="K1691" s="22" t="e">
        <f>VLOOKUP($A1691, TAB_CORRECAO_C[[DIAS_CORRIDOS]:[V_FUT_UTEIS]],K$5, FALSE)</f>
        <v>#N/A</v>
      </c>
      <c r="L1691" s="22" t="e">
        <f>VLOOKUP($A1691, TAB_AMORTIZACAO_C[[DIAS_CORRIDOS]:[V_FUT_UTEIS]], L$5, FALSE)</f>
        <v>#N/A</v>
      </c>
    </row>
    <row r="1692" spans="1:12">
      <c r="A1692" s="19">
        <f t="shared" si="139"/>
        <v>1686</v>
      </c>
      <c r="B1692" s="20">
        <f t="shared" si="135"/>
        <v>438.72816601087453</v>
      </c>
      <c r="C1692" s="21">
        <f t="shared" si="136"/>
        <v>438.72816601087453</v>
      </c>
      <c r="D1692" s="22">
        <f>VLOOKUP($A1692, TAB_JUROS_U[[Q_DIAS_U_PARC_TIR]:[V_FUT_U_JURS CENARIO]], D$5, FALSE)</f>
        <v>30.110414490946685</v>
      </c>
      <c r="E1692" s="22">
        <f>VLOOKUP($A1692,TAB_CORRECAO_U[[Q_DIAS_U_PARC_TIR]:[V_FUT_U_CORC-02]],E$5, FALSE)</f>
        <v>181.78157674414493</v>
      </c>
      <c r="F1692" s="22">
        <f>VLOOKUP($A1692,TAB_AMORTIZACAO_U[[Q_DIAS_U_PARC_TIR]:[V_FUT_U_PCPL-02]], F$5, FALSE)</f>
        <v>226.83617477578292</v>
      </c>
      <c r="H1692" s="20">
        <f t="shared" si="137"/>
        <v>0</v>
      </c>
      <c r="I1692" s="21">
        <f t="shared" si="138"/>
        <v>0</v>
      </c>
      <c r="J1692" s="22" t="e">
        <f>VLOOKUP($A1692, TAB_JUROS_C[[DIAS_CORRIDOS]:[V_FUT_UTEIS]], J$5, FALSE)</f>
        <v>#N/A</v>
      </c>
      <c r="K1692" s="22" t="e">
        <f>VLOOKUP($A1692, TAB_CORRECAO_C[[DIAS_CORRIDOS]:[V_FUT_UTEIS]],K$5, FALSE)</f>
        <v>#N/A</v>
      </c>
      <c r="L1692" s="22" t="e">
        <f>VLOOKUP($A1692, TAB_AMORTIZACAO_C[[DIAS_CORRIDOS]:[V_FUT_UTEIS]], L$5, FALSE)</f>
        <v>#N/A</v>
      </c>
    </row>
    <row r="1693" spans="1:12" hidden="1">
      <c r="A1693" s="19">
        <f t="shared" si="139"/>
        <v>1687</v>
      </c>
      <c r="B1693" s="20">
        <f t="shared" si="135"/>
        <v>0</v>
      </c>
      <c r="C1693" s="21">
        <f t="shared" si="136"/>
        <v>0</v>
      </c>
      <c r="D1693" s="22" t="e">
        <f>VLOOKUP($A1693, TAB_JUROS_U[[Q_DIAS_U_PARC_TIR]:[V_FUT_U_JURS CENARIO]], D$5, FALSE)</f>
        <v>#N/A</v>
      </c>
      <c r="E1693" s="22" t="e">
        <f>VLOOKUP($A1693,TAB_CORRECAO_U[[Q_DIAS_U_PARC_TIR]:[V_FUT_U_CORC-02]],E$5, FALSE)</f>
        <v>#N/A</v>
      </c>
      <c r="F1693" s="22" t="e">
        <f>VLOOKUP($A1693,TAB_AMORTIZACAO_U[[Q_DIAS_U_PARC_TIR]:[V_FUT_U_PCPL-02]], F$5, FALSE)</f>
        <v>#N/A</v>
      </c>
      <c r="H1693" s="20">
        <f t="shared" si="137"/>
        <v>774.37258454585685</v>
      </c>
      <c r="I1693" s="21">
        <f t="shared" si="138"/>
        <v>774.37258454585685</v>
      </c>
      <c r="J1693" s="22">
        <f>VLOOKUP($A1693, TAB_JUROS_C[[DIAS_CORRIDOS]:[V_FUT_UTEIS]], J$5, FALSE)</f>
        <v>60.505801733698711</v>
      </c>
      <c r="K1693" s="22">
        <f>VLOOKUP($A1693, TAB_CORRECAO_C[[DIAS_CORRIDOS]:[V_FUT_UTEIS]],K$5, FALSE)</f>
        <v>361.9593554069852</v>
      </c>
      <c r="L1693" s="22">
        <f>VLOOKUP($A1693, TAB_AMORTIZACAO_C[[DIAS_CORRIDOS]:[V_FUT_UTEIS]], L$5, FALSE)</f>
        <v>351.90742740517294</v>
      </c>
    </row>
    <row r="1694" spans="1:12" hidden="1">
      <c r="A1694" s="19">
        <f t="shared" si="139"/>
        <v>1688</v>
      </c>
      <c r="B1694" s="20">
        <f t="shared" si="135"/>
        <v>0</v>
      </c>
      <c r="C1694" s="21">
        <f t="shared" si="136"/>
        <v>0</v>
      </c>
      <c r="D1694" s="22" t="e">
        <f>VLOOKUP($A1694, TAB_JUROS_U[[Q_DIAS_U_PARC_TIR]:[V_FUT_U_JURS CENARIO]], D$5, FALSE)</f>
        <v>#N/A</v>
      </c>
      <c r="E1694" s="22" t="e">
        <f>VLOOKUP($A1694,TAB_CORRECAO_U[[Q_DIAS_U_PARC_TIR]:[V_FUT_U_CORC-02]],E$5, FALSE)</f>
        <v>#N/A</v>
      </c>
      <c r="F1694" s="22" t="e">
        <f>VLOOKUP($A1694,TAB_AMORTIZACAO_U[[Q_DIAS_U_PARC_TIR]:[V_FUT_U_PCPL-02]], F$5, FALSE)</f>
        <v>#N/A</v>
      </c>
      <c r="H1694" s="20">
        <f t="shared" si="137"/>
        <v>0</v>
      </c>
      <c r="I1694" s="21">
        <f t="shared" si="138"/>
        <v>0</v>
      </c>
      <c r="J1694" s="22" t="e">
        <f>VLOOKUP($A1694, TAB_JUROS_C[[DIAS_CORRIDOS]:[V_FUT_UTEIS]], J$5, FALSE)</f>
        <v>#N/A</v>
      </c>
      <c r="K1694" s="22" t="e">
        <f>VLOOKUP($A1694, TAB_CORRECAO_C[[DIAS_CORRIDOS]:[V_FUT_UTEIS]],K$5, FALSE)</f>
        <v>#N/A</v>
      </c>
      <c r="L1694" s="22" t="e">
        <f>VLOOKUP($A1694, TAB_AMORTIZACAO_C[[DIAS_CORRIDOS]:[V_FUT_UTEIS]], L$5, FALSE)</f>
        <v>#N/A</v>
      </c>
    </row>
    <row r="1695" spans="1:12" hidden="1">
      <c r="A1695" s="19">
        <f t="shared" si="139"/>
        <v>1689</v>
      </c>
      <c r="B1695" s="20">
        <f t="shared" si="135"/>
        <v>0</v>
      </c>
      <c r="C1695" s="21">
        <f t="shared" si="136"/>
        <v>0</v>
      </c>
      <c r="D1695" s="22" t="e">
        <f>VLOOKUP($A1695, TAB_JUROS_U[[Q_DIAS_U_PARC_TIR]:[V_FUT_U_JURS CENARIO]], D$5, FALSE)</f>
        <v>#N/A</v>
      </c>
      <c r="E1695" s="22" t="e">
        <f>VLOOKUP($A1695,TAB_CORRECAO_U[[Q_DIAS_U_PARC_TIR]:[V_FUT_U_CORC-02]],E$5, FALSE)</f>
        <v>#N/A</v>
      </c>
      <c r="F1695" s="22" t="e">
        <f>VLOOKUP($A1695,TAB_AMORTIZACAO_U[[Q_DIAS_U_PARC_TIR]:[V_FUT_U_PCPL-02]], F$5, FALSE)</f>
        <v>#N/A</v>
      </c>
      <c r="H1695" s="20">
        <f t="shared" si="137"/>
        <v>0</v>
      </c>
      <c r="I1695" s="21">
        <f t="shared" si="138"/>
        <v>0</v>
      </c>
      <c r="J1695" s="22" t="e">
        <f>VLOOKUP($A1695, TAB_JUROS_C[[DIAS_CORRIDOS]:[V_FUT_UTEIS]], J$5, FALSE)</f>
        <v>#N/A</v>
      </c>
      <c r="K1695" s="22" t="e">
        <f>VLOOKUP($A1695, TAB_CORRECAO_C[[DIAS_CORRIDOS]:[V_FUT_UTEIS]],K$5, FALSE)</f>
        <v>#N/A</v>
      </c>
      <c r="L1695" s="22" t="e">
        <f>VLOOKUP($A1695, TAB_AMORTIZACAO_C[[DIAS_CORRIDOS]:[V_FUT_UTEIS]], L$5, FALSE)</f>
        <v>#N/A</v>
      </c>
    </row>
    <row r="1696" spans="1:12" hidden="1">
      <c r="A1696" s="19">
        <f t="shared" si="139"/>
        <v>1690</v>
      </c>
      <c r="B1696" s="20">
        <f t="shared" si="135"/>
        <v>0</v>
      </c>
      <c r="C1696" s="21">
        <f t="shared" si="136"/>
        <v>0</v>
      </c>
      <c r="D1696" s="22" t="e">
        <f>VLOOKUP($A1696, TAB_JUROS_U[[Q_DIAS_U_PARC_TIR]:[V_FUT_U_JURS CENARIO]], D$5, FALSE)</f>
        <v>#N/A</v>
      </c>
      <c r="E1696" s="22" t="e">
        <f>VLOOKUP($A1696,TAB_CORRECAO_U[[Q_DIAS_U_PARC_TIR]:[V_FUT_U_CORC-02]],E$5, FALSE)</f>
        <v>#N/A</v>
      </c>
      <c r="F1696" s="22" t="e">
        <f>VLOOKUP($A1696,TAB_AMORTIZACAO_U[[Q_DIAS_U_PARC_TIR]:[V_FUT_U_PCPL-02]], F$5, FALSE)</f>
        <v>#N/A</v>
      </c>
      <c r="H1696" s="20">
        <f t="shared" si="137"/>
        <v>0</v>
      </c>
      <c r="I1696" s="21">
        <f t="shared" si="138"/>
        <v>0</v>
      </c>
      <c r="J1696" s="22" t="e">
        <f>VLOOKUP($A1696, TAB_JUROS_C[[DIAS_CORRIDOS]:[V_FUT_UTEIS]], J$5, FALSE)</f>
        <v>#N/A</v>
      </c>
      <c r="K1696" s="22" t="e">
        <f>VLOOKUP($A1696, TAB_CORRECAO_C[[DIAS_CORRIDOS]:[V_FUT_UTEIS]],K$5, FALSE)</f>
        <v>#N/A</v>
      </c>
      <c r="L1696" s="22" t="e">
        <f>VLOOKUP($A1696, TAB_AMORTIZACAO_C[[DIAS_CORRIDOS]:[V_FUT_UTEIS]], L$5, FALSE)</f>
        <v>#N/A</v>
      </c>
    </row>
    <row r="1697" spans="1:12" hidden="1">
      <c r="A1697" s="19">
        <f t="shared" si="139"/>
        <v>1691</v>
      </c>
      <c r="B1697" s="20">
        <f t="shared" si="135"/>
        <v>0</v>
      </c>
      <c r="C1697" s="21">
        <f t="shared" si="136"/>
        <v>0</v>
      </c>
      <c r="D1697" s="22" t="e">
        <f>VLOOKUP($A1697, TAB_JUROS_U[[Q_DIAS_U_PARC_TIR]:[V_FUT_U_JURS CENARIO]], D$5, FALSE)</f>
        <v>#N/A</v>
      </c>
      <c r="E1697" s="22" t="e">
        <f>VLOOKUP($A1697,TAB_CORRECAO_U[[Q_DIAS_U_PARC_TIR]:[V_FUT_U_CORC-02]],E$5, FALSE)</f>
        <v>#N/A</v>
      </c>
      <c r="F1697" s="22" t="e">
        <f>VLOOKUP($A1697,TAB_AMORTIZACAO_U[[Q_DIAS_U_PARC_TIR]:[V_FUT_U_PCPL-02]], F$5, FALSE)</f>
        <v>#N/A</v>
      </c>
      <c r="H1697" s="20">
        <f t="shared" si="137"/>
        <v>0</v>
      </c>
      <c r="I1697" s="21">
        <f t="shared" si="138"/>
        <v>0</v>
      </c>
      <c r="J1697" s="22" t="e">
        <f>VLOOKUP($A1697, TAB_JUROS_C[[DIAS_CORRIDOS]:[V_FUT_UTEIS]], J$5, FALSE)</f>
        <v>#N/A</v>
      </c>
      <c r="K1697" s="22" t="e">
        <f>VLOOKUP($A1697, TAB_CORRECAO_C[[DIAS_CORRIDOS]:[V_FUT_UTEIS]],K$5, FALSE)</f>
        <v>#N/A</v>
      </c>
      <c r="L1697" s="22" t="e">
        <f>VLOOKUP($A1697, TAB_AMORTIZACAO_C[[DIAS_CORRIDOS]:[V_FUT_UTEIS]], L$5, FALSE)</f>
        <v>#N/A</v>
      </c>
    </row>
    <row r="1698" spans="1:12" hidden="1">
      <c r="A1698" s="19">
        <f t="shared" si="139"/>
        <v>1692</v>
      </c>
      <c r="B1698" s="20">
        <f t="shared" si="135"/>
        <v>0</v>
      </c>
      <c r="C1698" s="21">
        <f t="shared" si="136"/>
        <v>0</v>
      </c>
      <c r="D1698" s="22" t="e">
        <f>VLOOKUP($A1698, TAB_JUROS_U[[Q_DIAS_U_PARC_TIR]:[V_FUT_U_JURS CENARIO]], D$5, FALSE)</f>
        <v>#N/A</v>
      </c>
      <c r="E1698" s="22" t="e">
        <f>VLOOKUP($A1698,TAB_CORRECAO_U[[Q_DIAS_U_PARC_TIR]:[V_FUT_U_CORC-02]],E$5, FALSE)</f>
        <v>#N/A</v>
      </c>
      <c r="F1698" s="22" t="e">
        <f>VLOOKUP($A1698,TAB_AMORTIZACAO_U[[Q_DIAS_U_PARC_TIR]:[V_FUT_U_PCPL-02]], F$5, FALSE)</f>
        <v>#N/A</v>
      </c>
      <c r="H1698" s="20">
        <f t="shared" si="137"/>
        <v>0</v>
      </c>
      <c r="I1698" s="21">
        <f t="shared" si="138"/>
        <v>0</v>
      </c>
      <c r="J1698" s="22" t="e">
        <f>VLOOKUP($A1698, TAB_JUROS_C[[DIAS_CORRIDOS]:[V_FUT_UTEIS]], J$5, FALSE)</f>
        <v>#N/A</v>
      </c>
      <c r="K1698" s="22" t="e">
        <f>VLOOKUP($A1698, TAB_CORRECAO_C[[DIAS_CORRIDOS]:[V_FUT_UTEIS]],K$5, FALSE)</f>
        <v>#N/A</v>
      </c>
      <c r="L1698" s="22" t="e">
        <f>VLOOKUP($A1698, TAB_AMORTIZACAO_C[[DIAS_CORRIDOS]:[V_FUT_UTEIS]], L$5, FALSE)</f>
        <v>#N/A</v>
      </c>
    </row>
    <row r="1699" spans="1:12" hidden="1">
      <c r="A1699" s="19">
        <f t="shared" si="139"/>
        <v>1693</v>
      </c>
      <c r="B1699" s="20">
        <f t="shared" si="135"/>
        <v>0</v>
      </c>
      <c r="C1699" s="21">
        <f t="shared" si="136"/>
        <v>0</v>
      </c>
      <c r="D1699" s="22" t="e">
        <f>VLOOKUP($A1699, TAB_JUROS_U[[Q_DIAS_U_PARC_TIR]:[V_FUT_U_JURS CENARIO]], D$5, FALSE)</f>
        <v>#N/A</v>
      </c>
      <c r="E1699" s="22" t="e">
        <f>VLOOKUP($A1699,TAB_CORRECAO_U[[Q_DIAS_U_PARC_TIR]:[V_FUT_U_CORC-02]],E$5, FALSE)</f>
        <v>#N/A</v>
      </c>
      <c r="F1699" s="22" t="e">
        <f>VLOOKUP($A1699,TAB_AMORTIZACAO_U[[Q_DIAS_U_PARC_TIR]:[V_FUT_U_PCPL-02]], F$5, FALSE)</f>
        <v>#N/A</v>
      </c>
      <c r="H1699" s="20">
        <f t="shared" si="137"/>
        <v>0</v>
      </c>
      <c r="I1699" s="21">
        <f t="shared" si="138"/>
        <v>0</v>
      </c>
      <c r="J1699" s="22" t="e">
        <f>VLOOKUP($A1699, TAB_JUROS_C[[DIAS_CORRIDOS]:[V_FUT_UTEIS]], J$5, FALSE)</f>
        <v>#N/A</v>
      </c>
      <c r="K1699" s="22" t="e">
        <f>VLOOKUP($A1699, TAB_CORRECAO_C[[DIAS_CORRIDOS]:[V_FUT_UTEIS]],K$5, FALSE)</f>
        <v>#N/A</v>
      </c>
      <c r="L1699" s="22" t="e">
        <f>VLOOKUP($A1699, TAB_AMORTIZACAO_C[[DIAS_CORRIDOS]:[V_FUT_UTEIS]], L$5, FALSE)</f>
        <v>#N/A</v>
      </c>
    </row>
    <row r="1700" spans="1:12" hidden="1">
      <c r="A1700" s="19">
        <f t="shared" si="139"/>
        <v>1694</v>
      </c>
      <c r="B1700" s="20">
        <f t="shared" si="135"/>
        <v>0</v>
      </c>
      <c r="C1700" s="21">
        <f t="shared" si="136"/>
        <v>0</v>
      </c>
      <c r="D1700" s="22" t="e">
        <f>VLOOKUP($A1700, TAB_JUROS_U[[Q_DIAS_U_PARC_TIR]:[V_FUT_U_JURS CENARIO]], D$5, FALSE)</f>
        <v>#N/A</v>
      </c>
      <c r="E1700" s="22" t="e">
        <f>VLOOKUP($A1700,TAB_CORRECAO_U[[Q_DIAS_U_PARC_TIR]:[V_FUT_U_CORC-02]],E$5, FALSE)</f>
        <v>#N/A</v>
      </c>
      <c r="F1700" s="22" t="e">
        <f>VLOOKUP($A1700,TAB_AMORTIZACAO_U[[Q_DIAS_U_PARC_TIR]:[V_FUT_U_PCPL-02]], F$5, FALSE)</f>
        <v>#N/A</v>
      </c>
      <c r="H1700" s="20">
        <f t="shared" si="137"/>
        <v>0</v>
      </c>
      <c r="I1700" s="21">
        <f t="shared" si="138"/>
        <v>0</v>
      </c>
      <c r="J1700" s="22" t="e">
        <f>VLOOKUP($A1700, TAB_JUROS_C[[DIAS_CORRIDOS]:[V_FUT_UTEIS]], J$5, FALSE)</f>
        <v>#N/A</v>
      </c>
      <c r="K1700" s="22" t="e">
        <f>VLOOKUP($A1700, TAB_CORRECAO_C[[DIAS_CORRIDOS]:[V_FUT_UTEIS]],K$5, FALSE)</f>
        <v>#N/A</v>
      </c>
      <c r="L1700" s="22" t="e">
        <f>VLOOKUP($A1700, TAB_AMORTIZACAO_C[[DIAS_CORRIDOS]:[V_FUT_UTEIS]], L$5, FALSE)</f>
        <v>#N/A</v>
      </c>
    </row>
    <row r="1701" spans="1:12" hidden="1">
      <c r="A1701" s="19">
        <f t="shared" si="139"/>
        <v>1695</v>
      </c>
      <c r="B1701" s="20">
        <f t="shared" si="135"/>
        <v>0</v>
      </c>
      <c r="C1701" s="21">
        <f t="shared" si="136"/>
        <v>0</v>
      </c>
      <c r="D1701" s="22" t="e">
        <f>VLOOKUP($A1701, TAB_JUROS_U[[Q_DIAS_U_PARC_TIR]:[V_FUT_U_JURS CENARIO]], D$5, FALSE)</f>
        <v>#N/A</v>
      </c>
      <c r="E1701" s="22" t="e">
        <f>VLOOKUP($A1701,TAB_CORRECAO_U[[Q_DIAS_U_PARC_TIR]:[V_FUT_U_CORC-02]],E$5, FALSE)</f>
        <v>#N/A</v>
      </c>
      <c r="F1701" s="22" t="e">
        <f>VLOOKUP($A1701,TAB_AMORTIZACAO_U[[Q_DIAS_U_PARC_TIR]:[V_FUT_U_PCPL-02]], F$5, FALSE)</f>
        <v>#N/A</v>
      </c>
      <c r="H1701" s="20">
        <f t="shared" si="137"/>
        <v>0</v>
      </c>
      <c r="I1701" s="21">
        <f t="shared" si="138"/>
        <v>0</v>
      </c>
      <c r="J1701" s="22" t="e">
        <f>VLOOKUP($A1701, TAB_JUROS_C[[DIAS_CORRIDOS]:[V_FUT_UTEIS]], J$5, FALSE)</f>
        <v>#N/A</v>
      </c>
      <c r="K1701" s="22" t="e">
        <f>VLOOKUP($A1701, TAB_CORRECAO_C[[DIAS_CORRIDOS]:[V_FUT_UTEIS]],K$5, FALSE)</f>
        <v>#N/A</v>
      </c>
      <c r="L1701" s="22" t="e">
        <f>VLOOKUP($A1701, TAB_AMORTIZACAO_C[[DIAS_CORRIDOS]:[V_FUT_UTEIS]], L$5, FALSE)</f>
        <v>#N/A</v>
      </c>
    </row>
    <row r="1702" spans="1:12" hidden="1">
      <c r="A1702" s="19">
        <f t="shared" si="139"/>
        <v>1696</v>
      </c>
      <c r="B1702" s="20">
        <f t="shared" si="135"/>
        <v>0</v>
      </c>
      <c r="C1702" s="21">
        <f t="shared" si="136"/>
        <v>0</v>
      </c>
      <c r="D1702" s="22" t="e">
        <f>VLOOKUP($A1702, TAB_JUROS_U[[Q_DIAS_U_PARC_TIR]:[V_FUT_U_JURS CENARIO]], D$5, FALSE)</f>
        <v>#N/A</v>
      </c>
      <c r="E1702" s="22" t="e">
        <f>VLOOKUP($A1702,TAB_CORRECAO_U[[Q_DIAS_U_PARC_TIR]:[V_FUT_U_CORC-02]],E$5, FALSE)</f>
        <v>#N/A</v>
      </c>
      <c r="F1702" s="22" t="e">
        <f>VLOOKUP($A1702,TAB_AMORTIZACAO_U[[Q_DIAS_U_PARC_TIR]:[V_FUT_U_PCPL-02]], F$5, FALSE)</f>
        <v>#N/A</v>
      </c>
      <c r="H1702" s="20">
        <f t="shared" si="137"/>
        <v>0</v>
      </c>
      <c r="I1702" s="21">
        <f t="shared" si="138"/>
        <v>0</v>
      </c>
      <c r="J1702" s="22" t="e">
        <f>VLOOKUP($A1702, TAB_JUROS_C[[DIAS_CORRIDOS]:[V_FUT_UTEIS]], J$5, FALSE)</f>
        <v>#N/A</v>
      </c>
      <c r="K1702" s="22" t="e">
        <f>VLOOKUP($A1702, TAB_CORRECAO_C[[DIAS_CORRIDOS]:[V_FUT_UTEIS]],K$5, FALSE)</f>
        <v>#N/A</v>
      </c>
      <c r="L1702" s="22" t="e">
        <f>VLOOKUP($A1702, TAB_AMORTIZACAO_C[[DIAS_CORRIDOS]:[V_FUT_UTEIS]], L$5, FALSE)</f>
        <v>#N/A</v>
      </c>
    </row>
    <row r="1703" spans="1:12" hidden="1">
      <c r="A1703" s="19">
        <f t="shared" si="139"/>
        <v>1697</v>
      </c>
      <c r="B1703" s="20">
        <f t="shared" si="135"/>
        <v>0</v>
      </c>
      <c r="C1703" s="21">
        <f t="shared" si="136"/>
        <v>0</v>
      </c>
      <c r="D1703" s="22" t="e">
        <f>VLOOKUP($A1703, TAB_JUROS_U[[Q_DIAS_U_PARC_TIR]:[V_FUT_U_JURS CENARIO]], D$5, FALSE)</f>
        <v>#N/A</v>
      </c>
      <c r="E1703" s="22" t="e">
        <f>VLOOKUP($A1703,TAB_CORRECAO_U[[Q_DIAS_U_PARC_TIR]:[V_FUT_U_CORC-02]],E$5, FALSE)</f>
        <v>#N/A</v>
      </c>
      <c r="F1703" s="22" t="e">
        <f>VLOOKUP($A1703,TAB_AMORTIZACAO_U[[Q_DIAS_U_PARC_TIR]:[V_FUT_U_PCPL-02]], F$5, FALSE)</f>
        <v>#N/A</v>
      </c>
      <c r="H1703" s="20">
        <f t="shared" si="137"/>
        <v>0</v>
      </c>
      <c r="I1703" s="21">
        <f t="shared" si="138"/>
        <v>0</v>
      </c>
      <c r="J1703" s="22" t="e">
        <f>VLOOKUP($A1703, TAB_JUROS_C[[DIAS_CORRIDOS]:[V_FUT_UTEIS]], J$5, FALSE)</f>
        <v>#N/A</v>
      </c>
      <c r="K1703" s="22" t="e">
        <f>VLOOKUP($A1703, TAB_CORRECAO_C[[DIAS_CORRIDOS]:[V_FUT_UTEIS]],K$5, FALSE)</f>
        <v>#N/A</v>
      </c>
      <c r="L1703" s="22" t="e">
        <f>VLOOKUP($A1703, TAB_AMORTIZACAO_C[[DIAS_CORRIDOS]:[V_FUT_UTEIS]], L$5, FALSE)</f>
        <v>#N/A</v>
      </c>
    </row>
    <row r="1704" spans="1:12" hidden="1">
      <c r="A1704" s="19">
        <f t="shared" si="139"/>
        <v>1698</v>
      </c>
      <c r="B1704" s="20">
        <f t="shared" si="135"/>
        <v>0</v>
      </c>
      <c r="C1704" s="21">
        <f t="shared" si="136"/>
        <v>0</v>
      </c>
      <c r="D1704" s="22" t="e">
        <f>VLOOKUP($A1704, TAB_JUROS_U[[Q_DIAS_U_PARC_TIR]:[V_FUT_U_JURS CENARIO]], D$5, FALSE)</f>
        <v>#N/A</v>
      </c>
      <c r="E1704" s="22" t="e">
        <f>VLOOKUP($A1704,TAB_CORRECAO_U[[Q_DIAS_U_PARC_TIR]:[V_FUT_U_CORC-02]],E$5, FALSE)</f>
        <v>#N/A</v>
      </c>
      <c r="F1704" s="22" t="e">
        <f>VLOOKUP($A1704,TAB_AMORTIZACAO_U[[Q_DIAS_U_PARC_TIR]:[V_FUT_U_PCPL-02]], F$5, FALSE)</f>
        <v>#N/A</v>
      </c>
      <c r="H1704" s="20">
        <f t="shared" si="137"/>
        <v>0</v>
      </c>
      <c r="I1704" s="21">
        <f t="shared" si="138"/>
        <v>0</v>
      </c>
      <c r="J1704" s="22" t="e">
        <f>VLOOKUP($A1704, TAB_JUROS_C[[DIAS_CORRIDOS]:[V_FUT_UTEIS]], J$5, FALSE)</f>
        <v>#N/A</v>
      </c>
      <c r="K1704" s="22" t="e">
        <f>VLOOKUP($A1704, TAB_CORRECAO_C[[DIAS_CORRIDOS]:[V_FUT_UTEIS]],K$5, FALSE)</f>
        <v>#N/A</v>
      </c>
      <c r="L1704" s="22" t="e">
        <f>VLOOKUP($A1704, TAB_AMORTIZACAO_C[[DIAS_CORRIDOS]:[V_FUT_UTEIS]], L$5, FALSE)</f>
        <v>#N/A</v>
      </c>
    </row>
    <row r="1705" spans="1:12" hidden="1">
      <c r="A1705" s="19">
        <f t="shared" si="139"/>
        <v>1699</v>
      </c>
      <c r="B1705" s="20">
        <f t="shared" si="135"/>
        <v>0</v>
      </c>
      <c r="C1705" s="21">
        <f t="shared" si="136"/>
        <v>0</v>
      </c>
      <c r="D1705" s="22" t="e">
        <f>VLOOKUP($A1705, TAB_JUROS_U[[Q_DIAS_U_PARC_TIR]:[V_FUT_U_JURS CENARIO]], D$5, FALSE)</f>
        <v>#N/A</v>
      </c>
      <c r="E1705" s="22" t="e">
        <f>VLOOKUP($A1705,TAB_CORRECAO_U[[Q_DIAS_U_PARC_TIR]:[V_FUT_U_CORC-02]],E$5, FALSE)</f>
        <v>#N/A</v>
      </c>
      <c r="F1705" s="22" t="e">
        <f>VLOOKUP($A1705,TAB_AMORTIZACAO_U[[Q_DIAS_U_PARC_TIR]:[V_FUT_U_PCPL-02]], F$5, FALSE)</f>
        <v>#N/A</v>
      </c>
      <c r="H1705" s="20">
        <f t="shared" si="137"/>
        <v>0</v>
      </c>
      <c r="I1705" s="21">
        <f t="shared" si="138"/>
        <v>0</v>
      </c>
      <c r="J1705" s="22" t="e">
        <f>VLOOKUP($A1705, TAB_JUROS_C[[DIAS_CORRIDOS]:[V_FUT_UTEIS]], J$5, FALSE)</f>
        <v>#N/A</v>
      </c>
      <c r="K1705" s="22" t="e">
        <f>VLOOKUP($A1705, TAB_CORRECAO_C[[DIAS_CORRIDOS]:[V_FUT_UTEIS]],K$5, FALSE)</f>
        <v>#N/A</v>
      </c>
      <c r="L1705" s="22" t="e">
        <f>VLOOKUP($A1705, TAB_AMORTIZACAO_C[[DIAS_CORRIDOS]:[V_FUT_UTEIS]], L$5, FALSE)</f>
        <v>#N/A</v>
      </c>
    </row>
    <row r="1706" spans="1:12" hidden="1">
      <c r="A1706" s="19">
        <f t="shared" si="139"/>
        <v>1700</v>
      </c>
      <c r="B1706" s="20">
        <f t="shared" si="135"/>
        <v>0</v>
      </c>
      <c r="C1706" s="21">
        <f t="shared" si="136"/>
        <v>0</v>
      </c>
      <c r="D1706" s="22" t="e">
        <f>VLOOKUP($A1706, TAB_JUROS_U[[Q_DIAS_U_PARC_TIR]:[V_FUT_U_JURS CENARIO]], D$5, FALSE)</f>
        <v>#N/A</v>
      </c>
      <c r="E1706" s="22" t="e">
        <f>VLOOKUP($A1706,TAB_CORRECAO_U[[Q_DIAS_U_PARC_TIR]:[V_FUT_U_CORC-02]],E$5, FALSE)</f>
        <v>#N/A</v>
      </c>
      <c r="F1706" s="22" t="e">
        <f>VLOOKUP($A1706,TAB_AMORTIZACAO_U[[Q_DIAS_U_PARC_TIR]:[V_FUT_U_PCPL-02]], F$5, FALSE)</f>
        <v>#N/A</v>
      </c>
      <c r="H1706" s="20">
        <f t="shared" si="137"/>
        <v>0</v>
      </c>
      <c r="I1706" s="21">
        <f t="shared" si="138"/>
        <v>0</v>
      </c>
      <c r="J1706" s="22" t="e">
        <f>VLOOKUP($A1706, TAB_JUROS_C[[DIAS_CORRIDOS]:[V_FUT_UTEIS]], J$5, FALSE)</f>
        <v>#N/A</v>
      </c>
      <c r="K1706" s="22" t="e">
        <f>VLOOKUP($A1706, TAB_CORRECAO_C[[DIAS_CORRIDOS]:[V_FUT_UTEIS]],K$5, FALSE)</f>
        <v>#N/A</v>
      </c>
      <c r="L1706" s="22" t="e">
        <f>VLOOKUP($A1706, TAB_AMORTIZACAO_C[[DIAS_CORRIDOS]:[V_FUT_UTEIS]], L$5, FALSE)</f>
        <v>#N/A</v>
      </c>
    </row>
    <row r="1707" spans="1:12" hidden="1">
      <c r="A1707" s="19">
        <f t="shared" si="139"/>
        <v>1701</v>
      </c>
      <c r="B1707" s="20">
        <f t="shared" si="135"/>
        <v>0</v>
      </c>
      <c r="C1707" s="21">
        <f t="shared" si="136"/>
        <v>0</v>
      </c>
      <c r="D1707" s="22" t="e">
        <f>VLOOKUP($A1707, TAB_JUROS_U[[Q_DIAS_U_PARC_TIR]:[V_FUT_U_JURS CENARIO]], D$5, FALSE)</f>
        <v>#N/A</v>
      </c>
      <c r="E1707" s="22" t="e">
        <f>VLOOKUP($A1707,TAB_CORRECAO_U[[Q_DIAS_U_PARC_TIR]:[V_FUT_U_CORC-02]],E$5, FALSE)</f>
        <v>#N/A</v>
      </c>
      <c r="F1707" s="22" t="e">
        <f>VLOOKUP($A1707,TAB_AMORTIZACAO_U[[Q_DIAS_U_PARC_TIR]:[V_FUT_U_PCPL-02]], F$5, FALSE)</f>
        <v>#N/A</v>
      </c>
      <c r="H1707" s="20">
        <f t="shared" si="137"/>
        <v>0</v>
      </c>
      <c r="I1707" s="21">
        <f t="shared" si="138"/>
        <v>0</v>
      </c>
      <c r="J1707" s="22" t="e">
        <f>VLOOKUP($A1707, TAB_JUROS_C[[DIAS_CORRIDOS]:[V_FUT_UTEIS]], J$5, FALSE)</f>
        <v>#N/A</v>
      </c>
      <c r="K1707" s="22" t="e">
        <f>VLOOKUP($A1707, TAB_CORRECAO_C[[DIAS_CORRIDOS]:[V_FUT_UTEIS]],K$5, FALSE)</f>
        <v>#N/A</v>
      </c>
      <c r="L1707" s="22" t="e">
        <f>VLOOKUP($A1707, TAB_AMORTIZACAO_C[[DIAS_CORRIDOS]:[V_FUT_UTEIS]], L$5, FALSE)</f>
        <v>#N/A</v>
      </c>
    </row>
    <row r="1708" spans="1:12" hidden="1">
      <c r="A1708" s="19">
        <f t="shared" si="139"/>
        <v>1702</v>
      </c>
      <c r="B1708" s="20">
        <f t="shared" si="135"/>
        <v>0</v>
      </c>
      <c r="C1708" s="21">
        <f t="shared" si="136"/>
        <v>0</v>
      </c>
      <c r="D1708" s="22" t="e">
        <f>VLOOKUP($A1708, TAB_JUROS_U[[Q_DIAS_U_PARC_TIR]:[V_FUT_U_JURS CENARIO]], D$5, FALSE)</f>
        <v>#N/A</v>
      </c>
      <c r="E1708" s="22" t="e">
        <f>VLOOKUP($A1708,TAB_CORRECAO_U[[Q_DIAS_U_PARC_TIR]:[V_FUT_U_CORC-02]],E$5, FALSE)</f>
        <v>#N/A</v>
      </c>
      <c r="F1708" s="22" t="e">
        <f>VLOOKUP($A1708,TAB_AMORTIZACAO_U[[Q_DIAS_U_PARC_TIR]:[V_FUT_U_PCPL-02]], F$5, FALSE)</f>
        <v>#N/A</v>
      </c>
      <c r="H1708" s="20">
        <f t="shared" si="137"/>
        <v>0</v>
      </c>
      <c r="I1708" s="21">
        <f t="shared" si="138"/>
        <v>0</v>
      </c>
      <c r="J1708" s="22" t="e">
        <f>VLOOKUP($A1708, TAB_JUROS_C[[DIAS_CORRIDOS]:[V_FUT_UTEIS]], J$5, FALSE)</f>
        <v>#N/A</v>
      </c>
      <c r="K1708" s="22" t="e">
        <f>VLOOKUP($A1708, TAB_CORRECAO_C[[DIAS_CORRIDOS]:[V_FUT_UTEIS]],K$5, FALSE)</f>
        <v>#N/A</v>
      </c>
      <c r="L1708" s="22" t="e">
        <f>VLOOKUP($A1708, TAB_AMORTIZACAO_C[[DIAS_CORRIDOS]:[V_FUT_UTEIS]], L$5, FALSE)</f>
        <v>#N/A</v>
      </c>
    </row>
    <row r="1709" spans="1:12" hidden="1">
      <c r="A1709" s="19">
        <f t="shared" si="139"/>
        <v>1703</v>
      </c>
      <c r="B1709" s="20">
        <f t="shared" si="135"/>
        <v>0</v>
      </c>
      <c r="C1709" s="21">
        <f t="shared" si="136"/>
        <v>0</v>
      </c>
      <c r="D1709" s="22" t="e">
        <f>VLOOKUP($A1709, TAB_JUROS_U[[Q_DIAS_U_PARC_TIR]:[V_FUT_U_JURS CENARIO]], D$5, FALSE)</f>
        <v>#N/A</v>
      </c>
      <c r="E1709" s="22" t="e">
        <f>VLOOKUP($A1709,TAB_CORRECAO_U[[Q_DIAS_U_PARC_TIR]:[V_FUT_U_CORC-02]],E$5, FALSE)</f>
        <v>#N/A</v>
      </c>
      <c r="F1709" s="22" t="e">
        <f>VLOOKUP($A1709,TAB_AMORTIZACAO_U[[Q_DIAS_U_PARC_TIR]:[V_FUT_U_PCPL-02]], F$5, FALSE)</f>
        <v>#N/A</v>
      </c>
      <c r="H1709" s="20">
        <f t="shared" si="137"/>
        <v>0</v>
      </c>
      <c r="I1709" s="21">
        <f t="shared" si="138"/>
        <v>0</v>
      </c>
      <c r="J1709" s="22" t="e">
        <f>VLOOKUP($A1709, TAB_JUROS_C[[DIAS_CORRIDOS]:[V_FUT_UTEIS]], J$5, FALSE)</f>
        <v>#N/A</v>
      </c>
      <c r="K1709" s="22" t="e">
        <f>VLOOKUP($A1709, TAB_CORRECAO_C[[DIAS_CORRIDOS]:[V_FUT_UTEIS]],K$5, FALSE)</f>
        <v>#N/A</v>
      </c>
      <c r="L1709" s="22" t="e">
        <f>VLOOKUP($A1709, TAB_AMORTIZACAO_C[[DIAS_CORRIDOS]:[V_FUT_UTEIS]], L$5, FALSE)</f>
        <v>#N/A</v>
      </c>
    </row>
    <row r="1710" spans="1:12" hidden="1">
      <c r="A1710" s="19">
        <f t="shared" si="139"/>
        <v>1704</v>
      </c>
      <c r="B1710" s="20">
        <f t="shared" si="135"/>
        <v>0</v>
      </c>
      <c r="C1710" s="21">
        <f t="shared" si="136"/>
        <v>0</v>
      </c>
      <c r="D1710" s="22" t="e">
        <f>VLOOKUP($A1710, TAB_JUROS_U[[Q_DIAS_U_PARC_TIR]:[V_FUT_U_JURS CENARIO]], D$5, FALSE)</f>
        <v>#N/A</v>
      </c>
      <c r="E1710" s="22" t="e">
        <f>VLOOKUP($A1710,TAB_CORRECAO_U[[Q_DIAS_U_PARC_TIR]:[V_FUT_U_CORC-02]],E$5, FALSE)</f>
        <v>#N/A</v>
      </c>
      <c r="F1710" s="22" t="e">
        <f>VLOOKUP($A1710,TAB_AMORTIZACAO_U[[Q_DIAS_U_PARC_TIR]:[V_FUT_U_PCPL-02]], F$5, FALSE)</f>
        <v>#N/A</v>
      </c>
      <c r="H1710" s="20">
        <f t="shared" si="137"/>
        <v>0</v>
      </c>
      <c r="I1710" s="21">
        <f t="shared" si="138"/>
        <v>0</v>
      </c>
      <c r="J1710" s="22" t="e">
        <f>VLOOKUP($A1710, TAB_JUROS_C[[DIAS_CORRIDOS]:[V_FUT_UTEIS]], J$5, FALSE)</f>
        <v>#N/A</v>
      </c>
      <c r="K1710" s="22" t="e">
        <f>VLOOKUP($A1710, TAB_CORRECAO_C[[DIAS_CORRIDOS]:[V_FUT_UTEIS]],K$5, FALSE)</f>
        <v>#N/A</v>
      </c>
      <c r="L1710" s="22" t="e">
        <f>VLOOKUP($A1710, TAB_AMORTIZACAO_C[[DIAS_CORRIDOS]:[V_FUT_UTEIS]], L$5, FALSE)</f>
        <v>#N/A</v>
      </c>
    </row>
    <row r="1711" spans="1:12" hidden="1">
      <c r="A1711" s="19">
        <f t="shared" si="139"/>
        <v>1705</v>
      </c>
      <c r="B1711" s="20">
        <f t="shared" si="135"/>
        <v>0</v>
      </c>
      <c r="C1711" s="21">
        <f t="shared" si="136"/>
        <v>0</v>
      </c>
      <c r="D1711" s="22" t="e">
        <f>VLOOKUP($A1711, TAB_JUROS_U[[Q_DIAS_U_PARC_TIR]:[V_FUT_U_JURS CENARIO]], D$5, FALSE)</f>
        <v>#N/A</v>
      </c>
      <c r="E1711" s="22" t="e">
        <f>VLOOKUP($A1711,TAB_CORRECAO_U[[Q_DIAS_U_PARC_TIR]:[V_FUT_U_CORC-02]],E$5, FALSE)</f>
        <v>#N/A</v>
      </c>
      <c r="F1711" s="22" t="e">
        <f>VLOOKUP($A1711,TAB_AMORTIZACAO_U[[Q_DIAS_U_PARC_TIR]:[V_FUT_U_PCPL-02]], F$5, FALSE)</f>
        <v>#N/A</v>
      </c>
      <c r="H1711" s="20">
        <f t="shared" si="137"/>
        <v>0</v>
      </c>
      <c r="I1711" s="21">
        <f t="shared" si="138"/>
        <v>0</v>
      </c>
      <c r="J1711" s="22" t="e">
        <f>VLOOKUP($A1711, TAB_JUROS_C[[DIAS_CORRIDOS]:[V_FUT_UTEIS]], J$5, FALSE)</f>
        <v>#N/A</v>
      </c>
      <c r="K1711" s="22" t="e">
        <f>VLOOKUP($A1711, TAB_CORRECAO_C[[DIAS_CORRIDOS]:[V_FUT_UTEIS]],K$5, FALSE)</f>
        <v>#N/A</v>
      </c>
      <c r="L1711" s="22" t="e">
        <f>VLOOKUP($A1711, TAB_AMORTIZACAO_C[[DIAS_CORRIDOS]:[V_FUT_UTEIS]], L$5, FALSE)</f>
        <v>#N/A</v>
      </c>
    </row>
    <row r="1712" spans="1:12" hidden="1">
      <c r="A1712" s="19">
        <f t="shared" si="139"/>
        <v>1706</v>
      </c>
      <c r="B1712" s="20">
        <f t="shared" si="135"/>
        <v>0</v>
      </c>
      <c r="C1712" s="21">
        <f t="shared" si="136"/>
        <v>0</v>
      </c>
      <c r="D1712" s="22" t="e">
        <f>VLOOKUP($A1712, TAB_JUROS_U[[Q_DIAS_U_PARC_TIR]:[V_FUT_U_JURS CENARIO]], D$5, FALSE)</f>
        <v>#N/A</v>
      </c>
      <c r="E1712" s="22" t="e">
        <f>VLOOKUP($A1712,TAB_CORRECAO_U[[Q_DIAS_U_PARC_TIR]:[V_FUT_U_CORC-02]],E$5, FALSE)</f>
        <v>#N/A</v>
      </c>
      <c r="F1712" s="22" t="e">
        <f>VLOOKUP($A1712,TAB_AMORTIZACAO_U[[Q_DIAS_U_PARC_TIR]:[V_FUT_U_PCPL-02]], F$5, FALSE)</f>
        <v>#N/A</v>
      </c>
      <c r="H1712" s="20">
        <f t="shared" si="137"/>
        <v>0</v>
      </c>
      <c r="I1712" s="21">
        <f t="shared" si="138"/>
        <v>0</v>
      </c>
      <c r="J1712" s="22" t="e">
        <f>VLOOKUP($A1712, TAB_JUROS_C[[DIAS_CORRIDOS]:[V_FUT_UTEIS]], J$5, FALSE)</f>
        <v>#N/A</v>
      </c>
      <c r="K1712" s="22" t="e">
        <f>VLOOKUP($A1712, TAB_CORRECAO_C[[DIAS_CORRIDOS]:[V_FUT_UTEIS]],K$5, FALSE)</f>
        <v>#N/A</v>
      </c>
      <c r="L1712" s="22" t="e">
        <f>VLOOKUP($A1712, TAB_AMORTIZACAO_C[[DIAS_CORRIDOS]:[V_FUT_UTEIS]], L$5, FALSE)</f>
        <v>#N/A</v>
      </c>
    </row>
    <row r="1713" spans="1:12">
      <c r="A1713" s="19">
        <f t="shared" si="139"/>
        <v>1707</v>
      </c>
      <c r="B1713" s="20">
        <f t="shared" si="135"/>
        <v>419.34870690844275</v>
      </c>
      <c r="C1713" s="21">
        <f t="shared" si="136"/>
        <v>419.34870690844275</v>
      </c>
      <c r="D1713" s="22">
        <f>VLOOKUP($A1713, TAB_JUROS_U[[Q_DIAS_U_PARC_TIR]:[V_FUT_U_JURS CENARIO]], D$5, FALSE)</f>
        <v>26.664078495498202</v>
      </c>
      <c r="E1713" s="22">
        <f>VLOOKUP($A1713,TAB_CORRECAO_U[[Q_DIAS_U_PARC_TIR]:[V_FUT_U_CORC-02]],E$5, FALSE)</f>
        <v>168.7077212546416</v>
      </c>
      <c r="F1713" s="22">
        <f>VLOOKUP($A1713,TAB_AMORTIZACAO_U[[Q_DIAS_U_PARC_TIR]:[V_FUT_U_PCPL-02]], F$5, FALSE)</f>
        <v>223.97690715830296</v>
      </c>
      <c r="H1713" s="20">
        <f t="shared" si="137"/>
        <v>0</v>
      </c>
      <c r="I1713" s="21">
        <f t="shared" si="138"/>
        <v>0</v>
      </c>
      <c r="J1713" s="22" t="e">
        <f>VLOOKUP($A1713, TAB_JUROS_C[[DIAS_CORRIDOS]:[V_FUT_UTEIS]], J$5, FALSE)</f>
        <v>#N/A</v>
      </c>
      <c r="K1713" s="22" t="e">
        <f>VLOOKUP($A1713, TAB_CORRECAO_C[[DIAS_CORRIDOS]:[V_FUT_UTEIS]],K$5, FALSE)</f>
        <v>#N/A</v>
      </c>
      <c r="L1713" s="22" t="e">
        <f>VLOOKUP($A1713, TAB_AMORTIZACAO_C[[DIAS_CORRIDOS]:[V_FUT_UTEIS]], L$5, FALSE)</f>
        <v>#N/A</v>
      </c>
    </row>
    <row r="1714" spans="1:12" hidden="1">
      <c r="A1714" s="19">
        <f t="shared" si="139"/>
        <v>1708</v>
      </c>
      <c r="B1714" s="20">
        <f t="shared" si="135"/>
        <v>0</v>
      </c>
      <c r="C1714" s="21">
        <f t="shared" si="136"/>
        <v>0</v>
      </c>
      <c r="D1714" s="22" t="e">
        <f>VLOOKUP($A1714, TAB_JUROS_U[[Q_DIAS_U_PARC_TIR]:[V_FUT_U_JURS CENARIO]], D$5, FALSE)</f>
        <v>#N/A</v>
      </c>
      <c r="E1714" s="22" t="e">
        <f>VLOOKUP($A1714,TAB_CORRECAO_U[[Q_DIAS_U_PARC_TIR]:[V_FUT_U_CORC-02]],E$5, FALSE)</f>
        <v>#N/A</v>
      </c>
      <c r="F1714" s="22" t="e">
        <f>VLOOKUP($A1714,TAB_AMORTIZACAO_U[[Q_DIAS_U_PARC_TIR]:[V_FUT_U_PCPL-02]], F$5, FALSE)</f>
        <v>#N/A</v>
      </c>
      <c r="H1714" s="20">
        <f t="shared" si="137"/>
        <v>0</v>
      </c>
      <c r="I1714" s="21">
        <f t="shared" si="138"/>
        <v>0</v>
      </c>
      <c r="J1714" s="22" t="e">
        <f>VLOOKUP($A1714, TAB_JUROS_C[[DIAS_CORRIDOS]:[V_FUT_UTEIS]], J$5, FALSE)</f>
        <v>#N/A</v>
      </c>
      <c r="K1714" s="22" t="e">
        <f>VLOOKUP($A1714, TAB_CORRECAO_C[[DIAS_CORRIDOS]:[V_FUT_UTEIS]],K$5, FALSE)</f>
        <v>#N/A</v>
      </c>
      <c r="L1714" s="22" t="e">
        <f>VLOOKUP($A1714, TAB_AMORTIZACAO_C[[DIAS_CORRIDOS]:[V_FUT_UTEIS]], L$5, FALSE)</f>
        <v>#N/A</v>
      </c>
    </row>
    <row r="1715" spans="1:12" hidden="1">
      <c r="A1715" s="19">
        <f t="shared" si="139"/>
        <v>1709</v>
      </c>
      <c r="B1715" s="20">
        <f t="shared" si="135"/>
        <v>0</v>
      </c>
      <c r="C1715" s="21">
        <f t="shared" si="136"/>
        <v>0</v>
      </c>
      <c r="D1715" s="22" t="e">
        <f>VLOOKUP($A1715, TAB_JUROS_U[[Q_DIAS_U_PARC_TIR]:[V_FUT_U_JURS CENARIO]], D$5, FALSE)</f>
        <v>#N/A</v>
      </c>
      <c r="E1715" s="22" t="e">
        <f>VLOOKUP($A1715,TAB_CORRECAO_U[[Q_DIAS_U_PARC_TIR]:[V_FUT_U_CORC-02]],E$5, FALSE)</f>
        <v>#N/A</v>
      </c>
      <c r="F1715" s="22" t="e">
        <f>VLOOKUP($A1715,TAB_AMORTIZACAO_U[[Q_DIAS_U_PARC_TIR]:[V_FUT_U_PCPL-02]], F$5, FALSE)</f>
        <v>#N/A</v>
      </c>
      <c r="H1715" s="20">
        <f t="shared" si="137"/>
        <v>0</v>
      </c>
      <c r="I1715" s="21">
        <f t="shared" si="138"/>
        <v>0</v>
      </c>
      <c r="J1715" s="22" t="e">
        <f>VLOOKUP($A1715, TAB_JUROS_C[[DIAS_CORRIDOS]:[V_FUT_UTEIS]], J$5, FALSE)</f>
        <v>#N/A</v>
      </c>
      <c r="K1715" s="22" t="e">
        <f>VLOOKUP($A1715, TAB_CORRECAO_C[[DIAS_CORRIDOS]:[V_FUT_UTEIS]],K$5, FALSE)</f>
        <v>#N/A</v>
      </c>
      <c r="L1715" s="22" t="e">
        <f>VLOOKUP($A1715, TAB_AMORTIZACAO_C[[DIAS_CORRIDOS]:[V_FUT_UTEIS]], L$5, FALSE)</f>
        <v>#N/A</v>
      </c>
    </row>
    <row r="1716" spans="1:12" hidden="1">
      <c r="A1716" s="19">
        <f t="shared" si="139"/>
        <v>1710</v>
      </c>
      <c r="B1716" s="20">
        <f t="shared" si="135"/>
        <v>0</v>
      </c>
      <c r="C1716" s="21">
        <f t="shared" si="136"/>
        <v>0</v>
      </c>
      <c r="D1716" s="22" t="e">
        <f>VLOOKUP($A1716, TAB_JUROS_U[[Q_DIAS_U_PARC_TIR]:[V_FUT_U_JURS CENARIO]], D$5, FALSE)</f>
        <v>#N/A</v>
      </c>
      <c r="E1716" s="22" t="e">
        <f>VLOOKUP($A1716,TAB_CORRECAO_U[[Q_DIAS_U_PARC_TIR]:[V_FUT_U_CORC-02]],E$5, FALSE)</f>
        <v>#N/A</v>
      </c>
      <c r="F1716" s="22" t="e">
        <f>VLOOKUP($A1716,TAB_AMORTIZACAO_U[[Q_DIAS_U_PARC_TIR]:[V_FUT_U_PCPL-02]], F$5, FALSE)</f>
        <v>#N/A</v>
      </c>
      <c r="H1716" s="20">
        <f t="shared" si="137"/>
        <v>0</v>
      </c>
      <c r="I1716" s="21">
        <f t="shared" si="138"/>
        <v>0</v>
      </c>
      <c r="J1716" s="22" t="e">
        <f>VLOOKUP($A1716, TAB_JUROS_C[[DIAS_CORRIDOS]:[V_FUT_UTEIS]], J$5, FALSE)</f>
        <v>#N/A</v>
      </c>
      <c r="K1716" s="22" t="e">
        <f>VLOOKUP($A1716, TAB_CORRECAO_C[[DIAS_CORRIDOS]:[V_FUT_UTEIS]],K$5, FALSE)</f>
        <v>#N/A</v>
      </c>
      <c r="L1716" s="22" t="e">
        <f>VLOOKUP($A1716, TAB_AMORTIZACAO_C[[DIAS_CORRIDOS]:[V_FUT_UTEIS]], L$5, FALSE)</f>
        <v>#N/A</v>
      </c>
    </row>
    <row r="1717" spans="1:12" hidden="1">
      <c r="A1717" s="19">
        <f t="shared" si="139"/>
        <v>1711</v>
      </c>
      <c r="B1717" s="20">
        <f t="shared" si="135"/>
        <v>0</v>
      </c>
      <c r="C1717" s="21">
        <f t="shared" si="136"/>
        <v>0</v>
      </c>
      <c r="D1717" s="22" t="e">
        <f>VLOOKUP($A1717, TAB_JUROS_U[[Q_DIAS_U_PARC_TIR]:[V_FUT_U_JURS CENARIO]], D$5, FALSE)</f>
        <v>#N/A</v>
      </c>
      <c r="E1717" s="22" t="e">
        <f>VLOOKUP($A1717,TAB_CORRECAO_U[[Q_DIAS_U_PARC_TIR]:[V_FUT_U_CORC-02]],E$5, FALSE)</f>
        <v>#N/A</v>
      </c>
      <c r="F1717" s="22" t="e">
        <f>VLOOKUP($A1717,TAB_AMORTIZACAO_U[[Q_DIAS_U_PARC_TIR]:[V_FUT_U_PCPL-02]], F$5, FALSE)</f>
        <v>#N/A</v>
      </c>
      <c r="H1717" s="20">
        <f t="shared" si="137"/>
        <v>0</v>
      </c>
      <c r="I1717" s="21">
        <f t="shared" si="138"/>
        <v>0</v>
      </c>
      <c r="J1717" s="22" t="e">
        <f>VLOOKUP($A1717, TAB_JUROS_C[[DIAS_CORRIDOS]:[V_FUT_UTEIS]], J$5, FALSE)</f>
        <v>#N/A</v>
      </c>
      <c r="K1717" s="22" t="e">
        <f>VLOOKUP($A1717, TAB_CORRECAO_C[[DIAS_CORRIDOS]:[V_FUT_UTEIS]],K$5, FALSE)</f>
        <v>#N/A</v>
      </c>
      <c r="L1717" s="22" t="e">
        <f>VLOOKUP($A1717, TAB_AMORTIZACAO_C[[DIAS_CORRIDOS]:[V_FUT_UTEIS]], L$5, FALSE)</f>
        <v>#N/A</v>
      </c>
    </row>
    <row r="1718" spans="1:12" hidden="1">
      <c r="A1718" s="19">
        <f t="shared" si="139"/>
        <v>1712</v>
      </c>
      <c r="B1718" s="20">
        <f t="shared" si="135"/>
        <v>0</v>
      </c>
      <c r="C1718" s="21">
        <f t="shared" si="136"/>
        <v>0</v>
      </c>
      <c r="D1718" s="22" t="e">
        <f>VLOOKUP($A1718, TAB_JUROS_U[[Q_DIAS_U_PARC_TIR]:[V_FUT_U_JURS CENARIO]], D$5, FALSE)</f>
        <v>#N/A</v>
      </c>
      <c r="E1718" s="22" t="e">
        <f>VLOOKUP($A1718,TAB_CORRECAO_U[[Q_DIAS_U_PARC_TIR]:[V_FUT_U_CORC-02]],E$5, FALSE)</f>
        <v>#N/A</v>
      </c>
      <c r="F1718" s="22" t="e">
        <f>VLOOKUP($A1718,TAB_AMORTIZACAO_U[[Q_DIAS_U_PARC_TIR]:[V_FUT_U_PCPL-02]], F$5, FALSE)</f>
        <v>#N/A</v>
      </c>
      <c r="H1718" s="20">
        <f t="shared" si="137"/>
        <v>0</v>
      </c>
      <c r="I1718" s="21">
        <f t="shared" si="138"/>
        <v>0</v>
      </c>
      <c r="J1718" s="22" t="e">
        <f>VLOOKUP($A1718, TAB_JUROS_C[[DIAS_CORRIDOS]:[V_FUT_UTEIS]], J$5, FALSE)</f>
        <v>#N/A</v>
      </c>
      <c r="K1718" s="22" t="e">
        <f>VLOOKUP($A1718, TAB_CORRECAO_C[[DIAS_CORRIDOS]:[V_FUT_UTEIS]],K$5, FALSE)</f>
        <v>#N/A</v>
      </c>
      <c r="L1718" s="22" t="e">
        <f>VLOOKUP($A1718, TAB_AMORTIZACAO_C[[DIAS_CORRIDOS]:[V_FUT_UTEIS]], L$5, FALSE)</f>
        <v>#N/A</v>
      </c>
    </row>
    <row r="1719" spans="1:12" hidden="1">
      <c r="A1719" s="19">
        <f t="shared" si="139"/>
        <v>1713</v>
      </c>
      <c r="B1719" s="20">
        <f t="shared" si="135"/>
        <v>0</v>
      </c>
      <c r="C1719" s="21">
        <f t="shared" si="136"/>
        <v>0</v>
      </c>
      <c r="D1719" s="22" t="e">
        <f>VLOOKUP($A1719, TAB_JUROS_U[[Q_DIAS_U_PARC_TIR]:[V_FUT_U_JURS CENARIO]], D$5, FALSE)</f>
        <v>#N/A</v>
      </c>
      <c r="E1719" s="22" t="e">
        <f>VLOOKUP($A1719,TAB_CORRECAO_U[[Q_DIAS_U_PARC_TIR]:[V_FUT_U_CORC-02]],E$5, FALSE)</f>
        <v>#N/A</v>
      </c>
      <c r="F1719" s="22" t="e">
        <f>VLOOKUP($A1719,TAB_AMORTIZACAO_U[[Q_DIAS_U_PARC_TIR]:[V_FUT_U_PCPL-02]], F$5, FALSE)</f>
        <v>#N/A</v>
      </c>
      <c r="H1719" s="20">
        <f t="shared" si="137"/>
        <v>0</v>
      </c>
      <c r="I1719" s="21">
        <f t="shared" si="138"/>
        <v>0</v>
      </c>
      <c r="J1719" s="22" t="e">
        <f>VLOOKUP($A1719, TAB_JUROS_C[[DIAS_CORRIDOS]:[V_FUT_UTEIS]], J$5, FALSE)</f>
        <v>#N/A</v>
      </c>
      <c r="K1719" s="22" t="e">
        <f>VLOOKUP($A1719, TAB_CORRECAO_C[[DIAS_CORRIDOS]:[V_FUT_UTEIS]],K$5, FALSE)</f>
        <v>#N/A</v>
      </c>
      <c r="L1719" s="22" t="e">
        <f>VLOOKUP($A1719, TAB_AMORTIZACAO_C[[DIAS_CORRIDOS]:[V_FUT_UTEIS]], L$5, FALSE)</f>
        <v>#N/A</v>
      </c>
    </row>
    <row r="1720" spans="1:12" hidden="1">
      <c r="A1720" s="19">
        <f t="shared" si="139"/>
        <v>1714</v>
      </c>
      <c r="B1720" s="20">
        <f t="shared" si="135"/>
        <v>0</v>
      </c>
      <c r="C1720" s="21">
        <f t="shared" si="136"/>
        <v>0</v>
      </c>
      <c r="D1720" s="22" t="e">
        <f>VLOOKUP($A1720, TAB_JUROS_U[[Q_DIAS_U_PARC_TIR]:[V_FUT_U_JURS CENARIO]], D$5, FALSE)</f>
        <v>#N/A</v>
      </c>
      <c r="E1720" s="22" t="e">
        <f>VLOOKUP($A1720,TAB_CORRECAO_U[[Q_DIAS_U_PARC_TIR]:[V_FUT_U_CORC-02]],E$5, FALSE)</f>
        <v>#N/A</v>
      </c>
      <c r="F1720" s="22" t="e">
        <f>VLOOKUP($A1720,TAB_AMORTIZACAO_U[[Q_DIAS_U_PARC_TIR]:[V_FUT_U_PCPL-02]], F$5, FALSE)</f>
        <v>#N/A</v>
      </c>
      <c r="H1720" s="20">
        <f t="shared" si="137"/>
        <v>0</v>
      </c>
      <c r="I1720" s="21">
        <f t="shared" si="138"/>
        <v>0</v>
      </c>
      <c r="J1720" s="22" t="e">
        <f>VLOOKUP($A1720, TAB_JUROS_C[[DIAS_CORRIDOS]:[V_FUT_UTEIS]], J$5, FALSE)</f>
        <v>#N/A</v>
      </c>
      <c r="K1720" s="22" t="e">
        <f>VLOOKUP($A1720, TAB_CORRECAO_C[[DIAS_CORRIDOS]:[V_FUT_UTEIS]],K$5, FALSE)</f>
        <v>#N/A</v>
      </c>
      <c r="L1720" s="22" t="e">
        <f>VLOOKUP($A1720, TAB_AMORTIZACAO_C[[DIAS_CORRIDOS]:[V_FUT_UTEIS]], L$5, FALSE)</f>
        <v>#N/A</v>
      </c>
    </row>
    <row r="1721" spans="1:12" hidden="1">
      <c r="A1721" s="19">
        <f t="shared" si="139"/>
        <v>1715</v>
      </c>
      <c r="B1721" s="20">
        <f t="shared" si="135"/>
        <v>0</v>
      </c>
      <c r="C1721" s="21">
        <f t="shared" si="136"/>
        <v>0</v>
      </c>
      <c r="D1721" s="22" t="e">
        <f>VLOOKUP($A1721, TAB_JUROS_U[[Q_DIAS_U_PARC_TIR]:[V_FUT_U_JURS CENARIO]], D$5, FALSE)</f>
        <v>#N/A</v>
      </c>
      <c r="E1721" s="22" t="e">
        <f>VLOOKUP($A1721,TAB_CORRECAO_U[[Q_DIAS_U_PARC_TIR]:[V_FUT_U_CORC-02]],E$5, FALSE)</f>
        <v>#N/A</v>
      </c>
      <c r="F1721" s="22" t="e">
        <f>VLOOKUP($A1721,TAB_AMORTIZACAO_U[[Q_DIAS_U_PARC_TIR]:[V_FUT_U_PCPL-02]], F$5, FALSE)</f>
        <v>#N/A</v>
      </c>
      <c r="H1721" s="20">
        <f t="shared" si="137"/>
        <v>0</v>
      </c>
      <c r="I1721" s="21">
        <f t="shared" si="138"/>
        <v>0</v>
      </c>
      <c r="J1721" s="22" t="e">
        <f>VLOOKUP($A1721, TAB_JUROS_C[[DIAS_CORRIDOS]:[V_FUT_UTEIS]], J$5, FALSE)</f>
        <v>#N/A</v>
      </c>
      <c r="K1721" s="22" t="e">
        <f>VLOOKUP($A1721, TAB_CORRECAO_C[[DIAS_CORRIDOS]:[V_FUT_UTEIS]],K$5, FALSE)</f>
        <v>#N/A</v>
      </c>
      <c r="L1721" s="22" t="e">
        <f>VLOOKUP($A1721, TAB_AMORTIZACAO_C[[DIAS_CORRIDOS]:[V_FUT_UTEIS]], L$5, FALSE)</f>
        <v>#N/A</v>
      </c>
    </row>
    <row r="1722" spans="1:12" hidden="1">
      <c r="A1722" s="19">
        <f t="shared" si="139"/>
        <v>1716</v>
      </c>
      <c r="B1722" s="20">
        <f t="shared" si="135"/>
        <v>0</v>
      </c>
      <c r="C1722" s="21">
        <f t="shared" si="136"/>
        <v>0</v>
      </c>
      <c r="D1722" s="22" t="e">
        <f>VLOOKUP($A1722, TAB_JUROS_U[[Q_DIAS_U_PARC_TIR]:[V_FUT_U_JURS CENARIO]], D$5, FALSE)</f>
        <v>#N/A</v>
      </c>
      <c r="E1722" s="22" t="e">
        <f>VLOOKUP($A1722,TAB_CORRECAO_U[[Q_DIAS_U_PARC_TIR]:[V_FUT_U_CORC-02]],E$5, FALSE)</f>
        <v>#N/A</v>
      </c>
      <c r="F1722" s="22" t="e">
        <f>VLOOKUP($A1722,TAB_AMORTIZACAO_U[[Q_DIAS_U_PARC_TIR]:[V_FUT_U_PCPL-02]], F$5, FALSE)</f>
        <v>#N/A</v>
      </c>
      <c r="H1722" s="20">
        <f t="shared" si="137"/>
        <v>0</v>
      </c>
      <c r="I1722" s="21">
        <f t="shared" si="138"/>
        <v>0</v>
      </c>
      <c r="J1722" s="22" t="e">
        <f>VLOOKUP($A1722, TAB_JUROS_C[[DIAS_CORRIDOS]:[V_FUT_UTEIS]], J$5, FALSE)</f>
        <v>#N/A</v>
      </c>
      <c r="K1722" s="22" t="e">
        <f>VLOOKUP($A1722, TAB_CORRECAO_C[[DIAS_CORRIDOS]:[V_FUT_UTEIS]],K$5, FALSE)</f>
        <v>#N/A</v>
      </c>
      <c r="L1722" s="22" t="e">
        <f>VLOOKUP($A1722, TAB_AMORTIZACAO_C[[DIAS_CORRIDOS]:[V_FUT_UTEIS]], L$5, FALSE)</f>
        <v>#N/A</v>
      </c>
    </row>
    <row r="1723" spans="1:12" hidden="1">
      <c r="A1723" s="19">
        <f t="shared" si="139"/>
        <v>1717</v>
      </c>
      <c r="B1723" s="20">
        <f t="shared" si="135"/>
        <v>0</v>
      </c>
      <c r="C1723" s="21">
        <f t="shared" si="136"/>
        <v>0</v>
      </c>
      <c r="D1723" s="22" t="e">
        <f>VLOOKUP($A1723, TAB_JUROS_U[[Q_DIAS_U_PARC_TIR]:[V_FUT_U_JURS CENARIO]], D$5, FALSE)</f>
        <v>#N/A</v>
      </c>
      <c r="E1723" s="22" t="e">
        <f>VLOOKUP($A1723,TAB_CORRECAO_U[[Q_DIAS_U_PARC_TIR]:[V_FUT_U_CORC-02]],E$5, FALSE)</f>
        <v>#N/A</v>
      </c>
      <c r="F1723" s="22" t="e">
        <f>VLOOKUP($A1723,TAB_AMORTIZACAO_U[[Q_DIAS_U_PARC_TIR]:[V_FUT_U_PCPL-02]], F$5, FALSE)</f>
        <v>#N/A</v>
      </c>
      <c r="H1723" s="20">
        <f t="shared" si="137"/>
        <v>724.35458181754905</v>
      </c>
      <c r="I1723" s="21">
        <f t="shared" si="138"/>
        <v>724.35458181754905</v>
      </c>
      <c r="J1723" s="22">
        <f>VLOOKUP($A1723, TAB_JUROS_C[[DIAS_CORRIDOS]:[V_FUT_UTEIS]], J$5, FALSE)</f>
        <v>53.769683607990366</v>
      </c>
      <c r="K1723" s="22">
        <f>VLOOKUP($A1723, TAB_CORRECAO_C[[DIAS_CORRIDOS]:[V_FUT_UTEIS]],K$5, FALSE)</f>
        <v>321.88362841214609</v>
      </c>
      <c r="L1723" s="22">
        <f>VLOOKUP($A1723, TAB_AMORTIZACAO_C[[DIAS_CORRIDOS]:[V_FUT_UTEIS]], L$5, FALSE)</f>
        <v>348.70126979741258</v>
      </c>
    </row>
    <row r="1724" spans="1:12" hidden="1">
      <c r="A1724" s="19">
        <f t="shared" si="139"/>
        <v>1718</v>
      </c>
      <c r="B1724" s="20">
        <f t="shared" si="135"/>
        <v>0</v>
      </c>
      <c r="C1724" s="21">
        <f t="shared" si="136"/>
        <v>0</v>
      </c>
      <c r="D1724" s="22" t="e">
        <f>VLOOKUP($A1724, TAB_JUROS_U[[Q_DIAS_U_PARC_TIR]:[V_FUT_U_JURS CENARIO]], D$5, FALSE)</f>
        <v>#N/A</v>
      </c>
      <c r="E1724" s="22" t="e">
        <f>VLOOKUP($A1724,TAB_CORRECAO_U[[Q_DIAS_U_PARC_TIR]:[V_FUT_U_CORC-02]],E$5, FALSE)</f>
        <v>#N/A</v>
      </c>
      <c r="F1724" s="22" t="e">
        <f>VLOOKUP($A1724,TAB_AMORTIZACAO_U[[Q_DIAS_U_PARC_TIR]:[V_FUT_U_PCPL-02]], F$5, FALSE)</f>
        <v>#N/A</v>
      </c>
      <c r="H1724" s="20">
        <f t="shared" si="137"/>
        <v>0</v>
      </c>
      <c r="I1724" s="21">
        <f t="shared" si="138"/>
        <v>0</v>
      </c>
      <c r="J1724" s="22" t="e">
        <f>VLOOKUP($A1724, TAB_JUROS_C[[DIAS_CORRIDOS]:[V_FUT_UTEIS]], J$5, FALSE)</f>
        <v>#N/A</v>
      </c>
      <c r="K1724" s="22" t="e">
        <f>VLOOKUP($A1724, TAB_CORRECAO_C[[DIAS_CORRIDOS]:[V_FUT_UTEIS]],K$5, FALSE)</f>
        <v>#N/A</v>
      </c>
      <c r="L1724" s="22" t="e">
        <f>VLOOKUP($A1724, TAB_AMORTIZACAO_C[[DIAS_CORRIDOS]:[V_FUT_UTEIS]], L$5, FALSE)</f>
        <v>#N/A</v>
      </c>
    </row>
    <row r="1725" spans="1:12" hidden="1">
      <c r="A1725" s="19">
        <f t="shared" si="139"/>
        <v>1719</v>
      </c>
      <c r="B1725" s="20">
        <f t="shared" si="135"/>
        <v>0</v>
      </c>
      <c r="C1725" s="21">
        <f t="shared" si="136"/>
        <v>0</v>
      </c>
      <c r="D1725" s="22" t="e">
        <f>VLOOKUP($A1725, TAB_JUROS_U[[Q_DIAS_U_PARC_TIR]:[V_FUT_U_JURS CENARIO]], D$5, FALSE)</f>
        <v>#N/A</v>
      </c>
      <c r="E1725" s="22" t="e">
        <f>VLOOKUP($A1725,TAB_CORRECAO_U[[Q_DIAS_U_PARC_TIR]:[V_FUT_U_CORC-02]],E$5, FALSE)</f>
        <v>#N/A</v>
      </c>
      <c r="F1725" s="22" t="e">
        <f>VLOOKUP($A1725,TAB_AMORTIZACAO_U[[Q_DIAS_U_PARC_TIR]:[V_FUT_U_PCPL-02]], F$5, FALSE)</f>
        <v>#N/A</v>
      </c>
      <c r="H1725" s="20">
        <f t="shared" si="137"/>
        <v>0</v>
      </c>
      <c r="I1725" s="21">
        <f t="shared" si="138"/>
        <v>0</v>
      </c>
      <c r="J1725" s="22" t="e">
        <f>VLOOKUP($A1725, TAB_JUROS_C[[DIAS_CORRIDOS]:[V_FUT_UTEIS]], J$5, FALSE)</f>
        <v>#N/A</v>
      </c>
      <c r="K1725" s="22" t="e">
        <f>VLOOKUP($A1725, TAB_CORRECAO_C[[DIAS_CORRIDOS]:[V_FUT_UTEIS]],K$5, FALSE)</f>
        <v>#N/A</v>
      </c>
      <c r="L1725" s="22" t="e">
        <f>VLOOKUP($A1725, TAB_AMORTIZACAO_C[[DIAS_CORRIDOS]:[V_FUT_UTEIS]], L$5, FALSE)</f>
        <v>#N/A</v>
      </c>
    </row>
    <row r="1726" spans="1:12" hidden="1">
      <c r="A1726" s="19">
        <f t="shared" si="139"/>
        <v>1720</v>
      </c>
      <c r="B1726" s="20">
        <f t="shared" si="135"/>
        <v>0</v>
      </c>
      <c r="C1726" s="21">
        <f t="shared" si="136"/>
        <v>0</v>
      </c>
      <c r="D1726" s="22" t="e">
        <f>VLOOKUP($A1726, TAB_JUROS_U[[Q_DIAS_U_PARC_TIR]:[V_FUT_U_JURS CENARIO]], D$5, FALSE)</f>
        <v>#N/A</v>
      </c>
      <c r="E1726" s="22" t="e">
        <f>VLOOKUP($A1726,TAB_CORRECAO_U[[Q_DIAS_U_PARC_TIR]:[V_FUT_U_CORC-02]],E$5, FALSE)</f>
        <v>#N/A</v>
      </c>
      <c r="F1726" s="22" t="e">
        <f>VLOOKUP($A1726,TAB_AMORTIZACAO_U[[Q_DIAS_U_PARC_TIR]:[V_FUT_U_PCPL-02]], F$5, FALSE)</f>
        <v>#N/A</v>
      </c>
      <c r="H1726" s="20">
        <f t="shared" si="137"/>
        <v>0</v>
      </c>
      <c r="I1726" s="21">
        <f t="shared" si="138"/>
        <v>0</v>
      </c>
      <c r="J1726" s="22" t="e">
        <f>VLOOKUP($A1726, TAB_JUROS_C[[DIAS_CORRIDOS]:[V_FUT_UTEIS]], J$5, FALSE)</f>
        <v>#N/A</v>
      </c>
      <c r="K1726" s="22" t="e">
        <f>VLOOKUP($A1726, TAB_CORRECAO_C[[DIAS_CORRIDOS]:[V_FUT_UTEIS]],K$5, FALSE)</f>
        <v>#N/A</v>
      </c>
      <c r="L1726" s="22" t="e">
        <f>VLOOKUP($A1726, TAB_AMORTIZACAO_C[[DIAS_CORRIDOS]:[V_FUT_UTEIS]], L$5, FALSE)</f>
        <v>#N/A</v>
      </c>
    </row>
    <row r="1727" spans="1:12" hidden="1">
      <c r="A1727" s="19">
        <f t="shared" si="139"/>
        <v>1721</v>
      </c>
      <c r="B1727" s="20">
        <f t="shared" si="135"/>
        <v>0</v>
      </c>
      <c r="C1727" s="21">
        <f t="shared" si="136"/>
        <v>0</v>
      </c>
      <c r="D1727" s="22" t="e">
        <f>VLOOKUP($A1727, TAB_JUROS_U[[Q_DIAS_U_PARC_TIR]:[V_FUT_U_JURS CENARIO]], D$5, FALSE)</f>
        <v>#N/A</v>
      </c>
      <c r="E1727" s="22" t="e">
        <f>VLOOKUP($A1727,TAB_CORRECAO_U[[Q_DIAS_U_PARC_TIR]:[V_FUT_U_CORC-02]],E$5, FALSE)</f>
        <v>#N/A</v>
      </c>
      <c r="F1727" s="22" t="e">
        <f>VLOOKUP($A1727,TAB_AMORTIZACAO_U[[Q_DIAS_U_PARC_TIR]:[V_FUT_U_PCPL-02]], F$5, FALSE)</f>
        <v>#N/A</v>
      </c>
      <c r="H1727" s="20">
        <f t="shared" si="137"/>
        <v>0</v>
      </c>
      <c r="I1727" s="21">
        <f t="shared" si="138"/>
        <v>0</v>
      </c>
      <c r="J1727" s="22" t="e">
        <f>VLOOKUP($A1727, TAB_JUROS_C[[DIAS_CORRIDOS]:[V_FUT_UTEIS]], J$5, FALSE)</f>
        <v>#N/A</v>
      </c>
      <c r="K1727" s="22" t="e">
        <f>VLOOKUP($A1727, TAB_CORRECAO_C[[DIAS_CORRIDOS]:[V_FUT_UTEIS]],K$5, FALSE)</f>
        <v>#N/A</v>
      </c>
      <c r="L1727" s="22" t="e">
        <f>VLOOKUP($A1727, TAB_AMORTIZACAO_C[[DIAS_CORRIDOS]:[V_FUT_UTEIS]], L$5, FALSE)</f>
        <v>#N/A</v>
      </c>
    </row>
    <row r="1728" spans="1:12" hidden="1">
      <c r="A1728" s="19">
        <f t="shared" si="139"/>
        <v>1722</v>
      </c>
      <c r="B1728" s="20">
        <f t="shared" si="135"/>
        <v>0</v>
      </c>
      <c r="C1728" s="21">
        <f t="shared" si="136"/>
        <v>0</v>
      </c>
      <c r="D1728" s="22" t="e">
        <f>VLOOKUP($A1728, TAB_JUROS_U[[Q_DIAS_U_PARC_TIR]:[V_FUT_U_JURS CENARIO]], D$5, FALSE)</f>
        <v>#N/A</v>
      </c>
      <c r="E1728" s="22" t="e">
        <f>VLOOKUP($A1728,TAB_CORRECAO_U[[Q_DIAS_U_PARC_TIR]:[V_FUT_U_CORC-02]],E$5, FALSE)</f>
        <v>#N/A</v>
      </c>
      <c r="F1728" s="22" t="e">
        <f>VLOOKUP($A1728,TAB_AMORTIZACAO_U[[Q_DIAS_U_PARC_TIR]:[V_FUT_U_PCPL-02]], F$5, FALSE)</f>
        <v>#N/A</v>
      </c>
      <c r="H1728" s="20">
        <f t="shared" si="137"/>
        <v>0</v>
      </c>
      <c r="I1728" s="21">
        <f t="shared" si="138"/>
        <v>0</v>
      </c>
      <c r="J1728" s="22" t="e">
        <f>VLOOKUP($A1728, TAB_JUROS_C[[DIAS_CORRIDOS]:[V_FUT_UTEIS]], J$5, FALSE)</f>
        <v>#N/A</v>
      </c>
      <c r="K1728" s="22" t="e">
        <f>VLOOKUP($A1728, TAB_CORRECAO_C[[DIAS_CORRIDOS]:[V_FUT_UTEIS]],K$5, FALSE)</f>
        <v>#N/A</v>
      </c>
      <c r="L1728" s="22" t="e">
        <f>VLOOKUP($A1728, TAB_AMORTIZACAO_C[[DIAS_CORRIDOS]:[V_FUT_UTEIS]], L$5, FALSE)</f>
        <v>#N/A</v>
      </c>
    </row>
    <row r="1729" spans="1:12" hidden="1">
      <c r="A1729" s="19">
        <f t="shared" si="139"/>
        <v>1723</v>
      </c>
      <c r="B1729" s="20">
        <f t="shared" si="135"/>
        <v>0</v>
      </c>
      <c r="C1729" s="21">
        <f t="shared" si="136"/>
        <v>0</v>
      </c>
      <c r="D1729" s="22" t="e">
        <f>VLOOKUP($A1729, TAB_JUROS_U[[Q_DIAS_U_PARC_TIR]:[V_FUT_U_JURS CENARIO]], D$5, FALSE)</f>
        <v>#N/A</v>
      </c>
      <c r="E1729" s="22" t="e">
        <f>VLOOKUP($A1729,TAB_CORRECAO_U[[Q_DIAS_U_PARC_TIR]:[V_FUT_U_CORC-02]],E$5, FALSE)</f>
        <v>#N/A</v>
      </c>
      <c r="F1729" s="22" t="e">
        <f>VLOOKUP($A1729,TAB_AMORTIZACAO_U[[Q_DIAS_U_PARC_TIR]:[V_FUT_U_PCPL-02]], F$5, FALSE)</f>
        <v>#N/A</v>
      </c>
      <c r="H1729" s="20">
        <f t="shared" si="137"/>
        <v>0</v>
      </c>
      <c r="I1729" s="21">
        <f t="shared" si="138"/>
        <v>0</v>
      </c>
      <c r="J1729" s="22" t="e">
        <f>VLOOKUP($A1729, TAB_JUROS_C[[DIAS_CORRIDOS]:[V_FUT_UTEIS]], J$5, FALSE)</f>
        <v>#N/A</v>
      </c>
      <c r="K1729" s="22" t="e">
        <f>VLOOKUP($A1729, TAB_CORRECAO_C[[DIAS_CORRIDOS]:[V_FUT_UTEIS]],K$5, FALSE)</f>
        <v>#N/A</v>
      </c>
      <c r="L1729" s="22" t="e">
        <f>VLOOKUP($A1729, TAB_AMORTIZACAO_C[[DIAS_CORRIDOS]:[V_FUT_UTEIS]], L$5, FALSE)</f>
        <v>#N/A</v>
      </c>
    </row>
    <row r="1730" spans="1:12" hidden="1">
      <c r="A1730" s="19">
        <f t="shared" si="139"/>
        <v>1724</v>
      </c>
      <c r="B1730" s="20">
        <f t="shared" si="135"/>
        <v>0</v>
      </c>
      <c r="C1730" s="21">
        <f t="shared" si="136"/>
        <v>0</v>
      </c>
      <c r="D1730" s="22" t="e">
        <f>VLOOKUP($A1730, TAB_JUROS_U[[Q_DIAS_U_PARC_TIR]:[V_FUT_U_JURS CENARIO]], D$5, FALSE)</f>
        <v>#N/A</v>
      </c>
      <c r="E1730" s="22" t="e">
        <f>VLOOKUP($A1730,TAB_CORRECAO_U[[Q_DIAS_U_PARC_TIR]:[V_FUT_U_CORC-02]],E$5, FALSE)</f>
        <v>#N/A</v>
      </c>
      <c r="F1730" s="22" t="e">
        <f>VLOOKUP($A1730,TAB_AMORTIZACAO_U[[Q_DIAS_U_PARC_TIR]:[V_FUT_U_PCPL-02]], F$5, FALSE)</f>
        <v>#N/A</v>
      </c>
      <c r="H1730" s="20">
        <f t="shared" si="137"/>
        <v>0</v>
      </c>
      <c r="I1730" s="21">
        <f t="shared" si="138"/>
        <v>0</v>
      </c>
      <c r="J1730" s="22" t="e">
        <f>VLOOKUP($A1730, TAB_JUROS_C[[DIAS_CORRIDOS]:[V_FUT_UTEIS]], J$5, FALSE)</f>
        <v>#N/A</v>
      </c>
      <c r="K1730" s="22" t="e">
        <f>VLOOKUP($A1730, TAB_CORRECAO_C[[DIAS_CORRIDOS]:[V_FUT_UTEIS]],K$5, FALSE)</f>
        <v>#N/A</v>
      </c>
      <c r="L1730" s="22" t="e">
        <f>VLOOKUP($A1730, TAB_AMORTIZACAO_C[[DIAS_CORRIDOS]:[V_FUT_UTEIS]], L$5, FALSE)</f>
        <v>#N/A</v>
      </c>
    </row>
    <row r="1731" spans="1:12" hidden="1">
      <c r="A1731" s="19">
        <f t="shared" si="139"/>
        <v>1725</v>
      </c>
      <c r="B1731" s="20">
        <f t="shared" si="135"/>
        <v>0</v>
      </c>
      <c r="C1731" s="21">
        <f t="shared" si="136"/>
        <v>0</v>
      </c>
      <c r="D1731" s="22" t="e">
        <f>VLOOKUP($A1731, TAB_JUROS_U[[Q_DIAS_U_PARC_TIR]:[V_FUT_U_JURS CENARIO]], D$5, FALSE)</f>
        <v>#N/A</v>
      </c>
      <c r="E1731" s="22" t="e">
        <f>VLOOKUP($A1731,TAB_CORRECAO_U[[Q_DIAS_U_PARC_TIR]:[V_FUT_U_CORC-02]],E$5, FALSE)</f>
        <v>#N/A</v>
      </c>
      <c r="F1731" s="22" t="e">
        <f>VLOOKUP($A1731,TAB_AMORTIZACAO_U[[Q_DIAS_U_PARC_TIR]:[V_FUT_U_PCPL-02]], F$5, FALSE)</f>
        <v>#N/A</v>
      </c>
      <c r="H1731" s="20">
        <f t="shared" si="137"/>
        <v>0</v>
      </c>
      <c r="I1731" s="21">
        <f t="shared" si="138"/>
        <v>0</v>
      </c>
      <c r="J1731" s="22" t="e">
        <f>VLOOKUP($A1731, TAB_JUROS_C[[DIAS_CORRIDOS]:[V_FUT_UTEIS]], J$5, FALSE)</f>
        <v>#N/A</v>
      </c>
      <c r="K1731" s="22" t="e">
        <f>VLOOKUP($A1731, TAB_CORRECAO_C[[DIAS_CORRIDOS]:[V_FUT_UTEIS]],K$5, FALSE)</f>
        <v>#N/A</v>
      </c>
      <c r="L1731" s="22" t="e">
        <f>VLOOKUP($A1731, TAB_AMORTIZACAO_C[[DIAS_CORRIDOS]:[V_FUT_UTEIS]], L$5, FALSE)</f>
        <v>#N/A</v>
      </c>
    </row>
    <row r="1732" spans="1:12" hidden="1">
      <c r="A1732" s="19">
        <f t="shared" si="139"/>
        <v>1726</v>
      </c>
      <c r="B1732" s="20">
        <f t="shared" si="135"/>
        <v>0</v>
      </c>
      <c r="C1732" s="21">
        <f t="shared" si="136"/>
        <v>0</v>
      </c>
      <c r="D1732" s="22" t="e">
        <f>VLOOKUP($A1732, TAB_JUROS_U[[Q_DIAS_U_PARC_TIR]:[V_FUT_U_JURS CENARIO]], D$5, FALSE)</f>
        <v>#N/A</v>
      </c>
      <c r="E1732" s="22" t="e">
        <f>VLOOKUP($A1732,TAB_CORRECAO_U[[Q_DIAS_U_PARC_TIR]:[V_FUT_U_CORC-02]],E$5, FALSE)</f>
        <v>#N/A</v>
      </c>
      <c r="F1732" s="22" t="e">
        <f>VLOOKUP($A1732,TAB_AMORTIZACAO_U[[Q_DIAS_U_PARC_TIR]:[V_FUT_U_PCPL-02]], F$5, FALSE)</f>
        <v>#N/A</v>
      </c>
      <c r="H1732" s="20">
        <f t="shared" si="137"/>
        <v>0</v>
      </c>
      <c r="I1732" s="21">
        <f t="shared" si="138"/>
        <v>0</v>
      </c>
      <c r="J1732" s="22" t="e">
        <f>VLOOKUP($A1732, TAB_JUROS_C[[DIAS_CORRIDOS]:[V_FUT_UTEIS]], J$5, FALSE)</f>
        <v>#N/A</v>
      </c>
      <c r="K1732" s="22" t="e">
        <f>VLOOKUP($A1732, TAB_CORRECAO_C[[DIAS_CORRIDOS]:[V_FUT_UTEIS]],K$5, FALSE)</f>
        <v>#N/A</v>
      </c>
      <c r="L1732" s="22" t="e">
        <f>VLOOKUP($A1732, TAB_AMORTIZACAO_C[[DIAS_CORRIDOS]:[V_FUT_UTEIS]], L$5, FALSE)</f>
        <v>#N/A</v>
      </c>
    </row>
    <row r="1733" spans="1:12">
      <c r="A1733" s="19">
        <f t="shared" si="139"/>
        <v>1727</v>
      </c>
      <c r="B1733" s="20">
        <f t="shared" si="135"/>
        <v>393.56623326394953</v>
      </c>
      <c r="C1733" s="21">
        <f t="shared" si="136"/>
        <v>393.56623326394953</v>
      </c>
      <c r="D1733" s="22">
        <f>VLOOKUP($A1733, TAB_JUROS_U[[Q_DIAS_U_PARC_TIR]:[V_FUT_U_JURS CENARIO]], D$5, FALSE)</f>
        <v>24.623037748593273</v>
      </c>
      <c r="E1733" s="22">
        <f>VLOOKUP($A1733,TAB_CORRECAO_U[[Q_DIAS_U_PARC_TIR]:[V_FUT_U_CORC-02]],E$5, FALSE)</f>
        <v>148.80796667774246</v>
      </c>
      <c r="F1733" s="22">
        <f>VLOOKUP($A1733,TAB_AMORTIZACAO_U[[Q_DIAS_U_PARC_TIR]:[V_FUT_U_PCPL-02]], F$5, FALSE)</f>
        <v>220.13522883761379</v>
      </c>
      <c r="H1733" s="20">
        <f t="shared" si="137"/>
        <v>0</v>
      </c>
      <c r="I1733" s="21">
        <f t="shared" si="138"/>
        <v>0</v>
      </c>
      <c r="J1733" s="22" t="e">
        <f>VLOOKUP($A1733, TAB_JUROS_C[[DIAS_CORRIDOS]:[V_FUT_UTEIS]], J$5, FALSE)</f>
        <v>#N/A</v>
      </c>
      <c r="K1733" s="22" t="e">
        <f>VLOOKUP($A1733, TAB_CORRECAO_C[[DIAS_CORRIDOS]:[V_FUT_UTEIS]],K$5, FALSE)</f>
        <v>#N/A</v>
      </c>
      <c r="L1733" s="22" t="e">
        <f>VLOOKUP($A1733, TAB_AMORTIZACAO_C[[DIAS_CORRIDOS]:[V_FUT_UTEIS]], L$5, FALSE)</f>
        <v>#N/A</v>
      </c>
    </row>
    <row r="1734" spans="1:12" hidden="1">
      <c r="A1734" s="19">
        <f t="shared" si="139"/>
        <v>1728</v>
      </c>
      <c r="B1734" s="20">
        <f t="shared" si="135"/>
        <v>0</v>
      </c>
      <c r="C1734" s="21">
        <f t="shared" si="136"/>
        <v>0</v>
      </c>
      <c r="D1734" s="22" t="e">
        <f>VLOOKUP($A1734, TAB_JUROS_U[[Q_DIAS_U_PARC_TIR]:[V_FUT_U_JURS CENARIO]], D$5, FALSE)</f>
        <v>#N/A</v>
      </c>
      <c r="E1734" s="22" t="e">
        <f>VLOOKUP($A1734,TAB_CORRECAO_U[[Q_DIAS_U_PARC_TIR]:[V_FUT_U_CORC-02]],E$5, FALSE)</f>
        <v>#N/A</v>
      </c>
      <c r="F1734" s="22" t="e">
        <f>VLOOKUP($A1734,TAB_AMORTIZACAO_U[[Q_DIAS_U_PARC_TIR]:[V_FUT_U_PCPL-02]], F$5, FALSE)</f>
        <v>#N/A</v>
      </c>
      <c r="H1734" s="20">
        <f t="shared" si="137"/>
        <v>0</v>
      </c>
      <c r="I1734" s="21">
        <f t="shared" si="138"/>
        <v>0</v>
      </c>
      <c r="J1734" s="22" t="e">
        <f>VLOOKUP($A1734, TAB_JUROS_C[[DIAS_CORRIDOS]:[V_FUT_UTEIS]], J$5, FALSE)</f>
        <v>#N/A</v>
      </c>
      <c r="K1734" s="22" t="e">
        <f>VLOOKUP($A1734, TAB_CORRECAO_C[[DIAS_CORRIDOS]:[V_FUT_UTEIS]],K$5, FALSE)</f>
        <v>#N/A</v>
      </c>
      <c r="L1734" s="22" t="e">
        <f>VLOOKUP($A1734, TAB_AMORTIZACAO_C[[DIAS_CORRIDOS]:[V_FUT_UTEIS]], L$5, FALSE)</f>
        <v>#N/A</v>
      </c>
    </row>
    <row r="1735" spans="1:12" hidden="1">
      <c r="A1735" s="19">
        <f t="shared" si="139"/>
        <v>1729</v>
      </c>
      <c r="B1735" s="20">
        <f t="shared" si="135"/>
        <v>0</v>
      </c>
      <c r="C1735" s="21">
        <f t="shared" si="136"/>
        <v>0</v>
      </c>
      <c r="D1735" s="22" t="e">
        <f>VLOOKUP($A1735, TAB_JUROS_U[[Q_DIAS_U_PARC_TIR]:[V_FUT_U_JURS CENARIO]], D$5, FALSE)</f>
        <v>#N/A</v>
      </c>
      <c r="E1735" s="22" t="e">
        <f>VLOOKUP($A1735,TAB_CORRECAO_U[[Q_DIAS_U_PARC_TIR]:[V_FUT_U_CORC-02]],E$5, FALSE)</f>
        <v>#N/A</v>
      </c>
      <c r="F1735" s="22" t="e">
        <f>VLOOKUP($A1735,TAB_AMORTIZACAO_U[[Q_DIAS_U_PARC_TIR]:[V_FUT_U_PCPL-02]], F$5, FALSE)</f>
        <v>#N/A</v>
      </c>
      <c r="H1735" s="20">
        <f t="shared" si="137"/>
        <v>0</v>
      </c>
      <c r="I1735" s="21">
        <f t="shared" si="138"/>
        <v>0</v>
      </c>
      <c r="J1735" s="22" t="e">
        <f>VLOOKUP($A1735, TAB_JUROS_C[[DIAS_CORRIDOS]:[V_FUT_UTEIS]], J$5, FALSE)</f>
        <v>#N/A</v>
      </c>
      <c r="K1735" s="22" t="e">
        <f>VLOOKUP($A1735, TAB_CORRECAO_C[[DIAS_CORRIDOS]:[V_FUT_UTEIS]],K$5, FALSE)</f>
        <v>#N/A</v>
      </c>
      <c r="L1735" s="22" t="e">
        <f>VLOOKUP($A1735, TAB_AMORTIZACAO_C[[DIAS_CORRIDOS]:[V_FUT_UTEIS]], L$5, FALSE)</f>
        <v>#N/A</v>
      </c>
    </row>
    <row r="1736" spans="1:12" hidden="1">
      <c r="A1736" s="19">
        <f t="shared" si="139"/>
        <v>1730</v>
      </c>
      <c r="B1736" s="20">
        <f t="shared" si="135"/>
        <v>0</v>
      </c>
      <c r="C1736" s="21">
        <f t="shared" si="136"/>
        <v>0</v>
      </c>
      <c r="D1736" s="22" t="e">
        <f>VLOOKUP($A1736, TAB_JUROS_U[[Q_DIAS_U_PARC_TIR]:[V_FUT_U_JURS CENARIO]], D$5, FALSE)</f>
        <v>#N/A</v>
      </c>
      <c r="E1736" s="22" t="e">
        <f>VLOOKUP($A1736,TAB_CORRECAO_U[[Q_DIAS_U_PARC_TIR]:[V_FUT_U_CORC-02]],E$5, FALSE)</f>
        <v>#N/A</v>
      </c>
      <c r="F1736" s="22" t="e">
        <f>VLOOKUP($A1736,TAB_AMORTIZACAO_U[[Q_DIAS_U_PARC_TIR]:[V_FUT_U_PCPL-02]], F$5, FALSE)</f>
        <v>#N/A</v>
      </c>
      <c r="H1736" s="20">
        <f t="shared" si="137"/>
        <v>0</v>
      </c>
      <c r="I1736" s="21">
        <f t="shared" si="138"/>
        <v>0</v>
      </c>
      <c r="J1736" s="22" t="e">
        <f>VLOOKUP($A1736, TAB_JUROS_C[[DIAS_CORRIDOS]:[V_FUT_UTEIS]], J$5, FALSE)</f>
        <v>#N/A</v>
      </c>
      <c r="K1736" s="22" t="e">
        <f>VLOOKUP($A1736, TAB_CORRECAO_C[[DIAS_CORRIDOS]:[V_FUT_UTEIS]],K$5, FALSE)</f>
        <v>#N/A</v>
      </c>
      <c r="L1736" s="22" t="e">
        <f>VLOOKUP($A1736, TAB_AMORTIZACAO_C[[DIAS_CORRIDOS]:[V_FUT_UTEIS]], L$5, FALSE)</f>
        <v>#N/A</v>
      </c>
    </row>
    <row r="1737" spans="1:12" hidden="1">
      <c r="A1737" s="19">
        <f t="shared" si="139"/>
        <v>1731</v>
      </c>
      <c r="B1737" s="20">
        <f t="shared" ref="B1737:B1800" si="140">IF(ISERROR(C1737), 0, C1737)</f>
        <v>0</v>
      </c>
      <c r="C1737" s="21">
        <f t="shared" ref="C1737:C1800" si="141">SUMIF(D1737:F1737, "&gt;0", D1737:F1737)</f>
        <v>0</v>
      </c>
      <c r="D1737" s="22" t="e">
        <f>VLOOKUP($A1737, TAB_JUROS_U[[Q_DIAS_U_PARC_TIR]:[V_FUT_U_JURS CENARIO]], D$5, FALSE)</f>
        <v>#N/A</v>
      </c>
      <c r="E1737" s="22" t="e">
        <f>VLOOKUP($A1737,TAB_CORRECAO_U[[Q_DIAS_U_PARC_TIR]:[V_FUT_U_CORC-02]],E$5, FALSE)</f>
        <v>#N/A</v>
      </c>
      <c r="F1737" s="22" t="e">
        <f>VLOOKUP($A1737,TAB_AMORTIZACAO_U[[Q_DIAS_U_PARC_TIR]:[V_FUT_U_PCPL-02]], F$5, FALSE)</f>
        <v>#N/A</v>
      </c>
      <c r="H1737" s="20">
        <f t="shared" ref="H1737:H1800" si="142">IF(ISERROR(I1737), 0, I1737)</f>
        <v>0</v>
      </c>
      <c r="I1737" s="21">
        <f t="shared" ref="I1737:I1800" si="143">SUMIF(J1737:L1737, "&gt;0", J1737:L1737)</f>
        <v>0</v>
      </c>
      <c r="J1737" s="22" t="e">
        <f>VLOOKUP($A1737, TAB_JUROS_C[[DIAS_CORRIDOS]:[V_FUT_UTEIS]], J$5, FALSE)</f>
        <v>#N/A</v>
      </c>
      <c r="K1737" s="22" t="e">
        <f>VLOOKUP($A1737, TAB_CORRECAO_C[[DIAS_CORRIDOS]:[V_FUT_UTEIS]],K$5, FALSE)</f>
        <v>#N/A</v>
      </c>
      <c r="L1737" s="22" t="e">
        <f>VLOOKUP($A1737, TAB_AMORTIZACAO_C[[DIAS_CORRIDOS]:[V_FUT_UTEIS]], L$5, FALSE)</f>
        <v>#N/A</v>
      </c>
    </row>
    <row r="1738" spans="1:12" hidden="1">
      <c r="A1738" s="19">
        <f t="shared" ref="A1738:A1801" si="144">A1737+1</f>
        <v>1732</v>
      </c>
      <c r="B1738" s="20">
        <f t="shared" si="140"/>
        <v>0</v>
      </c>
      <c r="C1738" s="21">
        <f t="shared" si="141"/>
        <v>0</v>
      </c>
      <c r="D1738" s="22" t="e">
        <f>VLOOKUP($A1738, TAB_JUROS_U[[Q_DIAS_U_PARC_TIR]:[V_FUT_U_JURS CENARIO]], D$5, FALSE)</f>
        <v>#N/A</v>
      </c>
      <c r="E1738" s="22" t="e">
        <f>VLOOKUP($A1738,TAB_CORRECAO_U[[Q_DIAS_U_PARC_TIR]:[V_FUT_U_CORC-02]],E$5, FALSE)</f>
        <v>#N/A</v>
      </c>
      <c r="F1738" s="22" t="e">
        <f>VLOOKUP($A1738,TAB_AMORTIZACAO_U[[Q_DIAS_U_PARC_TIR]:[V_FUT_U_PCPL-02]], F$5, FALSE)</f>
        <v>#N/A</v>
      </c>
      <c r="H1738" s="20">
        <f t="shared" si="142"/>
        <v>0</v>
      </c>
      <c r="I1738" s="21">
        <f t="shared" si="143"/>
        <v>0</v>
      </c>
      <c r="J1738" s="22" t="e">
        <f>VLOOKUP($A1738, TAB_JUROS_C[[DIAS_CORRIDOS]:[V_FUT_UTEIS]], J$5, FALSE)</f>
        <v>#N/A</v>
      </c>
      <c r="K1738" s="22" t="e">
        <f>VLOOKUP($A1738, TAB_CORRECAO_C[[DIAS_CORRIDOS]:[V_FUT_UTEIS]],K$5, FALSE)</f>
        <v>#N/A</v>
      </c>
      <c r="L1738" s="22" t="e">
        <f>VLOOKUP($A1738, TAB_AMORTIZACAO_C[[DIAS_CORRIDOS]:[V_FUT_UTEIS]], L$5, FALSE)</f>
        <v>#N/A</v>
      </c>
    </row>
    <row r="1739" spans="1:12" hidden="1">
      <c r="A1739" s="19">
        <f t="shared" si="144"/>
        <v>1733</v>
      </c>
      <c r="B1739" s="20">
        <f t="shared" si="140"/>
        <v>0</v>
      </c>
      <c r="C1739" s="21">
        <f t="shared" si="141"/>
        <v>0</v>
      </c>
      <c r="D1739" s="22" t="e">
        <f>VLOOKUP($A1739, TAB_JUROS_U[[Q_DIAS_U_PARC_TIR]:[V_FUT_U_JURS CENARIO]], D$5, FALSE)</f>
        <v>#N/A</v>
      </c>
      <c r="E1739" s="22" t="e">
        <f>VLOOKUP($A1739,TAB_CORRECAO_U[[Q_DIAS_U_PARC_TIR]:[V_FUT_U_CORC-02]],E$5, FALSE)</f>
        <v>#N/A</v>
      </c>
      <c r="F1739" s="22" t="e">
        <f>VLOOKUP($A1739,TAB_AMORTIZACAO_U[[Q_DIAS_U_PARC_TIR]:[V_FUT_U_PCPL-02]], F$5, FALSE)</f>
        <v>#N/A</v>
      </c>
      <c r="H1739" s="20">
        <f t="shared" si="142"/>
        <v>0</v>
      </c>
      <c r="I1739" s="21">
        <f t="shared" si="143"/>
        <v>0</v>
      </c>
      <c r="J1739" s="22" t="e">
        <f>VLOOKUP($A1739, TAB_JUROS_C[[DIAS_CORRIDOS]:[V_FUT_UTEIS]], J$5, FALSE)</f>
        <v>#N/A</v>
      </c>
      <c r="K1739" s="22" t="e">
        <f>VLOOKUP($A1739, TAB_CORRECAO_C[[DIAS_CORRIDOS]:[V_FUT_UTEIS]],K$5, FALSE)</f>
        <v>#N/A</v>
      </c>
      <c r="L1739" s="22" t="e">
        <f>VLOOKUP($A1739, TAB_AMORTIZACAO_C[[DIAS_CORRIDOS]:[V_FUT_UTEIS]], L$5, FALSE)</f>
        <v>#N/A</v>
      </c>
    </row>
    <row r="1740" spans="1:12" hidden="1">
      <c r="A1740" s="19">
        <f t="shared" si="144"/>
        <v>1734</v>
      </c>
      <c r="B1740" s="20">
        <f t="shared" si="140"/>
        <v>0</v>
      </c>
      <c r="C1740" s="21">
        <f t="shared" si="141"/>
        <v>0</v>
      </c>
      <c r="D1740" s="22" t="e">
        <f>VLOOKUP($A1740, TAB_JUROS_U[[Q_DIAS_U_PARC_TIR]:[V_FUT_U_JURS CENARIO]], D$5, FALSE)</f>
        <v>#N/A</v>
      </c>
      <c r="E1740" s="22" t="e">
        <f>VLOOKUP($A1740,TAB_CORRECAO_U[[Q_DIAS_U_PARC_TIR]:[V_FUT_U_CORC-02]],E$5, FALSE)</f>
        <v>#N/A</v>
      </c>
      <c r="F1740" s="22" t="e">
        <f>VLOOKUP($A1740,TAB_AMORTIZACAO_U[[Q_DIAS_U_PARC_TIR]:[V_FUT_U_PCPL-02]], F$5, FALSE)</f>
        <v>#N/A</v>
      </c>
      <c r="H1740" s="20">
        <f t="shared" si="142"/>
        <v>0</v>
      </c>
      <c r="I1740" s="21">
        <f t="shared" si="143"/>
        <v>0</v>
      </c>
      <c r="J1740" s="22" t="e">
        <f>VLOOKUP($A1740, TAB_JUROS_C[[DIAS_CORRIDOS]:[V_FUT_UTEIS]], J$5, FALSE)</f>
        <v>#N/A</v>
      </c>
      <c r="K1740" s="22" t="e">
        <f>VLOOKUP($A1740, TAB_CORRECAO_C[[DIAS_CORRIDOS]:[V_FUT_UTEIS]],K$5, FALSE)</f>
        <v>#N/A</v>
      </c>
      <c r="L1740" s="22" t="e">
        <f>VLOOKUP($A1740, TAB_AMORTIZACAO_C[[DIAS_CORRIDOS]:[V_FUT_UTEIS]], L$5, FALSE)</f>
        <v>#N/A</v>
      </c>
    </row>
    <row r="1741" spans="1:12" hidden="1">
      <c r="A1741" s="19">
        <f t="shared" si="144"/>
        <v>1735</v>
      </c>
      <c r="B1741" s="20">
        <f t="shared" si="140"/>
        <v>0</v>
      </c>
      <c r="C1741" s="21">
        <f t="shared" si="141"/>
        <v>0</v>
      </c>
      <c r="D1741" s="22" t="e">
        <f>VLOOKUP($A1741, TAB_JUROS_U[[Q_DIAS_U_PARC_TIR]:[V_FUT_U_JURS CENARIO]], D$5, FALSE)</f>
        <v>#N/A</v>
      </c>
      <c r="E1741" s="22" t="e">
        <f>VLOOKUP($A1741,TAB_CORRECAO_U[[Q_DIAS_U_PARC_TIR]:[V_FUT_U_CORC-02]],E$5, FALSE)</f>
        <v>#N/A</v>
      </c>
      <c r="F1741" s="22" t="e">
        <f>VLOOKUP($A1741,TAB_AMORTIZACAO_U[[Q_DIAS_U_PARC_TIR]:[V_FUT_U_PCPL-02]], F$5, FALSE)</f>
        <v>#N/A</v>
      </c>
      <c r="H1741" s="20">
        <f t="shared" si="142"/>
        <v>0</v>
      </c>
      <c r="I1741" s="21">
        <f t="shared" si="143"/>
        <v>0</v>
      </c>
      <c r="J1741" s="22" t="e">
        <f>VLOOKUP($A1741, TAB_JUROS_C[[DIAS_CORRIDOS]:[V_FUT_UTEIS]], J$5, FALSE)</f>
        <v>#N/A</v>
      </c>
      <c r="K1741" s="22" t="e">
        <f>VLOOKUP($A1741, TAB_CORRECAO_C[[DIAS_CORRIDOS]:[V_FUT_UTEIS]],K$5, FALSE)</f>
        <v>#N/A</v>
      </c>
      <c r="L1741" s="22" t="e">
        <f>VLOOKUP($A1741, TAB_AMORTIZACAO_C[[DIAS_CORRIDOS]:[V_FUT_UTEIS]], L$5, FALSE)</f>
        <v>#N/A</v>
      </c>
    </row>
    <row r="1742" spans="1:12" hidden="1">
      <c r="A1742" s="19">
        <f t="shared" si="144"/>
        <v>1736</v>
      </c>
      <c r="B1742" s="20">
        <f t="shared" si="140"/>
        <v>0</v>
      </c>
      <c r="C1742" s="21">
        <f t="shared" si="141"/>
        <v>0</v>
      </c>
      <c r="D1742" s="22" t="e">
        <f>VLOOKUP($A1742, TAB_JUROS_U[[Q_DIAS_U_PARC_TIR]:[V_FUT_U_JURS CENARIO]], D$5, FALSE)</f>
        <v>#N/A</v>
      </c>
      <c r="E1742" s="22" t="e">
        <f>VLOOKUP($A1742,TAB_CORRECAO_U[[Q_DIAS_U_PARC_TIR]:[V_FUT_U_CORC-02]],E$5, FALSE)</f>
        <v>#N/A</v>
      </c>
      <c r="F1742" s="22" t="e">
        <f>VLOOKUP($A1742,TAB_AMORTIZACAO_U[[Q_DIAS_U_PARC_TIR]:[V_FUT_U_PCPL-02]], F$5, FALSE)</f>
        <v>#N/A</v>
      </c>
      <c r="H1742" s="20">
        <f t="shared" si="142"/>
        <v>0</v>
      </c>
      <c r="I1742" s="21">
        <f t="shared" si="143"/>
        <v>0</v>
      </c>
      <c r="J1742" s="22" t="e">
        <f>VLOOKUP($A1742, TAB_JUROS_C[[DIAS_CORRIDOS]:[V_FUT_UTEIS]], J$5, FALSE)</f>
        <v>#N/A</v>
      </c>
      <c r="K1742" s="22" t="e">
        <f>VLOOKUP($A1742, TAB_CORRECAO_C[[DIAS_CORRIDOS]:[V_FUT_UTEIS]],K$5, FALSE)</f>
        <v>#N/A</v>
      </c>
      <c r="L1742" s="22" t="e">
        <f>VLOOKUP($A1742, TAB_AMORTIZACAO_C[[DIAS_CORRIDOS]:[V_FUT_UTEIS]], L$5, FALSE)</f>
        <v>#N/A</v>
      </c>
    </row>
    <row r="1743" spans="1:12" hidden="1">
      <c r="A1743" s="19">
        <f t="shared" si="144"/>
        <v>1737</v>
      </c>
      <c r="B1743" s="20">
        <f t="shared" si="140"/>
        <v>0</v>
      </c>
      <c r="C1743" s="21">
        <f t="shared" si="141"/>
        <v>0</v>
      </c>
      <c r="D1743" s="22" t="e">
        <f>VLOOKUP($A1743, TAB_JUROS_U[[Q_DIAS_U_PARC_TIR]:[V_FUT_U_JURS CENARIO]], D$5, FALSE)</f>
        <v>#N/A</v>
      </c>
      <c r="E1743" s="22" t="e">
        <f>VLOOKUP($A1743,TAB_CORRECAO_U[[Q_DIAS_U_PARC_TIR]:[V_FUT_U_CORC-02]],E$5, FALSE)</f>
        <v>#N/A</v>
      </c>
      <c r="F1743" s="22" t="e">
        <f>VLOOKUP($A1743,TAB_AMORTIZACAO_U[[Q_DIAS_U_PARC_TIR]:[V_FUT_U_PCPL-02]], F$5, FALSE)</f>
        <v>#N/A</v>
      </c>
      <c r="H1743" s="20">
        <f t="shared" si="142"/>
        <v>0</v>
      </c>
      <c r="I1743" s="21">
        <f t="shared" si="143"/>
        <v>0</v>
      </c>
      <c r="J1743" s="22" t="e">
        <f>VLOOKUP($A1743, TAB_JUROS_C[[DIAS_CORRIDOS]:[V_FUT_UTEIS]], J$5, FALSE)</f>
        <v>#N/A</v>
      </c>
      <c r="K1743" s="22" t="e">
        <f>VLOOKUP($A1743, TAB_CORRECAO_C[[DIAS_CORRIDOS]:[V_FUT_UTEIS]],K$5, FALSE)</f>
        <v>#N/A</v>
      </c>
      <c r="L1743" s="22" t="e">
        <f>VLOOKUP($A1743, TAB_AMORTIZACAO_C[[DIAS_CORRIDOS]:[V_FUT_UTEIS]], L$5, FALSE)</f>
        <v>#N/A</v>
      </c>
    </row>
    <row r="1744" spans="1:12" hidden="1">
      <c r="A1744" s="19">
        <f t="shared" si="144"/>
        <v>1738</v>
      </c>
      <c r="B1744" s="20">
        <f t="shared" si="140"/>
        <v>0</v>
      </c>
      <c r="C1744" s="21">
        <f t="shared" si="141"/>
        <v>0</v>
      </c>
      <c r="D1744" s="22" t="e">
        <f>VLOOKUP($A1744, TAB_JUROS_U[[Q_DIAS_U_PARC_TIR]:[V_FUT_U_JURS CENARIO]], D$5, FALSE)</f>
        <v>#N/A</v>
      </c>
      <c r="E1744" s="22" t="e">
        <f>VLOOKUP($A1744,TAB_CORRECAO_U[[Q_DIAS_U_PARC_TIR]:[V_FUT_U_CORC-02]],E$5, FALSE)</f>
        <v>#N/A</v>
      </c>
      <c r="F1744" s="22" t="e">
        <f>VLOOKUP($A1744,TAB_AMORTIZACAO_U[[Q_DIAS_U_PARC_TIR]:[V_FUT_U_PCPL-02]], F$5, FALSE)</f>
        <v>#N/A</v>
      </c>
      <c r="H1744" s="20">
        <f t="shared" si="142"/>
        <v>0</v>
      </c>
      <c r="I1744" s="21">
        <f t="shared" si="143"/>
        <v>0</v>
      </c>
      <c r="J1744" s="22" t="e">
        <f>VLOOKUP($A1744, TAB_JUROS_C[[DIAS_CORRIDOS]:[V_FUT_UTEIS]], J$5, FALSE)</f>
        <v>#N/A</v>
      </c>
      <c r="K1744" s="22" t="e">
        <f>VLOOKUP($A1744, TAB_CORRECAO_C[[DIAS_CORRIDOS]:[V_FUT_UTEIS]],K$5, FALSE)</f>
        <v>#N/A</v>
      </c>
      <c r="L1744" s="22" t="e">
        <f>VLOOKUP($A1744, TAB_AMORTIZACAO_C[[DIAS_CORRIDOS]:[V_FUT_UTEIS]], L$5, FALSE)</f>
        <v>#N/A</v>
      </c>
    </row>
    <row r="1745" spans="1:12" hidden="1">
      <c r="A1745" s="19">
        <f t="shared" si="144"/>
        <v>1739</v>
      </c>
      <c r="B1745" s="20">
        <f t="shared" si="140"/>
        <v>0</v>
      </c>
      <c r="C1745" s="21">
        <f t="shared" si="141"/>
        <v>0</v>
      </c>
      <c r="D1745" s="22" t="e">
        <f>VLOOKUP($A1745, TAB_JUROS_U[[Q_DIAS_U_PARC_TIR]:[V_FUT_U_JURS CENARIO]], D$5, FALSE)</f>
        <v>#N/A</v>
      </c>
      <c r="E1745" s="22" t="e">
        <f>VLOOKUP($A1745,TAB_CORRECAO_U[[Q_DIAS_U_PARC_TIR]:[V_FUT_U_CORC-02]],E$5, FALSE)</f>
        <v>#N/A</v>
      </c>
      <c r="F1745" s="22" t="e">
        <f>VLOOKUP($A1745,TAB_AMORTIZACAO_U[[Q_DIAS_U_PARC_TIR]:[V_FUT_U_PCPL-02]], F$5, FALSE)</f>
        <v>#N/A</v>
      </c>
      <c r="H1745" s="20">
        <f t="shared" si="142"/>
        <v>0</v>
      </c>
      <c r="I1745" s="21">
        <f t="shared" si="143"/>
        <v>0</v>
      </c>
      <c r="J1745" s="22" t="e">
        <f>VLOOKUP($A1745, TAB_JUROS_C[[DIAS_CORRIDOS]:[V_FUT_UTEIS]], J$5, FALSE)</f>
        <v>#N/A</v>
      </c>
      <c r="K1745" s="22" t="e">
        <f>VLOOKUP($A1745, TAB_CORRECAO_C[[DIAS_CORRIDOS]:[V_FUT_UTEIS]],K$5, FALSE)</f>
        <v>#N/A</v>
      </c>
      <c r="L1745" s="22" t="e">
        <f>VLOOKUP($A1745, TAB_AMORTIZACAO_C[[DIAS_CORRIDOS]:[V_FUT_UTEIS]], L$5, FALSE)</f>
        <v>#N/A</v>
      </c>
    </row>
    <row r="1746" spans="1:12" hidden="1">
      <c r="A1746" s="19">
        <f t="shared" si="144"/>
        <v>1740</v>
      </c>
      <c r="B1746" s="20">
        <f t="shared" si="140"/>
        <v>0</v>
      </c>
      <c r="C1746" s="21">
        <f t="shared" si="141"/>
        <v>0</v>
      </c>
      <c r="D1746" s="22" t="e">
        <f>VLOOKUP($A1746, TAB_JUROS_U[[Q_DIAS_U_PARC_TIR]:[V_FUT_U_JURS CENARIO]], D$5, FALSE)</f>
        <v>#N/A</v>
      </c>
      <c r="E1746" s="22" t="e">
        <f>VLOOKUP($A1746,TAB_CORRECAO_U[[Q_DIAS_U_PARC_TIR]:[V_FUT_U_CORC-02]],E$5, FALSE)</f>
        <v>#N/A</v>
      </c>
      <c r="F1746" s="22" t="e">
        <f>VLOOKUP($A1746,TAB_AMORTIZACAO_U[[Q_DIAS_U_PARC_TIR]:[V_FUT_U_PCPL-02]], F$5, FALSE)</f>
        <v>#N/A</v>
      </c>
      <c r="H1746" s="20">
        <f t="shared" si="142"/>
        <v>0</v>
      </c>
      <c r="I1746" s="21">
        <f t="shared" si="143"/>
        <v>0</v>
      </c>
      <c r="J1746" s="22" t="e">
        <f>VLOOKUP($A1746, TAB_JUROS_C[[DIAS_CORRIDOS]:[V_FUT_UTEIS]], J$5, FALSE)</f>
        <v>#N/A</v>
      </c>
      <c r="K1746" s="22" t="e">
        <f>VLOOKUP($A1746, TAB_CORRECAO_C[[DIAS_CORRIDOS]:[V_FUT_UTEIS]],K$5, FALSE)</f>
        <v>#N/A</v>
      </c>
      <c r="L1746" s="22" t="e">
        <f>VLOOKUP($A1746, TAB_AMORTIZACAO_C[[DIAS_CORRIDOS]:[V_FUT_UTEIS]], L$5, FALSE)</f>
        <v>#N/A</v>
      </c>
    </row>
    <row r="1747" spans="1:12" hidden="1">
      <c r="A1747" s="19">
        <f t="shared" si="144"/>
        <v>1741</v>
      </c>
      <c r="B1747" s="20">
        <f t="shared" si="140"/>
        <v>0</v>
      </c>
      <c r="C1747" s="21">
        <f t="shared" si="141"/>
        <v>0</v>
      </c>
      <c r="D1747" s="22" t="e">
        <f>VLOOKUP($A1747, TAB_JUROS_U[[Q_DIAS_U_PARC_TIR]:[V_FUT_U_JURS CENARIO]], D$5, FALSE)</f>
        <v>#N/A</v>
      </c>
      <c r="E1747" s="22" t="e">
        <f>VLOOKUP($A1747,TAB_CORRECAO_U[[Q_DIAS_U_PARC_TIR]:[V_FUT_U_CORC-02]],E$5, FALSE)</f>
        <v>#N/A</v>
      </c>
      <c r="F1747" s="22" t="e">
        <f>VLOOKUP($A1747,TAB_AMORTIZACAO_U[[Q_DIAS_U_PARC_TIR]:[V_FUT_U_PCPL-02]], F$5, FALSE)</f>
        <v>#N/A</v>
      </c>
      <c r="H1747" s="20">
        <f t="shared" si="142"/>
        <v>0</v>
      </c>
      <c r="I1747" s="21">
        <f t="shared" si="143"/>
        <v>0</v>
      </c>
      <c r="J1747" s="22" t="e">
        <f>VLOOKUP($A1747, TAB_JUROS_C[[DIAS_CORRIDOS]:[V_FUT_UTEIS]], J$5, FALSE)</f>
        <v>#N/A</v>
      </c>
      <c r="K1747" s="22" t="e">
        <f>VLOOKUP($A1747, TAB_CORRECAO_C[[DIAS_CORRIDOS]:[V_FUT_UTEIS]],K$5, FALSE)</f>
        <v>#N/A</v>
      </c>
      <c r="L1747" s="22" t="e">
        <f>VLOOKUP($A1747, TAB_AMORTIZACAO_C[[DIAS_CORRIDOS]:[V_FUT_UTEIS]], L$5, FALSE)</f>
        <v>#N/A</v>
      </c>
    </row>
    <row r="1748" spans="1:12" hidden="1">
      <c r="A1748" s="19">
        <f t="shared" si="144"/>
        <v>1742</v>
      </c>
      <c r="B1748" s="20">
        <f t="shared" si="140"/>
        <v>0</v>
      </c>
      <c r="C1748" s="21">
        <f t="shared" si="141"/>
        <v>0</v>
      </c>
      <c r="D1748" s="22" t="e">
        <f>VLOOKUP($A1748, TAB_JUROS_U[[Q_DIAS_U_PARC_TIR]:[V_FUT_U_JURS CENARIO]], D$5, FALSE)</f>
        <v>#N/A</v>
      </c>
      <c r="E1748" s="22" t="e">
        <f>VLOOKUP($A1748,TAB_CORRECAO_U[[Q_DIAS_U_PARC_TIR]:[V_FUT_U_CORC-02]],E$5, FALSE)</f>
        <v>#N/A</v>
      </c>
      <c r="F1748" s="22" t="e">
        <f>VLOOKUP($A1748,TAB_AMORTIZACAO_U[[Q_DIAS_U_PARC_TIR]:[V_FUT_U_PCPL-02]], F$5, FALSE)</f>
        <v>#N/A</v>
      </c>
      <c r="H1748" s="20">
        <f t="shared" si="142"/>
        <v>0</v>
      </c>
      <c r="I1748" s="21">
        <f t="shared" si="143"/>
        <v>0</v>
      </c>
      <c r="J1748" s="22" t="e">
        <f>VLOOKUP($A1748, TAB_JUROS_C[[DIAS_CORRIDOS]:[V_FUT_UTEIS]], J$5, FALSE)</f>
        <v>#N/A</v>
      </c>
      <c r="K1748" s="22" t="e">
        <f>VLOOKUP($A1748, TAB_CORRECAO_C[[DIAS_CORRIDOS]:[V_FUT_UTEIS]],K$5, FALSE)</f>
        <v>#N/A</v>
      </c>
      <c r="L1748" s="22" t="e">
        <f>VLOOKUP($A1748, TAB_AMORTIZACAO_C[[DIAS_CORRIDOS]:[V_FUT_UTEIS]], L$5, FALSE)</f>
        <v>#N/A</v>
      </c>
    </row>
    <row r="1749" spans="1:12" hidden="1">
      <c r="A1749" s="19">
        <f t="shared" si="144"/>
        <v>1743</v>
      </c>
      <c r="B1749" s="20">
        <f t="shared" si="140"/>
        <v>0</v>
      </c>
      <c r="C1749" s="21">
        <f t="shared" si="141"/>
        <v>0</v>
      </c>
      <c r="D1749" s="22" t="e">
        <f>VLOOKUP($A1749, TAB_JUROS_U[[Q_DIAS_U_PARC_TIR]:[V_FUT_U_JURS CENARIO]], D$5, FALSE)</f>
        <v>#N/A</v>
      </c>
      <c r="E1749" s="22" t="e">
        <f>VLOOKUP($A1749,TAB_CORRECAO_U[[Q_DIAS_U_PARC_TIR]:[V_FUT_U_CORC-02]],E$5, FALSE)</f>
        <v>#N/A</v>
      </c>
      <c r="F1749" s="22" t="e">
        <f>VLOOKUP($A1749,TAB_AMORTIZACAO_U[[Q_DIAS_U_PARC_TIR]:[V_FUT_U_PCPL-02]], F$5, FALSE)</f>
        <v>#N/A</v>
      </c>
      <c r="H1749" s="20">
        <f t="shared" si="142"/>
        <v>0</v>
      </c>
      <c r="I1749" s="21">
        <f t="shared" si="143"/>
        <v>0</v>
      </c>
      <c r="J1749" s="22" t="e">
        <f>VLOOKUP($A1749, TAB_JUROS_C[[DIAS_CORRIDOS]:[V_FUT_UTEIS]], J$5, FALSE)</f>
        <v>#N/A</v>
      </c>
      <c r="K1749" s="22" t="e">
        <f>VLOOKUP($A1749, TAB_CORRECAO_C[[DIAS_CORRIDOS]:[V_FUT_UTEIS]],K$5, FALSE)</f>
        <v>#N/A</v>
      </c>
      <c r="L1749" s="22" t="e">
        <f>VLOOKUP($A1749, TAB_AMORTIZACAO_C[[DIAS_CORRIDOS]:[V_FUT_UTEIS]], L$5, FALSE)</f>
        <v>#N/A</v>
      </c>
    </row>
    <row r="1750" spans="1:12" hidden="1">
      <c r="A1750" s="19">
        <f t="shared" si="144"/>
        <v>1744</v>
      </c>
      <c r="B1750" s="20">
        <f t="shared" si="140"/>
        <v>0</v>
      </c>
      <c r="C1750" s="21">
        <f t="shared" si="141"/>
        <v>0</v>
      </c>
      <c r="D1750" s="22" t="e">
        <f>VLOOKUP($A1750, TAB_JUROS_U[[Q_DIAS_U_PARC_TIR]:[V_FUT_U_JURS CENARIO]], D$5, FALSE)</f>
        <v>#N/A</v>
      </c>
      <c r="E1750" s="22" t="e">
        <f>VLOOKUP($A1750,TAB_CORRECAO_U[[Q_DIAS_U_PARC_TIR]:[V_FUT_U_CORC-02]],E$5, FALSE)</f>
        <v>#N/A</v>
      </c>
      <c r="F1750" s="22" t="e">
        <f>VLOOKUP($A1750,TAB_AMORTIZACAO_U[[Q_DIAS_U_PARC_TIR]:[V_FUT_U_PCPL-02]], F$5, FALSE)</f>
        <v>#N/A</v>
      </c>
      <c r="H1750" s="20">
        <f t="shared" si="142"/>
        <v>0</v>
      </c>
      <c r="I1750" s="21">
        <f t="shared" si="143"/>
        <v>0</v>
      </c>
      <c r="J1750" s="22" t="e">
        <f>VLOOKUP($A1750, TAB_JUROS_C[[DIAS_CORRIDOS]:[V_FUT_UTEIS]], J$5, FALSE)</f>
        <v>#N/A</v>
      </c>
      <c r="K1750" s="22" t="e">
        <f>VLOOKUP($A1750, TAB_CORRECAO_C[[DIAS_CORRIDOS]:[V_FUT_UTEIS]],K$5, FALSE)</f>
        <v>#N/A</v>
      </c>
      <c r="L1750" s="22" t="e">
        <f>VLOOKUP($A1750, TAB_AMORTIZACAO_C[[DIAS_CORRIDOS]:[V_FUT_UTEIS]], L$5, FALSE)</f>
        <v>#N/A</v>
      </c>
    </row>
    <row r="1751" spans="1:12" hidden="1">
      <c r="A1751" s="19">
        <f t="shared" si="144"/>
        <v>1745</v>
      </c>
      <c r="B1751" s="20">
        <f t="shared" si="140"/>
        <v>0</v>
      </c>
      <c r="C1751" s="21">
        <f t="shared" si="141"/>
        <v>0</v>
      </c>
      <c r="D1751" s="22" t="e">
        <f>VLOOKUP($A1751, TAB_JUROS_U[[Q_DIAS_U_PARC_TIR]:[V_FUT_U_JURS CENARIO]], D$5, FALSE)</f>
        <v>#N/A</v>
      </c>
      <c r="E1751" s="22" t="e">
        <f>VLOOKUP($A1751,TAB_CORRECAO_U[[Q_DIAS_U_PARC_TIR]:[V_FUT_U_CORC-02]],E$5, FALSE)</f>
        <v>#N/A</v>
      </c>
      <c r="F1751" s="22" t="e">
        <f>VLOOKUP($A1751,TAB_AMORTIZACAO_U[[Q_DIAS_U_PARC_TIR]:[V_FUT_U_PCPL-02]], F$5, FALSE)</f>
        <v>#N/A</v>
      </c>
      <c r="H1751" s="20">
        <f t="shared" si="142"/>
        <v>0</v>
      </c>
      <c r="I1751" s="21">
        <f t="shared" si="143"/>
        <v>0</v>
      </c>
      <c r="J1751" s="22" t="e">
        <f>VLOOKUP($A1751, TAB_JUROS_C[[DIAS_CORRIDOS]:[V_FUT_UTEIS]], J$5, FALSE)</f>
        <v>#N/A</v>
      </c>
      <c r="K1751" s="22" t="e">
        <f>VLOOKUP($A1751, TAB_CORRECAO_C[[DIAS_CORRIDOS]:[V_FUT_UTEIS]],K$5, FALSE)</f>
        <v>#N/A</v>
      </c>
      <c r="L1751" s="22" t="e">
        <f>VLOOKUP($A1751, TAB_AMORTIZACAO_C[[DIAS_CORRIDOS]:[V_FUT_UTEIS]], L$5, FALSE)</f>
        <v>#N/A</v>
      </c>
    </row>
    <row r="1752" spans="1:12" hidden="1">
      <c r="A1752" s="19">
        <f t="shared" si="144"/>
        <v>1746</v>
      </c>
      <c r="B1752" s="20">
        <f t="shared" si="140"/>
        <v>0</v>
      </c>
      <c r="C1752" s="21">
        <f t="shared" si="141"/>
        <v>0</v>
      </c>
      <c r="D1752" s="22" t="e">
        <f>VLOOKUP($A1752, TAB_JUROS_U[[Q_DIAS_U_PARC_TIR]:[V_FUT_U_JURS CENARIO]], D$5, FALSE)</f>
        <v>#N/A</v>
      </c>
      <c r="E1752" s="22" t="e">
        <f>VLOOKUP($A1752,TAB_CORRECAO_U[[Q_DIAS_U_PARC_TIR]:[V_FUT_U_CORC-02]],E$5, FALSE)</f>
        <v>#N/A</v>
      </c>
      <c r="F1752" s="22" t="e">
        <f>VLOOKUP($A1752,TAB_AMORTIZACAO_U[[Q_DIAS_U_PARC_TIR]:[V_FUT_U_PCPL-02]], F$5, FALSE)</f>
        <v>#N/A</v>
      </c>
      <c r="H1752" s="20">
        <f t="shared" si="142"/>
        <v>0</v>
      </c>
      <c r="I1752" s="21">
        <f t="shared" si="143"/>
        <v>0</v>
      </c>
      <c r="J1752" s="22" t="e">
        <f>VLOOKUP($A1752, TAB_JUROS_C[[DIAS_CORRIDOS]:[V_FUT_UTEIS]], J$5, FALSE)</f>
        <v>#N/A</v>
      </c>
      <c r="K1752" s="22" t="e">
        <f>VLOOKUP($A1752, TAB_CORRECAO_C[[DIAS_CORRIDOS]:[V_FUT_UTEIS]],K$5, FALSE)</f>
        <v>#N/A</v>
      </c>
      <c r="L1752" s="22" t="e">
        <f>VLOOKUP($A1752, TAB_AMORTIZACAO_C[[DIAS_CORRIDOS]:[V_FUT_UTEIS]], L$5, FALSE)</f>
        <v>#N/A</v>
      </c>
    </row>
    <row r="1753" spans="1:12">
      <c r="A1753" s="19">
        <f t="shared" si="144"/>
        <v>1747</v>
      </c>
      <c r="B1753" s="20">
        <f t="shared" si="140"/>
        <v>376.28137980887971</v>
      </c>
      <c r="C1753" s="21">
        <f t="shared" si="141"/>
        <v>376.28137980887971</v>
      </c>
      <c r="D1753" s="22">
        <f>VLOOKUP($A1753, TAB_JUROS_U[[Q_DIAS_U_PARC_TIR]:[V_FUT_U_JURS CENARIO]], D$5, FALSE)</f>
        <v>23.885498723134351</v>
      </c>
      <c r="E1753" s="22">
        <f>VLOOKUP($A1753,TAB_CORRECAO_U[[Q_DIAS_U_PARC_TIR]:[V_FUT_U_CORC-02]],E$5, FALSE)</f>
        <v>137.1740013898447</v>
      </c>
      <c r="F1753" s="22">
        <f>VLOOKUP($A1753,TAB_AMORTIZACAO_U[[Q_DIAS_U_PARC_TIR]:[V_FUT_U_PCPL-02]], F$5, FALSE)</f>
        <v>215.22187969590067</v>
      </c>
      <c r="H1753" s="20">
        <f t="shared" si="142"/>
        <v>721.68168084853437</v>
      </c>
      <c r="I1753" s="21">
        <f t="shared" si="143"/>
        <v>721.68168084853437</v>
      </c>
      <c r="J1753" s="22">
        <f>VLOOKUP($A1753, TAB_JUROS_C[[DIAS_CORRIDOS]:[V_FUT_UTEIS]], J$5, FALSE)</f>
        <v>52.422507802832989</v>
      </c>
      <c r="K1753" s="22">
        <f>VLOOKUP($A1753, TAB_CORRECAO_C[[DIAS_CORRIDOS]:[V_FUT_UTEIS]],K$5, FALSE)</f>
        <v>328.71720428176303</v>
      </c>
      <c r="L1753" s="22">
        <f>VLOOKUP($A1753, TAB_AMORTIZACAO_C[[DIAS_CORRIDOS]:[V_FUT_UTEIS]], L$5, FALSE)</f>
        <v>340.54196876393843</v>
      </c>
    </row>
    <row r="1754" spans="1:12" hidden="1">
      <c r="A1754" s="19">
        <f t="shared" si="144"/>
        <v>1748</v>
      </c>
      <c r="B1754" s="20">
        <f t="shared" si="140"/>
        <v>0</v>
      </c>
      <c r="C1754" s="21">
        <f t="shared" si="141"/>
        <v>0</v>
      </c>
      <c r="D1754" s="22" t="e">
        <f>VLOOKUP($A1754, TAB_JUROS_U[[Q_DIAS_U_PARC_TIR]:[V_FUT_U_JURS CENARIO]], D$5, FALSE)</f>
        <v>#N/A</v>
      </c>
      <c r="E1754" s="22" t="e">
        <f>VLOOKUP($A1754,TAB_CORRECAO_U[[Q_DIAS_U_PARC_TIR]:[V_FUT_U_CORC-02]],E$5, FALSE)</f>
        <v>#N/A</v>
      </c>
      <c r="F1754" s="22" t="e">
        <f>VLOOKUP($A1754,TAB_AMORTIZACAO_U[[Q_DIAS_U_PARC_TIR]:[V_FUT_U_PCPL-02]], F$5, FALSE)</f>
        <v>#N/A</v>
      </c>
      <c r="H1754" s="20">
        <f t="shared" si="142"/>
        <v>0</v>
      </c>
      <c r="I1754" s="21">
        <f t="shared" si="143"/>
        <v>0</v>
      </c>
      <c r="J1754" s="22" t="e">
        <f>VLOOKUP($A1754, TAB_JUROS_C[[DIAS_CORRIDOS]:[V_FUT_UTEIS]], J$5, FALSE)</f>
        <v>#N/A</v>
      </c>
      <c r="K1754" s="22" t="e">
        <f>VLOOKUP($A1754, TAB_CORRECAO_C[[DIAS_CORRIDOS]:[V_FUT_UTEIS]],K$5, FALSE)</f>
        <v>#N/A</v>
      </c>
      <c r="L1754" s="22" t="e">
        <f>VLOOKUP($A1754, TAB_AMORTIZACAO_C[[DIAS_CORRIDOS]:[V_FUT_UTEIS]], L$5, FALSE)</f>
        <v>#N/A</v>
      </c>
    </row>
    <row r="1755" spans="1:12" hidden="1">
      <c r="A1755" s="19">
        <f t="shared" si="144"/>
        <v>1749</v>
      </c>
      <c r="B1755" s="20">
        <f t="shared" si="140"/>
        <v>0</v>
      </c>
      <c r="C1755" s="21">
        <f t="shared" si="141"/>
        <v>0</v>
      </c>
      <c r="D1755" s="22" t="e">
        <f>VLOOKUP($A1755, TAB_JUROS_U[[Q_DIAS_U_PARC_TIR]:[V_FUT_U_JURS CENARIO]], D$5, FALSE)</f>
        <v>#N/A</v>
      </c>
      <c r="E1755" s="22" t="e">
        <f>VLOOKUP($A1755,TAB_CORRECAO_U[[Q_DIAS_U_PARC_TIR]:[V_FUT_U_CORC-02]],E$5, FALSE)</f>
        <v>#N/A</v>
      </c>
      <c r="F1755" s="22" t="e">
        <f>VLOOKUP($A1755,TAB_AMORTIZACAO_U[[Q_DIAS_U_PARC_TIR]:[V_FUT_U_PCPL-02]], F$5, FALSE)</f>
        <v>#N/A</v>
      </c>
      <c r="H1755" s="20">
        <f t="shared" si="142"/>
        <v>0</v>
      </c>
      <c r="I1755" s="21">
        <f t="shared" si="143"/>
        <v>0</v>
      </c>
      <c r="J1755" s="22" t="e">
        <f>VLOOKUP($A1755, TAB_JUROS_C[[DIAS_CORRIDOS]:[V_FUT_UTEIS]], J$5, FALSE)</f>
        <v>#N/A</v>
      </c>
      <c r="K1755" s="22" t="e">
        <f>VLOOKUP($A1755, TAB_CORRECAO_C[[DIAS_CORRIDOS]:[V_FUT_UTEIS]],K$5, FALSE)</f>
        <v>#N/A</v>
      </c>
      <c r="L1755" s="22" t="e">
        <f>VLOOKUP($A1755, TAB_AMORTIZACAO_C[[DIAS_CORRIDOS]:[V_FUT_UTEIS]], L$5, FALSE)</f>
        <v>#N/A</v>
      </c>
    </row>
    <row r="1756" spans="1:12" hidden="1">
      <c r="A1756" s="19">
        <f t="shared" si="144"/>
        <v>1750</v>
      </c>
      <c r="B1756" s="20">
        <f t="shared" si="140"/>
        <v>0</v>
      </c>
      <c r="C1756" s="21">
        <f t="shared" si="141"/>
        <v>0</v>
      </c>
      <c r="D1756" s="22" t="e">
        <f>VLOOKUP($A1756, TAB_JUROS_U[[Q_DIAS_U_PARC_TIR]:[V_FUT_U_JURS CENARIO]], D$5, FALSE)</f>
        <v>#N/A</v>
      </c>
      <c r="E1756" s="22" t="e">
        <f>VLOOKUP($A1756,TAB_CORRECAO_U[[Q_DIAS_U_PARC_TIR]:[V_FUT_U_CORC-02]],E$5, FALSE)</f>
        <v>#N/A</v>
      </c>
      <c r="F1756" s="22" t="e">
        <f>VLOOKUP($A1756,TAB_AMORTIZACAO_U[[Q_DIAS_U_PARC_TIR]:[V_FUT_U_PCPL-02]], F$5, FALSE)</f>
        <v>#N/A</v>
      </c>
      <c r="H1756" s="20">
        <f t="shared" si="142"/>
        <v>0</v>
      </c>
      <c r="I1756" s="21">
        <f t="shared" si="143"/>
        <v>0</v>
      </c>
      <c r="J1756" s="22" t="e">
        <f>VLOOKUP($A1756, TAB_JUROS_C[[DIAS_CORRIDOS]:[V_FUT_UTEIS]], J$5, FALSE)</f>
        <v>#N/A</v>
      </c>
      <c r="K1756" s="22" t="e">
        <f>VLOOKUP($A1756, TAB_CORRECAO_C[[DIAS_CORRIDOS]:[V_FUT_UTEIS]],K$5, FALSE)</f>
        <v>#N/A</v>
      </c>
      <c r="L1756" s="22" t="e">
        <f>VLOOKUP($A1756, TAB_AMORTIZACAO_C[[DIAS_CORRIDOS]:[V_FUT_UTEIS]], L$5, FALSE)</f>
        <v>#N/A</v>
      </c>
    </row>
    <row r="1757" spans="1:12" hidden="1">
      <c r="A1757" s="19">
        <f t="shared" si="144"/>
        <v>1751</v>
      </c>
      <c r="B1757" s="20">
        <f t="shared" si="140"/>
        <v>0</v>
      </c>
      <c r="C1757" s="21">
        <f t="shared" si="141"/>
        <v>0</v>
      </c>
      <c r="D1757" s="22" t="e">
        <f>VLOOKUP($A1757, TAB_JUROS_U[[Q_DIAS_U_PARC_TIR]:[V_FUT_U_JURS CENARIO]], D$5, FALSE)</f>
        <v>#N/A</v>
      </c>
      <c r="E1757" s="22" t="e">
        <f>VLOOKUP($A1757,TAB_CORRECAO_U[[Q_DIAS_U_PARC_TIR]:[V_FUT_U_CORC-02]],E$5, FALSE)</f>
        <v>#N/A</v>
      </c>
      <c r="F1757" s="22" t="e">
        <f>VLOOKUP($A1757,TAB_AMORTIZACAO_U[[Q_DIAS_U_PARC_TIR]:[V_FUT_U_PCPL-02]], F$5, FALSE)</f>
        <v>#N/A</v>
      </c>
      <c r="H1757" s="20">
        <f t="shared" si="142"/>
        <v>0</v>
      </c>
      <c r="I1757" s="21">
        <f t="shared" si="143"/>
        <v>0</v>
      </c>
      <c r="J1757" s="22" t="e">
        <f>VLOOKUP($A1757, TAB_JUROS_C[[DIAS_CORRIDOS]:[V_FUT_UTEIS]], J$5, FALSE)</f>
        <v>#N/A</v>
      </c>
      <c r="K1757" s="22" t="e">
        <f>VLOOKUP($A1757, TAB_CORRECAO_C[[DIAS_CORRIDOS]:[V_FUT_UTEIS]],K$5, FALSE)</f>
        <v>#N/A</v>
      </c>
      <c r="L1757" s="22" t="e">
        <f>VLOOKUP($A1757, TAB_AMORTIZACAO_C[[DIAS_CORRIDOS]:[V_FUT_UTEIS]], L$5, FALSE)</f>
        <v>#N/A</v>
      </c>
    </row>
    <row r="1758" spans="1:12" hidden="1">
      <c r="A1758" s="19">
        <f t="shared" si="144"/>
        <v>1752</v>
      </c>
      <c r="B1758" s="20">
        <f t="shared" si="140"/>
        <v>0</v>
      </c>
      <c r="C1758" s="21">
        <f t="shared" si="141"/>
        <v>0</v>
      </c>
      <c r="D1758" s="22" t="e">
        <f>VLOOKUP($A1758, TAB_JUROS_U[[Q_DIAS_U_PARC_TIR]:[V_FUT_U_JURS CENARIO]], D$5, FALSE)</f>
        <v>#N/A</v>
      </c>
      <c r="E1758" s="22" t="e">
        <f>VLOOKUP($A1758,TAB_CORRECAO_U[[Q_DIAS_U_PARC_TIR]:[V_FUT_U_CORC-02]],E$5, FALSE)</f>
        <v>#N/A</v>
      </c>
      <c r="F1758" s="22" t="e">
        <f>VLOOKUP($A1758,TAB_AMORTIZACAO_U[[Q_DIAS_U_PARC_TIR]:[V_FUT_U_PCPL-02]], F$5, FALSE)</f>
        <v>#N/A</v>
      </c>
      <c r="H1758" s="20">
        <f t="shared" si="142"/>
        <v>0</v>
      </c>
      <c r="I1758" s="21">
        <f t="shared" si="143"/>
        <v>0</v>
      </c>
      <c r="J1758" s="22" t="e">
        <f>VLOOKUP($A1758, TAB_JUROS_C[[DIAS_CORRIDOS]:[V_FUT_UTEIS]], J$5, FALSE)</f>
        <v>#N/A</v>
      </c>
      <c r="K1758" s="22" t="e">
        <f>VLOOKUP($A1758, TAB_CORRECAO_C[[DIAS_CORRIDOS]:[V_FUT_UTEIS]],K$5, FALSE)</f>
        <v>#N/A</v>
      </c>
      <c r="L1758" s="22" t="e">
        <f>VLOOKUP($A1758, TAB_AMORTIZACAO_C[[DIAS_CORRIDOS]:[V_FUT_UTEIS]], L$5, FALSE)</f>
        <v>#N/A</v>
      </c>
    </row>
    <row r="1759" spans="1:12" hidden="1">
      <c r="A1759" s="19">
        <f t="shared" si="144"/>
        <v>1753</v>
      </c>
      <c r="B1759" s="20">
        <f t="shared" si="140"/>
        <v>0</v>
      </c>
      <c r="C1759" s="21">
        <f t="shared" si="141"/>
        <v>0</v>
      </c>
      <c r="D1759" s="22" t="e">
        <f>VLOOKUP($A1759, TAB_JUROS_U[[Q_DIAS_U_PARC_TIR]:[V_FUT_U_JURS CENARIO]], D$5, FALSE)</f>
        <v>#N/A</v>
      </c>
      <c r="E1759" s="22" t="e">
        <f>VLOOKUP($A1759,TAB_CORRECAO_U[[Q_DIAS_U_PARC_TIR]:[V_FUT_U_CORC-02]],E$5, FALSE)</f>
        <v>#N/A</v>
      </c>
      <c r="F1759" s="22" t="e">
        <f>VLOOKUP($A1759,TAB_AMORTIZACAO_U[[Q_DIAS_U_PARC_TIR]:[V_FUT_U_PCPL-02]], F$5, FALSE)</f>
        <v>#N/A</v>
      </c>
      <c r="H1759" s="20">
        <f t="shared" si="142"/>
        <v>0</v>
      </c>
      <c r="I1759" s="21">
        <f t="shared" si="143"/>
        <v>0</v>
      </c>
      <c r="J1759" s="22" t="e">
        <f>VLOOKUP($A1759, TAB_JUROS_C[[DIAS_CORRIDOS]:[V_FUT_UTEIS]], J$5, FALSE)</f>
        <v>#N/A</v>
      </c>
      <c r="K1759" s="22" t="e">
        <f>VLOOKUP($A1759, TAB_CORRECAO_C[[DIAS_CORRIDOS]:[V_FUT_UTEIS]],K$5, FALSE)</f>
        <v>#N/A</v>
      </c>
      <c r="L1759" s="22" t="e">
        <f>VLOOKUP($A1759, TAB_AMORTIZACAO_C[[DIAS_CORRIDOS]:[V_FUT_UTEIS]], L$5, FALSE)</f>
        <v>#N/A</v>
      </c>
    </row>
    <row r="1760" spans="1:12" hidden="1">
      <c r="A1760" s="19">
        <f t="shared" si="144"/>
        <v>1754</v>
      </c>
      <c r="B1760" s="20">
        <f t="shared" si="140"/>
        <v>0</v>
      </c>
      <c r="C1760" s="21">
        <f t="shared" si="141"/>
        <v>0</v>
      </c>
      <c r="D1760" s="22" t="e">
        <f>VLOOKUP($A1760, TAB_JUROS_U[[Q_DIAS_U_PARC_TIR]:[V_FUT_U_JURS CENARIO]], D$5, FALSE)</f>
        <v>#N/A</v>
      </c>
      <c r="E1760" s="22" t="e">
        <f>VLOOKUP($A1760,TAB_CORRECAO_U[[Q_DIAS_U_PARC_TIR]:[V_FUT_U_CORC-02]],E$5, FALSE)</f>
        <v>#N/A</v>
      </c>
      <c r="F1760" s="22" t="e">
        <f>VLOOKUP($A1760,TAB_AMORTIZACAO_U[[Q_DIAS_U_PARC_TIR]:[V_FUT_U_PCPL-02]], F$5, FALSE)</f>
        <v>#N/A</v>
      </c>
      <c r="H1760" s="20">
        <f t="shared" si="142"/>
        <v>0</v>
      </c>
      <c r="I1760" s="21">
        <f t="shared" si="143"/>
        <v>0</v>
      </c>
      <c r="J1760" s="22" t="e">
        <f>VLOOKUP($A1760, TAB_JUROS_C[[DIAS_CORRIDOS]:[V_FUT_UTEIS]], J$5, FALSE)</f>
        <v>#N/A</v>
      </c>
      <c r="K1760" s="22" t="e">
        <f>VLOOKUP($A1760, TAB_CORRECAO_C[[DIAS_CORRIDOS]:[V_FUT_UTEIS]],K$5, FALSE)</f>
        <v>#N/A</v>
      </c>
      <c r="L1760" s="22" t="e">
        <f>VLOOKUP($A1760, TAB_AMORTIZACAO_C[[DIAS_CORRIDOS]:[V_FUT_UTEIS]], L$5, FALSE)</f>
        <v>#N/A</v>
      </c>
    </row>
    <row r="1761" spans="1:12" hidden="1">
      <c r="A1761" s="19">
        <f t="shared" si="144"/>
        <v>1755</v>
      </c>
      <c r="B1761" s="20">
        <f t="shared" si="140"/>
        <v>0</v>
      </c>
      <c r="C1761" s="21">
        <f t="shared" si="141"/>
        <v>0</v>
      </c>
      <c r="D1761" s="22" t="e">
        <f>VLOOKUP($A1761, TAB_JUROS_U[[Q_DIAS_U_PARC_TIR]:[V_FUT_U_JURS CENARIO]], D$5, FALSE)</f>
        <v>#N/A</v>
      </c>
      <c r="E1761" s="22" t="e">
        <f>VLOOKUP($A1761,TAB_CORRECAO_U[[Q_DIAS_U_PARC_TIR]:[V_FUT_U_CORC-02]],E$5, FALSE)</f>
        <v>#N/A</v>
      </c>
      <c r="F1761" s="22" t="e">
        <f>VLOOKUP($A1761,TAB_AMORTIZACAO_U[[Q_DIAS_U_PARC_TIR]:[V_FUT_U_PCPL-02]], F$5, FALSE)</f>
        <v>#N/A</v>
      </c>
      <c r="H1761" s="20">
        <f t="shared" si="142"/>
        <v>0</v>
      </c>
      <c r="I1761" s="21">
        <f t="shared" si="143"/>
        <v>0</v>
      </c>
      <c r="J1761" s="22" t="e">
        <f>VLOOKUP($A1761, TAB_JUROS_C[[DIAS_CORRIDOS]:[V_FUT_UTEIS]], J$5, FALSE)</f>
        <v>#N/A</v>
      </c>
      <c r="K1761" s="22" t="e">
        <f>VLOOKUP($A1761, TAB_CORRECAO_C[[DIAS_CORRIDOS]:[V_FUT_UTEIS]],K$5, FALSE)</f>
        <v>#N/A</v>
      </c>
      <c r="L1761" s="22" t="e">
        <f>VLOOKUP($A1761, TAB_AMORTIZACAO_C[[DIAS_CORRIDOS]:[V_FUT_UTEIS]], L$5, FALSE)</f>
        <v>#N/A</v>
      </c>
    </row>
    <row r="1762" spans="1:12" hidden="1">
      <c r="A1762" s="19">
        <f t="shared" si="144"/>
        <v>1756</v>
      </c>
      <c r="B1762" s="20">
        <f t="shared" si="140"/>
        <v>0</v>
      </c>
      <c r="C1762" s="21">
        <f t="shared" si="141"/>
        <v>0</v>
      </c>
      <c r="D1762" s="22" t="e">
        <f>VLOOKUP($A1762, TAB_JUROS_U[[Q_DIAS_U_PARC_TIR]:[V_FUT_U_JURS CENARIO]], D$5, FALSE)</f>
        <v>#N/A</v>
      </c>
      <c r="E1762" s="22" t="e">
        <f>VLOOKUP($A1762,TAB_CORRECAO_U[[Q_DIAS_U_PARC_TIR]:[V_FUT_U_CORC-02]],E$5, FALSE)</f>
        <v>#N/A</v>
      </c>
      <c r="F1762" s="22" t="e">
        <f>VLOOKUP($A1762,TAB_AMORTIZACAO_U[[Q_DIAS_U_PARC_TIR]:[V_FUT_U_PCPL-02]], F$5, FALSE)</f>
        <v>#N/A</v>
      </c>
      <c r="H1762" s="20">
        <f t="shared" si="142"/>
        <v>0</v>
      </c>
      <c r="I1762" s="21">
        <f t="shared" si="143"/>
        <v>0</v>
      </c>
      <c r="J1762" s="22" t="e">
        <f>VLOOKUP($A1762, TAB_JUROS_C[[DIAS_CORRIDOS]:[V_FUT_UTEIS]], J$5, FALSE)</f>
        <v>#N/A</v>
      </c>
      <c r="K1762" s="22" t="e">
        <f>VLOOKUP($A1762, TAB_CORRECAO_C[[DIAS_CORRIDOS]:[V_FUT_UTEIS]],K$5, FALSE)</f>
        <v>#N/A</v>
      </c>
      <c r="L1762" s="22" t="e">
        <f>VLOOKUP($A1762, TAB_AMORTIZACAO_C[[DIAS_CORRIDOS]:[V_FUT_UTEIS]], L$5, FALSE)</f>
        <v>#N/A</v>
      </c>
    </row>
    <row r="1763" spans="1:12" hidden="1">
      <c r="A1763" s="19">
        <f t="shared" si="144"/>
        <v>1757</v>
      </c>
      <c r="B1763" s="20">
        <f t="shared" si="140"/>
        <v>0</v>
      </c>
      <c r="C1763" s="21">
        <f t="shared" si="141"/>
        <v>0</v>
      </c>
      <c r="D1763" s="22" t="e">
        <f>VLOOKUP($A1763, TAB_JUROS_U[[Q_DIAS_U_PARC_TIR]:[V_FUT_U_JURS CENARIO]], D$5, FALSE)</f>
        <v>#N/A</v>
      </c>
      <c r="E1763" s="22" t="e">
        <f>VLOOKUP($A1763,TAB_CORRECAO_U[[Q_DIAS_U_PARC_TIR]:[V_FUT_U_CORC-02]],E$5, FALSE)</f>
        <v>#N/A</v>
      </c>
      <c r="F1763" s="22" t="e">
        <f>VLOOKUP($A1763,TAB_AMORTIZACAO_U[[Q_DIAS_U_PARC_TIR]:[V_FUT_U_PCPL-02]], F$5, FALSE)</f>
        <v>#N/A</v>
      </c>
      <c r="H1763" s="20">
        <f t="shared" si="142"/>
        <v>0</v>
      </c>
      <c r="I1763" s="21">
        <f t="shared" si="143"/>
        <v>0</v>
      </c>
      <c r="J1763" s="22" t="e">
        <f>VLOOKUP($A1763, TAB_JUROS_C[[DIAS_CORRIDOS]:[V_FUT_UTEIS]], J$5, FALSE)</f>
        <v>#N/A</v>
      </c>
      <c r="K1763" s="22" t="e">
        <f>VLOOKUP($A1763, TAB_CORRECAO_C[[DIAS_CORRIDOS]:[V_FUT_UTEIS]],K$5, FALSE)</f>
        <v>#N/A</v>
      </c>
      <c r="L1763" s="22" t="e">
        <f>VLOOKUP($A1763, TAB_AMORTIZACAO_C[[DIAS_CORRIDOS]:[V_FUT_UTEIS]], L$5, FALSE)</f>
        <v>#N/A</v>
      </c>
    </row>
    <row r="1764" spans="1:12" hidden="1">
      <c r="A1764" s="19">
        <f t="shared" si="144"/>
        <v>1758</v>
      </c>
      <c r="B1764" s="20">
        <f t="shared" si="140"/>
        <v>0</v>
      </c>
      <c r="C1764" s="21">
        <f t="shared" si="141"/>
        <v>0</v>
      </c>
      <c r="D1764" s="22" t="e">
        <f>VLOOKUP($A1764, TAB_JUROS_U[[Q_DIAS_U_PARC_TIR]:[V_FUT_U_JURS CENARIO]], D$5, FALSE)</f>
        <v>#N/A</v>
      </c>
      <c r="E1764" s="22" t="e">
        <f>VLOOKUP($A1764,TAB_CORRECAO_U[[Q_DIAS_U_PARC_TIR]:[V_FUT_U_CORC-02]],E$5, FALSE)</f>
        <v>#N/A</v>
      </c>
      <c r="F1764" s="22" t="e">
        <f>VLOOKUP($A1764,TAB_AMORTIZACAO_U[[Q_DIAS_U_PARC_TIR]:[V_FUT_U_PCPL-02]], F$5, FALSE)</f>
        <v>#N/A</v>
      </c>
      <c r="H1764" s="20">
        <f t="shared" si="142"/>
        <v>0</v>
      </c>
      <c r="I1764" s="21">
        <f t="shared" si="143"/>
        <v>0</v>
      </c>
      <c r="J1764" s="22" t="e">
        <f>VLOOKUP($A1764, TAB_JUROS_C[[DIAS_CORRIDOS]:[V_FUT_UTEIS]], J$5, FALSE)</f>
        <v>#N/A</v>
      </c>
      <c r="K1764" s="22" t="e">
        <f>VLOOKUP($A1764, TAB_CORRECAO_C[[DIAS_CORRIDOS]:[V_FUT_UTEIS]],K$5, FALSE)</f>
        <v>#N/A</v>
      </c>
      <c r="L1764" s="22" t="e">
        <f>VLOOKUP($A1764, TAB_AMORTIZACAO_C[[DIAS_CORRIDOS]:[V_FUT_UTEIS]], L$5, FALSE)</f>
        <v>#N/A</v>
      </c>
    </row>
    <row r="1765" spans="1:12" hidden="1">
      <c r="A1765" s="19">
        <f t="shared" si="144"/>
        <v>1759</v>
      </c>
      <c r="B1765" s="20">
        <f t="shared" si="140"/>
        <v>0</v>
      </c>
      <c r="C1765" s="21">
        <f t="shared" si="141"/>
        <v>0</v>
      </c>
      <c r="D1765" s="22" t="e">
        <f>VLOOKUP($A1765, TAB_JUROS_U[[Q_DIAS_U_PARC_TIR]:[V_FUT_U_JURS CENARIO]], D$5, FALSE)</f>
        <v>#N/A</v>
      </c>
      <c r="E1765" s="22" t="e">
        <f>VLOOKUP($A1765,TAB_CORRECAO_U[[Q_DIAS_U_PARC_TIR]:[V_FUT_U_CORC-02]],E$5, FALSE)</f>
        <v>#N/A</v>
      </c>
      <c r="F1765" s="22" t="e">
        <f>VLOOKUP($A1765,TAB_AMORTIZACAO_U[[Q_DIAS_U_PARC_TIR]:[V_FUT_U_PCPL-02]], F$5, FALSE)</f>
        <v>#N/A</v>
      </c>
      <c r="H1765" s="20">
        <f t="shared" si="142"/>
        <v>0</v>
      </c>
      <c r="I1765" s="21">
        <f t="shared" si="143"/>
        <v>0</v>
      </c>
      <c r="J1765" s="22" t="e">
        <f>VLOOKUP($A1765, TAB_JUROS_C[[DIAS_CORRIDOS]:[V_FUT_UTEIS]], J$5, FALSE)</f>
        <v>#N/A</v>
      </c>
      <c r="K1765" s="22" t="e">
        <f>VLOOKUP($A1765, TAB_CORRECAO_C[[DIAS_CORRIDOS]:[V_FUT_UTEIS]],K$5, FALSE)</f>
        <v>#N/A</v>
      </c>
      <c r="L1765" s="22" t="e">
        <f>VLOOKUP($A1765, TAB_AMORTIZACAO_C[[DIAS_CORRIDOS]:[V_FUT_UTEIS]], L$5, FALSE)</f>
        <v>#N/A</v>
      </c>
    </row>
    <row r="1766" spans="1:12" hidden="1">
      <c r="A1766" s="19">
        <f t="shared" si="144"/>
        <v>1760</v>
      </c>
      <c r="B1766" s="20">
        <f t="shared" si="140"/>
        <v>0</v>
      </c>
      <c r="C1766" s="21">
        <f t="shared" si="141"/>
        <v>0</v>
      </c>
      <c r="D1766" s="22" t="e">
        <f>VLOOKUP($A1766, TAB_JUROS_U[[Q_DIAS_U_PARC_TIR]:[V_FUT_U_JURS CENARIO]], D$5, FALSE)</f>
        <v>#N/A</v>
      </c>
      <c r="E1766" s="22" t="e">
        <f>VLOOKUP($A1766,TAB_CORRECAO_U[[Q_DIAS_U_PARC_TIR]:[V_FUT_U_CORC-02]],E$5, FALSE)</f>
        <v>#N/A</v>
      </c>
      <c r="F1766" s="22" t="e">
        <f>VLOOKUP($A1766,TAB_AMORTIZACAO_U[[Q_DIAS_U_PARC_TIR]:[V_FUT_U_PCPL-02]], F$5, FALSE)</f>
        <v>#N/A</v>
      </c>
      <c r="H1766" s="20">
        <f t="shared" si="142"/>
        <v>0</v>
      </c>
      <c r="I1766" s="21">
        <f t="shared" si="143"/>
        <v>0</v>
      </c>
      <c r="J1766" s="22" t="e">
        <f>VLOOKUP($A1766, TAB_JUROS_C[[DIAS_CORRIDOS]:[V_FUT_UTEIS]], J$5, FALSE)</f>
        <v>#N/A</v>
      </c>
      <c r="K1766" s="22" t="e">
        <f>VLOOKUP($A1766, TAB_CORRECAO_C[[DIAS_CORRIDOS]:[V_FUT_UTEIS]],K$5, FALSE)</f>
        <v>#N/A</v>
      </c>
      <c r="L1766" s="22" t="e">
        <f>VLOOKUP($A1766, TAB_AMORTIZACAO_C[[DIAS_CORRIDOS]:[V_FUT_UTEIS]], L$5, FALSE)</f>
        <v>#N/A</v>
      </c>
    </row>
    <row r="1767" spans="1:12" hidden="1">
      <c r="A1767" s="19">
        <f t="shared" si="144"/>
        <v>1761</v>
      </c>
      <c r="B1767" s="20">
        <f t="shared" si="140"/>
        <v>0</v>
      </c>
      <c r="C1767" s="21">
        <f t="shared" si="141"/>
        <v>0</v>
      </c>
      <c r="D1767" s="22" t="e">
        <f>VLOOKUP($A1767, TAB_JUROS_U[[Q_DIAS_U_PARC_TIR]:[V_FUT_U_JURS CENARIO]], D$5, FALSE)</f>
        <v>#N/A</v>
      </c>
      <c r="E1767" s="22" t="e">
        <f>VLOOKUP($A1767,TAB_CORRECAO_U[[Q_DIAS_U_PARC_TIR]:[V_FUT_U_CORC-02]],E$5, FALSE)</f>
        <v>#N/A</v>
      </c>
      <c r="F1767" s="22" t="e">
        <f>VLOOKUP($A1767,TAB_AMORTIZACAO_U[[Q_DIAS_U_PARC_TIR]:[V_FUT_U_PCPL-02]], F$5, FALSE)</f>
        <v>#N/A</v>
      </c>
      <c r="H1767" s="20">
        <f t="shared" si="142"/>
        <v>0</v>
      </c>
      <c r="I1767" s="21">
        <f t="shared" si="143"/>
        <v>0</v>
      </c>
      <c r="J1767" s="22" t="e">
        <f>VLOOKUP($A1767, TAB_JUROS_C[[DIAS_CORRIDOS]:[V_FUT_UTEIS]], J$5, FALSE)</f>
        <v>#N/A</v>
      </c>
      <c r="K1767" s="22" t="e">
        <f>VLOOKUP($A1767, TAB_CORRECAO_C[[DIAS_CORRIDOS]:[V_FUT_UTEIS]],K$5, FALSE)</f>
        <v>#N/A</v>
      </c>
      <c r="L1767" s="22" t="e">
        <f>VLOOKUP($A1767, TAB_AMORTIZACAO_C[[DIAS_CORRIDOS]:[V_FUT_UTEIS]], L$5, FALSE)</f>
        <v>#N/A</v>
      </c>
    </row>
    <row r="1768" spans="1:12" hidden="1">
      <c r="A1768" s="19">
        <f t="shared" si="144"/>
        <v>1762</v>
      </c>
      <c r="B1768" s="20">
        <f t="shared" si="140"/>
        <v>0</v>
      </c>
      <c r="C1768" s="21">
        <f t="shared" si="141"/>
        <v>0</v>
      </c>
      <c r="D1768" s="22" t="e">
        <f>VLOOKUP($A1768, TAB_JUROS_U[[Q_DIAS_U_PARC_TIR]:[V_FUT_U_JURS CENARIO]], D$5, FALSE)</f>
        <v>#N/A</v>
      </c>
      <c r="E1768" s="22" t="e">
        <f>VLOOKUP($A1768,TAB_CORRECAO_U[[Q_DIAS_U_PARC_TIR]:[V_FUT_U_CORC-02]],E$5, FALSE)</f>
        <v>#N/A</v>
      </c>
      <c r="F1768" s="22" t="e">
        <f>VLOOKUP($A1768,TAB_AMORTIZACAO_U[[Q_DIAS_U_PARC_TIR]:[V_FUT_U_PCPL-02]], F$5, FALSE)</f>
        <v>#N/A</v>
      </c>
      <c r="H1768" s="20">
        <f t="shared" si="142"/>
        <v>0</v>
      </c>
      <c r="I1768" s="21">
        <f t="shared" si="143"/>
        <v>0</v>
      </c>
      <c r="J1768" s="22" t="e">
        <f>VLOOKUP($A1768, TAB_JUROS_C[[DIAS_CORRIDOS]:[V_FUT_UTEIS]], J$5, FALSE)</f>
        <v>#N/A</v>
      </c>
      <c r="K1768" s="22" t="e">
        <f>VLOOKUP($A1768, TAB_CORRECAO_C[[DIAS_CORRIDOS]:[V_FUT_UTEIS]],K$5, FALSE)</f>
        <v>#N/A</v>
      </c>
      <c r="L1768" s="22" t="e">
        <f>VLOOKUP($A1768, TAB_AMORTIZACAO_C[[DIAS_CORRIDOS]:[V_FUT_UTEIS]], L$5, FALSE)</f>
        <v>#N/A</v>
      </c>
    </row>
    <row r="1769" spans="1:12" hidden="1">
      <c r="A1769" s="19">
        <f t="shared" si="144"/>
        <v>1763</v>
      </c>
      <c r="B1769" s="20">
        <f t="shared" si="140"/>
        <v>0</v>
      </c>
      <c r="C1769" s="21">
        <f t="shared" si="141"/>
        <v>0</v>
      </c>
      <c r="D1769" s="22" t="e">
        <f>VLOOKUP($A1769, TAB_JUROS_U[[Q_DIAS_U_PARC_TIR]:[V_FUT_U_JURS CENARIO]], D$5, FALSE)</f>
        <v>#N/A</v>
      </c>
      <c r="E1769" s="22" t="e">
        <f>VLOOKUP($A1769,TAB_CORRECAO_U[[Q_DIAS_U_PARC_TIR]:[V_FUT_U_CORC-02]],E$5, FALSE)</f>
        <v>#N/A</v>
      </c>
      <c r="F1769" s="22" t="e">
        <f>VLOOKUP($A1769,TAB_AMORTIZACAO_U[[Q_DIAS_U_PARC_TIR]:[V_FUT_U_PCPL-02]], F$5, FALSE)</f>
        <v>#N/A</v>
      </c>
      <c r="H1769" s="20">
        <f t="shared" si="142"/>
        <v>0</v>
      </c>
      <c r="I1769" s="21">
        <f t="shared" si="143"/>
        <v>0</v>
      </c>
      <c r="J1769" s="22" t="e">
        <f>VLOOKUP($A1769, TAB_JUROS_C[[DIAS_CORRIDOS]:[V_FUT_UTEIS]], J$5, FALSE)</f>
        <v>#N/A</v>
      </c>
      <c r="K1769" s="22" t="e">
        <f>VLOOKUP($A1769, TAB_CORRECAO_C[[DIAS_CORRIDOS]:[V_FUT_UTEIS]],K$5, FALSE)</f>
        <v>#N/A</v>
      </c>
      <c r="L1769" s="22" t="e">
        <f>VLOOKUP($A1769, TAB_AMORTIZACAO_C[[DIAS_CORRIDOS]:[V_FUT_UTEIS]], L$5, FALSE)</f>
        <v>#N/A</v>
      </c>
    </row>
    <row r="1770" spans="1:12" hidden="1">
      <c r="A1770" s="19">
        <f t="shared" si="144"/>
        <v>1764</v>
      </c>
      <c r="B1770" s="20">
        <f t="shared" si="140"/>
        <v>0</v>
      </c>
      <c r="C1770" s="21">
        <f t="shared" si="141"/>
        <v>0</v>
      </c>
      <c r="D1770" s="22" t="e">
        <f>VLOOKUP($A1770, TAB_JUROS_U[[Q_DIAS_U_PARC_TIR]:[V_FUT_U_JURS CENARIO]], D$5, FALSE)</f>
        <v>#N/A</v>
      </c>
      <c r="E1770" s="22" t="e">
        <f>VLOOKUP($A1770,TAB_CORRECAO_U[[Q_DIAS_U_PARC_TIR]:[V_FUT_U_CORC-02]],E$5, FALSE)</f>
        <v>#N/A</v>
      </c>
      <c r="F1770" s="22" t="e">
        <f>VLOOKUP($A1770,TAB_AMORTIZACAO_U[[Q_DIAS_U_PARC_TIR]:[V_FUT_U_PCPL-02]], F$5, FALSE)</f>
        <v>#N/A</v>
      </c>
      <c r="H1770" s="20">
        <f t="shared" si="142"/>
        <v>0</v>
      </c>
      <c r="I1770" s="21">
        <f t="shared" si="143"/>
        <v>0</v>
      </c>
      <c r="J1770" s="22" t="e">
        <f>VLOOKUP($A1770, TAB_JUROS_C[[DIAS_CORRIDOS]:[V_FUT_UTEIS]], J$5, FALSE)</f>
        <v>#N/A</v>
      </c>
      <c r="K1770" s="22" t="e">
        <f>VLOOKUP($A1770, TAB_CORRECAO_C[[DIAS_CORRIDOS]:[V_FUT_UTEIS]],K$5, FALSE)</f>
        <v>#N/A</v>
      </c>
      <c r="L1770" s="22" t="e">
        <f>VLOOKUP($A1770, TAB_AMORTIZACAO_C[[DIAS_CORRIDOS]:[V_FUT_UTEIS]], L$5, FALSE)</f>
        <v>#N/A</v>
      </c>
    </row>
    <row r="1771" spans="1:12" hidden="1">
      <c r="A1771" s="19">
        <f t="shared" si="144"/>
        <v>1765</v>
      </c>
      <c r="B1771" s="20">
        <f t="shared" si="140"/>
        <v>0</v>
      </c>
      <c r="C1771" s="21">
        <f t="shared" si="141"/>
        <v>0</v>
      </c>
      <c r="D1771" s="22" t="e">
        <f>VLOOKUP($A1771, TAB_JUROS_U[[Q_DIAS_U_PARC_TIR]:[V_FUT_U_JURS CENARIO]], D$5, FALSE)</f>
        <v>#N/A</v>
      </c>
      <c r="E1771" s="22" t="e">
        <f>VLOOKUP($A1771,TAB_CORRECAO_U[[Q_DIAS_U_PARC_TIR]:[V_FUT_U_CORC-02]],E$5, FALSE)</f>
        <v>#N/A</v>
      </c>
      <c r="F1771" s="22" t="e">
        <f>VLOOKUP($A1771,TAB_AMORTIZACAO_U[[Q_DIAS_U_PARC_TIR]:[V_FUT_U_PCPL-02]], F$5, FALSE)</f>
        <v>#N/A</v>
      </c>
      <c r="H1771" s="20">
        <f t="shared" si="142"/>
        <v>0</v>
      </c>
      <c r="I1771" s="21">
        <f t="shared" si="143"/>
        <v>0</v>
      </c>
      <c r="J1771" s="22" t="e">
        <f>VLOOKUP($A1771, TAB_JUROS_C[[DIAS_CORRIDOS]:[V_FUT_UTEIS]], J$5, FALSE)</f>
        <v>#N/A</v>
      </c>
      <c r="K1771" s="22" t="e">
        <f>VLOOKUP($A1771, TAB_CORRECAO_C[[DIAS_CORRIDOS]:[V_FUT_UTEIS]],K$5, FALSE)</f>
        <v>#N/A</v>
      </c>
      <c r="L1771" s="22" t="e">
        <f>VLOOKUP($A1771, TAB_AMORTIZACAO_C[[DIAS_CORRIDOS]:[V_FUT_UTEIS]], L$5, FALSE)</f>
        <v>#N/A</v>
      </c>
    </row>
    <row r="1772" spans="1:12" hidden="1">
      <c r="A1772" s="19">
        <f t="shared" si="144"/>
        <v>1766</v>
      </c>
      <c r="B1772" s="20">
        <f t="shared" si="140"/>
        <v>0</v>
      </c>
      <c r="C1772" s="21">
        <f t="shared" si="141"/>
        <v>0</v>
      </c>
      <c r="D1772" s="22" t="e">
        <f>VLOOKUP($A1772, TAB_JUROS_U[[Q_DIAS_U_PARC_TIR]:[V_FUT_U_JURS CENARIO]], D$5, FALSE)</f>
        <v>#N/A</v>
      </c>
      <c r="E1772" s="22" t="e">
        <f>VLOOKUP($A1772,TAB_CORRECAO_U[[Q_DIAS_U_PARC_TIR]:[V_FUT_U_CORC-02]],E$5, FALSE)</f>
        <v>#N/A</v>
      </c>
      <c r="F1772" s="22" t="e">
        <f>VLOOKUP($A1772,TAB_AMORTIZACAO_U[[Q_DIAS_U_PARC_TIR]:[V_FUT_U_PCPL-02]], F$5, FALSE)</f>
        <v>#N/A</v>
      </c>
      <c r="H1772" s="20">
        <f t="shared" si="142"/>
        <v>0</v>
      </c>
      <c r="I1772" s="21">
        <f t="shared" si="143"/>
        <v>0</v>
      </c>
      <c r="J1772" s="22" t="e">
        <f>VLOOKUP($A1772, TAB_JUROS_C[[DIAS_CORRIDOS]:[V_FUT_UTEIS]], J$5, FALSE)</f>
        <v>#N/A</v>
      </c>
      <c r="K1772" s="22" t="e">
        <f>VLOOKUP($A1772, TAB_CORRECAO_C[[DIAS_CORRIDOS]:[V_FUT_UTEIS]],K$5, FALSE)</f>
        <v>#N/A</v>
      </c>
      <c r="L1772" s="22" t="e">
        <f>VLOOKUP($A1772, TAB_AMORTIZACAO_C[[DIAS_CORRIDOS]:[V_FUT_UTEIS]], L$5, FALSE)</f>
        <v>#N/A</v>
      </c>
    </row>
    <row r="1773" spans="1:12" hidden="1">
      <c r="A1773" s="19">
        <f t="shared" si="144"/>
        <v>1767</v>
      </c>
      <c r="B1773" s="20">
        <f t="shared" si="140"/>
        <v>0</v>
      </c>
      <c r="C1773" s="21">
        <f t="shared" si="141"/>
        <v>0</v>
      </c>
      <c r="D1773" s="22" t="e">
        <f>VLOOKUP($A1773, TAB_JUROS_U[[Q_DIAS_U_PARC_TIR]:[V_FUT_U_JURS CENARIO]], D$5, FALSE)</f>
        <v>#N/A</v>
      </c>
      <c r="E1773" s="22" t="e">
        <f>VLOOKUP($A1773,TAB_CORRECAO_U[[Q_DIAS_U_PARC_TIR]:[V_FUT_U_CORC-02]],E$5, FALSE)</f>
        <v>#N/A</v>
      </c>
      <c r="F1773" s="22" t="e">
        <f>VLOOKUP($A1773,TAB_AMORTIZACAO_U[[Q_DIAS_U_PARC_TIR]:[V_FUT_U_PCPL-02]], F$5, FALSE)</f>
        <v>#N/A</v>
      </c>
      <c r="H1773" s="20">
        <f t="shared" si="142"/>
        <v>0</v>
      </c>
      <c r="I1773" s="21">
        <f t="shared" si="143"/>
        <v>0</v>
      </c>
      <c r="J1773" s="22" t="e">
        <f>VLOOKUP($A1773, TAB_JUROS_C[[DIAS_CORRIDOS]:[V_FUT_UTEIS]], J$5, FALSE)</f>
        <v>#N/A</v>
      </c>
      <c r="K1773" s="22" t="e">
        <f>VLOOKUP($A1773, TAB_CORRECAO_C[[DIAS_CORRIDOS]:[V_FUT_UTEIS]],K$5, FALSE)</f>
        <v>#N/A</v>
      </c>
      <c r="L1773" s="22" t="e">
        <f>VLOOKUP($A1773, TAB_AMORTIZACAO_C[[DIAS_CORRIDOS]:[V_FUT_UTEIS]], L$5, FALSE)</f>
        <v>#N/A</v>
      </c>
    </row>
    <row r="1774" spans="1:12" hidden="1">
      <c r="A1774" s="19">
        <f t="shared" si="144"/>
        <v>1768</v>
      </c>
      <c r="B1774" s="20">
        <f t="shared" si="140"/>
        <v>0</v>
      </c>
      <c r="C1774" s="21">
        <f t="shared" si="141"/>
        <v>0</v>
      </c>
      <c r="D1774" s="22" t="e">
        <f>VLOOKUP($A1774, TAB_JUROS_U[[Q_DIAS_U_PARC_TIR]:[V_FUT_U_JURS CENARIO]], D$5, FALSE)</f>
        <v>#N/A</v>
      </c>
      <c r="E1774" s="22" t="e">
        <f>VLOOKUP($A1774,TAB_CORRECAO_U[[Q_DIAS_U_PARC_TIR]:[V_FUT_U_CORC-02]],E$5, FALSE)</f>
        <v>#N/A</v>
      </c>
      <c r="F1774" s="22" t="e">
        <f>VLOOKUP($A1774,TAB_AMORTIZACAO_U[[Q_DIAS_U_PARC_TIR]:[V_FUT_U_PCPL-02]], F$5, FALSE)</f>
        <v>#N/A</v>
      </c>
      <c r="H1774" s="20">
        <f t="shared" si="142"/>
        <v>0</v>
      </c>
      <c r="I1774" s="21">
        <f t="shared" si="143"/>
        <v>0</v>
      </c>
      <c r="J1774" s="22" t="e">
        <f>VLOOKUP($A1774, TAB_JUROS_C[[DIAS_CORRIDOS]:[V_FUT_UTEIS]], J$5, FALSE)</f>
        <v>#N/A</v>
      </c>
      <c r="K1774" s="22" t="e">
        <f>VLOOKUP($A1774, TAB_CORRECAO_C[[DIAS_CORRIDOS]:[V_FUT_UTEIS]],K$5, FALSE)</f>
        <v>#N/A</v>
      </c>
      <c r="L1774" s="22" t="e">
        <f>VLOOKUP($A1774, TAB_AMORTIZACAO_C[[DIAS_CORRIDOS]:[V_FUT_UTEIS]], L$5, FALSE)</f>
        <v>#N/A</v>
      </c>
    </row>
    <row r="1775" spans="1:12">
      <c r="A1775" s="19">
        <f t="shared" si="144"/>
        <v>1769</v>
      </c>
      <c r="B1775" s="20">
        <f t="shared" si="140"/>
        <v>404.95649679591207</v>
      </c>
      <c r="C1775" s="21">
        <f t="shared" si="141"/>
        <v>404.95649679591207</v>
      </c>
      <c r="D1775" s="22">
        <f>VLOOKUP($A1775, TAB_JUROS_U[[Q_DIAS_U_PARC_TIR]:[V_FUT_U_JURS CENARIO]], D$5, FALSE)</f>
        <v>25.517411159325221</v>
      </c>
      <c r="E1775" s="22">
        <f>VLOOKUP($A1775,TAB_CORRECAO_U[[Q_DIAS_U_PARC_TIR]:[V_FUT_U_CORC-02]],E$5, FALSE)</f>
        <v>154.78730554745781</v>
      </c>
      <c r="F1775" s="22">
        <f>VLOOKUP($A1775,TAB_AMORTIZACAO_U[[Q_DIAS_U_PARC_TIR]:[V_FUT_U_PCPL-02]], F$5, FALSE)</f>
        <v>224.65178008912903</v>
      </c>
      <c r="H1775" s="20">
        <f t="shared" si="142"/>
        <v>0</v>
      </c>
      <c r="I1775" s="21">
        <f t="shared" si="143"/>
        <v>0</v>
      </c>
      <c r="J1775" s="22" t="e">
        <f>VLOOKUP($A1775, TAB_JUROS_C[[DIAS_CORRIDOS]:[V_FUT_UTEIS]], J$5, FALSE)</f>
        <v>#N/A</v>
      </c>
      <c r="K1775" s="22" t="e">
        <f>VLOOKUP($A1775, TAB_CORRECAO_C[[DIAS_CORRIDOS]:[V_FUT_UTEIS]],K$5, FALSE)</f>
        <v>#N/A</v>
      </c>
      <c r="L1775" s="22" t="e">
        <f>VLOOKUP($A1775, TAB_AMORTIZACAO_C[[DIAS_CORRIDOS]:[V_FUT_UTEIS]], L$5, FALSE)</f>
        <v>#N/A</v>
      </c>
    </row>
    <row r="1776" spans="1:12" hidden="1">
      <c r="A1776" s="19">
        <f t="shared" si="144"/>
        <v>1770</v>
      </c>
      <c r="B1776" s="20">
        <f t="shared" si="140"/>
        <v>0</v>
      </c>
      <c r="C1776" s="21">
        <f t="shared" si="141"/>
        <v>0</v>
      </c>
      <c r="D1776" s="22" t="e">
        <f>VLOOKUP($A1776, TAB_JUROS_U[[Q_DIAS_U_PARC_TIR]:[V_FUT_U_JURS CENARIO]], D$5, FALSE)</f>
        <v>#N/A</v>
      </c>
      <c r="E1776" s="22" t="e">
        <f>VLOOKUP($A1776,TAB_CORRECAO_U[[Q_DIAS_U_PARC_TIR]:[V_FUT_U_CORC-02]],E$5, FALSE)</f>
        <v>#N/A</v>
      </c>
      <c r="F1776" s="22" t="e">
        <f>VLOOKUP($A1776,TAB_AMORTIZACAO_U[[Q_DIAS_U_PARC_TIR]:[V_FUT_U_PCPL-02]], F$5, FALSE)</f>
        <v>#N/A</v>
      </c>
      <c r="H1776" s="20">
        <f t="shared" si="142"/>
        <v>0</v>
      </c>
      <c r="I1776" s="21">
        <f t="shared" si="143"/>
        <v>0</v>
      </c>
      <c r="J1776" s="22" t="e">
        <f>VLOOKUP($A1776, TAB_JUROS_C[[DIAS_CORRIDOS]:[V_FUT_UTEIS]], J$5, FALSE)</f>
        <v>#N/A</v>
      </c>
      <c r="K1776" s="22" t="e">
        <f>VLOOKUP($A1776, TAB_CORRECAO_C[[DIAS_CORRIDOS]:[V_FUT_UTEIS]],K$5, FALSE)</f>
        <v>#N/A</v>
      </c>
      <c r="L1776" s="22" t="e">
        <f>VLOOKUP($A1776, TAB_AMORTIZACAO_C[[DIAS_CORRIDOS]:[V_FUT_UTEIS]], L$5, FALSE)</f>
        <v>#N/A</v>
      </c>
    </row>
    <row r="1777" spans="1:12" hidden="1">
      <c r="A1777" s="19">
        <f t="shared" si="144"/>
        <v>1771</v>
      </c>
      <c r="B1777" s="20">
        <f t="shared" si="140"/>
        <v>0</v>
      </c>
      <c r="C1777" s="21">
        <f t="shared" si="141"/>
        <v>0</v>
      </c>
      <c r="D1777" s="22" t="e">
        <f>VLOOKUP($A1777, TAB_JUROS_U[[Q_DIAS_U_PARC_TIR]:[V_FUT_U_JURS CENARIO]], D$5, FALSE)</f>
        <v>#N/A</v>
      </c>
      <c r="E1777" s="22" t="e">
        <f>VLOOKUP($A1777,TAB_CORRECAO_U[[Q_DIAS_U_PARC_TIR]:[V_FUT_U_CORC-02]],E$5, FALSE)</f>
        <v>#N/A</v>
      </c>
      <c r="F1777" s="22" t="e">
        <f>VLOOKUP($A1777,TAB_AMORTIZACAO_U[[Q_DIAS_U_PARC_TIR]:[V_FUT_U_PCPL-02]], F$5, FALSE)</f>
        <v>#N/A</v>
      </c>
      <c r="H1777" s="20">
        <f t="shared" si="142"/>
        <v>0</v>
      </c>
      <c r="I1777" s="21">
        <f t="shared" si="143"/>
        <v>0</v>
      </c>
      <c r="J1777" s="22" t="e">
        <f>VLOOKUP($A1777, TAB_JUROS_C[[DIAS_CORRIDOS]:[V_FUT_UTEIS]], J$5, FALSE)</f>
        <v>#N/A</v>
      </c>
      <c r="K1777" s="22" t="e">
        <f>VLOOKUP($A1777, TAB_CORRECAO_C[[DIAS_CORRIDOS]:[V_FUT_UTEIS]],K$5, FALSE)</f>
        <v>#N/A</v>
      </c>
      <c r="L1777" s="22" t="e">
        <f>VLOOKUP($A1777, TAB_AMORTIZACAO_C[[DIAS_CORRIDOS]:[V_FUT_UTEIS]], L$5, FALSE)</f>
        <v>#N/A</v>
      </c>
    </row>
    <row r="1778" spans="1:12" hidden="1">
      <c r="A1778" s="19">
        <f t="shared" si="144"/>
        <v>1772</v>
      </c>
      <c r="B1778" s="20">
        <f t="shared" si="140"/>
        <v>0</v>
      </c>
      <c r="C1778" s="21">
        <f t="shared" si="141"/>
        <v>0</v>
      </c>
      <c r="D1778" s="22" t="e">
        <f>VLOOKUP($A1778, TAB_JUROS_U[[Q_DIAS_U_PARC_TIR]:[V_FUT_U_JURS CENARIO]], D$5, FALSE)</f>
        <v>#N/A</v>
      </c>
      <c r="E1778" s="22" t="e">
        <f>VLOOKUP($A1778,TAB_CORRECAO_U[[Q_DIAS_U_PARC_TIR]:[V_FUT_U_CORC-02]],E$5, FALSE)</f>
        <v>#N/A</v>
      </c>
      <c r="F1778" s="22" t="e">
        <f>VLOOKUP($A1778,TAB_AMORTIZACAO_U[[Q_DIAS_U_PARC_TIR]:[V_FUT_U_PCPL-02]], F$5, FALSE)</f>
        <v>#N/A</v>
      </c>
      <c r="H1778" s="20">
        <f t="shared" si="142"/>
        <v>0</v>
      </c>
      <c r="I1778" s="21">
        <f t="shared" si="143"/>
        <v>0</v>
      </c>
      <c r="J1778" s="22" t="e">
        <f>VLOOKUP($A1778, TAB_JUROS_C[[DIAS_CORRIDOS]:[V_FUT_UTEIS]], J$5, FALSE)</f>
        <v>#N/A</v>
      </c>
      <c r="K1778" s="22" t="e">
        <f>VLOOKUP($A1778, TAB_CORRECAO_C[[DIAS_CORRIDOS]:[V_FUT_UTEIS]],K$5, FALSE)</f>
        <v>#N/A</v>
      </c>
      <c r="L1778" s="22" t="e">
        <f>VLOOKUP($A1778, TAB_AMORTIZACAO_C[[DIAS_CORRIDOS]:[V_FUT_UTEIS]], L$5, FALSE)</f>
        <v>#N/A</v>
      </c>
    </row>
    <row r="1779" spans="1:12" hidden="1">
      <c r="A1779" s="19">
        <f t="shared" si="144"/>
        <v>1773</v>
      </c>
      <c r="B1779" s="20">
        <f t="shared" si="140"/>
        <v>0</v>
      </c>
      <c r="C1779" s="21">
        <f t="shared" si="141"/>
        <v>0</v>
      </c>
      <c r="D1779" s="22" t="e">
        <f>VLOOKUP($A1779, TAB_JUROS_U[[Q_DIAS_U_PARC_TIR]:[V_FUT_U_JURS CENARIO]], D$5, FALSE)</f>
        <v>#N/A</v>
      </c>
      <c r="E1779" s="22" t="e">
        <f>VLOOKUP($A1779,TAB_CORRECAO_U[[Q_DIAS_U_PARC_TIR]:[V_FUT_U_CORC-02]],E$5, FALSE)</f>
        <v>#N/A</v>
      </c>
      <c r="F1779" s="22" t="e">
        <f>VLOOKUP($A1779,TAB_AMORTIZACAO_U[[Q_DIAS_U_PARC_TIR]:[V_FUT_U_PCPL-02]], F$5, FALSE)</f>
        <v>#N/A</v>
      </c>
      <c r="H1779" s="20">
        <f t="shared" si="142"/>
        <v>0</v>
      </c>
      <c r="I1779" s="21">
        <f t="shared" si="143"/>
        <v>0</v>
      </c>
      <c r="J1779" s="22" t="e">
        <f>VLOOKUP($A1779, TAB_JUROS_C[[DIAS_CORRIDOS]:[V_FUT_UTEIS]], J$5, FALSE)</f>
        <v>#N/A</v>
      </c>
      <c r="K1779" s="22" t="e">
        <f>VLOOKUP($A1779, TAB_CORRECAO_C[[DIAS_CORRIDOS]:[V_FUT_UTEIS]],K$5, FALSE)</f>
        <v>#N/A</v>
      </c>
      <c r="L1779" s="22" t="e">
        <f>VLOOKUP($A1779, TAB_AMORTIZACAO_C[[DIAS_CORRIDOS]:[V_FUT_UTEIS]], L$5, FALSE)</f>
        <v>#N/A</v>
      </c>
    </row>
    <row r="1780" spans="1:12" hidden="1">
      <c r="A1780" s="19">
        <f t="shared" si="144"/>
        <v>1774</v>
      </c>
      <c r="B1780" s="20">
        <f t="shared" si="140"/>
        <v>0</v>
      </c>
      <c r="C1780" s="21">
        <f t="shared" si="141"/>
        <v>0</v>
      </c>
      <c r="D1780" s="22" t="e">
        <f>VLOOKUP($A1780, TAB_JUROS_U[[Q_DIAS_U_PARC_TIR]:[V_FUT_U_JURS CENARIO]], D$5, FALSE)</f>
        <v>#N/A</v>
      </c>
      <c r="E1780" s="22" t="e">
        <f>VLOOKUP($A1780,TAB_CORRECAO_U[[Q_DIAS_U_PARC_TIR]:[V_FUT_U_CORC-02]],E$5, FALSE)</f>
        <v>#N/A</v>
      </c>
      <c r="F1780" s="22" t="e">
        <f>VLOOKUP($A1780,TAB_AMORTIZACAO_U[[Q_DIAS_U_PARC_TIR]:[V_FUT_U_PCPL-02]], F$5, FALSE)</f>
        <v>#N/A</v>
      </c>
      <c r="H1780" s="20">
        <f t="shared" si="142"/>
        <v>0</v>
      </c>
      <c r="I1780" s="21">
        <f t="shared" si="143"/>
        <v>0</v>
      </c>
      <c r="J1780" s="22" t="e">
        <f>VLOOKUP($A1780, TAB_JUROS_C[[DIAS_CORRIDOS]:[V_FUT_UTEIS]], J$5, FALSE)</f>
        <v>#N/A</v>
      </c>
      <c r="K1780" s="22" t="e">
        <f>VLOOKUP($A1780, TAB_CORRECAO_C[[DIAS_CORRIDOS]:[V_FUT_UTEIS]],K$5, FALSE)</f>
        <v>#N/A</v>
      </c>
      <c r="L1780" s="22" t="e">
        <f>VLOOKUP($A1780, TAB_AMORTIZACAO_C[[DIAS_CORRIDOS]:[V_FUT_UTEIS]], L$5, FALSE)</f>
        <v>#N/A</v>
      </c>
    </row>
    <row r="1781" spans="1:12" hidden="1">
      <c r="A1781" s="19">
        <f t="shared" si="144"/>
        <v>1775</v>
      </c>
      <c r="B1781" s="20">
        <f t="shared" si="140"/>
        <v>0</v>
      </c>
      <c r="C1781" s="21">
        <f t="shared" si="141"/>
        <v>0</v>
      </c>
      <c r="D1781" s="22" t="e">
        <f>VLOOKUP($A1781, TAB_JUROS_U[[Q_DIAS_U_PARC_TIR]:[V_FUT_U_JURS CENARIO]], D$5, FALSE)</f>
        <v>#N/A</v>
      </c>
      <c r="E1781" s="22" t="e">
        <f>VLOOKUP($A1781,TAB_CORRECAO_U[[Q_DIAS_U_PARC_TIR]:[V_FUT_U_CORC-02]],E$5, FALSE)</f>
        <v>#N/A</v>
      </c>
      <c r="F1781" s="22" t="e">
        <f>VLOOKUP($A1781,TAB_AMORTIZACAO_U[[Q_DIAS_U_PARC_TIR]:[V_FUT_U_PCPL-02]], F$5, FALSE)</f>
        <v>#N/A</v>
      </c>
      <c r="H1781" s="20">
        <f t="shared" si="142"/>
        <v>0</v>
      </c>
      <c r="I1781" s="21">
        <f t="shared" si="143"/>
        <v>0</v>
      </c>
      <c r="J1781" s="22" t="e">
        <f>VLOOKUP($A1781, TAB_JUROS_C[[DIAS_CORRIDOS]:[V_FUT_UTEIS]], J$5, FALSE)</f>
        <v>#N/A</v>
      </c>
      <c r="K1781" s="22" t="e">
        <f>VLOOKUP($A1781, TAB_CORRECAO_C[[DIAS_CORRIDOS]:[V_FUT_UTEIS]],K$5, FALSE)</f>
        <v>#N/A</v>
      </c>
      <c r="L1781" s="22" t="e">
        <f>VLOOKUP($A1781, TAB_AMORTIZACAO_C[[DIAS_CORRIDOS]:[V_FUT_UTEIS]], L$5, FALSE)</f>
        <v>#N/A</v>
      </c>
    </row>
    <row r="1782" spans="1:12" hidden="1">
      <c r="A1782" s="19">
        <f t="shared" si="144"/>
        <v>1776</v>
      </c>
      <c r="B1782" s="20">
        <f t="shared" si="140"/>
        <v>0</v>
      </c>
      <c r="C1782" s="21">
        <f t="shared" si="141"/>
        <v>0</v>
      </c>
      <c r="D1782" s="22" t="e">
        <f>VLOOKUP($A1782, TAB_JUROS_U[[Q_DIAS_U_PARC_TIR]:[V_FUT_U_JURS CENARIO]], D$5, FALSE)</f>
        <v>#N/A</v>
      </c>
      <c r="E1782" s="22" t="e">
        <f>VLOOKUP($A1782,TAB_CORRECAO_U[[Q_DIAS_U_PARC_TIR]:[V_FUT_U_CORC-02]],E$5, FALSE)</f>
        <v>#N/A</v>
      </c>
      <c r="F1782" s="22" t="e">
        <f>VLOOKUP($A1782,TAB_AMORTIZACAO_U[[Q_DIAS_U_PARC_TIR]:[V_FUT_U_PCPL-02]], F$5, FALSE)</f>
        <v>#N/A</v>
      </c>
      <c r="H1782" s="20">
        <f t="shared" si="142"/>
        <v>0</v>
      </c>
      <c r="I1782" s="21">
        <f t="shared" si="143"/>
        <v>0</v>
      </c>
      <c r="J1782" s="22" t="e">
        <f>VLOOKUP($A1782, TAB_JUROS_C[[DIAS_CORRIDOS]:[V_FUT_UTEIS]], J$5, FALSE)</f>
        <v>#N/A</v>
      </c>
      <c r="K1782" s="22" t="e">
        <f>VLOOKUP($A1782, TAB_CORRECAO_C[[DIAS_CORRIDOS]:[V_FUT_UTEIS]],K$5, FALSE)</f>
        <v>#N/A</v>
      </c>
      <c r="L1782" s="22" t="e">
        <f>VLOOKUP($A1782, TAB_AMORTIZACAO_C[[DIAS_CORRIDOS]:[V_FUT_UTEIS]], L$5, FALSE)</f>
        <v>#N/A</v>
      </c>
    </row>
    <row r="1783" spans="1:12" hidden="1">
      <c r="A1783" s="19">
        <f t="shared" si="144"/>
        <v>1777</v>
      </c>
      <c r="B1783" s="20">
        <f t="shared" si="140"/>
        <v>0</v>
      </c>
      <c r="C1783" s="21">
        <f t="shared" si="141"/>
        <v>0</v>
      </c>
      <c r="D1783" s="22" t="e">
        <f>VLOOKUP($A1783, TAB_JUROS_U[[Q_DIAS_U_PARC_TIR]:[V_FUT_U_JURS CENARIO]], D$5, FALSE)</f>
        <v>#N/A</v>
      </c>
      <c r="E1783" s="22" t="e">
        <f>VLOOKUP($A1783,TAB_CORRECAO_U[[Q_DIAS_U_PARC_TIR]:[V_FUT_U_CORC-02]],E$5, FALSE)</f>
        <v>#N/A</v>
      </c>
      <c r="F1783" s="22" t="e">
        <f>VLOOKUP($A1783,TAB_AMORTIZACAO_U[[Q_DIAS_U_PARC_TIR]:[V_FUT_U_PCPL-02]], F$5, FALSE)</f>
        <v>#N/A</v>
      </c>
      <c r="H1783" s="20">
        <f t="shared" si="142"/>
        <v>0</v>
      </c>
      <c r="I1783" s="21">
        <f t="shared" si="143"/>
        <v>0</v>
      </c>
      <c r="J1783" s="22" t="e">
        <f>VLOOKUP($A1783, TAB_JUROS_C[[DIAS_CORRIDOS]:[V_FUT_UTEIS]], J$5, FALSE)</f>
        <v>#N/A</v>
      </c>
      <c r="K1783" s="22" t="e">
        <f>VLOOKUP($A1783, TAB_CORRECAO_C[[DIAS_CORRIDOS]:[V_FUT_UTEIS]],K$5, FALSE)</f>
        <v>#N/A</v>
      </c>
      <c r="L1783" s="22" t="e">
        <f>VLOOKUP($A1783, TAB_AMORTIZACAO_C[[DIAS_CORRIDOS]:[V_FUT_UTEIS]], L$5, FALSE)</f>
        <v>#N/A</v>
      </c>
    </row>
    <row r="1784" spans="1:12" hidden="1">
      <c r="A1784" s="19">
        <f t="shared" si="144"/>
        <v>1778</v>
      </c>
      <c r="B1784" s="20">
        <f t="shared" si="140"/>
        <v>0</v>
      </c>
      <c r="C1784" s="21">
        <f t="shared" si="141"/>
        <v>0</v>
      </c>
      <c r="D1784" s="22" t="e">
        <f>VLOOKUP($A1784, TAB_JUROS_U[[Q_DIAS_U_PARC_TIR]:[V_FUT_U_JURS CENARIO]], D$5, FALSE)</f>
        <v>#N/A</v>
      </c>
      <c r="E1784" s="22" t="e">
        <f>VLOOKUP($A1784,TAB_CORRECAO_U[[Q_DIAS_U_PARC_TIR]:[V_FUT_U_CORC-02]],E$5, FALSE)</f>
        <v>#N/A</v>
      </c>
      <c r="F1784" s="22" t="e">
        <f>VLOOKUP($A1784,TAB_AMORTIZACAO_U[[Q_DIAS_U_PARC_TIR]:[V_FUT_U_PCPL-02]], F$5, FALSE)</f>
        <v>#N/A</v>
      </c>
      <c r="H1784" s="20">
        <f t="shared" si="142"/>
        <v>0</v>
      </c>
      <c r="I1784" s="21">
        <f t="shared" si="143"/>
        <v>0</v>
      </c>
      <c r="J1784" s="22" t="e">
        <f>VLOOKUP($A1784, TAB_JUROS_C[[DIAS_CORRIDOS]:[V_FUT_UTEIS]], J$5, FALSE)</f>
        <v>#N/A</v>
      </c>
      <c r="K1784" s="22" t="e">
        <f>VLOOKUP($A1784, TAB_CORRECAO_C[[DIAS_CORRIDOS]:[V_FUT_UTEIS]],K$5, FALSE)</f>
        <v>#N/A</v>
      </c>
      <c r="L1784" s="22" t="e">
        <f>VLOOKUP($A1784, TAB_AMORTIZACAO_C[[DIAS_CORRIDOS]:[V_FUT_UTEIS]], L$5, FALSE)</f>
        <v>#N/A</v>
      </c>
    </row>
    <row r="1785" spans="1:12" hidden="1">
      <c r="A1785" s="19">
        <f t="shared" si="144"/>
        <v>1779</v>
      </c>
      <c r="B1785" s="20">
        <f t="shared" si="140"/>
        <v>0</v>
      </c>
      <c r="C1785" s="21">
        <f t="shared" si="141"/>
        <v>0</v>
      </c>
      <c r="D1785" s="22" t="e">
        <f>VLOOKUP($A1785, TAB_JUROS_U[[Q_DIAS_U_PARC_TIR]:[V_FUT_U_JURS CENARIO]], D$5, FALSE)</f>
        <v>#N/A</v>
      </c>
      <c r="E1785" s="22" t="e">
        <f>VLOOKUP($A1785,TAB_CORRECAO_U[[Q_DIAS_U_PARC_TIR]:[V_FUT_U_CORC-02]],E$5, FALSE)</f>
        <v>#N/A</v>
      </c>
      <c r="F1785" s="22" t="e">
        <f>VLOOKUP($A1785,TAB_AMORTIZACAO_U[[Q_DIAS_U_PARC_TIR]:[V_FUT_U_PCPL-02]], F$5, FALSE)</f>
        <v>#N/A</v>
      </c>
      <c r="H1785" s="20">
        <f t="shared" si="142"/>
        <v>674.33071765900945</v>
      </c>
      <c r="I1785" s="21">
        <f t="shared" si="143"/>
        <v>674.33071765900945</v>
      </c>
      <c r="J1785" s="22">
        <f>VLOOKUP($A1785, TAB_JUROS_C[[DIAS_CORRIDOS]:[V_FUT_UTEIS]], J$5, FALSE)</f>
        <v>51.019294366490641</v>
      </c>
      <c r="K1785" s="22">
        <f>VLOOKUP($A1785, TAB_CORRECAO_C[[DIAS_CORRIDOS]:[V_FUT_UTEIS]],K$5, FALSE)</f>
        <v>291.12742084415538</v>
      </c>
      <c r="L1785" s="22">
        <f>VLOOKUP($A1785, TAB_AMORTIZACAO_C[[DIAS_CORRIDOS]:[V_FUT_UTEIS]], L$5, FALSE)</f>
        <v>332.18400244836351</v>
      </c>
    </row>
    <row r="1786" spans="1:12" hidden="1">
      <c r="A1786" s="19">
        <f t="shared" si="144"/>
        <v>1780</v>
      </c>
      <c r="B1786" s="20">
        <f t="shared" si="140"/>
        <v>0</v>
      </c>
      <c r="C1786" s="21">
        <f t="shared" si="141"/>
        <v>0</v>
      </c>
      <c r="D1786" s="22" t="e">
        <f>VLOOKUP($A1786, TAB_JUROS_U[[Q_DIAS_U_PARC_TIR]:[V_FUT_U_JURS CENARIO]], D$5, FALSE)</f>
        <v>#N/A</v>
      </c>
      <c r="E1786" s="22" t="e">
        <f>VLOOKUP($A1786,TAB_CORRECAO_U[[Q_DIAS_U_PARC_TIR]:[V_FUT_U_CORC-02]],E$5, FALSE)</f>
        <v>#N/A</v>
      </c>
      <c r="F1786" s="22" t="e">
        <f>VLOOKUP($A1786,TAB_AMORTIZACAO_U[[Q_DIAS_U_PARC_TIR]:[V_FUT_U_PCPL-02]], F$5, FALSE)</f>
        <v>#N/A</v>
      </c>
      <c r="H1786" s="20">
        <f t="shared" si="142"/>
        <v>0</v>
      </c>
      <c r="I1786" s="21">
        <f t="shared" si="143"/>
        <v>0</v>
      </c>
      <c r="J1786" s="22" t="e">
        <f>VLOOKUP($A1786, TAB_JUROS_C[[DIAS_CORRIDOS]:[V_FUT_UTEIS]], J$5, FALSE)</f>
        <v>#N/A</v>
      </c>
      <c r="K1786" s="22" t="e">
        <f>VLOOKUP($A1786, TAB_CORRECAO_C[[DIAS_CORRIDOS]:[V_FUT_UTEIS]],K$5, FALSE)</f>
        <v>#N/A</v>
      </c>
      <c r="L1786" s="22" t="e">
        <f>VLOOKUP($A1786, TAB_AMORTIZACAO_C[[DIAS_CORRIDOS]:[V_FUT_UTEIS]], L$5, FALSE)</f>
        <v>#N/A</v>
      </c>
    </row>
    <row r="1787" spans="1:12" hidden="1">
      <c r="A1787" s="19">
        <f t="shared" si="144"/>
        <v>1781</v>
      </c>
      <c r="B1787" s="20">
        <f t="shared" si="140"/>
        <v>0</v>
      </c>
      <c r="C1787" s="21">
        <f t="shared" si="141"/>
        <v>0</v>
      </c>
      <c r="D1787" s="22" t="e">
        <f>VLOOKUP($A1787, TAB_JUROS_U[[Q_DIAS_U_PARC_TIR]:[V_FUT_U_JURS CENARIO]], D$5, FALSE)</f>
        <v>#N/A</v>
      </c>
      <c r="E1787" s="22" t="e">
        <f>VLOOKUP($A1787,TAB_CORRECAO_U[[Q_DIAS_U_PARC_TIR]:[V_FUT_U_CORC-02]],E$5, FALSE)</f>
        <v>#N/A</v>
      </c>
      <c r="F1787" s="22" t="e">
        <f>VLOOKUP($A1787,TAB_AMORTIZACAO_U[[Q_DIAS_U_PARC_TIR]:[V_FUT_U_PCPL-02]], F$5, FALSE)</f>
        <v>#N/A</v>
      </c>
      <c r="H1787" s="20">
        <f t="shared" si="142"/>
        <v>0</v>
      </c>
      <c r="I1787" s="21">
        <f t="shared" si="143"/>
        <v>0</v>
      </c>
      <c r="J1787" s="22" t="e">
        <f>VLOOKUP($A1787, TAB_JUROS_C[[DIAS_CORRIDOS]:[V_FUT_UTEIS]], J$5, FALSE)</f>
        <v>#N/A</v>
      </c>
      <c r="K1787" s="22" t="e">
        <f>VLOOKUP($A1787, TAB_CORRECAO_C[[DIAS_CORRIDOS]:[V_FUT_UTEIS]],K$5, FALSE)</f>
        <v>#N/A</v>
      </c>
      <c r="L1787" s="22" t="e">
        <f>VLOOKUP($A1787, TAB_AMORTIZACAO_C[[DIAS_CORRIDOS]:[V_FUT_UTEIS]], L$5, FALSE)</f>
        <v>#N/A</v>
      </c>
    </row>
    <row r="1788" spans="1:12" hidden="1">
      <c r="A1788" s="19">
        <f t="shared" si="144"/>
        <v>1782</v>
      </c>
      <c r="B1788" s="20">
        <f t="shared" si="140"/>
        <v>0</v>
      </c>
      <c r="C1788" s="21">
        <f t="shared" si="141"/>
        <v>0</v>
      </c>
      <c r="D1788" s="22" t="e">
        <f>VLOOKUP($A1788, TAB_JUROS_U[[Q_DIAS_U_PARC_TIR]:[V_FUT_U_JURS CENARIO]], D$5, FALSE)</f>
        <v>#N/A</v>
      </c>
      <c r="E1788" s="22" t="e">
        <f>VLOOKUP($A1788,TAB_CORRECAO_U[[Q_DIAS_U_PARC_TIR]:[V_FUT_U_CORC-02]],E$5, FALSE)</f>
        <v>#N/A</v>
      </c>
      <c r="F1788" s="22" t="e">
        <f>VLOOKUP($A1788,TAB_AMORTIZACAO_U[[Q_DIAS_U_PARC_TIR]:[V_FUT_U_PCPL-02]], F$5, FALSE)</f>
        <v>#N/A</v>
      </c>
      <c r="H1788" s="20">
        <f t="shared" si="142"/>
        <v>0</v>
      </c>
      <c r="I1788" s="21">
        <f t="shared" si="143"/>
        <v>0</v>
      </c>
      <c r="J1788" s="22" t="e">
        <f>VLOOKUP($A1788, TAB_JUROS_C[[DIAS_CORRIDOS]:[V_FUT_UTEIS]], J$5, FALSE)</f>
        <v>#N/A</v>
      </c>
      <c r="K1788" s="22" t="e">
        <f>VLOOKUP($A1788, TAB_CORRECAO_C[[DIAS_CORRIDOS]:[V_FUT_UTEIS]],K$5, FALSE)</f>
        <v>#N/A</v>
      </c>
      <c r="L1788" s="22" t="e">
        <f>VLOOKUP($A1788, TAB_AMORTIZACAO_C[[DIAS_CORRIDOS]:[V_FUT_UTEIS]], L$5, FALSE)</f>
        <v>#N/A</v>
      </c>
    </row>
    <row r="1789" spans="1:12" hidden="1">
      <c r="A1789" s="19">
        <f t="shared" si="144"/>
        <v>1783</v>
      </c>
      <c r="B1789" s="20">
        <f t="shared" si="140"/>
        <v>0</v>
      </c>
      <c r="C1789" s="21">
        <f t="shared" si="141"/>
        <v>0</v>
      </c>
      <c r="D1789" s="22" t="e">
        <f>VLOOKUP($A1789, TAB_JUROS_U[[Q_DIAS_U_PARC_TIR]:[V_FUT_U_JURS CENARIO]], D$5, FALSE)</f>
        <v>#N/A</v>
      </c>
      <c r="E1789" s="22" t="e">
        <f>VLOOKUP($A1789,TAB_CORRECAO_U[[Q_DIAS_U_PARC_TIR]:[V_FUT_U_CORC-02]],E$5, FALSE)</f>
        <v>#N/A</v>
      </c>
      <c r="F1789" s="22" t="e">
        <f>VLOOKUP($A1789,TAB_AMORTIZACAO_U[[Q_DIAS_U_PARC_TIR]:[V_FUT_U_PCPL-02]], F$5, FALSE)</f>
        <v>#N/A</v>
      </c>
      <c r="H1789" s="20">
        <f t="shared" si="142"/>
        <v>0</v>
      </c>
      <c r="I1789" s="21">
        <f t="shared" si="143"/>
        <v>0</v>
      </c>
      <c r="J1789" s="22" t="e">
        <f>VLOOKUP($A1789, TAB_JUROS_C[[DIAS_CORRIDOS]:[V_FUT_UTEIS]], J$5, FALSE)</f>
        <v>#N/A</v>
      </c>
      <c r="K1789" s="22" t="e">
        <f>VLOOKUP($A1789, TAB_CORRECAO_C[[DIAS_CORRIDOS]:[V_FUT_UTEIS]],K$5, FALSE)</f>
        <v>#N/A</v>
      </c>
      <c r="L1789" s="22" t="e">
        <f>VLOOKUP($A1789, TAB_AMORTIZACAO_C[[DIAS_CORRIDOS]:[V_FUT_UTEIS]], L$5, FALSE)</f>
        <v>#N/A</v>
      </c>
    </row>
    <row r="1790" spans="1:12" hidden="1">
      <c r="A1790" s="19">
        <f t="shared" si="144"/>
        <v>1784</v>
      </c>
      <c r="B1790" s="20">
        <f t="shared" si="140"/>
        <v>0</v>
      </c>
      <c r="C1790" s="21">
        <f t="shared" si="141"/>
        <v>0</v>
      </c>
      <c r="D1790" s="22" t="e">
        <f>VLOOKUP($A1790, TAB_JUROS_U[[Q_DIAS_U_PARC_TIR]:[V_FUT_U_JURS CENARIO]], D$5, FALSE)</f>
        <v>#N/A</v>
      </c>
      <c r="E1790" s="22" t="e">
        <f>VLOOKUP($A1790,TAB_CORRECAO_U[[Q_DIAS_U_PARC_TIR]:[V_FUT_U_CORC-02]],E$5, FALSE)</f>
        <v>#N/A</v>
      </c>
      <c r="F1790" s="22" t="e">
        <f>VLOOKUP($A1790,TAB_AMORTIZACAO_U[[Q_DIAS_U_PARC_TIR]:[V_FUT_U_PCPL-02]], F$5, FALSE)</f>
        <v>#N/A</v>
      </c>
      <c r="H1790" s="20">
        <f t="shared" si="142"/>
        <v>0</v>
      </c>
      <c r="I1790" s="21">
        <f t="shared" si="143"/>
        <v>0</v>
      </c>
      <c r="J1790" s="22" t="e">
        <f>VLOOKUP($A1790, TAB_JUROS_C[[DIAS_CORRIDOS]:[V_FUT_UTEIS]], J$5, FALSE)</f>
        <v>#N/A</v>
      </c>
      <c r="K1790" s="22" t="e">
        <f>VLOOKUP($A1790, TAB_CORRECAO_C[[DIAS_CORRIDOS]:[V_FUT_UTEIS]],K$5, FALSE)</f>
        <v>#N/A</v>
      </c>
      <c r="L1790" s="22" t="e">
        <f>VLOOKUP($A1790, TAB_AMORTIZACAO_C[[DIAS_CORRIDOS]:[V_FUT_UTEIS]], L$5, FALSE)</f>
        <v>#N/A</v>
      </c>
    </row>
    <row r="1791" spans="1:12" hidden="1">
      <c r="A1791" s="19">
        <f t="shared" si="144"/>
        <v>1785</v>
      </c>
      <c r="B1791" s="20">
        <f t="shared" si="140"/>
        <v>0</v>
      </c>
      <c r="C1791" s="21">
        <f t="shared" si="141"/>
        <v>0</v>
      </c>
      <c r="D1791" s="22" t="e">
        <f>VLOOKUP($A1791, TAB_JUROS_U[[Q_DIAS_U_PARC_TIR]:[V_FUT_U_JURS CENARIO]], D$5, FALSE)</f>
        <v>#N/A</v>
      </c>
      <c r="E1791" s="22" t="e">
        <f>VLOOKUP($A1791,TAB_CORRECAO_U[[Q_DIAS_U_PARC_TIR]:[V_FUT_U_CORC-02]],E$5, FALSE)</f>
        <v>#N/A</v>
      </c>
      <c r="F1791" s="22" t="e">
        <f>VLOOKUP($A1791,TAB_AMORTIZACAO_U[[Q_DIAS_U_PARC_TIR]:[V_FUT_U_PCPL-02]], F$5, FALSE)</f>
        <v>#N/A</v>
      </c>
      <c r="H1791" s="20">
        <f t="shared" si="142"/>
        <v>0</v>
      </c>
      <c r="I1791" s="21">
        <f t="shared" si="143"/>
        <v>0</v>
      </c>
      <c r="J1791" s="22" t="e">
        <f>VLOOKUP($A1791, TAB_JUROS_C[[DIAS_CORRIDOS]:[V_FUT_UTEIS]], J$5, FALSE)</f>
        <v>#N/A</v>
      </c>
      <c r="K1791" s="22" t="e">
        <f>VLOOKUP($A1791, TAB_CORRECAO_C[[DIAS_CORRIDOS]:[V_FUT_UTEIS]],K$5, FALSE)</f>
        <v>#N/A</v>
      </c>
      <c r="L1791" s="22" t="e">
        <f>VLOOKUP($A1791, TAB_AMORTIZACAO_C[[DIAS_CORRIDOS]:[V_FUT_UTEIS]], L$5, FALSE)</f>
        <v>#N/A</v>
      </c>
    </row>
    <row r="1792" spans="1:12" hidden="1">
      <c r="A1792" s="19">
        <f t="shared" si="144"/>
        <v>1786</v>
      </c>
      <c r="B1792" s="20">
        <f t="shared" si="140"/>
        <v>0</v>
      </c>
      <c r="C1792" s="21">
        <f t="shared" si="141"/>
        <v>0</v>
      </c>
      <c r="D1792" s="22" t="e">
        <f>VLOOKUP($A1792, TAB_JUROS_U[[Q_DIAS_U_PARC_TIR]:[V_FUT_U_JURS CENARIO]], D$5, FALSE)</f>
        <v>#N/A</v>
      </c>
      <c r="E1792" s="22" t="e">
        <f>VLOOKUP($A1792,TAB_CORRECAO_U[[Q_DIAS_U_PARC_TIR]:[V_FUT_U_CORC-02]],E$5, FALSE)</f>
        <v>#N/A</v>
      </c>
      <c r="F1792" s="22" t="e">
        <f>VLOOKUP($A1792,TAB_AMORTIZACAO_U[[Q_DIAS_U_PARC_TIR]:[V_FUT_U_PCPL-02]], F$5, FALSE)</f>
        <v>#N/A</v>
      </c>
      <c r="H1792" s="20">
        <f t="shared" si="142"/>
        <v>0</v>
      </c>
      <c r="I1792" s="21">
        <f t="shared" si="143"/>
        <v>0</v>
      </c>
      <c r="J1792" s="22" t="e">
        <f>VLOOKUP($A1792, TAB_JUROS_C[[DIAS_CORRIDOS]:[V_FUT_UTEIS]], J$5, FALSE)</f>
        <v>#N/A</v>
      </c>
      <c r="K1792" s="22" t="e">
        <f>VLOOKUP($A1792, TAB_CORRECAO_C[[DIAS_CORRIDOS]:[V_FUT_UTEIS]],K$5, FALSE)</f>
        <v>#N/A</v>
      </c>
      <c r="L1792" s="22" t="e">
        <f>VLOOKUP($A1792, TAB_AMORTIZACAO_C[[DIAS_CORRIDOS]:[V_FUT_UTEIS]], L$5, FALSE)</f>
        <v>#N/A</v>
      </c>
    </row>
    <row r="1793" spans="1:12" hidden="1">
      <c r="A1793" s="19">
        <f t="shared" si="144"/>
        <v>1787</v>
      </c>
      <c r="B1793" s="20">
        <f t="shared" si="140"/>
        <v>0</v>
      </c>
      <c r="C1793" s="21">
        <f t="shared" si="141"/>
        <v>0</v>
      </c>
      <c r="D1793" s="22" t="e">
        <f>VLOOKUP($A1793, TAB_JUROS_U[[Q_DIAS_U_PARC_TIR]:[V_FUT_U_JURS CENARIO]], D$5, FALSE)</f>
        <v>#N/A</v>
      </c>
      <c r="E1793" s="22" t="e">
        <f>VLOOKUP($A1793,TAB_CORRECAO_U[[Q_DIAS_U_PARC_TIR]:[V_FUT_U_CORC-02]],E$5, FALSE)</f>
        <v>#N/A</v>
      </c>
      <c r="F1793" s="22" t="e">
        <f>VLOOKUP($A1793,TAB_AMORTIZACAO_U[[Q_DIAS_U_PARC_TIR]:[V_FUT_U_PCPL-02]], F$5, FALSE)</f>
        <v>#N/A</v>
      </c>
      <c r="H1793" s="20">
        <f t="shared" si="142"/>
        <v>0</v>
      </c>
      <c r="I1793" s="21">
        <f t="shared" si="143"/>
        <v>0</v>
      </c>
      <c r="J1793" s="22" t="e">
        <f>VLOOKUP($A1793, TAB_JUROS_C[[DIAS_CORRIDOS]:[V_FUT_UTEIS]], J$5, FALSE)</f>
        <v>#N/A</v>
      </c>
      <c r="K1793" s="22" t="e">
        <f>VLOOKUP($A1793, TAB_CORRECAO_C[[DIAS_CORRIDOS]:[V_FUT_UTEIS]],K$5, FALSE)</f>
        <v>#N/A</v>
      </c>
      <c r="L1793" s="22" t="e">
        <f>VLOOKUP($A1793, TAB_AMORTIZACAO_C[[DIAS_CORRIDOS]:[V_FUT_UTEIS]], L$5, FALSE)</f>
        <v>#N/A</v>
      </c>
    </row>
    <row r="1794" spans="1:12" hidden="1">
      <c r="A1794" s="19">
        <f t="shared" si="144"/>
        <v>1788</v>
      </c>
      <c r="B1794" s="20">
        <f t="shared" si="140"/>
        <v>0</v>
      </c>
      <c r="C1794" s="21">
        <f t="shared" si="141"/>
        <v>0</v>
      </c>
      <c r="D1794" s="22" t="e">
        <f>VLOOKUP($A1794, TAB_JUROS_U[[Q_DIAS_U_PARC_TIR]:[V_FUT_U_JURS CENARIO]], D$5, FALSE)</f>
        <v>#N/A</v>
      </c>
      <c r="E1794" s="22" t="e">
        <f>VLOOKUP($A1794,TAB_CORRECAO_U[[Q_DIAS_U_PARC_TIR]:[V_FUT_U_CORC-02]],E$5, FALSE)</f>
        <v>#N/A</v>
      </c>
      <c r="F1794" s="22" t="e">
        <f>VLOOKUP($A1794,TAB_AMORTIZACAO_U[[Q_DIAS_U_PARC_TIR]:[V_FUT_U_PCPL-02]], F$5, FALSE)</f>
        <v>#N/A</v>
      </c>
      <c r="H1794" s="20">
        <f t="shared" si="142"/>
        <v>0</v>
      </c>
      <c r="I1794" s="21">
        <f t="shared" si="143"/>
        <v>0</v>
      </c>
      <c r="J1794" s="22" t="e">
        <f>VLOOKUP($A1794, TAB_JUROS_C[[DIAS_CORRIDOS]:[V_FUT_UTEIS]], J$5, FALSE)</f>
        <v>#N/A</v>
      </c>
      <c r="K1794" s="22" t="e">
        <f>VLOOKUP($A1794, TAB_CORRECAO_C[[DIAS_CORRIDOS]:[V_FUT_UTEIS]],K$5, FALSE)</f>
        <v>#N/A</v>
      </c>
      <c r="L1794" s="22" t="e">
        <f>VLOOKUP($A1794, TAB_AMORTIZACAO_C[[DIAS_CORRIDOS]:[V_FUT_UTEIS]], L$5, FALSE)</f>
        <v>#N/A</v>
      </c>
    </row>
    <row r="1795" spans="1:12" hidden="1">
      <c r="A1795" s="19">
        <f t="shared" si="144"/>
        <v>1789</v>
      </c>
      <c r="B1795" s="20">
        <f t="shared" si="140"/>
        <v>0</v>
      </c>
      <c r="C1795" s="21">
        <f t="shared" si="141"/>
        <v>0</v>
      </c>
      <c r="D1795" s="22" t="e">
        <f>VLOOKUP($A1795, TAB_JUROS_U[[Q_DIAS_U_PARC_TIR]:[V_FUT_U_JURS CENARIO]], D$5, FALSE)</f>
        <v>#N/A</v>
      </c>
      <c r="E1795" s="22" t="e">
        <f>VLOOKUP($A1795,TAB_CORRECAO_U[[Q_DIAS_U_PARC_TIR]:[V_FUT_U_CORC-02]],E$5, FALSE)</f>
        <v>#N/A</v>
      </c>
      <c r="F1795" s="22" t="e">
        <f>VLOOKUP($A1795,TAB_AMORTIZACAO_U[[Q_DIAS_U_PARC_TIR]:[V_FUT_U_PCPL-02]], F$5, FALSE)</f>
        <v>#N/A</v>
      </c>
      <c r="H1795" s="20">
        <f t="shared" si="142"/>
        <v>0</v>
      </c>
      <c r="I1795" s="21">
        <f t="shared" si="143"/>
        <v>0</v>
      </c>
      <c r="J1795" s="22" t="e">
        <f>VLOOKUP($A1795, TAB_JUROS_C[[DIAS_CORRIDOS]:[V_FUT_UTEIS]], J$5, FALSE)</f>
        <v>#N/A</v>
      </c>
      <c r="K1795" s="22" t="e">
        <f>VLOOKUP($A1795, TAB_CORRECAO_C[[DIAS_CORRIDOS]:[V_FUT_UTEIS]],K$5, FALSE)</f>
        <v>#N/A</v>
      </c>
      <c r="L1795" s="22" t="e">
        <f>VLOOKUP($A1795, TAB_AMORTIZACAO_C[[DIAS_CORRIDOS]:[V_FUT_UTEIS]], L$5, FALSE)</f>
        <v>#N/A</v>
      </c>
    </row>
    <row r="1796" spans="1:12" hidden="1">
      <c r="A1796" s="19">
        <f t="shared" si="144"/>
        <v>1790</v>
      </c>
      <c r="B1796" s="20">
        <f t="shared" si="140"/>
        <v>0</v>
      </c>
      <c r="C1796" s="21">
        <f t="shared" si="141"/>
        <v>0</v>
      </c>
      <c r="D1796" s="22" t="e">
        <f>VLOOKUP($A1796, TAB_JUROS_U[[Q_DIAS_U_PARC_TIR]:[V_FUT_U_JURS CENARIO]], D$5, FALSE)</f>
        <v>#N/A</v>
      </c>
      <c r="E1796" s="22" t="e">
        <f>VLOOKUP($A1796,TAB_CORRECAO_U[[Q_DIAS_U_PARC_TIR]:[V_FUT_U_CORC-02]],E$5, FALSE)</f>
        <v>#N/A</v>
      </c>
      <c r="F1796" s="22" t="e">
        <f>VLOOKUP($A1796,TAB_AMORTIZACAO_U[[Q_DIAS_U_PARC_TIR]:[V_FUT_U_PCPL-02]], F$5, FALSE)</f>
        <v>#N/A</v>
      </c>
      <c r="H1796" s="20">
        <f t="shared" si="142"/>
        <v>0</v>
      </c>
      <c r="I1796" s="21">
        <f t="shared" si="143"/>
        <v>0</v>
      </c>
      <c r="J1796" s="22" t="e">
        <f>VLOOKUP($A1796, TAB_JUROS_C[[DIAS_CORRIDOS]:[V_FUT_UTEIS]], J$5, FALSE)</f>
        <v>#N/A</v>
      </c>
      <c r="K1796" s="22" t="e">
        <f>VLOOKUP($A1796, TAB_CORRECAO_C[[DIAS_CORRIDOS]:[V_FUT_UTEIS]],K$5, FALSE)</f>
        <v>#N/A</v>
      </c>
      <c r="L1796" s="22" t="e">
        <f>VLOOKUP($A1796, TAB_AMORTIZACAO_C[[DIAS_CORRIDOS]:[V_FUT_UTEIS]], L$5, FALSE)</f>
        <v>#N/A</v>
      </c>
    </row>
    <row r="1797" spans="1:12">
      <c r="A1797" s="19">
        <f t="shared" si="144"/>
        <v>1791</v>
      </c>
      <c r="B1797" s="20">
        <f t="shared" si="140"/>
        <v>395.8504644527203</v>
      </c>
      <c r="C1797" s="21">
        <f t="shared" si="141"/>
        <v>395.8504644527203</v>
      </c>
      <c r="D1797" s="22">
        <f>VLOOKUP($A1797, TAB_JUROS_U[[Q_DIAS_U_PARC_TIR]:[V_FUT_U_JURS CENARIO]], D$5, FALSE)</f>
        <v>24.704026313350468</v>
      </c>
      <c r="E1797" s="22">
        <f>VLOOKUP($A1797,TAB_CORRECAO_U[[Q_DIAS_U_PARC_TIR]:[V_FUT_U_CORC-02]],E$5, FALSE)</f>
        <v>152.09478978749647</v>
      </c>
      <c r="F1797" s="22">
        <f>VLOOKUP($A1797,TAB_AMORTIZACAO_U[[Q_DIAS_U_PARC_TIR]:[V_FUT_U_PCPL-02]], F$5, FALSE)</f>
        <v>219.05164835187338</v>
      </c>
      <c r="H1797" s="20">
        <f t="shared" si="142"/>
        <v>0</v>
      </c>
      <c r="I1797" s="21">
        <f t="shared" si="143"/>
        <v>0</v>
      </c>
      <c r="J1797" s="22" t="e">
        <f>VLOOKUP($A1797, TAB_JUROS_C[[DIAS_CORRIDOS]:[V_FUT_UTEIS]], J$5, FALSE)</f>
        <v>#N/A</v>
      </c>
      <c r="K1797" s="22" t="e">
        <f>VLOOKUP($A1797, TAB_CORRECAO_C[[DIAS_CORRIDOS]:[V_FUT_UTEIS]],K$5, FALSE)</f>
        <v>#N/A</v>
      </c>
      <c r="L1797" s="22" t="e">
        <f>VLOOKUP($A1797, TAB_AMORTIZACAO_C[[DIAS_CORRIDOS]:[V_FUT_UTEIS]], L$5, FALSE)</f>
        <v>#N/A</v>
      </c>
    </row>
    <row r="1798" spans="1:12" hidden="1">
      <c r="A1798" s="19">
        <f t="shared" si="144"/>
        <v>1792</v>
      </c>
      <c r="B1798" s="20">
        <f t="shared" si="140"/>
        <v>0</v>
      </c>
      <c r="C1798" s="21">
        <f t="shared" si="141"/>
        <v>0</v>
      </c>
      <c r="D1798" s="22" t="e">
        <f>VLOOKUP($A1798, TAB_JUROS_U[[Q_DIAS_U_PARC_TIR]:[V_FUT_U_JURS CENARIO]], D$5, FALSE)</f>
        <v>#N/A</v>
      </c>
      <c r="E1798" s="22" t="e">
        <f>VLOOKUP($A1798,TAB_CORRECAO_U[[Q_DIAS_U_PARC_TIR]:[V_FUT_U_CORC-02]],E$5, FALSE)</f>
        <v>#N/A</v>
      </c>
      <c r="F1798" s="22" t="e">
        <f>VLOOKUP($A1798,TAB_AMORTIZACAO_U[[Q_DIAS_U_PARC_TIR]:[V_FUT_U_PCPL-02]], F$5, FALSE)</f>
        <v>#N/A</v>
      </c>
      <c r="H1798" s="20">
        <f t="shared" si="142"/>
        <v>0</v>
      </c>
      <c r="I1798" s="21">
        <f t="shared" si="143"/>
        <v>0</v>
      </c>
      <c r="J1798" s="22" t="e">
        <f>VLOOKUP($A1798, TAB_JUROS_C[[DIAS_CORRIDOS]:[V_FUT_UTEIS]], J$5, FALSE)</f>
        <v>#N/A</v>
      </c>
      <c r="K1798" s="22" t="e">
        <f>VLOOKUP($A1798, TAB_CORRECAO_C[[DIAS_CORRIDOS]:[V_FUT_UTEIS]],K$5, FALSE)</f>
        <v>#N/A</v>
      </c>
      <c r="L1798" s="22" t="e">
        <f>VLOOKUP($A1798, TAB_AMORTIZACAO_C[[DIAS_CORRIDOS]:[V_FUT_UTEIS]], L$5, FALSE)</f>
        <v>#N/A</v>
      </c>
    </row>
    <row r="1799" spans="1:12" hidden="1">
      <c r="A1799" s="19">
        <f t="shared" si="144"/>
        <v>1793</v>
      </c>
      <c r="B1799" s="20">
        <f t="shared" si="140"/>
        <v>0</v>
      </c>
      <c r="C1799" s="21">
        <f t="shared" si="141"/>
        <v>0</v>
      </c>
      <c r="D1799" s="22" t="e">
        <f>VLOOKUP($A1799, TAB_JUROS_U[[Q_DIAS_U_PARC_TIR]:[V_FUT_U_JURS CENARIO]], D$5, FALSE)</f>
        <v>#N/A</v>
      </c>
      <c r="E1799" s="22" t="e">
        <f>VLOOKUP($A1799,TAB_CORRECAO_U[[Q_DIAS_U_PARC_TIR]:[V_FUT_U_CORC-02]],E$5, FALSE)</f>
        <v>#N/A</v>
      </c>
      <c r="F1799" s="22" t="e">
        <f>VLOOKUP($A1799,TAB_AMORTIZACAO_U[[Q_DIAS_U_PARC_TIR]:[V_FUT_U_PCPL-02]], F$5, FALSE)</f>
        <v>#N/A</v>
      </c>
      <c r="H1799" s="20">
        <f t="shared" si="142"/>
        <v>0</v>
      </c>
      <c r="I1799" s="21">
        <f t="shared" si="143"/>
        <v>0</v>
      </c>
      <c r="J1799" s="22" t="e">
        <f>VLOOKUP($A1799, TAB_JUROS_C[[DIAS_CORRIDOS]:[V_FUT_UTEIS]], J$5, FALSE)</f>
        <v>#N/A</v>
      </c>
      <c r="K1799" s="22" t="e">
        <f>VLOOKUP($A1799, TAB_CORRECAO_C[[DIAS_CORRIDOS]:[V_FUT_UTEIS]],K$5, FALSE)</f>
        <v>#N/A</v>
      </c>
      <c r="L1799" s="22" t="e">
        <f>VLOOKUP($A1799, TAB_AMORTIZACAO_C[[DIAS_CORRIDOS]:[V_FUT_UTEIS]], L$5, FALSE)</f>
        <v>#N/A</v>
      </c>
    </row>
    <row r="1800" spans="1:12" hidden="1">
      <c r="A1800" s="19">
        <f t="shared" si="144"/>
        <v>1794</v>
      </c>
      <c r="B1800" s="20">
        <f t="shared" si="140"/>
        <v>0</v>
      </c>
      <c r="C1800" s="21">
        <f t="shared" si="141"/>
        <v>0</v>
      </c>
      <c r="D1800" s="22" t="e">
        <f>VLOOKUP($A1800, TAB_JUROS_U[[Q_DIAS_U_PARC_TIR]:[V_FUT_U_JURS CENARIO]], D$5, FALSE)</f>
        <v>#N/A</v>
      </c>
      <c r="E1800" s="22" t="e">
        <f>VLOOKUP($A1800,TAB_CORRECAO_U[[Q_DIAS_U_PARC_TIR]:[V_FUT_U_CORC-02]],E$5, FALSE)</f>
        <v>#N/A</v>
      </c>
      <c r="F1800" s="22" t="e">
        <f>VLOOKUP($A1800,TAB_AMORTIZACAO_U[[Q_DIAS_U_PARC_TIR]:[V_FUT_U_PCPL-02]], F$5, FALSE)</f>
        <v>#N/A</v>
      </c>
      <c r="H1800" s="20">
        <f t="shared" si="142"/>
        <v>0</v>
      </c>
      <c r="I1800" s="21">
        <f t="shared" si="143"/>
        <v>0</v>
      </c>
      <c r="J1800" s="22" t="e">
        <f>VLOOKUP($A1800, TAB_JUROS_C[[DIAS_CORRIDOS]:[V_FUT_UTEIS]], J$5, FALSE)</f>
        <v>#N/A</v>
      </c>
      <c r="K1800" s="22" t="e">
        <f>VLOOKUP($A1800, TAB_CORRECAO_C[[DIAS_CORRIDOS]:[V_FUT_UTEIS]],K$5, FALSE)</f>
        <v>#N/A</v>
      </c>
      <c r="L1800" s="22" t="e">
        <f>VLOOKUP($A1800, TAB_AMORTIZACAO_C[[DIAS_CORRIDOS]:[V_FUT_UTEIS]], L$5, FALSE)</f>
        <v>#N/A</v>
      </c>
    </row>
    <row r="1801" spans="1:12" hidden="1">
      <c r="A1801" s="19">
        <f t="shared" si="144"/>
        <v>1795</v>
      </c>
      <c r="B1801" s="20">
        <f t="shared" ref="B1801:B1864" si="145">IF(ISERROR(C1801), 0, C1801)</f>
        <v>0</v>
      </c>
      <c r="C1801" s="21">
        <f t="shared" ref="C1801:C1864" si="146">SUMIF(D1801:F1801, "&gt;0", D1801:F1801)</f>
        <v>0</v>
      </c>
      <c r="D1801" s="22" t="e">
        <f>VLOOKUP($A1801, TAB_JUROS_U[[Q_DIAS_U_PARC_TIR]:[V_FUT_U_JURS CENARIO]], D$5, FALSE)</f>
        <v>#N/A</v>
      </c>
      <c r="E1801" s="22" t="e">
        <f>VLOOKUP($A1801,TAB_CORRECAO_U[[Q_DIAS_U_PARC_TIR]:[V_FUT_U_CORC-02]],E$5, FALSE)</f>
        <v>#N/A</v>
      </c>
      <c r="F1801" s="22" t="e">
        <f>VLOOKUP($A1801,TAB_AMORTIZACAO_U[[Q_DIAS_U_PARC_TIR]:[V_FUT_U_PCPL-02]], F$5, FALSE)</f>
        <v>#N/A</v>
      </c>
      <c r="H1801" s="20">
        <f t="shared" ref="H1801:H1864" si="147">IF(ISERROR(I1801), 0, I1801)</f>
        <v>0</v>
      </c>
      <c r="I1801" s="21">
        <f t="shared" ref="I1801:I1864" si="148">SUMIF(J1801:L1801, "&gt;0", J1801:L1801)</f>
        <v>0</v>
      </c>
      <c r="J1801" s="22" t="e">
        <f>VLOOKUP($A1801, TAB_JUROS_C[[DIAS_CORRIDOS]:[V_FUT_UTEIS]], J$5, FALSE)</f>
        <v>#N/A</v>
      </c>
      <c r="K1801" s="22" t="e">
        <f>VLOOKUP($A1801, TAB_CORRECAO_C[[DIAS_CORRIDOS]:[V_FUT_UTEIS]],K$5, FALSE)</f>
        <v>#N/A</v>
      </c>
      <c r="L1801" s="22" t="e">
        <f>VLOOKUP($A1801, TAB_AMORTIZACAO_C[[DIAS_CORRIDOS]:[V_FUT_UTEIS]], L$5, FALSE)</f>
        <v>#N/A</v>
      </c>
    </row>
    <row r="1802" spans="1:12" hidden="1">
      <c r="A1802" s="19">
        <f t="shared" ref="A1802:A1865" si="149">A1801+1</f>
        <v>1796</v>
      </c>
      <c r="B1802" s="20">
        <f t="shared" si="145"/>
        <v>0</v>
      </c>
      <c r="C1802" s="21">
        <f t="shared" si="146"/>
        <v>0</v>
      </c>
      <c r="D1802" s="22" t="e">
        <f>VLOOKUP($A1802, TAB_JUROS_U[[Q_DIAS_U_PARC_TIR]:[V_FUT_U_JURS CENARIO]], D$5, FALSE)</f>
        <v>#N/A</v>
      </c>
      <c r="E1802" s="22" t="e">
        <f>VLOOKUP($A1802,TAB_CORRECAO_U[[Q_DIAS_U_PARC_TIR]:[V_FUT_U_CORC-02]],E$5, FALSE)</f>
        <v>#N/A</v>
      </c>
      <c r="F1802" s="22" t="e">
        <f>VLOOKUP($A1802,TAB_AMORTIZACAO_U[[Q_DIAS_U_PARC_TIR]:[V_FUT_U_PCPL-02]], F$5, FALSE)</f>
        <v>#N/A</v>
      </c>
      <c r="H1802" s="20">
        <f t="shared" si="147"/>
        <v>0</v>
      </c>
      <c r="I1802" s="21">
        <f t="shared" si="148"/>
        <v>0</v>
      </c>
      <c r="J1802" s="22" t="e">
        <f>VLOOKUP($A1802, TAB_JUROS_C[[DIAS_CORRIDOS]:[V_FUT_UTEIS]], J$5, FALSE)</f>
        <v>#N/A</v>
      </c>
      <c r="K1802" s="22" t="e">
        <f>VLOOKUP($A1802, TAB_CORRECAO_C[[DIAS_CORRIDOS]:[V_FUT_UTEIS]],K$5, FALSE)</f>
        <v>#N/A</v>
      </c>
      <c r="L1802" s="22" t="e">
        <f>VLOOKUP($A1802, TAB_AMORTIZACAO_C[[DIAS_CORRIDOS]:[V_FUT_UTEIS]], L$5, FALSE)</f>
        <v>#N/A</v>
      </c>
    </row>
    <row r="1803" spans="1:12" hidden="1">
      <c r="A1803" s="19">
        <f t="shared" si="149"/>
        <v>1797</v>
      </c>
      <c r="B1803" s="20">
        <f t="shared" si="145"/>
        <v>0</v>
      </c>
      <c r="C1803" s="21">
        <f t="shared" si="146"/>
        <v>0</v>
      </c>
      <c r="D1803" s="22" t="e">
        <f>VLOOKUP($A1803, TAB_JUROS_U[[Q_DIAS_U_PARC_TIR]:[V_FUT_U_JURS CENARIO]], D$5, FALSE)</f>
        <v>#N/A</v>
      </c>
      <c r="E1803" s="22" t="e">
        <f>VLOOKUP($A1803,TAB_CORRECAO_U[[Q_DIAS_U_PARC_TIR]:[V_FUT_U_CORC-02]],E$5, FALSE)</f>
        <v>#N/A</v>
      </c>
      <c r="F1803" s="22" t="e">
        <f>VLOOKUP($A1803,TAB_AMORTIZACAO_U[[Q_DIAS_U_PARC_TIR]:[V_FUT_U_PCPL-02]], F$5, FALSE)</f>
        <v>#N/A</v>
      </c>
      <c r="H1803" s="20">
        <f t="shared" si="147"/>
        <v>0</v>
      </c>
      <c r="I1803" s="21">
        <f t="shared" si="148"/>
        <v>0</v>
      </c>
      <c r="J1803" s="22" t="e">
        <f>VLOOKUP($A1803, TAB_JUROS_C[[DIAS_CORRIDOS]:[V_FUT_UTEIS]], J$5, FALSE)</f>
        <v>#N/A</v>
      </c>
      <c r="K1803" s="22" t="e">
        <f>VLOOKUP($A1803, TAB_CORRECAO_C[[DIAS_CORRIDOS]:[V_FUT_UTEIS]],K$5, FALSE)</f>
        <v>#N/A</v>
      </c>
      <c r="L1803" s="22" t="e">
        <f>VLOOKUP($A1803, TAB_AMORTIZACAO_C[[DIAS_CORRIDOS]:[V_FUT_UTEIS]], L$5, FALSE)</f>
        <v>#N/A</v>
      </c>
    </row>
    <row r="1804" spans="1:12" hidden="1">
      <c r="A1804" s="19">
        <f t="shared" si="149"/>
        <v>1798</v>
      </c>
      <c r="B1804" s="20">
        <f t="shared" si="145"/>
        <v>0</v>
      </c>
      <c r="C1804" s="21">
        <f t="shared" si="146"/>
        <v>0</v>
      </c>
      <c r="D1804" s="22" t="e">
        <f>VLOOKUP($A1804, TAB_JUROS_U[[Q_DIAS_U_PARC_TIR]:[V_FUT_U_JURS CENARIO]], D$5, FALSE)</f>
        <v>#N/A</v>
      </c>
      <c r="E1804" s="22" t="e">
        <f>VLOOKUP($A1804,TAB_CORRECAO_U[[Q_DIAS_U_PARC_TIR]:[V_FUT_U_CORC-02]],E$5, FALSE)</f>
        <v>#N/A</v>
      </c>
      <c r="F1804" s="22" t="e">
        <f>VLOOKUP($A1804,TAB_AMORTIZACAO_U[[Q_DIAS_U_PARC_TIR]:[V_FUT_U_PCPL-02]], F$5, FALSE)</f>
        <v>#N/A</v>
      </c>
      <c r="H1804" s="20">
        <f t="shared" si="147"/>
        <v>0</v>
      </c>
      <c r="I1804" s="21">
        <f t="shared" si="148"/>
        <v>0</v>
      </c>
      <c r="J1804" s="22" t="e">
        <f>VLOOKUP($A1804, TAB_JUROS_C[[DIAS_CORRIDOS]:[V_FUT_UTEIS]], J$5, FALSE)</f>
        <v>#N/A</v>
      </c>
      <c r="K1804" s="22" t="e">
        <f>VLOOKUP($A1804, TAB_CORRECAO_C[[DIAS_CORRIDOS]:[V_FUT_UTEIS]],K$5, FALSE)</f>
        <v>#N/A</v>
      </c>
      <c r="L1804" s="22" t="e">
        <f>VLOOKUP($A1804, TAB_AMORTIZACAO_C[[DIAS_CORRIDOS]:[V_FUT_UTEIS]], L$5, FALSE)</f>
        <v>#N/A</v>
      </c>
    </row>
    <row r="1805" spans="1:12" hidden="1">
      <c r="A1805" s="19">
        <f t="shared" si="149"/>
        <v>1799</v>
      </c>
      <c r="B1805" s="20">
        <f t="shared" si="145"/>
        <v>0</v>
      </c>
      <c r="C1805" s="21">
        <f t="shared" si="146"/>
        <v>0</v>
      </c>
      <c r="D1805" s="22" t="e">
        <f>VLOOKUP($A1805, TAB_JUROS_U[[Q_DIAS_U_PARC_TIR]:[V_FUT_U_JURS CENARIO]], D$5, FALSE)</f>
        <v>#N/A</v>
      </c>
      <c r="E1805" s="22" t="e">
        <f>VLOOKUP($A1805,TAB_CORRECAO_U[[Q_DIAS_U_PARC_TIR]:[V_FUT_U_CORC-02]],E$5, FALSE)</f>
        <v>#N/A</v>
      </c>
      <c r="F1805" s="22" t="e">
        <f>VLOOKUP($A1805,TAB_AMORTIZACAO_U[[Q_DIAS_U_PARC_TIR]:[V_FUT_U_PCPL-02]], F$5, FALSE)</f>
        <v>#N/A</v>
      </c>
      <c r="H1805" s="20">
        <f t="shared" si="147"/>
        <v>0</v>
      </c>
      <c r="I1805" s="21">
        <f t="shared" si="148"/>
        <v>0</v>
      </c>
      <c r="J1805" s="22" t="e">
        <f>VLOOKUP($A1805, TAB_JUROS_C[[DIAS_CORRIDOS]:[V_FUT_UTEIS]], J$5, FALSE)</f>
        <v>#N/A</v>
      </c>
      <c r="K1805" s="22" t="e">
        <f>VLOOKUP($A1805, TAB_CORRECAO_C[[DIAS_CORRIDOS]:[V_FUT_UTEIS]],K$5, FALSE)</f>
        <v>#N/A</v>
      </c>
      <c r="L1805" s="22" t="e">
        <f>VLOOKUP($A1805, TAB_AMORTIZACAO_C[[DIAS_CORRIDOS]:[V_FUT_UTEIS]], L$5, FALSE)</f>
        <v>#N/A</v>
      </c>
    </row>
    <row r="1806" spans="1:12" hidden="1">
      <c r="A1806" s="19">
        <f t="shared" si="149"/>
        <v>1800</v>
      </c>
      <c r="B1806" s="20">
        <f t="shared" si="145"/>
        <v>0</v>
      </c>
      <c r="C1806" s="21">
        <f t="shared" si="146"/>
        <v>0</v>
      </c>
      <c r="D1806" s="22" t="e">
        <f>VLOOKUP($A1806, TAB_JUROS_U[[Q_DIAS_U_PARC_TIR]:[V_FUT_U_JURS CENARIO]], D$5, FALSE)</f>
        <v>#N/A</v>
      </c>
      <c r="E1806" s="22" t="e">
        <f>VLOOKUP($A1806,TAB_CORRECAO_U[[Q_DIAS_U_PARC_TIR]:[V_FUT_U_CORC-02]],E$5, FALSE)</f>
        <v>#N/A</v>
      </c>
      <c r="F1806" s="22" t="e">
        <f>VLOOKUP($A1806,TAB_AMORTIZACAO_U[[Q_DIAS_U_PARC_TIR]:[V_FUT_U_PCPL-02]], F$5, FALSE)</f>
        <v>#N/A</v>
      </c>
      <c r="H1806" s="20">
        <f t="shared" si="147"/>
        <v>0</v>
      </c>
      <c r="I1806" s="21">
        <f t="shared" si="148"/>
        <v>0</v>
      </c>
      <c r="J1806" s="22" t="e">
        <f>VLOOKUP($A1806, TAB_JUROS_C[[DIAS_CORRIDOS]:[V_FUT_UTEIS]], J$5, FALSE)</f>
        <v>#N/A</v>
      </c>
      <c r="K1806" s="22" t="e">
        <f>VLOOKUP($A1806, TAB_CORRECAO_C[[DIAS_CORRIDOS]:[V_FUT_UTEIS]],K$5, FALSE)</f>
        <v>#N/A</v>
      </c>
      <c r="L1806" s="22" t="e">
        <f>VLOOKUP($A1806, TAB_AMORTIZACAO_C[[DIAS_CORRIDOS]:[V_FUT_UTEIS]], L$5, FALSE)</f>
        <v>#N/A</v>
      </c>
    </row>
    <row r="1807" spans="1:12" hidden="1">
      <c r="A1807" s="19">
        <f t="shared" si="149"/>
        <v>1801</v>
      </c>
      <c r="B1807" s="20">
        <f t="shared" si="145"/>
        <v>0</v>
      </c>
      <c r="C1807" s="21">
        <f t="shared" si="146"/>
        <v>0</v>
      </c>
      <c r="D1807" s="22" t="e">
        <f>VLOOKUP($A1807, TAB_JUROS_U[[Q_DIAS_U_PARC_TIR]:[V_FUT_U_JURS CENARIO]], D$5, FALSE)</f>
        <v>#N/A</v>
      </c>
      <c r="E1807" s="22" t="e">
        <f>VLOOKUP($A1807,TAB_CORRECAO_U[[Q_DIAS_U_PARC_TIR]:[V_FUT_U_CORC-02]],E$5, FALSE)</f>
        <v>#N/A</v>
      </c>
      <c r="F1807" s="22" t="e">
        <f>VLOOKUP($A1807,TAB_AMORTIZACAO_U[[Q_DIAS_U_PARC_TIR]:[V_FUT_U_PCPL-02]], F$5, FALSE)</f>
        <v>#N/A</v>
      </c>
      <c r="H1807" s="20">
        <f t="shared" si="147"/>
        <v>0</v>
      </c>
      <c r="I1807" s="21">
        <f t="shared" si="148"/>
        <v>0</v>
      </c>
      <c r="J1807" s="22" t="e">
        <f>VLOOKUP($A1807, TAB_JUROS_C[[DIAS_CORRIDOS]:[V_FUT_UTEIS]], J$5, FALSE)</f>
        <v>#N/A</v>
      </c>
      <c r="K1807" s="22" t="e">
        <f>VLOOKUP($A1807, TAB_CORRECAO_C[[DIAS_CORRIDOS]:[V_FUT_UTEIS]],K$5, FALSE)</f>
        <v>#N/A</v>
      </c>
      <c r="L1807" s="22" t="e">
        <f>VLOOKUP($A1807, TAB_AMORTIZACAO_C[[DIAS_CORRIDOS]:[V_FUT_UTEIS]], L$5, FALSE)</f>
        <v>#N/A</v>
      </c>
    </row>
    <row r="1808" spans="1:12" hidden="1">
      <c r="A1808" s="19">
        <f t="shared" si="149"/>
        <v>1802</v>
      </c>
      <c r="B1808" s="20">
        <f t="shared" si="145"/>
        <v>0</v>
      </c>
      <c r="C1808" s="21">
        <f t="shared" si="146"/>
        <v>0</v>
      </c>
      <c r="D1808" s="22" t="e">
        <f>VLOOKUP($A1808, TAB_JUROS_U[[Q_DIAS_U_PARC_TIR]:[V_FUT_U_JURS CENARIO]], D$5, FALSE)</f>
        <v>#N/A</v>
      </c>
      <c r="E1808" s="22" t="e">
        <f>VLOOKUP($A1808,TAB_CORRECAO_U[[Q_DIAS_U_PARC_TIR]:[V_FUT_U_CORC-02]],E$5, FALSE)</f>
        <v>#N/A</v>
      </c>
      <c r="F1808" s="22" t="e">
        <f>VLOOKUP($A1808,TAB_AMORTIZACAO_U[[Q_DIAS_U_PARC_TIR]:[V_FUT_U_PCPL-02]], F$5, FALSE)</f>
        <v>#N/A</v>
      </c>
      <c r="H1808" s="20">
        <f t="shared" si="147"/>
        <v>0</v>
      </c>
      <c r="I1808" s="21">
        <f t="shared" si="148"/>
        <v>0</v>
      </c>
      <c r="J1808" s="22" t="e">
        <f>VLOOKUP($A1808, TAB_JUROS_C[[DIAS_CORRIDOS]:[V_FUT_UTEIS]], J$5, FALSE)</f>
        <v>#N/A</v>
      </c>
      <c r="K1808" s="22" t="e">
        <f>VLOOKUP($A1808, TAB_CORRECAO_C[[DIAS_CORRIDOS]:[V_FUT_UTEIS]],K$5, FALSE)</f>
        <v>#N/A</v>
      </c>
      <c r="L1808" s="22" t="e">
        <f>VLOOKUP($A1808, TAB_AMORTIZACAO_C[[DIAS_CORRIDOS]:[V_FUT_UTEIS]], L$5, FALSE)</f>
        <v>#N/A</v>
      </c>
    </row>
    <row r="1809" spans="1:12" hidden="1">
      <c r="A1809" s="19">
        <f t="shared" si="149"/>
        <v>1803</v>
      </c>
      <c r="B1809" s="20">
        <f t="shared" si="145"/>
        <v>0</v>
      </c>
      <c r="C1809" s="21">
        <f t="shared" si="146"/>
        <v>0</v>
      </c>
      <c r="D1809" s="22" t="e">
        <f>VLOOKUP($A1809, TAB_JUROS_U[[Q_DIAS_U_PARC_TIR]:[V_FUT_U_JURS CENARIO]], D$5, FALSE)</f>
        <v>#N/A</v>
      </c>
      <c r="E1809" s="22" t="e">
        <f>VLOOKUP($A1809,TAB_CORRECAO_U[[Q_DIAS_U_PARC_TIR]:[V_FUT_U_CORC-02]],E$5, FALSE)</f>
        <v>#N/A</v>
      </c>
      <c r="F1809" s="22" t="e">
        <f>VLOOKUP($A1809,TAB_AMORTIZACAO_U[[Q_DIAS_U_PARC_TIR]:[V_FUT_U_PCPL-02]], F$5, FALSE)</f>
        <v>#N/A</v>
      </c>
      <c r="H1809" s="20">
        <f t="shared" si="147"/>
        <v>0</v>
      </c>
      <c r="I1809" s="21">
        <f t="shared" si="148"/>
        <v>0</v>
      </c>
      <c r="J1809" s="22" t="e">
        <f>VLOOKUP($A1809, TAB_JUROS_C[[DIAS_CORRIDOS]:[V_FUT_UTEIS]], J$5, FALSE)</f>
        <v>#N/A</v>
      </c>
      <c r="K1809" s="22" t="e">
        <f>VLOOKUP($A1809, TAB_CORRECAO_C[[DIAS_CORRIDOS]:[V_FUT_UTEIS]],K$5, FALSE)</f>
        <v>#N/A</v>
      </c>
      <c r="L1809" s="22" t="e">
        <f>VLOOKUP($A1809, TAB_AMORTIZACAO_C[[DIAS_CORRIDOS]:[V_FUT_UTEIS]], L$5, FALSE)</f>
        <v>#N/A</v>
      </c>
    </row>
    <row r="1810" spans="1:12" hidden="1">
      <c r="A1810" s="19">
        <f t="shared" si="149"/>
        <v>1804</v>
      </c>
      <c r="B1810" s="20">
        <f t="shared" si="145"/>
        <v>0</v>
      </c>
      <c r="C1810" s="21">
        <f t="shared" si="146"/>
        <v>0</v>
      </c>
      <c r="D1810" s="22" t="e">
        <f>VLOOKUP($A1810, TAB_JUROS_U[[Q_DIAS_U_PARC_TIR]:[V_FUT_U_JURS CENARIO]], D$5, FALSE)</f>
        <v>#N/A</v>
      </c>
      <c r="E1810" s="22" t="e">
        <f>VLOOKUP($A1810,TAB_CORRECAO_U[[Q_DIAS_U_PARC_TIR]:[V_FUT_U_CORC-02]],E$5, FALSE)</f>
        <v>#N/A</v>
      </c>
      <c r="F1810" s="22" t="e">
        <f>VLOOKUP($A1810,TAB_AMORTIZACAO_U[[Q_DIAS_U_PARC_TIR]:[V_FUT_U_PCPL-02]], F$5, FALSE)</f>
        <v>#N/A</v>
      </c>
      <c r="H1810" s="20">
        <f t="shared" si="147"/>
        <v>0</v>
      </c>
      <c r="I1810" s="21">
        <f t="shared" si="148"/>
        <v>0</v>
      </c>
      <c r="J1810" s="22" t="e">
        <f>VLOOKUP($A1810, TAB_JUROS_C[[DIAS_CORRIDOS]:[V_FUT_UTEIS]], J$5, FALSE)</f>
        <v>#N/A</v>
      </c>
      <c r="K1810" s="22" t="e">
        <f>VLOOKUP($A1810, TAB_CORRECAO_C[[DIAS_CORRIDOS]:[V_FUT_UTEIS]],K$5, FALSE)</f>
        <v>#N/A</v>
      </c>
      <c r="L1810" s="22" t="e">
        <f>VLOOKUP($A1810, TAB_AMORTIZACAO_C[[DIAS_CORRIDOS]:[V_FUT_UTEIS]], L$5, FALSE)</f>
        <v>#N/A</v>
      </c>
    </row>
    <row r="1811" spans="1:12" hidden="1">
      <c r="A1811" s="19">
        <f t="shared" si="149"/>
        <v>1805</v>
      </c>
      <c r="B1811" s="20">
        <f t="shared" si="145"/>
        <v>0</v>
      </c>
      <c r="C1811" s="21">
        <f t="shared" si="146"/>
        <v>0</v>
      </c>
      <c r="D1811" s="22" t="e">
        <f>VLOOKUP($A1811, TAB_JUROS_U[[Q_DIAS_U_PARC_TIR]:[V_FUT_U_JURS CENARIO]], D$5, FALSE)</f>
        <v>#N/A</v>
      </c>
      <c r="E1811" s="22" t="e">
        <f>VLOOKUP($A1811,TAB_CORRECAO_U[[Q_DIAS_U_PARC_TIR]:[V_FUT_U_CORC-02]],E$5, FALSE)</f>
        <v>#N/A</v>
      </c>
      <c r="F1811" s="22" t="e">
        <f>VLOOKUP($A1811,TAB_AMORTIZACAO_U[[Q_DIAS_U_PARC_TIR]:[V_FUT_U_PCPL-02]], F$5, FALSE)</f>
        <v>#N/A</v>
      </c>
      <c r="H1811" s="20">
        <f t="shared" si="147"/>
        <v>0</v>
      </c>
      <c r="I1811" s="21">
        <f t="shared" si="148"/>
        <v>0</v>
      </c>
      <c r="J1811" s="22" t="e">
        <f>VLOOKUP($A1811, TAB_JUROS_C[[DIAS_CORRIDOS]:[V_FUT_UTEIS]], J$5, FALSE)</f>
        <v>#N/A</v>
      </c>
      <c r="K1811" s="22" t="e">
        <f>VLOOKUP($A1811, TAB_CORRECAO_C[[DIAS_CORRIDOS]:[V_FUT_UTEIS]],K$5, FALSE)</f>
        <v>#N/A</v>
      </c>
      <c r="L1811" s="22" t="e">
        <f>VLOOKUP($A1811, TAB_AMORTIZACAO_C[[DIAS_CORRIDOS]:[V_FUT_UTEIS]], L$5, FALSE)</f>
        <v>#N/A</v>
      </c>
    </row>
    <row r="1812" spans="1:12" hidden="1">
      <c r="A1812" s="19">
        <f t="shared" si="149"/>
        <v>1806</v>
      </c>
      <c r="B1812" s="20">
        <f t="shared" si="145"/>
        <v>0</v>
      </c>
      <c r="C1812" s="21">
        <f t="shared" si="146"/>
        <v>0</v>
      </c>
      <c r="D1812" s="22" t="e">
        <f>VLOOKUP($A1812, TAB_JUROS_U[[Q_DIAS_U_PARC_TIR]:[V_FUT_U_JURS CENARIO]], D$5, FALSE)</f>
        <v>#N/A</v>
      </c>
      <c r="E1812" s="22" t="e">
        <f>VLOOKUP($A1812,TAB_CORRECAO_U[[Q_DIAS_U_PARC_TIR]:[V_FUT_U_CORC-02]],E$5, FALSE)</f>
        <v>#N/A</v>
      </c>
      <c r="F1812" s="22" t="e">
        <f>VLOOKUP($A1812,TAB_AMORTIZACAO_U[[Q_DIAS_U_PARC_TIR]:[V_FUT_U_PCPL-02]], F$5, FALSE)</f>
        <v>#N/A</v>
      </c>
      <c r="H1812" s="20">
        <f t="shared" si="147"/>
        <v>0</v>
      </c>
      <c r="I1812" s="21">
        <f t="shared" si="148"/>
        <v>0</v>
      </c>
      <c r="J1812" s="22" t="e">
        <f>VLOOKUP($A1812, TAB_JUROS_C[[DIAS_CORRIDOS]:[V_FUT_UTEIS]], J$5, FALSE)</f>
        <v>#N/A</v>
      </c>
      <c r="K1812" s="22" t="e">
        <f>VLOOKUP($A1812, TAB_CORRECAO_C[[DIAS_CORRIDOS]:[V_FUT_UTEIS]],K$5, FALSE)</f>
        <v>#N/A</v>
      </c>
      <c r="L1812" s="22" t="e">
        <f>VLOOKUP($A1812, TAB_AMORTIZACAO_C[[DIAS_CORRIDOS]:[V_FUT_UTEIS]], L$5, FALSE)</f>
        <v>#N/A</v>
      </c>
    </row>
    <row r="1813" spans="1:12" hidden="1">
      <c r="A1813" s="19">
        <f t="shared" si="149"/>
        <v>1807</v>
      </c>
      <c r="B1813" s="20">
        <f t="shared" si="145"/>
        <v>0</v>
      </c>
      <c r="C1813" s="21">
        <f t="shared" si="146"/>
        <v>0</v>
      </c>
      <c r="D1813" s="22" t="e">
        <f>VLOOKUP($A1813, TAB_JUROS_U[[Q_DIAS_U_PARC_TIR]:[V_FUT_U_JURS CENARIO]], D$5, FALSE)</f>
        <v>#N/A</v>
      </c>
      <c r="E1813" s="22" t="e">
        <f>VLOOKUP($A1813,TAB_CORRECAO_U[[Q_DIAS_U_PARC_TIR]:[V_FUT_U_CORC-02]],E$5, FALSE)</f>
        <v>#N/A</v>
      </c>
      <c r="F1813" s="22" t="e">
        <f>VLOOKUP($A1813,TAB_AMORTIZACAO_U[[Q_DIAS_U_PARC_TIR]:[V_FUT_U_PCPL-02]], F$5, FALSE)</f>
        <v>#N/A</v>
      </c>
      <c r="H1813" s="20">
        <f t="shared" si="147"/>
        <v>659.52327250001122</v>
      </c>
      <c r="I1813" s="21">
        <f t="shared" si="148"/>
        <v>659.52327250001122</v>
      </c>
      <c r="J1813" s="22">
        <f>VLOOKUP($A1813, TAB_JUROS_C[[DIAS_CORRIDOS]:[V_FUT_UTEIS]], J$5, FALSE)</f>
        <v>47.369795314230906</v>
      </c>
      <c r="K1813" s="22">
        <f>VLOOKUP($A1813, TAB_CORRECAO_C[[DIAS_CORRIDOS]:[V_FUT_UTEIS]],K$5, FALSE)</f>
        <v>283.83160760406366</v>
      </c>
      <c r="L1813" s="22">
        <f>VLOOKUP($A1813, TAB_AMORTIZACAO_C[[DIAS_CORRIDOS]:[V_FUT_UTEIS]], L$5, FALSE)</f>
        <v>328.32186958171667</v>
      </c>
    </row>
    <row r="1814" spans="1:12" hidden="1">
      <c r="A1814" s="19">
        <f t="shared" si="149"/>
        <v>1808</v>
      </c>
      <c r="B1814" s="20">
        <f t="shared" si="145"/>
        <v>0</v>
      </c>
      <c r="C1814" s="21">
        <f t="shared" si="146"/>
        <v>0</v>
      </c>
      <c r="D1814" s="22" t="e">
        <f>VLOOKUP($A1814, TAB_JUROS_U[[Q_DIAS_U_PARC_TIR]:[V_FUT_U_JURS CENARIO]], D$5, FALSE)</f>
        <v>#N/A</v>
      </c>
      <c r="E1814" s="22" t="e">
        <f>VLOOKUP($A1814,TAB_CORRECAO_U[[Q_DIAS_U_PARC_TIR]:[V_FUT_U_CORC-02]],E$5, FALSE)</f>
        <v>#N/A</v>
      </c>
      <c r="F1814" s="22" t="e">
        <f>VLOOKUP($A1814,TAB_AMORTIZACAO_U[[Q_DIAS_U_PARC_TIR]:[V_FUT_U_PCPL-02]], F$5, FALSE)</f>
        <v>#N/A</v>
      </c>
      <c r="H1814" s="20">
        <f t="shared" si="147"/>
        <v>0</v>
      </c>
      <c r="I1814" s="21">
        <f t="shared" si="148"/>
        <v>0</v>
      </c>
      <c r="J1814" s="22" t="e">
        <f>VLOOKUP($A1814, TAB_JUROS_C[[DIAS_CORRIDOS]:[V_FUT_UTEIS]], J$5, FALSE)</f>
        <v>#N/A</v>
      </c>
      <c r="K1814" s="22" t="e">
        <f>VLOOKUP($A1814, TAB_CORRECAO_C[[DIAS_CORRIDOS]:[V_FUT_UTEIS]],K$5, FALSE)</f>
        <v>#N/A</v>
      </c>
      <c r="L1814" s="22" t="e">
        <f>VLOOKUP($A1814, TAB_AMORTIZACAO_C[[DIAS_CORRIDOS]:[V_FUT_UTEIS]], L$5, FALSE)</f>
        <v>#N/A</v>
      </c>
    </row>
    <row r="1815" spans="1:12">
      <c r="A1815" s="19">
        <f t="shared" si="149"/>
        <v>1809</v>
      </c>
      <c r="B1815" s="20">
        <f t="shared" si="145"/>
        <v>359.09924625351624</v>
      </c>
      <c r="C1815" s="21">
        <f t="shared" si="146"/>
        <v>359.09924625351624</v>
      </c>
      <c r="D1815" s="22">
        <f>VLOOKUP($A1815, TAB_JUROS_U[[Q_DIAS_U_PARC_TIR]:[V_FUT_U_JURS CENARIO]], D$5, FALSE)</f>
        <v>19.556694452362194</v>
      </c>
      <c r="E1815" s="22">
        <f>VLOOKUP($A1815,TAB_CORRECAO_U[[Q_DIAS_U_PARC_TIR]:[V_FUT_U_CORC-02]],E$5, FALSE)</f>
        <v>120.57417900632473</v>
      </c>
      <c r="F1815" s="22">
        <f>VLOOKUP($A1815,TAB_AMORTIZACAO_U[[Q_DIAS_U_PARC_TIR]:[V_FUT_U_PCPL-02]], F$5, FALSE)</f>
        <v>218.96837279482932</v>
      </c>
      <c r="H1815" s="20">
        <f t="shared" si="147"/>
        <v>0</v>
      </c>
      <c r="I1815" s="21">
        <f t="shared" si="148"/>
        <v>0</v>
      </c>
      <c r="J1815" s="22" t="e">
        <f>VLOOKUP($A1815, TAB_JUROS_C[[DIAS_CORRIDOS]:[V_FUT_UTEIS]], J$5, FALSE)</f>
        <v>#N/A</v>
      </c>
      <c r="K1815" s="22" t="e">
        <f>VLOOKUP($A1815, TAB_CORRECAO_C[[DIAS_CORRIDOS]:[V_FUT_UTEIS]],K$5, FALSE)</f>
        <v>#N/A</v>
      </c>
      <c r="L1815" s="22" t="e">
        <f>VLOOKUP($A1815, TAB_AMORTIZACAO_C[[DIAS_CORRIDOS]:[V_FUT_UTEIS]], L$5, FALSE)</f>
        <v>#N/A</v>
      </c>
    </row>
    <row r="1816" spans="1:12" hidden="1">
      <c r="A1816" s="19">
        <f t="shared" si="149"/>
        <v>1810</v>
      </c>
      <c r="B1816" s="20">
        <f t="shared" si="145"/>
        <v>0</v>
      </c>
      <c r="C1816" s="21">
        <f t="shared" si="146"/>
        <v>0</v>
      </c>
      <c r="D1816" s="22" t="e">
        <f>VLOOKUP($A1816, TAB_JUROS_U[[Q_DIAS_U_PARC_TIR]:[V_FUT_U_JURS CENARIO]], D$5, FALSE)</f>
        <v>#N/A</v>
      </c>
      <c r="E1816" s="22" t="e">
        <f>VLOOKUP($A1816,TAB_CORRECAO_U[[Q_DIAS_U_PARC_TIR]:[V_FUT_U_CORC-02]],E$5, FALSE)</f>
        <v>#N/A</v>
      </c>
      <c r="F1816" s="22" t="e">
        <f>VLOOKUP($A1816,TAB_AMORTIZACAO_U[[Q_DIAS_U_PARC_TIR]:[V_FUT_U_PCPL-02]], F$5, FALSE)</f>
        <v>#N/A</v>
      </c>
      <c r="H1816" s="20">
        <f t="shared" si="147"/>
        <v>0</v>
      </c>
      <c r="I1816" s="21">
        <f t="shared" si="148"/>
        <v>0</v>
      </c>
      <c r="J1816" s="22" t="e">
        <f>VLOOKUP($A1816, TAB_JUROS_C[[DIAS_CORRIDOS]:[V_FUT_UTEIS]], J$5, FALSE)</f>
        <v>#N/A</v>
      </c>
      <c r="K1816" s="22" t="e">
        <f>VLOOKUP($A1816, TAB_CORRECAO_C[[DIAS_CORRIDOS]:[V_FUT_UTEIS]],K$5, FALSE)</f>
        <v>#N/A</v>
      </c>
      <c r="L1816" s="22" t="e">
        <f>VLOOKUP($A1816, TAB_AMORTIZACAO_C[[DIAS_CORRIDOS]:[V_FUT_UTEIS]], L$5, FALSE)</f>
        <v>#N/A</v>
      </c>
    </row>
    <row r="1817" spans="1:12" hidden="1">
      <c r="A1817" s="19">
        <f t="shared" si="149"/>
        <v>1811</v>
      </c>
      <c r="B1817" s="20">
        <f t="shared" si="145"/>
        <v>0</v>
      </c>
      <c r="C1817" s="21">
        <f t="shared" si="146"/>
        <v>0</v>
      </c>
      <c r="D1817" s="22" t="e">
        <f>VLOOKUP($A1817, TAB_JUROS_U[[Q_DIAS_U_PARC_TIR]:[V_FUT_U_JURS CENARIO]], D$5, FALSE)</f>
        <v>#N/A</v>
      </c>
      <c r="E1817" s="22" t="e">
        <f>VLOOKUP($A1817,TAB_CORRECAO_U[[Q_DIAS_U_PARC_TIR]:[V_FUT_U_CORC-02]],E$5, FALSE)</f>
        <v>#N/A</v>
      </c>
      <c r="F1817" s="22" t="e">
        <f>VLOOKUP($A1817,TAB_AMORTIZACAO_U[[Q_DIAS_U_PARC_TIR]:[V_FUT_U_PCPL-02]], F$5, FALSE)</f>
        <v>#N/A</v>
      </c>
      <c r="H1817" s="20">
        <f t="shared" si="147"/>
        <v>0</v>
      </c>
      <c r="I1817" s="21">
        <f t="shared" si="148"/>
        <v>0</v>
      </c>
      <c r="J1817" s="22" t="e">
        <f>VLOOKUP($A1817, TAB_JUROS_C[[DIAS_CORRIDOS]:[V_FUT_UTEIS]], J$5, FALSE)</f>
        <v>#N/A</v>
      </c>
      <c r="K1817" s="22" t="e">
        <f>VLOOKUP($A1817, TAB_CORRECAO_C[[DIAS_CORRIDOS]:[V_FUT_UTEIS]],K$5, FALSE)</f>
        <v>#N/A</v>
      </c>
      <c r="L1817" s="22" t="e">
        <f>VLOOKUP($A1817, TAB_AMORTIZACAO_C[[DIAS_CORRIDOS]:[V_FUT_UTEIS]], L$5, FALSE)</f>
        <v>#N/A</v>
      </c>
    </row>
    <row r="1818" spans="1:12" hidden="1">
      <c r="A1818" s="19">
        <f t="shared" si="149"/>
        <v>1812</v>
      </c>
      <c r="B1818" s="20">
        <f t="shared" si="145"/>
        <v>0</v>
      </c>
      <c r="C1818" s="21">
        <f t="shared" si="146"/>
        <v>0</v>
      </c>
      <c r="D1818" s="22" t="e">
        <f>VLOOKUP($A1818, TAB_JUROS_U[[Q_DIAS_U_PARC_TIR]:[V_FUT_U_JURS CENARIO]], D$5, FALSE)</f>
        <v>#N/A</v>
      </c>
      <c r="E1818" s="22" t="e">
        <f>VLOOKUP($A1818,TAB_CORRECAO_U[[Q_DIAS_U_PARC_TIR]:[V_FUT_U_CORC-02]],E$5, FALSE)</f>
        <v>#N/A</v>
      </c>
      <c r="F1818" s="22" t="e">
        <f>VLOOKUP($A1818,TAB_AMORTIZACAO_U[[Q_DIAS_U_PARC_TIR]:[V_FUT_U_PCPL-02]], F$5, FALSE)</f>
        <v>#N/A</v>
      </c>
      <c r="H1818" s="20">
        <f t="shared" si="147"/>
        <v>0</v>
      </c>
      <c r="I1818" s="21">
        <f t="shared" si="148"/>
        <v>0</v>
      </c>
      <c r="J1818" s="22" t="e">
        <f>VLOOKUP($A1818, TAB_JUROS_C[[DIAS_CORRIDOS]:[V_FUT_UTEIS]], J$5, FALSE)</f>
        <v>#N/A</v>
      </c>
      <c r="K1818" s="22" t="e">
        <f>VLOOKUP($A1818, TAB_CORRECAO_C[[DIAS_CORRIDOS]:[V_FUT_UTEIS]],K$5, FALSE)</f>
        <v>#N/A</v>
      </c>
      <c r="L1818" s="22" t="e">
        <f>VLOOKUP($A1818, TAB_AMORTIZACAO_C[[DIAS_CORRIDOS]:[V_FUT_UTEIS]], L$5, FALSE)</f>
        <v>#N/A</v>
      </c>
    </row>
    <row r="1819" spans="1:12" hidden="1">
      <c r="A1819" s="19">
        <f t="shared" si="149"/>
        <v>1813</v>
      </c>
      <c r="B1819" s="20">
        <f t="shared" si="145"/>
        <v>0</v>
      </c>
      <c r="C1819" s="21">
        <f t="shared" si="146"/>
        <v>0</v>
      </c>
      <c r="D1819" s="22" t="e">
        <f>VLOOKUP($A1819, TAB_JUROS_U[[Q_DIAS_U_PARC_TIR]:[V_FUT_U_JURS CENARIO]], D$5, FALSE)</f>
        <v>#N/A</v>
      </c>
      <c r="E1819" s="22" t="e">
        <f>VLOOKUP($A1819,TAB_CORRECAO_U[[Q_DIAS_U_PARC_TIR]:[V_FUT_U_CORC-02]],E$5, FALSE)</f>
        <v>#N/A</v>
      </c>
      <c r="F1819" s="22" t="e">
        <f>VLOOKUP($A1819,TAB_AMORTIZACAO_U[[Q_DIAS_U_PARC_TIR]:[V_FUT_U_PCPL-02]], F$5, FALSE)</f>
        <v>#N/A</v>
      </c>
      <c r="H1819" s="20">
        <f t="shared" si="147"/>
        <v>0</v>
      </c>
      <c r="I1819" s="21">
        <f t="shared" si="148"/>
        <v>0</v>
      </c>
      <c r="J1819" s="22" t="e">
        <f>VLOOKUP($A1819, TAB_JUROS_C[[DIAS_CORRIDOS]:[V_FUT_UTEIS]], J$5, FALSE)</f>
        <v>#N/A</v>
      </c>
      <c r="K1819" s="22" t="e">
        <f>VLOOKUP($A1819, TAB_CORRECAO_C[[DIAS_CORRIDOS]:[V_FUT_UTEIS]],K$5, FALSE)</f>
        <v>#N/A</v>
      </c>
      <c r="L1819" s="22" t="e">
        <f>VLOOKUP($A1819, TAB_AMORTIZACAO_C[[DIAS_CORRIDOS]:[V_FUT_UTEIS]], L$5, FALSE)</f>
        <v>#N/A</v>
      </c>
    </row>
    <row r="1820" spans="1:12" hidden="1">
      <c r="A1820" s="19">
        <f t="shared" si="149"/>
        <v>1814</v>
      </c>
      <c r="B1820" s="20">
        <f t="shared" si="145"/>
        <v>0</v>
      </c>
      <c r="C1820" s="21">
        <f t="shared" si="146"/>
        <v>0</v>
      </c>
      <c r="D1820" s="22" t="e">
        <f>VLOOKUP($A1820, TAB_JUROS_U[[Q_DIAS_U_PARC_TIR]:[V_FUT_U_JURS CENARIO]], D$5, FALSE)</f>
        <v>#N/A</v>
      </c>
      <c r="E1820" s="22" t="e">
        <f>VLOOKUP($A1820,TAB_CORRECAO_U[[Q_DIAS_U_PARC_TIR]:[V_FUT_U_CORC-02]],E$5, FALSE)</f>
        <v>#N/A</v>
      </c>
      <c r="F1820" s="22" t="e">
        <f>VLOOKUP($A1820,TAB_AMORTIZACAO_U[[Q_DIAS_U_PARC_TIR]:[V_FUT_U_PCPL-02]], F$5, FALSE)</f>
        <v>#N/A</v>
      </c>
      <c r="H1820" s="20">
        <f t="shared" si="147"/>
        <v>0</v>
      </c>
      <c r="I1820" s="21">
        <f t="shared" si="148"/>
        <v>0</v>
      </c>
      <c r="J1820" s="22" t="e">
        <f>VLOOKUP($A1820, TAB_JUROS_C[[DIAS_CORRIDOS]:[V_FUT_UTEIS]], J$5, FALSE)</f>
        <v>#N/A</v>
      </c>
      <c r="K1820" s="22" t="e">
        <f>VLOOKUP($A1820, TAB_CORRECAO_C[[DIAS_CORRIDOS]:[V_FUT_UTEIS]],K$5, FALSE)</f>
        <v>#N/A</v>
      </c>
      <c r="L1820" s="22" t="e">
        <f>VLOOKUP($A1820, TAB_AMORTIZACAO_C[[DIAS_CORRIDOS]:[V_FUT_UTEIS]], L$5, FALSE)</f>
        <v>#N/A</v>
      </c>
    </row>
    <row r="1821" spans="1:12" hidden="1">
      <c r="A1821" s="19">
        <f t="shared" si="149"/>
        <v>1815</v>
      </c>
      <c r="B1821" s="20">
        <f t="shared" si="145"/>
        <v>0</v>
      </c>
      <c r="C1821" s="21">
        <f t="shared" si="146"/>
        <v>0</v>
      </c>
      <c r="D1821" s="22" t="e">
        <f>VLOOKUP($A1821, TAB_JUROS_U[[Q_DIAS_U_PARC_TIR]:[V_FUT_U_JURS CENARIO]], D$5, FALSE)</f>
        <v>#N/A</v>
      </c>
      <c r="E1821" s="22" t="e">
        <f>VLOOKUP($A1821,TAB_CORRECAO_U[[Q_DIAS_U_PARC_TIR]:[V_FUT_U_CORC-02]],E$5, FALSE)</f>
        <v>#N/A</v>
      </c>
      <c r="F1821" s="22" t="e">
        <f>VLOOKUP($A1821,TAB_AMORTIZACAO_U[[Q_DIAS_U_PARC_TIR]:[V_FUT_U_PCPL-02]], F$5, FALSE)</f>
        <v>#N/A</v>
      </c>
      <c r="H1821" s="20">
        <f t="shared" si="147"/>
        <v>0</v>
      </c>
      <c r="I1821" s="21">
        <f t="shared" si="148"/>
        <v>0</v>
      </c>
      <c r="J1821" s="22" t="e">
        <f>VLOOKUP($A1821, TAB_JUROS_C[[DIAS_CORRIDOS]:[V_FUT_UTEIS]], J$5, FALSE)</f>
        <v>#N/A</v>
      </c>
      <c r="K1821" s="22" t="e">
        <f>VLOOKUP($A1821, TAB_CORRECAO_C[[DIAS_CORRIDOS]:[V_FUT_UTEIS]],K$5, FALSE)</f>
        <v>#N/A</v>
      </c>
      <c r="L1821" s="22" t="e">
        <f>VLOOKUP($A1821, TAB_AMORTIZACAO_C[[DIAS_CORRIDOS]:[V_FUT_UTEIS]], L$5, FALSE)</f>
        <v>#N/A</v>
      </c>
    </row>
    <row r="1822" spans="1:12" hidden="1">
      <c r="A1822" s="19">
        <f t="shared" si="149"/>
        <v>1816</v>
      </c>
      <c r="B1822" s="20">
        <f t="shared" si="145"/>
        <v>0</v>
      </c>
      <c r="C1822" s="21">
        <f t="shared" si="146"/>
        <v>0</v>
      </c>
      <c r="D1822" s="22" t="e">
        <f>VLOOKUP($A1822, TAB_JUROS_U[[Q_DIAS_U_PARC_TIR]:[V_FUT_U_JURS CENARIO]], D$5, FALSE)</f>
        <v>#N/A</v>
      </c>
      <c r="E1822" s="22" t="e">
        <f>VLOOKUP($A1822,TAB_CORRECAO_U[[Q_DIAS_U_PARC_TIR]:[V_FUT_U_CORC-02]],E$5, FALSE)</f>
        <v>#N/A</v>
      </c>
      <c r="F1822" s="22" t="e">
        <f>VLOOKUP($A1822,TAB_AMORTIZACAO_U[[Q_DIAS_U_PARC_TIR]:[V_FUT_U_PCPL-02]], F$5, FALSE)</f>
        <v>#N/A</v>
      </c>
      <c r="H1822" s="20">
        <f t="shared" si="147"/>
        <v>0</v>
      </c>
      <c r="I1822" s="21">
        <f t="shared" si="148"/>
        <v>0</v>
      </c>
      <c r="J1822" s="22" t="e">
        <f>VLOOKUP($A1822, TAB_JUROS_C[[DIAS_CORRIDOS]:[V_FUT_UTEIS]], J$5, FALSE)</f>
        <v>#N/A</v>
      </c>
      <c r="K1822" s="22" t="e">
        <f>VLOOKUP($A1822, TAB_CORRECAO_C[[DIAS_CORRIDOS]:[V_FUT_UTEIS]],K$5, FALSE)</f>
        <v>#N/A</v>
      </c>
      <c r="L1822" s="22" t="e">
        <f>VLOOKUP($A1822, TAB_AMORTIZACAO_C[[DIAS_CORRIDOS]:[V_FUT_UTEIS]], L$5, FALSE)</f>
        <v>#N/A</v>
      </c>
    </row>
    <row r="1823" spans="1:12" hidden="1">
      <c r="A1823" s="19">
        <f t="shared" si="149"/>
        <v>1817</v>
      </c>
      <c r="B1823" s="20">
        <f t="shared" si="145"/>
        <v>0</v>
      </c>
      <c r="C1823" s="21">
        <f t="shared" si="146"/>
        <v>0</v>
      </c>
      <c r="D1823" s="22" t="e">
        <f>VLOOKUP($A1823, TAB_JUROS_U[[Q_DIAS_U_PARC_TIR]:[V_FUT_U_JURS CENARIO]], D$5, FALSE)</f>
        <v>#N/A</v>
      </c>
      <c r="E1823" s="22" t="e">
        <f>VLOOKUP($A1823,TAB_CORRECAO_U[[Q_DIAS_U_PARC_TIR]:[V_FUT_U_CORC-02]],E$5, FALSE)</f>
        <v>#N/A</v>
      </c>
      <c r="F1823" s="22" t="e">
        <f>VLOOKUP($A1823,TAB_AMORTIZACAO_U[[Q_DIAS_U_PARC_TIR]:[V_FUT_U_PCPL-02]], F$5, FALSE)</f>
        <v>#N/A</v>
      </c>
      <c r="H1823" s="20">
        <f t="shared" si="147"/>
        <v>0</v>
      </c>
      <c r="I1823" s="21">
        <f t="shared" si="148"/>
        <v>0</v>
      </c>
      <c r="J1823" s="22" t="e">
        <f>VLOOKUP($A1823, TAB_JUROS_C[[DIAS_CORRIDOS]:[V_FUT_UTEIS]], J$5, FALSE)</f>
        <v>#N/A</v>
      </c>
      <c r="K1823" s="22" t="e">
        <f>VLOOKUP($A1823, TAB_CORRECAO_C[[DIAS_CORRIDOS]:[V_FUT_UTEIS]],K$5, FALSE)</f>
        <v>#N/A</v>
      </c>
      <c r="L1823" s="22" t="e">
        <f>VLOOKUP($A1823, TAB_AMORTIZACAO_C[[DIAS_CORRIDOS]:[V_FUT_UTEIS]], L$5, FALSE)</f>
        <v>#N/A</v>
      </c>
    </row>
    <row r="1824" spans="1:12" hidden="1">
      <c r="A1824" s="19">
        <f t="shared" si="149"/>
        <v>1818</v>
      </c>
      <c r="B1824" s="20">
        <f t="shared" si="145"/>
        <v>0</v>
      </c>
      <c r="C1824" s="21">
        <f t="shared" si="146"/>
        <v>0</v>
      </c>
      <c r="D1824" s="22" t="e">
        <f>VLOOKUP($A1824, TAB_JUROS_U[[Q_DIAS_U_PARC_TIR]:[V_FUT_U_JURS CENARIO]], D$5, FALSE)</f>
        <v>#N/A</v>
      </c>
      <c r="E1824" s="22" t="e">
        <f>VLOOKUP($A1824,TAB_CORRECAO_U[[Q_DIAS_U_PARC_TIR]:[V_FUT_U_CORC-02]],E$5, FALSE)</f>
        <v>#N/A</v>
      </c>
      <c r="F1824" s="22" t="e">
        <f>VLOOKUP($A1824,TAB_AMORTIZACAO_U[[Q_DIAS_U_PARC_TIR]:[V_FUT_U_PCPL-02]], F$5, FALSE)</f>
        <v>#N/A</v>
      </c>
      <c r="H1824" s="20">
        <f t="shared" si="147"/>
        <v>0</v>
      </c>
      <c r="I1824" s="21">
        <f t="shared" si="148"/>
        <v>0</v>
      </c>
      <c r="J1824" s="22" t="e">
        <f>VLOOKUP($A1824, TAB_JUROS_C[[DIAS_CORRIDOS]:[V_FUT_UTEIS]], J$5, FALSE)</f>
        <v>#N/A</v>
      </c>
      <c r="K1824" s="22" t="e">
        <f>VLOOKUP($A1824, TAB_CORRECAO_C[[DIAS_CORRIDOS]:[V_FUT_UTEIS]],K$5, FALSE)</f>
        <v>#N/A</v>
      </c>
      <c r="L1824" s="22" t="e">
        <f>VLOOKUP($A1824, TAB_AMORTIZACAO_C[[DIAS_CORRIDOS]:[V_FUT_UTEIS]], L$5, FALSE)</f>
        <v>#N/A</v>
      </c>
    </row>
    <row r="1825" spans="1:12" hidden="1">
      <c r="A1825" s="19">
        <f t="shared" si="149"/>
        <v>1819</v>
      </c>
      <c r="B1825" s="20">
        <f t="shared" si="145"/>
        <v>0</v>
      </c>
      <c r="C1825" s="21">
        <f t="shared" si="146"/>
        <v>0</v>
      </c>
      <c r="D1825" s="22" t="e">
        <f>VLOOKUP($A1825, TAB_JUROS_U[[Q_DIAS_U_PARC_TIR]:[V_FUT_U_JURS CENARIO]], D$5, FALSE)</f>
        <v>#N/A</v>
      </c>
      <c r="E1825" s="22" t="e">
        <f>VLOOKUP($A1825,TAB_CORRECAO_U[[Q_DIAS_U_PARC_TIR]:[V_FUT_U_CORC-02]],E$5, FALSE)</f>
        <v>#N/A</v>
      </c>
      <c r="F1825" s="22" t="e">
        <f>VLOOKUP($A1825,TAB_AMORTIZACAO_U[[Q_DIAS_U_PARC_TIR]:[V_FUT_U_PCPL-02]], F$5, FALSE)</f>
        <v>#N/A</v>
      </c>
      <c r="H1825" s="20">
        <f t="shared" si="147"/>
        <v>0</v>
      </c>
      <c r="I1825" s="21">
        <f t="shared" si="148"/>
        <v>0</v>
      </c>
      <c r="J1825" s="22" t="e">
        <f>VLOOKUP($A1825, TAB_JUROS_C[[DIAS_CORRIDOS]:[V_FUT_UTEIS]], J$5, FALSE)</f>
        <v>#N/A</v>
      </c>
      <c r="K1825" s="22" t="e">
        <f>VLOOKUP($A1825, TAB_CORRECAO_C[[DIAS_CORRIDOS]:[V_FUT_UTEIS]],K$5, FALSE)</f>
        <v>#N/A</v>
      </c>
      <c r="L1825" s="22" t="e">
        <f>VLOOKUP($A1825, TAB_AMORTIZACAO_C[[DIAS_CORRIDOS]:[V_FUT_UTEIS]], L$5, FALSE)</f>
        <v>#N/A</v>
      </c>
    </row>
    <row r="1826" spans="1:12" hidden="1">
      <c r="A1826" s="19">
        <f t="shared" si="149"/>
        <v>1820</v>
      </c>
      <c r="B1826" s="20">
        <f t="shared" si="145"/>
        <v>0</v>
      </c>
      <c r="C1826" s="21">
        <f t="shared" si="146"/>
        <v>0</v>
      </c>
      <c r="D1826" s="22" t="e">
        <f>VLOOKUP($A1826, TAB_JUROS_U[[Q_DIAS_U_PARC_TIR]:[V_FUT_U_JURS CENARIO]], D$5, FALSE)</f>
        <v>#N/A</v>
      </c>
      <c r="E1826" s="22" t="e">
        <f>VLOOKUP($A1826,TAB_CORRECAO_U[[Q_DIAS_U_PARC_TIR]:[V_FUT_U_CORC-02]],E$5, FALSE)</f>
        <v>#N/A</v>
      </c>
      <c r="F1826" s="22" t="e">
        <f>VLOOKUP($A1826,TAB_AMORTIZACAO_U[[Q_DIAS_U_PARC_TIR]:[V_FUT_U_PCPL-02]], F$5, FALSE)</f>
        <v>#N/A</v>
      </c>
      <c r="H1826" s="20">
        <f t="shared" si="147"/>
        <v>0</v>
      </c>
      <c r="I1826" s="21">
        <f t="shared" si="148"/>
        <v>0</v>
      </c>
      <c r="J1826" s="22" t="e">
        <f>VLOOKUP($A1826, TAB_JUROS_C[[DIAS_CORRIDOS]:[V_FUT_UTEIS]], J$5, FALSE)</f>
        <v>#N/A</v>
      </c>
      <c r="K1826" s="22" t="e">
        <f>VLOOKUP($A1826, TAB_CORRECAO_C[[DIAS_CORRIDOS]:[V_FUT_UTEIS]],K$5, FALSE)</f>
        <v>#N/A</v>
      </c>
      <c r="L1826" s="22" t="e">
        <f>VLOOKUP($A1826, TAB_AMORTIZACAO_C[[DIAS_CORRIDOS]:[V_FUT_UTEIS]], L$5, FALSE)</f>
        <v>#N/A</v>
      </c>
    </row>
    <row r="1827" spans="1:12" hidden="1">
      <c r="A1827" s="19">
        <f t="shared" si="149"/>
        <v>1821</v>
      </c>
      <c r="B1827" s="20">
        <f t="shared" si="145"/>
        <v>0</v>
      </c>
      <c r="C1827" s="21">
        <f t="shared" si="146"/>
        <v>0</v>
      </c>
      <c r="D1827" s="22" t="e">
        <f>VLOOKUP($A1827, TAB_JUROS_U[[Q_DIAS_U_PARC_TIR]:[V_FUT_U_JURS CENARIO]], D$5, FALSE)</f>
        <v>#N/A</v>
      </c>
      <c r="E1827" s="22" t="e">
        <f>VLOOKUP($A1827,TAB_CORRECAO_U[[Q_DIAS_U_PARC_TIR]:[V_FUT_U_CORC-02]],E$5, FALSE)</f>
        <v>#N/A</v>
      </c>
      <c r="F1827" s="22" t="e">
        <f>VLOOKUP($A1827,TAB_AMORTIZACAO_U[[Q_DIAS_U_PARC_TIR]:[V_FUT_U_PCPL-02]], F$5, FALSE)</f>
        <v>#N/A</v>
      </c>
      <c r="H1827" s="20">
        <f t="shared" si="147"/>
        <v>0</v>
      </c>
      <c r="I1827" s="21">
        <f t="shared" si="148"/>
        <v>0</v>
      </c>
      <c r="J1827" s="22" t="e">
        <f>VLOOKUP($A1827, TAB_JUROS_C[[DIAS_CORRIDOS]:[V_FUT_UTEIS]], J$5, FALSE)</f>
        <v>#N/A</v>
      </c>
      <c r="K1827" s="22" t="e">
        <f>VLOOKUP($A1827, TAB_CORRECAO_C[[DIAS_CORRIDOS]:[V_FUT_UTEIS]],K$5, FALSE)</f>
        <v>#N/A</v>
      </c>
      <c r="L1827" s="22" t="e">
        <f>VLOOKUP($A1827, TAB_AMORTIZACAO_C[[DIAS_CORRIDOS]:[V_FUT_UTEIS]], L$5, FALSE)</f>
        <v>#N/A</v>
      </c>
    </row>
    <row r="1828" spans="1:12" hidden="1">
      <c r="A1828" s="19">
        <f t="shared" si="149"/>
        <v>1822</v>
      </c>
      <c r="B1828" s="20">
        <f t="shared" si="145"/>
        <v>0</v>
      </c>
      <c r="C1828" s="21">
        <f t="shared" si="146"/>
        <v>0</v>
      </c>
      <c r="D1828" s="22" t="e">
        <f>VLOOKUP($A1828, TAB_JUROS_U[[Q_DIAS_U_PARC_TIR]:[V_FUT_U_JURS CENARIO]], D$5, FALSE)</f>
        <v>#N/A</v>
      </c>
      <c r="E1828" s="22" t="e">
        <f>VLOOKUP($A1828,TAB_CORRECAO_U[[Q_DIAS_U_PARC_TIR]:[V_FUT_U_CORC-02]],E$5, FALSE)</f>
        <v>#N/A</v>
      </c>
      <c r="F1828" s="22" t="e">
        <f>VLOOKUP($A1828,TAB_AMORTIZACAO_U[[Q_DIAS_U_PARC_TIR]:[V_FUT_U_PCPL-02]], F$5, FALSE)</f>
        <v>#N/A</v>
      </c>
      <c r="H1828" s="20">
        <f t="shared" si="147"/>
        <v>0</v>
      </c>
      <c r="I1828" s="21">
        <f t="shared" si="148"/>
        <v>0</v>
      </c>
      <c r="J1828" s="22" t="e">
        <f>VLOOKUP($A1828, TAB_JUROS_C[[DIAS_CORRIDOS]:[V_FUT_UTEIS]], J$5, FALSE)</f>
        <v>#N/A</v>
      </c>
      <c r="K1828" s="22" t="e">
        <f>VLOOKUP($A1828, TAB_CORRECAO_C[[DIAS_CORRIDOS]:[V_FUT_UTEIS]],K$5, FALSE)</f>
        <v>#N/A</v>
      </c>
      <c r="L1828" s="22" t="e">
        <f>VLOOKUP($A1828, TAB_AMORTIZACAO_C[[DIAS_CORRIDOS]:[V_FUT_UTEIS]], L$5, FALSE)</f>
        <v>#N/A</v>
      </c>
    </row>
    <row r="1829" spans="1:12" hidden="1">
      <c r="A1829" s="19">
        <f t="shared" si="149"/>
        <v>1823</v>
      </c>
      <c r="B1829" s="20">
        <f t="shared" si="145"/>
        <v>0</v>
      </c>
      <c r="C1829" s="21">
        <f t="shared" si="146"/>
        <v>0</v>
      </c>
      <c r="D1829" s="22" t="e">
        <f>VLOOKUP($A1829, TAB_JUROS_U[[Q_DIAS_U_PARC_TIR]:[V_FUT_U_JURS CENARIO]], D$5, FALSE)</f>
        <v>#N/A</v>
      </c>
      <c r="E1829" s="22" t="e">
        <f>VLOOKUP($A1829,TAB_CORRECAO_U[[Q_DIAS_U_PARC_TIR]:[V_FUT_U_CORC-02]],E$5, FALSE)</f>
        <v>#N/A</v>
      </c>
      <c r="F1829" s="22" t="e">
        <f>VLOOKUP($A1829,TAB_AMORTIZACAO_U[[Q_DIAS_U_PARC_TIR]:[V_FUT_U_PCPL-02]], F$5, FALSE)</f>
        <v>#N/A</v>
      </c>
      <c r="H1829" s="20">
        <f t="shared" si="147"/>
        <v>0</v>
      </c>
      <c r="I1829" s="21">
        <f t="shared" si="148"/>
        <v>0</v>
      </c>
      <c r="J1829" s="22" t="e">
        <f>VLOOKUP($A1829, TAB_JUROS_C[[DIAS_CORRIDOS]:[V_FUT_UTEIS]], J$5, FALSE)</f>
        <v>#N/A</v>
      </c>
      <c r="K1829" s="22" t="e">
        <f>VLOOKUP($A1829, TAB_CORRECAO_C[[DIAS_CORRIDOS]:[V_FUT_UTEIS]],K$5, FALSE)</f>
        <v>#N/A</v>
      </c>
      <c r="L1829" s="22" t="e">
        <f>VLOOKUP($A1829, TAB_AMORTIZACAO_C[[DIAS_CORRIDOS]:[V_FUT_UTEIS]], L$5, FALSE)</f>
        <v>#N/A</v>
      </c>
    </row>
    <row r="1830" spans="1:12" hidden="1">
      <c r="A1830" s="19">
        <f t="shared" si="149"/>
        <v>1824</v>
      </c>
      <c r="B1830" s="20">
        <f t="shared" si="145"/>
        <v>0</v>
      </c>
      <c r="C1830" s="21">
        <f t="shared" si="146"/>
        <v>0</v>
      </c>
      <c r="D1830" s="22" t="e">
        <f>VLOOKUP($A1830, TAB_JUROS_U[[Q_DIAS_U_PARC_TIR]:[V_FUT_U_JURS CENARIO]], D$5, FALSE)</f>
        <v>#N/A</v>
      </c>
      <c r="E1830" s="22" t="e">
        <f>VLOOKUP($A1830,TAB_CORRECAO_U[[Q_DIAS_U_PARC_TIR]:[V_FUT_U_CORC-02]],E$5, FALSE)</f>
        <v>#N/A</v>
      </c>
      <c r="F1830" s="22" t="e">
        <f>VLOOKUP($A1830,TAB_AMORTIZACAO_U[[Q_DIAS_U_PARC_TIR]:[V_FUT_U_PCPL-02]], F$5, FALSE)</f>
        <v>#N/A</v>
      </c>
      <c r="H1830" s="20">
        <f t="shared" si="147"/>
        <v>0</v>
      </c>
      <c r="I1830" s="21">
        <f t="shared" si="148"/>
        <v>0</v>
      </c>
      <c r="J1830" s="22" t="e">
        <f>VLOOKUP($A1830, TAB_JUROS_C[[DIAS_CORRIDOS]:[V_FUT_UTEIS]], J$5, FALSE)</f>
        <v>#N/A</v>
      </c>
      <c r="K1830" s="22" t="e">
        <f>VLOOKUP($A1830, TAB_CORRECAO_C[[DIAS_CORRIDOS]:[V_FUT_UTEIS]],K$5, FALSE)</f>
        <v>#N/A</v>
      </c>
      <c r="L1830" s="22" t="e">
        <f>VLOOKUP($A1830, TAB_AMORTIZACAO_C[[DIAS_CORRIDOS]:[V_FUT_UTEIS]], L$5, FALSE)</f>
        <v>#N/A</v>
      </c>
    </row>
    <row r="1831" spans="1:12" hidden="1">
      <c r="A1831" s="19">
        <f t="shared" si="149"/>
        <v>1825</v>
      </c>
      <c r="B1831" s="20">
        <f t="shared" si="145"/>
        <v>0</v>
      </c>
      <c r="C1831" s="21">
        <f t="shared" si="146"/>
        <v>0</v>
      </c>
      <c r="D1831" s="22" t="e">
        <f>VLOOKUP($A1831, TAB_JUROS_U[[Q_DIAS_U_PARC_TIR]:[V_FUT_U_JURS CENARIO]], D$5, FALSE)</f>
        <v>#N/A</v>
      </c>
      <c r="E1831" s="22" t="e">
        <f>VLOOKUP($A1831,TAB_CORRECAO_U[[Q_DIAS_U_PARC_TIR]:[V_FUT_U_CORC-02]],E$5, FALSE)</f>
        <v>#N/A</v>
      </c>
      <c r="F1831" s="22" t="e">
        <f>VLOOKUP($A1831,TAB_AMORTIZACAO_U[[Q_DIAS_U_PARC_TIR]:[V_FUT_U_PCPL-02]], F$5, FALSE)</f>
        <v>#N/A</v>
      </c>
      <c r="H1831" s="20">
        <f t="shared" si="147"/>
        <v>0</v>
      </c>
      <c r="I1831" s="21">
        <f t="shared" si="148"/>
        <v>0</v>
      </c>
      <c r="J1831" s="22" t="e">
        <f>VLOOKUP($A1831, TAB_JUROS_C[[DIAS_CORRIDOS]:[V_FUT_UTEIS]], J$5, FALSE)</f>
        <v>#N/A</v>
      </c>
      <c r="K1831" s="22" t="e">
        <f>VLOOKUP($A1831, TAB_CORRECAO_C[[DIAS_CORRIDOS]:[V_FUT_UTEIS]],K$5, FALSE)</f>
        <v>#N/A</v>
      </c>
      <c r="L1831" s="22" t="e">
        <f>VLOOKUP($A1831, TAB_AMORTIZACAO_C[[DIAS_CORRIDOS]:[V_FUT_UTEIS]], L$5, FALSE)</f>
        <v>#N/A</v>
      </c>
    </row>
    <row r="1832" spans="1:12" hidden="1">
      <c r="A1832" s="19">
        <f t="shared" si="149"/>
        <v>1826</v>
      </c>
      <c r="B1832" s="20">
        <f t="shared" si="145"/>
        <v>0</v>
      </c>
      <c r="C1832" s="21">
        <f t="shared" si="146"/>
        <v>0</v>
      </c>
      <c r="D1832" s="22" t="e">
        <f>VLOOKUP($A1832, TAB_JUROS_U[[Q_DIAS_U_PARC_TIR]:[V_FUT_U_JURS CENARIO]], D$5, FALSE)</f>
        <v>#N/A</v>
      </c>
      <c r="E1832" s="22" t="e">
        <f>VLOOKUP($A1832,TAB_CORRECAO_U[[Q_DIAS_U_PARC_TIR]:[V_FUT_U_CORC-02]],E$5, FALSE)</f>
        <v>#N/A</v>
      </c>
      <c r="F1832" s="22" t="e">
        <f>VLOOKUP($A1832,TAB_AMORTIZACAO_U[[Q_DIAS_U_PARC_TIR]:[V_FUT_U_PCPL-02]], F$5, FALSE)</f>
        <v>#N/A</v>
      </c>
      <c r="H1832" s="20">
        <f t="shared" si="147"/>
        <v>0</v>
      </c>
      <c r="I1832" s="21">
        <f t="shared" si="148"/>
        <v>0</v>
      </c>
      <c r="J1832" s="22" t="e">
        <f>VLOOKUP($A1832, TAB_JUROS_C[[DIAS_CORRIDOS]:[V_FUT_UTEIS]], J$5, FALSE)</f>
        <v>#N/A</v>
      </c>
      <c r="K1832" s="22" t="e">
        <f>VLOOKUP($A1832, TAB_CORRECAO_C[[DIAS_CORRIDOS]:[V_FUT_UTEIS]],K$5, FALSE)</f>
        <v>#N/A</v>
      </c>
      <c r="L1832" s="22" t="e">
        <f>VLOOKUP($A1832, TAB_AMORTIZACAO_C[[DIAS_CORRIDOS]:[V_FUT_UTEIS]], L$5, FALSE)</f>
        <v>#N/A</v>
      </c>
    </row>
    <row r="1833" spans="1:12" hidden="1">
      <c r="A1833" s="19">
        <f t="shared" si="149"/>
        <v>1827</v>
      </c>
      <c r="B1833" s="20">
        <f t="shared" si="145"/>
        <v>0</v>
      </c>
      <c r="C1833" s="21">
        <f t="shared" si="146"/>
        <v>0</v>
      </c>
      <c r="D1833" s="22" t="e">
        <f>VLOOKUP($A1833, TAB_JUROS_U[[Q_DIAS_U_PARC_TIR]:[V_FUT_U_JURS CENARIO]], D$5, FALSE)</f>
        <v>#N/A</v>
      </c>
      <c r="E1833" s="22" t="e">
        <f>VLOOKUP($A1833,TAB_CORRECAO_U[[Q_DIAS_U_PARC_TIR]:[V_FUT_U_CORC-02]],E$5, FALSE)</f>
        <v>#N/A</v>
      </c>
      <c r="F1833" s="22" t="e">
        <f>VLOOKUP($A1833,TAB_AMORTIZACAO_U[[Q_DIAS_U_PARC_TIR]:[V_FUT_U_PCPL-02]], F$5, FALSE)</f>
        <v>#N/A</v>
      </c>
      <c r="H1833" s="20">
        <f t="shared" si="147"/>
        <v>0</v>
      </c>
      <c r="I1833" s="21">
        <f t="shared" si="148"/>
        <v>0</v>
      </c>
      <c r="J1833" s="22" t="e">
        <f>VLOOKUP($A1833, TAB_JUROS_C[[DIAS_CORRIDOS]:[V_FUT_UTEIS]], J$5, FALSE)</f>
        <v>#N/A</v>
      </c>
      <c r="K1833" s="22" t="e">
        <f>VLOOKUP($A1833, TAB_CORRECAO_C[[DIAS_CORRIDOS]:[V_FUT_UTEIS]],K$5, FALSE)</f>
        <v>#N/A</v>
      </c>
      <c r="L1833" s="22" t="e">
        <f>VLOOKUP($A1833, TAB_AMORTIZACAO_C[[DIAS_CORRIDOS]:[V_FUT_UTEIS]], L$5, FALSE)</f>
        <v>#N/A</v>
      </c>
    </row>
    <row r="1834" spans="1:12" hidden="1">
      <c r="A1834" s="19">
        <f t="shared" si="149"/>
        <v>1828</v>
      </c>
      <c r="B1834" s="20">
        <f t="shared" si="145"/>
        <v>0</v>
      </c>
      <c r="C1834" s="21">
        <f t="shared" si="146"/>
        <v>0</v>
      </c>
      <c r="D1834" s="22" t="e">
        <f>VLOOKUP($A1834, TAB_JUROS_U[[Q_DIAS_U_PARC_TIR]:[V_FUT_U_JURS CENARIO]], D$5, FALSE)</f>
        <v>#N/A</v>
      </c>
      <c r="E1834" s="22" t="e">
        <f>VLOOKUP($A1834,TAB_CORRECAO_U[[Q_DIAS_U_PARC_TIR]:[V_FUT_U_CORC-02]],E$5, FALSE)</f>
        <v>#N/A</v>
      </c>
      <c r="F1834" s="22" t="e">
        <f>VLOOKUP($A1834,TAB_AMORTIZACAO_U[[Q_DIAS_U_PARC_TIR]:[V_FUT_U_PCPL-02]], F$5, FALSE)</f>
        <v>#N/A</v>
      </c>
      <c r="H1834" s="20">
        <f t="shared" si="147"/>
        <v>0</v>
      </c>
      <c r="I1834" s="21">
        <f t="shared" si="148"/>
        <v>0</v>
      </c>
      <c r="J1834" s="22" t="e">
        <f>VLOOKUP($A1834, TAB_JUROS_C[[DIAS_CORRIDOS]:[V_FUT_UTEIS]], J$5, FALSE)</f>
        <v>#N/A</v>
      </c>
      <c r="K1834" s="22" t="e">
        <f>VLOOKUP($A1834, TAB_CORRECAO_C[[DIAS_CORRIDOS]:[V_FUT_UTEIS]],K$5, FALSE)</f>
        <v>#N/A</v>
      </c>
      <c r="L1834" s="22" t="e">
        <f>VLOOKUP($A1834, TAB_AMORTIZACAO_C[[DIAS_CORRIDOS]:[V_FUT_UTEIS]], L$5, FALSE)</f>
        <v>#N/A</v>
      </c>
    </row>
    <row r="1835" spans="1:12" hidden="1">
      <c r="A1835" s="19">
        <f t="shared" si="149"/>
        <v>1829</v>
      </c>
      <c r="B1835" s="20">
        <f t="shared" si="145"/>
        <v>0</v>
      </c>
      <c r="C1835" s="21">
        <f t="shared" si="146"/>
        <v>0</v>
      </c>
      <c r="D1835" s="22" t="e">
        <f>VLOOKUP($A1835, TAB_JUROS_U[[Q_DIAS_U_PARC_TIR]:[V_FUT_U_JURS CENARIO]], D$5, FALSE)</f>
        <v>#N/A</v>
      </c>
      <c r="E1835" s="22" t="e">
        <f>VLOOKUP($A1835,TAB_CORRECAO_U[[Q_DIAS_U_PARC_TIR]:[V_FUT_U_CORC-02]],E$5, FALSE)</f>
        <v>#N/A</v>
      </c>
      <c r="F1835" s="22" t="e">
        <f>VLOOKUP($A1835,TAB_AMORTIZACAO_U[[Q_DIAS_U_PARC_TIR]:[V_FUT_U_PCPL-02]], F$5, FALSE)</f>
        <v>#N/A</v>
      </c>
      <c r="H1835" s="20">
        <f t="shared" si="147"/>
        <v>0</v>
      </c>
      <c r="I1835" s="21">
        <f t="shared" si="148"/>
        <v>0</v>
      </c>
      <c r="J1835" s="22" t="e">
        <f>VLOOKUP($A1835, TAB_JUROS_C[[DIAS_CORRIDOS]:[V_FUT_UTEIS]], J$5, FALSE)</f>
        <v>#N/A</v>
      </c>
      <c r="K1835" s="22" t="e">
        <f>VLOOKUP($A1835, TAB_CORRECAO_C[[DIAS_CORRIDOS]:[V_FUT_UTEIS]],K$5, FALSE)</f>
        <v>#N/A</v>
      </c>
      <c r="L1835" s="22" t="e">
        <f>VLOOKUP($A1835, TAB_AMORTIZACAO_C[[DIAS_CORRIDOS]:[V_FUT_UTEIS]], L$5, FALSE)</f>
        <v>#N/A</v>
      </c>
    </row>
    <row r="1836" spans="1:12" hidden="1">
      <c r="A1836" s="19">
        <f t="shared" si="149"/>
        <v>1830</v>
      </c>
      <c r="B1836" s="20">
        <f t="shared" si="145"/>
        <v>0</v>
      </c>
      <c r="C1836" s="21">
        <f t="shared" si="146"/>
        <v>0</v>
      </c>
      <c r="D1836" s="22" t="e">
        <f>VLOOKUP($A1836, TAB_JUROS_U[[Q_DIAS_U_PARC_TIR]:[V_FUT_U_JURS CENARIO]], D$5, FALSE)</f>
        <v>#N/A</v>
      </c>
      <c r="E1836" s="22" t="e">
        <f>VLOOKUP($A1836,TAB_CORRECAO_U[[Q_DIAS_U_PARC_TIR]:[V_FUT_U_CORC-02]],E$5, FALSE)</f>
        <v>#N/A</v>
      </c>
      <c r="F1836" s="22" t="e">
        <f>VLOOKUP($A1836,TAB_AMORTIZACAO_U[[Q_DIAS_U_PARC_TIR]:[V_FUT_U_PCPL-02]], F$5, FALSE)</f>
        <v>#N/A</v>
      </c>
      <c r="H1836" s="20">
        <f t="shared" si="147"/>
        <v>0</v>
      </c>
      <c r="I1836" s="21">
        <f t="shared" si="148"/>
        <v>0</v>
      </c>
      <c r="J1836" s="22" t="e">
        <f>VLOOKUP($A1836, TAB_JUROS_C[[DIAS_CORRIDOS]:[V_FUT_UTEIS]], J$5, FALSE)</f>
        <v>#N/A</v>
      </c>
      <c r="K1836" s="22" t="e">
        <f>VLOOKUP($A1836, TAB_CORRECAO_C[[DIAS_CORRIDOS]:[V_FUT_UTEIS]],K$5, FALSE)</f>
        <v>#N/A</v>
      </c>
      <c r="L1836" s="22" t="e">
        <f>VLOOKUP($A1836, TAB_AMORTIZACAO_C[[DIAS_CORRIDOS]:[V_FUT_UTEIS]], L$5, FALSE)</f>
        <v>#N/A</v>
      </c>
    </row>
    <row r="1837" spans="1:12" hidden="1">
      <c r="A1837" s="19">
        <f t="shared" si="149"/>
        <v>1831</v>
      </c>
      <c r="B1837" s="20">
        <f t="shared" si="145"/>
        <v>0</v>
      </c>
      <c r="C1837" s="21">
        <f t="shared" si="146"/>
        <v>0</v>
      </c>
      <c r="D1837" s="22" t="e">
        <f>VLOOKUP($A1837, TAB_JUROS_U[[Q_DIAS_U_PARC_TIR]:[V_FUT_U_JURS CENARIO]], D$5, FALSE)</f>
        <v>#N/A</v>
      </c>
      <c r="E1837" s="22" t="e">
        <f>VLOOKUP($A1837,TAB_CORRECAO_U[[Q_DIAS_U_PARC_TIR]:[V_FUT_U_CORC-02]],E$5, FALSE)</f>
        <v>#N/A</v>
      </c>
      <c r="F1837" s="22" t="e">
        <f>VLOOKUP($A1837,TAB_AMORTIZACAO_U[[Q_DIAS_U_PARC_TIR]:[V_FUT_U_PCPL-02]], F$5, FALSE)</f>
        <v>#N/A</v>
      </c>
      <c r="H1837" s="20">
        <f t="shared" si="147"/>
        <v>0</v>
      </c>
      <c r="I1837" s="21">
        <f t="shared" si="148"/>
        <v>0</v>
      </c>
      <c r="J1837" s="22" t="e">
        <f>VLOOKUP($A1837, TAB_JUROS_C[[DIAS_CORRIDOS]:[V_FUT_UTEIS]], J$5, FALSE)</f>
        <v>#N/A</v>
      </c>
      <c r="K1837" s="22" t="e">
        <f>VLOOKUP($A1837, TAB_CORRECAO_C[[DIAS_CORRIDOS]:[V_FUT_UTEIS]],K$5, FALSE)</f>
        <v>#N/A</v>
      </c>
      <c r="L1837" s="22" t="e">
        <f>VLOOKUP($A1837, TAB_AMORTIZACAO_C[[DIAS_CORRIDOS]:[V_FUT_UTEIS]], L$5, FALSE)</f>
        <v>#N/A</v>
      </c>
    </row>
    <row r="1838" spans="1:12">
      <c r="A1838" s="19">
        <f t="shared" si="149"/>
        <v>1832</v>
      </c>
      <c r="B1838" s="20">
        <f t="shared" si="145"/>
        <v>381.42707798655073</v>
      </c>
      <c r="C1838" s="21">
        <f t="shared" si="146"/>
        <v>381.42707798655073</v>
      </c>
      <c r="D1838" s="22">
        <f>VLOOKUP($A1838, TAB_JUROS_U[[Q_DIAS_U_PARC_TIR]:[V_FUT_U_JURS CENARIO]], D$5, FALSE)</f>
        <v>24.234742951806965</v>
      </c>
      <c r="E1838" s="22">
        <f>VLOOKUP($A1838,TAB_CORRECAO_U[[Q_DIAS_U_PARC_TIR]:[V_FUT_U_CORC-02]],E$5, FALSE)</f>
        <v>149.15306606951424</v>
      </c>
      <c r="F1838" s="22">
        <f>VLOOKUP($A1838,TAB_AMORTIZACAO_U[[Q_DIAS_U_PARC_TIR]:[V_FUT_U_PCPL-02]], F$5, FALSE)</f>
        <v>208.03926896522952</v>
      </c>
      <c r="H1838" s="20">
        <f t="shared" si="147"/>
        <v>0</v>
      </c>
      <c r="I1838" s="21">
        <f t="shared" si="148"/>
        <v>0</v>
      </c>
      <c r="J1838" s="22" t="e">
        <f>VLOOKUP($A1838, TAB_JUROS_C[[DIAS_CORRIDOS]:[V_FUT_UTEIS]], J$5, FALSE)</f>
        <v>#N/A</v>
      </c>
      <c r="K1838" s="22" t="e">
        <f>VLOOKUP($A1838, TAB_CORRECAO_C[[DIAS_CORRIDOS]:[V_FUT_UTEIS]],K$5, FALSE)</f>
        <v>#N/A</v>
      </c>
      <c r="L1838" s="22" t="e">
        <f>VLOOKUP($A1838, TAB_AMORTIZACAO_C[[DIAS_CORRIDOS]:[V_FUT_UTEIS]], L$5, FALSE)</f>
        <v>#N/A</v>
      </c>
    </row>
    <row r="1839" spans="1:12" hidden="1">
      <c r="A1839" s="19">
        <f t="shared" si="149"/>
        <v>1833</v>
      </c>
      <c r="B1839" s="20">
        <f t="shared" si="145"/>
        <v>0</v>
      </c>
      <c r="C1839" s="21">
        <f t="shared" si="146"/>
        <v>0</v>
      </c>
      <c r="D1839" s="22" t="e">
        <f>VLOOKUP($A1839, TAB_JUROS_U[[Q_DIAS_U_PARC_TIR]:[V_FUT_U_JURS CENARIO]], D$5, FALSE)</f>
        <v>#N/A</v>
      </c>
      <c r="E1839" s="22" t="e">
        <f>VLOOKUP($A1839,TAB_CORRECAO_U[[Q_DIAS_U_PARC_TIR]:[V_FUT_U_CORC-02]],E$5, FALSE)</f>
        <v>#N/A</v>
      </c>
      <c r="F1839" s="22" t="e">
        <f>VLOOKUP($A1839,TAB_AMORTIZACAO_U[[Q_DIAS_U_PARC_TIR]:[V_FUT_U_PCPL-02]], F$5, FALSE)</f>
        <v>#N/A</v>
      </c>
      <c r="H1839" s="20">
        <f t="shared" si="147"/>
        <v>0</v>
      </c>
      <c r="I1839" s="21">
        <f t="shared" si="148"/>
        <v>0</v>
      </c>
      <c r="J1839" s="22" t="e">
        <f>VLOOKUP($A1839, TAB_JUROS_C[[DIAS_CORRIDOS]:[V_FUT_UTEIS]], J$5, FALSE)</f>
        <v>#N/A</v>
      </c>
      <c r="K1839" s="22" t="e">
        <f>VLOOKUP($A1839, TAB_CORRECAO_C[[DIAS_CORRIDOS]:[V_FUT_UTEIS]],K$5, FALSE)</f>
        <v>#N/A</v>
      </c>
      <c r="L1839" s="22" t="e">
        <f>VLOOKUP($A1839, TAB_AMORTIZACAO_C[[DIAS_CORRIDOS]:[V_FUT_UTEIS]], L$5, FALSE)</f>
        <v>#N/A</v>
      </c>
    </row>
    <row r="1840" spans="1:12" hidden="1">
      <c r="A1840" s="19">
        <f t="shared" si="149"/>
        <v>1834</v>
      </c>
      <c r="B1840" s="20">
        <f t="shared" si="145"/>
        <v>0</v>
      </c>
      <c r="C1840" s="21">
        <f t="shared" si="146"/>
        <v>0</v>
      </c>
      <c r="D1840" s="22" t="e">
        <f>VLOOKUP($A1840, TAB_JUROS_U[[Q_DIAS_U_PARC_TIR]:[V_FUT_U_JURS CENARIO]], D$5, FALSE)</f>
        <v>#N/A</v>
      </c>
      <c r="E1840" s="22" t="e">
        <f>VLOOKUP($A1840,TAB_CORRECAO_U[[Q_DIAS_U_PARC_TIR]:[V_FUT_U_CORC-02]],E$5, FALSE)</f>
        <v>#N/A</v>
      </c>
      <c r="F1840" s="22" t="e">
        <f>VLOOKUP($A1840,TAB_AMORTIZACAO_U[[Q_DIAS_U_PARC_TIR]:[V_FUT_U_PCPL-02]], F$5, FALSE)</f>
        <v>#N/A</v>
      </c>
      <c r="H1840" s="20">
        <f t="shared" si="147"/>
        <v>0</v>
      </c>
      <c r="I1840" s="21">
        <f t="shared" si="148"/>
        <v>0</v>
      </c>
      <c r="J1840" s="22" t="e">
        <f>VLOOKUP($A1840, TAB_JUROS_C[[DIAS_CORRIDOS]:[V_FUT_UTEIS]], J$5, FALSE)</f>
        <v>#N/A</v>
      </c>
      <c r="K1840" s="22" t="e">
        <f>VLOOKUP($A1840, TAB_CORRECAO_C[[DIAS_CORRIDOS]:[V_FUT_UTEIS]],K$5, FALSE)</f>
        <v>#N/A</v>
      </c>
      <c r="L1840" s="22" t="e">
        <f>VLOOKUP($A1840, TAB_AMORTIZACAO_C[[DIAS_CORRIDOS]:[V_FUT_UTEIS]], L$5, FALSE)</f>
        <v>#N/A</v>
      </c>
    </row>
    <row r="1841" spans="1:12" hidden="1">
      <c r="A1841" s="19">
        <f t="shared" si="149"/>
        <v>1835</v>
      </c>
      <c r="B1841" s="20">
        <f t="shared" si="145"/>
        <v>0</v>
      </c>
      <c r="C1841" s="21">
        <f t="shared" si="146"/>
        <v>0</v>
      </c>
      <c r="D1841" s="22" t="e">
        <f>VLOOKUP($A1841, TAB_JUROS_U[[Q_DIAS_U_PARC_TIR]:[V_FUT_U_JURS CENARIO]], D$5, FALSE)</f>
        <v>#N/A</v>
      </c>
      <c r="E1841" s="22" t="e">
        <f>VLOOKUP($A1841,TAB_CORRECAO_U[[Q_DIAS_U_PARC_TIR]:[V_FUT_U_CORC-02]],E$5, FALSE)</f>
        <v>#N/A</v>
      </c>
      <c r="F1841" s="22" t="e">
        <f>VLOOKUP($A1841,TAB_AMORTIZACAO_U[[Q_DIAS_U_PARC_TIR]:[V_FUT_U_PCPL-02]], F$5, FALSE)</f>
        <v>#N/A</v>
      </c>
      <c r="H1841" s="20">
        <f t="shared" si="147"/>
        <v>0</v>
      </c>
      <c r="I1841" s="21">
        <f t="shared" si="148"/>
        <v>0</v>
      </c>
      <c r="J1841" s="22" t="e">
        <f>VLOOKUP($A1841, TAB_JUROS_C[[DIAS_CORRIDOS]:[V_FUT_UTEIS]], J$5, FALSE)</f>
        <v>#N/A</v>
      </c>
      <c r="K1841" s="22" t="e">
        <f>VLOOKUP($A1841, TAB_CORRECAO_C[[DIAS_CORRIDOS]:[V_FUT_UTEIS]],K$5, FALSE)</f>
        <v>#N/A</v>
      </c>
      <c r="L1841" s="22" t="e">
        <f>VLOOKUP($A1841, TAB_AMORTIZACAO_C[[DIAS_CORRIDOS]:[V_FUT_UTEIS]], L$5, FALSE)</f>
        <v>#N/A</v>
      </c>
    </row>
    <row r="1842" spans="1:12" hidden="1">
      <c r="A1842" s="19">
        <f t="shared" si="149"/>
        <v>1836</v>
      </c>
      <c r="B1842" s="20">
        <f t="shared" si="145"/>
        <v>0</v>
      </c>
      <c r="C1842" s="21">
        <f t="shared" si="146"/>
        <v>0</v>
      </c>
      <c r="D1842" s="22" t="e">
        <f>VLOOKUP($A1842, TAB_JUROS_U[[Q_DIAS_U_PARC_TIR]:[V_FUT_U_JURS CENARIO]], D$5, FALSE)</f>
        <v>#N/A</v>
      </c>
      <c r="E1842" s="22" t="e">
        <f>VLOOKUP($A1842,TAB_CORRECAO_U[[Q_DIAS_U_PARC_TIR]:[V_FUT_U_CORC-02]],E$5, FALSE)</f>
        <v>#N/A</v>
      </c>
      <c r="F1842" s="22" t="e">
        <f>VLOOKUP($A1842,TAB_AMORTIZACAO_U[[Q_DIAS_U_PARC_TIR]:[V_FUT_U_PCPL-02]], F$5, FALSE)</f>
        <v>#N/A</v>
      </c>
      <c r="H1842" s="20">
        <f t="shared" si="147"/>
        <v>0</v>
      </c>
      <c r="I1842" s="21">
        <f t="shared" si="148"/>
        <v>0</v>
      </c>
      <c r="J1842" s="22" t="e">
        <f>VLOOKUP($A1842, TAB_JUROS_C[[DIAS_CORRIDOS]:[V_FUT_UTEIS]], J$5, FALSE)</f>
        <v>#N/A</v>
      </c>
      <c r="K1842" s="22" t="e">
        <f>VLOOKUP($A1842, TAB_CORRECAO_C[[DIAS_CORRIDOS]:[V_FUT_UTEIS]],K$5, FALSE)</f>
        <v>#N/A</v>
      </c>
      <c r="L1842" s="22" t="e">
        <f>VLOOKUP($A1842, TAB_AMORTIZACAO_C[[DIAS_CORRIDOS]:[V_FUT_UTEIS]], L$5, FALSE)</f>
        <v>#N/A</v>
      </c>
    </row>
    <row r="1843" spans="1:12" hidden="1">
      <c r="A1843" s="19">
        <f t="shared" si="149"/>
        <v>1837</v>
      </c>
      <c r="B1843" s="20">
        <f t="shared" si="145"/>
        <v>0</v>
      </c>
      <c r="C1843" s="21">
        <f t="shared" si="146"/>
        <v>0</v>
      </c>
      <c r="D1843" s="22" t="e">
        <f>VLOOKUP($A1843, TAB_JUROS_U[[Q_DIAS_U_PARC_TIR]:[V_FUT_U_JURS CENARIO]], D$5, FALSE)</f>
        <v>#N/A</v>
      </c>
      <c r="E1843" s="22" t="e">
        <f>VLOOKUP($A1843,TAB_CORRECAO_U[[Q_DIAS_U_PARC_TIR]:[V_FUT_U_CORC-02]],E$5, FALSE)</f>
        <v>#N/A</v>
      </c>
      <c r="F1843" s="22" t="e">
        <f>VLOOKUP($A1843,TAB_AMORTIZACAO_U[[Q_DIAS_U_PARC_TIR]:[V_FUT_U_PCPL-02]], F$5, FALSE)</f>
        <v>#N/A</v>
      </c>
      <c r="H1843" s="20">
        <f t="shared" si="147"/>
        <v>0</v>
      </c>
      <c r="I1843" s="21">
        <f t="shared" si="148"/>
        <v>0</v>
      </c>
      <c r="J1843" s="22" t="e">
        <f>VLOOKUP($A1843, TAB_JUROS_C[[DIAS_CORRIDOS]:[V_FUT_UTEIS]], J$5, FALSE)</f>
        <v>#N/A</v>
      </c>
      <c r="K1843" s="22" t="e">
        <f>VLOOKUP($A1843, TAB_CORRECAO_C[[DIAS_CORRIDOS]:[V_FUT_UTEIS]],K$5, FALSE)</f>
        <v>#N/A</v>
      </c>
      <c r="L1843" s="22" t="e">
        <f>VLOOKUP($A1843, TAB_AMORTIZACAO_C[[DIAS_CORRIDOS]:[V_FUT_UTEIS]], L$5, FALSE)</f>
        <v>#N/A</v>
      </c>
    </row>
    <row r="1844" spans="1:12" hidden="1">
      <c r="A1844" s="19">
        <f t="shared" si="149"/>
        <v>1838</v>
      </c>
      <c r="B1844" s="20">
        <f t="shared" si="145"/>
        <v>0</v>
      </c>
      <c r="C1844" s="21">
        <f t="shared" si="146"/>
        <v>0</v>
      </c>
      <c r="D1844" s="22" t="e">
        <f>VLOOKUP($A1844, TAB_JUROS_U[[Q_DIAS_U_PARC_TIR]:[V_FUT_U_JURS CENARIO]], D$5, FALSE)</f>
        <v>#N/A</v>
      </c>
      <c r="E1844" s="22" t="e">
        <f>VLOOKUP($A1844,TAB_CORRECAO_U[[Q_DIAS_U_PARC_TIR]:[V_FUT_U_CORC-02]],E$5, FALSE)</f>
        <v>#N/A</v>
      </c>
      <c r="F1844" s="22" t="e">
        <f>VLOOKUP($A1844,TAB_AMORTIZACAO_U[[Q_DIAS_U_PARC_TIR]:[V_FUT_U_PCPL-02]], F$5, FALSE)</f>
        <v>#N/A</v>
      </c>
      <c r="H1844" s="20">
        <f t="shared" si="147"/>
        <v>0</v>
      </c>
      <c r="I1844" s="21">
        <f t="shared" si="148"/>
        <v>0</v>
      </c>
      <c r="J1844" s="22" t="e">
        <f>VLOOKUP($A1844, TAB_JUROS_C[[DIAS_CORRIDOS]:[V_FUT_UTEIS]], J$5, FALSE)</f>
        <v>#N/A</v>
      </c>
      <c r="K1844" s="22" t="e">
        <f>VLOOKUP($A1844, TAB_CORRECAO_C[[DIAS_CORRIDOS]:[V_FUT_UTEIS]],K$5, FALSE)</f>
        <v>#N/A</v>
      </c>
      <c r="L1844" s="22" t="e">
        <f>VLOOKUP($A1844, TAB_AMORTIZACAO_C[[DIAS_CORRIDOS]:[V_FUT_UTEIS]], L$5, FALSE)</f>
        <v>#N/A</v>
      </c>
    </row>
    <row r="1845" spans="1:12" hidden="1">
      <c r="A1845" s="19">
        <f t="shared" si="149"/>
        <v>1839</v>
      </c>
      <c r="B1845" s="20">
        <f t="shared" si="145"/>
        <v>0</v>
      </c>
      <c r="C1845" s="21">
        <f t="shared" si="146"/>
        <v>0</v>
      </c>
      <c r="D1845" s="22" t="e">
        <f>VLOOKUP($A1845, TAB_JUROS_U[[Q_DIAS_U_PARC_TIR]:[V_FUT_U_JURS CENARIO]], D$5, FALSE)</f>
        <v>#N/A</v>
      </c>
      <c r="E1845" s="22" t="e">
        <f>VLOOKUP($A1845,TAB_CORRECAO_U[[Q_DIAS_U_PARC_TIR]:[V_FUT_U_CORC-02]],E$5, FALSE)</f>
        <v>#N/A</v>
      </c>
      <c r="F1845" s="22" t="e">
        <f>VLOOKUP($A1845,TAB_AMORTIZACAO_U[[Q_DIAS_U_PARC_TIR]:[V_FUT_U_PCPL-02]], F$5, FALSE)</f>
        <v>#N/A</v>
      </c>
      <c r="H1845" s="20">
        <f t="shared" si="147"/>
        <v>0</v>
      </c>
      <c r="I1845" s="21">
        <f t="shared" si="148"/>
        <v>0</v>
      </c>
      <c r="J1845" s="22" t="e">
        <f>VLOOKUP($A1845, TAB_JUROS_C[[DIAS_CORRIDOS]:[V_FUT_UTEIS]], J$5, FALSE)</f>
        <v>#N/A</v>
      </c>
      <c r="K1845" s="22" t="e">
        <f>VLOOKUP($A1845, TAB_CORRECAO_C[[DIAS_CORRIDOS]:[V_FUT_UTEIS]],K$5, FALSE)</f>
        <v>#N/A</v>
      </c>
      <c r="L1845" s="22" t="e">
        <f>VLOOKUP($A1845, TAB_AMORTIZACAO_C[[DIAS_CORRIDOS]:[V_FUT_UTEIS]], L$5, FALSE)</f>
        <v>#N/A</v>
      </c>
    </row>
    <row r="1846" spans="1:12" hidden="1">
      <c r="A1846" s="19">
        <f t="shared" si="149"/>
        <v>1840</v>
      </c>
      <c r="B1846" s="20">
        <f t="shared" si="145"/>
        <v>0</v>
      </c>
      <c r="C1846" s="21">
        <f t="shared" si="146"/>
        <v>0</v>
      </c>
      <c r="D1846" s="22" t="e">
        <f>VLOOKUP($A1846, TAB_JUROS_U[[Q_DIAS_U_PARC_TIR]:[V_FUT_U_JURS CENARIO]], D$5, FALSE)</f>
        <v>#N/A</v>
      </c>
      <c r="E1846" s="22" t="e">
        <f>VLOOKUP($A1846,TAB_CORRECAO_U[[Q_DIAS_U_PARC_TIR]:[V_FUT_U_CORC-02]],E$5, FALSE)</f>
        <v>#N/A</v>
      </c>
      <c r="F1846" s="22" t="e">
        <f>VLOOKUP($A1846,TAB_AMORTIZACAO_U[[Q_DIAS_U_PARC_TIR]:[V_FUT_U_PCPL-02]], F$5, FALSE)</f>
        <v>#N/A</v>
      </c>
      <c r="H1846" s="20">
        <f t="shared" si="147"/>
        <v>0</v>
      </c>
      <c r="I1846" s="21">
        <f t="shared" si="148"/>
        <v>0</v>
      </c>
      <c r="J1846" s="22" t="e">
        <f>VLOOKUP($A1846, TAB_JUROS_C[[DIAS_CORRIDOS]:[V_FUT_UTEIS]], J$5, FALSE)</f>
        <v>#N/A</v>
      </c>
      <c r="K1846" s="22" t="e">
        <f>VLOOKUP($A1846, TAB_CORRECAO_C[[DIAS_CORRIDOS]:[V_FUT_UTEIS]],K$5, FALSE)</f>
        <v>#N/A</v>
      </c>
      <c r="L1846" s="22" t="e">
        <f>VLOOKUP($A1846, TAB_AMORTIZACAO_C[[DIAS_CORRIDOS]:[V_FUT_UTEIS]], L$5, FALSE)</f>
        <v>#N/A</v>
      </c>
    </row>
    <row r="1847" spans="1:12" hidden="1">
      <c r="A1847" s="19">
        <f t="shared" si="149"/>
        <v>1841</v>
      </c>
      <c r="B1847" s="20">
        <f t="shared" si="145"/>
        <v>0</v>
      </c>
      <c r="C1847" s="21">
        <f t="shared" si="146"/>
        <v>0</v>
      </c>
      <c r="D1847" s="22" t="e">
        <f>VLOOKUP($A1847, TAB_JUROS_U[[Q_DIAS_U_PARC_TIR]:[V_FUT_U_JURS CENARIO]], D$5, FALSE)</f>
        <v>#N/A</v>
      </c>
      <c r="E1847" s="22" t="e">
        <f>VLOOKUP($A1847,TAB_CORRECAO_U[[Q_DIAS_U_PARC_TIR]:[V_FUT_U_CORC-02]],E$5, FALSE)</f>
        <v>#N/A</v>
      </c>
      <c r="F1847" s="22" t="e">
        <f>VLOOKUP($A1847,TAB_AMORTIZACAO_U[[Q_DIAS_U_PARC_TIR]:[V_FUT_U_PCPL-02]], F$5, FALSE)</f>
        <v>#N/A</v>
      </c>
      <c r="H1847" s="20">
        <f t="shared" si="147"/>
        <v>694.38452679496083</v>
      </c>
      <c r="I1847" s="21">
        <f t="shared" si="148"/>
        <v>694.38452679496083</v>
      </c>
      <c r="J1847" s="22">
        <f>VLOOKUP($A1847, TAB_JUROS_C[[DIAS_CORRIDOS]:[V_FUT_UTEIS]], J$5, FALSE)</f>
        <v>50.793358463231179</v>
      </c>
      <c r="K1847" s="22">
        <f>VLOOKUP($A1847, TAB_CORRECAO_C[[DIAS_CORRIDOS]:[V_FUT_UTEIS]],K$5, FALSE)</f>
        <v>304.75002797735192</v>
      </c>
      <c r="L1847" s="22">
        <f>VLOOKUP($A1847, TAB_AMORTIZACAO_C[[DIAS_CORRIDOS]:[V_FUT_UTEIS]], L$5, FALSE)</f>
        <v>338.84114035437773</v>
      </c>
    </row>
    <row r="1848" spans="1:12" hidden="1">
      <c r="A1848" s="19">
        <f t="shared" si="149"/>
        <v>1842</v>
      </c>
      <c r="B1848" s="20">
        <f t="shared" si="145"/>
        <v>0</v>
      </c>
      <c r="C1848" s="21">
        <f t="shared" si="146"/>
        <v>0</v>
      </c>
      <c r="D1848" s="22" t="e">
        <f>VLOOKUP($A1848, TAB_JUROS_U[[Q_DIAS_U_PARC_TIR]:[V_FUT_U_JURS CENARIO]], D$5, FALSE)</f>
        <v>#N/A</v>
      </c>
      <c r="E1848" s="22" t="e">
        <f>VLOOKUP($A1848,TAB_CORRECAO_U[[Q_DIAS_U_PARC_TIR]:[V_FUT_U_CORC-02]],E$5, FALSE)</f>
        <v>#N/A</v>
      </c>
      <c r="F1848" s="22" t="e">
        <f>VLOOKUP($A1848,TAB_AMORTIZACAO_U[[Q_DIAS_U_PARC_TIR]:[V_FUT_U_PCPL-02]], F$5, FALSE)</f>
        <v>#N/A</v>
      </c>
      <c r="H1848" s="20">
        <f t="shared" si="147"/>
        <v>0</v>
      </c>
      <c r="I1848" s="21">
        <f t="shared" si="148"/>
        <v>0</v>
      </c>
      <c r="J1848" s="22" t="e">
        <f>VLOOKUP($A1848, TAB_JUROS_C[[DIAS_CORRIDOS]:[V_FUT_UTEIS]], J$5, FALSE)</f>
        <v>#N/A</v>
      </c>
      <c r="K1848" s="22" t="e">
        <f>VLOOKUP($A1848, TAB_CORRECAO_C[[DIAS_CORRIDOS]:[V_FUT_UTEIS]],K$5, FALSE)</f>
        <v>#N/A</v>
      </c>
      <c r="L1848" s="22" t="e">
        <f>VLOOKUP($A1848, TAB_AMORTIZACAO_C[[DIAS_CORRIDOS]:[V_FUT_UTEIS]], L$5, FALSE)</f>
        <v>#N/A</v>
      </c>
    </row>
    <row r="1849" spans="1:12" hidden="1">
      <c r="A1849" s="19">
        <f t="shared" si="149"/>
        <v>1843</v>
      </c>
      <c r="B1849" s="20">
        <f t="shared" si="145"/>
        <v>0</v>
      </c>
      <c r="C1849" s="21">
        <f t="shared" si="146"/>
        <v>0</v>
      </c>
      <c r="D1849" s="22" t="e">
        <f>VLOOKUP($A1849, TAB_JUROS_U[[Q_DIAS_U_PARC_TIR]:[V_FUT_U_JURS CENARIO]], D$5, FALSE)</f>
        <v>#N/A</v>
      </c>
      <c r="E1849" s="22" t="e">
        <f>VLOOKUP($A1849,TAB_CORRECAO_U[[Q_DIAS_U_PARC_TIR]:[V_FUT_U_CORC-02]],E$5, FALSE)</f>
        <v>#N/A</v>
      </c>
      <c r="F1849" s="22" t="e">
        <f>VLOOKUP($A1849,TAB_AMORTIZACAO_U[[Q_DIAS_U_PARC_TIR]:[V_FUT_U_PCPL-02]], F$5, FALSE)</f>
        <v>#N/A</v>
      </c>
      <c r="H1849" s="20">
        <f t="shared" si="147"/>
        <v>0</v>
      </c>
      <c r="I1849" s="21">
        <f t="shared" si="148"/>
        <v>0</v>
      </c>
      <c r="J1849" s="22" t="e">
        <f>VLOOKUP($A1849, TAB_JUROS_C[[DIAS_CORRIDOS]:[V_FUT_UTEIS]], J$5, FALSE)</f>
        <v>#N/A</v>
      </c>
      <c r="K1849" s="22" t="e">
        <f>VLOOKUP($A1849, TAB_CORRECAO_C[[DIAS_CORRIDOS]:[V_FUT_UTEIS]],K$5, FALSE)</f>
        <v>#N/A</v>
      </c>
      <c r="L1849" s="22" t="e">
        <f>VLOOKUP($A1849, TAB_AMORTIZACAO_C[[DIAS_CORRIDOS]:[V_FUT_UTEIS]], L$5, FALSE)</f>
        <v>#N/A</v>
      </c>
    </row>
    <row r="1850" spans="1:12" hidden="1">
      <c r="A1850" s="19">
        <f t="shared" si="149"/>
        <v>1844</v>
      </c>
      <c r="B1850" s="20">
        <f t="shared" si="145"/>
        <v>0</v>
      </c>
      <c r="C1850" s="21">
        <f t="shared" si="146"/>
        <v>0</v>
      </c>
      <c r="D1850" s="22" t="e">
        <f>VLOOKUP($A1850, TAB_JUROS_U[[Q_DIAS_U_PARC_TIR]:[V_FUT_U_JURS CENARIO]], D$5, FALSE)</f>
        <v>#N/A</v>
      </c>
      <c r="E1850" s="22" t="e">
        <f>VLOOKUP($A1850,TAB_CORRECAO_U[[Q_DIAS_U_PARC_TIR]:[V_FUT_U_CORC-02]],E$5, FALSE)</f>
        <v>#N/A</v>
      </c>
      <c r="F1850" s="22" t="e">
        <f>VLOOKUP($A1850,TAB_AMORTIZACAO_U[[Q_DIAS_U_PARC_TIR]:[V_FUT_U_PCPL-02]], F$5, FALSE)</f>
        <v>#N/A</v>
      </c>
      <c r="H1850" s="20">
        <f t="shared" si="147"/>
        <v>0</v>
      </c>
      <c r="I1850" s="21">
        <f t="shared" si="148"/>
        <v>0</v>
      </c>
      <c r="J1850" s="22" t="e">
        <f>VLOOKUP($A1850, TAB_JUROS_C[[DIAS_CORRIDOS]:[V_FUT_UTEIS]], J$5, FALSE)</f>
        <v>#N/A</v>
      </c>
      <c r="K1850" s="22" t="e">
        <f>VLOOKUP($A1850, TAB_CORRECAO_C[[DIAS_CORRIDOS]:[V_FUT_UTEIS]],K$5, FALSE)</f>
        <v>#N/A</v>
      </c>
      <c r="L1850" s="22" t="e">
        <f>VLOOKUP($A1850, TAB_AMORTIZACAO_C[[DIAS_CORRIDOS]:[V_FUT_UTEIS]], L$5, FALSE)</f>
        <v>#N/A</v>
      </c>
    </row>
    <row r="1851" spans="1:12" hidden="1">
      <c r="A1851" s="19">
        <f t="shared" si="149"/>
        <v>1845</v>
      </c>
      <c r="B1851" s="20">
        <f t="shared" si="145"/>
        <v>0</v>
      </c>
      <c r="C1851" s="21">
        <f t="shared" si="146"/>
        <v>0</v>
      </c>
      <c r="D1851" s="22" t="e">
        <f>VLOOKUP($A1851, TAB_JUROS_U[[Q_DIAS_U_PARC_TIR]:[V_FUT_U_JURS CENARIO]], D$5, FALSE)</f>
        <v>#N/A</v>
      </c>
      <c r="E1851" s="22" t="e">
        <f>VLOOKUP($A1851,TAB_CORRECAO_U[[Q_DIAS_U_PARC_TIR]:[V_FUT_U_CORC-02]],E$5, FALSE)</f>
        <v>#N/A</v>
      </c>
      <c r="F1851" s="22" t="e">
        <f>VLOOKUP($A1851,TAB_AMORTIZACAO_U[[Q_DIAS_U_PARC_TIR]:[V_FUT_U_PCPL-02]], F$5, FALSE)</f>
        <v>#N/A</v>
      </c>
      <c r="H1851" s="20">
        <f t="shared" si="147"/>
        <v>0</v>
      </c>
      <c r="I1851" s="21">
        <f t="shared" si="148"/>
        <v>0</v>
      </c>
      <c r="J1851" s="22" t="e">
        <f>VLOOKUP($A1851, TAB_JUROS_C[[DIAS_CORRIDOS]:[V_FUT_UTEIS]], J$5, FALSE)</f>
        <v>#N/A</v>
      </c>
      <c r="K1851" s="22" t="e">
        <f>VLOOKUP($A1851, TAB_CORRECAO_C[[DIAS_CORRIDOS]:[V_FUT_UTEIS]],K$5, FALSE)</f>
        <v>#N/A</v>
      </c>
      <c r="L1851" s="22" t="e">
        <f>VLOOKUP($A1851, TAB_AMORTIZACAO_C[[DIAS_CORRIDOS]:[V_FUT_UTEIS]], L$5, FALSE)</f>
        <v>#N/A</v>
      </c>
    </row>
    <row r="1852" spans="1:12" hidden="1">
      <c r="A1852" s="19">
        <f t="shared" si="149"/>
        <v>1846</v>
      </c>
      <c r="B1852" s="20">
        <f t="shared" si="145"/>
        <v>0</v>
      </c>
      <c r="C1852" s="21">
        <f t="shared" si="146"/>
        <v>0</v>
      </c>
      <c r="D1852" s="22" t="e">
        <f>VLOOKUP($A1852, TAB_JUROS_U[[Q_DIAS_U_PARC_TIR]:[V_FUT_U_JURS CENARIO]], D$5, FALSE)</f>
        <v>#N/A</v>
      </c>
      <c r="E1852" s="22" t="e">
        <f>VLOOKUP($A1852,TAB_CORRECAO_U[[Q_DIAS_U_PARC_TIR]:[V_FUT_U_CORC-02]],E$5, FALSE)</f>
        <v>#N/A</v>
      </c>
      <c r="F1852" s="22" t="e">
        <f>VLOOKUP($A1852,TAB_AMORTIZACAO_U[[Q_DIAS_U_PARC_TIR]:[V_FUT_U_PCPL-02]], F$5, FALSE)</f>
        <v>#N/A</v>
      </c>
      <c r="H1852" s="20">
        <f t="shared" si="147"/>
        <v>0</v>
      </c>
      <c r="I1852" s="21">
        <f t="shared" si="148"/>
        <v>0</v>
      </c>
      <c r="J1852" s="22" t="e">
        <f>VLOOKUP($A1852, TAB_JUROS_C[[DIAS_CORRIDOS]:[V_FUT_UTEIS]], J$5, FALSE)</f>
        <v>#N/A</v>
      </c>
      <c r="K1852" s="22" t="e">
        <f>VLOOKUP($A1852, TAB_CORRECAO_C[[DIAS_CORRIDOS]:[V_FUT_UTEIS]],K$5, FALSE)</f>
        <v>#N/A</v>
      </c>
      <c r="L1852" s="22" t="e">
        <f>VLOOKUP($A1852, TAB_AMORTIZACAO_C[[DIAS_CORRIDOS]:[V_FUT_UTEIS]], L$5, FALSE)</f>
        <v>#N/A</v>
      </c>
    </row>
    <row r="1853" spans="1:12" hidden="1">
      <c r="A1853" s="19">
        <f t="shared" si="149"/>
        <v>1847</v>
      </c>
      <c r="B1853" s="20">
        <f t="shared" si="145"/>
        <v>0</v>
      </c>
      <c r="C1853" s="21">
        <f t="shared" si="146"/>
        <v>0</v>
      </c>
      <c r="D1853" s="22" t="e">
        <f>VLOOKUP($A1853, TAB_JUROS_U[[Q_DIAS_U_PARC_TIR]:[V_FUT_U_JURS CENARIO]], D$5, FALSE)</f>
        <v>#N/A</v>
      </c>
      <c r="E1853" s="22" t="e">
        <f>VLOOKUP($A1853,TAB_CORRECAO_U[[Q_DIAS_U_PARC_TIR]:[V_FUT_U_CORC-02]],E$5, FALSE)</f>
        <v>#N/A</v>
      </c>
      <c r="F1853" s="22" t="e">
        <f>VLOOKUP($A1853,TAB_AMORTIZACAO_U[[Q_DIAS_U_PARC_TIR]:[V_FUT_U_PCPL-02]], F$5, FALSE)</f>
        <v>#N/A</v>
      </c>
      <c r="H1853" s="20">
        <f t="shared" si="147"/>
        <v>0</v>
      </c>
      <c r="I1853" s="21">
        <f t="shared" si="148"/>
        <v>0</v>
      </c>
      <c r="J1853" s="22" t="e">
        <f>VLOOKUP($A1853, TAB_JUROS_C[[DIAS_CORRIDOS]:[V_FUT_UTEIS]], J$5, FALSE)</f>
        <v>#N/A</v>
      </c>
      <c r="K1853" s="22" t="e">
        <f>VLOOKUP($A1853, TAB_CORRECAO_C[[DIAS_CORRIDOS]:[V_FUT_UTEIS]],K$5, FALSE)</f>
        <v>#N/A</v>
      </c>
      <c r="L1853" s="22" t="e">
        <f>VLOOKUP($A1853, TAB_AMORTIZACAO_C[[DIAS_CORRIDOS]:[V_FUT_UTEIS]], L$5, FALSE)</f>
        <v>#N/A</v>
      </c>
    </row>
    <row r="1854" spans="1:12" hidden="1">
      <c r="A1854" s="19">
        <f t="shared" si="149"/>
        <v>1848</v>
      </c>
      <c r="B1854" s="20">
        <f t="shared" si="145"/>
        <v>0</v>
      </c>
      <c r="C1854" s="21">
        <f t="shared" si="146"/>
        <v>0</v>
      </c>
      <c r="D1854" s="22" t="e">
        <f>VLOOKUP($A1854, TAB_JUROS_U[[Q_DIAS_U_PARC_TIR]:[V_FUT_U_JURS CENARIO]], D$5, FALSE)</f>
        <v>#N/A</v>
      </c>
      <c r="E1854" s="22" t="e">
        <f>VLOOKUP($A1854,TAB_CORRECAO_U[[Q_DIAS_U_PARC_TIR]:[V_FUT_U_CORC-02]],E$5, FALSE)</f>
        <v>#N/A</v>
      </c>
      <c r="F1854" s="22" t="e">
        <f>VLOOKUP($A1854,TAB_AMORTIZACAO_U[[Q_DIAS_U_PARC_TIR]:[V_FUT_U_PCPL-02]], F$5, FALSE)</f>
        <v>#N/A</v>
      </c>
      <c r="H1854" s="20">
        <f t="shared" si="147"/>
        <v>0</v>
      </c>
      <c r="I1854" s="21">
        <f t="shared" si="148"/>
        <v>0</v>
      </c>
      <c r="J1854" s="22" t="e">
        <f>VLOOKUP($A1854, TAB_JUROS_C[[DIAS_CORRIDOS]:[V_FUT_UTEIS]], J$5, FALSE)</f>
        <v>#N/A</v>
      </c>
      <c r="K1854" s="22" t="e">
        <f>VLOOKUP($A1854, TAB_CORRECAO_C[[DIAS_CORRIDOS]:[V_FUT_UTEIS]],K$5, FALSE)</f>
        <v>#N/A</v>
      </c>
      <c r="L1854" s="22" t="e">
        <f>VLOOKUP($A1854, TAB_AMORTIZACAO_C[[DIAS_CORRIDOS]:[V_FUT_UTEIS]], L$5, FALSE)</f>
        <v>#N/A</v>
      </c>
    </row>
    <row r="1855" spans="1:12" hidden="1">
      <c r="A1855" s="19">
        <f t="shared" si="149"/>
        <v>1849</v>
      </c>
      <c r="B1855" s="20">
        <f t="shared" si="145"/>
        <v>0</v>
      </c>
      <c r="C1855" s="21">
        <f t="shared" si="146"/>
        <v>0</v>
      </c>
      <c r="D1855" s="22" t="e">
        <f>VLOOKUP($A1855, TAB_JUROS_U[[Q_DIAS_U_PARC_TIR]:[V_FUT_U_JURS CENARIO]], D$5, FALSE)</f>
        <v>#N/A</v>
      </c>
      <c r="E1855" s="22" t="e">
        <f>VLOOKUP($A1855,TAB_CORRECAO_U[[Q_DIAS_U_PARC_TIR]:[V_FUT_U_CORC-02]],E$5, FALSE)</f>
        <v>#N/A</v>
      </c>
      <c r="F1855" s="22" t="e">
        <f>VLOOKUP($A1855,TAB_AMORTIZACAO_U[[Q_DIAS_U_PARC_TIR]:[V_FUT_U_PCPL-02]], F$5, FALSE)</f>
        <v>#N/A</v>
      </c>
      <c r="H1855" s="20">
        <f t="shared" si="147"/>
        <v>0</v>
      </c>
      <c r="I1855" s="21">
        <f t="shared" si="148"/>
        <v>0</v>
      </c>
      <c r="J1855" s="22" t="e">
        <f>VLOOKUP($A1855, TAB_JUROS_C[[DIAS_CORRIDOS]:[V_FUT_UTEIS]], J$5, FALSE)</f>
        <v>#N/A</v>
      </c>
      <c r="K1855" s="22" t="e">
        <f>VLOOKUP($A1855, TAB_CORRECAO_C[[DIAS_CORRIDOS]:[V_FUT_UTEIS]],K$5, FALSE)</f>
        <v>#N/A</v>
      </c>
      <c r="L1855" s="22" t="e">
        <f>VLOOKUP($A1855, TAB_AMORTIZACAO_C[[DIAS_CORRIDOS]:[V_FUT_UTEIS]], L$5, FALSE)</f>
        <v>#N/A</v>
      </c>
    </row>
    <row r="1856" spans="1:12">
      <c r="A1856" s="19">
        <f t="shared" si="149"/>
        <v>1850</v>
      </c>
      <c r="B1856" s="20">
        <f t="shared" si="145"/>
        <v>340.30293057127039</v>
      </c>
      <c r="C1856" s="21">
        <f t="shared" si="146"/>
        <v>340.30293057127039</v>
      </c>
      <c r="D1856" s="22">
        <f>VLOOKUP($A1856, TAB_JUROS_U[[Q_DIAS_U_PARC_TIR]:[V_FUT_U_JURS CENARIO]], D$5, FALSE)</f>
        <v>18.334428890907152</v>
      </c>
      <c r="E1856" s="22">
        <f>VLOOKUP($A1856,TAB_CORRECAO_U[[Q_DIAS_U_PARC_TIR]:[V_FUT_U_CORC-02]],E$5, FALSE)</f>
        <v>113.03846447342492</v>
      </c>
      <c r="F1856" s="22">
        <f>VLOOKUP($A1856,TAB_AMORTIZACAO_U[[Q_DIAS_U_PARC_TIR]:[V_FUT_U_PCPL-02]], F$5, FALSE)</f>
        <v>208.93003720693835</v>
      </c>
      <c r="H1856" s="20">
        <f t="shared" si="147"/>
        <v>0</v>
      </c>
      <c r="I1856" s="21">
        <f t="shared" si="148"/>
        <v>0</v>
      </c>
      <c r="J1856" s="22" t="e">
        <f>VLOOKUP($A1856, TAB_JUROS_C[[DIAS_CORRIDOS]:[V_FUT_UTEIS]], J$5, FALSE)</f>
        <v>#N/A</v>
      </c>
      <c r="K1856" s="22" t="e">
        <f>VLOOKUP($A1856, TAB_CORRECAO_C[[DIAS_CORRIDOS]:[V_FUT_UTEIS]],K$5, FALSE)</f>
        <v>#N/A</v>
      </c>
      <c r="L1856" s="22" t="e">
        <f>VLOOKUP($A1856, TAB_AMORTIZACAO_C[[DIAS_CORRIDOS]:[V_FUT_UTEIS]], L$5, FALSE)</f>
        <v>#N/A</v>
      </c>
    </row>
    <row r="1857" spans="1:12" hidden="1">
      <c r="A1857" s="19">
        <f t="shared" si="149"/>
        <v>1851</v>
      </c>
      <c r="B1857" s="20">
        <f t="shared" si="145"/>
        <v>0</v>
      </c>
      <c r="C1857" s="21">
        <f t="shared" si="146"/>
        <v>0</v>
      </c>
      <c r="D1857" s="22" t="e">
        <f>VLOOKUP($A1857, TAB_JUROS_U[[Q_DIAS_U_PARC_TIR]:[V_FUT_U_JURS CENARIO]], D$5, FALSE)</f>
        <v>#N/A</v>
      </c>
      <c r="E1857" s="22" t="e">
        <f>VLOOKUP($A1857,TAB_CORRECAO_U[[Q_DIAS_U_PARC_TIR]:[V_FUT_U_CORC-02]],E$5, FALSE)</f>
        <v>#N/A</v>
      </c>
      <c r="F1857" s="22" t="e">
        <f>VLOOKUP($A1857,TAB_AMORTIZACAO_U[[Q_DIAS_U_PARC_TIR]:[V_FUT_U_PCPL-02]], F$5, FALSE)</f>
        <v>#N/A</v>
      </c>
      <c r="H1857" s="20">
        <f t="shared" si="147"/>
        <v>0</v>
      </c>
      <c r="I1857" s="21">
        <f t="shared" si="148"/>
        <v>0</v>
      </c>
      <c r="J1857" s="22" t="e">
        <f>VLOOKUP($A1857, TAB_JUROS_C[[DIAS_CORRIDOS]:[V_FUT_UTEIS]], J$5, FALSE)</f>
        <v>#N/A</v>
      </c>
      <c r="K1857" s="22" t="e">
        <f>VLOOKUP($A1857, TAB_CORRECAO_C[[DIAS_CORRIDOS]:[V_FUT_UTEIS]],K$5, FALSE)</f>
        <v>#N/A</v>
      </c>
      <c r="L1857" s="22" t="e">
        <f>VLOOKUP($A1857, TAB_AMORTIZACAO_C[[DIAS_CORRIDOS]:[V_FUT_UTEIS]], L$5, FALSE)</f>
        <v>#N/A</v>
      </c>
    </row>
    <row r="1858" spans="1:12" hidden="1">
      <c r="A1858" s="19">
        <f t="shared" si="149"/>
        <v>1852</v>
      </c>
      <c r="B1858" s="20">
        <f t="shared" si="145"/>
        <v>0</v>
      </c>
      <c r="C1858" s="21">
        <f t="shared" si="146"/>
        <v>0</v>
      </c>
      <c r="D1858" s="22" t="e">
        <f>VLOOKUP($A1858, TAB_JUROS_U[[Q_DIAS_U_PARC_TIR]:[V_FUT_U_JURS CENARIO]], D$5, FALSE)</f>
        <v>#N/A</v>
      </c>
      <c r="E1858" s="22" t="e">
        <f>VLOOKUP($A1858,TAB_CORRECAO_U[[Q_DIAS_U_PARC_TIR]:[V_FUT_U_CORC-02]],E$5, FALSE)</f>
        <v>#N/A</v>
      </c>
      <c r="F1858" s="22" t="e">
        <f>VLOOKUP($A1858,TAB_AMORTIZACAO_U[[Q_DIAS_U_PARC_TIR]:[V_FUT_U_PCPL-02]], F$5, FALSE)</f>
        <v>#N/A</v>
      </c>
      <c r="H1858" s="20">
        <f t="shared" si="147"/>
        <v>0</v>
      </c>
      <c r="I1858" s="21">
        <f t="shared" si="148"/>
        <v>0</v>
      </c>
      <c r="J1858" s="22" t="e">
        <f>VLOOKUP($A1858, TAB_JUROS_C[[DIAS_CORRIDOS]:[V_FUT_UTEIS]], J$5, FALSE)</f>
        <v>#N/A</v>
      </c>
      <c r="K1858" s="22" t="e">
        <f>VLOOKUP($A1858, TAB_CORRECAO_C[[DIAS_CORRIDOS]:[V_FUT_UTEIS]],K$5, FALSE)</f>
        <v>#N/A</v>
      </c>
      <c r="L1858" s="22" t="e">
        <f>VLOOKUP($A1858, TAB_AMORTIZACAO_C[[DIAS_CORRIDOS]:[V_FUT_UTEIS]], L$5, FALSE)</f>
        <v>#N/A</v>
      </c>
    </row>
    <row r="1859" spans="1:12" hidden="1">
      <c r="A1859" s="19">
        <f t="shared" si="149"/>
        <v>1853</v>
      </c>
      <c r="B1859" s="20">
        <f t="shared" si="145"/>
        <v>0</v>
      </c>
      <c r="C1859" s="21">
        <f t="shared" si="146"/>
        <v>0</v>
      </c>
      <c r="D1859" s="22" t="e">
        <f>VLOOKUP($A1859, TAB_JUROS_U[[Q_DIAS_U_PARC_TIR]:[V_FUT_U_JURS CENARIO]], D$5, FALSE)</f>
        <v>#N/A</v>
      </c>
      <c r="E1859" s="22" t="e">
        <f>VLOOKUP($A1859,TAB_CORRECAO_U[[Q_DIAS_U_PARC_TIR]:[V_FUT_U_CORC-02]],E$5, FALSE)</f>
        <v>#N/A</v>
      </c>
      <c r="F1859" s="22" t="e">
        <f>VLOOKUP($A1859,TAB_AMORTIZACAO_U[[Q_DIAS_U_PARC_TIR]:[V_FUT_U_PCPL-02]], F$5, FALSE)</f>
        <v>#N/A</v>
      </c>
      <c r="H1859" s="20">
        <f t="shared" si="147"/>
        <v>0</v>
      </c>
      <c r="I1859" s="21">
        <f t="shared" si="148"/>
        <v>0</v>
      </c>
      <c r="J1859" s="22" t="e">
        <f>VLOOKUP($A1859, TAB_JUROS_C[[DIAS_CORRIDOS]:[V_FUT_UTEIS]], J$5, FALSE)</f>
        <v>#N/A</v>
      </c>
      <c r="K1859" s="22" t="e">
        <f>VLOOKUP($A1859, TAB_CORRECAO_C[[DIAS_CORRIDOS]:[V_FUT_UTEIS]],K$5, FALSE)</f>
        <v>#N/A</v>
      </c>
      <c r="L1859" s="22" t="e">
        <f>VLOOKUP($A1859, TAB_AMORTIZACAO_C[[DIAS_CORRIDOS]:[V_FUT_UTEIS]], L$5, FALSE)</f>
        <v>#N/A</v>
      </c>
    </row>
    <row r="1860" spans="1:12" hidden="1">
      <c r="A1860" s="19">
        <f t="shared" si="149"/>
        <v>1854</v>
      </c>
      <c r="B1860" s="20">
        <f t="shared" si="145"/>
        <v>0</v>
      </c>
      <c r="C1860" s="21">
        <f t="shared" si="146"/>
        <v>0</v>
      </c>
      <c r="D1860" s="22" t="e">
        <f>VLOOKUP($A1860, TAB_JUROS_U[[Q_DIAS_U_PARC_TIR]:[V_FUT_U_JURS CENARIO]], D$5, FALSE)</f>
        <v>#N/A</v>
      </c>
      <c r="E1860" s="22" t="e">
        <f>VLOOKUP($A1860,TAB_CORRECAO_U[[Q_DIAS_U_PARC_TIR]:[V_FUT_U_CORC-02]],E$5, FALSE)</f>
        <v>#N/A</v>
      </c>
      <c r="F1860" s="22" t="e">
        <f>VLOOKUP($A1860,TAB_AMORTIZACAO_U[[Q_DIAS_U_PARC_TIR]:[V_FUT_U_PCPL-02]], F$5, FALSE)</f>
        <v>#N/A</v>
      </c>
      <c r="H1860" s="20">
        <f t="shared" si="147"/>
        <v>0</v>
      </c>
      <c r="I1860" s="21">
        <f t="shared" si="148"/>
        <v>0</v>
      </c>
      <c r="J1860" s="22" t="e">
        <f>VLOOKUP($A1860, TAB_JUROS_C[[DIAS_CORRIDOS]:[V_FUT_UTEIS]], J$5, FALSE)</f>
        <v>#N/A</v>
      </c>
      <c r="K1860" s="22" t="e">
        <f>VLOOKUP($A1860, TAB_CORRECAO_C[[DIAS_CORRIDOS]:[V_FUT_UTEIS]],K$5, FALSE)</f>
        <v>#N/A</v>
      </c>
      <c r="L1860" s="22" t="e">
        <f>VLOOKUP($A1860, TAB_AMORTIZACAO_C[[DIAS_CORRIDOS]:[V_FUT_UTEIS]], L$5, FALSE)</f>
        <v>#N/A</v>
      </c>
    </row>
    <row r="1861" spans="1:12" hidden="1">
      <c r="A1861" s="19">
        <f t="shared" si="149"/>
        <v>1855</v>
      </c>
      <c r="B1861" s="20">
        <f t="shared" si="145"/>
        <v>0</v>
      </c>
      <c r="C1861" s="21">
        <f t="shared" si="146"/>
        <v>0</v>
      </c>
      <c r="D1861" s="22" t="e">
        <f>VLOOKUP($A1861, TAB_JUROS_U[[Q_DIAS_U_PARC_TIR]:[V_FUT_U_JURS CENARIO]], D$5, FALSE)</f>
        <v>#N/A</v>
      </c>
      <c r="E1861" s="22" t="e">
        <f>VLOOKUP($A1861,TAB_CORRECAO_U[[Q_DIAS_U_PARC_TIR]:[V_FUT_U_CORC-02]],E$5, FALSE)</f>
        <v>#N/A</v>
      </c>
      <c r="F1861" s="22" t="e">
        <f>VLOOKUP($A1861,TAB_AMORTIZACAO_U[[Q_DIAS_U_PARC_TIR]:[V_FUT_U_PCPL-02]], F$5, FALSE)</f>
        <v>#N/A</v>
      </c>
      <c r="H1861" s="20">
        <f t="shared" si="147"/>
        <v>0</v>
      </c>
      <c r="I1861" s="21">
        <f t="shared" si="148"/>
        <v>0</v>
      </c>
      <c r="J1861" s="22" t="e">
        <f>VLOOKUP($A1861, TAB_JUROS_C[[DIAS_CORRIDOS]:[V_FUT_UTEIS]], J$5, FALSE)</f>
        <v>#N/A</v>
      </c>
      <c r="K1861" s="22" t="e">
        <f>VLOOKUP($A1861, TAB_CORRECAO_C[[DIAS_CORRIDOS]:[V_FUT_UTEIS]],K$5, FALSE)</f>
        <v>#N/A</v>
      </c>
      <c r="L1861" s="22" t="e">
        <f>VLOOKUP($A1861, TAB_AMORTIZACAO_C[[DIAS_CORRIDOS]:[V_FUT_UTEIS]], L$5, FALSE)</f>
        <v>#N/A</v>
      </c>
    </row>
    <row r="1862" spans="1:12" hidden="1">
      <c r="A1862" s="19">
        <f t="shared" si="149"/>
        <v>1856</v>
      </c>
      <c r="B1862" s="20">
        <f t="shared" si="145"/>
        <v>0</v>
      </c>
      <c r="C1862" s="21">
        <f t="shared" si="146"/>
        <v>0</v>
      </c>
      <c r="D1862" s="22" t="e">
        <f>VLOOKUP($A1862, TAB_JUROS_U[[Q_DIAS_U_PARC_TIR]:[V_FUT_U_JURS CENARIO]], D$5, FALSE)</f>
        <v>#N/A</v>
      </c>
      <c r="E1862" s="22" t="e">
        <f>VLOOKUP($A1862,TAB_CORRECAO_U[[Q_DIAS_U_PARC_TIR]:[V_FUT_U_CORC-02]],E$5, FALSE)</f>
        <v>#N/A</v>
      </c>
      <c r="F1862" s="22" t="e">
        <f>VLOOKUP($A1862,TAB_AMORTIZACAO_U[[Q_DIAS_U_PARC_TIR]:[V_FUT_U_PCPL-02]], F$5, FALSE)</f>
        <v>#N/A</v>
      </c>
      <c r="H1862" s="20">
        <f t="shared" si="147"/>
        <v>0</v>
      </c>
      <c r="I1862" s="21">
        <f t="shared" si="148"/>
        <v>0</v>
      </c>
      <c r="J1862" s="22" t="e">
        <f>VLOOKUP($A1862, TAB_JUROS_C[[DIAS_CORRIDOS]:[V_FUT_UTEIS]], J$5, FALSE)</f>
        <v>#N/A</v>
      </c>
      <c r="K1862" s="22" t="e">
        <f>VLOOKUP($A1862, TAB_CORRECAO_C[[DIAS_CORRIDOS]:[V_FUT_UTEIS]],K$5, FALSE)</f>
        <v>#N/A</v>
      </c>
      <c r="L1862" s="22" t="e">
        <f>VLOOKUP($A1862, TAB_AMORTIZACAO_C[[DIAS_CORRIDOS]:[V_FUT_UTEIS]], L$5, FALSE)</f>
        <v>#N/A</v>
      </c>
    </row>
    <row r="1863" spans="1:12" hidden="1">
      <c r="A1863" s="19">
        <f t="shared" si="149"/>
        <v>1857</v>
      </c>
      <c r="B1863" s="20">
        <f t="shared" si="145"/>
        <v>0</v>
      </c>
      <c r="C1863" s="21">
        <f t="shared" si="146"/>
        <v>0</v>
      </c>
      <c r="D1863" s="22" t="e">
        <f>VLOOKUP($A1863, TAB_JUROS_U[[Q_DIAS_U_PARC_TIR]:[V_FUT_U_JURS CENARIO]], D$5, FALSE)</f>
        <v>#N/A</v>
      </c>
      <c r="E1863" s="22" t="e">
        <f>VLOOKUP($A1863,TAB_CORRECAO_U[[Q_DIAS_U_PARC_TIR]:[V_FUT_U_CORC-02]],E$5, FALSE)</f>
        <v>#N/A</v>
      </c>
      <c r="F1863" s="22" t="e">
        <f>VLOOKUP($A1863,TAB_AMORTIZACAO_U[[Q_DIAS_U_PARC_TIR]:[V_FUT_U_PCPL-02]], F$5, FALSE)</f>
        <v>#N/A</v>
      </c>
      <c r="H1863" s="20">
        <f t="shared" si="147"/>
        <v>0</v>
      </c>
      <c r="I1863" s="21">
        <f t="shared" si="148"/>
        <v>0</v>
      </c>
      <c r="J1863" s="22" t="e">
        <f>VLOOKUP($A1863, TAB_JUROS_C[[DIAS_CORRIDOS]:[V_FUT_UTEIS]], J$5, FALSE)</f>
        <v>#N/A</v>
      </c>
      <c r="K1863" s="22" t="e">
        <f>VLOOKUP($A1863, TAB_CORRECAO_C[[DIAS_CORRIDOS]:[V_FUT_UTEIS]],K$5, FALSE)</f>
        <v>#N/A</v>
      </c>
      <c r="L1863" s="22" t="e">
        <f>VLOOKUP($A1863, TAB_AMORTIZACAO_C[[DIAS_CORRIDOS]:[V_FUT_UTEIS]], L$5, FALSE)</f>
        <v>#N/A</v>
      </c>
    </row>
    <row r="1864" spans="1:12" hidden="1">
      <c r="A1864" s="19">
        <f t="shared" si="149"/>
        <v>1858</v>
      </c>
      <c r="B1864" s="20">
        <f t="shared" si="145"/>
        <v>0</v>
      </c>
      <c r="C1864" s="21">
        <f t="shared" si="146"/>
        <v>0</v>
      </c>
      <c r="D1864" s="22" t="e">
        <f>VLOOKUP($A1864, TAB_JUROS_U[[Q_DIAS_U_PARC_TIR]:[V_FUT_U_JURS CENARIO]], D$5, FALSE)</f>
        <v>#N/A</v>
      </c>
      <c r="E1864" s="22" t="e">
        <f>VLOOKUP($A1864,TAB_CORRECAO_U[[Q_DIAS_U_PARC_TIR]:[V_FUT_U_CORC-02]],E$5, FALSE)</f>
        <v>#N/A</v>
      </c>
      <c r="F1864" s="22" t="e">
        <f>VLOOKUP($A1864,TAB_AMORTIZACAO_U[[Q_DIAS_U_PARC_TIR]:[V_FUT_U_PCPL-02]], F$5, FALSE)</f>
        <v>#N/A</v>
      </c>
      <c r="H1864" s="20">
        <f t="shared" si="147"/>
        <v>0</v>
      </c>
      <c r="I1864" s="21">
        <f t="shared" si="148"/>
        <v>0</v>
      </c>
      <c r="J1864" s="22" t="e">
        <f>VLOOKUP($A1864, TAB_JUROS_C[[DIAS_CORRIDOS]:[V_FUT_UTEIS]], J$5, FALSE)</f>
        <v>#N/A</v>
      </c>
      <c r="K1864" s="22" t="e">
        <f>VLOOKUP($A1864, TAB_CORRECAO_C[[DIAS_CORRIDOS]:[V_FUT_UTEIS]],K$5, FALSE)</f>
        <v>#N/A</v>
      </c>
      <c r="L1864" s="22" t="e">
        <f>VLOOKUP($A1864, TAB_AMORTIZACAO_C[[DIAS_CORRIDOS]:[V_FUT_UTEIS]], L$5, FALSE)</f>
        <v>#N/A</v>
      </c>
    </row>
    <row r="1865" spans="1:12" hidden="1">
      <c r="A1865" s="19">
        <f t="shared" si="149"/>
        <v>1859</v>
      </c>
      <c r="B1865" s="20">
        <f t="shared" ref="B1865:B1928" si="150">IF(ISERROR(C1865), 0, C1865)</f>
        <v>0</v>
      </c>
      <c r="C1865" s="21">
        <f t="shared" ref="C1865:C1928" si="151">SUMIF(D1865:F1865, "&gt;0", D1865:F1865)</f>
        <v>0</v>
      </c>
      <c r="D1865" s="22" t="e">
        <f>VLOOKUP($A1865, TAB_JUROS_U[[Q_DIAS_U_PARC_TIR]:[V_FUT_U_JURS CENARIO]], D$5, FALSE)</f>
        <v>#N/A</v>
      </c>
      <c r="E1865" s="22" t="e">
        <f>VLOOKUP($A1865,TAB_CORRECAO_U[[Q_DIAS_U_PARC_TIR]:[V_FUT_U_CORC-02]],E$5, FALSE)</f>
        <v>#N/A</v>
      </c>
      <c r="F1865" s="22" t="e">
        <f>VLOOKUP($A1865,TAB_AMORTIZACAO_U[[Q_DIAS_U_PARC_TIR]:[V_FUT_U_PCPL-02]], F$5, FALSE)</f>
        <v>#N/A</v>
      </c>
      <c r="H1865" s="20">
        <f t="shared" ref="H1865:H1928" si="152">IF(ISERROR(I1865), 0, I1865)</f>
        <v>0</v>
      </c>
      <c r="I1865" s="21">
        <f t="shared" ref="I1865:I1928" si="153">SUMIF(J1865:L1865, "&gt;0", J1865:L1865)</f>
        <v>0</v>
      </c>
      <c r="J1865" s="22" t="e">
        <f>VLOOKUP($A1865, TAB_JUROS_C[[DIAS_CORRIDOS]:[V_FUT_UTEIS]], J$5, FALSE)</f>
        <v>#N/A</v>
      </c>
      <c r="K1865" s="22" t="e">
        <f>VLOOKUP($A1865, TAB_CORRECAO_C[[DIAS_CORRIDOS]:[V_FUT_UTEIS]],K$5, FALSE)</f>
        <v>#N/A</v>
      </c>
      <c r="L1865" s="22" t="e">
        <f>VLOOKUP($A1865, TAB_AMORTIZACAO_C[[DIAS_CORRIDOS]:[V_FUT_UTEIS]], L$5, FALSE)</f>
        <v>#N/A</v>
      </c>
    </row>
    <row r="1866" spans="1:12" hidden="1">
      <c r="A1866" s="19">
        <f t="shared" ref="A1866:A1929" si="154">A1865+1</f>
        <v>1860</v>
      </c>
      <c r="B1866" s="20">
        <f t="shared" si="150"/>
        <v>0</v>
      </c>
      <c r="C1866" s="21">
        <f t="shared" si="151"/>
        <v>0</v>
      </c>
      <c r="D1866" s="22" t="e">
        <f>VLOOKUP($A1866, TAB_JUROS_U[[Q_DIAS_U_PARC_TIR]:[V_FUT_U_JURS CENARIO]], D$5, FALSE)</f>
        <v>#N/A</v>
      </c>
      <c r="E1866" s="22" t="e">
        <f>VLOOKUP($A1866,TAB_CORRECAO_U[[Q_DIAS_U_PARC_TIR]:[V_FUT_U_CORC-02]],E$5, FALSE)</f>
        <v>#N/A</v>
      </c>
      <c r="F1866" s="22" t="e">
        <f>VLOOKUP($A1866,TAB_AMORTIZACAO_U[[Q_DIAS_U_PARC_TIR]:[V_FUT_U_PCPL-02]], F$5, FALSE)</f>
        <v>#N/A</v>
      </c>
      <c r="H1866" s="20">
        <f t="shared" si="152"/>
        <v>0</v>
      </c>
      <c r="I1866" s="21">
        <f t="shared" si="153"/>
        <v>0</v>
      </c>
      <c r="J1866" s="22" t="e">
        <f>VLOOKUP($A1866, TAB_JUROS_C[[DIAS_CORRIDOS]:[V_FUT_UTEIS]], J$5, FALSE)</f>
        <v>#N/A</v>
      </c>
      <c r="K1866" s="22" t="e">
        <f>VLOOKUP($A1866, TAB_CORRECAO_C[[DIAS_CORRIDOS]:[V_FUT_UTEIS]],K$5, FALSE)</f>
        <v>#N/A</v>
      </c>
      <c r="L1866" s="22" t="e">
        <f>VLOOKUP($A1866, TAB_AMORTIZACAO_C[[DIAS_CORRIDOS]:[V_FUT_UTEIS]], L$5, FALSE)</f>
        <v>#N/A</v>
      </c>
    </row>
    <row r="1867" spans="1:12" hidden="1">
      <c r="A1867" s="19">
        <f t="shared" si="154"/>
        <v>1861</v>
      </c>
      <c r="B1867" s="20">
        <f t="shared" si="150"/>
        <v>0</v>
      </c>
      <c r="C1867" s="21">
        <f t="shared" si="151"/>
        <v>0</v>
      </c>
      <c r="D1867" s="22" t="e">
        <f>VLOOKUP($A1867, TAB_JUROS_U[[Q_DIAS_U_PARC_TIR]:[V_FUT_U_JURS CENARIO]], D$5, FALSE)</f>
        <v>#N/A</v>
      </c>
      <c r="E1867" s="22" t="e">
        <f>VLOOKUP($A1867,TAB_CORRECAO_U[[Q_DIAS_U_PARC_TIR]:[V_FUT_U_CORC-02]],E$5, FALSE)</f>
        <v>#N/A</v>
      </c>
      <c r="F1867" s="22" t="e">
        <f>VLOOKUP($A1867,TAB_AMORTIZACAO_U[[Q_DIAS_U_PARC_TIR]:[V_FUT_U_PCPL-02]], F$5, FALSE)</f>
        <v>#N/A</v>
      </c>
      <c r="H1867" s="20">
        <f t="shared" si="152"/>
        <v>0</v>
      </c>
      <c r="I1867" s="21">
        <f t="shared" si="153"/>
        <v>0</v>
      </c>
      <c r="J1867" s="22" t="e">
        <f>VLOOKUP($A1867, TAB_JUROS_C[[DIAS_CORRIDOS]:[V_FUT_UTEIS]], J$5, FALSE)</f>
        <v>#N/A</v>
      </c>
      <c r="K1867" s="22" t="e">
        <f>VLOOKUP($A1867, TAB_CORRECAO_C[[DIAS_CORRIDOS]:[V_FUT_UTEIS]],K$5, FALSE)</f>
        <v>#N/A</v>
      </c>
      <c r="L1867" s="22" t="e">
        <f>VLOOKUP($A1867, TAB_AMORTIZACAO_C[[DIAS_CORRIDOS]:[V_FUT_UTEIS]], L$5, FALSE)</f>
        <v>#N/A</v>
      </c>
    </row>
    <row r="1868" spans="1:12" hidden="1">
      <c r="A1868" s="19">
        <f t="shared" si="154"/>
        <v>1862</v>
      </c>
      <c r="B1868" s="20">
        <f t="shared" si="150"/>
        <v>0</v>
      </c>
      <c r="C1868" s="21">
        <f t="shared" si="151"/>
        <v>0</v>
      </c>
      <c r="D1868" s="22" t="e">
        <f>VLOOKUP($A1868, TAB_JUROS_U[[Q_DIAS_U_PARC_TIR]:[V_FUT_U_JURS CENARIO]], D$5, FALSE)</f>
        <v>#N/A</v>
      </c>
      <c r="E1868" s="22" t="e">
        <f>VLOOKUP($A1868,TAB_CORRECAO_U[[Q_DIAS_U_PARC_TIR]:[V_FUT_U_CORC-02]],E$5, FALSE)</f>
        <v>#N/A</v>
      </c>
      <c r="F1868" s="22" t="e">
        <f>VLOOKUP($A1868,TAB_AMORTIZACAO_U[[Q_DIAS_U_PARC_TIR]:[V_FUT_U_PCPL-02]], F$5, FALSE)</f>
        <v>#N/A</v>
      </c>
      <c r="H1868" s="20">
        <f t="shared" si="152"/>
        <v>0</v>
      </c>
      <c r="I1868" s="21">
        <f t="shared" si="153"/>
        <v>0</v>
      </c>
      <c r="J1868" s="22" t="e">
        <f>VLOOKUP($A1868, TAB_JUROS_C[[DIAS_CORRIDOS]:[V_FUT_UTEIS]], J$5, FALSE)</f>
        <v>#N/A</v>
      </c>
      <c r="K1868" s="22" t="e">
        <f>VLOOKUP($A1868, TAB_CORRECAO_C[[DIAS_CORRIDOS]:[V_FUT_UTEIS]],K$5, FALSE)</f>
        <v>#N/A</v>
      </c>
      <c r="L1868" s="22" t="e">
        <f>VLOOKUP($A1868, TAB_AMORTIZACAO_C[[DIAS_CORRIDOS]:[V_FUT_UTEIS]], L$5, FALSE)</f>
        <v>#N/A</v>
      </c>
    </row>
    <row r="1869" spans="1:12" hidden="1">
      <c r="A1869" s="19">
        <f t="shared" si="154"/>
        <v>1863</v>
      </c>
      <c r="B1869" s="20">
        <f t="shared" si="150"/>
        <v>0</v>
      </c>
      <c r="C1869" s="21">
        <f t="shared" si="151"/>
        <v>0</v>
      </c>
      <c r="D1869" s="22" t="e">
        <f>VLOOKUP($A1869, TAB_JUROS_U[[Q_DIAS_U_PARC_TIR]:[V_FUT_U_JURS CENARIO]], D$5, FALSE)</f>
        <v>#N/A</v>
      </c>
      <c r="E1869" s="22" t="e">
        <f>VLOOKUP($A1869,TAB_CORRECAO_U[[Q_DIAS_U_PARC_TIR]:[V_FUT_U_CORC-02]],E$5, FALSE)</f>
        <v>#N/A</v>
      </c>
      <c r="F1869" s="22" t="e">
        <f>VLOOKUP($A1869,TAB_AMORTIZACAO_U[[Q_DIAS_U_PARC_TIR]:[V_FUT_U_PCPL-02]], F$5, FALSE)</f>
        <v>#N/A</v>
      </c>
      <c r="H1869" s="20">
        <f t="shared" si="152"/>
        <v>0</v>
      </c>
      <c r="I1869" s="21">
        <f t="shared" si="153"/>
        <v>0</v>
      </c>
      <c r="J1869" s="22" t="e">
        <f>VLOOKUP($A1869, TAB_JUROS_C[[DIAS_CORRIDOS]:[V_FUT_UTEIS]], J$5, FALSE)</f>
        <v>#N/A</v>
      </c>
      <c r="K1869" s="22" t="e">
        <f>VLOOKUP($A1869, TAB_CORRECAO_C[[DIAS_CORRIDOS]:[V_FUT_UTEIS]],K$5, FALSE)</f>
        <v>#N/A</v>
      </c>
      <c r="L1869" s="22" t="e">
        <f>VLOOKUP($A1869, TAB_AMORTIZACAO_C[[DIAS_CORRIDOS]:[V_FUT_UTEIS]], L$5, FALSE)</f>
        <v>#N/A</v>
      </c>
    </row>
    <row r="1870" spans="1:12" hidden="1">
      <c r="A1870" s="19">
        <f t="shared" si="154"/>
        <v>1864</v>
      </c>
      <c r="B1870" s="20">
        <f t="shared" si="150"/>
        <v>0</v>
      </c>
      <c r="C1870" s="21">
        <f t="shared" si="151"/>
        <v>0</v>
      </c>
      <c r="D1870" s="22" t="e">
        <f>VLOOKUP($A1870, TAB_JUROS_U[[Q_DIAS_U_PARC_TIR]:[V_FUT_U_JURS CENARIO]], D$5, FALSE)</f>
        <v>#N/A</v>
      </c>
      <c r="E1870" s="22" t="e">
        <f>VLOOKUP($A1870,TAB_CORRECAO_U[[Q_DIAS_U_PARC_TIR]:[V_FUT_U_CORC-02]],E$5, FALSE)</f>
        <v>#N/A</v>
      </c>
      <c r="F1870" s="22" t="e">
        <f>VLOOKUP($A1870,TAB_AMORTIZACAO_U[[Q_DIAS_U_PARC_TIR]:[V_FUT_U_PCPL-02]], F$5, FALSE)</f>
        <v>#N/A</v>
      </c>
      <c r="H1870" s="20">
        <f t="shared" si="152"/>
        <v>0</v>
      </c>
      <c r="I1870" s="21">
        <f t="shared" si="153"/>
        <v>0</v>
      </c>
      <c r="J1870" s="22" t="e">
        <f>VLOOKUP($A1870, TAB_JUROS_C[[DIAS_CORRIDOS]:[V_FUT_UTEIS]], J$5, FALSE)</f>
        <v>#N/A</v>
      </c>
      <c r="K1870" s="22" t="e">
        <f>VLOOKUP($A1870, TAB_CORRECAO_C[[DIAS_CORRIDOS]:[V_FUT_UTEIS]],K$5, FALSE)</f>
        <v>#N/A</v>
      </c>
      <c r="L1870" s="22" t="e">
        <f>VLOOKUP($A1870, TAB_AMORTIZACAO_C[[DIAS_CORRIDOS]:[V_FUT_UTEIS]], L$5, FALSE)</f>
        <v>#N/A</v>
      </c>
    </row>
    <row r="1871" spans="1:12" hidden="1">
      <c r="A1871" s="19">
        <f t="shared" si="154"/>
        <v>1865</v>
      </c>
      <c r="B1871" s="20">
        <f t="shared" si="150"/>
        <v>0</v>
      </c>
      <c r="C1871" s="21">
        <f t="shared" si="151"/>
        <v>0</v>
      </c>
      <c r="D1871" s="22" t="e">
        <f>VLOOKUP($A1871, TAB_JUROS_U[[Q_DIAS_U_PARC_TIR]:[V_FUT_U_JURS CENARIO]], D$5, FALSE)</f>
        <v>#N/A</v>
      </c>
      <c r="E1871" s="22" t="e">
        <f>VLOOKUP($A1871,TAB_CORRECAO_U[[Q_DIAS_U_PARC_TIR]:[V_FUT_U_CORC-02]],E$5, FALSE)</f>
        <v>#N/A</v>
      </c>
      <c r="F1871" s="22" t="e">
        <f>VLOOKUP($A1871,TAB_AMORTIZACAO_U[[Q_DIAS_U_PARC_TIR]:[V_FUT_U_PCPL-02]], F$5, FALSE)</f>
        <v>#N/A</v>
      </c>
      <c r="H1871" s="20">
        <f t="shared" si="152"/>
        <v>0</v>
      </c>
      <c r="I1871" s="21">
        <f t="shared" si="153"/>
        <v>0</v>
      </c>
      <c r="J1871" s="22" t="e">
        <f>VLOOKUP($A1871, TAB_JUROS_C[[DIAS_CORRIDOS]:[V_FUT_UTEIS]], J$5, FALSE)</f>
        <v>#N/A</v>
      </c>
      <c r="K1871" s="22" t="e">
        <f>VLOOKUP($A1871, TAB_CORRECAO_C[[DIAS_CORRIDOS]:[V_FUT_UTEIS]],K$5, FALSE)</f>
        <v>#N/A</v>
      </c>
      <c r="L1871" s="22" t="e">
        <f>VLOOKUP($A1871, TAB_AMORTIZACAO_C[[DIAS_CORRIDOS]:[V_FUT_UTEIS]], L$5, FALSE)</f>
        <v>#N/A</v>
      </c>
    </row>
    <row r="1872" spans="1:12" hidden="1">
      <c r="A1872" s="19">
        <f t="shared" si="154"/>
        <v>1866</v>
      </c>
      <c r="B1872" s="20">
        <f t="shared" si="150"/>
        <v>0</v>
      </c>
      <c r="C1872" s="21">
        <f t="shared" si="151"/>
        <v>0</v>
      </c>
      <c r="D1872" s="22" t="e">
        <f>VLOOKUP($A1872, TAB_JUROS_U[[Q_DIAS_U_PARC_TIR]:[V_FUT_U_JURS CENARIO]], D$5, FALSE)</f>
        <v>#N/A</v>
      </c>
      <c r="E1872" s="22" t="e">
        <f>VLOOKUP($A1872,TAB_CORRECAO_U[[Q_DIAS_U_PARC_TIR]:[V_FUT_U_CORC-02]],E$5, FALSE)</f>
        <v>#N/A</v>
      </c>
      <c r="F1872" s="22" t="e">
        <f>VLOOKUP($A1872,TAB_AMORTIZACAO_U[[Q_DIAS_U_PARC_TIR]:[V_FUT_U_PCPL-02]], F$5, FALSE)</f>
        <v>#N/A</v>
      </c>
      <c r="H1872" s="20">
        <f t="shared" si="152"/>
        <v>0</v>
      </c>
      <c r="I1872" s="21">
        <f t="shared" si="153"/>
        <v>0</v>
      </c>
      <c r="J1872" s="22" t="e">
        <f>VLOOKUP($A1872, TAB_JUROS_C[[DIAS_CORRIDOS]:[V_FUT_UTEIS]], J$5, FALSE)</f>
        <v>#N/A</v>
      </c>
      <c r="K1872" s="22" t="e">
        <f>VLOOKUP($A1872, TAB_CORRECAO_C[[DIAS_CORRIDOS]:[V_FUT_UTEIS]],K$5, FALSE)</f>
        <v>#N/A</v>
      </c>
      <c r="L1872" s="22" t="e">
        <f>VLOOKUP($A1872, TAB_AMORTIZACAO_C[[DIAS_CORRIDOS]:[V_FUT_UTEIS]], L$5, FALSE)</f>
        <v>#N/A</v>
      </c>
    </row>
    <row r="1873" spans="1:12" hidden="1">
      <c r="A1873" s="19">
        <f t="shared" si="154"/>
        <v>1867</v>
      </c>
      <c r="B1873" s="20">
        <f t="shared" si="150"/>
        <v>0</v>
      </c>
      <c r="C1873" s="21">
        <f t="shared" si="151"/>
        <v>0</v>
      </c>
      <c r="D1873" s="22" t="e">
        <f>VLOOKUP($A1873, TAB_JUROS_U[[Q_DIAS_U_PARC_TIR]:[V_FUT_U_JURS CENARIO]], D$5, FALSE)</f>
        <v>#N/A</v>
      </c>
      <c r="E1873" s="22" t="e">
        <f>VLOOKUP($A1873,TAB_CORRECAO_U[[Q_DIAS_U_PARC_TIR]:[V_FUT_U_CORC-02]],E$5, FALSE)</f>
        <v>#N/A</v>
      </c>
      <c r="F1873" s="22" t="e">
        <f>VLOOKUP($A1873,TAB_AMORTIZACAO_U[[Q_DIAS_U_PARC_TIR]:[V_FUT_U_PCPL-02]], F$5, FALSE)</f>
        <v>#N/A</v>
      </c>
      <c r="H1873" s="20">
        <f t="shared" si="152"/>
        <v>0</v>
      </c>
      <c r="I1873" s="21">
        <f t="shared" si="153"/>
        <v>0</v>
      </c>
      <c r="J1873" s="22" t="e">
        <f>VLOOKUP($A1873, TAB_JUROS_C[[DIAS_CORRIDOS]:[V_FUT_UTEIS]], J$5, FALSE)</f>
        <v>#N/A</v>
      </c>
      <c r="K1873" s="22" t="e">
        <f>VLOOKUP($A1873, TAB_CORRECAO_C[[DIAS_CORRIDOS]:[V_FUT_UTEIS]],K$5, FALSE)</f>
        <v>#N/A</v>
      </c>
      <c r="L1873" s="22" t="e">
        <f>VLOOKUP($A1873, TAB_AMORTIZACAO_C[[DIAS_CORRIDOS]:[V_FUT_UTEIS]], L$5, FALSE)</f>
        <v>#N/A</v>
      </c>
    </row>
    <row r="1874" spans="1:12" hidden="1">
      <c r="A1874" s="19">
        <f t="shared" si="154"/>
        <v>1868</v>
      </c>
      <c r="B1874" s="20">
        <f t="shared" si="150"/>
        <v>0</v>
      </c>
      <c r="C1874" s="21">
        <f t="shared" si="151"/>
        <v>0</v>
      </c>
      <c r="D1874" s="22" t="e">
        <f>VLOOKUP($A1874, TAB_JUROS_U[[Q_DIAS_U_PARC_TIR]:[V_FUT_U_JURS CENARIO]], D$5, FALSE)</f>
        <v>#N/A</v>
      </c>
      <c r="E1874" s="22" t="e">
        <f>VLOOKUP($A1874,TAB_CORRECAO_U[[Q_DIAS_U_PARC_TIR]:[V_FUT_U_CORC-02]],E$5, FALSE)</f>
        <v>#N/A</v>
      </c>
      <c r="F1874" s="22" t="e">
        <f>VLOOKUP($A1874,TAB_AMORTIZACAO_U[[Q_DIAS_U_PARC_TIR]:[V_FUT_U_PCPL-02]], F$5, FALSE)</f>
        <v>#N/A</v>
      </c>
      <c r="H1874" s="20">
        <f t="shared" si="152"/>
        <v>0</v>
      </c>
      <c r="I1874" s="21">
        <f t="shared" si="153"/>
        <v>0</v>
      </c>
      <c r="J1874" s="22" t="e">
        <f>VLOOKUP($A1874, TAB_JUROS_C[[DIAS_CORRIDOS]:[V_FUT_UTEIS]], J$5, FALSE)</f>
        <v>#N/A</v>
      </c>
      <c r="K1874" s="22" t="e">
        <f>VLOOKUP($A1874, TAB_CORRECAO_C[[DIAS_CORRIDOS]:[V_FUT_UTEIS]],K$5, FALSE)</f>
        <v>#N/A</v>
      </c>
      <c r="L1874" s="22" t="e">
        <f>VLOOKUP($A1874, TAB_AMORTIZACAO_C[[DIAS_CORRIDOS]:[V_FUT_UTEIS]], L$5, FALSE)</f>
        <v>#N/A</v>
      </c>
    </row>
    <row r="1875" spans="1:12" hidden="1">
      <c r="A1875" s="19">
        <f t="shared" si="154"/>
        <v>1869</v>
      </c>
      <c r="B1875" s="20">
        <f t="shared" si="150"/>
        <v>0</v>
      </c>
      <c r="C1875" s="21">
        <f t="shared" si="151"/>
        <v>0</v>
      </c>
      <c r="D1875" s="22" t="e">
        <f>VLOOKUP($A1875, TAB_JUROS_U[[Q_DIAS_U_PARC_TIR]:[V_FUT_U_JURS CENARIO]], D$5, FALSE)</f>
        <v>#N/A</v>
      </c>
      <c r="E1875" s="22" t="e">
        <f>VLOOKUP($A1875,TAB_CORRECAO_U[[Q_DIAS_U_PARC_TIR]:[V_FUT_U_CORC-02]],E$5, FALSE)</f>
        <v>#N/A</v>
      </c>
      <c r="F1875" s="22" t="e">
        <f>VLOOKUP($A1875,TAB_AMORTIZACAO_U[[Q_DIAS_U_PARC_TIR]:[V_FUT_U_PCPL-02]], F$5, FALSE)</f>
        <v>#N/A</v>
      </c>
      <c r="H1875" s="20">
        <f t="shared" si="152"/>
        <v>652.08176645063395</v>
      </c>
      <c r="I1875" s="21">
        <f t="shared" si="153"/>
        <v>652.08176645063395</v>
      </c>
      <c r="J1875" s="22">
        <f>VLOOKUP($A1875, TAB_JUROS_C[[DIAS_CORRIDOS]:[V_FUT_UTEIS]], J$5, FALSE)</f>
        <v>44.909432089680195</v>
      </c>
      <c r="K1875" s="22">
        <f>VLOOKUP($A1875, TAB_CORRECAO_C[[DIAS_CORRIDOS]:[V_FUT_UTEIS]],K$5, FALSE)</f>
        <v>271.48166053366339</v>
      </c>
      <c r="L1875" s="22">
        <f>VLOOKUP($A1875, TAB_AMORTIZACAO_C[[DIAS_CORRIDOS]:[V_FUT_UTEIS]], L$5, FALSE)</f>
        <v>335.69067382729042</v>
      </c>
    </row>
    <row r="1876" spans="1:12" hidden="1">
      <c r="A1876" s="19">
        <f t="shared" si="154"/>
        <v>1870</v>
      </c>
      <c r="B1876" s="20">
        <f t="shared" si="150"/>
        <v>0</v>
      </c>
      <c r="C1876" s="21">
        <f t="shared" si="151"/>
        <v>0</v>
      </c>
      <c r="D1876" s="22" t="e">
        <f>VLOOKUP($A1876, TAB_JUROS_U[[Q_DIAS_U_PARC_TIR]:[V_FUT_U_JURS CENARIO]], D$5, FALSE)</f>
        <v>#N/A</v>
      </c>
      <c r="E1876" s="22" t="e">
        <f>VLOOKUP($A1876,TAB_CORRECAO_U[[Q_DIAS_U_PARC_TIR]:[V_FUT_U_CORC-02]],E$5, FALSE)</f>
        <v>#N/A</v>
      </c>
      <c r="F1876" s="22" t="e">
        <f>VLOOKUP($A1876,TAB_AMORTIZACAO_U[[Q_DIAS_U_PARC_TIR]:[V_FUT_U_PCPL-02]], F$5, FALSE)</f>
        <v>#N/A</v>
      </c>
      <c r="H1876" s="20">
        <f t="shared" si="152"/>
        <v>0</v>
      </c>
      <c r="I1876" s="21">
        <f t="shared" si="153"/>
        <v>0</v>
      </c>
      <c r="J1876" s="22" t="e">
        <f>VLOOKUP($A1876, TAB_JUROS_C[[DIAS_CORRIDOS]:[V_FUT_UTEIS]], J$5, FALSE)</f>
        <v>#N/A</v>
      </c>
      <c r="K1876" s="22" t="e">
        <f>VLOOKUP($A1876, TAB_CORRECAO_C[[DIAS_CORRIDOS]:[V_FUT_UTEIS]],K$5, FALSE)</f>
        <v>#N/A</v>
      </c>
      <c r="L1876" s="22" t="e">
        <f>VLOOKUP($A1876, TAB_AMORTIZACAO_C[[DIAS_CORRIDOS]:[V_FUT_UTEIS]], L$5, FALSE)</f>
        <v>#N/A</v>
      </c>
    </row>
    <row r="1877" spans="1:12" hidden="1">
      <c r="A1877" s="19">
        <f t="shared" si="154"/>
        <v>1871</v>
      </c>
      <c r="B1877" s="20">
        <f t="shared" si="150"/>
        <v>0</v>
      </c>
      <c r="C1877" s="21">
        <f t="shared" si="151"/>
        <v>0</v>
      </c>
      <c r="D1877" s="22" t="e">
        <f>VLOOKUP($A1877, TAB_JUROS_U[[Q_DIAS_U_PARC_TIR]:[V_FUT_U_JURS CENARIO]], D$5, FALSE)</f>
        <v>#N/A</v>
      </c>
      <c r="E1877" s="22" t="e">
        <f>VLOOKUP($A1877,TAB_CORRECAO_U[[Q_DIAS_U_PARC_TIR]:[V_FUT_U_CORC-02]],E$5, FALSE)</f>
        <v>#N/A</v>
      </c>
      <c r="F1877" s="22" t="e">
        <f>VLOOKUP($A1877,TAB_AMORTIZACAO_U[[Q_DIAS_U_PARC_TIR]:[V_FUT_U_PCPL-02]], F$5, FALSE)</f>
        <v>#N/A</v>
      </c>
      <c r="H1877" s="20">
        <f t="shared" si="152"/>
        <v>0</v>
      </c>
      <c r="I1877" s="21">
        <f t="shared" si="153"/>
        <v>0</v>
      </c>
      <c r="J1877" s="22" t="e">
        <f>VLOOKUP($A1877, TAB_JUROS_C[[DIAS_CORRIDOS]:[V_FUT_UTEIS]], J$5, FALSE)</f>
        <v>#N/A</v>
      </c>
      <c r="K1877" s="22" t="e">
        <f>VLOOKUP($A1877, TAB_CORRECAO_C[[DIAS_CORRIDOS]:[V_FUT_UTEIS]],K$5, FALSE)</f>
        <v>#N/A</v>
      </c>
      <c r="L1877" s="22" t="e">
        <f>VLOOKUP($A1877, TAB_AMORTIZACAO_C[[DIAS_CORRIDOS]:[V_FUT_UTEIS]], L$5, FALSE)</f>
        <v>#N/A</v>
      </c>
    </row>
    <row r="1878" spans="1:12">
      <c r="A1878" s="19">
        <f t="shared" si="154"/>
        <v>1872</v>
      </c>
      <c r="B1878" s="20">
        <f t="shared" si="150"/>
        <v>355.27733411170379</v>
      </c>
      <c r="C1878" s="21">
        <f t="shared" si="151"/>
        <v>355.27733411170379</v>
      </c>
      <c r="D1878" s="22">
        <f>VLOOKUP($A1878, TAB_JUROS_U[[Q_DIAS_U_PARC_TIR]:[V_FUT_U_JURS CENARIO]], D$5, FALSE)</f>
        <v>21.723181046738375</v>
      </c>
      <c r="E1878" s="22">
        <f>VLOOKUP($A1878,TAB_CORRECAO_U[[Q_DIAS_U_PARC_TIR]:[V_FUT_U_CORC-02]],E$5, FALSE)</f>
        <v>133.74267874034257</v>
      </c>
      <c r="F1878" s="22">
        <f>VLOOKUP($A1878,TAB_AMORTIZACAO_U[[Q_DIAS_U_PARC_TIR]:[V_FUT_U_PCPL-02]], F$5, FALSE)</f>
        <v>199.81147432462285</v>
      </c>
      <c r="H1878" s="20">
        <f t="shared" si="152"/>
        <v>0</v>
      </c>
      <c r="I1878" s="21">
        <f t="shared" si="153"/>
        <v>0</v>
      </c>
      <c r="J1878" s="22" t="e">
        <f>VLOOKUP($A1878, TAB_JUROS_C[[DIAS_CORRIDOS]:[V_FUT_UTEIS]], J$5, FALSE)</f>
        <v>#N/A</v>
      </c>
      <c r="K1878" s="22" t="e">
        <f>VLOOKUP($A1878, TAB_CORRECAO_C[[DIAS_CORRIDOS]:[V_FUT_UTEIS]],K$5, FALSE)</f>
        <v>#N/A</v>
      </c>
      <c r="L1878" s="22" t="e">
        <f>VLOOKUP($A1878, TAB_AMORTIZACAO_C[[DIAS_CORRIDOS]:[V_FUT_UTEIS]], L$5, FALSE)</f>
        <v>#N/A</v>
      </c>
    </row>
    <row r="1879" spans="1:12" hidden="1">
      <c r="A1879" s="19">
        <f t="shared" si="154"/>
        <v>1873</v>
      </c>
      <c r="B1879" s="20">
        <f t="shared" si="150"/>
        <v>0</v>
      </c>
      <c r="C1879" s="21">
        <f t="shared" si="151"/>
        <v>0</v>
      </c>
      <c r="D1879" s="22" t="e">
        <f>VLOOKUP($A1879, TAB_JUROS_U[[Q_DIAS_U_PARC_TIR]:[V_FUT_U_JURS CENARIO]], D$5, FALSE)</f>
        <v>#N/A</v>
      </c>
      <c r="E1879" s="22" t="e">
        <f>VLOOKUP($A1879,TAB_CORRECAO_U[[Q_DIAS_U_PARC_TIR]:[V_FUT_U_CORC-02]],E$5, FALSE)</f>
        <v>#N/A</v>
      </c>
      <c r="F1879" s="22" t="e">
        <f>VLOOKUP($A1879,TAB_AMORTIZACAO_U[[Q_DIAS_U_PARC_TIR]:[V_FUT_U_PCPL-02]], F$5, FALSE)</f>
        <v>#N/A</v>
      </c>
      <c r="H1879" s="20">
        <f t="shared" si="152"/>
        <v>0</v>
      </c>
      <c r="I1879" s="21">
        <f t="shared" si="153"/>
        <v>0</v>
      </c>
      <c r="J1879" s="22" t="e">
        <f>VLOOKUP($A1879, TAB_JUROS_C[[DIAS_CORRIDOS]:[V_FUT_UTEIS]], J$5, FALSE)</f>
        <v>#N/A</v>
      </c>
      <c r="K1879" s="22" t="e">
        <f>VLOOKUP($A1879, TAB_CORRECAO_C[[DIAS_CORRIDOS]:[V_FUT_UTEIS]],K$5, FALSE)</f>
        <v>#N/A</v>
      </c>
      <c r="L1879" s="22" t="e">
        <f>VLOOKUP($A1879, TAB_AMORTIZACAO_C[[DIAS_CORRIDOS]:[V_FUT_UTEIS]], L$5, FALSE)</f>
        <v>#N/A</v>
      </c>
    </row>
    <row r="1880" spans="1:12" hidden="1">
      <c r="A1880" s="19">
        <f t="shared" si="154"/>
        <v>1874</v>
      </c>
      <c r="B1880" s="20">
        <f t="shared" si="150"/>
        <v>0</v>
      </c>
      <c r="C1880" s="21">
        <f t="shared" si="151"/>
        <v>0</v>
      </c>
      <c r="D1880" s="22" t="e">
        <f>VLOOKUP($A1880, TAB_JUROS_U[[Q_DIAS_U_PARC_TIR]:[V_FUT_U_JURS CENARIO]], D$5, FALSE)</f>
        <v>#N/A</v>
      </c>
      <c r="E1880" s="22" t="e">
        <f>VLOOKUP($A1880,TAB_CORRECAO_U[[Q_DIAS_U_PARC_TIR]:[V_FUT_U_CORC-02]],E$5, FALSE)</f>
        <v>#N/A</v>
      </c>
      <c r="F1880" s="22" t="e">
        <f>VLOOKUP($A1880,TAB_AMORTIZACAO_U[[Q_DIAS_U_PARC_TIR]:[V_FUT_U_PCPL-02]], F$5, FALSE)</f>
        <v>#N/A</v>
      </c>
      <c r="H1880" s="20">
        <f t="shared" si="152"/>
        <v>0</v>
      </c>
      <c r="I1880" s="21">
        <f t="shared" si="153"/>
        <v>0</v>
      </c>
      <c r="J1880" s="22" t="e">
        <f>VLOOKUP($A1880, TAB_JUROS_C[[DIAS_CORRIDOS]:[V_FUT_UTEIS]], J$5, FALSE)</f>
        <v>#N/A</v>
      </c>
      <c r="K1880" s="22" t="e">
        <f>VLOOKUP($A1880, TAB_CORRECAO_C[[DIAS_CORRIDOS]:[V_FUT_UTEIS]],K$5, FALSE)</f>
        <v>#N/A</v>
      </c>
      <c r="L1880" s="22" t="e">
        <f>VLOOKUP($A1880, TAB_AMORTIZACAO_C[[DIAS_CORRIDOS]:[V_FUT_UTEIS]], L$5, FALSE)</f>
        <v>#N/A</v>
      </c>
    </row>
    <row r="1881" spans="1:12" hidden="1">
      <c r="A1881" s="19">
        <f t="shared" si="154"/>
        <v>1875</v>
      </c>
      <c r="B1881" s="20">
        <f t="shared" si="150"/>
        <v>0</v>
      </c>
      <c r="C1881" s="21">
        <f t="shared" si="151"/>
        <v>0</v>
      </c>
      <c r="D1881" s="22" t="e">
        <f>VLOOKUP($A1881, TAB_JUROS_U[[Q_DIAS_U_PARC_TIR]:[V_FUT_U_JURS CENARIO]], D$5, FALSE)</f>
        <v>#N/A</v>
      </c>
      <c r="E1881" s="22" t="e">
        <f>VLOOKUP($A1881,TAB_CORRECAO_U[[Q_DIAS_U_PARC_TIR]:[V_FUT_U_CORC-02]],E$5, FALSE)</f>
        <v>#N/A</v>
      </c>
      <c r="F1881" s="22" t="e">
        <f>VLOOKUP($A1881,TAB_AMORTIZACAO_U[[Q_DIAS_U_PARC_TIR]:[V_FUT_U_PCPL-02]], F$5, FALSE)</f>
        <v>#N/A</v>
      </c>
      <c r="H1881" s="20">
        <f t="shared" si="152"/>
        <v>0</v>
      </c>
      <c r="I1881" s="21">
        <f t="shared" si="153"/>
        <v>0</v>
      </c>
      <c r="J1881" s="22" t="e">
        <f>VLOOKUP($A1881, TAB_JUROS_C[[DIAS_CORRIDOS]:[V_FUT_UTEIS]], J$5, FALSE)</f>
        <v>#N/A</v>
      </c>
      <c r="K1881" s="22" t="e">
        <f>VLOOKUP($A1881, TAB_CORRECAO_C[[DIAS_CORRIDOS]:[V_FUT_UTEIS]],K$5, FALSE)</f>
        <v>#N/A</v>
      </c>
      <c r="L1881" s="22" t="e">
        <f>VLOOKUP($A1881, TAB_AMORTIZACAO_C[[DIAS_CORRIDOS]:[V_FUT_UTEIS]], L$5, FALSE)</f>
        <v>#N/A</v>
      </c>
    </row>
    <row r="1882" spans="1:12" hidden="1">
      <c r="A1882" s="19">
        <f t="shared" si="154"/>
        <v>1876</v>
      </c>
      <c r="B1882" s="20">
        <f t="shared" si="150"/>
        <v>0</v>
      </c>
      <c r="C1882" s="21">
        <f t="shared" si="151"/>
        <v>0</v>
      </c>
      <c r="D1882" s="22" t="e">
        <f>VLOOKUP($A1882, TAB_JUROS_U[[Q_DIAS_U_PARC_TIR]:[V_FUT_U_JURS CENARIO]], D$5, FALSE)</f>
        <v>#N/A</v>
      </c>
      <c r="E1882" s="22" t="e">
        <f>VLOOKUP($A1882,TAB_CORRECAO_U[[Q_DIAS_U_PARC_TIR]:[V_FUT_U_CORC-02]],E$5, FALSE)</f>
        <v>#N/A</v>
      </c>
      <c r="F1882" s="22" t="e">
        <f>VLOOKUP($A1882,TAB_AMORTIZACAO_U[[Q_DIAS_U_PARC_TIR]:[V_FUT_U_PCPL-02]], F$5, FALSE)</f>
        <v>#N/A</v>
      </c>
      <c r="H1882" s="20">
        <f t="shared" si="152"/>
        <v>0</v>
      </c>
      <c r="I1882" s="21">
        <f t="shared" si="153"/>
        <v>0</v>
      </c>
      <c r="J1882" s="22" t="e">
        <f>VLOOKUP($A1882, TAB_JUROS_C[[DIAS_CORRIDOS]:[V_FUT_UTEIS]], J$5, FALSE)</f>
        <v>#N/A</v>
      </c>
      <c r="K1882" s="22" t="e">
        <f>VLOOKUP($A1882, TAB_CORRECAO_C[[DIAS_CORRIDOS]:[V_FUT_UTEIS]],K$5, FALSE)</f>
        <v>#N/A</v>
      </c>
      <c r="L1882" s="22" t="e">
        <f>VLOOKUP($A1882, TAB_AMORTIZACAO_C[[DIAS_CORRIDOS]:[V_FUT_UTEIS]], L$5, FALSE)</f>
        <v>#N/A</v>
      </c>
    </row>
    <row r="1883" spans="1:12" hidden="1">
      <c r="A1883" s="19">
        <f t="shared" si="154"/>
        <v>1877</v>
      </c>
      <c r="B1883" s="20">
        <f t="shared" si="150"/>
        <v>0</v>
      </c>
      <c r="C1883" s="21">
        <f t="shared" si="151"/>
        <v>0</v>
      </c>
      <c r="D1883" s="22" t="e">
        <f>VLOOKUP($A1883, TAB_JUROS_U[[Q_DIAS_U_PARC_TIR]:[V_FUT_U_JURS CENARIO]], D$5, FALSE)</f>
        <v>#N/A</v>
      </c>
      <c r="E1883" s="22" t="e">
        <f>VLOOKUP($A1883,TAB_CORRECAO_U[[Q_DIAS_U_PARC_TIR]:[V_FUT_U_CORC-02]],E$5, FALSE)</f>
        <v>#N/A</v>
      </c>
      <c r="F1883" s="22" t="e">
        <f>VLOOKUP($A1883,TAB_AMORTIZACAO_U[[Q_DIAS_U_PARC_TIR]:[V_FUT_U_PCPL-02]], F$5, FALSE)</f>
        <v>#N/A</v>
      </c>
      <c r="H1883" s="20">
        <f t="shared" si="152"/>
        <v>0</v>
      </c>
      <c r="I1883" s="21">
        <f t="shared" si="153"/>
        <v>0</v>
      </c>
      <c r="J1883" s="22" t="e">
        <f>VLOOKUP($A1883, TAB_JUROS_C[[DIAS_CORRIDOS]:[V_FUT_UTEIS]], J$5, FALSE)</f>
        <v>#N/A</v>
      </c>
      <c r="K1883" s="22" t="e">
        <f>VLOOKUP($A1883, TAB_CORRECAO_C[[DIAS_CORRIDOS]:[V_FUT_UTEIS]],K$5, FALSE)</f>
        <v>#N/A</v>
      </c>
      <c r="L1883" s="22" t="e">
        <f>VLOOKUP($A1883, TAB_AMORTIZACAO_C[[DIAS_CORRIDOS]:[V_FUT_UTEIS]], L$5, FALSE)</f>
        <v>#N/A</v>
      </c>
    </row>
    <row r="1884" spans="1:12" hidden="1">
      <c r="A1884" s="19">
        <f t="shared" si="154"/>
        <v>1878</v>
      </c>
      <c r="B1884" s="20">
        <f t="shared" si="150"/>
        <v>0</v>
      </c>
      <c r="C1884" s="21">
        <f t="shared" si="151"/>
        <v>0</v>
      </c>
      <c r="D1884" s="22" t="e">
        <f>VLOOKUP($A1884, TAB_JUROS_U[[Q_DIAS_U_PARC_TIR]:[V_FUT_U_JURS CENARIO]], D$5, FALSE)</f>
        <v>#N/A</v>
      </c>
      <c r="E1884" s="22" t="e">
        <f>VLOOKUP($A1884,TAB_CORRECAO_U[[Q_DIAS_U_PARC_TIR]:[V_FUT_U_CORC-02]],E$5, FALSE)</f>
        <v>#N/A</v>
      </c>
      <c r="F1884" s="22" t="e">
        <f>VLOOKUP($A1884,TAB_AMORTIZACAO_U[[Q_DIAS_U_PARC_TIR]:[V_FUT_U_PCPL-02]], F$5, FALSE)</f>
        <v>#N/A</v>
      </c>
      <c r="H1884" s="20">
        <f t="shared" si="152"/>
        <v>0</v>
      </c>
      <c r="I1884" s="21">
        <f t="shared" si="153"/>
        <v>0</v>
      </c>
      <c r="J1884" s="22" t="e">
        <f>VLOOKUP($A1884, TAB_JUROS_C[[DIAS_CORRIDOS]:[V_FUT_UTEIS]], J$5, FALSE)</f>
        <v>#N/A</v>
      </c>
      <c r="K1884" s="22" t="e">
        <f>VLOOKUP($A1884, TAB_CORRECAO_C[[DIAS_CORRIDOS]:[V_FUT_UTEIS]],K$5, FALSE)</f>
        <v>#N/A</v>
      </c>
      <c r="L1884" s="22" t="e">
        <f>VLOOKUP($A1884, TAB_AMORTIZACAO_C[[DIAS_CORRIDOS]:[V_FUT_UTEIS]], L$5, FALSE)</f>
        <v>#N/A</v>
      </c>
    </row>
    <row r="1885" spans="1:12" hidden="1">
      <c r="A1885" s="19">
        <f t="shared" si="154"/>
        <v>1879</v>
      </c>
      <c r="B1885" s="20">
        <f t="shared" si="150"/>
        <v>0</v>
      </c>
      <c r="C1885" s="21">
        <f t="shared" si="151"/>
        <v>0</v>
      </c>
      <c r="D1885" s="22" t="e">
        <f>VLOOKUP($A1885, TAB_JUROS_U[[Q_DIAS_U_PARC_TIR]:[V_FUT_U_JURS CENARIO]], D$5, FALSE)</f>
        <v>#N/A</v>
      </c>
      <c r="E1885" s="22" t="e">
        <f>VLOOKUP($A1885,TAB_CORRECAO_U[[Q_DIAS_U_PARC_TIR]:[V_FUT_U_CORC-02]],E$5, FALSE)</f>
        <v>#N/A</v>
      </c>
      <c r="F1885" s="22" t="e">
        <f>VLOOKUP($A1885,TAB_AMORTIZACAO_U[[Q_DIAS_U_PARC_TIR]:[V_FUT_U_PCPL-02]], F$5, FALSE)</f>
        <v>#N/A</v>
      </c>
      <c r="H1885" s="20">
        <f t="shared" si="152"/>
        <v>0</v>
      </c>
      <c r="I1885" s="21">
        <f t="shared" si="153"/>
        <v>0</v>
      </c>
      <c r="J1885" s="22" t="e">
        <f>VLOOKUP($A1885, TAB_JUROS_C[[DIAS_CORRIDOS]:[V_FUT_UTEIS]], J$5, FALSE)</f>
        <v>#N/A</v>
      </c>
      <c r="K1885" s="22" t="e">
        <f>VLOOKUP($A1885, TAB_CORRECAO_C[[DIAS_CORRIDOS]:[V_FUT_UTEIS]],K$5, FALSE)</f>
        <v>#N/A</v>
      </c>
      <c r="L1885" s="22" t="e">
        <f>VLOOKUP($A1885, TAB_AMORTIZACAO_C[[DIAS_CORRIDOS]:[V_FUT_UTEIS]], L$5, FALSE)</f>
        <v>#N/A</v>
      </c>
    </row>
    <row r="1886" spans="1:12" hidden="1">
      <c r="A1886" s="19">
        <f t="shared" si="154"/>
        <v>1880</v>
      </c>
      <c r="B1886" s="20">
        <f t="shared" si="150"/>
        <v>0</v>
      </c>
      <c r="C1886" s="21">
        <f t="shared" si="151"/>
        <v>0</v>
      </c>
      <c r="D1886" s="22" t="e">
        <f>VLOOKUP($A1886, TAB_JUROS_U[[Q_DIAS_U_PARC_TIR]:[V_FUT_U_JURS CENARIO]], D$5, FALSE)</f>
        <v>#N/A</v>
      </c>
      <c r="E1886" s="22" t="e">
        <f>VLOOKUP($A1886,TAB_CORRECAO_U[[Q_DIAS_U_PARC_TIR]:[V_FUT_U_CORC-02]],E$5, FALSE)</f>
        <v>#N/A</v>
      </c>
      <c r="F1886" s="22" t="e">
        <f>VLOOKUP($A1886,TAB_AMORTIZACAO_U[[Q_DIAS_U_PARC_TIR]:[V_FUT_U_PCPL-02]], F$5, FALSE)</f>
        <v>#N/A</v>
      </c>
      <c r="H1886" s="20">
        <f t="shared" si="152"/>
        <v>0</v>
      </c>
      <c r="I1886" s="21">
        <f t="shared" si="153"/>
        <v>0</v>
      </c>
      <c r="J1886" s="22" t="e">
        <f>VLOOKUP($A1886, TAB_JUROS_C[[DIAS_CORRIDOS]:[V_FUT_UTEIS]], J$5, FALSE)</f>
        <v>#N/A</v>
      </c>
      <c r="K1886" s="22" t="e">
        <f>VLOOKUP($A1886, TAB_CORRECAO_C[[DIAS_CORRIDOS]:[V_FUT_UTEIS]],K$5, FALSE)</f>
        <v>#N/A</v>
      </c>
      <c r="L1886" s="22" t="e">
        <f>VLOOKUP($A1886, TAB_AMORTIZACAO_C[[DIAS_CORRIDOS]:[V_FUT_UTEIS]], L$5, FALSE)</f>
        <v>#N/A</v>
      </c>
    </row>
    <row r="1887" spans="1:12" hidden="1">
      <c r="A1887" s="19">
        <f t="shared" si="154"/>
        <v>1881</v>
      </c>
      <c r="B1887" s="20">
        <f t="shared" si="150"/>
        <v>0</v>
      </c>
      <c r="C1887" s="21">
        <f t="shared" si="151"/>
        <v>0</v>
      </c>
      <c r="D1887" s="22" t="e">
        <f>VLOOKUP($A1887, TAB_JUROS_U[[Q_DIAS_U_PARC_TIR]:[V_FUT_U_JURS CENARIO]], D$5, FALSE)</f>
        <v>#N/A</v>
      </c>
      <c r="E1887" s="22" t="e">
        <f>VLOOKUP($A1887,TAB_CORRECAO_U[[Q_DIAS_U_PARC_TIR]:[V_FUT_U_CORC-02]],E$5, FALSE)</f>
        <v>#N/A</v>
      </c>
      <c r="F1887" s="22" t="e">
        <f>VLOOKUP($A1887,TAB_AMORTIZACAO_U[[Q_DIAS_U_PARC_TIR]:[V_FUT_U_PCPL-02]], F$5, FALSE)</f>
        <v>#N/A</v>
      </c>
      <c r="H1887" s="20">
        <f t="shared" si="152"/>
        <v>0</v>
      </c>
      <c r="I1887" s="21">
        <f t="shared" si="153"/>
        <v>0</v>
      </c>
      <c r="J1887" s="22" t="e">
        <f>VLOOKUP($A1887, TAB_JUROS_C[[DIAS_CORRIDOS]:[V_FUT_UTEIS]], J$5, FALSE)</f>
        <v>#N/A</v>
      </c>
      <c r="K1887" s="22" t="e">
        <f>VLOOKUP($A1887, TAB_CORRECAO_C[[DIAS_CORRIDOS]:[V_FUT_UTEIS]],K$5, FALSE)</f>
        <v>#N/A</v>
      </c>
      <c r="L1887" s="22" t="e">
        <f>VLOOKUP($A1887, TAB_AMORTIZACAO_C[[DIAS_CORRIDOS]:[V_FUT_UTEIS]], L$5, FALSE)</f>
        <v>#N/A</v>
      </c>
    </row>
    <row r="1888" spans="1:12" hidden="1">
      <c r="A1888" s="19">
        <f t="shared" si="154"/>
        <v>1882</v>
      </c>
      <c r="B1888" s="20">
        <f t="shared" si="150"/>
        <v>0</v>
      </c>
      <c r="C1888" s="21">
        <f t="shared" si="151"/>
        <v>0</v>
      </c>
      <c r="D1888" s="22" t="e">
        <f>VLOOKUP($A1888, TAB_JUROS_U[[Q_DIAS_U_PARC_TIR]:[V_FUT_U_JURS CENARIO]], D$5, FALSE)</f>
        <v>#N/A</v>
      </c>
      <c r="E1888" s="22" t="e">
        <f>VLOOKUP($A1888,TAB_CORRECAO_U[[Q_DIAS_U_PARC_TIR]:[V_FUT_U_CORC-02]],E$5, FALSE)</f>
        <v>#N/A</v>
      </c>
      <c r="F1888" s="22" t="e">
        <f>VLOOKUP($A1888,TAB_AMORTIZACAO_U[[Q_DIAS_U_PARC_TIR]:[V_FUT_U_PCPL-02]], F$5, FALSE)</f>
        <v>#N/A</v>
      </c>
      <c r="H1888" s="20">
        <f t="shared" si="152"/>
        <v>0</v>
      </c>
      <c r="I1888" s="21">
        <f t="shared" si="153"/>
        <v>0</v>
      </c>
      <c r="J1888" s="22" t="e">
        <f>VLOOKUP($A1888, TAB_JUROS_C[[DIAS_CORRIDOS]:[V_FUT_UTEIS]], J$5, FALSE)</f>
        <v>#N/A</v>
      </c>
      <c r="K1888" s="22" t="e">
        <f>VLOOKUP($A1888, TAB_CORRECAO_C[[DIAS_CORRIDOS]:[V_FUT_UTEIS]],K$5, FALSE)</f>
        <v>#N/A</v>
      </c>
      <c r="L1888" s="22" t="e">
        <f>VLOOKUP($A1888, TAB_AMORTIZACAO_C[[DIAS_CORRIDOS]:[V_FUT_UTEIS]], L$5, FALSE)</f>
        <v>#N/A</v>
      </c>
    </row>
    <row r="1889" spans="1:12" hidden="1">
      <c r="A1889" s="19">
        <f t="shared" si="154"/>
        <v>1883</v>
      </c>
      <c r="B1889" s="20">
        <f t="shared" si="150"/>
        <v>0</v>
      </c>
      <c r="C1889" s="21">
        <f t="shared" si="151"/>
        <v>0</v>
      </c>
      <c r="D1889" s="22" t="e">
        <f>VLOOKUP($A1889, TAB_JUROS_U[[Q_DIAS_U_PARC_TIR]:[V_FUT_U_JURS CENARIO]], D$5, FALSE)</f>
        <v>#N/A</v>
      </c>
      <c r="E1889" s="22" t="e">
        <f>VLOOKUP($A1889,TAB_CORRECAO_U[[Q_DIAS_U_PARC_TIR]:[V_FUT_U_CORC-02]],E$5, FALSE)</f>
        <v>#N/A</v>
      </c>
      <c r="F1889" s="22" t="e">
        <f>VLOOKUP($A1889,TAB_AMORTIZACAO_U[[Q_DIAS_U_PARC_TIR]:[V_FUT_U_PCPL-02]], F$5, FALSE)</f>
        <v>#N/A</v>
      </c>
      <c r="H1889" s="20">
        <f t="shared" si="152"/>
        <v>0</v>
      </c>
      <c r="I1889" s="21">
        <f t="shared" si="153"/>
        <v>0</v>
      </c>
      <c r="J1889" s="22" t="e">
        <f>VLOOKUP($A1889, TAB_JUROS_C[[DIAS_CORRIDOS]:[V_FUT_UTEIS]], J$5, FALSE)</f>
        <v>#N/A</v>
      </c>
      <c r="K1889" s="22" t="e">
        <f>VLOOKUP($A1889, TAB_CORRECAO_C[[DIAS_CORRIDOS]:[V_FUT_UTEIS]],K$5, FALSE)</f>
        <v>#N/A</v>
      </c>
      <c r="L1889" s="22" t="e">
        <f>VLOOKUP($A1889, TAB_AMORTIZACAO_C[[DIAS_CORRIDOS]:[V_FUT_UTEIS]], L$5, FALSE)</f>
        <v>#N/A</v>
      </c>
    </row>
    <row r="1890" spans="1:12" hidden="1">
      <c r="A1890" s="19">
        <f t="shared" si="154"/>
        <v>1884</v>
      </c>
      <c r="B1890" s="20">
        <f t="shared" si="150"/>
        <v>0</v>
      </c>
      <c r="C1890" s="21">
        <f t="shared" si="151"/>
        <v>0</v>
      </c>
      <c r="D1890" s="22" t="e">
        <f>VLOOKUP($A1890, TAB_JUROS_U[[Q_DIAS_U_PARC_TIR]:[V_FUT_U_JURS CENARIO]], D$5, FALSE)</f>
        <v>#N/A</v>
      </c>
      <c r="E1890" s="22" t="e">
        <f>VLOOKUP($A1890,TAB_CORRECAO_U[[Q_DIAS_U_PARC_TIR]:[V_FUT_U_CORC-02]],E$5, FALSE)</f>
        <v>#N/A</v>
      </c>
      <c r="F1890" s="22" t="e">
        <f>VLOOKUP($A1890,TAB_AMORTIZACAO_U[[Q_DIAS_U_PARC_TIR]:[V_FUT_U_PCPL-02]], F$5, FALSE)</f>
        <v>#N/A</v>
      </c>
      <c r="H1890" s="20">
        <f t="shared" si="152"/>
        <v>0</v>
      </c>
      <c r="I1890" s="21">
        <f t="shared" si="153"/>
        <v>0</v>
      </c>
      <c r="J1890" s="22" t="e">
        <f>VLOOKUP($A1890, TAB_JUROS_C[[DIAS_CORRIDOS]:[V_FUT_UTEIS]], J$5, FALSE)</f>
        <v>#N/A</v>
      </c>
      <c r="K1890" s="22" t="e">
        <f>VLOOKUP($A1890, TAB_CORRECAO_C[[DIAS_CORRIDOS]:[V_FUT_UTEIS]],K$5, FALSE)</f>
        <v>#N/A</v>
      </c>
      <c r="L1890" s="22" t="e">
        <f>VLOOKUP($A1890, TAB_AMORTIZACAO_C[[DIAS_CORRIDOS]:[V_FUT_UTEIS]], L$5, FALSE)</f>
        <v>#N/A</v>
      </c>
    </row>
    <row r="1891" spans="1:12" hidden="1">
      <c r="A1891" s="19">
        <f t="shared" si="154"/>
        <v>1885</v>
      </c>
      <c r="B1891" s="20">
        <f t="shared" si="150"/>
        <v>0</v>
      </c>
      <c r="C1891" s="21">
        <f t="shared" si="151"/>
        <v>0</v>
      </c>
      <c r="D1891" s="22" t="e">
        <f>VLOOKUP($A1891, TAB_JUROS_U[[Q_DIAS_U_PARC_TIR]:[V_FUT_U_JURS CENARIO]], D$5, FALSE)</f>
        <v>#N/A</v>
      </c>
      <c r="E1891" s="22" t="e">
        <f>VLOOKUP($A1891,TAB_CORRECAO_U[[Q_DIAS_U_PARC_TIR]:[V_FUT_U_CORC-02]],E$5, FALSE)</f>
        <v>#N/A</v>
      </c>
      <c r="F1891" s="22" t="e">
        <f>VLOOKUP($A1891,TAB_AMORTIZACAO_U[[Q_DIAS_U_PARC_TIR]:[V_FUT_U_PCPL-02]], F$5, FALSE)</f>
        <v>#N/A</v>
      </c>
      <c r="H1891" s="20">
        <f t="shared" si="152"/>
        <v>0</v>
      </c>
      <c r="I1891" s="21">
        <f t="shared" si="153"/>
        <v>0</v>
      </c>
      <c r="J1891" s="22" t="e">
        <f>VLOOKUP($A1891, TAB_JUROS_C[[DIAS_CORRIDOS]:[V_FUT_UTEIS]], J$5, FALSE)</f>
        <v>#N/A</v>
      </c>
      <c r="K1891" s="22" t="e">
        <f>VLOOKUP($A1891, TAB_CORRECAO_C[[DIAS_CORRIDOS]:[V_FUT_UTEIS]],K$5, FALSE)</f>
        <v>#N/A</v>
      </c>
      <c r="L1891" s="22" t="e">
        <f>VLOOKUP($A1891, TAB_AMORTIZACAO_C[[DIAS_CORRIDOS]:[V_FUT_UTEIS]], L$5, FALSE)</f>
        <v>#N/A</v>
      </c>
    </row>
    <row r="1892" spans="1:12" hidden="1">
      <c r="A1892" s="19">
        <f t="shared" si="154"/>
        <v>1886</v>
      </c>
      <c r="B1892" s="20">
        <f t="shared" si="150"/>
        <v>0</v>
      </c>
      <c r="C1892" s="21">
        <f t="shared" si="151"/>
        <v>0</v>
      </c>
      <c r="D1892" s="22" t="e">
        <f>VLOOKUP($A1892, TAB_JUROS_U[[Q_DIAS_U_PARC_TIR]:[V_FUT_U_JURS CENARIO]], D$5, FALSE)</f>
        <v>#N/A</v>
      </c>
      <c r="E1892" s="22" t="e">
        <f>VLOOKUP($A1892,TAB_CORRECAO_U[[Q_DIAS_U_PARC_TIR]:[V_FUT_U_CORC-02]],E$5, FALSE)</f>
        <v>#N/A</v>
      </c>
      <c r="F1892" s="22" t="e">
        <f>VLOOKUP($A1892,TAB_AMORTIZACAO_U[[Q_DIAS_U_PARC_TIR]:[V_FUT_U_PCPL-02]], F$5, FALSE)</f>
        <v>#N/A</v>
      </c>
      <c r="H1892" s="20">
        <f t="shared" si="152"/>
        <v>0</v>
      </c>
      <c r="I1892" s="21">
        <f t="shared" si="153"/>
        <v>0</v>
      </c>
      <c r="J1892" s="22" t="e">
        <f>VLOOKUP($A1892, TAB_JUROS_C[[DIAS_CORRIDOS]:[V_FUT_UTEIS]], J$5, FALSE)</f>
        <v>#N/A</v>
      </c>
      <c r="K1892" s="22" t="e">
        <f>VLOOKUP($A1892, TAB_CORRECAO_C[[DIAS_CORRIDOS]:[V_FUT_UTEIS]],K$5, FALSE)</f>
        <v>#N/A</v>
      </c>
      <c r="L1892" s="22" t="e">
        <f>VLOOKUP($A1892, TAB_AMORTIZACAO_C[[DIAS_CORRIDOS]:[V_FUT_UTEIS]], L$5, FALSE)</f>
        <v>#N/A</v>
      </c>
    </row>
    <row r="1893" spans="1:12" hidden="1">
      <c r="A1893" s="19">
        <f t="shared" si="154"/>
        <v>1887</v>
      </c>
      <c r="B1893" s="20">
        <f t="shared" si="150"/>
        <v>0</v>
      </c>
      <c r="C1893" s="21">
        <f t="shared" si="151"/>
        <v>0</v>
      </c>
      <c r="D1893" s="22" t="e">
        <f>VLOOKUP($A1893, TAB_JUROS_U[[Q_DIAS_U_PARC_TIR]:[V_FUT_U_JURS CENARIO]], D$5, FALSE)</f>
        <v>#N/A</v>
      </c>
      <c r="E1893" s="22" t="e">
        <f>VLOOKUP($A1893,TAB_CORRECAO_U[[Q_DIAS_U_PARC_TIR]:[V_FUT_U_CORC-02]],E$5, FALSE)</f>
        <v>#N/A</v>
      </c>
      <c r="F1893" s="22" t="e">
        <f>VLOOKUP($A1893,TAB_AMORTIZACAO_U[[Q_DIAS_U_PARC_TIR]:[V_FUT_U_PCPL-02]], F$5, FALSE)</f>
        <v>#N/A</v>
      </c>
      <c r="H1893" s="20">
        <f t="shared" si="152"/>
        <v>0</v>
      </c>
      <c r="I1893" s="21">
        <f t="shared" si="153"/>
        <v>0</v>
      </c>
      <c r="J1893" s="22" t="e">
        <f>VLOOKUP($A1893, TAB_JUROS_C[[DIAS_CORRIDOS]:[V_FUT_UTEIS]], J$5, FALSE)</f>
        <v>#N/A</v>
      </c>
      <c r="K1893" s="22" t="e">
        <f>VLOOKUP($A1893, TAB_CORRECAO_C[[DIAS_CORRIDOS]:[V_FUT_UTEIS]],K$5, FALSE)</f>
        <v>#N/A</v>
      </c>
      <c r="L1893" s="22" t="e">
        <f>VLOOKUP($A1893, TAB_AMORTIZACAO_C[[DIAS_CORRIDOS]:[V_FUT_UTEIS]], L$5, FALSE)</f>
        <v>#N/A</v>
      </c>
    </row>
    <row r="1894" spans="1:12" hidden="1">
      <c r="A1894" s="19">
        <f t="shared" si="154"/>
        <v>1888</v>
      </c>
      <c r="B1894" s="20">
        <f t="shared" si="150"/>
        <v>0</v>
      </c>
      <c r="C1894" s="21">
        <f t="shared" si="151"/>
        <v>0</v>
      </c>
      <c r="D1894" s="22" t="e">
        <f>VLOOKUP($A1894, TAB_JUROS_U[[Q_DIAS_U_PARC_TIR]:[V_FUT_U_JURS CENARIO]], D$5, FALSE)</f>
        <v>#N/A</v>
      </c>
      <c r="E1894" s="22" t="e">
        <f>VLOOKUP($A1894,TAB_CORRECAO_U[[Q_DIAS_U_PARC_TIR]:[V_FUT_U_CORC-02]],E$5, FALSE)</f>
        <v>#N/A</v>
      </c>
      <c r="F1894" s="22" t="e">
        <f>VLOOKUP($A1894,TAB_AMORTIZACAO_U[[Q_DIAS_U_PARC_TIR]:[V_FUT_U_PCPL-02]], F$5, FALSE)</f>
        <v>#N/A</v>
      </c>
      <c r="H1894" s="20">
        <f t="shared" si="152"/>
        <v>0</v>
      </c>
      <c r="I1894" s="21">
        <f t="shared" si="153"/>
        <v>0</v>
      </c>
      <c r="J1894" s="22" t="e">
        <f>VLOOKUP($A1894, TAB_JUROS_C[[DIAS_CORRIDOS]:[V_FUT_UTEIS]], J$5, FALSE)</f>
        <v>#N/A</v>
      </c>
      <c r="K1894" s="22" t="e">
        <f>VLOOKUP($A1894, TAB_CORRECAO_C[[DIAS_CORRIDOS]:[V_FUT_UTEIS]],K$5, FALSE)</f>
        <v>#N/A</v>
      </c>
      <c r="L1894" s="22" t="e">
        <f>VLOOKUP($A1894, TAB_AMORTIZACAO_C[[DIAS_CORRIDOS]:[V_FUT_UTEIS]], L$5, FALSE)</f>
        <v>#N/A</v>
      </c>
    </row>
    <row r="1895" spans="1:12" hidden="1">
      <c r="A1895" s="19">
        <f t="shared" si="154"/>
        <v>1889</v>
      </c>
      <c r="B1895" s="20">
        <f t="shared" si="150"/>
        <v>0</v>
      </c>
      <c r="C1895" s="21">
        <f t="shared" si="151"/>
        <v>0</v>
      </c>
      <c r="D1895" s="22" t="e">
        <f>VLOOKUP($A1895, TAB_JUROS_U[[Q_DIAS_U_PARC_TIR]:[V_FUT_U_JURS CENARIO]], D$5, FALSE)</f>
        <v>#N/A</v>
      </c>
      <c r="E1895" s="22" t="e">
        <f>VLOOKUP($A1895,TAB_CORRECAO_U[[Q_DIAS_U_PARC_TIR]:[V_FUT_U_CORC-02]],E$5, FALSE)</f>
        <v>#N/A</v>
      </c>
      <c r="F1895" s="22" t="e">
        <f>VLOOKUP($A1895,TAB_AMORTIZACAO_U[[Q_DIAS_U_PARC_TIR]:[V_FUT_U_PCPL-02]], F$5, FALSE)</f>
        <v>#N/A</v>
      </c>
      <c r="H1895" s="20">
        <f t="shared" si="152"/>
        <v>0</v>
      </c>
      <c r="I1895" s="21">
        <f t="shared" si="153"/>
        <v>0</v>
      </c>
      <c r="J1895" s="22" t="e">
        <f>VLOOKUP($A1895, TAB_JUROS_C[[DIAS_CORRIDOS]:[V_FUT_UTEIS]], J$5, FALSE)</f>
        <v>#N/A</v>
      </c>
      <c r="K1895" s="22" t="e">
        <f>VLOOKUP($A1895, TAB_CORRECAO_C[[DIAS_CORRIDOS]:[V_FUT_UTEIS]],K$5, FALSE)</f>
        <v>#N/A</v>
      </c>
      <c r="L1895" s="22" t="e">
        <f>VLOOKUP($A1895, TAB_AMORTIZACAO_C[[DIAS_CORRIDOS]:[V_FUT_UTEIS]], L$5, FALSE)</f>
        <v>#N/A</v>
      </c>
    </row>
    <row r="1896" spans="1:12" hidden="1">
      <c r="A1896" s="19">
        <f t="shared" si="154"/>
        <v>1890</v>
      </c>
      <c r="B1896" s="20">
        <f t="shared" si="150"/>
        <v>0</v>
      </c>
      <c r="C1896" s="21">
        <f t="shared" si="151"/>
        <v>0</v>
      </c>
      <c r="D1896" s="22" t="e">
        <f>VLOOKUP($A1896, TAB_JUROS_U[[Q_DIAS_U_PARC_TIR]:[V_FUT_U_JURS CENARIO]], D$5, FALSE)</f>
        <v>#N/A</v>
      </c>
      <c r="E1896" s="22" t="e">
        <f>VLOOKUP($A1896,TAB_CORRECAO_U[[Q_DIAS_U_PARC_TIR]:[V_FUT_U_CORC-02]],E$5, FALSE)</f>
        <v>#N/A</v>
      </c>
      <c r="F1896" s="22" t="e">
        <f>VLOOKUP($A1896,TAB_AMORTIZACAO_U[[Q_DIAS_U_PARC_TIR]:[V_FUT_U_PCPL-02]], F$5, FALSE)</f>
        <v>#N/A</v>
      </c>
      <c r="H1896" s="20">
        <f t="shared" si="152"/>
        <v>0</v>
      </c>
      <c r="I1896" s="21">
        <f t="shared" si="153"/>
        <v>0</v>
      </c>
      <c r="J1896" s="22" t="e">
        <f>VLOOKUP($A1896, TAB_JUROS_C[[DIAS_CORRIDOS]:[V_FUT_UTEIS]], J$5, FALSE)</f>
        <v>#N/A</v>
      </c>
      <c r="K1896" s="22" t="e">
        <f>VLOOKUP($A1896, TAB_CORRECAO_C[[DIAS_CORRIDOS]:[V_FUT_UTEIS]],K$5, FALSE)</f>
        <v>#N/A</v>
      </c>
      <c r="L1896" s="22" t="e">
        <f>VLOOKUP($A1896, TAB_AMORTIZACAO_C[[DIAS_CORRIDOS]:[V_FUT_UTEIS]], L$5, FALSE)</f>
        <v>#N/A</v>
      </c>
    </row>
    <row r="1897" spans="1:12" hidden="1">
      <c r="A1897" s="19">
        <f t="shared" si="154"/>
        <v>1891</v>
      </c>
      <c r="B1897" s="20">
        <f t="shared" si="150"/>
        <v>0</v>
      </c>
      <c r="C1897" s="21">
        <f t="shared" si="151"/>
        <v>0</v>
      </c>
      <c r="D1897" s="22" t="e">
        <f>VLOOKUP($A1897, TAB_JUROS_U[[Q_DIAS_U_PARC_TIR]:[V_FUT_U_JURS CENARIO]], D$5, FALSE)</f>
        <v>#N/A</v>
      </c>
      <c r="E1897" s="22" t="e">
        <f>VLOOKUP($A1897,TAB_CORRECAO_U[[Q_DIAS_U_PARC_TIR]:[V_FUT_U_CORC-02]],E$5, FALSE)</f>
        <v>#N/A</v>
      </c>
      <c r="F1897" s="22" t="e">
        <f>VLOOKUP($A1897,TAB_AMORTIZACAO_U[[Q_DIAS_U_PARC_TIR]:[V_FUT_U_PCPL-02]], F$5, FALSE)</f>
        <v>#N/A</v>
      </c>
      <c r="H1897" s="20">
        <f t="shared" si="152"/>
        <v>0</v>
      </c>
      <c r="I1897" s="21">
        <f t="shared" si="153"/>
        <v>0</v>
      </c>
      <c r="J1897" s="22" t="e">
        <f>VLOOKUP($A1897, TAB_JUROS_C[[DIAS_CORRIDOS]:[V_FUT_UTEIS]], J$5, FALSE)</f>
        <v>#N/A</v>
      </c>
      <c r="K1897" s="22" t="e">
        <f>VLOOKUP($A1897, TAB_CORRECAO_C[[DIAS_CORRIDOS]:[V_FUT_UTEIS]],K$5, FALSE)</f>
        <v>#N/A</v>
      </c>
      <c r="L1897" s="22" t="e">
        <f>VLOOKUP($A1897, TAB_AMORTIZACAO_C[[DIAS_CORRIDOS]:[V_FUT_UTEIS]], L$5, FALSE)</f>
        <v>#N/A</v>
      </c>
    </row>
    <row r="1898" spans="1:12" hidden="1">
      <c r="A1898" s="19">
        <f t="shared" si="154"/>
        <v>1892</v>
      </c>
      <c r="B1898" s="20">
        <f t="shared" si="150"/>
        <v>0</v>
      </c>
      <c r="C1898" s="21">
        <f t="shared" si="151"/>
        <v>0</v>
      </c>
      <c r="D1898" s="22" t="e">
        <f>VLOOKUP($A1898, TAB_JUROS_U[[Q_DIAS_U_PARC_TIR]:[V_FUT_U_JURS CENARIO]], D$5, FALSE)</f>
        <v>#N/A</v>
      </c>
      <c r="E1898" s="22" t="e">
        <f>VLOOKUP($A1898,TAB_CORRECAO_U[[Q_DIAS_U_PARC_TIR]:[V_FUT_U_CORC-02]],E$5, FALSE)</f>
        <v>#N/A</v>
      </c>
      <c r="F1898" s="22" t="e">
        <f>VLOOKUP($A1898,TAB_AMORTIZACAO_U[[Q_DIAS_U_PARC_TIR]:[V_FUT_U_PCPL-02]], F$5, FALSE)</f>
        <v>#N/A</v>
      </c>
      <c r="H1898" s="20">
        <f t="shared" si="152"/>
        <v>0</v>
      </c>
      <c r="I1898" s="21">
        <f t="shared" si="153"/>
        <v>0</v>
      </c>
      <c r="J1898" s="22" t="e">
        <f>VLOOKUP($A1898, TAB_JUROS_C[[DIAS_CORRIDOS]:[V_FUT_UTEIS]], J$5, FALSE)</f>
        <v>#N/A</v>
      </c>
      <c r="K1898" s="22" t="e">
        <f>VLOOKUP($A1898, TAB_CORRECAO_C[[DIAS_CORRIDOS]:[V_FUT_UTEIS]],K$5, FALSE)</f>
        <v>#N/A</v>
      </c>
      <c r="L1898" s="22" t="e">
        <f>VLOOKUP($A1898, TAB_AMORTIZACAO_C[[DIAS_CORRIDOS]:[V_FUT_UTEIS]], L$5, FALSE)</f>
        <v>#N/A</v>
      </c>
    </row>
    <row r="1899" spans="1:12">
      <c r="A1899" s="19">
        <f t="shared" si="154"/>
        <v>1893</v>
      </c>
      <c r="B1899" s="20">
        <f t="shared" si="150"/>
        <v>339.5887327709155</v>
      </c>
      <c r="C1899" s="21">
        <f t="shared" si="151"/>
        <v>339.5887327709155</v>
      </c>
      <c r="D1899" s="22">
        <f>VLOOKUP($A1899, TAB_JUROS_U[[Q_DIAS_U_PARC_TIR]:[V_FUT_U_JURS CENARIO]], D$5, FALSE)</f>
        <v>20.051844643175027</v>
      </c>
      <c r="E1899" s="22">
        <f>VLOOKUP($A1899,TAB_CORRECAO_U[[Q_DIAS_U_PARC_TIR]:[V_FUT_U_CORC-02]],E$5, FALSE)</f>
        <v>123.49762416120144</v>
      </c>
      <c r="F1899" s="22">
        <f>VLOOKUP($A1899,TAB_AMORTIZACAO_U[[Q_DIAS_U_PARC_TIR]:[V_FUT_U_PCPL-02]], F$5, FALSE)</f>
        <v>196.03926396653904</v>
      </c>
      <c r="H1899" s="20">
        <f t="shared" si="152"/>
        <v>0</v>
      </c>
      <c r="I1899" s="21">
        <f t="shared" si="153"/>
        <v>0</v>
      </c>
      <c r="J1899" s="22" t="e">
        <f>VLOOKUP($A1899, TAB_JUROS_C[[DIAS_CORRIDOS]:[V_FUT_UTEIS]], J$5, FALSE)</f>
        <v>#N/A</v>
      </c>
      <c r="K1899" s="22" t="e">
        <f>VLOOKUP($A1899, TAB_CORRECAO_C[[DIAS_CORRIDOS]:[V_FUT_UTEIS]],K$5, FALSE)</f>
        <v>#N/A</v>
      </c>
      <c r="L1899" s="22" t="e">
        <f>VLOOKUP($A1899, TAB_AMORTIZACAO_C[[DIAS_CORRIDOS]:[V_FUT_UTEIS]], L$5, FALSE)</f>
        <v>#N/A</v>
      </c>
    </row>
    <row r="1900" spans="1:12" hidden="1">
      <c r="A1900" s="19">
        <f t="shared" si="154"/>
        <v>1894</v>
      </c>
      <c r="B1900" s="20">
        <f t="shared" si="150"/>
        <v>0</v>
      </c>
      <c r="C1900" s="21">
        <f t="shared" si="151"/>
        <v>0</v>
      </c>
      <c r="D1900" s="22" t="e">
        <f>VLOOKUP($A1900, TAB_JUROS_U[[Q_DIAS_U_PARC_TIR]:[V_FUT_U_JURS CENARIO]], D$5, FALSE)</f>
        <v>#N/A</v>
      </c>
      <c r="E1900" s="22" t="e">
        <f>VLOOKUP($A1900,TAB_CORRECAO_U[[Q_DIAS_U_PARC_TIR]:[V_FUT_U_CORC-02]],E$5, FALSE)</f>
        <v>#N/A</v>
      </c>
      <c r="F1900" s="22" t="e">
        <f>VLOOKUP($A1900,TAB_AMORTIZACAO_U[[Q_DIAS_U_PARC_TIR]:[V_FUT_U_PCPL-02]], F$5, FALSE)</f>
        <v>#N/A</v>
      </c>
      <c r="H1900" s="20">
        <f t="shared" si="152"/>
        <v>0</v>
      </c>
      <c r="I1900" s="21">
        <f t="shared" si="153"/>
        <v>0</v>
      </c>
      <c r="J1900" s="22" t="e">
        <f>VLOOKUP($A1900, TAB_JUROS_C[[DIAS_CORRIDOS]:[V_FUT_UTEIS]], J$5, FALSE)</f>
        <v>#N/A</v>
      </c>
      <c r="K1900" s="22" t="e">
        <f>VLOOKUP($A1900, TAB_CORRECAO_C[[DIAS_CORRIDOS]:[V_FUT_UTEIS]],K$5, FALSE)</f>
        <v>#N/A</v>
      </c>
      <c r="L1900" s="22" t="e">
        <f>VLOOKUP($A1900, TAB_AMORTIZACAO_C[[DIAS_CORRIDOS]:[V_FUT_UTEIS]], L$5, FALSE)</f>
        <v>#N/A</v>
      </c>
    </row>
    <row r="1901" spans="1:12" hidden="1">
      <c r="A1901" s="19">
        <f t="shared" si="154"/>
        <v>1895</v>
      </c>
      <c r="B1901" s="20">
        <f t="shared" si="150"/>
        <v>0</v>
      </c>
      <c r="C1901" s="21">
        <f t="shared" si="151"/>
        <v>0</v>
      </c>
      <c r="D1901" s="22" t="e">
        <f>VLOOKUP($A1901, TAB_JUROS_U[[Q_DIAS_U_PARC_TIR]:[V_FUT_U_JURS CENARIO]], D$5, FALSE)</f>
        <v>#N/A</v>
      </c>
      <c r="E1901" s="22" t="e">
        <f>VLOOKUP($A1901,TAB_CORRECAO_U[[Q_DIAS_U_PARC_TIR]:[V_FUT_U_CORC-02]],E$5, FALSE)</f>
        <v>#N/A</v>
      </c>
      <c r="F1901" s="22" t="e">
        <f>VLOOKUP($A1901,TAB_AMORTIZACAO_U[[Q_DIAS_U_PARC_TIR]:[V_FUT_U_PCPL-02]], F$5, FALSE)</f>
        <v>#N/A</v>
      </c>
      <c r="H1901" s="20">
        <f t="shared" si="152"/>
        <v>0</v>
      </c>
      <c r="I1901" s="21">
        <f t="shared" si="153"/>
        <v>0</v>
      </c>
      <c r="J1901" s="22" t="e">
        <f>VLOOKUP($A1901, TAB_JUROS_C[[DIAS_CORRIDOS]:[V_FUT_UTEIS]], J$5, FALSE)</f>
        <v>#N/A</v>
      </c>
      <c r="K1901" s="22" t="e">
        <f>VLOOKUP($A1901, TAB_CORRECAO_C[[DIAS_CORRIDOS]:[V_FUT_UTEIS]],K$5, FALSE)</f>
        <v>#N/A</v>
      </c>
      <c r="L1901" s="22" t="e">
        <f>VLOOKUP($A1901, TAB_AMORTIZACAO_C[[DIAS_CORRIDOS]:[V_FUT_UTEIS]], L$5, FALSE)</f>
        <v>#N/A</v>
      </c>
    </row>
    <row r="1902" spans="1:12" hidden="1">
      <c r="A1902" s="19">
        <f t="shared" si="154"/>
        <v>1896</v>
      </c>
      <c r="B1902" s="20">
        <f t="shared" si="150"/>
        <v>0</v>
      </c>
      <c r="C1902" s="21">
        <f t="shared" si="151"/>
        <v>0</v>
      </c>
      <c r="D1902" s="22" t="e">
        <f>VLOOKUP($A1902, TAB_JUROS_U[[Q_DIAS_U_PARC_TIR]:[V_FUT_U_JURS CENARIO]], D$5, FALSE)</f>
        <v>#N/A</v>
      </c>
      <c r="E1902" s="22" t="e">
        <f>VLOOKUP($A1902,TAB_CORRECAO_U[[Q_DIAS_U_PARC_TIR]:[V_FUT_U_CORC-02]],E$5, FALSE)</f>
        <v>#N/A</v>
      </c>
      <c r="F1902" s="22" t="e">
        <f>VLOOKUP($A1902,TAB_AMORTIZACAO_U[[Q_DIAS_U_PARC_TIR]:[V_FUT_U_PCPL-02]], F$5, FALSE)</f>
        <v>#N/A</v>
      </c>
      <c r="H1902" s="20">
        <f t="shared" si="152"/>
        <v>0</v>
      </c>
      <c r="I1902" s="21">
        <f t="shared" si="153"/>
        <v>0</v>
      </c>
      <c r="J1902" s="22" t="e">
        <f>VLOOKUP($A1902, TAB_JUROS_C[[DIAS_CORRIDOS]:[V_FUT_UTEIS]], J$5, FALSE)</f>
        <v>#N/A</v>
      </c>
      <c r="K1902" s="22" t="e">
        <f>VLOOKUP($A1902, TAB_CORRECAO_C[[DIAS_CORRIDOS]:[V_FUT_UTEIS]],K$5, FALSE)</f>
        <v>#N/A</v>
      </c>
      <c r="L1902" s="22" t="e">
        <f>VLOOKUP($A1902, TAB_AMORTIZACAO_C[[DIAS_CORRIDOS]:[V_FUT_UTEIS]], L$5, FALSE)</f>
        <v>#N/A</v>
      </c>
    </row>
    <row r="1903" spans="1:12" hidden="1">
      <c r="A1903" s="19">
        <f t="shared" si="154"/>
        <v>1897</v>
      </c>
      <c r="B1903" s="20">
        <f t="shared" si="150"/>
        <v>0</v>
      </c>
      <c r="C1903" s="21">
        <f t="shared" si="151"/>
        <v>0</v>
      </c>
      <c r="D1903" s="22" t="e">
        <f>VLOOKUP($A1903, TAB_JUROS_U[[Q_DIAS_U_PARC_TIR]:[V_FUT_U_JURS CENARIO]], D$5, FALSE)</f>
        <v>#N/A</v>
      </c>
      <c r="E1903" s="22" t="e">
        <f>VLOOKUP($A1903,TAB_CORRECAO_U[[Q_DIAS_U_PARC_TIR]:[V_FUT_U_CORC-02]],E$5, FALSE)</f>
        <v>#N/A</v>
      </c>
      <c r="F1903" s="22" t="e">
        <f>VLOOKUP($A1903,TAB_AMORTIZACAO_U[[Q_DIAS_U_PARC_TIR]:[V_FUT_U_PCPL-02]], F$5, FALSE)</f>
        <v>#N/A</v>
      </c>
      <c r="H1903" s="20">
        <f t="shared" si="152"/>
        <v>610.51981168065151</v>
      </c>
      <c r="I1903" s="21">
        <f t="shared" si="153"/>
        <v>610.51981168065151</v>
      </c>
      <c r="J1903" s="22">
        <f>VLOOKUP($A1903, TAB_JUROS_C[[DIAS_CORRIDOS]:[V_FUT_UTEIS]], J$5, FALSE)</f>
        <v>39.343135510652317</v>
      </c>
      <c r="K1903" s="22">
        <f>VLOOKUP($A1903, TAB_CORRECAO_C[[DIAS_CORRIDOS]:[V_FUT_UTEIS]],K$5, FALSE)</f>
        <v>237.99785198517574</v>
      </c>
      <c r="L1903" s="22">
        <f>VLOOKUP($A1903, TAB_AMORTIZACAO_C[[DIAS_CORRIDOS]:[V_FUT_UTEIS]], L$5, FALSE)</f>
        <v>333.17882418482344</v>
      </c>
    </row>
    <row r="1904" spans="1:12" hidden="1">
      <c r="A1904" s="19">
        <f t="shared" si="154"/>
        <v>1898</v>
      </c>
      <c r="B1904" s="20">
        <f t="shared" si="150"/>
        <v>0</v>
      </c>
      <c r="C1904" s="21">
        <f t="shared" si="151"/>
        <v>0</v>
      </c>
      <c r="D1904" s="22" t="e">
        <f>VLOOKUP($A1904, TAB_JUROS_U[[Q_DIAS_U_PARC_TIR]:[V_FUT_U_JURS CENARIO]], D$5, FALSE)</f>
        <v>#N/A</v>
      </c>
      <c r="E1904" s="22" t="e">
        <f>VLOOKUP($A1904,TAB_CORRECAO_U[[Q_DIAS_U_PARC_TIR]:[V_FUT_U_CORC-02]],E$5, FALSE)</f>
        <v>#N/A</v>
      </c>
      <c r="F1904" s="22" t="e">
        <f>VLOOKUP($A1904,TAB_AMORTIZACAO_U[[Q_DIAS_U_PARC_TIR]:[V_FUT_U_PCPL-02]], F$5, FALSE)</f>
        <v>#N/A</v>
      </c>
      <c r="H1904" s="20">
        <f t="shared" si="152"/>
        <v>0</v>
      </c>
      <c r="I1904" s="21">
        <f t="shared" si="153"/>
        <v>0</v>
      </c>
      <c r="J1904" s="22" t="e">
        <f>VLOOKUP($A1904, TAB_JUROS_C[[DIAS_CORRIDOS]:[V_FUT_UTEIS]], J$5, FALSE)</f>
        <v>#N/A</v>
      </c>
      <c r="K1904" s="22" t="e">
        <f>VLOOKUP($A1904, TAB_CORRECAO_C[[DIAS_CORRIDOS]:[V_FUT_UTEIS]],K$5, FALSE)</f>
        <v>#N/A</v>
      </c>
      <c r="L1904" s="22" t="e">
        <f>VLOOKUP($A1904, TAB_AMORTIZACAO_C[[DIAS_CORRIDOS]:[V_FUT_UTEIS]], L$5, FALSE)</f>
        <v>#N/A</v>
      </c>
    </row>
    <row r="1905" spans="1:12" hidden="1">
      <c r="A1905" s="19">
        <f t="shared" si="154"/>
        <v>1899</v>
      </c>
      <c r="B1905" s="20">
        <f t="shared" si="150"/>
        <v>0</v>
      </c>
      <c r="C1905" s="21">
        <f t="shared" si="151"/>
        <v>0</v>
      </c>
      <c r="D1905" s="22" t="e">
        <f>VLOOKUP($A1905, TAB_JUROS_U[[Q_DIAS_U_PARC_TIR]:[V_FUT_U_JURS CENARIO]], D$5, FALSE)</f>
        <v>#N/A</v>
      </c>
      <c r="E1905" s="22" t="e">
        <f>VLOOKUP($A1905,TAB_CORRECAO_U[[Q_DIAS_U_PARC_TIR]:[V_FUT_U_CORC-02]],E$5, FALSE)</f>
        <v>#N/A</v>
      </c>
      <c r="F1905" s="22" t="e">
        <f>VLOOKUP($A1905,TAB_AMORTIZACAO_U[[Q_DIAS_U_PARC_TIR]:[V_FUT_U_PCPL-02]], F$5, FALSE)</f>
        <v>#N/A</v>
      </c>
      <c r="H1905" s="20">
        <f t="shared" si="152"/>
        <v>0</v>
      </c>
      <c r="I1905" s="21">
        <f t="shared" si="153"/>
        <v>0</v>
      </c>
      <c r="J1905" s="22" t="e">
        <f>VLOOKUP($A1905, TAB_JUROS_C[[DIAS_CORRIDOS]:[V_FUT_UTEIS]], J$5, FALSE)</f>
        <v>#N/A</v>
      </c>
      <c r="K1905" s="22" t="e">
        <f>VLOOKUP($A1905, TAB_CORRECAO_C[[DIAS_CORRIDOS]:[V_FUT_UTEIS]],K$5, FALSE)</f>
        <v>#N/A</v>
      </c>
      <c r="L1905" s="22" t="e">
        <f>VLOOKUP($A1905, TAB_AMORTIZACAO_C[[DIAS_CORRIDOS]:[V_FUT_UTEIS]], L$5, FALSE)</f>
        <v>#N/A</v>
      </c>
    </row>
    <row r="1906" spans="1:12" hidden="1">
      <c r="A1906" s="19">
        <f t="shared" si="154"/>
        <v>1900</v>
      </c>
      <c r="B1906" s="20">
        <f t="shared" si="150"/>
        <v>0</v>
      </c>
      <c r="C1906" s="21">
        <f t="shared" si="151"/>
        <v>0</v>
      </c>
      <c r="D1906" s="22" t="e">
        <f>VLOOKUP($A1906, TAB_JUROS_U[[Q_DIAS_U_PARC_TIR]:[V_FUT_U_JURS CENARIO]], D$5, FALSE)</f>
        <v>#N/A</v>
      </c>
      <c r="E1906" s="22" t="e">
        <f>VLOOKUP($A1906,TAB_CORRECAO_U[[Q_DIAS_U_PARC_TIR]:[V_FUT_U_CORC-02]],E$5, FALSE)</f>
        <v>#N/A</v>
      </c>
      <c r="F1906" s="22" t="e">
        <f>VLOOKUP($A1906,TAB_AMORTIZACAO_U[[Q_DIAS_U_PARC_TIR]:[V_FUT_U_PCPL-02]], F$5, FALSE)</f>
        <v>#N/A</v>
      </c>
      <c r="H1906" s="20">
        <f t="shared" si="152"/>
        <v>0</v>
      </c>
      <c r="I1906" s="21">
        <f t="shared" si="153"/>
        <v>0</v>
      </c>
      <c r="J1906" s="22" t="e">
        <f>VLOOKUP($A1906, TAB_JUROS_C[[DIAS_CORRIDOS]:[V_FUT_UTEIS]], J$5, FALSE)</f>
        <v>#N/A</v>
      </c>
      <c r="K1906" s="22" t="e">
        <f>VLOOKUP($A1906, TAB_CORRECAO_C[[DIAS_CORRIDOS]:[V_FUT_UTEIS]],K$5, FALSE)</f>
        <v>#N/A</v>
      </c>
      <c r="L1906" s="22" t="e">
        <f>VLOOKUP($A1906, TAB_AMORTIZACAO_C[[DIAS_CORRIDOS]:[V_FUT_UTEIS]], L$5, FALSE)</f>
        <v>#N/A</v>
      </c>
    </row>
    <row r="1907" spans="1:12" hidden="1">
      <c r="A1907" s="19">
        <f t="shared" si="154"/>
        <v>1901</v>
      </c>
      <c r="B1907" s="20">
        <f t="shared" si="150"/>
        <v>0</v>
      </c>
      <c r="C1907" s="21">
        <f t="shared" si="151"/>
        <v>0</v>
      </c>
      <c r="D1907" s="22" t="e">
        <f>VLOOKUP($A1907, TAB_JUROS_U[[Q_DIAS_U_PARC_TIR]:[V_FUT_U_JURS CENARIO]], D$5, FALSE)</f>
        <v>#N/A</v>
      </c>
      <c r="E1907" s="22" t="e">
        <f>VLOOKUP($A1907,TAB_CORRECAO_U[[Q_DIAS_U_PARC_TIR]:[V_FUT_U_CORC-02]],E$5, FALSE)</f>
        <v>#N/A</v>
      </c>
      <c r="F1907" s="22" t="e">
        <f>VLOOKUP($A1907,TAB_AMORTIZACAO_U[[Q_DIAS_U_PARC_TIR]:[V_FUT_U_PCPL-02]], F$5, FALSE)</f>
        <v>#N/A</v>
      </c>
      <c r="H1907" s="20">
        <f t="shared" si="152"/>
        <v>0</v>
      </c>
      <c r="I1907" s="21">
        <f t="shared" si="153"/>
        <v>0</v>
      </c>
      <c r="J1907" s="22" t="e">
        <f>VLOOKUP($A1907, TAB_JUROS_C[[DIAS_CORRIDOS]:[V_FUT_UTEIS]], J$5, FALSE)</f>
        <v>#N/A</v>
      </c>
      <c r="K1907" s="22" t="e">
        <f>VLOOKUP($A1907, TAB_CORRECAO_C[[DIAS_CORRIDOS]:[V_FUT_UTEIS]],K$5, FALSE)</f>
        <v>#N/A</v>
      </c>
      <c r="L1907" s="22" t="e">
        <f>VLOOKUP($A1907, TAB_AMORTIZACAO_C[[DIAS_CORRIDOS]:[V_FUT_UTEIS]], L$5, FALSE)</f>
        <v>#N/A</v>
      </c>
    </row>
    <row r="1908" spans="1:12" hidden="1">
      <c r="A1908" s="19">
        <f t="shared" si="154"/>
        <v>1902</v>
      </c>
      <c r="B1908" s="20">
        <f t="shared" si="150"/>
        <v>0</v>
      </c>
      <c r="C1908" s="21">
        <f t="shared" si="151"/>
        <v>0</v>
      </c>
      <c r="D1908" s="22" t="e">
        <f>VLOOKUP($A1908, TAB_JUROS_U[[Q_DIAS_U_PARC_TIR]:[V_FUT_U_JURS CENARIO]], D$5, FALSE)</f>
        <v>#N/A</v>
      </c>
      <c r="E1908" s="22" t="e">
        <f>VLOOKUP($A1908,TAB_CORRECAO_U[[Q_DIAS_U_PARC_TIR]:[V_FUT_U_CORC-02]],E$5, FALSE)</f>
        <v>#N/A</v>
      </c>
      <c r="F1908" s="22" t="e">
        <f>VLOOKUP($A1908,TAB_AMORTIZACAO_U[[Q_DIAS_U_PARC_TIR]:[V_FUT_U_PCPL-02]], F$5, FALSE)</f>
        <v>#N/A</v>
      </c>
      <c r="H1908" s="20">
        <f t="shared" si="152"/>
        <v>0</v>
      </c>
      <c r="I1908" s="21">
        <f t="shared" si="153"/>
        <v>0</v>
      </c>
      <c r="J1908" s="22" t="e">
        <f>VLOOKUP($A1908, TAB_JUROS_C[[DIAS_CORRIDOS]:[V_FUT_UTEIS]], J$5, FALSE)</f>
        <v>#N/A</v>
      </c>
      <c r="K1908" s="22" t="e">
        <f>VLOOKUP($A1908, TAB_CORRECAO_C[[DIAS_CORRIDOS]:[V_FUT_UTEIS]],K$5, FALSE)</f>
        <v>#N/A</v>
      </c>
      <c r="L1908" s="22" t="e">
        <f>VLOOKUP($A1908, TAB_AMORTIZACAO_C[[DIAS_CORRIDOS]:[V_FUT_UTEIS]], L$5, FALSE)</f>
        <v>#N/A</v>
      </c>
    </row>
    <row r="1909" spans="1:12" hidden="1">
      <c r="A1909" s="19">
        <f t="shared" si="154"/>
        <v>1903</v>
      </c>
      <c r="B1909" s="20">
        <f t="shared" si="150"/>
        <v>0</v>
      </c>
      <c r="C1909" s="21">
        <f t="shared" si="151"/>
        <v>0</v>
      </c>
      <c r="D1909" s="22" t="e">
        <f>VLOOKUP($A1909, TAB_JUROS_U[[Q_DIAS_U_PARC_TIR]:[V_FUT_U_JURS CENARIO]], D$5, FALSE)</f>
        <v>#N/A</v>
      </c>
      <c r="E1909" s="22" t="e">
        <f>VLOOKUP($A1909,TAB_CORRECAO_U[[Q_DIAS_U_PARC_TIR]:[V_FUT_U_CORC-02]],E$5, FALSE)</f>
        <v>#N/A</v>
      </c>
      <c r="F1909" s="22" t="e">
        <f>VLOOKUP($A1909,TAB_AMORTIZACAO_U[[Q_DIAS_U_PARC_TIR]:[V_FUT_U_PCPL-02]], F$5, FALSE)</f>
        <v>#N/A</v>
      </c>
      <c r="H1909" s="20">
        <f t="shared" si="152"/>
        <v>0</v>
      </c>
      <c r="I1909" s="21">
        <f t="shared" si="153"/>
        <v>0</v>
      </c>
      <c r="J1909" s="22" t="e">
        <f>VLOOKUP($A1909, TAB_JUROS_C[[DIAS_CORRIDOS]:[V_FUT_UTEIS]], J$5, FALSE)</f>
        <v>#N/A</v>
      </c>
      <c r="K1909" s="22" t="e">
        <f>VLOOKUP($A1909, TAB_CORRECAO_C[[DIAS_CORRIDOS]:[V_FUT_UTEIS]],K$5, FALSE)</f>
        <v>#N/A</v>
      </c>
      <c r="L1909" s="22" t="e">
        <f>VLOOKUP($A1909, TAB_AMORTIZACAO_C[[DIAS_CORRIDOS]:[V_FUT_UTEIS]], L$5, FALSE)</f>
        <v>#N/A</v>
      </c>
    </row>
    <row r="1910" spans="1:12" hidden="1">
      <c r="A1910" s="19">
        <f t="shared" si="154"/>
        <v>1904</v>
      </c>
      <c r="B1910" s="20">
        <f t="shared" si="150"/>
        <v>0</v>
      </c>
      <c r="C1910" s="21">
        <f t="shared" si="151"/>
        <v>0</v>
      </c>
      <c r="D1910" s="22" t="e">
        <f>VLOOKUP($A1910, TAB_JUROS_U[[Q_DIAS_U_PARC_TIR]:[V_FUT_U_JURS CENARIO]], D$5, FALSE)</f>
        <v>#N/A</v>
      </c>
      <c r="E1910" s="22" t="e">
        <f>VLOOKUP($A1910,TAB_CORRECAO_U[[Q_DIAS_U_PARC_TIR]:[V_FUT_U_CORC-02]],E$5, FALSE)</f>
        <v>#N/A</v>
      </c>
      <c r="F1910" s="22" t="e">
        <f>VLOOKUP($A1910,TAB_AMORTIZACAO_U[[Q_DIAS_U_PARC_TIR]:[V_FUT_U_PCPL-02]], F$5, FALSE)</f>
        <v>#N/A</v>
      </c>
      <c r="H1910" s="20">
        <f t="shared" si="152"/>
        <v>0</v>
      </c>
      <c r="I1910" s="21">
        <f t="shared" si="153"/>
        <v>0</v>
      </c>
      <c r="J1910" s="22" t="e">
        <f>VLOOKUP($A1910, TAB_JUROS_C[[DIAS_CORRIDOS]:[V_FUT_UTEIS]], J$5, FALSE)</f>
        <v>#N/A</v>
      </c>
      <c r="K1910" s="22" t="e">
        <f>VLOOKUP($A1910, TAB_CORRECAO_C[[DIAS_CORRIDOS]:[V_FUT_UTEIS]],K$5, FALSE)</f>
        <v>#N/A</v>
      </c>
      <c r="L1910" s="22" t="e">
        <f>VLOOKUP($A1910, TAB_AMORTIZACAO_C[[DIAS_CORRIDOS]:[V_FUT_UTEIS]], L$5, FALSE)</f>
        <v>#N/A</v>
      </c>
    </row>
    <row r="1911" spans="1:12" hidden="1">
      <c r="A1911" s="19">
        <f t="shared" si="154"/>
        <v>1905</v>
      </c>
      <c r="B1911" s="20">
        <f t="shared" si="150"/>
        <v>0</v>
      </c>
      <c r="C1911" s="21">
        <f t="shared" si="151"/>
        <v>0</v>
      </c>
      <c r="D1911" s="22" t="e">
        <f>VLOOKUP($A1911, TAB_JUROS_U[[Q_DIAS_U_PARC_TIR]:[V_FUT_U_JURS CENARIO]], D$5, FALSE)</f>
        <v>#N/A</v>
      </c>
      <c r="E1911" s="22" t="e">
        <f>VLOOKUP($A1911,TAB_CORRECAO_U[[Q_DIAS_U_PARC_TIR]:[V_FUT_U_CORC-02]],E$5, FALSE)</f>
        <v>#N/A</v>
      </c>
      <c r="F1911" s="22" t="e">
        <f>VLOOKUP($A1911,TAB_AMORTIZACAO_U[[Q_DIAS_U_PARC_TIR]:[V_FUT_U_PCPL-02]], F$5, FALSE)</f>
        <v>#N/A</v>
      </c>
      <c r="H1911" s="20">
        <f t="shared" si="152"/>
        <v>0</v>
      </c>
      <c r="I1911" s="21">
        <f t="shared" si="153"/>
        <v>0</v>
      </c>
      <c r="J1911" s="22" t="e">
        <f>VLOOKUP($A1911, TAB_JUROS_C[[DIAS_CORRIDOS]:[V_FUT_UTEIS]], J$5, FALSE)</f>
        <v>#N/A</v>
      </c>
      <c r="K1911" s="22" t="e">
        <f>VLOOKUP($A1911, TAB_CORRECAO_C[[DIAS_CORRIDOS]:[V_FUT_UTEIS]],K$5, FALSE)</f>
        <v>#N/A</v>
      </c>
      <c r="L1911" s="22" t="e">
        <f>VLOOKUP($A1911, TAB_AMORTIZACAO_C[[DIAS_CORRIDOS]:[V_FUT_UTEIS]], L$5, FALSE)</f>
        <v>#N/A</v>
      </c>
    </row>
    <row r="1912" spans="1:12" hidden="1">
      <c r="A1912" s="19">
        <f t="shared" si="154"/>
        <v>1906</v>
      </c>
      <c r="B1912" s="20">
        <f t="shared" si="150"/>
        <v>0</v>
      </c>
      <c r="C1912" s="21">
        <f t="shared" si="151"/>
        <v>0</v>
      </c>
      <c r="D1912" s="22" t="e">
        <f>VLOOKUP($A1912, TAB_JUROS_U[[Q_DIAS_U_PARC_TIR]:[V_FUT_U_JURS CENARIO]], D$5, FALSE)</f>
        <v>#N/A</v>
      </c>
      <c r="E1912" s="22" t="e">
        <f>VLOOKUP($A1912,TAB_CORRECAO_U[[Q_DIAS_U_PARC_TIR]:[V_FUT_U_CORC-02]],E$5, FALSE)</f>
        <v>#N/A</v>
      </c>
      <c r="F1912" s="22" t="e">
        <f>VLOOKUP($A1912,TAB_AMORTIZACAO_U[[Q_DIAS_U_PARC_TIR]:[V_FUT_U_PCPL-02]], F$5, FALSE)</f>
        <v>#N/A</v>
      </c>
      <c r="H1912" s="20">
        <f t="shared" si="152"/>
        <v>0</v>
      </c>
      <c r="I1912" s="21">
        <f t="shared" si="153"/>
        <v>0</v>
      </c>
      <c r="J1912" s="22" t="e">
        <f>VLOOKUP($A1912, TAB_JUROS_C[[DIAS_CORRIDOS]:[V_FUT_UTEIS]], J$5, FALSE)</f>
        <v>#N/A</v>
      </c>
      <c r="K1912" s="22" t="e">
        <f>VLOOKUP($A1912, TAB_CORRECAO_C[[DIAS_CORRIDOS]:[V_FUT_UTEIS]],K$5, FALSE)</f>
        <v>#N/A</v>
      </c>
      <c r="L1912" s="22" t="e">
        <f>VLOOKUP($A1912, TAB_AMORTIZACAO_C[[DIAS_CORRIDOS]:[V_FUT_UTEIS]], L$5, FALSE)</f>
        <v>#N/A</v>
      </c>
    </row>
    <row r="1913" spans="1:12" hidden="1">
      <c r="A1913" s="19">
        <f t="shared" si="154"/>
        <v>1907</v>
      </c>
      <c r="B1913" s="20">
        <f t="shared" si="150"/>
        <v>0</v>
      </c>
      <c r="C1913" s="21">
        <f t="shared" si="151"/>
        <v>0</v>
      </c>
      <c r="D1913" s="22" t="e">
        <f>VLOOKUP($A1913, TAB_JUROS_U[[Q_DIAS_U_PARC_TIR]:[V_FUT_U_JURS CENARIO]], D$5, FALSE)</f>
        <v>#N/A</v>
      </c>
      <c r="E1913" s="22" t="e">
        <f>VLOOKUP($A1913,TAB_CORRECAO_U[[Q_DIAS_U_PARC_TIR]:[V_FUT_U_CORC-02]],E$5, FALSE)</f>
        <v>#N/A</v>
      </c>
      <c r="F1913" s="22" t="e">
        <f>VLOOKUP($A1913,TAB_AMORTIZACAO_U[[Q_DIAS_U_PARC_TIR]:[V_FUT_U_PCPL-02]], F$5, FALSE)</f>
        <v>#N/A</v>
      </c>
      <c r="H1913" s="20">
        <f t="shared" si="152"/>
        <v>0</v>
      </c>
      <c r="I1913" s="21">
        <f t="shared" si="153"/>
        <v>0</v>
      </c>
      <c r="J1913" s="22" t="e">
        <f>VLOOKUP($A1913, TAB_JUROS_C[[DIAS_CORRIDOS]:[V_FUT_UTEIS]], J$5, FALSE)</f>
        <v>#N/A</v>
      </c>
      <c r="K1913" s="22" t="e">
        <f>VLOOKUP($A1913, TAB_CORRECAO_C[[DIAS_CORRIDOS]:[V_FUT_UTEIS]],K$5, FALSE)</f>
        <v>#N/A</v>
      </c>
      <c r="L1913" s="22" t="e">
        <f>VLOOKUP($A1913, TAB_AMORTIZACAO_C[[DIAS_CORRIDOS]:[V_FUT_UTEIS]], L$5, FALSE)</f>
        <v>#N/A</v>
      </c>
    </row>
    <row r="1914" spans="1:12" hidden="1">
      <c r="A1914" s="19">
        <f t="shared" si="154"/>
        <v>1908</v>
      </c>
      <c r="B1914" s="20">
        <f t="shared" si="150"/>
        <v>0</v>
      </c>
      <c r="C1914" s="21">
        <f t="shared" si="151"/>
        <v>0</v>
      </c>
      <c r="D1914" s="22" t="e">
        <f>VLOOKUP($A1914, TAB_JUROS_U[[Q_DIAS_U_PARC_TIR]:[V_FUT_U_JURS CENARIO]], D$5, FALSE)</f>
        <v>#N/A</v>
      </c>
      <c r="E1914" s="22" t="e">
        <f>VLOOKUP($A1914,TAB_CORRECAO_U[[Q_DIAS_U_PARC_TIR]:[V_FUT_U_CORC-02]],E$5, FALSE)</f>
        <v>#N/A</v>
      </c>
      <c r="F1914" s="22" t="e">
        <f>VLOOKUP($A1914,TAB_AMORTIZACAO_U[[Q_DIAS_U_PARC_TIR]:[V_FUT_U_PCPL-02]], F$5, FALSE)</f>
        <v>#N/A</v>
      </c>
      <c r="H1914" s="20">
        <f t="shared" si="152"/>
        <v>0</v>
      </c>
      <c r="I1914" s="21">
        <f t="shared" si="153"/>
        <v>0</v>
      </c>
      <c r="J1914" s="22" t="e">
        <f>VLOOKUP($A1914, TAB_JUROS_C[[DIAS_CORRIDOS]:[V_FUT_UTEIS]], J$5, FALSE)</f>
        <v>#N/A</v>
      </c>
      <c r="K1914" s="22" t="e">
        <f>VLOOKUP($A1914, TAB_CORRECAO_C[[DIAS_CORRIDOS]:[V_FUT_UTEIS]],K$5, FALSE)</f>
        <v>#N/A</v>
      </c>
      <c r="L1914" s="22" t="e">
        <f>VLOOKUP($A1914, TAB_AMORTIZACAO_C[[DIAS_CORRIDOS]:[V_FUT_UTEIS]], L$5, FALSE)</f>
        <v>#N/A</v>
      </c>
    </row>
    <row r="1915" spans="1:12" hidden="1">
      <c r="A1915" s="19">
        <f t="shared" si="154"/>
        <v>1909</v>
      </c>
      <c r="B1915" s="20">
        <f t="shared" si="150"/>
        <v>0</v>
      </c>
      <c r="C1915" s="21">
        <f t="shared" si="151"/>
        <v>0</v>
      </c>
      <c r="D1915" s="22" t="e">
        <f>VLOOKUP($A1915, TAB_JUROS_U[[Q_DIAS_U_PARC_TIR]:[V_FUT_U_JURS CENARIO]], D$5, FALSE)</f>
        <v>#N/A</v>
      </c>
      <c r="E1915" s="22" t="e">
        <f>VLOOKUP($A1915,TAB_CORRECAO_U[[Q_DIAS_U_PARC_TIR]:[V_FUT_U_CORC-02]],E$5, FALSE)</f>
        <v>#N/A</v>
      </c>
      <c r="F1915" s="22" t="e">
        <f>VLOOKUP($A1915,TAB_AMORTIZACAO_U[[Q_DIAS_U_PARC_TIR]:[V_FUT_U_PCPL-02]], F$5, FALSE)</f>
        <v>#N/A</v>
      </c>
      <c r="H1915" s="20">
        <f t="shared" si="152"/>
        <v>0</v>
      </c>
      <c r="I1915" s="21">
        <f t="shared" si="153"/>
        <v>0</v>
      </c>
      <c r="J1915" s="22" t="e">
        <f>VLOOKUP($A1915, TAB_JUROS_C[[DIAS_CORRIDOS]:[V_FUT_UTEIS]], J$5, FALSE)</f>
        <v>#N/A</v>
      </c>
      <c r="K1915" s="22" t="e">
        <f>VLOOKUP($A1915, TAB_CORRECAO_C[[DIAS_CORRIDOS]:[V_FUT_UTEIS]],K$5, FALSE)</f>
        <v>#N/A</v>
      </c>
      <c r="L1915" s="22" t="e">
        <f>VLOOKUP($A1915, TAB_AMORTIZACAO_C[[DIAS_CORRIDOS]:[V_FUT_UTEIS]], L$5, FALSE)</f>
        <v>#N/A</v>
      </c>
    </row>
    <row r="1916" spans="1:12" hidden="1">
      <c r="A1916" s="19">
        <f t="shared" si="154"/>
        <v>1910</v>
      </c>
      <c r="B1916" s="20">
        <f t="shared" si="150"/>
        <v>0</v>
      </c>
      <c r="C1916" s="21">
        <f t="shared" si="151"/>
        <v>0</v>
      </c>
      <c r="D1916" s="22" t="e">
        <f>VLOOKUP($A1916, TAB_JUROS_U[[Q_DIAS_U_PARC_TIR]:[V_FUT_U_JURS CENARIO]], D$5, FALSE)</f>
        <v>#N/A</v>
      </c>
      <c r="E1916" s="22" t="e">
        <f>VLOOKUP($A1916,TAB_CORRECAO_U[[Q_DIAS_U_PARC_TIR]:[V_FUT_U_CORC-02]],E$5, FALSE)</f>
        <v>#N/A</v>
      </c>
      <c r="F1916" s="22" t="e">
        <f>VLOOKUP($A1916,TAB_AMORTIZACAO_U[[Q_DIAS_U_PARC_TIR]:[V_FUT_U_PCPL-02]], F$5, FALSE)</f>
        <v>#N/A</v>
      </c>
      <c r="H1916" s="20">
        <f t="shared" si="152"/>
        <v>0</v>
      </c>
      <c r="I1916" s="21">
        <f t="shared" si="153"/>
        <v>0</v>
      </c>
      <c r="J1916" s="22" t="e">
        <f>VLOOKUP($A1916, TAB_JUROS_C[[DIAS_CORRIDOS]:[V_FUT_UTEIS]], J$5, FALSE)</f>
        <v>#N/A</v>
      </c>
      <c r="K1916" s="22" t="e">
        <f>VLOOKUP($A1916, TAB_CORRECAO_C[[DIAS_CORRIDOS]:[V_FUT_UTEIS]],K$5, FALSE)</f>
        <v>#N/A</v>
      </c>
      <c r="L1916" s="22" t="e">
        <f>VLOOKUP($A1916, TAB_AMORTIZACAO_C[[DIAS_CORRIDOS]:[V_FUT_UTEIS]], L$5, FALSE)</f>
        <v>#N/A</v>
      </c>
    </row>
    <row r="1917" spans="1:12" hidden="1">
      <c r="A1917" s="19">
        <f t="shared" si="154"/>
        <v>1911</v>
      </c>
      <c r="B1917" s="20">
        <f t="shared" si="150"/>
        <v>0</v>
      </c>
      <c r="C1917" s="21">
        <f t="shared" si="151"/>
        <v>0</v>
      </c>
      <c r="D1917" s="22" t="e">
        <f>VLOOKUP($A1917, TAB_JUROS_U[[Q_DIAS_U_PARC_TIR]:[V_FUT_U_JURS CENARIO]], D$5, FALSE)</f>
        <v>#N/A</v>
      </c>
      <c r="E1917" s="22" t="e">
        <f>VLOOKUP($A1917,TAB_CORRECAO_U[[Q_DIAS_U_PARC_TIR]:[V_FUT_U_CORC-02]],E$5, FALSE)</f>
        <v>#N/A</v>
      </c>
      <c r="F1917" s="22" t="e">
        <f>VLOOKUP($A1917,TAB_AMORTIZACAO_U[[Q_DIAS_U_PARC_TIR]:[V_FUT_U_PCPL-02]], F$5, FALSE)</f>
        <v>#N/A</v>
      </c>
      <c r="H1917" s="20">
        <f t="shared" si="152"/>
        <v>0</v>
      </c>
      <c r="I1917" s="21">
        <f t="shared" si="153"/>
        <v>0</v>
      </c>
      <c r="J1917" s="22" t="e">
        <f>VLOOKUP($A1917, TAB_JUROS_C[[DIAS_CORRIDOS]:[V_FUT_UTEIS]], J$5, FALSE)</f>
        <v>#N/A</v>
      </c>
      <c r="K1917" s="22" t="e">
        <f>VLOOKUP($A1917, TAB_CORRECAO_C[[DIAS_CORRIDOS]:[V_FUT_UTEIS]],K$5, FALSE)</f>
        <v>#N/A</v>
      </c>
      <c r="L1917" s="22" t="e">
        <f>VLOOKUP($A1917, TAB_AMORTIZACAO_C[[DIAS_CORRIDOS]:[V_FUT_UTEIS]], L$5, FALSE)</f>
        <v>#N/A</v>
      </c>
    </row>
    <row r="1918" spans="1:12" hidden="1">
      <c r="A1918" s="19">
        <f t="shared" si="154"/>
        <v>1912</v>
      </c>
      <c r="B1918" s="20">
        <f t="shared" si="150"/>
        <v>0</v>
      </c>
      <c r="C1918" s="21">
        <f t="shared" si="151"/>
        <v>0</v>
      </c>
      <c r="D1918" s="22" t="e">
        <f>VLOOKUP($A1918, TAB_JUROS_U[[Q_DIAS_U_PARC_TIR]:[V_FUT_U_JURS CENARIO]], D$5, FALSE)</f>
        <v>#N/A</v>
      </c>
      <c r="E1918" s="22" t="e">
        <f>VLOOKUP($A1918,TAB_CORRECAO_U[[Q_DIAS_U_PARC_TIR]:[V_FUT_U_CORC-02]],E$5, FALSE)</f>
        <v>#N/A</v>
      </c>
      <c r="F1918" s="22" t="e">
        <f>VLOOKUP($A1918,TAB_AMORTIZACAO_U[[Q_DIAS_U_PARC_TIR]:[V_FUT_U_PCPL-02]], F$5, FALSE)</f>
        <v>#N/A</v>
      </c>
      <c r="H1918" s="20">
        <f t="shared" si="152"/>
        <v>0</v>
      </c>
      <c r="I1918" s="21">
        <f t="shared" si="153"/>
        <v>0</v>
      </c>
      <c r="J1918" s="22" t="e">
        <f>VLOOKUP($A1918, TAB_JUROS_C[[DIAS_CORRIDOS]:[V_FUT_UTEIS]], J$5, FALSE)</f>
        <v>#N/A</v>
      </c>
      <c r="K1918" s="22" t="e">
        <f>VLOOKUP($A1918, TAB_CORRECAO_C[[DIAS_CORRIDOS]:[V_FUT_UTEIS]],K$5, FALSE)</f>
        <v>#N/A</v>
      </c>
      <c r="L1918" s="22" t="e">
        <f>VLOOKUP($A1918, TAB_AMORTIZACAO_C[[DIAS_CORRIDOS]:[V_FUT_UTEIS]], L$5, FALSE)</f>
        <v>#N/A</v>
      </c>
    </row>
    <row r="1919" spans="1:12" hidden="1">
      <c r="A1919" s="19">
        <f t="shared" si="154"/>
        <v>1913</v>
      </c>
      <c r="B1919" s="20">
        <f t="shared" si="150"/>
        <v>0</v>
      </c>
      <c r="C1919" s="21">
        <f t="shared" si="151"/>
        <v>0</v>
      </c>
      <c r="D1919" s="22" t="e">
        <f>VLOOKUP($A1919, TAB_JUROS_U[[Q_DIAS_U_PARC_TIR]:[V_FUT_U_JURS CENARIO]], D$5, FALSE)</f>
        <v>#N/A</v>
      </c>
      <c r="E1919" s="22" t="e">
        <f>VLOOKUP($A1919,TAB_CORRECAO_U[[Q_DIAS_U_PARC_TIR]:[V_FUT_U_CORC-02]],E$5, FALSE)</f>
        <v>#N/A</v>
      </c>
      <c r="F1919" s="22" t="e">
        <f>VLOOKUP($A1919,TAB_AMORTIZACAO_U[[Q_DIAS_U_PARC_TIR]:[V_FUT_U_PCPL-02]], F$5, FALSE)</f>
        <v>#N/A</v>
      </c>
      <c r="H1919" s="20">
        <f t="shared" si="152"/>
        <v>0</v>
      </c>
      <c r="I1919" s="21">
        <f t="shared" si="153"/>
        <v>0</v>
      </c>
      <c r="J1919" s="22" t="e">
        <f>VLOOKUP($A1919, TAB_JUROS_C[[DIAS_CORRIDOS]:[V_FUT_UTEIS]], J$5, FALSE)</f>
        <v>#N/A</v>
      </c>
      <c r="K1919" s="22" t="e">
        <f>VLOOKUP($A1919, TAB_CORRECAO_C[[DIAS_CORRIDOS]:[V_FUT_UTEIS]],K$5, FALSE)</f>
        <v>#N/A</v>
      </c>
      <c r="L1919" s="22" t="e">
        <f>VLOOKUP($A1919, TAB_AMORTIZACAO_C[[DIAS_CORRIDOS]:[V_FUT_UTEIS]], L$5, FALSE)</f>
        <v>#N/A</v>
      </c>
    </row>
    <row r="1920" spans="1:12">
      <c r="A1920" s="19">
        <f t="shared" si="154"/>
        <v>1914</v>
      </c>
      <c r="B1920" s="20">
        <f t="shared" si="150"/>
        <v>330.27219778402849</v>
      </c>
      <c r="C1920" s="21">
        <f t="shared" si="151"/>
        <v>330.27219778402849</v>
      </c>
      <c r="D1920" s="22">
        <f>VLOOKUP($A1920, TAB_JUROS_U[[Q_DIAS_U_PARC_TIR]:[V_FUT_U_JURS CENARIO]], D$5, FALSE)</f>
        <v>19.39772675340468</v>
      </c>
      <c r="E1920" s="22">
        <f>VLOOKUP($A1920,TAB_CORRECAO_U[[Q_DIAS_U_PARC_TIR]:[V_FUT_U_CORC-02]],E$5, FALSE)</f>
        <v>119.47309797260249</v>
      </c>
      <c r="F1920" s="22">
        <f>VLOOKUP($A1920,TAB_AMORTIZACAO_U[[Q_DIAS_U_PARC_TIR]:[V_FUT_U_PCPL-02]], F$5, FALSE)</f>
        <v>191.40137305802133</v>
      </c>
      <c r="H1920" s="20">
        <f t="shared" si="152"/>
        <v>0</v>
      </c>
      <c r="I1920" s="21">
        <f t="shared" si="153"/>
        <v>0</v>
      </c>
      <c r="J1920" s="22" t="e">
        <f>VLOOKUP($A1920, TAB_JUROS_C[[DIAS_CORRIDOS]:[V_FUT_UTEIS]], J$5, FALSE)</f>
        <v>#N/A</v>
      </c>
      <c r="K1920" s="22" t="e">
        <f>VLOOKUP($A1920, TAB_CORRECAO_C[[DIAS_CORRIDOS]:[V_FUT_UTEIS]],K$5, FALSE)</f>
        <v>#N/A</v>
      </c>
      <c r="L1920" s="22" t="e">
        <f>VLOOKUP($A1920, TAB_AMORTIZACAO_C[[DIAS_CORRIDOS]:[V_FUT_UTEIS]], L$5, FALSE)</f>
        <v>#N/A</v>
      </c>
    </row>
    <row r="1921" spans="1:12" hidden="1">
      <c r="A1921" s="19">
        <f t="shared" si="154"/>
        <v>1915</v>
      </c>
      <c r="B1921" s="20">
        <f t="shared" si="150"/>
        <v>0</v>
      </c>
      <c r="C1921" s="21">
        <f t="shared" si="151"/>
        <v>0</v>
      </c>
      <c r="D1921" s="22" t="e">
        <f>VLOOKUP($A1921, TAB_JUROS_U[[Q_DIAS_U_PARC_TIR]:[V_FUT_U_JURS CENARIO]], D$5, FALSE)</f>
        <v>#N/A</v>
      </c>
      <c r="E1921" s="22" t="e">
        <f>VLOOKUP($A1921,TAB_CORRECAO_U[[Q_DIAS_U_PARC_TIR]:[V_FUT_U_CORC-02]],E$5, FALSE)</f>
        <v>#N/A</v>
      </c>
      <c r="F1921" s="22" t="e">
        <f>VLOOKUP($A1921,TAB_AMORTIZACAO_U[[Q_DIAS_U_PARC_TIR]:[V_FUT_U_PCPL-02]], F$5, FALSE)</f>
        <v>#N/A</v>
      </c>
      <c r="H1921" s="20">
        <f t="shared" si="152"/>
        <v>0</v>
      </c>
      <c r="I1921" s="21">
        <f t="shared" si="153"/>
        <v>0</v>
      </c>
      <c r="J1921" s="22" t="e">
        <f>VLOOKUP($A1921, TAB_JUROS_C[[DIAS_CORRIDOS]:[V_FUT_UTEIS]], J$5, FALSE)</f>
        <v>#N/A</v>
      </c>
      <c r="K1921" s="22" t="e">
        <f>VLOOKUP($A1921, TAB_CORRECAO_C[[DIAS_CORRIDOS]:[V_FUT_UTEIS]],K$5, FALSE)</f>
        <v>#N/A</v>
      </c>
      <c r="L1921" s="22" t="e">
        <f>VLOOKUP($A1921, TAB_AMORTIZACAO_C[[DIAS_CORRIDOS]:[V_FUT_UTEIS]], L$5, FALSE)</f>
        <v>#N/A</v>
      </c>
    </row>
    <row r="1922" spans="1:12" hidden="1">
      <c r="A1922" s="19">
        <f t="shared" si="154"/>
        <v>1916</v>
      </c>
      <c r="B1922" s="20">
        <f t="shared" si="150"/>
        <v>0</v>
      </c>
      <c r="C1922" s="21">
        <f t="shared" si="151"/>
        <v>0</v>
      </c>
      <c r="D1922" s="22" t="e">
        <f>VLOOKUP($A1922, TAB_JUROS_U[[Q_DIAS_U_PARC_TIR]:[V_FUT_U_JURS CENARIO]], D$5, FALSE)</f>
        <v>#N/A</v>
      </c>
      <c r="E1922" s="22" t="e">
        <f>VLOOKUP($A1922,TAB_CORRECAO_U[[Q_DIAS_U_PARC_TIR]:[V_FUT_U_CORC-02]],E$5, FALSE)</f>
        <v>#N/A</v>
      </c>
      <c r="F1922" s="22" t="e">
        <f>VLOOKUP($A1922,TAB_AMORTIZACAO_U[[Q_DIAS_U_PARC_TIR]:[V_FUT_U_PCPL-02]], F$5, FALSE)</f>
        <v>#N/A</v>
      </c>
      <c r="H1922" s="20">
        <f t="shared" si="152"/>
        <v>0</v>
      </c>
      <c r="I1922" s="21">
        <f t="shared" si="153"/>
        <v>0</v>
      </c>
      <c r="J1922" s="22" t="e">
        <f>VLOOKUP($A1922, TAB_JUROS_C[[DIAS_CORRIDOS]:[V_FUT_UTEIS]], J$5, FALSE)</f>
        <v>#N/A</v>
      </c>
      <c r="K1922" s="22" t="e">
        <f>VLOOKUP($A1922, TAB_CORRECAO_C[[DIAS_CORRIDOS]:[V_FUT_UTEIS]],K$5, FALSE)</f>
        <v>#N/A</v>
      </c>
      <c r="L1922" s="22" t="e">
        <f>VLOOKUP($A1922, TAB_AMORTIZACAO_C[[DIAS_CORRIDOS]:[V_FUT_UTEIS]], L$5, FALSE)</f>
        <v>#N/A</v>
      </c>
    </row>
    <row r="1923" spans="1:12" hidden="1">
      <c r="A1923" s="19">
        <f t="shared" si="154"/>
        <v>1917</v>
      </c>
      <c r="B1923" s="20">
        <f t="shared" si="150"/>
        <v>0</v>
      </c>
      <c r="C1923" s="21">
        <f t="shared" si="151"/>
        <v>0</v>
      </c>
      <c r="D1923" s="22" t="e">
        <f>VLOOKUP($A1923, TAB_JUROS_U[[Q_DIAS_U_PARC_TIR]:[V_FUT_U_JURS CENARIO]], D$5, FALSE)</f>
        <v>#N/A</v>
      </c>
      <c r="E1923" s="22" t="e">
        <f>VLOOKUP($A1923,TAB_CORRECAO_U[[Q_DIAS_U_PARC_TIR]:[V_FUT_U_CORC-02]],E$5, FALSE)</f>
        <v>#N/A</v>
      </c>
      <c r="F1923" s="22" t="e">
        <f>VLOOKUP($A1923,TAB_AMORTIZACAO_U[[Q_DIAS_U_PARC_TIR]:[V_FUT_U_PCPL-02]], F$5, FALSE)</f>
        <v>#N/A</v>
      </c>
      <c r="H1923" s="20">
        <f t="shared" si="152"/>
        <v>0</v>
      </c>
      <c r="I1923" s="21">
        <f t="shared" si="153"/>
        <v>0</v>
      </c>
      <c r="J1923" s="22" t="e">
        <f>VLOOKUP($A1923, TAB_JUROS_C[[DIAS_CORRIDOS]:[V_FUT_UTEIS]], J$5, FALSE)</f>
        <v>#N/A</v>
      </c>
      <c r="K1923" s="22" t="e">
        <f>VLOOKUP($A1923, TAB_CORRECAO_C[[DIAS_CORRIDOS]:[V_FUT_UTEIS]],K$5, FALSE)</f>
        <v>#N/A</v>
      </c>
      <c r="L1923" s="22" t="e">
        <f>VLOOKUP($A1923, TAB_AMORTIZACAO_C[[DIAS_CORRIDOS]:[V_FUT_UTEIS]], L$5, FALSE)</f>
        <v>#N/A</v>
      </c>
    </row>
    <row r="1924" spans="1:12" hidden="1">
      <c r="A1924" s="19">
        <f t="shared" si="154"/>
        <v>1918</v>
      </c>
      <c r="B1924" s="20">
        <f t="shared" si="150"/>
        <v>0</v>
      </c>
      <c r="C1924" s="21">
        <f t="shared" si="151"/>
        <v>0</v>
      </c>
      <c r="D1924" s="22" t="e">
        <f>VLOOKUP($A1924, TAB_JUROS_U[[Q_DIAS_U_PARC_TIR]:[V_FUT_U_JURS CENARIO]], D$5, FALSE)</f>
        <v>#N/A</v>
      </c>
      <c r="E1924" s="22" t="e">
        <f>VLOOKUP($A1924,TAB_CORRECAO_U[[Q_DIAS_U_PARC_TIR]:[V_FUT_U_CORC-02]],E$5, FALSE)</f>
        <v>#N/A</v>
      </c>
      <c r="F1924" s="22" t="e">
        <f>VLOOKUP($A1924,TAB_AMORTIZACAO_U[[Q_DIAS_U_PARC_TIR]:[V_FUT_U_PCPL-02]], F$5, FALSE)</f>
        <v>#N/A</v>
      </c>
      <c r="H1924" s="20">
        <f t="shared" si="152"/>
        <v>0</v>
      </c>
      <c r="I1924" s="21">
        <f t="shared" si="153"/>
        <v>0</v>
      </c>
      <c r="J1924" s="22" t="e">
        <f>VLOOKUP($A1924, TAB_JUROS_C[[DIAS_CORRIDOS]:[V_FUT_UTEIS]], J$5, FALSE)</f>
        <v>#N/A</v>
      </c>
      <c r="K1924" s="22" t="e">
        <f>VLOOKUP($A1924, TAB_CORRECAO_C[[DIAS_CORRIDOS]:[V_FUT_UTEIS]],K$5, FALSE)</f>
        <v>#N/A</v>
      </c>
      <c r="L1924" s="22" t="e">
        <f>VLOOKUP($A1924, TAB_AMORTIZACAO_C[[DIAS_CORRIDOS]:[V_FUT_UTEIS]], L$5, FALSE)</f>
        <v>#N/A</v>
      </c>
    </row>
    <row r="1925" spans="1:12" hidden="1">
      <c r="A1925" s="19">
        <f t="shared" si="154"/>
        <v>1919</v>
      </c>
      <c r="B1925" s="20">
        <f t="shared" si="150"/>
        <v>0</v>
      </c>
      <c r="C1925" s="21">
        <f t="shared" si="151"/>
        <v>0</v>
      </c>
      <c r="D1925" s="22" t="e">
        <f>VLOOKUP($A1925, TAB_JUROS_U[[Q_DIAS_U_PARC_TIR]:[V_FUT_U_JURS CENARIO]], D$5, FALSE)</f>
        <v>#N/A</v>
      </c>
      <c r="E1925" s="22" t="e">
        <f>VLOOKUP($A1925,TAB_CORRECAO_U[[Q_DIAS_U_PARC_TIR]:[V_FUT_U_CORC-02]],E$5, FALSE)</f>
        <v>#N/A</v>
      </c>
      <c r="F1925" s="22" t="e">
        <f>VLOOKUP($A1925,TAB_AMORTIZACAO_U[[Q_DIAS_U_PARC_TIR]:[V_FUT_U_PCPL-02]], F$5, FALSE)</f>
        <v>#N/A</v>
      </c>
      <c r="H1925" s="20">
        <f t="shared" si="152"/>
        <v>0</v>
      </c>
      <c r="I1925" s="21">
        <f t="shared" si="153"/>
        <v>0</v>
      </c>
      <c r="J1925" s="22" t="e">
        <f>VLOOKUP($A1925, TAB_JUROS_C[[DIAS_CORRIDOS]:[V_FUT_UTEIS]], J$5, FALSE)</f>
        <v>#N/A</v>
      </c>
      <c r="K1925" s="22" t="e">
        <f>VLOOKUP($A1925, TAB_CORRECAO_C[[DIAS_CORRIDOS]:[V_FUT_UTEIS]],K$5, FALSE)</f>
        <v>#N/A</v>
      </c>
      <c r="L1925" s="22" t="e">
        <f>VLOOKUP($A1925, TAB_AMORTIZACAO_C[[DIAS_CORRIDOS]:[V_FUT_UTEIS]], L$5, FALSE)</f>
        <v>#N/A</v>
      </c>
    </row>
    <row r="1926" spans="1:12" hidden="1">
      <c r="A1926" s="19">
        <f t="shared" si="154"/>
        <v>1920</v>
      </c>
      <c r="B1926" s="20">
        <f t="shared" si="150"/>
        <v>0</v>
      </c>
      <c r="C1926" s="21">
        <f t="shared" si="151"/>
        <v>0</v>
      </c>
      <c r="D1926" s="22" t="e">
        <f>VLOOKUP($A1926, TAB_JUROS_U[[Q_DIAS_U_PARC_TIR]:[V_FUT_U_JURS CENARIO]], D$5, FALSE)</f>
        <v>#N/A</v>
      </c>
      <c r="E1926" s="22" t="e">
        <f>VLOOKUP($A1926,TAB_CORRECAO_U[[Q_DIAS_U_PARC_TIR]:[V_FUT_U_CORC-02]],E$5, FALSE)</f>
        <v>#N/A</v>
      </c>
      <c r="F1926" s="22" t="e">
        <f>VLOOKUP($A1926,TAB_AMORTIZACAO_U[[Q_DIAS_U_PARC_TIR]:[V_FUT_U_PCPL-02]], F$5, FALSE)</f>
        <v>#N/A</v>
      </c>
      <c r="H1926" s="20">
        <f t="shared" si="152"/>
        <v>0</v>
      </c>
      <c r="I1926" s="21">
        <f t="shared" si="153"/>
        <v>0</v>
      </c>
      <c r="J1926" s="22" t="e">
        <f>VLOOKUP($A1926, TAB_JUROS_C[[DIAS_CORRIDOS]:[V_FUT_UTEIS]], J$5, FALSE)</f>
        <v>#N/A</v>
      </c>
      <c r="K1926" s="22" t="e">
        <f>VLOOKUP($A1926, TAB_CORRECAO_C[[DIAS_CORRIDOS]:[V_FUT_UTEIS]],K$5, FALSE)</f>
        <v>#N/A</v>
      </c>
      <c r="L1926" s="22" t="e">
        <f>VLOOKUP($A1926, TAB_AMORTIZACAO_C[[DIAS_CORRIDOS]:[V_FUT_UTEIS]], L$5, FALSE)</f>
        <v>#N/A</v>
      </c>
    </row>
    <row r="1927" spans="1:12" hidden="1">
      <c r="A1927" s="19">
        <f t="shared" si="154"/>
        <v>1921</v>
      </c>
      <c r="B1927" s="20">
        <f t="shared" si="150"/>
        <v>0</v>
      </c>
      <c r="C1927" s="21">
        <f t="shared" si="151"/>
        <v>0</v>
      </c>
      <c r="D1927" s="22" t="e">
        <f>VLOOKUP($A1927, TAB_JUROS_U[[Q_DIAS_U_PARC_TIR]:[V_FUT_U_JURS CENARIO]], D$5, FALSE)</f>
        <v>#N/A</v>
      </c>
      <c r="E1927" s="22" t="e">
        <f>VLOOKUP($A1927,TAB_CORRECAO_U[[Q_DIAS_U_PARC_TIR]:[V_FUT_U_CORC-02]],E$5, FALSE)</f>
        <v>#N/A</v>
      </c>
      <c r="F1927" s="22" t="e">
        <f>VLOOKUP($A1927,TAB_AMORTIZACAO_U[[Q_DIAS_U_PARC_TIR]:[V_FUT_U_PCPL-02]], F$5, FALSE)</f>
        <v>#N/A</v>
      </c>
      <c r="H1927" s="20">
        <f t="shared" si="152"/>
        <v>0</v>
      </c>
      <c r="I1927" s="21">
        <f t="shared" si="153"/>
        <v>0</v>
      </c>
      <c r="J1927" s="22" t="e">
        <f>VLOOKUP($A1927, TAB_JUROS_C[[DIAS_CORRIDOS]:[V_FUT_UTEIS]], J$5, FALSE)</f>
        <v>#N/A</v>
      </c>
      <c r="K1927" s="22" t="e">
        <f>VLOOKUP($A1927, TAB_CORRECAO_C[[DIAS_CORRIDOS]:[V_FUT_UTEIS]],K$5, FALSE)</f>
        <v>#N/A</v>
      </c>
      <c r="L1927" s="22" t="e">
        <f>VLOOKUP($A1927, TAB_AMORTIZACAO_C[[DIAS_CORRIDOS]:[V_FUT_UTEIS]], L$5, FALSE)</f>
        <v>#N/A</v>
      </c>
    </row>
    <row r="1928" spans="1:12" hidden="1">
      <c r="A1928" s="19">
        <f t="shared" si="154"/>
        <v>1922</v>
      </c>
      <c r="B1928" s="20">
        <f t="shared" si="150"/>
        <v>0</v>
      </c>
      <c r="C1928" s="21">
        <f t="shared" si="151"/>
        <v>0</v>
      </c>
      <c r="D1928" s="22" t="e">
        <f>VLOOKUP($A1928, TAB_JUROS_U[[Q_DIAS_U_PARC_TIR]:[V_FUT_U_JURS CENARIO]], D$5, FALSE)</f>
        <v>#N/A</v>
      </c>
      <c r="E1928" s="22" t="e">
        <f>VLOOKUP($A1928,TAB_CORRECAO_U[[Q_DIAS_U_PARC_TIR]:[V_FUT_U_CORC-02]],E$5, FALSE)</f>
        <v>#N/A</v>
      </c>
      <c r="F1928" s="22" t="e">
        <f>VLOOKUP($A1928,TAB_AMORTIZACAO_U[[Q_DIAS_U_PARC_TIR]:[V_FUT_U_PCPL-02]], F$5, FALSE)</f>
        <v>#N/A</v>
      </c>
      <c r="H1928" s="20">
        <f t="shared" si="152"/>
        <v>0</v>
      </c>
      <c r="I1928" s="21">
        <f t="shared" si="153"/>
        <v>0</v>
      </c>
      <c r="J1928" s="22" t="e">
        <f>VLOOKUP($A1928, TAB_JUROS_C[[DIAS_CORRIDOS]:[V_FUT_UTEIS]], J$5, FALSE)</f>
        <v>#N/A</v>
      </c>
      <c r="K1928" s="22" t="e">
        <f>VLOOKUP($A1928, TAB_CORRECAO_C[[DIAS_CORRIDOS]:[V_FUT_UTEIS]],K$5, FALSE)</f>
        <v>#N/A</v>
      </c>
      <c r="L1928" s="22" t="e">
        <f>VLOOKUP($A1928, TAB_AMORTIZACAO_C[[DIAS_CORRIDOS]:[V_FUT_UTEIS]], L$5, FALSE)</f>
        <v>#N/A</v>
      </c>
    </row>
    <row r="1929" spans="1:12" hidden="1">
      <c r="A1929" s="19">
        <f t="shared" si="154"/>
        <v>1923</v>
      </c>
      <c r="B1929" s="20">
        <f t="shared" ref="B1929:B1992" si="155">IF(ISERROR(C1929), 0, C1929)</f>
        <v>0</v>
      </c>
      <c r="C1929" s="21">
        <f t="shared" ref="C1929:C1992" si="156">SUMIF(D1929:F1929, "&gt;0", D1929:F1929)</f>
        <v>0</v>
      </c>
      <c r="D1929" s="22" t="e">
        <f>VLOOKUP($A1929, TAB_JUROS_U[[Q_DIAS_U_PARC_TIR]:[V_FUT_U_JURS CENARIO]], D$5, FALSE)</f>
        <v>#N/A</v>
      </c>
      <c r="E1929" s="22" t="e">
        <f>VLOOKUP($A1929,TAB_CORRECAO_U[[Q_DIAS_U_PARC_TIR]:[V_FUT_U_CORC-02]],E$5, FALSE)</f>
        <v>#N/A</v>
      </c>
      <c r="F1929" s="22" t="e">
        <f>VLOOKUP($A1929,TAB_AMORTIZACAO_U[[Q_DIAS_U_PARC_TIR]:[V_FUT_U_PCPL-02]], F$5, FALSE)</f>
        <v>#N/A</v>
      </c>
      <c r="H1929" s="20">
        <f t="shared" ref="H1929:H1992" si="157">IF(ISERROR(I1929), 0, I1929)</f>
        <v>0</v>
      </c>
      <c r="I1929" s="21">
        <f t="shared" ref="I1929:I1992" si="158">SUMIF(J1929:L1929, "&gt;0", J1929:L1929)</f>
        <v>0</v>
      </c>
      <c r="J1929" s="22" t="e">
        <f>VLOOKUP($A1929, TAB_JUROS_C[[DIAS_CORRIDOS]:[V_FUT_UTEIS]], J$5, FALSE)</f>
        <v>#N/A</v>
      </c>
      <c r="K1929" s="22" t="e">
        <f>VLOOKUP($A1929, TAB_CORRECAO_C[[DIAS_CORRIDOS]:[V_FUT_UTEIS]],K$5, FALSE)</f>
        <v>#N/A</v>
      </c>
      <c r="L1929" s="22" t="e">
        <f>VLOOKUP($A1929, TAB_AMORTIZACAO_C[[DIAS_CORRIDOS]:[V_FUT_UTEIS]], L$5, FALSE)</f>
        <v>#N/A</v>
      </c>
    </row>
    <row r="1930" spans="1:12" hidden="1">
      <c r="A1930" s="19">
        <f t="shared" ref="A1930:A1993" si="159">A1929+1</f>
        <v>1924</v>
      </c>
      <c r="B1930" s="20">
        <f t="shared" si="155"/>
        <v>0</v>
      </c>
      <c r="C1930" s="21">
        <f t="shared" si="156"/>
        <v>0</v>
      </c>
      <c r="D1930" s="22" t="e">
        <f>VLOOKUP($A1930, TAB_JUROS_U[[Q_DIAS_U_PARC_TIR]:[V_FUT_U_JURS CENARIO]], D$5, FALSE)</f>
        <v>#N/A</v>
      </c>
      <c r="E1930" s="22" t="e">
        <f>VLOOKUP($A1930,TAB_CORRECAO_U[[Q_DIAS_U_PARC_TIR]:[V_FUT_U_CORC-02]],E$5, FALSE)</f>
        <v>#N/A</v>
      </c>
      <c r="F1930" s="22" t="e">
        <f>VLOOKUP($A1930,TAB_AMORTIZACAO_U[[Q_DIAS_U_PARC_TIR]:[V_FUT_U_PCPL-02]], F$5, FALSE)</f>
        <v>#N/A</v>
      </c>
      <c r="H1930" s="20">
        <f t="shared" si="157"/>
        <v>0</v>
      </c>
      <c r="I1930" s="21">
        <f t="shared" si="158"/>
        <v>0</v>
      </c>
      <c r="J1930" s="22" t="e">
        <f>VLOOKUP($A1930, TAB_JUROS_C[[DIAS_CORRIDOS]:[V_FUT_UTEIS]], J$5, FALSE)</f>
        <v>#N/A</v>
      </c>
      <c r="K1930" s="22" t="e">
        <f>VLOOKUP($A1930, TAB_CORRECAO_C[[DIAS_CORRIDOS]:[V_FUT_UTEIS]],K$5, FALSE)</f>
        <v>#N/A</v>
      </c>
      <c r="L1930" s="22" t="e">
        <f>VLOOKUP($A1930, TAB_AMORTIZACAO_C[[DIAS_CORRIDOS]:[V_FUT_UTEIS]], L$5, FALSE)</f>
        <v>#N/A</v>
      </c>
    </row>
    <row r="1931" spans="1:12" hidden="1">
      <c r="A1931" s="19">
        <f t="shared" si="159"/>
        <v>1925</v>
      </c>
      <c r="B1931" s="20">
        <f t="shared" si="155"/>
        <v>0</v>
      </c>
      <c r="C1931" s="21">
        <f t="shared" si="156"/>
        <v>0</v>
      </c>
      <c r="D1931" s="22" t="e">
        <f>VLOOKUP($A1931, TAB_JUROS_U[[Q_DIAS_U_PARC_TIR]:[V_FUT_U_JURS CENARIO]], D$5, FALSE)</f>
        <v>#N/A</v>
      </c>
      <c r="E1931" s="22" t="e">
        <f>VLOOKUP($A1931,TAB_CORRECAO_U[[Q_DIAS_U_PARC_TIR]:[V_FUT_U_CORC-02]],E$5, FALSE)</f>
        <v>#N/A</v>
      </c>
      <c r="F1931" s="22" t="e">
        <f>VLOOKUP($A1931,TAB_AMORTIZACAO_U[[Q_DIAS_U_PARC_TIR]:[V_FUT_U_PCPL-02]], F$5, FALSE)</f>
        <v>#N/A</v>
      </c>
      <c r="H1931" s="20">
        <f t="shared" si="157"/>
        <v>0</v>
      </c>
      <c r="I1931" s="21">
        <f t="shared" si="158"/>
        <v>0</v>
      </c>
      <c r="J1931" s="22" t="e">
        <f>VLOOKUP($A1931, TAB_JUROS_C[[DIAS_CORRIDOS]:[V_FUT_UTEIS]], J$5, FALSE)</f>
        <v>#N/A</v>
      </c>
      <c r="K1931" s="22" t="e">
        <f>VLOOKUP($A1931, TAB_CORRECAO_C[[DIAS_CORRIDOS]:[V_FUT_UTEIS]],K$5, FALSE)</f>
        <v>#N/A</v>
      </c>
      <c r="L1931" s="22" t="e">
        <f>VLOOKUP($A1931, TAB_AMORTIZACAO_C[[DIAS_CORRIDOS]:[V_FUT_UTEIS]], L$5, FALSE)</f>
        <v>#N/A</v>
      </c>
    </row>
    <row r="1932" spans="1:12" hidden="1">
      <c r="A1932" s="19">
        <f t="shared" si="159"/>
        <v>1926</v>
      </c>
      <c r="B1932" s="20">
        <f t="shared" si="155"/>
        <v>0</v>
      </c>
      <c r="C1932" s="21">
        <f t="shared" si="156"/>
        <v>0</v>
      </c>
      <c r="D1932" s="22" t="e">
        <f>VLOOKUP($A1932, TAB_JUROS_U[[Q_DIAS_U_PARC_TIR]:[V_FUT_U_JURS CENARIO]], D$5, FALSE)</f>
        <v>#N/A</v>
      </c>
      <c r="E1932" s="22" t="e">
        <f>VLOOKUP($A1932,TAB_CORRECAO_U[[Q_DIAS_U_PARC_TIR]:[V_FUT_U_CORC-02]],E$5, FALSE)</f>
        <v>#N/A</v>
      </c>
      <c r="F1932" s="22" t="e">
        <f>VLOOKUP($A1932,TAB_AMORTIZACAO_U[[Q_DIAS_U_PARC_TIR]:[V_FUT_U_PCPL-02]], F$5, FALSE)</f>
        <v>#N/A</v>
      </c>
      <c r="H1932" s="20">
        <f t="shared" si="157"/>
        <v>0</v>
      </c>
      <c r="I1932" s="21">
        <f t="shared" si="158"/>
        <v>0</v>
      </c>
      <c r="J1932" s="22" t="e">
        <f>VLOOKUP($A1932, TAB_JUROS_C[[DIAS_CORRIDOS]:[V_FUT_UTEIS]], J$5, FALSE)</f>
        <v>#N/A</v>
      </c>
      <c r="K1932" s="22" t="e">
        <f>VLOOKUP($A1932, TAB_CORRECAO_C[[DIAS_CORRIDOS]:[V_FUT_UTEIS]],K$5, FALSE)</f>
        <v>#N/A</v>
      </c>
      <c r="L1932" s="22" t="e">
        <f>VLOOKUP($A1932, TAB_AMORTIZACAO_C[[DIAS_CORRIDOS]:[V_FUT_UTEIS]], L$5, FALSE)</f>
        <v>#N/A</v>
      </c>
    </row>
    <row r="1933" spans="1:12" hidden="1">
      <c r="A1933" s="19">
        <f t="shared" si="159"/>
        <v>1927</v>
      </c>
      <c r="B1933" s="20">
        <f t="shared" si="155"/>
        <v>0</v>
      </c>
      <c r="C1933" s="21">
        <f t="shared" si="156"/>
        <v>0</v>
      </c>
      <c r="D1933" s="22" t="e">
        <f>VLOOKUP($A1933, TAB_JUROS_U[[Q_DIAS_U_PARC_TIR]:[V_FUT_U_JURS CENARIO]], D$5, FALSE)</f>
        <v>#N/A</v>
      </c>
      <c r="E1933" s="22" t="e">
        <f>VLOOKUP($A1933,TAB_CORRECAO_U[[Q_DIAS_U_PARC_TIR]:[V_FUT_U_CORC-02]],E$5, FALSE)</f>
        <v>#N/A</v>
      </c>
      <c r="F1933" s="22" t="e">
        <f>VLOOKUP($A1933,TAB_AMORTIZACAO_U[[Q_DIAS_U_PARC_TIR]:[V_FUT_U_PCPL-02]], F$5, FALSE)</f>
        <v>#N/A</v>
      </c>
      <c r="H1933" s="20">
        <f t="shared" si="157"/>
        <v>0</v>
      </c>
      <c r="I1933" s="21">
        <f t="shared" si="158"/>
        <v>0</v>
      </c>
      <c r="J1933" s="22" t="e">
        <f>VLOOKUP($A1933, TAB_JUROS_C[[DIAS_CORRIDOS]:[V_FUT_UTEIS]], J$5, FALSE)</f>
        <v>#N/A</v>
      </c>
      <c r="K1933" s="22" t="e">
        <f>VLOOKUP($A1933, TAB_CORRECAO_C[[DIAS_CORRIDOS]:[V_FUT_UTEIS]],K$5, FALSE)</f>
        <v>#N/A</v>
      </c>
      <c r="L1933" s="22" t="e">
        <f>VLOOKUP($A1933, TAB_AMORTIZACAO_C[[DIAS_CORRIDOS]:[V_FUT_UTEIS]], L$5, FALSE)</f>
        <v>#N/A</v>
      </c>
    </row>
    <row r="1934" spans="1:12" hidden="1">
      <c r="A1934" s="19">
        <f t="shared" si="159"/>
        <v>1928</v>
      </c>
      <c r="B1934" s="20">
        <f t="shared" si="155"/>
        <v>0</v>
      </c>
      <c r="C1934" s="21">
        <f t="shared" si="156"/>
        <v>0</v>
      </c>
      <c r="D1934" s="22" t="e">
        <f>VLOOKUP($A1934, TAB_JUROS_U[[Q_DIAS_U_PARC_TIR]:[V_FUT_U_JURS CENARIO]], D$5, FALSE)</f>
        <v>#N/A</v>
      </c>
      <c r="E1934" s="22" t="e">
        <f>VLOOKUP($A1934,TAB_CORRECAO_U[[Q_DIAS_U_PARC_TIR]:[V_FUT_U_CORC-02]],E$5, FALSE)</f>
        <v>#N/A</v>
      </c>
      <c r="F1934" s="22" t="e">
        <f>VLOOKUP($A1934,TAB_AMORTIZACAO_U[[Q_DIAS_U_PARC_TIR]:[V_FUT_U_PCPL-02]], F$5, FALSE)</f>
        <v>#N/A</v>
      </c>
      <c r="H1934" s="20">
        <f t="shared" si="157"/>
        <v>0</v>
      </c>
      <c r="I1934" s="21">
        <f t="shared" si="158"/>
        <v>0</v>
      </c>
      <c r="J1934" s="22" t="e">
        <f>VLOOKUP($A1934, TAB_JUROS_C[[DIAS_CORRIDOS]:[V_FUT_UTEIS]], J$5, FALSE)</f>
        <v>#N/A</v>
      </c>
      <c r="K1934" s="22" t="e">
        <f>VLOOKUP($A1934, TAB_CORRECAO_C[[DIAS_CORRIDOS]:[V_FUT_UTEIS]],K$5, FALSE)</f>
        <v>#N/A</v>
      </c>
      <c r="L1934" s="22" t="e">
        <f>VLOOKUP($A1934, TAB_AMORTIZACAO_C[[DIAS_CORRIDOS]:[V_FUT_UTEIS]], L$5, FALSE)</f>
        <v>#N/A</v>
      </c>
    </row>
    <row r="1935" spans="1:12" hidden="1">
      <c r="A1935" s="19">
        <f t="shared" si="159"/>
        <v>1929</v>
      </c>
      <c r="B1935" s="20">
        <f t="shared" si="155"/>
        <v>0</v>
      </c>
      <c r="C1935" s="21">
        <f t="shared" si="156"/>
        <v>0</v>
      </c>
      <c r="D1935" s="22" t="e">
        <f>VLOOKUP($A1935, TAB_JUROS_U[[Q_DIAS_U_PARC_TIR]:[V_FUT_U_JURS CENARIO]], D$5, FALSE)</f>
        <v>#N/A</v>
      </c>
      <c r="E1935" s="22" t="e">
        <f>VLOOKUP($A1935,TAB_CORRECAO_U[[Q_DIAS_U_PARC_TIR]:[V_FUT_U_CORC-02]],E$5, FALSE)</f>
        <v>#N/A</v>
      </c>
      <c r="F1935" s="22" t="e">
        <f>VLOOKUP($A1935,TAB_AMORTIZACAO_U[[Q_DIAS_U_PARC_TIR]:[V_FUT_U_PCPL-02]], F$5, FALSE)</f>
        <v>#N/A</v>
      </c>
      <c r="H1935" s="20">
        <f t="shared" si="157"/>
        <v>658.87318514810431</v>
      </c>
      <c r="I1935" s="21">
        <f t="shared" si="158"/>
        <v>658.87318514810431</v>
      </c>
      <c r="J1935" s="22">
        <f>VLOOKUP($A1935, TAB_JUROS_C[[DIAS_CORRIDOS]:[V_FUT_UTEIS]], J$5, FALSE)</f>
        <v>48.996120680029961</v>
      </c>
      <c r="K1935" s="22">
        <f>VLOOKUP($A1935, TAB_CORRECAO_C[[DIAS_CORRIDOS]:[V_FUT_UTEIS]],K$5, FALSE)</f>
        <v>295.88096920294362</v>
      </c>
      <c r="L1935" s="22">
        <f>VLOOKUP($A1935, TAB_AMORTIZACAO_C[[DIAS_CORRIDOS]:[V_FUT_UTEIS]], L$5, FALSE)</f>
        <v>313.99609526513069</v>
      </c>
    </row>
    <row r="1936" spans="1:12" hidden="1">
      <c r="A1936" s="19">
        <f t="shared" si="159"/>
        <v>1930</v>
      </c>
      <c r="B1936" s="20">
        <f t="shared" si="155"/>
        <v>0</v>
      </c>
      <c r="C1936" s="21">
        <f t="shared" si="156"/>
        <v>0</v>
      </c>
      <c r="D1936" s="22" t="e">
        <f>VLOOKUP($A1936, TAB_JUROS_U[[Q_DIAS_U_PARC_TIR]:[V_FUT_U_JURS CENARIO]], D$5, FALSE)</f>
        <v>#N/A</v>
      </c>
      <c r="E1936" s="22" t="e">
        <f>VLOOKUP($A1936,TAB_CORRECAO_U[[Q_DIAS_U_PARC_TIR]:[V_FUT_U_CORC-02]],E$5, FALSE)</f>
        <v>#N/A</v>
      </c>
      <c r="F1936" s="22" t="e">
        <f>VLOOKUP($A1936,TAB_AMORTIZACAO_U[[Q_DIAS_U_PARC_TIR]:[V_FUT_U_PCPL-02]], F$5, FALSE)</f>
        <v>#N/A</v>
      </c>
      <c r="H1936" s="20">
        <f t="shared" si="157"/>
        <v>0</v>
      </c>
      <c r="I1936" s="21">
        <f t="shared" si="158"/>
        <v>0</v>
      </c>
      <c r="J1936" s="22" t="e">
        <f>VLOOKUP($A1936, TAB_JUROS_C[[DIAS_CORRIDOS]:[V_FUT_UTEIS]], J$5, FALSE)</f>
        <v>#N/A</v>
      </c>
      <c r="K1936" s="22" t="e">
        <f>VLOOKUP($A1936, TAB_CORRECAO_C[[DIAS_CORRIDOS]:[V_FUT_UTEIS]],K$5, FALSE)</f>
        <v>#N/A</v>
      </c>
      <c r="L1936" s="22" t="e">
        <f>VLOOKUP($A1936, TAB_AMORTIZACAO_C[[DIAS_CORRIDOS]:[V_FUT_UTEIS]], L$5, FALSE)</f>
        <v>#N/A</v>
      </c>
    </row>
    <row r="1937" spans="1:12" hidden="1">
      <c r="A1937" s="19">
        <f t="shared" si="159"/>
        <v>1931</v>
      </c>
      <c r="B1937" s="20">
        <f t="shared" si="155"/>
        <v>0</v>
      </c>
      <c r="C1937" s="21">
        <f t="shared" si="156"/>
        <v>0</v>
      </c>
      <c r="D1937" s="22" t="e">
        <f>VLOOKUP($A1937, TAB_JUROS_U[[Q_DIAS_U_PARC_TIR]:[V_FUT_U_JURS CENARIO]], D$5, FALSE)</f>
        <v>#N/A</v>
      </c>
      <c r="E1937" s="22" t="e">
        <f>VLOOKUP($A1937,TAB_CORRECAO_U[[Q_DIAS_U_PARC_TIR]:[V_FUT_U_CORC-02]],E$5, FALSE)</f>
        <v>#N/A</v>
      </c>
      <c r="F1937" s="22" t="e">
        <f>VLOOKUP($A1937,TAB_AMORTIZACAO_U[[Q_DIAS_U_PARC_TIR]:[V_FUT_U_PCPL-02]], F$5, FALSE)</f>
        <v>#N/A</v>
      </c>
      <c r="H1937" s="20">
        <f t="shared" si="157"/>
        <v>0</v>
      </c>
      <c r="I1937" s="21">
        <f t="shared" si="158"/>
        <v>0</v>
      </c>
      <c r="J1937" s="22" t="e">
        <f>VLOOKUP($A1937, TAB_JUROS_C[[DIAS_CORRIDOS]:[V_FUT_UTEIS]], J$5, FALSE)</f>
        <v>#N/A</v>
      </c>
      <c r="K1937" s="22" t="e">
        <f>VLOOKUP($A1937, TAB_CORRECAO_C[[DIAS_CORRIDOS]:[V_FUT_UTEIS]],K$5, FALSE)</f>
        <v>#N/A</v>
      </c>
      <c r="L1937" s="22" t="e">
        <f>VLOOKUP($A1937, TAB_AMORTIZACAO_C[[DIAS_CORRIDOS]:[V_FUT_UTEIS]], L$5, FALSE)</f>
        <v>#N/A</v>
      </c>
    </row>
    <row r="1938" spans="1:12" hidden="1">
      <c r="A1938" s="19">
        <f t="shared" si="159"/>
        <v>1932</v>
      </c>
      <c r="B1938" s="20">
        <f t="shared" si="155"/>
        <v>0</v>
      </c>
      <c r="C1938" s="21">
        <f t="shared" si="156"/>
        <v>0</v>
      </c>
      <c r="D1938" s="22" t="e">
        <f>VLOOKUP($A1938, TAB_JUROS_U[[Q_DIAS_U_PARC_TIR]:[V_FUT_U_JURS CENARIO]], D$5, FALSE)</f>
        <v>#N/A</v>
      </c>
      <c r="E1938" s="22" t="e">
        <f>VLOOKUP($A1938,TAB_CORRECAO_U[[Q_DIAS_U_PARC_TIR]:[V_FUT_U_CORC-02]],E$5, FALSE)</f>
        <v>#N/A</v>
      </c>
      <c r="F1938" s="22" t="e">
        <f>VLOOKUP($A1938,TAB_AMORTIZACAO_U[[Q_DIAS_U_PARC_TIR]:[V_FUT_U_PCPL-02]], F$5, FALSE)</f>
        <v>#N/A</v>
      </c>
      <c r="H1938" s="20">
        <f t="shared" si="157"/>
        <v>0</v>
      </c>
      <c r="I1938" s="21">
        <f t="shared" si="158"/>
        <v>0</v>
      </c>
      <c r="J1938" s="22" t="e">
        <f>VLOOKUP($A1938, TAB_JUROS_C[[DIAS_CORRIDOS]:[V_FUT_UTEIS]], J$5, FALSE)</f>
        <v>#N/A</v>
      </c>
      <c r="K1938" s="22" t="e">
        <f>VLOOKUP($A1938, TAB_CORRECAO_C[[DIAS_CORRIDOS]:[V_FUT_UTEIS]],K$5, FALSE)</f>
        <v>#N/A</v>
      </c>
      <c r="L1938" s="22" t="e">
        <f>VLOOKUP($A1938, TAB_AMORTIZACAO_C[[DIAS_CORRIDOS]:[V_FUT_UTEIS]], L$5, FALSE)</f>
        <v>#N/A</v>
      </c>
    </row>
    <row r="1939" spans="1:12" hidden="1">
      <c r="A1939" s="19">
        <f t="shared" si="159"/>
        <v>1933</v>
      </c>
      <c r="B1939" s="20">
        <f t="shared" si="155"/>
        <v>0</v>
      </c>
      <c r="C1939" s="21">
        <f t="shared" si="156"/>
        <v>0</v>
      </c>
      <c r="D1939" s="22" t="e">
        <f>VLOOKUP($A1939, TAB_JUROS_U[[Q_DIAS_U_PARC_TIR]:[V_FUT_U_JURS CENARIO]], D$5, FALSE)</f>
        <v>#N/A</v>
      </c>
      <c r="E1939" s="22" t="e">
        <f>VLOOKUP($A1939,TAB_CORRECAO_U[[Q_DIAS_U_PARC_TIR]:[V_FUT_U_CORC-02]],E$5, FALSE)</f>
        <v>#N/A</v>
      </c>
      <c r="F1939" s="22" t="e">
        <f>VLOOKUP($A1939,TAB_AMORTIZACAO_U[[Q_DIAS_U_PARC_TIR]:[V_FUT_U_PCPL-02]], F$5, FALSE)</f>
        <v>#N/A</v>
      </c>
      <c r="H1939" s="20">
        <f t="shared" si="157"/>
        <v>0</v>
      </c>
      <c r="I1939" s="21">
        <f t="shared" si="158"/>
        <v>0</v>
      </c>
      <c r="J1939" s="22" t="e">
        <f>VLOOKUP($A1939, TAB_JUROS_C[[DIAS_CORRIDOS]:[V_FUT_UTEIS]], J$5, FALSE)</f>
        <v>#N/A</v>
      </c>
      <c r="K1939" s="22" t="e">
        <f>VLOOKUP($A1939, TAB_CORRECAO_C[[DIAS_CORRIDOS]:[V_FUT_UTEIS]],K$5, FALSE)</f>
        <v>#N/A</v>
      </c>
      <c r="L1939" s="22" t="e">
        <f>VLOOKUP($A1939, TAB_AMORTIZACAO_C[[DIAS_CORRIDOS]:[V_FUT_UTEIS]], L$5, FALSE)</f>
        <v>#N/A</v>
      </c>
    </row>
    <row r="1940" spans="1:12" hidden="1">
      <c r="A1940" s="19">
        <f t="shared" si="159"/>
        <v>1934</v>
      </c>
      <c r="B1940" s="20">
        <f t="shared" si="155"/>
        <v>0</v>
      </c>
      <c r="C1940" s="21">
        <f t="shared" si="156"/>
        <v>0</v>
      </c>
      <c r="D1940" s="22" t="e">
        <f>VLOOKUP($A1940, TAB_JUROS_U[[Q_DIAS_U_PARC_TIR]:[V_FUT_U_JURS CENARIO]], D$5, FALSE)</f>
        <v>#N/A</v>
      </c>
      <c r="E1940" s="22" t="e">
        <f>VLOOKUP($A1940,TAB_CORRECAO_U[[Q_DIAS_U_PARC_TIR]:[V_FUT_U_CORC-02]],E$5, FALSE)</f>
        <v>#N/A</v>
      </c>
      <c r="F1940" s="22" t="e">
        <f>VLOOKUP($A1940,TAB_AMORTIZACAO_U[[Q_DIAS_U_PARC_TIR]:[V_FUT_U_PCPL-02]], F$5, FALSE)</f>
        <v>#N/A</v>
      </c>
      <c r="H1940" s="20">
        <f t="shared" si="157"/>
        <v>0</v>
      </c>
      <c r="I1940" s="21">
        <f t="shared" si="158"/>
        <v>0</v>
      </c>
      <c r="J1940" s="22" t="e">
        <f>VLOOKUP($A1940, TAB_JUROS_C[[DIAS_CORRIDOS]:[V_FUT_UTEIS]], J$5, FALSE)</f>
        <v>#N/A</v>
      </c>
      <c r="K1940" s="22" t="e">
        <f>VLOOKUP($A1940, TAB_CORRECAO_C[[DIAS_CORRIDOS]:[V_FUT_UTEIS]],K$5, FALSE)</f>
        <v>#N/A</v>
      </c>
      <c r="L1940" s="22" t="e">
        <f>VLOOKUP($A1940, TAB_AMORTIZACAO_C[[DIAS_CORRIDOS]:[V_FUT_UTEIS]], L$5, FALSE)</f>
        <v>#N/A</v>
      </c>
    </row>
    <row r="1941" spans="1:12" hidden="1">
      <c r="A1941" s="19">
        <f t="shared" si="159"/>
        <v>1935</v>
      </c>
      <c r="B1941" s="20">
        <f t="shared" si="155"/>
        <v>0</v>
      </c>
      <c r="C1941" s="21">
        <f t="shared" si="156"/>
        <v>0</v>
      </c>
      <c r="D1941" s="22" t="e">
        <f>VLOOKUP($A1941, TAB_JUROS_U[[Q_DIAS_U_PARC_TIR]:[V_FUT_U_JURS CENARIO]], D$5, FALSE)</f>
        <v>#N/A</v>
      </c>
      <c r="E1941" s="22" t="e">
        <f>VLOOKUP($A1941,TAB_CORRECAO_U[[Q_DIAS_U_PARC_TIR]:[V_FUT_U_CORC-02]],E$5, FALSE)</f>
        <v>#N/A</v>
      </c>
      <c r="F1941" s="22" t="e">
        <f>VLOOKUP($A1941,TAB_AMORTIZACAO_U[[Q_DIAS_U_PARC_TIR]:[V_FUT_U_PCPL-02]], F$5, FALSE)</f>
        <v>#N/A</v>
      </c>
      <c r="H1941" s="20">
        <f t="shared" si="157"/>
        <v>0</v>
      </c>
      <c r="I1941" s="21">
        <f t="shared" si="158"/>
        <v>0</v>
      </c>
      <c r="J1941" s="22" t="e">
        <f>VLOOKUP($A1941, TAB_JUROS_C[[DIAS_CORRIDOS]:[V_FUT_UTEIS]], J$5, FALSE)</f>
        <v>#N/A</v>
      </c>
      <c r="K1941" s="22" t="e">
        <f>VLOOKUP($A1941, TAB_CORRECAO_C[[DIAS_CORRIDOS]:[V_FUT_UTEIS]],K$5, FALSE)</f>
        <v>#N/A</v>
      </c>
      <c r="L1941" s="22" t="e">
        <f>VLOOKUP($A1941, TAB_AMORTIZACAO_C[[DIAS_CORRIDOS]:[V_FUT_UTEIS]], L$5, FALSE)</f>
        <v>#N/A</v>
      </c>
    </row>
    <row r="1942" spans="1:12" hidden="1">
      <c r="A1942" s="19">
        <f t="shared" si="159"/>
        <v>1936</v>
      </c>
      <c r="B1942" s="20">
        <f t="shared" si="155"/>
        <v>0</v>
      </c>
      <c r="C1942" s="21">
        <f t="shared" si="156"/>
        <v>0</v>
      </c>
      <c r="D1942" s="22" t="e">
        <f>VLOOKUP($A1942, TAB_JUROS_U[[Q_DIAS_U_PARC_TIR]:[V_FUT_U_JURS CENARIO]], D$5, FALSE)</f>
        <v>#N/A</v>
      </c>
      <c r="E1942" s="22" t="e">
        <f>VLOOKUP($A1942,TAB_CORRECAO_U[[Q_DIAS_U_PARC_TIR]:[V_FUT_U_CORC-02]],E$5, FALSE)</f>
        <v>#N/A</v>
      </c>
      <c r="F1942" s="22" t="e">
        <f>VLOOKUP($A1942,TAB_AMORTIZACAO_U[[Q_DIAS_U_PARC_TIR]:[V_FUT_U_PCPL-02]], F$5, FALSE)</f>
        <v>#N/A</v>
      </c>
      <c r="H1942" s="20">
        <f t="shared" si="157"/>
        <v>0</v>
      </c>
      <c r="I1942" s="21">
        <f t="shared" si="158"/>
        <v>0</v>
      </c>
      <c r="J1942" s="22" t="e">
        <f>VLOOKUP($A1942, TAB_JUROS_C[[DIAS_CORRIDOS]:[V_FUT_UTEIS]], J$5, FALSE)</f>
        <v>#N/A</v>
      </c>
      <c r="K1942" s="22" t="e">
        <f>VLOOKUP($A1942, TAB_CORRECAO_C[[DIAS_CORRIDOS]:[V_FUT_UTEIS]],K$5, FALSE)</f>
        <v>#N/A</v>
      </c>
      <c r="L1942" s="22" t="e">
        <f>VLOOKUP($A1942, TAB_AMORTIZACAO_C[[DIAS_CORRIDOS]:[V_FUT_UTEIS]], L$5, FALSE)</f>
        <v>#N/A</v>
      </c>
    </row>
    <row r="1943" spans="1:12">
      <c r="A1943" s="19">
        <f t="shared" si="159"/>
        <v>1937</v>
      </c>
      <c r="B1943" s="20">
        <f t="shared" si="155"/>
        <v>331.69281987496583</v>
      </c>
      <c r="C1943" s="21">
        <f t="shared" si="156"/>
        <v>331.69281987496583</v>
      </c>
      <c r="D1943" s="22">
        <f>VLOOKUP($A1943, TAB_JUROS_U[[Q_DIAS_U_PARC_TIR]:[V_FUT_U_JURS CENARIO]], D$5, FALSE)</f>
        <v>20.550538103698894</v>
      </c>
      <c r="E1943" s="22">
        <f>VLOOKUP($A1943,TAB_CORRECAO_U[[Q_DIAS_U_PARC_TIR]:[V_FUT_U_CORC-02]],E$5, FALSE)</f>
        <v>126.48424412493729</v>
      </c>
      <c r="F1943" s="22">
        <f>VLOOKUP($A1943,TAB_AMORTIZACAO_U[[Q_DIAS_U_PARC_TIR]:[V_FUT_U_PCPL-02]], F$5, FALSE)</f>
        <v>184.65803764632969</v>
      </c>
      <c r="H1943" s="20">
        <f t="shared" si="157"/>
        <v>0</v>
      </c>
      <c r="I1943" s="21">
        <f t="shared" si="158"/>
        <v>0</v>
      </c>
      <c r="J1943" s="22" t="e">
        <f>VLOOKUP($A1943, TAB_JUROS_C[[DIAS_CORRIDOS]:[V_FUT_UTEIS]], J$5, FALSE)</f>
        <v>#N/A</v>
      </c>
      <c r="K1943" s="22" t="e">
        <f>VLOOKUP($A1943, TAB_CORRECAO_C[[DIAS_CORRIDOS]:[V_FUT_UTEIS]],K$5, FALSE)</f>
        <v>#N/A</v>
      </c>
      <c r="L1943" s="22" t="e">
        <f>VLOOKUP($A1943, TAB_AMORTIZACAO_C[[DIAS_CORRIDOS]:[V_FUT_UTEIS]], L$5, FALSE)</f>
        <v>#N/A</v>
      </c>
    </row>
    <row r="1944" spans="1:12" hidden="1">
      <c r="A1944" s="19">
        <f t="shared" si="159"/>
        <v>1938</v>
      </c>
      <c r="B1944" s="20">
        <f t="shared" si="155"/>
        <v>0</v>
      </c>
      <c r="C1944" s="21">
        <f t="shared" si="156"/>
        <v>0</v>
      </c>
      <c r="D1944" s="22" t="e">
        <f>VLOOKUP($A1944, TAB_JUROS_U[[Q_DIAS_U_PARC_TIR]:[V_FUT_U_JURS CENARIO]], D$5, FALSE)</f>
        <v>#N/A</v>
      </c>
      <c r="E1944" s="22" t="e">
        <f>VLOOKUP($A1944,TAB_CORRECAO_U[[Q_DIAS_U_PARC_TIR]:[V_FUT_U_CORC-02]],E$5, FALSE)</f>
        <v>#N/A</v>
      </c>
      <c r="F1944" s="22" t="e">
        <f>VLOOKUP($A1944,TAB_AMORTIZACAO_U[[Q_DIAS_U_PARC_TIR]:[V_FUT_U_PCPL-02]], F$5, FALSE)</f>
        <v>#N/A</v>
      </c>
      <c r="H1944" s="20">
        <f t="shared" si="157"/>
        <v>0</v>
      </c>
      <c r="I1944" s="21">
        <f t="shared" si="158"/>
        <v>0</v>
      </c>
      <c r="J1944" s="22" t="e">
        <f>VLOOKUP($A1944, TAB_JUROS_C[[DIAS_CORRIDOS]:[V_FUT_UTEIS]], J$5, FALSE)</f>
        <v>#N/A</v>
      </c>
      <c r="K1944" s="22" t="e">
        <f>VLOOKUP($A1944, TAB_CORRECAO_C[[DIAS_CORRIDOS]:[V_FUT_UTEIS]],K$5, FALSE)</f>
        <v>#N/A</v>
      </c>
      <c r="L1944" s="22" t="e">
        <f>VLOOKUP($A1944, TAB_AMORTIZACAO_C[[DIAS_CORRIDOS]:[V_FUT_UTEIS]], L$5, FALSE)</f>
        <v>#N/A</v>
      </c>
    </row>
    <row r="1945" spans="1:12" hidden="1">
      <c r="A1945" s="19">
        <f t="shared" si="159"/>
        <v>1939</v>
      </c>
      <c r="B1945" s="20">
        <f t="shared" si="155"/>
        <v>0</v>
      </c>
      <c r="C1945" s="21">
        <f t="shared" si="156"/>
        <v>0</v>
      </c>
      <c r="D1945" s="22" t="e">
        <f>VLOOKUP($A1945, TAB_JUROS_U[[Q_DIAS_U_PARC_TIR]:[V_FUT_U_JURS CENARIO]], D$5, FALSE)</f>
        <v>#N/A</v>
      </c>
      <c r="E1945" s="22" t="e">
        <f>VLOOKUP($A1945,TAB_CORRECAO_U[[Q_DIAS_U_PARC_TIR]:[V_FUT_U_CORC-02]],E$5, FALSE)</f>
        <v>#N/A</v>
      </c>
      <c r="F1945" s="22" t="e">
        <f>VLOOKUP($A1945,TAB_AMORTIZACAO_U[[Q_DIAS_U_PARC_TIR]:[V_FUT_U_PCPL-02]], F$5, FALSE)</f>
        <v>#N/A</v>
      </c>
      <c r="H1945" s="20">
        <f t="shared" si="157"/>
        <v>0</v>
      </c>
      <c r="I1945" s="21">
        <f t="shared" si="158"/>
        <v>0</v>
      </c>
      <c r="J1945" s="22" t="e">
        <f>VLOOKUP($A1945, TAB_JUROS_C[[DIAS_CORRIDOS]:[V_FUT_UTEIS]], J$5, FALSE)</f>
        <v>#N/A</v>
      </c>
      <c r="K1945" s="22" t="e">
        <f>VLOOKUP($A1945, TAB_CORRECAO_C[[DIAS_CORRIDOS]:[V_FUT_UTEIS]],K$5, FALSE)</f>
        <v>#N/A</v>
      </c>
      <c r="L1945" s="22" t="e">
        <f>VLOOKUP($A1945, TAB_AMORTIZACAO_C[[DIAS_CORRIDOS]:[V_FUT_UTEIS]], L$5, FALSE)</f>
        <v>#N/A</v>
      </c>
    </row>
    <row r="1946" spans="1:12" hidden="1">
      <c r="A1946" s="19">
        <f t="shared" si="159"/>
        <v>1940</v>
      </c>
      <c r="B1946" s="20">
        <f t="shared" si="155"/>
        <v>0</v>
      </c>
      <c r="C1946" s="21">
        <f t="shared" si="156"/>
        <v>0</v>
      </c>
      <c r="D1946" s="22" t="e">
        <f>VLOOKUP($A1946, TAB_JUROS_U[[Q_DIAS_U_PARC_TIR]:[V_FUT_U_JURS CENARIO]], D$5, FALSE)</f>
        <v>#N/A</v>
      </c>
      <c r="E1946" s="22" t="e">
        <f>VLOOKUP($A1946,TAB_CORRECAO_U[[Q_DIAS_U_PARC_TIR]:[V_FUT_U_CORC-02]],E$5, FALSE)</f>
        <v>#N/A</v>
      </c>
      <c r="F1946" s="22" t="e">
        <f>VLOOKUP($A1946,TAB_AMORTIZACAO_U[[Q_DIAS_U_PARC_TIR]:[V_FUT_U_PCPL-02]], F$5, FALSE)</f>
        <v>#N/A</v>
      </c>
      <c r="H1946" s="20">
        <f t="shared" si="157"/>
        <v>0</v>
      </c>
      <c r="I1946" s="21">
        <f t="shared" si="158"/>
        <v>0</v>
      </c>
      <c r="J1946" s="22" t="e">
        <f>VLOOKUP($A1946, TAB_JUROS_C[[DIAS_CORRIDOS]:[V_FUT_UTEIS]], J$5, FALSE)</f>
        <v>#N/A</v>
      </c>
      <c r="K1946" s="22" t="e">
        <f>VLOOKUP($A1946, TAB_CORRECAO_C[[DIAS_CORRIDOS]:[V_FUT_UTEIS]],K$5, FALSE)</f>
        <v>#N/A</v>
      </c>
      <c r="L1946" s="22" t="e">
        <f>VLOOKUP($A1946, TAB_AMORTIZACAO_C[[DIAS_CORRIDOS]:[V_FUT_UTEIS]], L$5, FALSE)</f>
        <v>#N/A</v>
      </c>
    </row>
    <row r="1947" spans="1:12" hidden="1">
      <c r="A1947" s="19">
        <f t="shared" si="159"/>
        <v>1941</v>
      </c>
      <c r="B1947" s="20">
        <f t="shared" si="155"/>
        <v>0</v>
      </c>
      <c r="C1947" s="21">
        <f t="shared" si="156"/>
        <v>0</v>
      </c>
      <c r="D1947" s="22" t="e">
        <f>VLOOKUP($A1947, TAB_JUROS_U[[Q_DIAS_U_PARC_TIR]:[V_FUT_U_JURS CENARIO]], D$5, FALSE)</f>
        <v>#N/A</v>
      </c>
      <c r="E1947" s="22" t="e">
        <f>VLOOKUP($A1947,TAB_CORRECAO_U[[Q_DIAS_U_PARC_TIR]:[V_FUT_U_CORC-02]],E$5, FALSE)</f>
        <v>#N/A</v>
      </c>
      <c r="F1947" s="22" t="e">
        <f>VLOOKUP($A1947,TAB_AMORTIZACAO_U[[Q_DIAS_U_PARC_TIR]:[V_FUT_U_PCPL-02]], F$5, FALSE)</f>
        <v>#N/A</v>
      </c>
      <c r="H1947" s="20">
        <f t="shared" si="157"/>
        <v>0</v>
      </c>
      <c r="I1947" s="21">
        <f t="shared" si="158"/>
        <v>0</v>
      </c>
      <c r="J1947" s="22" t="e">
        <f>VLOOKUP($A1947, TAB_JUROS_C[[DIAS_CORRIDOS]:[V_FUT_UTEIS]], J$5, FALSE)</f>
        <v>#N/A</v>
      </c>
      <c r="K1947" s="22" t="e">
        <f>VLOOKUP($A1947, TAB_CORRECAO_C[[DIAS_CORRIDOS]:[V_FUT_UTEIS]],K$5, FALSE)</f>
        <v>#N/A</v>
      </c>
      <c r="L1947" s="22" t="e">
        <f>VLOOKUP($A1947, TAB_AMORTIZACAO_C[[DIAS_CORRIDOS]:[V_FUT_UTEIS]], L$5, FALSE)</f>
        <v>#N/A</v>
      </c>
    </row>
    <row r="1948" spans="1:12" hidden="1">
      <c r="A1948" s="19">
        <f t="shared" si="159"/>
        <v>1942</v>
      </c>
      <c r="B1948" s="20">
        <f t="shared" si="155"/>
        <v>0</v>
      </c>
      <c r="C1948" s="21">
        <f t="shared" si="156"/>
        <v>0</v>
      </c>
      <c r="D1948" s="22" t="e">
        <f>VLOOKUP($A1948, TAB_JUROS_U[[Q_DIAS_U_PARC_TIR]:[V_FUT_U_JURS CENARIO]], D$5, FALSE)</f>
        <v>#N/A</v>
      </c>
      <c r="E1948" s="22" t="e">
        <f>VLOOKUP($A1948,TAB_CORRECAO_U[[Q_DIAS_U_PARC_TIR]:[V_FUT_U_CORC-02]],E$5, FALSE)</f>
        <v>#N/A</v>
      </c>
      <c r="F1948" s="22" t="e">
        <f>VLOOKUP($A1948,TAB_AMORTIZACAO_U[[Q_DIAS_U_PARC_TIR]:[V_FUT_U_PCPL-02]], F$5, FALSE)</f>
        <v>#N/A</v>
      </c>
      <c r="H1948" s="20">
        <f t="shared" si="157"/>
        <v>0</v>
      </c>
      <c r="I1948" s="21">
        <f t="shared" si="158"/>
        <v>0</v>
      </c>
      <c r="J1948" s="22" t="e">
        <f>VLOOKUP($A1948, TAB_JUROS_C[[DIAS_CORRIDOS]:[V_FUT_UTEIS]], J$5, FALSE)</f>
        <v>#N/A</v>
      </c>
      <c r="K1948" s="22" t="e">
        <f>VLOOKUP($A1948, TAB_CORRECAO_C[[DIAS_CORRIDOS]:[V_FUT_UTEIS]],K$5, FALSE)</f>
        <v>#N/A</v>
      </c>
      <c r="L1948" s="22" t="e">
        <f>VLOOKUP($A1948, TAB_AMORTIZACAO_C[[DIAS_CORRIDOS]:[V_FUT_UTEIS]], L$5, FALSE)</f>
        <v>#N/A</v>
      </c>
    </row>
    <row r="1949" spans="1:12" hidden="1">
      <c r="A1949" s="19">
        <f t="shared" si="159"/>
        <v>1943</v>
      </c>
      <c r="B1949" s="20">
        <f t="shared" si="155"/>
        <v>0</v>
      </c>
      <c r="C1949" s="21">
        <f t="shared" si="156"/>
        <v>0</v>
      </c>
      <c r="D1949" s="22" t="e">
        <f>VLOOKUP($A1949, TAB_JUROS_U[[Q_DIAS_U_PARC_TIR]:[V_FUT_U_JURS CENARIO]], D$5, FALSE)</f>
        <v>#N/A</v>
      </c>
      <c r="E1949" s="22" t="e">
        <f>VLOOKUP($A1949,TAB_CORRECAO_U[[Q_DIAS_U_PARC_TIR]:[V_FUT_U_CORC-02]],E$5, FALSE)</f>
        <v>#N/A</v>
      </c>
      <c r="F1949" s="22" t="e">
        <f>VLOOKUP($A1949,TAB_AMORTIZACAO_U[[Q_DIAS_U_PARC_TIR]:[V_FUT_U_PCPL-02]], F$5, FALSE)</f>
        <v>#N/A</v>
      </c>
      <c r="H1949" s="20">
        <f t="shared" si="157"/>
        <v>0</v>
      </c>
      <c r="I1949" s="21">
        <f t="shared" si="158"/>
        <v>0</v>
      </c>
      <c r="J1949" s="22" t="e">
        <f>VLOOKUP($A1949, TAB_JUROS_C[[DIAS_CORRIDOS]:[V_FUT_UTEIS]], J$5, FALSE)</f>
        <v>#N/A</v>
      </c>
      <c r="K1949" s="22" t="e">
        <f>VLOOKUP($A1949, TAB_CORRECAO_C[[DIAS_CORRIDOS]:[V_FUT_UTEIS]],K$5, FALSE)</f>
        <v>#N/A</v>
      </c>
      <c r="L1949" s="22" t="e">
        <f>VLOOKUP($A1949, TAB_AMORTIZACAO_C[[DIAS_CORRIDOS]:[V_FUT_UTEIS]], L$5, FALSE)</f>
        <v>#N/A</v>
      </c>
    </row>
    <row r="1950" spans="1:12" hidden="1">
      <c r="A1950" s="19">
        <f t="shared" si="159"/>
        <v>1944</v>
      </c>
      <c r="B1950" s="20">
        <f t="shared" si="155"/>
        <v>0</v>
      </c>
      <c r="C1950" s="21">
        <f t="shared" si="156"/>
        <v>0</v>
      </c>
      <c r="D1950" s="22" t="e">
        <f>VLOOKUP($A1950, TAB_JUROS_U[[Q_DIAS_U_PARC_TIR]:[V_FUT_U_JURS CENARIO]], D$5, FALSE)</f>
        <v>#N/A</v>
      </c>
      <c r="E1950" s="22" t="e">
        <f>VLOOKUP($A1950,TAB_CORRECAO_U[[Q_DIAS_U_PARC_TIR]:[V_FUT_U_CORC-02]],E$5, FALSE)</f>
        <v>#N/A</v>
      </c>
      <c r="F1950" s="22" t="e">
        <f>VLOOKUP($A1950,TAB_AMORTIZACAO_U[[Q_DIAS_U_PARC_TIR]:[V_FUT_U_PCPL-02]], F$5, FALSE)</f>
        <v>#N/A</v>
      </c>
      <c r="H1950" s="20">
        <f t="shared" si="157"/>
        <v>0</v>
      </c>
      <c r="I1950" s="21">
        <f t="shared" si="158"/>
        <v>0</v>
      </c>
      <c r="J1950" s="22" t="e">
        <f>VLOOKUP($A1950, TAB_JUROS_C[[DIAS_CORRIDOS]:[V_FUT_UTEIS]], J$5, FALSE)</f>
        <v>#N/A</v>
      </c>
      <c r="K1950" s="22" t="e">
        <f>VLOOKUP($A1950, TAB_CORRECAO_C[[DIAS_CORRIDOS]:[V_FUT_UTEIS]],K$5, FALSE)</f>
        <v>#N/A</v>
      </c>
      <c r="L1950" s="22" t="e">
        <f>VLOOKUP($A1950, TAB_AMORTIZACAO_C[[DIAS_CORRIDOS]:[V_FUT_UTEIS]], L$5, FALSE)</f>
        <v>#N/A</v>
      </c>
    </row>
    <row r="1951" spans="1:12" hidden="1">
      <c r="A1951" s="19">
        <f t="shared" si="159"/>
        <v>1945</v>
      </c>
      <c r="B1951" s="20">
        <f t="shared" si="155"/>
        <v>0</v>
      </c>
      <c r="C1951" s="21">
        <f t="shared" si="156"/>
        <v>0</v>
      </c>
      <c r="D1951" s="22" t="e">
        <f>VLOOKUP($A1951, TAB_JUROS_U[[Q_DIAS_U_PARC_TIR]:[V_FUT_U_JURS CENARIO]], D$5, FALSE)</f>
        <v>#N/A</v>
      </c>
      <c r="E1951" s="22" t="e">
        <f>VLOOKUP($A1951,TAB_CORRECAO_U[[Q_DIAS_U_PARC_TIR]:[V_FUT_U_CORC-02]],E$5, FALSE)</f>
        <v>#N/A</v>
      </c>
      <c r="F1951" s="22" t="e">
        <f>VLOOKUP($A1951,TAB_AMORTIZACAO_U[[Q_DIAS_U_PARC_TIR]:[V_FUT_U_PCPL-02]], F$5, FALSE)</f>
        <v>#N/A</v>
      </c>
      <c r="H1951" s="20">
        <f t="shared" si="157"/>
        <v>0</v>
      </c>
      <c r="I1951" s="21">
        <f t="shared" si="158"/>
        <v>0</v>
      </c>
      <c r="J1951" s="22" t="e">
        <f>VLOOKUP($A1951, TAB_JUROS_C[[DIAS_CORRIDOS]:[V_FUT_UTEIS]], J$5, FALSE)</f>
        <v>#N/A</v>
      </c>
      <c r="K1951" s="22" t="e">
        <f>VLOOKUP($A1951, TAB_CORRECAO_C[[DIAS_CORRIDOS]:[V_FUT_UTEIS]],K$5, FALSE)</f>
        <v>#N/A</v>
      </c>
      <c r="L1951" s="22" t="e">
        <f>VLOOKUP($A1951, TAB_AMORTIZACAO_C[[DIAS_CORRIDOS]:[V_FUT_UTEIS]], L$5, FALSE)</f>
        <v>#N/A</v>
      </c>
    </row>
    <row r="1952" spans="1:12" hidden="1">
      <c r="A1952" s="19">
        <f t="shared" si="159"/>
        <v>1946</v>
      </c>
      <c r="B1952" s="20">
        <f t="shared" si="155"/>
        <v>0</v>
      </c>
      <c r="C1952" s="21">
        <f t="shared" si="156"/>
        <v>0</v>
      </c>
      <c r="D1952" s="22" t="e">
        <f>VLOOKUP($A1952, TAB_JUROS_U[[Q_DIAS_U_PARC_TIR]:[V_FUT_U_JURS CENARIO]], D$5, FALSE)</f>
        <v>#N/A</v>
      </c>
      <c r="E1952" s="22" t="e">
        <f>VLOOKUP($A1952,TAB_CORRECAO_U[[Q_DIAS_U_PARC_TIR]:[V_FUT_U_CORC-02]],E$5, FALSE)</f>
        <v>#N/A</v>
      </c>
      <c r="F1952" s="22" t="e">
        <f>VLOOKUP($A1952,TAB_AMORTIZACAO_U[[Q_DIAS_U_PARC_TIR]:[V_FUT_U_PCPL-02]], F$5, FALSE)</f>
        <v>#N/A</v>
      </c>
      <c r="H1952" s="20">
        <f t="shared" si="157"/>
        <v>0</v>
      </c>
      <c r="I1952" s="21">
        <f t="shared" si="158"/>
        <v>0</v>
      </c>
      <c r="J1952" s="22" t="e">
        <f>VLOOKUP($A1952, TAB_JUROS_C[[DIAS_CORRIDOS]:[V_FUT_UTEIS]], J$5, FALSE)</f>
        <v>#N/A</v>
      </c>
      <c r="K1952" s="22" t="e">
        <f>VLOOKUP($A1952, TAB_CORRECAO_C[[DIAS_CORRIDOS]:[V_FUT_UTEIS]],K$5, FALSE)</f>
        <v>#N/A</v>
      </c>
      <c r="L1952" s="22" t="e">
        <f>VLOOKUP($A1952, TAB_AMORTIZACAO_C[[DIAS_CORRIDOS]:[V_FUT_UTEIS]], L$5, FALSE)</f>
        <v>#N/A</v>
      </c>
    </row>
    <row r="1953" spans="1:12" hidden="1">
      <c r="A1953" s="19">
        <f t="shared" si="159"/>
        <v>1947</v>
      </c>
      <c r="B1953" s="20">
        <f t="shared" si="155"/>
        <v>0</v>
      </c>
      <c r="C1953" s="21">
        <f t="shared" si="156"/>
        <v>0</v>
      </c>
      <c r="D1953" s="22" t="e">
        <f>VLOOKUP($A1953, TAB_JUROS_U[[Q_DIAS_U_PARC_TIR]:[V_FUT_U_JURS CENARIO]], D$5, FALSE)</f>
        <v>#N/A</v>
      </c>
      <c r="E1953" s="22" t="e">
        <f>VLOOKUP($A1953,TAB_CORRECAO_U[[Q_DIAS_U_PARC_TIR]:[V_FUT_U_CORC-02]],E$5, FALSE)</f>
        <v>#N/A</v>
      </c>
      <c r="F1953" s="22" t="e">
        <f>VLOOKUP($A1953,TAB_AMORTIZACAO_U[[Q_DIAS_U_PARC_TIR]:[V_FUT_U_PCPL-02]], F$5, FALSE)</f>
        <v>#N/A</v>
      </c>
      <c r="H1953" s="20">
        <f t="shared" si="157"/>
        <v>0</v>
      </c>
      <c r="I1953" s="21">
        <f t="shared" si="158"/>
        <v>0</v>
      </c>
      <c r="J1953" s="22" t="e">
        <f>VLOOKUP($A1953, TAB_JUROS_C[[DIAS_CORRIDOS]:[V_FUT_UTEIS]], J$5, FALSE)</f>
        <v>#N/A</v>
      </c>
      <c r="K1953" s="22" t="e">
        <f>VLOOKUP($A1953, TAB_CORRECAO_C[[DIAS_CORRIDOS]:[V_FUT_UTEIS]],K$5, FALSE)</f>
        <v>#N/A</v>
      </c>
      <c r="L1953" s="22" t="e">
        <f>VLOOKUP($A1953, TAB_AMORTIZACAO_C[[DIAS_CORRIDOS]:[V_FUT_UTEIS]], L$5, FALSE)</f>
        <v>#N/A</v>
      </c>
    </row>
    <row r="1954" spans="1:12" hidden="1">
      <c r="A1954" s="19">
        <f t="shared" si="159"/>
        <v>1948</v>
      </c>
      <c r="B1954" s="20">
        <f t="shared" si="155"/>
        <v>0</v>
      </c>
      <c r="C1954" s="21">
        <f t="shared" si="156"/>
        <v>0</v>
      </c>
      <c r="D1954" s="22" t="e">
        <f>VLOOKUP($A1954, TAB_JUROS_U[[Q_DIAS_U_PARC_TIR]:[V_FUT_U_JURS CENARIO]], D$5, FALSE)</f>
        <v>#N/A</v>
      </c>
      <c r="E1954" s="22" t="e">
        <f>VLOOKUP($A1954,TAB_CORRECAO_U[[Q_DIAS_U_PARC_TIR]:[V_FUT_U_CORC-02]],E$5, FALSE)</f>
        <v>#N/A</v>
      </c>
      <c r="F1954" s="22" t="e">
        <f>VLOOKUP($A1954,TAB_AMORTIZACAO_U[[Q_DIAS_U_PARC_TIR]:[V_FUT_U_PCPL-02]], F$5, FALSE)</f>
        <v>#N/A</v>
      </c>
      <c r="H1954" s="20">
        <f t="shared" si="157"/>
        <v>0</v>
      </c>
      <c r="I1954" s="21">
        <f t="shared" si="158"/>
        <v>0</v>
      </c>
      <c r="J1954" s="22" t="e">
        <f>VLOOKUP($A1954, TAB_JUROS_C[[DIAS_CORRIDOS]:[V_FUT_UTEIS]], J$5, FALSE)</f>
        <v>#N/A</v>
      </c>
      <c r="K1954" s="22" t="e">
        <f>VLOOKUP($A1954, TAB_CORRECAO_C[[DIAS_CORRIDOS]:[V_FUT_UTEIS]],K$5, FALSE)</f>
        <v>#N/A</v>
      </c>
      <c r="L1954" s="22" t="e">
        <f>VLOOKUP($A1954, TAB_AMORTIZACAO_C[[DIAS_CORRIDOS]:[V_FUT_UTEIS]], L$5, FALSE)</f>
        <v>#N/A</v>
      </c>
    </row>
    <row r="1955" spans="1:12" hidden="1">
      <c r="A1955" s="19">
        <f t="shared" si="159"/>
        <v>1949</v>
      </c>
      <c r="B1955" s="20">
        <f t="shared" si="155"/>
        <v>0</v>
      </c>
      <c r="C1955" s="21">
        <f t="shared" si="156"/>
        <v>0</v>
      </c>
      <c r="D1955" s="22" t="e">
        <f>VLOOKUP($A1955, TAB_JUROS_U[[Q_DIAS_U_PARC_TIR]:[V_FUT_U_JURS CENARIO]], D$5, FALSE)</f>
        <v>#N/A</v>
      </c>
      <c r="E1955" s="22" t="e">
        <f>VLOOKUP($A1955,TAB_CORRECAO_U[[Q_DIAS_U_PARC_TIR]:[V_FUT_U_CORC-02]],E$5, FALSE)</f>
        <v>#N/A</v>
      </c>
      <c r="F1955" s="22" t="e">
        <f>VLOOKUP($A1955,TAB_AMORTIZACAO_U[[Q_DIAS_U_PARC_TIR]:[V_FUT_U_PCPL-02]], F$5, FALSE)</f>
        <v>#N/A</v>
      </c>
      <c r="H1955" s="20">
        <f t="shared" si="157"/>
        <v>0</v>
      </c>
      <c r="I1955" s="21">
        <f t="shared" si="158"/>
        <v>0</v>
      </c>
      <c r="J1955" s="22" t="e">
        <f>VLOOKUP($A1955, TAB_JUROS_C[[DIAS_CORRIDOS]:[V_FUT_UTEIS]], J$5, FALSE)</f>
        <v>#N/A</v>
      </c>
      <c r="K1955" s="22" t="e">
        <f>VLOOKUP($A1955, TAB_CORRECAO_C[[DIAS_CORRIDOS]:[V_FUT_UTEIS]],K$5, FALSE)</f>
        <v>#N/A</v>
      </c>
      <c r="L1955" s="22" t="e">
        <f>VLOOKUP($A1955, TAB_AMORTIZACAO_C[[DIAS_CORRIDOS]:[V_FUT_UTEIS]], L$5, FALSE)</f>
        <v>#N/A</v>
      </c>
    </row>
    <row r="1956" spans="1:12" hidden="1">
      <c r="A1956" s="19">
        <f t="shared" si="159"/>
        <v>1950</v>
      </c>
      <c r="B1956" s="20">
        <f t="shared" si="155"/>
        <v>0</v>
      </c>
      <c r="C1956" s="21">
        <f t="shared" si="156"/>
        <v>0</v>
      </c>
      <c r="D1956" s="22" t="e">
        <f>VLOOKUP($A1956, TAB_JUROS_U[[Q_DIAS_U_PARC_TIR]:[V_FUT_U_JURS CENARIO]], D$5, FALSE)</f>
        <v>#N/A</v>
      </c>
      <c r="E1956" s="22" t="e">
        <f>VLOOKUP($A1956,TAB_CORRECAO_U[[Q_DIAS_U_PARC_TIR]:[V_FUT_U_CORC-02]],E$5, FALSE)</f>
        <v>#N/A</v>
      </c>
      <c r="F1956" s="22" t="e">
        <f>VLOOKUP($A1956,TAB_AMORTIZACAO_U[[Q_DIAS_U_PARC_TIR]:[V_FUT_U_PCPL-02]], F$5, FALSE)</f>
        <v>#N/A</v>
      </c>
      <c r="H1956" s="20">
        <f t="shared" si="157"/>
        <v>0</v>
      </c>
      <c r="I1956" s="21">
        <f t="shared" si="158"/>
        <v>0</v>
      </c>
      <c r="J1956" s="22" t="e">
        <f>VLOOKUP($A1956, TAB_JUROS_C[[DIAS_CORRIDOS]:[V_FUT_UTEIS]], J$5, FALSE)</f>
        <v>#N/A</v>
      </c>
      <c r="K1956" s="22" t="e">
        <f>VLOOKUP($A1956, TAB_CORRECAO_C[[DIAS_CORRIDOS]:[V_FUT_UTEIS]],K$5, FALSE)</f>
        <v>#N/A</v>
      </c>
      <c r="L1956" s="22" t="e">
        <f>VLOOKUP($A1956, TAB_AMORTIZACAO_C[[DIAS_CORRIDOS]:[V_FUT_UTEIS]], L$5, FALSE)</f>
        <v>#N/A</v>
      </c>
    </row>
    <row r="1957" spans="1:12" hidden="1">
      <c r="A1957" s="19">
        <f t="shared" si="159"/>
        <v>1951</v>
      </c>
      <c r="B1957" s="20">
        <f t="shared" si="155"/>
        <v>0</v>
      </c>
      <c r="C1957" s="21">
        <f t="shared" si="156"/>
        <v>0</v>
      </c>
      <c r="D1957" s="22" t="e">
        <f>VLOOKUP($A1957, TAB_JUROS_U[[Q_DIAS_U_PARC_TIR]:[V_FUT_U_JURS CENARIO]], D$5, FALSE)</f>
        <v>#N/A</v>
      </c>
      <c r="E1957" s="22" t="e">
        <f>VLOOKUP($A1957,TAB_CORRECAO_U[[Q_DIAS_U_PARC_TIR]:[V_FUT_U_CORC-02]],E$5, FALSE)</f>
        <v>#N/A</v>
      </c>
      <c r="F1957" s="22" t="e">
        <f>VLOOKUP($A1957,TAB_AMORTIZACAO_U[[Q_DIAS_U_PARC_TIR]:[V_FUT_U_PCPL-02]], F$5, FALSE)</f>
        <v>#N/A</v>
      </c>
      <c r="H1957" s="20">
        <f t="shared" si="157"/>
        <v>0</v>
      </c>
      <c r="I1957" s="21">
        <f t="shared" si="158"/>
        <v>0</v>
      </c>
      <c r="J1957" s="22" t="e">
        <f>VLOOKUP($A1957, TAB_JUROS_C[[DIAS_CORRIDOS]:[V_FUT_UTEIS]], J$5, FALSE)</f>
        <v>#N/A</v>
      </c>
      <c r="K1957" s="22" t="e">
        <f>VLOOKUP($A1957, TAB_CORRECAO_C[[DIAS_CORRIDOS]:[V_FUT_UTEIS]],K$5, FALSE)</f>
        <v>#N/A</v>
      </c>
      <c r="L1957" s="22" t="e">
        <f>VLOOKUP($A1957, TAB_AMORTIZACAO_C[[DIAS_CORRIDOS]:[V_FUT_UTEIS]], L$5, FALSE)</f>
        <v>#N/A</v>
      </c>
    </row>
    <row r="1958" spans="1:12" hidden="1">
      <c r="A1958" s="19">
        <f t="shared" si="159"/>
        <v>1952</v>
      </c>
      <c r="B1958" s="20">
        <f t="shared" si="155"/>
        <v>0</v>
      </c>
      <c r="C1958" s="21">
        <f t="shared" si="156"/>
        <v>0</v>
      </c>
      <c r="D1958" s="22" t="e">
        <f>VLOOKUP($A1958, TAB_JUROS_U[[Q_DIAS_U_PARC_TIR]:[V_FUT_U_JURS CENARIO]], D$5, FALSE)</f>
        <v>#N/A</v>
      </c>
      <c r="E1958" s="22" t="e">
        <f>VLOOKUP($A1958,TAB_CORRECAO_U[[Q_DIAS_U_PARC_TIR]:[V_FUT_U_CORC-02]],E$5, FALSE)</f>
        <v>#N/A</v>
      </c>
      <c r="F1958" s="22" t="e">
        <f>VLOOKUP($A1958,TAB_AMORTIZACAO_U[[Q_DIAS_U_PARC_TIR]:[V_FUT_U_PCPL-02]], F$5, FALSE)</f>
        <v>#N/A</v>
      </c>
      <c r="H1958" s="20">
        <f t="shared" si="157"/>
        <v>0</v>
      </c>
      <c r="I1958" s="21">
        <f t="shared" si="158"/>
        <v>0</v>
      </c>
      <c r="J1958" s="22" t="e">
        <f>VLOOKUP($A1958, TAB_JUROS_C[[DIAS_CORRIDOS]:[V_FUT_UTEIS]], J$5, FALSE)</f>
        <v>#N/A</v>
      </c>
      <c r="K1958" s="22" t="e">
        <f>VLOOKUP($A1958, TAB_CORRECAO_C[[DIAS_CORRIDOS]:[V_FUT_UTEIS]],K$5, FALSE)</f>
        <v>#N/A</v>
      </c>
      <c r="L1958" s="22" t="e">
        <f>VLOOKUP($A1958, TAB_AMORTIZACAO_C[[DIAS_CORRIDOS]:[V_FUT_UTEIS]], L$5, FALSE)</f>
        <v>#N/A</v>
      </c>
    </row>
    <row r="1959" spans="1:12" hidden="1">
      <c r="A1959" s="19">
        <f t="shared" si="159"/>
        <v>1953</v>
      </c>
      <c r="B1959" s="20">
        <f t="shared" si="155"/>
        <v>0</v>
      </c>
      <c r="C1959" s="21">
        <f t="shared" si="156"/>
        <v>0</v>
      </c>
      <c r="D1959" s="22" t="e">
        <f>VLOOKUP($A1959, TAB_JUROS_U[[Q_DIAS_U_PARC_TIR]:[V_FUT_U_JURS CENARIO]], D$5, FALSE)</f>
        <v>#N/A</v>
      </c>
      <c r="E1959" s="22" t="e">
        <f>VLOOKUP($A1959,TAB_CORRECAO_U[[Q_DIAS_U_PARC_TIR]:[V_FUT_U_CORC-02]],E$5, FALSE)</f>
        <v>#N/A</v>
      </c>
      <c r="F1959" s="22" t="e">
        <f>VLOOKUP($A1959,TAB_AMORTIZACAO_U[[Q_DIAS_U_PARC_TIR]:[V_FUT_U_PCPL-02]], F$5, FALSE)</f>
        <v>#N/A</v>
      </c>
      <c r="H1959" s="20">
        <f t="shared" si="157"/>
        <v>0</v>
      </c>
      <c r="I1959" s="21">
        <f t="shared" si="158"/>
        <v>0</v>
      </c>
      <c r="J1959" s="22" t="e">
        <f>VLOOKUP($A1959, TAB_JUROS_C[[DIAS_CORRIDOS]:[V_FUT_UTEIS]], J$5, FALSE)</f>
        <v>#N/A</v>
      </c>
      <c r="K1959" s="22" t="e">
        <f>VLOOKUP($A1959, TAB_CORRECAO_C[[DIAS_CORRIDOS]:[V_FUT_UTEIS]],K$5, FALSE)</f>
        <v>#N/A</v>
      </c>
      <c r="L1959" s="22" t="e">
        <f>VLOOKUP($A1959, TAB_AMORTIZACAO_C[[DIAS_CORRIDOS]:[V_FUT_UTEIS]], L$5, FALSE)</f>
        <v>#N/A</v>
      </c>
    </row>
    <row r="1960" spans="1:12" hidden="1">
      <c r="A1960" s="19">
        <f t="shared" si="159"/>
        <v>1954</v>
      </c>
      <c r="B1960" s="20">
        <f t="shared" si="155"/>
        <v>0</v>
      </c>
      <c r="C1960" s="21">
        <f t="shared" si="156"/>
        <v>0</v>
      </c>
      <c r="D1960" s="22" t="e">
        <f>VLOOKUP($A1960, TAB_JUROS_U[[Q_DIAS_U_PARC_TIR]:[V_FUT_U_JURS CENARIO]], D$5, FALSE)</f>
        <v>#N/A</v>
      </c>
      <c r="E1960" s="22" t="e">
        <f>VLOOKUP($A1960,TAB_CORRECAO_U[[Q_DIAS_U_PARC_TIR]:[V_FUT_U_CORC-02]],E$5, FALSE)</f>
        <v>#N/A</v>
      </c>
      <c r="F1960" s="22" t="e">
        <f>VLOOKUP($A1960,TAB_AMORTIZACAO_U[[Q_DIAS_U_PARC_TIR]:[V_FUT_U_PCPL-02]], F$5, FALSE)</f>
        <v>#N/A</v>
      </c>
      <c r="H1960" s="20">
        <f t="shared" si="157"/>
        <v>0</v>
      </c>
      <c r="I1960" s="21">
        <f t="shared" si="158"/>
        <v>0</v>
      </c>
      <c r="J1960" s="22" t="e">
        <f>VLOOKUP($A1960, TAB_JUROS_C[[DIAS_CORRIDOS]:[V_FUT_UTEIS]], J$5, FALSE)</f>
        <v>#N/A</v>
      </c>
      <c r="K1960" s="22" t="e">
        <f>VLOOKUP($A1960, TAB_CORRECAO_C[[DIAS_CORRIDOS]:[V_FUT_UTEIS]],K$5, FALSE)</f>
        <v>#N/A</v>
      </c>
      <c r="L1960" s="22" t="e">
        <f>VLOOKUP($A1960, TAB_AMORTIZACAO_C[[DIAS_CORRIDOS]:[V_FUT_UTEIS]], L$5, FALSE)</f>
        <v>#N/A</v>
      </c>
    </row>
    <row r="1961" spans="1:12" hidden="1">
      <c r="A1961" s="19">
        <f t="shared" si="159"/>
        <v>1955</v>
      </c>
      <c r="B1961" s="20">
        <f t="shared" si="155"/>
        <v>0</v>
      </c>
      <c r="C1961" s="21">
        <f t="shared" si="156"/>
        <v>0</v>
      </c>
      <c r="D1961" s="22" t="e">
        <f>VLOOKUP($A1961, TAB_JUROS_U[[Q_DIAS_U_PARC_TIR]:[V_FUT_U_JURS CENARIO]], D$5, FALSE)</f>
        <v>#N/A</v>
      </c>
      <c r="E1961" s="22" t="e">
        <f>VLOOKUP($A1961,TAB_CORRECAO_U[[Q_DIAS_U_PARC_TIR]:[V_FUT_U_CORC-02]],E$5, FALSE)</f>
        <v>#N/A</v>
      </c>
      <c r="F1961" s="22" t="e">
        <f>VLOOKUP($A1961,TAB_AMORTIZACAO_U[[Q_DIAS_U_PARC_TIR]:[V_FUT_U_PCPL-02]], F$5, FALSE)</f>
        <v>#N/A</v>
      </c>
      <c r="H1961" s="20">
        <f t="shared" si="157"/>
        <v>0</v>
      </c>
      <c r="I1961" s="21">
        <f t="shared" si="158"/>
        <v>0</v>
      </c>
      <c r="J1961" s="22" t="e">
        <f>VLOOKUP($A1961, TAB_JUROS_C[[DIAS_CORRIDOS]:[V_FUT_UTEIS]], J$5, FALSE)</f>
        <v>#N/A</v>
      </c>
      <c r="K1961" s="22" t="e">
        <f>VLOOKUP($A1961, TAB_CORRECAO_C[[DIAS_CORRIDOS]:[V_FUT_UTEIS]],K$5, FALSE)</f>
        <v>#N/A</v>
      </c>
      <c r="L1961" s="22" t="e">
        <f>VLOOKUP($A1961, TAB_AMORTIZACAO_C[[DIAS_CORRIDOS]:[V_FUT_UTEIS]], L$5, FALSE)</f>
        <v>#N/A</v>
      </c>
    </row>
    <row r="1962" spans="1:12" hidden="1">
      <c r="A1962" s="19">
        <f t="shared" si="159"/>
        <v>1956</v>
      </c>
      <c r="B1962" s="20">
        <f t="shared" si="155"/>
        <v>0</v>
      </c>
      <c r="C1962" s="21">
        <f t="shared" si="156"/>
        <v>0</v>
      </c>
      <c r="D1962" s="22" t="e">
        <f>VLOOKUP($A1962, TAB_JUROS_U[[Q_DIAS_U_PARC_TIR]:[V_FUT_U_JURS CENARIO]], D$5, FALSE)</f>
        <v>#N/A</v>
      </c>
      <c r="E1962" s="22" t="e">
        <f>VLOOKUP($A1962,TAB_CORRECAO_U[[Q_DIAS_U_PARC_TIR]:[V_FUT_U_CORC-02]],E$5, FALSE)</f>
        <v>#N/A</v>
      </c>
      <c r="F1962" s="22" t="e">
        <f>VLOOKUP($A1962,TAB_AMORTIZACAO_U[[Q_DIAS_U_PARC_TIR]:[V_FUT_U_PCPL-02]], F$5, FALSE)</f>
        <v>#N/A</v>
      </c>
      <c r="H1962" s="20">
        <f t="shared" si="157"/>
        <v>0</v>
      </c>
      <c r="I1962" s="21">
        <f t="shared" si="158"/>
        <v>0</v>
      </c>
      <c r="J1962" s="22" t="e">
        <f>VLOOKUP($A1962, TAB_JUROS_C[[DIAS_CORRIDOS]:[V_FUT_UTEIS]], J$5, FALSE)</f>
        <v>#N/A</v>
      </c>
      <c r="K1962" s="22" t="e">
        <f>VLOOKUP($A1962, TAB_CORRECAO_C[[DIAS_CORRIDOS]:[V_FUT_UTEIS]],K$5, FALSE)</f>
        <v>#N/A</v>
      </c>
      <c r="L1962" s="22" t="e">
        <f>VLOOKUP($A1962, TAB_AMORTIZACAO_C[[DIAS_CORRIDOS]:[V_FUT_UTEIS]], L$5, FALSE)</f>
        <v>#N/A</v>
      </c>
    </row>
    <row r="1963" spans="1:12">
      <c r="A1963" s="19">
        <f t="shared" si="159"/>
        <v>1957</v>
      </c>
      <c r="B1963" s="20">
        <f t="shared" si="155"/>
        <v>312.06260964237254</v>
      </c>
      <c r="C1963" s="21">
        <f t="shared" si="156"/>
        <v>312.06260964237254</v>
      </c>
      <c r="D1963" s="22">
        <f>VLOOKUP($A1963, TAB_JUROS_U[[Q_DIAS_U_PARC_TIR]:[V_FUT_U_JURS CENARIO]], D$5, FALSE)</f>
        <v>17.271033895864058</v>
      </c>
      <c r="E1963" s="22">
        <f>VLOOKUP($A1963,TAB_CORRECAO_U[[Q_DIAS_U_PARC_TIR]:[V_FUT_U_CORC-02]],E$5, FALSE)</f>
        <v>111.69872301264452</v>
      </c>
      <c r="F1963" s="22">
        <f>VLOOKUP($A1963,TAB_AMORTIZACAO_U[[Q_DIAS_U_PARC_TIR]:[V_FUT_U_PCPL-02]], F$5, FALSE)</f>
        <v>183.09285273386399</v>
      </c>
      <c r="H1963" s="20">
        <f t="shared" si="157"/>
        <v>0</v>
      </c>
      <c r="I1963" s="21">
        <f t="shared" si="158"/>
        <v>0</v>
      </c>
      <c r="J1963" s="22" t="e">
        <f>VLOOKUP($A1963, TAB_JUROS_C[[DIAS_CORRIDOS]:[V_FUT_UTEIS]], J$5, FALSE)</f>
        <v>#N/A</v>
      </c>
      <c r="K1963" s="22" t="e">
        <f>VLOOKUP($A1963, TAB_CORRECAO_C[[DIAS_CORRIDOS]:[V_FUT_UTEIS]],K$5, FALSE)</f>
        <v>#N/A</v>
      </c>
      <c r="L1963" s="22" t="e">
        <f>VLOOKUP($A1963, TAB_AMORTIZACAO_C[[DIAS_CORRIDOS]:[V_FUT_UTEIS]], L$5, FALSE)</f>
        <v>#N/A</v>
      </c>
    </row>
    <row r="1964" spans="1:12" hidden="1">
      <c r="A1964" s="19">
        <f t="shared" si="159"/>
        <v>1958</v>
      </c>
      <c r="B1964" s="20">
        <f t="shared" si="155"/>
        <v>0</v>
      </c>
      <c r="C1964" s="21">
        <f t="shared" si="156"/>
        <v>0</v>
      </c>
      <c r="D1964" s="22" t="e">
        <f>VLOOKUP($A1964, TAB_JUROS_U[[Q_DIAS_U_PARC_TIR]:[V_FUT_U_JURS CENARIO]], D$5, FALSE)</f>
        <v>#N/A</v>
      </c>
      <c r="E1964" s="22" t="e">
        <f>VLOOKUP($A1964,TAB_CORRECAO_U[[Q_DIAS_U_PARC_TIR]:[V_FUT_U_CORC-02]],E$5, FALSE)</f>
        <v>#N/A</v>
      </c>
      <c r="F1964" s="22" t="e">
        <f>VLOOKUP($A1964,TAB_AMORTIZACAO_U[[Q_DIAS_U_PARC_TIR]:[V_FUT_U_PCPL-02]], F$5, FALSE)</f>
        <v>#N/A</v>
      </c>
      <c r="H1964" s="20">
        <f t="shared" si="157"/>
        <v>0</v>
      </c>
      <c r="I1964" s="21">
        <f t="shared" si="158"/>
        <v>0</v>
      </c>
      <c r="J1964" s="22" t="e">
        <f>VLOOKUP($A1964, TAB_JUROS_C[[DIAS_CORRIDOS]:[V_FUT_UTEIS]], J$5, FALSE)</f>
        <v>#N/A</v>
      </c>
      <c r="K1964" s="22" t="e">
        <f>VLOOKUP($A1964, TAB_CORRECAO_C[[DIAS_CORRIDOS]:[V_FUT_UTEIS]],K$5, FALSE)</f>
        <v>#N/A</v>
      </c>
      <c r="L1964" s="22" t="e">
        <f>VLOOKUP($A1964, TAB_AMORTIZACAO_C[[DIAS_CORRIDOS]:[V_FUT_UTEIS]], L$5, FALSE)</f>
        <v>#N/A</v>
      </c>
    </row>
    <row r="1965" spans="1:12" hidden="1">
      <c r="A1965" s="19">
        <f t="shared" si="159"/>
        <v>1959</v>
      </c>
      <c r="B1965" s="20">
        <f t="shared" si="155"/>
        <v>0</v>
      </c>
      <c r="C1965" s="21">
        <f t="shared" si="156"/>
        <v>0</v>
      </c>
      <c r="D1965" s="22" t="e">
        <f>VLOOKUP($A1965, TAB_JUROS_U[[Q_DIAS_U_PARC_TIR]:[V_FUT_U_JURS CENARIO]], D$5, FALSE)</f>
        <v>#N/A</v>
      </c>
      <c r="E1965" s="22" t="e">
        <f>VLOOKUP($A1965,TAB_CORRECAO_U[[Q_DIAS_U_PARC_TIR]:[V_FUT_U_CORC-02]],E$5, FALSE)</f>
        <v>#N/A</v>
      </c>
      <c r="F1965" s="22" t="e">
        <f>VLOOKUP($A1965,TAB_AMORTIZACAO_U[[Q_DIAS_U_PARC_TIR]:[V_FUT_U_PCPL-02]], F$5, FALSE)</f>
        <v>#N/A</v>
      </c>
      <c r="H1965" s="20">
        <f t="shared" si="157"/>
        <v>0</v>
      </c>
      <c r="I1965" s="21">
        <f t="shared" si="158"/>
        <v>0</v>
      </c>
      <c r="J1965" s="22" t="e">
        <f>VLOOKUP($A1965, TAB_JUROS_C[[DIAS_CORRIDOS]:[V_FUT_UTEIS]], J$5, FALSE)</f>
        <v>#N/A</v>
      </c>
      <c r="K1965" s="22" t="e">
        <f>VLOOKUP($A1965, TAB_CORRECAO_C[[DIAS_CORRIDOS]:[V_FUT_UTEIS]],K$5, FALSE)</f>
        <v>#N/A</v>
      </c>
      <c r="L1965" s="22" t="e">
        <f>VLOOKUP($A1965, TAB_AMORTIZACAO_C[[DIAS_CORRIDOS]:[V_FUT_UTEIS]], L$5, FALSE)</f>
        <v>#N/A</v>
      </c>
    </row>
    <row r="1966" spans="1:12" hidden="1">
      <c r="A1966" s="19">
        <f t="shared" si="159"/>
        <v>1960</v>
      </c>
      <c r="B1966" s="20">
        <f t="shared" si="155"/>
        <v>0</v>
      </c>
      <c r="C1966" s="21">
        <f t="shared" si="156"/>
        <v>0</v>
      </c>
      <c r="D1966" s="22" t="e">
        <f>VLOOKUP($A1966, TAB_JUROS_U[[Q_DIAS_U_PARC_TIR]:[V_FUT_U_JURS CENARIO]], D$5, FALSE)</f>
        <v>#N/A</v>
      </c>
      <c r="E1966" s="22" t="e">
        <f>VLOOKUP($A1966,TAB_CORRECAO_U[[Q_DIAS_U_PARC_TIR]:[V_FUT_U_CORC-02]],E$5, FALSE)</f>
        <v>#N/A</v>
      </c>
      <c r="F1966" s="22" t="e">
        <f>VLOOKUP($A1966,TAB_AMORTIZACAO_U[[Q_DIAS_U_PARC_TIR]:[V_FUT_U_PCPL-02]], F$5, FALSE)</f>
        <v>#N/A</v>
      </c>
      <c r="H1966" s="20">
        <f t="shared" si="157"/>
        <v>604.62448177474926</v>
      </c>
      <c r="I1966" s="21">
        <f t="shared" si="158"/>
        <v>604.62448177474926</v>
      </c>
      <c r="J1966" s="22">
        <f>VLOOKUP($A1966, TAB_JUROS_C[[DIAS_CORRIDOS]:[V_FUT_UTEIS]], J$5, FALSE)</f>
        <v>41.403321185982136</v>
      </c>
      <c r="K1966" s="22">
        <f>VLOOKUP($A1966, TAB_CORRECAO_C[[DIAS_CORRIDOS]:[V_FUT_UTEIS]],K$5, FALSE)</f>
        <v>250.29699490885201</v>
      </c>
      <c r="L1966" s="22">
        <f>VLOOKUP($A1966, TAB_AMORTIZACAO_C[[DIAS_CORRIDOS]:[V_FUT_UTEIS]], L$5, FALSE)</f>
        <v>312.92416567991518</v>
      </c>
    </row>
    <row r="1967" spans="1:12" hidden="1">
      <c r="A1967" s="19">
        <f t="shared" si="159"/>
        <v>1961</v>
      </c>
      <c r="B1967" s="20">
        <f t="shared" si="155"/>
        <v>0</v>
      </c>
      <c r="C1967" s="21">
        <f t="shared" si="156"/>
        <v>0</v>
      </c>
      <c r="D1967" s="22" t="e">
        <f>VLOOKUP($A1967, TAB_JUROS_U[[Q_DIAS_U_PARC_TIR]:[V_FUT_U_JURS CENARIO]], D$5, FALSE)</f>
        <v>#N/A</v>
      </c>
      <c r="E1967" s="22" t="e">
        <f>VLOOKUP($A1967,TAB_CORRECAO_U[[Q_DIAS_U_PARC_TIR]:[V_FUT_U_CORC-02]],E$5, FALSE)</f>
        <v>#N/A</v>
      </c>
      <c r="F1967" s="22" t="e">
        <f>VLOOKUP($A1967,TAB_AMORTIZACAO_U[[Q_DIAS_U_PARC_TIR]:[V_FUT_U_PCPL-02]], F$5, FALSE)</f>
        <v>#N/A</v>
      </c>
      <c r="H1967" s="20">
        <f t="shared" si="157"/>
        <v>0</v>
      </c>
      <c r="I1967" s="21">
        <f t="shared" si="158"/>
        <v>0</v>
      </c>
      <c r="J1967" s="22" t="e">
        <f>VLOOKUP($A1967, TAB_JUROS_C[[DIAS_CORRIDOS]:[V_FUT_UTEIS]], J$5, FALSE)</f>
        <v>#N/A</v>
      </c>
      <c r="K1967" s="22" t="e">
        <f>VLOOKUP($A1967, TAB_CORRECAO_C[[DIAS_CORRIDOS]:[V_FUT_UTEIS]],K$5, FALSE)</f>
        <v>#N/A</v>
      </c>
      <c r="L1967" s="22" t="e">
        <f>VLOOKUP($A1967, TAB_AMORTIZACAO_C[[DIAS_CORRIDOS]:[V_FUT_UTEIS]], L$5, FALSE)</f>
        <v>#N/A</v>
      </c>
    </row>
    <row r="1968" spans="1:12" hidden="1">
      <c r="A1968" s="19">
        <f t="shared" si="159"/>
        <v>1962</v>
      </c>
      <c r="B1968" s="20">
        <f t="shared" si="155"/>
        <v>0</v>
      </c>
      <c r="C1968" s="21">
        <f t="shared" si="156"/>
        <v>0</v>
      </c>
      <c r="D1968" s="22" t="e">
        <f>VLOOKUP($A1968, TAB_JUROS_U[[Q_DIAS_U_PARC_TIR]:[V_FUT_U_JURS CENARIO]], D$5, FALSE)</f>
        <v>#N/A</v>
      </c>
      <c r="E1968" s="22" t="e">
        <f>VLOOKUP($A1968,TAB_CORRECAO_U[[Q_DIAS_U_PARC_TIR]:[V_FUT_U_CORC-02]],E$5, FALSE)</f>
        <v>#N/A</v>
      </c>
      <c r="F1968" s="22" t="e">
        <f>VLOOKUP($A1968,TAB_AMORTIZACAO_U[[Q_DIAS_U_PARC_TIR]:[V_FUT_U_PCPL-02]], F$5, FALSE)</f>
        <v>#N/A</v>
      </c>
      <c r="H1968" s="20">
        <f t="shared" si="157"/>
        <v>0</v>
      </c>
      <c r="I1968" s="21">
        <f t="shared" si="158"/>
        <v>0</v>
      </c>
      <c r="J1968" s="22" t="e">
        <f>VLOOKUP($A1968, TAB_JUROS_C[[DIAS_CORRIDOS]:[V_FUT_UTEIS]], J$5, FALSE)</f>
        <v>#N/A</v>
      </c>
      <c r="K1968" s="22" t="e">
        <f>VLOOKUP($A1968, TAB_CORRECAO_C[[DIAS_CORRIDOS]:[V_FUT_UTEIS]],K$5, FALSE)</f>
        <v>#N/A</v>
      </c>
      <c r="L1968" s="22" t="e">
        <f>VLOOKUP($A1968, TAB_AMORTIZACAO_C[[DIAS_CORRIDOS]:[V_FUT_UTEIS]], L$5, FALSE)</f>
        <v>#N/A</v>
      </c>
    </row>
    <row r="1969" spans="1:12" hidden="1">
      <c r="A1969" s="19">
        <f t="shared" si="159"/>
        <v>1963</v>
      </c>
      <c r="B1969" s="20">
        <f t="shared" si="155"/>
        <v>0</v>
      </c>
      <c r="C1969" s="21">
        <f t="shared" si="156"/>
        <v>0</v>
      </c>
      <c r="D1969" s="22" t="e">
        <f>VLOOKUP($A1969, TAB_JUROS_U[[Q_DIAS_U_PARC_TIR]:[V_FUT_U_JURS CENARIO]], D$5, FALSE)</f>
        <v>#N/A</v>
      </c>
      <c r="E1969" s="22" t="e">
        <f>VLOOKUP($A1969,TAB_CORRECAO_U[[Q_DIAS_U_PARC_TIR]:[V_FUT_U_CORC-02]],E$5, FALSE)</f>
        <v>#N/A</v>
      </c>
      <c r="F1969" s="22" t="e">
        <f>VLOOKUP($A1969,TAB_AMORTIZACAO_U[[Q_DIAS_U_PARC_TIR]:[V_FUT_U_PCPL-02]], F$5, FALSE)</f>
        <v>#N/A</v>
      </c>
      <c r="H1969" s="20">
        <f t="shared" si="157"/>
        <v>0</v>
      </c>
      <c r="I1969" s="21">
        <f t="shared" si="158"/>
        <v>0</v>
      </c>
      <c r="J1969" s="22" t="e">
        <f>VLOOKUP($A1969, TAB_JUROS_C[[DIAS_CORRIDOS]:[V_FUT_UTEIS]], J$5, FALSE)</f>
        <v>#N/A</v>
      </c>
      <c r="K1969" s="22" t="e">
        <f>VLOOKUP($A1969, TAB_CORRECAO_C[[DIAS_CORRIDOS]:[V_FUT_UTEIS]],K$5, FALSE)</f>
        <v>#N/A</v>
      </c>
      <c r="L1969" s="22" t="e">
        <f>VLOOKUP($A1969, TAB_AMORTIZACAO_C[[DIAS_CORRIDOS]:[V_FUT_UTEIS]], L$5, FALSE)</f>
        <v>#N/A</v>
      </c>
    </row>
    <row r="1970" spans="1:12" hidden="1">
      <c r="A1970" s="19">
        <f t="shared" si="159"/>
        <v>1964</v>
      </c>
      <c r="B1970" s="20">
        <f t="shared" si="155"/>
        <v>0</v>
      </c>
      <c r="C1970" s="21">
        <f t="shared" si="156"/>
        <v>0</v>
      </c>
      <c r="D1970" s="22" t="e">
        <f>VLOOKUP($A1970, TAB_JUROS_U[[Q_DIAS_U_PARC_TIR]:[V_FUT_U_JURS CENARIO]], D$5, FALSE)</f>
        <v>#N/A</v>
      </c>
      <c r="E1970" s="22" t="e">
        <f>VLOOKUP($A1970,TAB_CORRECAO_U[[Q_DIAS_U_PARC_TIR]:[V_FUT_U_CORC-02]],E$5, FALSE)</f>
        <v>#N/A</v>
      </c>
      <c r="F1970" s="22" t="e">
        <f>VLOOKUP($A1970,TAB_AMORTIZACAO_U[[Q_DIAS_U_PARC_TIR]:[V_FUT_U_PCPL-02]], F$5, FALSE)</f>
        <v>#N/A</v>
      </c>
      <c r="H1970" s="20">
        <f t="shared" si="157"/>
        <v>0</v>
      </c>
      <c r="I1970" s="21">
        <f t="shared" si="158"/>
        <v>0</v>
      </c>
      <c r="J1970" s="22" t="e">
        <f>VLOOKUP($A1970, TAB_JUROS_C[[DIAS_CORRIDOS]:[V_FUT_UTEIS]], J$5, FALSE)</f>
        <v>#N/A</v>
      </c>
      <c r="K1970" s="22" t="e">
        <f>VLOOKUP($A1970, TAB_CORRECAO_C[[DIAS_CORRIDOS]:[V_FUT_UTEIS]],K$5, FALSE)</f>
        <v>#N/A</v>
      </c>
      <c r="L1970" s="22" t="e">
        <f>VLOOKUP($A1970, TAB_AMORTIZACAO_C[[DIAS_CORRIDOS]:[V_FUT_UTEIS]], L$5, FALSE)</f>
        <v>#N/A</v>
      </c>
    </row>
    <row r="1971" spans="1:12" hidden="1">
      <c r="A1971" s="19">
        <f t="shared" si="159"/>
        <v>1965</v>
      </c>
      <c r="B1971" s="20">
        <f t="shared" si="155"/>
        <v>0</v>
      </c>
      <c r="C1971" s="21">
        <f t="shared" si="156"/>
        <v>0</v>
      </c>
      <c r="D1971" s="22" t="e">
        <f>VLOOKUP($A1971, TAB_JUROS_U[[Q_DIAS_U_PARC_TIR]:[V_FUT_U_JURS CENARIO]], D$5, FALSE)</f>
        <v>#N/A</v>
      </c>
      <c r="E1971" s="22" t="e">
        <f>VLOOKUP($A1971,TAB_CORRECAO_U[[Q_DIAS_U_PARC_TIR]:[V_FUT_U_CORC-02]],E$5, FALSE)</f>
        <v>#N/A</v>
      </c>
      <c r="F1971" s="22" t="e">
        <f>VLOOKUP($A1971,TAB_AMORTIZACAO_U[[Q_DIAS_U_PARC_TIR]:[V_FUT_U_PCPL-02]], F$5, FALSE)</f>
        <v>#N/A</v>
      </c>
      <c r="H1971" s="20">
        <f t="shared" si="157"/>
        <v>0</v>
      </c>
      <c r="I1971" s="21">
        <f t="shared" si="158"/>
        <v>0</v>
      </c>
      <c r="J1971" s="22" t="e">
        <f>VLOOKUP($A1971, TAB_JUROS_C[[DIAS_CORRIDOS]:[V_FUT_UTEIS]], J$5, FALSE)</f>
        <v>#N/A</v>
      </c>
      <c r="K1971" s="22" t="e">
        <f>VLOOKUP($A1971, TAB_CORRECAO_C[[DIAS_CORRIDOS]:[V_FUT_UTEIS]],K$5, FALSE)</f>
        <v>#N/A</v>
      </c>
      <c r="L1971" s="22" t="e">
        <f>VLOOKUP($A1971, TAB_AMORTIZACAO_C[[DIAS_CORRIDOS]:[V_FUT_UTEIS]], L$5, FALSE)</f>
        <v>#N/A</v>
      </c>
    </row>
    <row r="1972" spans="1:12" hidden="1">
      <c r="A1972" s="19">
        <f t="shared" si="159"/>
        <v>1966</v>
      </c>
      <c r="B1972" s="20">
        <f t="shared" si="155"/>
        <v>0</v>
      </c>
      <c r="C1972" s="21">
        <f t="shared" si="156"/>
        <v>0</v>
      </c>
      <c r="D1972" s="22" t="e">
        <f>VLOOKUP($A1972, TAB_JUROS_U[[Q_DIAS_U_PARC_TIR]:[V_FUT_U_JURS CENARIO]], D$5, FALSE)</f>
        <v>#N/A</v>
      </c>
      <c r="E1972" s="22" t="e">
        <f>VLOOKUP($A1972,TAB_CORRECAO_U[[Q_DIAS_U_PARC_TIR]:[V_FUT_U_CORC-02]],E$5, FALSE)</f>
        <v>#N/A</v>
      </c>
      <c r="F1972" s="22" t="e">
        <f>VLOOKUP($A1972,TAB_AMORTIZACAO_U[[Q_DIAS_U_PARC_TIR]:[V_FUT_U_PCPL-02]], F$5, FALSE)</f>
        <v>#N/A</v>
      </c>
      <c r="H1972" s="20">
        <f t="shared" si="157"/>
        <v>0</v>
      </c>
      <c r="I1972" s="21">
        <f t="shared" si="158"/>
        <v>0</v>
      </c>
      <c r="J1972" s="22" t="e">
        <f>VLOOKUP($A1972, TAB_JUROS_C[[DIAS_CORRIDOS]:[V_FUT_UTEIS]], J$5, FALSE)</f>
        <v>#N/A</v>
      </c>
      <c r="K1972" s="22" t="e">
        <f>VLOOKUP($A1972, TAB_CORRECAO_C[[DIAS_CORRIDOS]:[V_FUT_UTEIS]],K$5, FALSE)</f>
        <v>#N/A</v>
      </c>
      <c r="L1972" s="22" t="e">
        <f>VLOOKUP($A1972, TAB_AMORTIZACAO_C[[DIAS_CORRIDOS]:[V_FUT_UTEIS]], L$5, FALSE)</f>
        <v>#N/A</v>
      </c>
    </row>
    <row r="1973" spans="1:12" hidden="1">
      <c r="A1973" s="19">
        <f t="shared" si="159"/>
        <v>1967</v>
      </c>
      <c r="B1973" s="20">
        <f t="shared" si="155"/>
        <v>0</v>
      </c>
      <c r="C1973" s="21">
        <f t="shared" si="156"/>
        <v>0</v>
      </c>
      <c r="D1973" s="22" t="e">
        <f>VLOOKUP($A1973, TAB_JUROS_U[[Q_DIAS_U_PARC_TIR]:[V_FUT_U_JURS CENARIO]], D$5, FALSE)</f>
        <v>#N/A</v>
      </c>
      <c r="E1973" s="22" t="e">
        <f>VLOOKUP($A1973,TAB_CORRECAO_U[[Q_DIAS_U_PARC_TIR]:[V_FUT_U_CORC-02]],E$5, FALSE)</f>
        <v>#N/A</v>
      </c>
      <c r="F1973" s="22" t="e">
        <f>VLOOKUP($A1973,TAB_AMORTIZACAO_U[[Q_DIAS_U_PARC_TIR]:[V_FUT_U_PCPL-02]], F$5, FALSE)</f>
        <v>#N/A</v>
      </c>
      <c r="H1973" s="20">
        <f t="shared" si="157"/>
        <v>0</v>
      </c>
      <c r="I1973" s="21">
        <f t="shared" si="158"/>
        <v>0</v>
      </c>
      <c r="J1973" s="22" t="e">
        <f>VLOOKUP($A1973, TAB_JUROS_C[[DIAS_CORRIDOS]:[V_FUT_UTEIS]], J$5, FALSE)</f>
        <v>#N/A</v>
      </c>
      <c r="K1973" s="22" t="e">
        <f>VLOOKUP($A1973, TAB_CORRECAO_C[[DIAS_CORRIDOS]:[V_FUT_UTEIS]],K$5, FALSE)</f>
        <v>#N/A</v>
      </c>
      <c r="L1973" s="22" t="e">
        <f>VLOOKUP($A1973, TAB_AMORTIZACAO_C[[DIAS_CORRIDOS]:[V_FUT_UTEIS]], L$5, FALSE)</f>
        <v>#N/A</v>
      </c>
    </row>
    <row r="1974" spans="1:12" hidden="1">
      <c r="A1974" s="19">
        <f t="shared" si="159"/>
        <v>1968</v>
      </c>
      <c r="B1974" s="20">
        <f t="shared" si="155"/>
        <v>0</v>
      </c>
      <c r="C1974" s="21">
        <f t="shared" si="156"/>
        <v>0</v>
      </c>
      <c r="D1974" s="22" t="e">
        <f>VLOOKUP($A1974, TAB_JUROS_U[[Q_DIAS_U_PARC_TIR]:[V_FUT_U_JURS CENARIO]], D$5, FALSE)</f>
        <v>#N/A</v>
      </c>
      <c r="E1974" s="22" t="e">
        <f>VLOOKUP($A1974,TAB_CORRECAO_U[[Q_DIAS_U_PARC_TIR]:[V_FUT_U_CORC-02]],E$5, FALSE)</f>
        <v>#N/A</v>
      </c>
      <c r="F1974" s="22" t="e">
        <f>VLOOKUP($A1974,TAB_AMORTIZACAO_U[[Q_DIAS_U_PARC_TIR]:[V_FUT_U_PCPL-02]], F$5, FALSE)</f>
        <v>#N/A</v>
      </c>
      <c r="H1974" s="20">
        <f t="shared" si="157"/>
        <v>0</v>
      </c>
      <c r="I1974" s="21">
        <f t="shared" si="158"/>
        <v>0</v>
      </c>
      <c r="J1974" s="22" t="e">
        <f>VLOOKUP($A1974, TAB_JUROS_C[[DIAS_CORRIDOS]:[V_FUT_UTEIS]], J$5, FALSE)</f>
        <v>#N/A</v>
      </c>
      <c r="K1974" s="22" t="e">
        <f>VLOOKUP($A1974, TAB_CORRECAO_C[[DIAS_CORRIDOS]:[V_FUT_UTEIS]],K$5, FALSE)</f>
        <v>#N/A</v>
      </c>
      <c r="L1974" s="22" t="e">
        <f>VLOOKUP($A1974, TAB_AMORTIZACAO_C[[DIAS_CORRIDOS]:[V_FUT_UTEIS]], L$5, FALSE)</f>
        <v>#N/A</v>
      </c>
    </row>
    <row r="1975" spans="1:12" hidden="1">
      <c r="A1975" s="19">
        <f t="shared" si="159"/>
        <v>1969</v>
      </c>
      <c r="B1975" s="20">
        <f t="shared" si="155"/>
        <v>0</v>
      </c>
      <c r="C1975" s="21">
        <f t="shared" si="156"/>
        <v>0</v>
      </c>
      <c r="D1975" s="22" t="e">
        <f>VLOOKUP($A1975, TAB_JUROS_U[[Q_DIAS_U_PARC_TIR]:[V_FUT_U_JURS CENARIO]], D$5, FALSE)</f>
        <v>#N/A</v>
      </c>
      <c r="E1975" s="22" t="e">
        <f>VLOOKUP($A1975,TAB_CORRECAO_U[[Q_DIAS_U_PARC_TIR]:[V_FUT_U_CORC-02]],E$5, FALSE)</f>
        <v>#N/A</v>
      </c>
      <c r="F1975" s="22" t="e">
        <f>VLOOKUP($A1975,TAB_AMORTIZACAO_U[[Q_DIAS_U_PARC_TIR]:[V_FUT_U_PCPL-02]], F$5, FALSE)</f>
        <v>#N/A</v>
      </c>
      <c r="H1975" s="20">
        <f t="shared" si="157"/>
        <v>0</v>
      </c>
      <c r="I1975" s="21">
        <f t="shared" si="158"/>
        <v>0</v>
      </c>
      <c r="J1975" s="22" t="e">
        <f>VLOOKUP($A1975, TAB_JUROS_C[[DIAS_CORRIDOS]:[V_FUT_UTEIS]], J$5, FALSE)</f>
        <v>#N/A</v>
      </c>
      <c r="K1975" s="22" t="e">
        <f>VLOOKUP($A1975, TAB_CORRECAO_C[[DIAS_CORRIDOS]:[V_FUT_UTEIS]],K$5, FALSE)</f>
        <v>#N/A</v>
      </c>
      <c r="L1975" s="22" t="e">
        <f>VLOOKUP($A1975, TAB_AMORTIZACAO_C[[DIAS_CORRIDOS]:[V_FUT_UTEIS]], L$5, FALSE)</f>
        <v>#N/A</v>
      </c>
    </row>
    <row r="1976" spans="1:12" hidden="1">
      <c r="A1976" s="19">
        <f t="shared" si="159"/>
        <v>1970</v>
      </c>
      <c r="B1976" s="20">
        <f t="shared" si="155"/>
        <v>0</v>
      </c>
      <c r="C1976" s="21">
        <f t="shared" si="156"/>
        <v>0</v>
      </c>
      <c r="D1976" s="22" t="e">
        <f>VLOOKUP($A1976, TAB_JUROS_U[[Q_DIAS_U_PARC_TIR]:[V_FUT_U_JURS CENARIO]], D$5, FALSE)</f>
        <v>#N/A</v>
      </c>
      <c r="E1976" s="22" t="e">
        <f>VLOOKUP($A1976,TAB_CORRECAO_U[[Q_DIAS_U_PARC_TIR]:[V_FUT_U_CORC-02]],E$5, FALSE)</f>
        <v>#N/A</v>
      </c>
      <c r="F1976" s="22" t="e">
        <f>VLOOKUP($A1976,TAB_AMORTIZACAO_U[[Q_DIAS_U_PARC_TIR]:[V_FUT_U_PCPL-02]], F$5, FALSE)</f>
        <v>#N/A</v>
      </c>
      <c r="H1976" s="20">
        <f t="shared" si="157"/>
        <v>0</v>
      </c>
      <c r="I1976" s="21">
        <f t="shared" si="158"/>
        <v>0</v>
      </c>
      <c r="J1976" s="22" t="e">
        <f>VLOOKUP($A1976, TAB_JUROS_C[[DIAS_CORRIDOS]:[V_FUT_UTEIS]], J$5, FALSE)</f>
        <v>#N/A</v>
      </c>
      <c r="K1976" s="22" t="e">
        <f>VLOOKUP($A1976, TAB_CORRECAO_C[[DIAS_CORRIDOS]:[V_FUT_UTEIS]],K$5, FALSE)</f>
        <v>#N/A</v>
      </c>
      <c r="L1976" s="22" t="e">
        <f>VLOOKUP($A1976, TAB_AMORTIZACAO_C[[DIAS_CORRIDOS]:[V_FUT_UTEIS]], L$5, FALSE)</f>
        <v>#N/A</v>
      </c>
    </row>
    <row r="1977" spans="1:12" hidden="1">
      <c r="A1977" s="19">
        <f t="shared" si="159"/>
        <v>1971</v>
      </c>
      <c r="B1977" s="20">
        <f t="shared" si="155"/>
        <v>0</v>
      </c>
      <c r="C1977" s="21">
        <f t="shared" si="156"/>
        <v>0</v>
      </c>
      <c r="D1977" s="22" t="e">
        <f>VLOOKUP($A1977, TAB_JUROS_U[[Q_DIAS_U_PARC_TIR]:[V_FUT_U_JURS CENARIO]], D$5, FALSE)</f>
        <v>#N/A</v>
      </c>
      <c r="E1977" s="22" t="e">
        <f>VLOOKUP($A1977,TAB_CORRECAO_U[[Q_DIAS_U_PARC_TIR]:[V_FUT_U_CORC-02]],E$5, FALSE)</f>
        <v>#N/A</v>
      </c>
      <c r="F1977" s="22" t="e">
        <f>VLOOKUP($A1977,TAB_AMORTIZACAO_U[[Q_DIAS_U_PARC_TIR]:[V_FUT_U_PCPL-02]], F$5, FALSE)</f>
        <v>#N/A</v>
      </c>
      <c r="H1977" s="20">
        <f t="shared" si="157"/>
        <v>0</v>
      </c>
      <c r="I1977" s="21">
        <f t="shared" si="158"/>
        <v>0</v>
      </c>
      <c r="J1977" s="22" t="e">
        <f>VLOOKUP($A1977, TAB_JUROS_C[[DIAS_CORRIDOS]:[V_FUT_UTEIS]], J$5, FALSE)</f>
        <v>#N/A</v>
      </c>
      <c r="K1977" s="22" t="e">
        <f>VLOOKUP($A1977, TAB_CORRECAO_C[[DIAS_CORRIDOS]:[V_FUT_UTEIS]],K$5, FALSE)</f>
        <v>#N/A</v>
      </c>
      <c r="L1977" s="22" t="e">
        <f>VLOOKUP($A1977, TAB_AMORTIZACAO_C[[DIAS_CORRIDOS]:[V_FUT_UTEIS]], L$5, FALSE)</f>
        <v>#N/A</v>
      </c>
    </row>
    <row r="1978" spans="1:12" hidden="1">
      <c r="A1978" s="19">
        <f t="shared" si="159"/>
        <v>1972</v>
      </c>
      <c r="B1978" s="20">
        <f t="shared" si="155"/>
        <v>0</v>
      </c>
      <c r="C1978" s="21">
        <f t="shared" si="156"/>
        <v>0</v>
      </c>
      <c r="D1978" s="22" t="e">
        <f>VLOOKUP($A1978, TAB_JUROS_U[[Q_DIAS_U_PARC_TIR]:[V_FUT_U_JURS CENARIO]], D$5, FALSE)</f>
        <v>#N/A</v>
      </c>
      <c r="E1978" s="22" t="e">
        <f>VLOOKUP($A1978,TAB_CORRECAO_U[[Q_DIAS_U_PARC_TIR]:[V_FUT_U_CORC-02]],E$5, FALSE)</f>
        <v>#N/A</v>
      </c>
      <c r="F1978" s="22" t="e">
        <f>VLOOKUP($A1978,TAB_AMORTIZACAO_U[[Q_DIAS_U_PARC_TIR]:[V_FUT_U_PCPL-02]], F$5, FALSE)</f>
        <v>#N/A</v>
      </c>
      <c r="H1978" s="20">
        <f t="shared" si="157"/>
        <v>0</v>
      </c>
      <c r="I1978" s="21">
        <f t="shared" si="158"/>
        <v>0</v>
      </c>
      <c r="J1978" s="22" t="e">
        <f>VLOOKUP($A1978, TAB_JUROS_C[[DIAS_CORRIDOS]:[V_FUT_UTEIS]], J$5, FALSE)</f>
        <v>#N/A</v>
      </c>
      <c r="K1978" s="22" t="e">
        <f>VLOOKUP($A1978, TAB_CORRECAO_C[[DIAS_CORRIDOS]:[V_FUT_UTEIS]],K$5, FALSE)</f>
        <v>#N/A</v>
      </c>
      <c r="L1978" s="22" t="e">
        <f>VLOOKUP($A1978, TAB_AMORTIZACAO_C[[DIAS_CORRIDOS]:[V_FUT_UTEIS]], L$5, FALSE)</f>
        <v>#N/A</v>
      </c>
    </row>
    <row r="1979" spans="1:12" hidden="1">
      <c r="A1979" s="19">
        <f t="shared" si="159"/>
        <v>1973</v>
      </c>
      <c r="B1979" s="20">
        <f t="shared" si="155"/>
        <v>0</v>
      </c>
      <c r="C1979" s="21">
        <f t="shared" si="156"/>
        <v>0</v>
      </c>
      <c r="D1979" s="22" t="e">
        <f>VLOOKUP($A1979, TAB_JUROS_U[[Q_DIAS_U_PARC_TIR]:[V_FUT_U_JURS CENARIO]], D$5, FALSE)</f>
        <v>#N/A</v>
      </c>
      <c r="E1979" s="22" t="e">
        <f>VLOOKUP($A1979,TAB_CORRECAO_U[[Q_DIAS_U_PARC_TIR]:[V_FUT_U_CORC-02]],E$5, FALSE)</f>
        <v>#N/A</v>
      </c>
      <c r="F1979" s="22" t="e">
        <f>VLOOKUP($A1979,TAB_AMORTIZACAO_U[[Q_DIAS_U_PARC_TIR]:[V_FUT_U_PCPL-02]], F$5, FALSE)</f>
        <v>#N/A</v>
      </c>
      <c r="H1979" s="20">
        <f t="shared" si="157"/>
        <v>0</v>
      </c>
      <c r="I1979" s="21">
        <f t="shared" si="158"/>
        <v>0</v>
      </c>
      <c r="J1979" s="22" t="e">
        <f>VLOOKUP($A1979, TAB_JUROS_C[[DIAS_CORRIDOS]:[V_FUT_UTEIS]], J$5, FALSE)</f>
        <v>#N/A</v>
      </c>
      <c r="K1979" s="22" t="e">
        <f>VLOOKUP($A1979, TAB_CORRECAO_C[[DIAS_CORRIDOS]:[V_FUT_UTEIS]],K$5, FALSE)</f>
        <v>#N/A</v>
      </c>
      <c r="L1979" s="22" t="e">
        <f>VLOOKUP($A1979, TAB_AMORTIZACAO_C[[DIAS_CORRIDOS]:[V_FUT_UTEIS]], L$5, FALSE)</f>
        <v>#N/A</v>
      </c>
    </row>
    <row r="1980" spans="1:12" hidden="1">
      <c r="A1980" s="19">
        <f t="shared" si="159"/>
        <v>1974</v>
      </c>
      <c r="B1980" s="20">
        <f t="shared" si="155"/>
        <v>0</v>
      </c>
      <c r="C1980" s="21">
        <f t="shared" si="156"/>
        <v>0</v>
      </c>
      <c r="D1980" s="22" t="e">
        <f>VLOOKUP($A1980, TAB_JUROS_U[[Q_DIAS_U_PARC_TIR]:[V_FUT_U_JURS CENARIO]], D$5, FALSE)</f>
        <v>#N/A</v>
      </c>
      <c r="E1980" s="22" t="e">
        <f>VLOOKUP($A1980,TAB_CORRECAO_U[[Q_DIAS_U_PARC_TIR]:[V_FUT_U_CORC-02]],E$5, FALSE)</f>
        <v>#N/A</v>
      </c>
      <c r="F1980" s="22" t="e">
        <f>VLOOKUP($A1980,TAB_AMORTIZACAO_U[[Q_DIAS_U_PARC_TIR]:[V_FUT_U_PCPL-02]], F$5, FALSE)</f>
        <v>#N/A</v>
      </c>
      <c r="H1980" s="20">
        <f t="shared" si="157"/>
        <v>0</v>
      </c>
      <c r="I1980" s="21">
        <f t="shared" si="158"/>
        <v>0</v>
      </c>
      <c r="J1980" s="22" t="e">
        <f>VLOOKUP($A1980, TAB_JUROS_C[[DIAS_CORRIDOS]:[V_FUT_UTEIS]], J$5, FALSE)</f>
        <v>#N/A</v>
      </c>
      <c r="K1980" s="22" t="e">
        <f>VLOOKUP($A1980, TAB_CORRECAO_C[[DIAS_CORRIDOS]:[V_FUT_UTEIS]],K$5, FALSE)</f>
        <v>#N/A</v>
      </c>
      <c r="L1980" s="22" t="e">
        <f>VLOOKUP($A1980, TAB_AMORTIZACAO_C[[DIAS_CORRIDOS]:[V_FUT_UTEIS]], L$5, FALSE)</f>
        <v>#N/A</v>
      </c>
    </row>
    <row r="1981" spans="1:12" hidden="1">
      <c r="A1981" s="19">
        <f t="shared" si="159"/>
        <v>1975</v>
      </c>
      <c r="B1981" s="20">
        <f t="shared" si="155"/>
        <v>0</v>
      </c>
      <c r="C1981" s="21">
        <f t="shared" si="156"/>
        <v>0</v>
      </c>
      <c r="D1981" s="22" t="e">
        <f>VLOOKUP($A1981, TAB_JUROS_U[[Q_DIAS_U_PARC_TIR]:[V_FUT_U_JURS CENARIO]], D$5, FALSE)</f>
        <v>#N/A</v>
      </c>
      <c r="E1981" s="22" t="e">
        <f>VLOOKUP($A1981,TAB_CORRECAO_U[[Q_DIAS_U_PARC_TIR]:[V_FUT_U_CORC-02]],E$5, FALSE)</f>
        <v>#N/A</v>
      </c>
      <c r="F1981" s="22" t="e">
        <f>VLOOKUP($A1981,TAB_AMORTIZACAO_U[[Q_DIAS_U_PARC_TIR]:[V_FUT_U_PCPL-02]], F$5, FALSE)</f>
        <v>#N/A</v>
      </c>
      <c r="H1981" s="20">
        <f t="shared" si="157"/>
        <v>0</v>
      </c>
      <c r="I1981" s="21">
        <f t="shared" si="158"/>
        <v>0</v>
      </c>
      <c r="J1981" s="22" t="e">
        <f>VLOOKUP($A1981, TAB_JUROS_C[[DIAS_CORRIDOS]:[V_FUT_UTEIS]], J$5, FALSE)</f>
        <v>#N/A</v>
      </c>
      <c r="K1981" s="22" t="e">
        <f>VLOOKUP($A1981, TAB_CORRECAO_C[[DIAS_CORRIDOS]:[V_FUT_UTEIS]],K$5, FALSE)</f>
        <v>#N/A</v>
      </c>
      <c r="L1981" s="22" t="e">
        <f>VLOOKUP($A1981, TAB_AMORTIZACAO_C[[DIAS_CORRIDOS]:[V_FUT_UTEIS]], L$5, FALSE)</f>
        <v>#N/A</v>
      </c>
    </row>
    <row r="1982" spans="1:12" hidden="1">
      <c r="A1982" s="19">
        <f t="shared" si="159"/>
        <v>1976</v>
      </c>
      <c r="B1982" s="20">
        <f t="shared" si="155"/>
        <v>0</v>
      </c>
      <c r="C1982" s="21">
        <f t="shared" si="156"/>
        <v>0</v>
      </c>
      <c r="D1982" s="22" t="e">
        <f>VLOOKUP($A1982, TAB_JUROS_U[[Q_DIAS_U_PARC_TIR]:[V_FUT_U_JURS CENARIO]], D$5, FALSE)</f>
        <v>#N/A</v>
      </c>
      <c r="E1982" s="22" t="e">
        <f>VLOOKUP($A1982,TAB_CORRECAO_U[[Q_DIAS_U_PARC_TIR]:[V_FUT_U_CORC-02]],E$5, FALSE)</f>
        <v>#N/A</v>
      </c>
      <c r="F1982" s="22" t="e">
        <f>VLOOKUP($A1982,TAB_AMORTIZACAO_U[[Q_DIAS_U_PARC_TIR]:[V_FUT_U_PCPL-02]], F$5, FALSE)</f>
        <v>#N/A</v>
      </c>
      <c r="H1982" s="20">
        <f t="shared" si="157"/>
        <v>0</v>
      </c>
      <c r="I1982" s="21">
        <f t="shared" si="158"/>
        <v>0</v>
      </c>
      <c r="J1982" s="22" t="e">
        <f>VLOOKUP($A1982, TAB_JUROS_C[[DIAS_CORRIDOS]:[V_FUT_UTEIS]], J$5, FALSE)</f>
        <v>#N/A</v>
      </c>
      <c r="K1982" s="22" t="e">
        <f>VLOOKUP($A1982, TAB_CORRECAO_C[[DIAS_CORRIDOS]:[V_FUT_UTEIS]],K$5, FALSE)</f>
        <v>#N/A</v>
      </c>
      <c r="L1982" s="22" t="e">
        <f>VLOOKUP($A1982, TAB_AMORTIZACAO_C[[DIAS_CORRIDOS]:[V_FUT_UTEIS]], L$5, FALSE)</f>
        <v>#N/A</v>
      </c>
    </row>
    <row r="1983" spans="1:12" hidden="1">
      <c r="A1983" s="19">
        <f t="shared" si="159"/>
        <v>1977</v>
      </c>
      <c r="B1983" s="20">
        <f t="shared" si="155"/>
        <v>0</v>
      </c>
      <c r="C1983" s="21">
        <f t="shared" si="156"/>
        <v>0</v>
      </c>
      <c r="D1983" s="22" t="e">
        <f>VLOOKUP($A1983, TAB_JUROS_U[[Q_DIAS_U_PARC_TIR]:[V_FUT_U_JURS CENARIO]], D$5, FALSE)</f>
        <v>#N/A</v>
      </c>
      <c r="E1983" s="22" t="e">
        <f>VLOOKUP($A1983,TAB_CORRECAO_U[[Q_DIAS_U_PARC_TIR]:[V_FUT_U_CORC-02]],E$5, FALSE)</f>
        <v>#N/A</v>
      </c>
      <c r="F1983" s="22" t="e">
        <f>VLOOKUP($A1983,TAB_AMORTIZACAO_U[[Q_DIAS_U_PARC_TIR]:[V_FUT_U_PCPL-02]], F$5, FALSE)</f>
        <v>#N/A</v>
      </c>
      <c r="H1983" s="20">
        <f t="shared" si="157"/>
        <v>0</v>
      </c>
      <c r="I1983" s="21">
        <f t="shared" si="158"/>
        <v>0</v>
      </c>
      <c r="J1983" s="22" t="e">
        <f>VLOOKUP($A1983, TAB_JUROS_C[[DIAS_CORRIDOS]:[V_FUT_UTEIS]], J$5, FALSE)</f>
        <v>#N/A</v>
      </c>
      <c r="K1983" s="22" t="e">
        <f>VLOOKUP($A1983, TAB_CORRECAO_C[[DIAS_CORRIDOS]:[V_FUT_UTEIS]],K$5, FALSE)</f>
        <v>#N/A</v>
      </c>
      <c r="L1983" s="22" t="e">
        <f>VLOOKUP($A1983, TAB_AMORTIZACAO_C[[DIAS_CORRIDOS]:[V_FUT_UTEIS]], L$5, FALSE)</f>
        <v>#N/A</v>
      </c>
    </row>
    <row r="1984" spans="1:12">
      <c r="A1984" s="19">
        <f t="shared" si="159"/>
        <v>1978</v>
      </c>
      <c r="B1984" s="20">
        <f t="shared" si="155"/>
        <v>303.45602485089699</v>
      </c>
      <c r="C1984" s="21">
        <f t="shared" si="156"/>
        <v>303.45602485089699</v>
      </c>
      <c r="D1984" s="22">
        <f>VLOOKUP($A1984, TAB_JUROS_U[[Q_DIAS_U_PARC_TIR]:[V_FUT_U_JURS CENARIO]], D$5, FALSE)</f>
        <v>17.532042089817914</v>
      </c>
      <c r="E1984" s="22">
        <f>VLOOKUP($A1984,TAB_CORRECAO_U[[Q_DIAS_U_PARC_TIR]:[V_FUT_U_CORC-02]],E$5, FALSE)</f>
        <v>107.98210578406884</v>
      </c>
      <c r="F1984" s="22">
        <f>VLOOKUP($A1984,TAB_AMORTIZACAO_U[[Q_DIAS_U_PARC_TIR]:[V_FUT_U_PCPL-02]], F$5, FALSE)</f>
        <v>177.94187697701025</v>
      </c>
      <c r="H1984" s="20">
        <f t="shared" si="157"/>
        <v>0</v>
      </c>
      <c r="I1984" s="21">
        <f t="shared" si="158"/>
        <v>0</v>
      </c>
      <c r="J1984" s="22" t="e">
        <f>VLOOKUP($A1984, TAB_JUROS_C[[DIAS_CORRIDOS]:[V_FUT_UTEIS]], J$5, FALSE)</f>
        <v>#N/A</v>
      </c>
      <c r="K1984" s="22" t="e">
        <f>VLOOKUP($A1984, TAB_CORRECAO_C[[DIAS_CORRIDOS]:[V_FUT_UTEIS]],K$5, FALSE)</f>
        <v>#N/A</v>
      </c>
      <c r="L1984" s="22" t="e">
        <f>VLOOKUP($A1984, TAB_AMORTIZACAO_C[[DIAS_CORRIDOS]:[V_FUT_UTEIS]], L$5, FALSE)</f>
        <v>#N/A</v>
      </c>
    </row>
    <row r="1985" spans="1:12" hidden="1">
      <c r="A1985" s="19">
        <f t="shared" si="159"/>
        <v>1979</v>
      </c>
      <c r="B1985" s="20">
        <f t="shared" si="155"/>
        <v>0</v>
      </c>
      <c r="C1985" s="21">
        <f t="shared" si="156"/>
        <v>0</v>
      </c>
      <c r="D1985" s="22" t="e">
        <f>VLOOKUP($A1985, TAB_JUROS_U[[Q_DIAS_U_PARC_TIR]:[V_FUT_U_JURS CENARIO]], D$5, FALSE)</f>
        <v>#N/A</v>
      </c>
      <c r="E1985" s="22" t="e">
        <f>VLOOKUP($A1985,TAB_CORRECAO_U[[Q_DIAS_U_PARC_TIR]:[V_FUT_U_CORC-02]],E$5, FALSE)</f>
        <v>#N/A</v>
      </c>
      <c r="F1985" s="22" t="e">
        <f>VLOOKUP($A1985,TAB_AMORTIZACAO_U[[Q_DIAS_U_PARC_TIR]:[V_FUT_U_PCPL-02]], F$5, FALSE)</f>
        <v>#N/A</v>
      </c>
      <c r="H1985" s="20">
        <f t="shared" si="157"/>
        <v>0</v>
      </c>
      <c r="I1985" s="21">
        <f t="shared" si="158"/>
        <v>0</v>
      </c>
      <c r="J1985" s="22" t="e">
        <f>VLOOKUP($A1985, TAB_JUROS_C[[DIAS_CORRIDOS]:[V_FUT_UTEIS]], J$5, FALSE)</f>
        <v>#N/A</v>
      </c>
      <c r="K1985" s="22" t="e">
        <f>VLOOKUP($A1985, TAB_CORRECAO_C[[DIAS_CORRIDOS]:[V_FUT_UTEIS]],K$5, FALSE)</f>
        <v>#N/A</v>
      </c>
      <c r="L1985" s="22" t="e">
        <f>VLOOKUP($A1985, TAB_AMORTIZACAO_C[[DIAS_CORRIDOS]:[V_FUT_UTEIS]], L$5, FALSE)</f>
        <v>#N/A</v>
      </c>
    </row>
    <row r="1986" spans="1:12" hidden="1">
      <c r="A1986" s="19">
        <f t="shared" si="159"/>
        <v>1980</v>
      </c>
      <c r="B1986" s="20">
        <f t="shared" si="155"/>
        <v>0</v>
      </c>
      <c r="C1986" s="21">
        <f t="shared" si="156"/>
        <v>0</v>
      </c>
      <c r="D1986" s="22" t="e">
        <f>VLOOKUP($A1986, TAB_JUROS_U[[Q_DIAS_U_PARC_TIR]:[V_FUT_U_JURS CENARIO]], D$5, FALSE)</f>
        <v>#N/A</v>
      </c>
      <c r="E1986" s="22" t="e">
        <f>VLOOKUP($A1986,TAB_CORRECAO_U[[Q_DIAS_U_PARC_TIR]:[V_FUT_U_CORC-02]],E$5, FALSE)</f>
        <v>#N/A</v>
      </c>
      <c r="F1986" s="22" t="e">
        <f>VLOOKUP($A1986,TAB_AMORTIZACAO_U[[Q_DIAS_U_PARC_TIR]:[V_FUT_U_PCPL-02]], F$5, FALSE)</f>
        <v>#N/A</v>
      </c>
      <c r="H1986" s="20">
        <f t="shared" si="157"/>
        <v>0</v>
      </c>
      <c r="I1986" s="21">
        <f t="shared" si="158"/>
        <v>0</v>
      </c>
      <c r="J1986" s="22" t="e">
        <f>VLOOKUP($A1986, TAB_JUROS_C[[DIAS_CORRIDOS]:[V_FUT_UTEIS]], J$5, FALSE)</f>
        <v>#N/A</v>
      </c>
      <c r="K1986" s="22" t="e">
        <f>VLOOKUP($A1986, TAB_CORRECAO_C[[DIAS_CORRIDOS]:[V_FUT_UTEIS]],K$5, FALSE)</f>
        <v>#N/A</v>
      </c>
      <c r="L1986" s="22" t="e">
        <f>VLOOKUP($A1986, TAB_AMORTIZACAO_C[[DIAS_CORRIDOS]:[V_FUT_UTEIS]], L$5, FALSE)</f>
        <v>#N/A</v>
      </c>
    </row>
    <row r="1987" spans="1:12" hidden="1">
      <c r="A1987" s="19">
        <f t="shared" si="159"/>
        <v>1981</v>
      </c>
      <c r="B1987" s="20">
        <f t="shared" si="155"/>
        <v>0</v>
      </c>
      <c r="C1987" s="21">
        <f t="shared" si="156"/>
        <v>0</v>
      </c>
      <c r="D1987" s="22" t="e">
        <f>VLOOKUP($A1987, TAB_JUROS_U[[Q_DIAS_U_PARC_TIR]:[V_FUT_U_JURS CENARIO]], D$5, FALSE)</f>
        <v>#N/A</v>
      </c>
      <c r="E1987" s="22" t="e">
        <f>VLOOKUP($A1987,TAB_CORRECAO_U[[Q_DIAS_U_PARC_TIR]:[V_FUT_U_CORC-02]],E$5, FALSE)</f>
        <v>#N/A</v>
      </c>
      <c r="F1987" s="22" t="e">
        <f>VLOOKUP($A1987,TAB_AMORTIZACAO_U[[Q_DIAS_U_PARC_TIR]:[V_FUT_U_PCPL-02]], F$5, FALSE)</f>
        <v>#N/A</v>
      </c>
      <c r="H1987" s="20">
        <f t="shared" si="157"/>
        <v>0</v>
      </c>
      <c r="I1987" s="21">
        <f t="shared" si="158"/>
        <v>0</v>
      </c>
      <c r="J1987" s="22" t="e">
        <f>VLOOKUP($A1987, TAB_JUROS_C[[DIAS_CORRIDOS]:[V_FUT_UTEIS]], J$5, FALSE)</f>
        <v>#N/A</v>
      </c>
      <c r="K1987" s="22" t="e">
        <f>VLOOKUP($A1987, TAB_CORRECAO_C[[DIAS_CORRIDOS]:[V_FUT_UTEIS]],K$5, FALSE)</f>
        <v>#N/A</v>
      </c>
      <c r="L1987" s="22" t="e">
        <f>VLOOKUP($A1987, TAB_AMORTIZACAO_C[[DIAS_CORRIDOS]:[V_FUT_UTEIS]], L$5, FALSE)</f>
        <v>#N/A</v>
      </c>
    </row>
    <row r="1988" spans="1:12" hidden="1">
      <c r="A1988" s="19">
        <f t="shared" si="159"/>
        <v>1982</v>
      </c>
      <c r="B1988" s="20">
        <f t="shared" si="155"/>
        <v>0</v>
      </c>
      <c r="C1988" s="21">
        <f t="shared" si="156"/>
        <v>0</v>
      </c>
      <c r="D1988" s="22" t="e">
        <f>VLOOKUP($A1988, TAB_JUROS_U[[Q_DIAS_U_PARC_TIR]:[V_FUT_U_JURS CENARIO]], D$5, FALSE)</f>
        <v>#N/A</v>
      </c>
      <c r="E1988" s="22" t="e">
        <f>VLOOKUP($A1988,TAB_CORRECAO_U[[Q_DIAS_U_PARC_TIR]:[V_FUT_U_CORC-02]],E$5, FALSE)</f>
        <v>#N/A</v>
      </c>
      <c r="F1988" s="22" t="e">
        <f>VLOOKUP($A1988,TAB_AMORTIZACAO_U[[Q_DIAS_U_PARC_TIR]:[V_FUT_U_PCPL-02]], F$5, FALSE)</f>
        <v>#N/A</v>
      </c>
      <c r="H1988" s="20">
        <f t="shared" si="157"/>
        <v>0</v>
      </c>
      <c r="I1988" s="21">
        <f t="shared" si="158"/>
        <v>0</v>
      </c>
      <c r="J1988" s="22" t="e">
        <f>VLOOKUP($A1988, TAB_JUROS_C[[DIAS_CORRIDOS]:[V_FUT_UTEIS]], J$5, FALSE)</f>
        <v>#N/A</v>
      </c>
      <c r="K1988" s="22" t="e">
        <f>VLOOKUP($A1988, TAB_CORRECAO_C[[DIAS_CORRIDOS]:[V_FUT_UTEIS]],K$5, FALSE)</f>
        <v>#N/A</v>
      </c>
      <c r="L1988" s="22" t="e">
        <f>VLOOKUP($A1988, TAB_AMORTIZACAO_C[[DIAS_CORRIDOS]:[V_FUT_UTEIS]], L$5, FALSE)</f>
        <v>#N/A</v>
      </c>
    </row>
    <row r="1989" spans="1:12" hidden="1">
      <c r="A1989" s="19">
        <f t="shared" si="159"/>
        <v>1983</v>
      </c>
      <c r="B1989" s="20">
        <f t="shared" si="155"/>
        <v>0</v>
      </c>
      <c r="C1989" s="21">
        <f t="shared" si="156"/>
        <v>0</v>
      </c>
      <c r="D1989" s="22" t="e">
        <f>VLOOKUP($A1989, TAB_JUROS_U[[Q_DIAS_U_PARC_TIR]:[V_FUT_U_JURS CENARIO]], D$5, FALSE)</f>
        <v>#N/A</v>
      </c>
      <c r="E1989" s="22" t="e">
        <f>VLOOKUP($A1989,TAB_CORRECAO_U[[Q_DIAS_U_PARC_TIR]:[V_FUT_U_CORC-02]],E$5, FALSE)</f>
        <v>#N/A</v>
      </c>
      <c r="F1989" s="22" t="e">
        <f>VLOOKUP($A1989,TAB_AMORTIZACAO_U[[Q_DIAS_U_PARC_TIR]:[V_FUT_U_PCPL-02]], F$5, FALSE)</f>
        <v>#N/A</v>
      </c>
      <c r="H1989" s="20">
        <f t="shared" si="157"/>
        <v>0</v>
      </c>
      <c r="I1989" s="21">
        <f t="shared" si="158"/>
        <v>0</v>
      </c>
      <c r="J1989" s="22" t="e">
        <f>VLOOKUP($A1989, TAB_JUROS_C[[DIAS_CORRIDOS]:[V_FUT_UTEIS]], J$5, FALSE)</f>
        <v>#N/A</v>
      </c>
      <c r="K1989" s="22" t="e">
        <f>VLOOKUP($A1989, TAB_CORRECAO_C[[DIAS_CORRIDOS]:[V_FUT_UTEIS]],K$5, FALSE)</f>
        <v>#N/A</v>
      </c>
      <c r="L1989" s="22" t="e">
        <f>VLOOKUP($A1989, TAB_AMORTIZACAO_C[[DIAS_CORRIDOS]:[V_FUT_UTEIS]], L$5, FALSE)</f>
        <v>#N/A</v>
      </c>
    </row>
    <row r="1990" spans="1:12" hidden="1">
      <c r="A1990" s="19">
        <f t="shared" si="159"/>
        <v>1984</v>
      </c>
      <c r="B1990" s="20">
        <f t="shared" si="155"/>
        <v>0</v>
      </c>
      <c r="C1990" s="21">
        <f t="shared" si="156"/>
        <v>0</v>
      </c>
      <c r="D1990" s="22" t="e">
        <f>VLOOKUP($A1990, TAB_JUROS_U[[Q_DIAS_U_PARC_TIR]:[V_FUT_U_JURS CENARIO]], D$5, FALSE)</f>
        <v>#N/A</v>
      </c>
      <c r="E1990" s="22" t="e">
        <f>VLOOKUP($A1990,TAB_CORRECAO_U[[Q_DIAS_U_PARC_TIR]:[V_FUT_U_CORC-02]],E$5, FALSE)</f>
        <v>#N/A</v>
      </c>
      <c r="F1990" s="22" t="e">
        <f>VLOOKUP($A1990,TAB_AMORTIZACAO_U[[Q_DIAS_U_PARC_TIR]:[V_FUT_U_PCPL-02]], F$5, FALSE)</f>
        <v>#N/A</v>
      </c>
      <c r="H1990" s="20">
        <f t="shared" si="157"/>
        <v>0</v>
      </c>
      <c r="I1990" s="21">
        <f t="shared" si="158"/>
        <v>0</v>
      </c>
      <c r="J1990" s="22" t="e">
        <f>VLOOKUP($A1990, TAB_JUROS_C[[DIAS_CORRIDOS]:[V_FUT_UTEIS]], J$5, FALSE)</f>
        <v>#N/A</v>
      </c>
      <c r="K1990" s="22" t="e">
        <f>VLOOKUP($A1990, TAB_CORRECAO_C[[DIAS_CORRIDOS]:[V_FUT_UTEIS]],K$5, FALSE)</f>
        <v>#N/A</v>
      </c>
      <c r="L1990" s="22" t="e">
        <f>VLOOKUP($A1990, TAB_AMORTIZACAO_C[[DIAS_CORRIDOS]:[V_FUT_UTEIS]], L$5, FALSE)</f>
        <v>#N/A</v>
      </c>
    </row>
    <row r="1991" spans="1:12" hidden="1">
      <c r="A1991" s="19">
        <f t="shared" si="159"/>
        <v>1985</v>
      </c>
      <c r="B1991" s="20">
        <f t="shared" si="155"/>
        <v>0</v>
      </c>
      <c r="C1991" s="21">
        <f t="shared" si="156"/>
        <v>0</v>
      </c>
      <c r="D1991" s="22" t="e">
        <f>VLOOKUP($A1991, TAB_JUROS_U[[Q_DIAS_U_PARC_TIR]:[V_FUT_U_JURS CENARIO]], D$5, FALSE)</f>
        <v>#N/A</v>
      </c>
      <c r="E1991" s="22" t="e">
        <f>VLOOKUP($A1991,TAB_CORRECAO_U[[Q_DIAS_U_PARC_TIR]:[V_FUT_U_CORC-02]],E$5, FALSE)</f>
        <v>#N/A</v>
      </c>
      <c r="F1991" s="22" t="e">
        <f>VLOOKUP($A1991,TAB_AMORTIZACAO_U[[Q_DIAS_U_PARC_TIR]:[V_FUT_U_PCPL-02]], F$5, FALSE)</f>
        <v>#N/A</v>
      </c>
      <c r="H1991" s="20">
        <f t="shared" si="157"/>
        <v>0</v>
      </c>
      <c r="I1991" s="21">
        <f t="shared" si="158"/>
        <v>0</v>
      </c>
      <c r="J1991" s="22" t="e">
        <f>VLOOKUP($A1991, TAB_JUROS_C[[DIAS_CORRIDOS]:[V_FUT_UTEIS]], J$5, FALSE)</f>
        <v>#N/A</v>
      </c>
      <c r="K1991" s="22" t="e">
        <f>VLOOKUP($A1991, TAB_CORRECAO_C[[DIAS_CORRIDOS]:[V_FUT_UTEIS]],K$5, FALSE)</f>
        <v>#N/A</v>
      </c>
      <c r="L1991" s="22" t="e">
        <f>VLOOKUP($A1991, TAB_AMORTIZACAO_C[[DIAS_CORRIDOS]:[V_FUT_UTEIS]], L$5, FALSE)</f>
        <v>#N/A</v>
      </c>
    </row>
    <row r="1992" spans="1:12" hidden="1">
      <c r="A1992" s="19">
        <f t="shared" si="159"/>
        <v>1986</v>
      </c>
      <c r="B1992" s="20">
        <f t="shared" si="155"/>
        <v>0</v>
      </c>
      <c r="C1992" s="21">
        <f t="shared" si="156"/>
        <v>0</v>
      </c>
      <c r="D1992" s="22" t="e">
        <f>VLOOKUP($A1992, TAB_JUROS_U[[Q_DIAS_U_PARC_TIR]:[V_FUT_U_JURS CENARIO]], D$5, FALSE)</f>
        <v>#N/A</v>
      </c>
      <c r="E1992" s="22" t="e">
        <f>VLOOKUP($A1992,TAB_CORRECAO_U[[Q_DIAS_U_PARC_TIR]:[V_FUT_U_CORC-02]],E$5, FALSE)</f>
        <v>#N/A</v>
      </c>
      <c r="F1992" s="22" t="e">
        <f>VLOOKUP($A1992,TAB_AMORTIZACAO_U[[Q_DIAS_U_PARC_TIR]:[V_FUT_U_PCPL-02]], F$5, FALSE)</f>
        <v>#N/A</v>
      </c>
      <c r="H1992" s="20">
        <f t="shared" si="157"/>
        <v>0</v>
      </c>
      <c r="I1992" s="21">
        <f t="shared" si="158"/>
        <v>0</v>
      </c>
      <c r="J1992" s="22" t="e">
        <f>VLOOKUP($A1992, TAB_JUROS_C[[DIAS_CORRIDOS]:[V_FUT_UTEIS]], J$5, FALSE)</f>
        <v>#N/A</v>
      </c>
      <c r="K1992" s="22" t="e">
        <f>VLOOKUP($A1992, TAB_CORRECAO_C[[DIAS_CORRIDOS]:[V_FUT_UTEIS]],K$5, FALSE)</f>
        <v>#N/A</v>
      </c>
      <c r="L1992" s="22" t="e">
        <f>VLOOKUP($A1992, TAB_AMORTIZACAO_C[[DIAS_CORRIDOS]:[V_FUT_UTEIS]], L$5, FALSE)</f>
        <v>#N/A</v>
      </c>
    </row>
    <row r="1993" spans="1:12" hidden="1">
      <c r="A1993" s="19">
        <f t="shared" si="159"/>
        <v>1987</v>
      </c>
      <c r="B1993" s="20">
        <f t="shared" ref="B1993:B2056" si="160">IF(ISERROR(C1993), 0, C1993)</f>
        <v>0</v>
      </c>
      <c r="C1993" s="21">
        <f t="shared" ref="C1993:C2056" si="161">SUMIF(D1993:F1993, "&gt;0", D1993:F1993)</f>
        <v>0</v>
      </c>
      <c r="D1993" s="22" t="e">
        <f>VLOOKUP($A1993, TAB_JUROS_U[[Q_DIAS_U_PARC_TIR]:[V_FUT_U_JURS CENARIO]], D$5, FALSE)</f>
        <v>#N/A</v>
      </c>
      <c r="E1993" s="22" t="e">
        <f>VLOOKUP($A1993,TAB_CORRECAO_U[[Q_DIAS_U_PARC_TIR]:[V_FUT_U_CORC-02]],E$5, FALSE)</f>
        <v>#N/A</v>
      </c>
      <c r="F1993" s="22" t="e">
        <f>VLOOKUP($A1993,TAB_AMORTIZACAO_U[[Q_DIAS_U_PARC_TIR]:[V_FUT_U_PCPL-02]], F$5, FALSE)</f>
        <v>#N/A</v>
      </c>
      <c r="H1993" s="20">
        <f t="shared" ref="H1993:H2056" si="162">IF(ISERROR(I1993), 0, I1993)</f>
        <v>0</v>
      </c>
      <c r="I1993" s="21">
        <f t="shared" ref="I1993:I2056" si="163">SUMIF(J1993:L1993, "&gt;0", J1993:L1993)</f>
        <v>0</v>
      </c>
      <c r="J1993" s="22" t="e">
        <f>VLOOKUP($A1993, TAB_JUROS_C[[DIAS_CORRIDOS]:[V_FUT_UTEIS]], J$5, FALSE)</f>
        <v>#N/A</v>
      </c>
      <c r="K1993" s="22" t="e">
        <f>VLOOKUP($A1993, TAB_CORRECAO_C[[DIAS_CORRIDOS]:[V_FUT_UTEIS]],K$5, FALSE)</f>
        <v>#N/A</v>
      </c>
      <c r="L1993" s="22" t="e">
        <f>VLOOKUP($A1993, TAB_AMORTIZACAO_C[[DIAS_CORRIDOS]:[V_FUT_UTEIS]], L$5, FALSE)</f>
        <v>#N/A</v>
      </c>
    </row>
    <row r="1994" spans="1:12" hidden="1">
      <c r="A1994" s="19">
        <f t="shared" ref="A1994:A2057" si="164">A1993+1</f>
        <v>1988</v>
      </c>
      <c r="B1994" s="20">
        <f t="shared" si="160"/>
        <v>0</v>
      </c>
      <c r="C1994" s="21">
        <f t="shared" si="161"/>
        <v>0</v>
      </c>
      <c r="D1994" s="22" t="e">
        <f>VLOOKUP($A1994, TAB_JUROS_U[[Q_DIAS_U_PARC_TIR]:[V_FUT_U_JURS CENARIO]], D$5, FALSE)</f>
        <v>#N/A</v>
      </c>
      <c r="E1994" s="22" t="e">
        <f>VLOOKUP($A1994,TAB_CORRECAO_U[[Q_DIAS_U_PARC_TIR]:[V_FUT_U_CORC-02]],E$5, FALSE)</f>
        <v>#N/A</v>
      </c>
      <c r="F1994" s="22" t="e">
        <f>VLOOKUP($A1994,TAB_AMORTIZACAO_U[[Q_DIAS_U_PARC_TIR]:[V_FUT_U_PCPL-02]], F$5, FALSE)</f>
        <v>#N/A</v>
      </c>
      <c r="H1994" s="20">
        <f t="shared" si="162"/>
        <v>0</v>
      </c>
      <c r="I1994" s="21">
        <f t="shared" si="163"/>
        <v>0</v>
      </c>
      <c r="J1994" s="22" t="e">
        <f>VLOOKUP($A1994, TAB_JUROS_C[[DIAS_CORRIDOS]:[V_FUT_UTEIS]], J$5, FALSE)</f>
        <v>#N/A</v>
      </c>
      <c r="K1994" s="22" t="e">
        <f>VLOOKUP($A1994, TAB_CORRECAO_C[[DIAS_CORRIDOS]:[V_FUT_UTEIS]],K$5, FALSE)</f>
        <v>#N/A</v>
      </c>
      <c r="L1994" s="22" t="e">
        <f>VLOOKUP($A1994, TAB_AMORTIZACAO_C[[DIAS_CORRIDOS]:[V_FUT_UTEIS]], L$5, FALSE)</f>
        <v>#N/A</v>
      </c>
    </row>
    <row r="1995" spans="1:12" hidden="1">
      <c r="A1995" s="19">
        <f t="shared" si="164"/>
        <v>1989</v>
      </c>
      <c r="B1995" s="20">
        <f t="shared" si="160"/>
        <v>0</v>
      </c>
      <c r="C1995" s="21">
        <f t="shared" si="161"/>
        <v>0</v>
      </c>
      <c r="D1995" s="22" t="e">
        <f>VLOOKUP($A1995, TAB_JUROS_U[[Q_DIAS_U_PARC_TIR]:[V_FUT_U_JURS CENARIO]], D$5, FALSE)</f>
        <v>#N/A</v>
      </c>
      <c r="E1995" s="22" t="e">
        <f>VLOOKUP($A1995,TAB_CORRECAO_U[[Q_DIAS_U_PARC_TIR]:[V_FUT_U_CORC-02]],E$5, FALSE)</f>
        <v>#N/A</v>
      </c>
      <c r="F1995" s="22" t="e">
        <f>VLOOKUP($A1995,TAB_AMORTIZACAO_U[[Q_DIAS_U_PARC_TIR]:[V_FUT_U_PCPL-02]], F$5, FALSE)</f>
        <v>#N/A</v>
      </c>
      <c r="H1995" s="20">
        <f t="shared" si="162"/>
        <v>0</v>
      </c>
      <c r="I1995" s="21">
        <f t="shared" si="163"/>
        <v>0</v>
      </c>
      <c r="J1995" s="22" t="e">
        <f>VLOOKUP($A1995, TAB_JUROS_C[[DIAS_CORRIDOS]:[V_FUT_UTEIS]], J$5, FALSE)</f>
        <v>#N/A</v>
      </c>
      <c r="K1995" s="22" t="e">
        <f>VLOOKUP($A1995, TAB_CORRECAO_C[[DIAS_CORRIDOS]:[V_FUT_UTEIS]],K$5, FALSE)</f>
        <v>#N/A</v>
      </c>
      <c r="L1995" s="22" t="e">
        <f>VLOOKUP($A1995, TAB_AMORTIZACAO_C[[DIAS_CORRIDOS]:[V_FUT_UTEIS]], L$5, FALSE)</f>
        <v>#N/A</v>
      </c>
    </row>
    <row r="1996" spans="1:12" hidden="1">
      <c r="A1996" s="19">
        <f t="shared" si="164"/>
        <v>1990</v>
      </c>
      <c r="B1996" s="20">
        <f t="shared" si="160"/>
        <v>0</v>
      </c>
      <c r="C1996" s="21">
        <f t="shared" si="161"/>
        <v>0</v>
      </c>
      <c r="D1996" s="22" t="e">
        <f>VLOOKUP($A1996, TAB_JUROS_U[[Q_DIAS_U_PARC_TIR]:[V_FUT_U_JURS CENARIO]], D$5, FALSE)</f>
        <v>#N/A</v>
      </c>
      <c r="E1996" s="22" t="e">
        <f>VLOOKUP($A1996,TAB_CORRECAO_U[[Q_DIAS_U_PARC_TIR]:[V_FUT_U_CORC-02]],E$5, FALSE)</f>
        <v>#N/A</v>
      </c>
      <c r="F1996" s="22" t="e">
        <f>VLOOKUP($A1996,TAB_AMORTIZACAO_U[[Q_DIAS_U_PARC_TIR]:[V_FUT_U_PCPL-02]], F$5, FALSE)</f>
        <v>#N/A</v>
      </c>
      <c r="H1996" s="20">
        <f t="shared" si="162"/>
        <v>601.5480629645532</v>
      </c>
      <c r="I1996" s="21">
        <f t="shared" si="163"/>
        <v>601.5480629645532</v>
      </c>
      <c r="J1996" s="22">
        <f>VLOOKUP($A1996, TAB_JUROS_C[[DIAS_CORRIDOS]:[V_FUT_UTEIS]], J$5, FALSE)</f>
        <v>42.316201693997719</v>
      </c>
      <c r="K1996" s="22">
        <f>VLOOKUP($A1996, TAB_CORRECAO_C[[DIAS_CORRIDOS]:[V_FUT_UTEIS]],K$5, FALSE)</f>
        <v>255.72710372459517</v>
      </c>
      <c r="L1996" s="22">
        <f>VLOOKUP($A1996, TAB_AMORTIZACAO_C[[DIAS_CORRIDOS]:[V_FUT_UTEIS]], L$5, FALSE)</f>
        <v>303.50475754596033</v>
      </c>
    </row>
    <row r="1997" spans="1:12" hidden="1">
      <c r="A1997" s="19">
        <f t="shared" si="164"/>
        <v>1991</v>
      </c>
      <c r="B1997" s="20">
        <f t="shared" si="160"/>
        <v>0</v>
      </c>
      <c r="C1997" s="21">
        <f t="shared" si="161"/>
        <v>0</v>
      </c>
      <c r="D1997" s="22" t="e">
        <f>VLOOKUP($A1997, TAB_JUROS_U[[Q_DIAS_U_PARC_TIR]:[V_FUT_U_JURS CENARIO]], D$5, FALSE)</f>
        <v>#N/A</v>
      </c>
      <c r="E1997" s="22" t="e">
        <f>VLOOKUP($A1997,TAB_CORRECAO_U[[Q_DIAS_U_PARC_TIR]:[V_FUT_U_CORC-02]],E$5, FALSE)</f>
        <v>#N/A</v>
      </c>
      <c r="F1997" s="22" t="e">
        <f>VLOOKUP($A1997,TAB_AMORTIZACAO_U[[Q_DIAS_U_PARC_TIR]:[V_FUT_U_PCPL-02]], F$5, FALSE)</f>
        <v>#N/A</v>
      </c>
      <c r="H1997" s="20">
        <f t="shared" si="162"/>
        <v>0</v>
      </c>
      <c r="I1997" s="21">
        <f t="shared" si="163"/>
        <v>0</v>
      </c>
      <c r="J1997" s="22" t="e">
        <f>VLOOKUP($A1997, TAB_JUROS_C[[DIAS_CORRIDOS]:[V_FUT_UTEIS]], J$5, FALSE)</f>
        <v>#N/A</v>
      </c>
      <c r="K1997" s="22" t="e">
        <f>VLOOKUP($A1997, TAB_CORRECAO_C[[DIAS_CORRIDOS]:[V_FUT_UTEIS]],K$5, FALSE)</f>
        <v>#N/A</v>
      </c>
      <c r="L1997" s="22" t="e">
        <f>VLOOKUP($A1997, TAB_AMORTIZACAO_C[[DIAS_CORRIDOS]:[V_FUT_UTEIS]], L$5, FALSE)</f>
        <v>#N/A</v>
      </c>
    </row>
    <row r="1998" spans="1:12" hidden="1">
      <c r="A1998" s="19">
        <f t="shared" si="164"/>
        <v>1992</v>
      </c>
      <c r="B1998" s="20">
        <f t="shared" si="160"/>
        <v>0</v>
      </c>
      <c r="C1998" s="21">
        <f t="shared" si="161"/>
        <v>0</v>
      </c>
      <c r="D1998" s="22" t="e">
        <f>VLOOKUP($A1998, TAB_JUROS_U[[Q_DIAS_U_PARC_TIR]:[V_FUT_U_JURS CENARIO]], D$5, FALSE)</f>
        <v>#N/A</v>
      </c>
      <c r="E1998" s="22" t="e">
        <f>VLOOKUP($A1998,TAB_CORRECAO_U[[Q_DIAS_U_PARC_TIR]:[V_FUT_U_CORC-02]],E$5, FALSE)</f>
        <v>#N/A</v>
      </c>
      <c r="F1998" s="22" t="e">
        <f>VLOOKUP($A1998,TAB_AMORTIZACAO_U[[Q_DIAS_U_PARC_TIR]:[V_FUT_U_PCPL-02]], F$5, FALSE)</f>
        <v>#N/A</v>
      </c>
      <c r="H1998" s="20">
        <f t="shared" si="162"/>
        <v>0</v>
      </c>
      <c r="I1998" s="21">
        <f t="shared" si="163"/>
        <v>0</v>
      </c>
      <c r="J1998" s="22" t="e">
        <f>VLOOKUP($A1998, TAB_JUROS_C[[DIAS_CORRIDOS]:[V_FUT_UTEIS]], J$5, FALSE)</f>
        <v>#N/A</v>
      </c>
      <c r="K1998" s="22" t="e">
        <f>VLOOKUP($A1998, TAB_CORRECAO_C[[DIAS_CORRIDOS]:[V_FUT_UTEIS]],K$5, FALSE)</f>
        <v>#N/A</v>
      </c>
      <c r="L1998" s="22" t="e">
        <f>VLOOKUP($A1998, TAB_AMORTIZACAO_C[[DIAS_CORRIDOS]:[V_FUT_UTEIS]], L$5, FALSE)</f>
        <v>#N/A</v>
      </c>
    </row>
    <row r="1999" spans="1:12" hidden="1">
      <c r="A1999" s="19">
        <f t="shared" si="164"/>
        <v>1993</v>
      </c>
      <c r="B1999" s="20">
        <f t="shared" si="160"/>
        <v>0</v>
      </c>
      <c r="C1999" s="21">
        <f t="shared" si="161"/>
        <v>0</v>
      </c>
      <c r="D1999" s="22" t="e">
        <f>VLOOKUP($A1999, TAB_JUROS_U[[Q_DIAS_U_PARC_TIR]:[V_FUT_U_JURS CENARIO]], D$5, FALSE)</f>
        <v>#N/A</v>
      </c>
      <c r="E1999" s="22" t="e">
        <f>VLOOKUP($A1999,TAB_CORRECAO_U[[Q_DIAS_U_PARC_TIR]:[V_FUT_U_CORC-02]],E$5, FALSE)</f>
        <v>#N/A</v>
      </c>
      <c r="F1999" s="22" t="e">
        <f>VLOOKUP($A1999,TAB_AMORTIZACAO_U[[Q_DIAS_U_PARC_TIR]:[V_FUT_U_PCPL-02]], F$5, FALSE)</f>
        <v>#N/A</v>
      </c>
      <c r="H1999" s="20">
        <f t="shared" si="162"/>
        <v>0</v>
      </c>
      <c r="I1999" s="21">
        <f t="shared" si="163"/>
        <v>0</v>
      </c>
      <c r="J1999" s="22" t="e">
        <f>VLOOKUP($A1999, TAB_JUROS_C[[DIAS_CORRIDOS]:[V_FUT_UTEIS]], J$5, FALSE)</f>
        <v>#N/A</v>
      </c>
      <c r="K1999" s="22" t="e">
        <f>VLOOKUP($A1999, TAB_CORRECAO_C[[DIAS_CORRIDOS]:[V_FUT_UTEIS]],K$5, FALSE)</f>
        <v>#N/A</v>
      </c>
      <c r="L1999" s="22" t="e">
        <f>VLOOKUP($A1999, TAB_AMORTIZACAO_C[[DIAS_CORRIDOS]:[V_FUT_UTEIS]], L$5, FALSE)</f>
        <v>#N/A</v>
      </c>
    </row>
    <row r="2000" spans="1:12" hidden="1">
      <c r="A2000" s="19">
        <f t="shared" si="164"/>
        <v>1994</v>
      </c>
      <c r="B2000" s="20">
        <f t="shared" si="160"/>
        <v>0</v>
      </c>
      <c r="C2000" s="21">
        <f t="shared" si="161"/>
        <v>0</v>
      </c>
      <c r="D2000" s="22" t="e">
        <f>VLOOKUP($A2000, TAB_JUROS_U[[Q_DIAS_U_PARC_TIR]:[V_FUT_U_JURS CENARIO]], D$5, FALSE)</f>
        <v>#N/A</v>
      </c>
      <c r="E2000" s="22" t="e">
        <f>VLOOKUP($A2000,TAB_CORRECAO_U[[Q_DIAS_U_PARC_TIR]:[V_FUT_U_CORC-02]],E$5, FALSE)</f>
        <v>#N/A</v>
      </c>
      <c r="F2000" s="22" t="e">
        <f>VLOOKUP($A2000,TAB_AMORTIZACAO_U[[Q_DIAS_U_PARC_TIR]:[V_FUT_U_PCPL-02]], F$5, FALSE)</f>
        <v>#N/A</v>
      </c>
      <c r="H2000" s="20">
        <f t="shared" si="162"/>
        <v>0</v>
      </c>
      <c r="I2000" s="21">
        <f t="shared" si="163"/>
        <v>0</v>
      </c>
      <c r="J2000" s="22" t="e">
        <f>VLOOKUP($A2000, TAB_JUROS_C[[DIAS_CORRIDOS]:[V_FUT_UTEIS]], J$5, FALSE)</f>
        <v>#N/A</v>
      </c>
      <c r="K2000" s="22" t="e">
        <f>VLOOKUP($A2000, TAB_CORRECAO_C[[DIAS_CORRIDOS]:[V_FUT_UTEIS]],K$5, FALSE)</f>
        <v>#N/A</v>
      </c>
      <c r="L2000" s="22" t="e">
        <f>VLOOKUP($A2000, TAB_AMORTIZACAO_C[[DIAS_CORRIDOS]:[V_FUT_UTEIS]], L$5, FALSE)</f>
        <v>#N/A</v>
      </c>
    </row>
    <row r="2001" spans="1:12" hidden="1">
      <c r="A2001" s="19">
        <f t="shared" si="164"/>
        <v>1995</v>
      </c>
      <c r="B2001" s="20">
        <f t="shared" si="160"/>
        <v>0</v>
      </c>
      <c r="C2001" s="21">
        <f t="shared" si="161"/>
        <v>0</v>
      </c>
      <c r="D2001" s="22" t="e">
        <f>VLOOKUP($A2001, TAB_JUROS_U[[Q_DIAS_U_PARC_TIR]:[V_FUT_U_JURS CENARIO]], D$5, FALSE)</f>
        <v>#N/A</v>
      </c>
      <c r="E2001" s="22" t="e">
        <f>VLOOKUP($A2001,TAB_CORRECAO_U[[Q_DIAS_U_PARC_TIR]:[V_FUT_U_CORC-02]],E$5, FALSE)</f>
        <v>#N/A</v>
      </c>
      <c r="F2001" s="22" t="e">
        <f>VLOOKUP($A2001,TAB_AMORTIZACAO_U[[Q_DIAS_U_PARC_TIR]:[V_FUT_U_PCPL-02]], F$5, FALSE)</f>
        <v>#N/A</v>
      </c>
      <c r="H2001" s="20">
        <f t="shared" si="162"/>
        <v>0</v>
      </c>
      <c r="I2001" s="21">
        <f t="shared" si="163"/>
        <v>0</v>
      </c>
      <c r="J2001" s="22" t="e">
        <f>VLOOKUP($A2001, TAB_JUROS_C[[DIAS_CORRIDOS]:[V_FUT_UTEIS]], J$5, FALSE)</f>
        <v>#N/A</v>
      </c>
      <c r="K2001" s="22" t="e">
        <f>VLOOKUP($A2001, TAB_CORRECAO_C[[DIAS_CORRIDOS]:[V_FUT_UTEIS]],K$5, FALSE)</f>
        <v>#N/A</v>
      </c>
      <c r="L2001" s="22" t="e">
        <f>VLOOKUP($A2001, TAB_AMORTIZACAO_C[[DIAS_CORRIDOS]:[V_FUT_UTEIS]], L$5, FALSE)</f>
        <v>#N/A</v>
      </c>
    </row>
    <row r="2002" spans="1:12" hidden="1">
      <c r="A2002" s="19">
        <f t="shared" si="164"/>
        <v>1996</v>
      </c>
      <c r="B2002" s="20">
        <f t="shared" si="160"/>
        <v>0</v>
      </c>
      <c r="C2002" s="21">
        <f t="shared" si="161"/>
        <v>0</v>
      </c>
      <c r="D2002" s="22" t="e">
        <f>VLOOKUP($A2002, TAB_JUROS_U[[Q_DIAS_U_PARC_TIR]:[V_FUT_U_JURS CENARIO]], D$5, FALSE)</f>
        <v>#N/A</v>
      </c>
      <c r="E2002" s="22" t="e">
        <f>VLOOKUP($A2002,TAB_CORRECAO_U[[Q_DIAS_U_PARC_TIR]:[V_FUT_U_CORC-02]],E$5, FALSE)</f>
        <v>#N/A</v>
      </c>
      <c r="F2002" s="22" t="e">
        <f>VLOOKUP($A2002,TAB_AMORTIZACAO_U[[Q_DIAS_U_PARC_TIR]:[V_FUT_U_PCPL-02]], F$5, FALSE)</f>
        <v>#N/A</v>
      </c>
      <c r="H2002" s="20">
        <f t="shared" si="162"/>
        <v>0</v>
      </c>
      <c r="I2002" s="21">
        <f t="shared" si="163"/>
        <v>0</v>
      </c>
      <c r="J2002" s="22" t="e">
        <f>VLOOKUP($A2002, TAB_JUROS_C[[DIAS_CORRIDOS]:[V_FUT_UTEIS]], J$5, FALSE)</f>
        <v>#N/A</v>
      </c>
      <c r="K2002" s="22" t="e">
        <f>VLOOKUP($A2002, TAB_CORRECAO_C[[DIAS_CORRIDOS]:[V_FUT_UTEIS]],K$5, FALSE)</f>
        <v>#N/A</v>
      </c>
      <c r="L2002" s="22" t="e">
        <f>VLOOKUP($A2002, TAB_AMORTIZACAO_C[[DIAS_CORRIDOS]:[V_FUT_UTEIS]], L$5, FALSE)</f>
        <v>#N/A</v>
      </c>
    </row>
    <row r="2003" spans="1:12" hidden="1">
      <c r="A2003" s="19">
        <f t="shared" si="164"/>
        <v>1997</v>
      </c>
      <c r="B2003" s="20">
        <f t="shared" si="160"/>
        <v>0</v>
      </c>
      <c r="C2003" s="21">
        <f t="shared" si="161"/>
        <v>0</v>
      </c>
      <c r="D2003" s="22" t="e">
        <f>VLOOKUP($A2003, TAB_JUROS_U[[Q_DIAS_U_PARC_TIR]:[V_FUT_U_JURS CENARIO]], D$5, FALSE)</f>
        <v>#N/A</v>
      </c>
      <c r="E2003" s="22" t="e">
        <f>VLOOKUP($A2003,TAB_CORRECAO_U[[Q_DIAS_U_PARC_TIR]:[V_FUT_U_CORC-02]],E$5, FALSE)</f>
        <v>#N/A</v>
      </c>
      <c r="F2003" s="22" t="e">
        <f>VLOOKUP($A2003,TAB_AMORTIZACAO_U[[Q_DIAS_U_PARC_TIR]:[V_FUT_U_PCPL-02]], F$5, FALSE)</f>
        <v>#N/A</v>
      </c>
      <c r="H2003" s="20">
        <f t="shared" si="162"/>
        <v>0</v>
      </c>
      <c r="I2003" s="21">
        <f t="shared" si="163"/>
        <v>0</v>
      </c>
      <c r="J2003" s="22" t="e">
        <f>VLOOKUP($A2003, TAB_JUROS_C[[DIAS_CORRIDOS]:[V_FUT_UTEIS]], J$5, FALSE)</f>
        <v>#N/A</v>
      </c>
      <c r="K2003" s="22" t="e">
        <f>VLOOKUP($A2003, TAB_CORRECAO_C[[DIAS_CORRIDOS]:[V_FUT_UTEIS]],K$5, FALSE)</f>
        <v>#N/A</v>
      </c>
      <c r="L2003" s="22" t="e">
        <f>VLOOKUP($A2003, TAB_AMORTIZACAO_C[[DIAS_CORRIDOS]:[V_FUT_UTEIS]], L$5, FALSE)</f>
        <v>#N/A</v>
      </c>
    </row>
    <row r="2004" spans="1:12">
      <c r="A2004" s="19">
        <f t="shared" si="164"/>
        <v>1998</v>
      </c>
      <c r="B2004" s="20">
        <f t="shared" si="160"/>
        <v>285.31621577806095</v>
      </c>
      <c r="C2004" s="21">
        <f t="shared" si="161"/>
        <v>285.31621577806095</v>
      </c>
      <c r="D2004" s="22">
        <f>VLOOKUP($A2004, TAB_JUROS_U[[Q_DIAS_U_PARC_TIR]:[V_FUT_U_JURS CENARIO]], D$5, FALSE)</f>
        <v>16.12887795305609</v>
      </c>
      <c r="E2004" s="22">
        <f>VLOOKUP($A2004,TAB_CORRECAO_U[[Q_DIAS_U_PARC_TIR]:[V_FUT_U_CORC-02]],E$5, FALSE)</f>
        <v>94.434697948041773</v>
      </c>
      <c r="F2004" s="22">
        <f>VLOOKUP($A2004,TAB_AMORTIZACAO_U[[Q_DIAS_U_PARC_TIR]:[V_FUT_U_PCPL-02]], F$5, FALSE)</f>
        <v>174.75263987696306</v>
      </c>
      <c r="H2004" s="20">
        <f t="shared" si="162"/>
        <v>0</v>
      </c>
      <c r="I2004" s="21">
        <f t="shared" si="163"/>
        <v>0</v>
      </c>
      <c r="J2004" s="22" t="e">
        <f>VLOOKUP($A2004, TAB_JUROS_C[[DIAS_CORRIDOS]:[V_FUT_UTEIS]], J$5, FALSE)</f>
        <v>#N/A</v>
      </c>
      <c r="K2004" s="22" t="e">
        <f>VLOOKUP($A2004, TAB_CORRECAO_C[[DIAS_CORRIDOS]:[V_FUT_UTEIS]],K$5, FALSE)</f>
        <v>#N/A</v>
      </c>
      <c r="L2004" s="22" t="e">
        <f>VLOOKUP($A2004, TAB_AMORTIZACAO_C[[DIAS_CORRIDOS]:[V_FUT_UTEIS]], L$5, FALSE)</f>
        <v>#N/A</v>
      </c>
    </row>
    <row r="2005" spans="1:12" hidden="1">
      <c r="A2005" s="19">
        <f t="shared" si="164"/>
        <v>1999</v>
      </c>
      <c r="B2005" s="20">
        <f t="shared" si="160"/>
        <v>0</v>
      </c>
      <c r="C2005" s="21">
        <f t="shared" si="161"/>
        <v>0</v>
      </c>
      <c r="D2005" s="22" t="e">
        <f>VLOOKUP($A2005, TAB_JUROS_U[[Q_DIAS_U_PARC_TIR]:[V_FUT_U_JURS CENARIO]], D$5, FALSE)</f>
        <v>#N/A</v>
      </c>
      <c r="E2005" s="22" t="e">
        <f>VLOOKUP($A2005,TAB_CORRECAO_U[[Q_DIAS_U_PARC_TIR]:[V_FUT_U_CORC-02]],E$5, FALSE)</f>
        <v>#N/A</v>
      </c>
      <c r="F2005" s="22" t="e">
        <f>VLOOKUP($A2005,TAB_AMORTIZACAO_U[[Q_DIAS_U_PARC_TIR]:[V_FUT_U_PCPL-02]], F$5, FALSE)</f>
        <v>#N/A</v>
      </c>
      <c r="H2005" s="20">
        <f t="shared" si="162"/>
        <v>0</v>
      </c>
      <c r="I2005" s="21">
        <f t="shared" si="163"/>
        <v>0</v>
      </c>
      <c r="J2005" s="22" t="e">
        <f>VLOOKUP($A2005, TAB_JUROS_C[[DIAS_CORRIDOS]:[V_FUT_UTEIS]], J$5, FALSE)</f>
        <v>#N/A</v>
      </c>
      <c r="K2005" s="22" t="e">
        <f>VLOOKUP($A2005, TAB_CORRECAO_C[[DIAS_CORRIDOS]:[V_FUT_UTEIS]],K$5, FALSE)</f>
        <v>#N/A</v>
      </c>
      <c r="L2005" s="22" t="e">
        <f>VLOOKUP($A2005, TAB_AMORTIZACAO_C[[DIAS_CORRIDOS]:[V_FUT_UTEIS]], L$5, FALSE)</f>
        <v>#N/A</v>
      </c>
    </row>
    <row r="2006" spans="1:12" hidden="1">
      <c r="A2006" s="19">
        <f t="shared" si="164"/>
        <v>2000</v>
      </c>
      <c r="B2006" s="20">
        <f t="shared" si="160"/>
        <v>0</v>
      </c>
      <c r="C2006" s="21">
        <f t="shared" si="161"/>
        <v>0</v>
      </c>
      <c r="D2006" s="22" t="e">
        <f>VLOOKUP($A2006, TAB_JUROS_U[[Q_DIAS_U_PARC_TIR]:[V_FUT_U_JURS CENARIO]], D$5, FALSE)</f>
        <v>#N/A</v>
      </c>
      <c r="E2006" s="22" t="e">
        <f>VLOOKUP($A2006,TAB_CORRECAO_U[[Q_DIAS_U_PARC_TIR]:[V_FUT_U_CORC-02]],E$5, FALSE)</f>
        <v>#N/A</v>
      </c>
      <c r="F2006" s="22" t="e">
        <f>VLOOKUP($A2006,TAB_AMORTIZACAO_U[[Q_DIAS_U_PARC_TIR]:[V_FUT_U_PCPL-02]], F$5, FALSE)</f>
        <v>#N/A</v>
      </c>
      <c r="H2006" s="20">
        <f t="shared" si="162"/>
        <v>0</v>
      </c>
      <c r="I2006" s="21">
        <f t="shared" si="163"/>
        <v>0</v>
      </c>
      <c r="J2006" s="22" t="e">
        <f>VLOOKUP($A2006, TAB_JUROS_C[[DIAS_CORRIDOS]:[V_FUT_UTEIS]], J$5, FALSE)</f>
        <v>#N/A</v>
      </c>
      <c r="K2006" s="22" t="e">
        <f>VLOOKUP($A2006, TAB_CORRECAO_C[[DIAS_CORRIDOS]:[V_FUT_UTEIS]],K$5, FALSE)</f>
        <v>#N/A</v>
      </c>
      <c r="L2006" s="22" t="e">
        <f>VLOOKUP($A2006, TAB_AMORTIZACAO_C[[DIAS_CORRIDOS]:[V_FUT_UTEIS]], L$5, FALSE)</f>
        <v>#N/A</v>
      </c>
    </row>
    <row r="2007" spans="1:12" hidden="1">
      <c r="A2007" s="19">
        <f t="shared" si="164"/>
        <v>2001</v>
      </c>
      <c r="B2007" s="20">
        <f t="shared" si="160"/>
        <v>0</v>
      </c>
      <c r="C2007" s="21">
        <f t="shared" si="161"/>
        <v>0</v>
      </c>
      <c r="D2007" s="22" t="e">
        <f>VLOOKUP($A2007, TAB_JUROS_U[[Q_DIAS_U_PARC_TIR]:[V_FUT_U_JURS CENARIO]], D$5, FALSE)</f>
        <v>#N/A</v>
      </c>
      <c r="E2007" s="22" t="e">
        <f>VLOOKUP($A2007,TAB_CORRECAO_U[[Q_DIAS_U_PARC_TIR]:[V_FUT_U_CORC-02]],E$5, FALSE)</f>
        <v>#N/A</v>
      </c>
      <c r="F2007" s="22" t="e">
        <f>VLOOKUP($A2007,TAB_AMORTIZACAO_U[[Q_DIAS_U_PARC_TIR]:[V_FUT_U_PCPL-02]], F$5, FALSE)</f>
        <v>#N/A</v>
      </c>
      <c r="H2007" s="20">
        <f t="shared" si="162"/>
        <v>0</v>
      </c>
      <c r="I2007" s="21">
        <f t="shared" si="163"/>
        <v>0</v>
      </c>
      <c r="J2007" s="22" t="e">
        <f>VLOOKUP($A2007, TAB_JUROS_C[[DIAS_CORRIDOS]:[V_FUT_UTEIS]], J$5, FALSE)</f>
        <v>#N/A</v>
      </c>
      <c r="K2007" s="22" t="e">
        <f>VLOOKUP($A2007, TAB_CORRECAO_C[[DIAS_CORRIDOS]:[V_FUT_UTEIS]],K$5, FALSE)</f>
        <v>#N/A</v>
      </c>
      <c r="L2007" s="22" t="e">
        <f>VLOOKUP($A2007, TAB_AMORTIZACAO_C[[DIAS_CORRIDOS]:[V_FUT_UTEIS]], L$5, FALSE)</f>
        <v>#N/A</v>
      </c>
    </row>
    <row r="2008" spans="1:12" hidden="1">
      <c r="A2008" s="19">
        <f t="shared" si="164"/>
        <v>2002</v>
      </c>
      <c r="B2008" s="20">
        <f t="shared" si="160"/>
        <v>0</v>
      </c>
      <c r="C2008" s="21">
        <f t="shared" si="161"/>
        <v>0</v>
      </c>
      <c r="D2008" s="22" t="e">
        <f>VLOOKUP($A2008, TAB_JUROS_U[[Q_DIAS_U_PARC_TIR]:[V_FUT_U_JURS CENARIO]], D$5, FALSE)</f>
        <v>#N/A</v>
      </c>
      <c r="E2008" s="22" t="e">
        <f>VLOOKUP($A2008,TAB_CORRECAO_U[[Q_DIAS_U_PARC_TIR]:[V_FUT_U_CORC-02]],E$5, FALSE)</f>
        <v>#N/A</v>
      </c>
      <c r="F2008" s="22" t="e">
        <f>VLOOKUP($A2008,TAB_AMORTIZACAO_U[[Q_DIAS_U_PARC_TIR]:[V_FUT_U_PCPL-02]], F$5, FALSE)</f>
        <v>#N/A</v>
      </c>
      <c r="H2008" s="20">
        <f t="shared" si="162"/>
        <v>0</v>
      </c>
      <c r="I2008" s="21">
        <f t="shared" si="163"/>
        <v>0</v>
      </c>
      <c r="J2008" s="22" t="e">
        <f>VLOOKUP($A2008, TAB_JUROS_C[[DIAS_CORRIDOS]:[V_FUT_UTEIS]], J$5, FALSE)</f>
        <v>#N/A</v>
      </c>
      <c r="K2008" s="22" t="e">
        <f>VLOOKUP($A2008, TAB_CORRECAO_C[[DIAS_CORRIDOS]:[V_FUT_UTEIS]],K$5, FALSE)</f>
        <v>#N/A</v>
      </c>
      <c r="L2008" s="22" t="e">
        <f>VLOOKUP($A2008, TAB_AMORTIZACAO_C[[DIAS_CORRIDOS]:[V_FUT_UTEIS]], L$5, FALSE)</f>
        <v>#N/A</v>
      </c>
    </row>
    <row r="2009" spans="1:12" hidden="1">
      <c r="A2009" s="19">
        <f t="shared" si="164"/>
        <v>2003</v>
      </c>
      <c r="B2009" s="20">
        <f t="shared" si="160"/>
        <v>0</v>
      </c>
      <c r="C2009" s="21">
        <f t="shared" si="161"/>
        <v>0</v>
      </c>
      <c r="D2009" s="22" t="e">
        <f>VLOOKUP($A2009, TAB_JUROS_U[[Q_DIAS_U_PARC_TIR]:[V_FUT_U_JURS CENARIO]], D$5, FALSE)</f>
        <v>#N/A</v>
      </c>
      <c r="E2009" s="22" t="e">
        <f>VLOOKUP($A2009,TAB_CORRECAO_U[[Q_DIAS_U_PARC_TIR]:[V_FUT_U_CORC-02]],E$5, FALSE)</f>
        <v>#N/A</v>
      </c>
      <c r="F2009" s="22" t="e">
        <f>VLOOKUP($A2009,TAB_AMORTIZACAO_U[[Q_DIAS_U_PARC_TIR]:[V_FUT_U_PCPL-02]], F$5, FALSE)</f>
        <v>#N/A</v>
      </c>
      <c r="H2009" s="20">
        <f t="shared" si="162"/>
        <v>0</v>
      </c>
      <c r="I2009" s="21">
        <f t="shared" si="163"/>
        <v>0</v>
      </c>
      <c r="J2009" s="22" t="e">
        <f>VLOOKUP($A2009, TAB_JUROS_C[[DIAS_CORRIDOS]:[V_FUT_UTEIS]], J$5, FALSE)</f>
        <v>#N/A</v>
      </c>
      <c r="K2009" s="22" t="e">
        <f>VLOOKUP($A2009, TAB_CORRECAO_C[[DIAS_CORRIDOS]:[V_FUT_UTEIS]],K$5, FALSE)</f>
        <v>#N/A</v>
      </c>
      <c r="L2009" s="22" t="e">
        <f>VLOOKUP($A2009, TAB_AMORTIZACAO_C[[DIAS_CORRIDOS]:[V_FUT_UTEIS]], L$5, FALSE)</f>
        <v>#N/A</v>
      </c>
    </row>
    <row r="2010" spans="1:12" hidden="1">
      <c r="A2010" s="19">
        <f t="shared" si="164"/>
        <v>2004</v>
      </c>
      <c r="B2010" s="20">
        <f t="shared" si="160"/>
        <v>0</v>
      </c>
      <c r="C2010" s="21">
        <f t="shared" si="161"/>
        <v>0</v>
      </c>
      <c r="D2010" s="22" t="e">
        <f>VLOOKUP($A2010, TAB_JUROS_U[[Q_DIAS_U_PARC_TIR]:[V_FUT_U_JURS CENARIO]], D$5, FALSE)</f>
        <v>#N/A</v>
      </c>
      <c r="E2010" s="22" t="e">
        <f>VLOOKUP($A2010,TAB_CORRECAO_U[[Q_DIAS_U_PARC_TIR]:[V_FUT_U_CORC-02]],E$5, FALSE)</f>
        <v>#N/A</v>
      </c>
      <c r="F2010" s="22" t="e">
        <f>VLOOKUP($A2010,TAB_AMORTIZACAO_U[[Q_DIAS_U_PARC_TIR]:[V_FUT_U_PCPL-02]], F$5, FALSE)</f>
        <v>#N/A</v>
      </c>
      <c r="H2010" s="20">
        <f t="shared" si="162"/>
        <v>0</v>
      </c>
      <c r="I2010" s="21">
        <f t="shared" si="163"/>
        <v>0</v>
      </c>
      <c r="J2010" s="22" t="e">
        <f>VLOOKUP($A2010, TAB_JUROS_C[[DIAS_CORRIDOS]:[V_FUT_UTEIS]], J$5, FALSE)</f>
        <v>#N/A</v>
      </c>
      <c r="K2010" s="22" t="e">
        <f>VLOOKUP($A2010, TAB_CORRECAO_C[[DIAS_CORRIDOS]:[V_FUT_UTEIS]],K$5, FALSE)</f>
        <v>#N/A</v>
      </c>
      <c r="L2010" s="22" t="e">
        <f>VLOOKUP($A2010, TAB_AMORTIZACAO_C[[DIAS_CORRIDOS]:[V_FUT_UTEIS]], L$5, FALSE)</f>
        <v>#N/A</v>
      </c>
    </row>
    <row r="2011" spans="1:12" hidden="1">
      <c r="A2011" s="19">
        <f t="shared" si="164"/>
        <v>2005</v>
      </c>
      <c r="B2011" s="20">
        <f t="shared" si="160"/>
        <v>0</v>
      </c>
      <c r="C2011" s="21">
        <f t="shared" si="161"/>
        <v>0</v>
      </c>
      <c r="D2011" s="22" t="e">
        <f>VLOOKUP($A2011, TAB_JUROS_U[[Q_DIAS_U_PARC_TIR]:[V_FUT_U_JURS CENARIO]], D$5, FALSE)</f>
        <v>#N/A</v>
      </c>
      <c r="E2011" s="22" t="e">
        <f>VLOOKUP($A2011,TAB_CORRECAO_U[[Q_DIAS_U_PARC_TIR]:[V_FUT_U_CORC-02]],E$5, FALSE)</f>
        <v>#N/A</v>
      </c>
      <c r="F2011" s="22" t="e">
        <f>VLOOKUP($A2011,TAB_AMORTIZACAO_U[[Q_DIAS_U_PARC_TIR]:[V_FUT_U_PCPL-02]], F$5, FALSE)</f>
        <v>#N/A</v>
      </c>
      <c r="H2011" s="20">
        <f t="shared" si="162"/>
        <v>0</v>
      </c>
      <c r="I2011" s="21">
        <f t="shared" si="163"/>
        <v>0</v>
      </c>
      <c r="J2011" s="22" t="e">
        <f>VLOOKUP($A2011, TAB_JUROS_C[[DIAS_CORRIDOS]:[V_FUT_UTEIS]], J$5, FALSE)</f>
        <v>#N/A</v>
      </c>
      <c r="K2011" s="22" t="e">
        <f>VLOOKUP($A2011, TAB_CORRECAO_C[[DIAS_CORRIDOS]:[V_FUT_UTEIS]],K$5, FALSE)</f>
        <v>#N/A</v>
      </c>
      <c r="L2011" s="22" t="e">
        <f>VLOOKUP($A2011, TAB_AMORTIZACAO_C[[DIAS_CORRIDOS]:[V_FUT_UTEIS]], L$5, FALSE)</f>
        <v>#N/A</v>
      </c>
    </row>
    <row r="2012" spans="1:12" hidden="1">
      <c r="A2012" s="19">
        <f t="shared" si="164"/>
        <v>2006</v>
      </c>
      <c r="B2012" s="20">
        <f t="shared" si="160"/>
        <v>0</v>
      </c>
      <c r="C2012" s="21">
        <f t="shared" si="161"/>
        <v>0</v>
      </c>
      <c r="D2012" s="22" t="e">
        <f>VLOOKUP($A2012, TAB_JUROS_U[[Q_DIAS_U_PARC_TIR]:[V_FUT_U_JURS CENARIO]], D$5, FALSE)</f>
        <v>#N/A</v>
      </c>
      <c r="E2012" s="22" t="e">
        <f>VLOOKUP($A2012,TAB_CORRECAO_U[[Q_DIAS_U_PARC_TIR]:[V_FUT_U_CORC-02]],E$5, FALSE)</f>
        <v>#N/A</v>
      </c>
      <c r="F2012" s="22" t="e">
        <f>VLOOKUP($A2012,TAB_AMORTIZACAO_U[[Q_DIAS_U_PARC_TIR]:[V_FUT_U_PCPL-02]], F$5, FALSE)</f>
        <v>#N/A</v>
      </c>
      <c r="H2012" s="20">
        <f t="shared" si="162"/>
        <v>0</v>
      </c>
      <c r="I2012" s="21">
        <f t="shared" si="163"/>
        <v>0</v>
      </c>
      <c r="J2012" s="22" t="e">
        <f>VLOOKUP($A2012, TAB_JUROS_C[[DIAS_CORRIDOS]:[V_FUT_UTEIS]], J$5, FALSE)</f>
        <v>#N/A</v>
      </c>
      <c r="K2012" s="22" t="e">
        <f>VLOOKUP($A2012, TAB_CORRECAO_C[[DIAS_CORRIDOS]:[V_FUT_UTEIS]],K$5, FALSE)</f>
        <v>#N/A</v>
      </c>
      <c r="L2012" s="22" t="e">
        <f>VLOOKUP($A2012, TAB_AMORTIZACAO_C[[DIAS_CORRIDOS]:[V_FUT_UTEIS]], L$5, FALSE)</f>
        <v>#N/A</v>
      </c>
    </row>
    <row r="2013" spans="1:12" hidden="1">
      <c r="A2013" s="19">
        <f t="shared" si="164"/>
        <v>2007</v>
      </c>
      <c r="B2013" s="20">
        <f t="shared" si="160"/>
        <v>0</v>
      </c>
      <c r="C2013" s="21">
        <f t="shared" si="161"/>
        <v>0</v>
      </c>
      <c r="D2013" s="22" t="e">
        <f>VLOOKUP($A2013, TAB_JUROS_U[[Q_DIAS_U_PARC_TIR]:[V_FUT_U_JURS CENARIO]], D$5, FALSE)</f>
        <v>#N/A</v>
      </c>
      <c r="E2013" s="22" t="e">
        <f>VLOOKUP($A2013,TAB_CORRECAO_U[[Q_DIAS_U_PARC_TIR]:[V_FUT_U_CORC-02]],E$5, FALSE)</f>
        <v>#N/A</v>
      </c>
      <c r="F2013" s="22" t="e">
        <f>VLOOKUP($A2013,TAB_AMORTIZACAO_U[[Q_DIAS_U_PARC_TIR]:[V_FUT_U_PCPL-02]], F$5, FALSE)</f>
        <v>#N/A</v>
      </c>
      <c r="H2013" s="20">
        <f t="shared" si="162"/>
        <v>0</v>
      </c>
      <c r="I2013" s="21">
        <f t="shared" si="163"/>
        <v>0</v>
      </c>
      <c r="J2013" s="22" t="e">
        <f>VLOOKUP($A2013, TAB_JUROS_C[[DIAS_CORRIDOS]:[V_FUT_UTEIS]], J$5, FALSE)</f>
        <v>#N/A</v>
      </c>
      <c r="K2013" s="22" t="e">
        <f>VLOOKUP($A2013, TAB_CORRECAO_C[[DIAS_CORRIDOS]:[V_FUT_UTEIS]],K$5, FALSE)</f>
        <v>#N/A</v>
      </c>
      <c r="L2013" s="22" t="e">
        <f>VLOOKUP($A2013, TAB_AMORTIZACAO_C[[DIAS_CORRIDOS]:[V_FUT_UTEIS]], L$5, FALSE)</f>
        <v>#N/A</v>
      </c>
    </row>
    <row r="2014" spans="1:12" hidden="1">
      <c r="A2014" s="19">
        <f t="shared" si="164"/>
        <v>2008</v>
      </c>
      <c r="B2014" s="20">
        <f t="shared" si="160"/>
        <v>0</v>
      </c>
      <c r="C2014" s="21">
        <f t="shared" si="161"/>
        <v>0</v>
      </c>
      <c r="D2014" s="22" t="e">
        <f>VLOOKUP($A2014, TAB_JUROS_U[[Q_DIAS_U_PARC_TIR]:[V_FUT_U_JURS CENARIO]], D$5, FALSE)</f>
        <v>#N/A</v>
      </c>
      <c r="E2014" s="22" t="e">
        <f>VLOOKUP($A2014,TAB_CORRECAO_U[[Q_DIAS_U_PARC_TIR]:[V_FUT_U_CORC-02]],E$5, FALSE)</f>
        <v>#N/A</v>
      </c>
      <c r="F2014" s="22" t="e">
        <f>VLOOKUP($A2014,TAB_AMORTIZACAO_U[[Q_DIAS_U_PARC_TIR]:[V_FUT_U_PCPL-02]], F$5, FALSE)</f>
        <v>#N/A</v>
      </c>
      <c r="H2014" s="20">
        <f t="shared" si="162"/>
        <v>0</v>
      </c>
      <c r="I2014" s="21">
        <f t="shared" si="163"/>
        <v>0</v>
      </c>
      <c r="J2014" s="22" t="e">
        <f>VLOOKUP($A2014, TAB_JUROS_C[[DIAS_CORRIDOS]:[V_FUT_UTEIS]], J$5, FALSE)</f>
        <v>#N/A</v>
      </c>
      <c r="K2014" s="22" t="e">
        <f>VLOOKUP($A2014, TAB_CORRECAO_C[[DIAS_CORRIDOS]:[V_FUT_UTEIS]],K$5, FALSE)</f>
        <v>#N/A</v>
      </c>
      <c r="L2014" s="22" t="e">
        <f>VLOOKUP($A2014, TAB_AMORTIZACAO_C[[DIAS_CORRIDOS]:[V_FUT_UTEIS]], L$5, FALSE)</f>
        <v>#N/A</v>
      </c>
    </row>
    <row r="2015" spans="1:12" hidden="1">
      <c r="A2015" s="19">
        <f t="shared" si="164"/>
        <v>2009</v>
      </c>
      <c r="B2015" s="20">
        <f t="shared" si="160"/>
        <v>0</v>
      </c>
      <c r="C2015" s="21">
        <f t="shared" si="161"/>
        <v>0</v>
      </c>
      <c r="D2015" s="22" t="e">
        <f>VLOOKUP($A2015, TAB_JUROS_U[[Q_DIAS_U_PARC_TIR]:[V_FUT_U_JURS CENARIO]], D$5, FALSE)</f>
        <v>#N/A</v>
      </c>
      <c r="E2015" s="22" t="e">
        <f>VLOOKUP($A2015,TAB_CORRECAO_U[[Q_DIAS_U_PARC_TIR]:[V_FUT_U_CORC-02]],E$5, FALSE)</f>
        <v>#N/A</v>
      </c>
      <c r="F2015" s="22" t="e">
        <f>VLOOKUP($A2015,TAB_AMORTIZACAO_U[[Q_DIAS_U_PARC_TIR]:[V_FUT_U_PCPL-02]], F$5, FALSE)</f>
        <v>#N/A</v>
      </c>
      <c r="H2015" s="20">
        <f t="shared" si="162"/>
        <v>0</v>
      </c>
      <c r="I2015" s="21">
        <f t="shared" si="163"/>
        <v>0</v>
      </c>
      <c r="J2015" s="22" t="e">
        <f>VLOOKUP($A2015, TAB_JUROS_C[[DIAS_CORRIDOS]:[V_FUT_UTEIS]], J$5, FALSE)</f>
        <v>#N/A</v>
      </c>
      <c r="K2015" s="22" t="e">
        <f>VLOOKUP($A2015, TAB_CORRECAO_C[[DIAS_CORRIDOS]:[V_FUT_UTEIS]],K$5, FALSE)</f>
        <v>#N/A</v>
      </c>
      <c r="L2015" s="22" t="e">
        <f>VLOOKUP($A2015, TAB_AMORTIZACAO_C[[DIAS_CORRIDOS]:[V_FUT_UTEIS]], L$5, FALSE)</f>
        <v>#N/A</v>
      </c>
    </row>
    <row r="2016" spans="1:12" hidden="1">
      <c r="A2016" s="19">
        <f t="shared" si="164"/>
        <v>2010</v>
      </c>
      <c r="B2016" s="20">
        <f t="shared" si="160"/>
        <v>0</v>
      </c>
      <c r="C2016" s="21">
        <f t="shared" si="161"/>
        <v>0</v>
      </c>
      <c r="D2016" s="22" t="e">
        <f>VLOOKUP($A2016, TAB_JUROS_U[[Q_DIAS_U_PARC_TIR]:[V_FUT_U_JURS CENARIO]], D$5, FALSE)</f>
        <v>#N/A</v>
      </c>
      <c r="E2016" s="22" t="e">
        <f>VLOOKUP($A2016,TAB_CORRECAO_U[[Q_DIAS_U_PARC_TIR]:[V_FUT_U_CORC-02]],E$5, FALSE)</f>
        <v>#N/A</v>
      </c>
      <c r="F2016" s="22" t="e">
        <f>VLOOKUP($A2016,TAB_AMORTIZACAO_U[[Q_DIAS_U_PARC_TIR]:[V_FUT_U_PCPL-02]], F$5, FALSE)</f>
        <v>#N/A</v>
      </c>
      <c r="H2016" s="20">
        <f t="shared" si="162"/>
        <v>0</v>
      </c>
      <c r="I2016" s="21">
        <f t="shared" si="163"/>
        <v>0</v>
      </c>
      <c r="J2016" s="22" t="e">
        <f>VLOOKUP($A2016, TAB_JUROS_C[[DIAS_CORRIDOS]:[V_FUT_UTEIS]], J$5, FALSE)</f>
        <v>#N/A</v>
      </c>
      <c r="K2016" s="22" t="e">
        <f>VLOOKUP($A2016, TAB_CORRECAO_C[[DIAS_CORRIDOS]:[V_FUT_UTEIS]],K$5, FALSE)</f>
        <v>#N/A</v>
      </c>
      <c r="L2016" s="22" t="e">
        <f>VLOOKUP($A2016, TAB_AMORTIZACAO_C[[DIAS_CORRIDOS]:[V_FUT_UTEIS]], L$5, FALSE)</f>
        <v>#N/A</v>
      </c>
    </row>
    <row r="2017" spans="1:12" hidden="1">
      <c r="A2017" s="19">
        <f t="shared" si="164"/>
        <v>2011</v>
      </c>
      <c r="B2017" s="20">
        <f t="shared" si="160"/>
        <v>0</v>
      </c>
      <c r="C2017" s="21">
        <f t="shared" si="161"/>
        <v>0</v>
      </c>
      <c r="D2017" s="22" t="e">
        <f>VLOOKUP($A2017, TAB_JUROS_U[[Q_DIAS_U_PARC_TIR]:[V_FUT_U_JURS CENARIO]], D$5, FALSE)</f>
        <v>#N/A</v>
      </c>
      <c r="E2017" s="22" t="e">
        <f>VLOOKUP($A2017,TAB_CORRECAO_U[[Q_DIAS_U_PARC_TIR]:[V_FUT_U_CORC-02]],E$5, FALSE)</f>
        <v>#N/A</v>
      </c>
      <c r="F2017" s="22" t="e">
        <f>VLOOKUP($A2017,TAB_AMORTIZACAO_U[[Q_DIAS_U_PARC_TIR]:[V_FUT_U_PCPL-02]], F$5, FALSE)</f>
        <v>#N/A</v>
      </c>
      <c r="H2017" s="20">
        <f t="shared" si="162"/>
        <v>0</v>
      </c>
      <c r="I2017" s="21">
        <f t="shared" si="163"/>
        <v>0</v>
      </c>
      <c r="J2017" s="22" t="e">
        <f>VLOOKUP($A2017, TAB_JUROS_C[[DIAS_CORRIDOS]:[V_FUT_UTEIS]], J$5, FALSE)</f>
        <v>#N/A</v>
      </c>
      <c r="K2017" s="22" t="e">
        <f>VLOOKUP($A2017, TAB_CORRECAO_C[[DIAS_CORRIDOS]:[V_FUT_UTEIS]],K$5, FALSE)</f>
        <v>#N/A</v>
      </c>
      <c r="L2017" s="22" t="e">
        <f>VLOOKUP($A2017, TAB_AMORTIZACAO_C[[DIAS_CORRIDOS]:[V_FUT_UTEIS]], L$5, FALSE)</f>
        <v>#N/A</v>
      </c>
    </row>
    <row r="2018" spans="1:12" hidden="1">
      <c r="A2018" s="19">
        <f t="shared" si="164"/>
        <v>2012</v>
      </c>
      <c r="B2018" s="20">
        <f t="shared" si="160"/>
        <v>0</v>
      </c>
      <c r="C2018" s="21">
        <f t="shared" si="161"/>
        <v>0</v>
      </c>
      <c r="D2018" s="22" t="e">
        <f>VLOOKUP($A2018, TAB_JUROS_U[[Q_DIAS_U_PARC_TIR]:[V_FUT_U_JURS CENARIO]], D$5, FALSE)</f>
        <v>#N/A</v>
      </c>
      <c r="E2018" s="22" t="e">
        <f>VLOOKUP($A2018,TAB_CORRECAO_U[[Q_DIAS_U_PARC_TIR]:[V_FUT_U_CORC-02]],E$5, FALSE)</f>
        <v>#N/A</v>
      </c>
      <c r="F2018" s="22" t="e">
        <f>VLOOKUP($A2018,TAB_AMORTIZACAO_U[[Q_DIAS_U_PARC_TIR]:[V_FUT_U_PCPL-02]], F$5, FALSE)</f>
        <v>#N/A</v>
      </c>
      <c r="H2018" s="20">
        <f t="shared" si="162"/>
        <v>0</v>
      </c>
      <c r="I2018" s="21">
        <f t="shared" si="163"/>
        <v>0</v>
      </c>
      <c r="J2018" s="22" t="e">
        <f>VLOOKUP($A2018, TAB_JUROS_C[[DIAS_CORRIDOS]:[V_FUT_UTEIS]], J$5, FALSE)</f>
        <v>#N/A</v>
      </c>
      <c r="K2018" s="22" t="e">
        <f>VLOOKUP($A2018, TAB_CORRECAO_C[[DIAS_CORRIDOS]:[V_FUT_UTEIS]],K$5, FALSE)</f>
        <v>#N/A</v>
      </c>
      <c r="L2018" s="22" t="e">
        <f>VLOOKUP($A2018, TAB_AMORTIZACAO_C[[DIAS_CORRIDOS]:[V_FUT_UTEIS]], L$5, FALSE)</f>
        <v>#N/A</v>
      </c>
    </row>
    <row r="2019" spans="1:12" hidden="1">
      <c r="A2019" s="19">
        <f t="shared" si="164"/>
        <v>2013</v>
      </c>
      <c r="B2019" s="20">
        <f t="shared" si="160"/>
        <v>0</v>
      </c>
      <c r="C2019" s="21">
        <f t="shared" si="161"/>
        <v>0</v>
      </c>
      <c r="D2019" s="22" t="e">
        <f>VLOOKUP($A2019, TAB_JUROS_U[[Q_DIAS_U_PARC_TIR]:[V_FUT_U_JURS CENARIO]], D$5, FALSE)</f>
        <v>#N/A</v>
      </c>
      <c r="E2019" s="22" t="e">
        <f>VLOOKUP($A2019,TAB_CORRECAO_U[[Q_DIAS_U_PARC_TIR]:[V_FUT_U_CORC-02]],E$5, FALSE)</f>
        <v>#N/A</v>
      </c>
      <c r="F2019" s="22" t="e">
        <f>VLOOKUP($A2019,TAB_AMORTIZACAO_U[[Q_DIAS_U_PARC_TIR]:[V_FUT_U_PCPL-02]], F$5, FALSE)</f>
        <v>#N/A</v>
      </c>
      <c r="H2019" s="20">
        <f t="shared" si="162"/>
        <v>0</v>
      </c>
      <c r="I2019" s="21">
        <f t="shared" si="163"/>
        <v>0</v>
      </c>
      <c r="J2019" s="22" t="e">
        <f>VLOOKUP($A2019, TAB_JUROS_C[[DIAS_CORRIDOS]:[V_FUT_UTEIS]], J$5, FALSE)</f>
        <v>#N/A</v>
      </c>
      <c r="K2019" s="22" t="e">
        <f>VLOOKUP($A2019, TAB_CORRECAO_C[[DIAS_CORRIDOS]:[V_FUT_UTEIS]],K$5, FALSE)</f>
        <v>#N/A</v>
      </c>
      <c r="L2019" s="22" t="e">
        <f>VLOOKUP($A2019, TAB_AMORTIZACAO_C[[DIAS_CORRIDOS]:[V_FUT_UTEIS]], L$5, FALSE)</f>
        <v>#N/A</v>
      </c>
    </row>
    <row r="2020" spans="1:12" hidden="1">
      <c r="A2020" s="19">
        <f t="shared" si="164"/>
        <v>2014</v>
      </c>
      <c r="B2020" s="20">
        <f t="shared" si="160"/>
        <v>0</v>
      </c>
      <c r="C2020" s="21">
        <f t="shared" si="161"/>
        <v>0</v>
      </c>
      <c r="D2020" s="22" t="e">
        <f>VLOOKUP($A2020, TAB_JUROS_U[[Q_DIAS_U_PARC_TIR]:[V_FUT_U_JURS CENARIO]], D$5, FALSE)</f>
        <v>#N/A</v>
      </c>
      <c r="E2020" s="22" t="e">
        <f>VLOOKUP($A2020,TAB_CORRECAO_U[[Q_DIAS_U_PARC_TIR]:[V_FUT_U_CORC-02]],E$5, FALSE)</f>
        <v>#N/A</v>
      </c>
      <c r="F2020" s="22" t="e">
        <f>VLOOKUP($A2020,TAB_AMORTIZACAO_U[[Q_DIAS_U_PARC_TIR]:[V_FUT_U_PCPL-02]], F$5, FALSE)</f>
        <v>#N/A</v>
      </c>
      <c r="H2020" s="20">
        <f t="shared" si="162"/>
        <v>0</v>
      </c>
      <c r="I2020" s="21">
        <f t="shared" si="163"/>
        <v>0</v>
      </c>
      <c r="J2020" s="22" t="e">
        <f>VLOOKUP($A2020, TAB_JUROS_C[[DIAS_CORRIDOS]:[V_FUT_UTEIS]], J$5, FALSE)</f>
        <v>#N/A</v>
      </c>
      <c r="K2020" s="22" t="e">
        <f>VLOOKUP($A2020, TAB_CORRECAO_C[[DIAS_CORRIDOS]:[V_FUT_UTEIS]],K$5, FALSE)</f>
        <v>#N/A</v>
      </c>
      <c r="L2020" s="22" t="e">
        <f>VLOOKUP($A2020, TAB_AMORTIZACAO_C[[DIAS_CORRIDOS]:[V_FUT_UTEIS]], L$5, FALSE)</f>
        <v>#N/A</v>
      </c>
    </row>
    <row r="2021" spans="1:12" hidden="1">
      <c r="A2021" s="19">
        <f t="shared" si="164"/>
        <v>2015</v>
      </c>
      <c r="B2021" s="20">
        <f t="shared" si="160"/>
        <v>0</v>
      </c>
      <c r="C2021" s="21">
        <f t="shared" si="161"/>
        <v>0</v>
      </c>
      <c r="D2021" s="22" t="e">
        <f>VLOOKUP($A2021, TAB_JUROS_U[[Q_DIAS_U_PARC_TIR]:[V_FUT_U_JURS CENARIO]], D$5, FALSE)</f>
        <v>#N/A</v>
      </c>
      <c r="E2021" s="22" t="e">
        <f>VLOOKUP($A2021,TAB_CORRECAO_U[[Q_DIAS_U_PARC_TIR]:[V_FUT_U_CORC-02]],E$5, FALSE)</f>
        <v>#N/A</v>
      </c>
      <c r="F2021" s="22" t="e">
        <f>VLOOKUP($A2021,TAB_AMORTIZACAO_U[[Q_DIAS_U_PARC_TIR]:[V_FUT_U_PCPL-02]], F$5, FALSE)</f>
        <v>#N/A</v>
      </c>
      <c r="H2021" s="20">
        <f t="shared" si="162"/>
        <v>0</v>
      </c>
      <c r="I2021" s="21">
        <f t="shared" si="163"/>
        <v>0</v>
      </c>
      <c r="J2021" s="22" t="e">
        <f>VLOOKUP($A2021, TAB_JUROS_C[[DIAS_CORRIDOS]:[V_FUT_UTEIS]], J$5, FALSE)</f>
        <v>#N/A</v>
      </c>
      <c r="K2021" s="22" t="e">
        <f>VLOOKUP($A2021, TAB_CORRECAO_C[[DIAS_CORRIDOS]:[V_FUT_UTEIS]],K$5, FALSE)</f>
        <v>#N/A</v>
      </c>
      <c r="L2021" s="22" t="e">
        <f>VLOOKUP($A2021, TAB_AMORTIZACAO_C[[DIAS_CORRIDOS]:[V_FUT_UTEIS]], L$5, FALSE)</f>
        <v>#N/A</v>
      </c>
    </row>
    <row r="2022" spans="1:12" hidden="1">
      <c r="A2022" s="19">
        <f t="shared" si="164"/>
        <v>2016</v>
      </c>
      <c r="B2022" s="20">
        <f t="shared" si="160"/>
        <v>0</v>
      </c>
      <c r="C2022" s="21">
        <f t="shared" si="161"/>
        <v>0</v>
      </c>
      <c r="D2022" s="22" t="e">
        <f>VLOOKUP($A2022, TAB_JUROS_U[[Q_DIAS_U_PARC_TIR]:[V_FUT_U_JURS CENARIO]], D$5, FALSE)</f>
        <v>#N/A</v>
      </c>
      <c r="E2022" s="22" t="e">
        <f>VLOOKUP($A2022,TAB_CORRECAO_U[[Q_DIAS_U_PARC_TIR]:[V_FUT_U_CORC-02]],E$5, FALSE)</f>
        <v>#N/A</v>
      </c>
      <c r="F2022" s="22" t="e">
        <f>VLOOKUP($A2022,TAB_AMORTIZACAO_U[[Q_DIAS_U_PARC_TIR]:[V_FUT_U_PCPL-02]], F$5, FALSE)</f>
        <v>#N/A</v>
      </c>
      <c r="H2022" s="20">
        <f t="shared" si="162"/>
        <v>0</v>
      </c>
      <c r="I2022" s="21">
        <f t="shared" si="163"/>
        <v>0</v>
      </c>
      <c r="J2022" s="22" t="e">
        <f>VLOOKUP($A2022, TAB_JUROS_C[[DIAS_CORRIDOS]:[V_FUT_UTEIS]], J$5, FALSE)</f>
        <v>#N/A</v>
      </c>
      <c r="K2022" s="22" t="e">
        <f>VLOOKUP($A2022, TAB_CORRECAO_C[[DIAS_CORRIDOS]:[V_FUT_UTEIS]],K$5, FALSE)</f>
        <v>#N/A</v>
      </c>
      <c r="L2022" s="22" t="e">
        <f>VLOOKUP($A2022, TAB_AMORTIZACAO_C[[DIAS_CORRIDOS]:[V_FUT_UTEIS]], L$5, FALSE)</f>
        <v>#N/A</v>
      </c>
    </row>
    <row r="2023" spans="1:12" hidden="1">
      <c r="A2023" s="19">
        <f t="shared" si="164"/>
        <v>2017</v>
      </c>
      <c r="B2023" s="20">
        <f t="shared" si="160"/>
        <v>0</v>
      </c>
      <c r="C2023" s="21">
        <f t="shared" si="161"/>
        <v>0</v>
      </c>
      <c r="D2023" s="22" t="e">
        <f>VLOOKUP($A2023, TAB_JUROS_U[[Q_DIAS_U_PARC_TIR]:[V_FUT_U_JURS CENARIO]], D$5, FALSE)</f>
        <v>#N/A</v>
      </c>
      <c r="E2023" s="22" t="e">
        <f>VLOOKUP($A2023,TAB_CORRECAO_U[[Q_DIAS_U_PARC_TIR]:[V_FUT_U_CORC-02]],E$5, FALSE)</f>
        <v>#N/A</v>
      </c>
      <c r="F2023" s="22" t="e">
        <f>VLOOKUP($A2023,TAB_AMORTIZACAO_U[[Q_DIAS_U_PARC_TIR]:[V_FUT_U_PCPL-02]], F$5, FALSE)</f>
        <v>#N/A</v>
      </c>
      <c r="H2023" s="20">
        <f t="shared" si="162"/>
        <v>0</v>
      </c>
      <c r="I2023" s="21">
        <f t="shared" si="163"/>
        <v>0</v>
      </c>
      <c r="J2023" s="22" t="e">
        <f>VLOOKUP($A2023, TAB_JUROS_C[[DIAS_CORRIDOS]:[V_FUT_UTEIS]], J$5, FALSE)</f>
        <v>#N/A</v>
      </c>
      <c r="K2023" s="22" t="e">
        <f>VLOOKUP($A2023, TAB_CORRECAO_C[[DIAS_CORRIDOS]:[V_FUT_UTEIS]],K$5, FALSE)</f>
        <v>#N/A</v>
      </c>
      <c r="L2023" s="22" t="e">
        <f>VLOOKUP($A2023, TAB_AMORTIZACAO_C[[DIAS_CORRIDOS]:[V_FUT_UTEIS]], L$5, FALSE)</f>
        <v>#N/A</v>
      </c>
    </row>
    <row r="2024" spans="1:12">
      <c r="A2024" s="19">
        <f t="shared" si="164"/>
        <v>2018</v>
      </c>
      <c r="B2024" s="20">
        <f t="shared" si="160"/>
        <v>297.94015134413689</v>
      </c>
      <c r="C2024" s="21">
        <f t="shared" si="161"/>
        <v>297.94015134413689</v>
      </c>
      <c r="D2024" s="22">
        <f>VLOOKUP($A2024, TAB_JUROS_U[[Q_DIAS_U_PARC_TIR]:[V_FUT_U_JURS CENARIO]], D$5, FALSE)</f>
        <v>15.60395107412775</v>
      </c>
      <c r="E2024" s="22">
        <f>VLOOKUP($A2024,TAB_CORRECAO_U[[Q_DIAS_U_PARC_TIR]:[V_FUT_U_CORC-02]],E$5, FALSE)</f>
        <v>96.140412212317543</v>
      </c>
      <c r="F2024" s="22">
        <f>VLOOKUP($A2024,TAB_AMORTIZACAO_U[[Q_DIAS_U_PARC_TIR]:[V_FUT_U_PCPL-02]], F$5, FALSE)</f>
        <v>186.1957880576916</v>
      </c>
      <c r="H2024" s="20">
        <f t="shared" si="162"/>
        <v>0</v>
      </c>
      <c r="I2024" s="21">
        <f t="shared" si="163"/>
        <v>0</v>
      </c>
      <c r="J2024" s="22" t="e">
        <f>VLOOKUP($A2024, TAB_JUROS_C[[DIAS_CORRIDOS]:[V_FUT_UTEIS]], J$5, FALSE)</f>
        <v>#N/A</v>
      </c>
      <c r="K2024" s="22" t="e">
        <f>VLOOKUP($A2024, TAB_CORRECAO_C[[DIAS_CORRIDOS]:[V_FUT_UTEIS]],K$5, FALSE)</f>
        <v>#N/A</v>
      </c>
      <c r="L2024" s="22" t="e">
        <f>VLOOKUP($A2024, TAB_AMORTIZACAO_C[[DIAS_CORRIDOS]:[V_FUT_UTEIS]], L$5, FALSE)</f>
        <v>#N/A</v>
      </c>
    </row>
    <row r="2025" spans="1:12" hidden="1">
      <c r="A2025" s="19">
        <f t="shared" si="164"/>
        <v>2019</v>
      </c>
      <c r="B2025" s="20">
        <f t="shared" si="160"/>
        <v>0</v>
      </c>
      <c r="C2025" s="21">
        <f t="shared" si="161"/>
        <v>0</v>
      </c>
      <c r="D2025" s="22" t="e">
        <f>VLOOKUP($A2025, TAB_JUROS_U[[Q_DIAS_U_PARC_TIR]:[V_FUT_U_JURS CENARIO]], D$5, FALSE)</f>
        <v>#N/A</v>
      </c>
      <c r="E2025" s="22" t="e">
        <f>VLOOKUP($A2025,TAB_CORRECAO_U[[Q_DIAS_U_PARC_TIR]:[V_FUT_U_CORC-02]],E$5, FALSE)</f>
        <v>#N/A</v>
      </c>
      <c r="F2025" s="22" t="e">
        <f>VLOOKUP($A2025,TAB_AMORTIZACAO_U[[Q_DIAS_U_PARC_TIR]:[V_FUT_U_PCPL-02]], F$5, FALSE)</f>
        <v>#N/A</v>
      </c>
      <c r="H2025" s="20">
        <f t="shared" si="162"/>
        <v>586.22049012454295</v>
      </c>
      <c r="I2025" s="21">
        <f t="shared" si="163"/>
        <v>586.22049012454295</v>
      </c>
      <c r="J2025" s="22">
        <f>VLOOKUP($A2025, TAB_JUROS_C[[DIAS_CORRIDOS]:[V_FUT_UTEIS]], J$5, FALSE)</f>
        <v>41.164713862810956</v>
      </c>
      <c r="K2025" s="22">
        <f>VLOOKUP($A2025, TAB_CORRECAO_C[[DIAS_CORRIDOS]:[V_FUT_UTEIS]],K$5, FALSE)</f>
        <v>248.8038543378774</v>
      </c>
      <c r="L2025" s="22">
        <f>VLOOKUP($A2025, TAB_AMORTIZACAO_C[[DIAS_CORRIDOS]:[V_FUT_UTEIS]], L$5, FALSE)</f>
        <v>296.25192192385452</v>
      </c>
    </row>
    <row r="2026" spans="1:12" hidden="1">
      <c r="A2026" s="19">
        <f t="shared" si="164"/>
        <v>2020</v>
      </c>
      <c r="B2026" s="20">
        <f t="shared" si="160"/>
        <v>0</v>
      </c>
      <c r="C2026" s="21">
        <f t="shared" si="161"/>
        <v>0</v>
      </c>
      <c r="D2026" s="22" t="e">
        <f>VLOOKUP($A2026, TAB_JUROS_U[[Q_DIAS_U_PARC_TIR]:[V_FUT_U_JURS CENARIO]], D$5, FALSE)</f>
        <v>#N/A</v>
      </c>
      <c r="E2026" s="22" t="e">
        <f>VLOOKUP($A2026,TAB_CORRECAO_U[[Q_DIAS_U_PARC_TIR]:[V_FUT_U_CORC-02]],E$5, FALSE)</f>
        <v>#N/A</v>
      </c>
      <c r="F2026" s="22" t="e">
        <f>VLOOKUP($A2026,TAB_AMORTIZACAO_U[[Q_DIAS_U_PARC_TIR]:[V_FUT_U_PCPL-02]], F$5, FALSE)</f>
        <v>#N/A</v>
      </c>
      <c r="H2026" s="20">
        <f t="shared" si="162"/>
        <v>0</v>
      </c>
      <c r="I2026" s="21">
        <f t="shared" si="163"/>
        <v>0</v>
      </c>
      <c r="J2026" s="22" t="e">
        <f>VLOOKUP($A2026, TAB_JUROS_C[[DIAS_CORRIDOS]:[V_FUT_UTEIS]], J$5, FALSE)</f>
        <v>#N/A</v>
      </c>
      <c r="K2026" s="22" t="e">
        <f>VLOOKUP($A2026, TAB_CORRECAO_C[[DIAS_CORRIDOS]:[V_FUT_UTEIS]],K$5, FALSE)</f>
        <v>#N/A</v>
      </c>
      <c r="L2026" s="22" t="e">
        <f>VLOOKUP($A2026, TAB_AMORTIZACAO_C[[DIAS_CORRIDOS]:[V_FUT_UTEIS]], L$5, FALSE)</f>
        <v>#N/A</v>
      </c>
    </row>
    <row r="2027" spans="1:12" hidden="1">
      <c r="A2027" s="19">
        <f t="shared" si="164"/>
        <v>2021</v>
      </c>
      <c r="B2027" s="20">
        <f t="shared" si="160"/>
        <v>0</v>
      </c>
      <c r="C2027" s="21">
        <f t="shared" si="161"/>
        <v>0</v>
      </c>
      <c r="D2027" s="22" t="e">
        <f>VLOOKUP($A2027, TAB_JUROS_U[[Q_DIAS_U_PARC_TIR]:[V_FUT_U_JURS CENARIO]], D$5, FALSE)</f>
        <v>#N/A</v>
      </c>
      <c r="E2027" s="22" t="e">
        <f>VLOOKUP($A2027,TAB_CORRECAO_U[[Q_DIAS_U_PARC_TIR]:[V_FUT_U_CORC-02]],E$5, FALSE)</f>
        <v>#N/A</v>
      </c>
      <c r="F2027" s="22" t="e">
        <f>VLOOKUP($A2027,TAB_AMORTIZACAO_U[[Q_DIAS_U_PARC_TIR]:[V_FUT_U_PCPL-02]], F$5, FALSE)</f>
        <v>#N/A</v>
      </c>
      <c r="H2027" s="20">
        <f t="shared" si="162"/>
        <v>0</v>
      </c>
      <c r="I2027" s="21">
        <f t="shared" si="163"/>
        <v>0</v>
      </c>
      <c r="J2027" s="22" t="e">
        <f>VLOOKUP($A2027, TAB_JUROS_C[[DIAS_CORRIDOS]:[V_FUT_UTEIS]], J$5, FALSE)</f>
        <v>#N/A</v>
      </c>
      <c r="K2027" s="22" t="e">
        <f>VLOOKUP($A2027, TAB_CORRECAO_C[[DIAS_CORRIDOS]:[V_FUT_UTEIS]],K$5, FALSE)</f>
        <v>#N/A</v>
      </c>
      <c r="L2027" s="22" t="e">
        <f>VLOOKUP($A2027, TAB_AMORTIZACAO_C[[DIAS_CORRIDOS]:[V_FUT_UTEIS]], L$5, FALSE)</f>
        <v>#N/A</v>
      </c>
    </row>
    <row r="2028" spans="1:12" hidden="1">
      <c r="A2028" s="19">
        <f t="shared" si="164"/>
        <v>2022</v>
      </c>
      <c r="B2028" s="20">
        <f t="shared" si="160"/>
        <v>0</v>
      </c>
      <c r="C2028" s="21">
        <f t="shared" si="161"/>
        <v>0</v>
      </c>
      <c r="D2028" s="22" t="e">
        <f>VLOOKUP($A2028, TAB_JUROS_U[[Q_DIAS_U_PARC_TIR]:[V_FUT_U_JURS CENARIO]], D$5, FALSE)</f>
        <v>#N/A</v>
      </c>
      <c r="E2028" s="22" t="e">
        <f>VLOOKUP($A2028,TAB_CORRECAO_U[[Q_DIAS_U_PARC_TIR]:[V_FUT_U_CORC-02]],E$5, FALSE)</f>
        <v>#N/A</v>
      </c>
      <c r="F2028" s="22" t="e">
        <f>VLOOKUP($A2028,TAB_AMORTIZACAO_U[[Q_DIAS_U_PARC_TIR]:[V_FUT_U_PCPL-02]], F$5, FALSE)</f>
        <v>#N/A</v>
      </c>
      <c r="H2028" s="20">
        <f t="shared" si="162"/>
        <v>0</v>
      </c>
      <c r="I2028" s="21">
        <f t="shared" si="163"/>
        <v>0</v>
      </c>
      <c r="J2028" s="22" t="e">
        <f>VLOOKUP($A2028, TAB_JUROS_C[[DIAS_CORRIDOS]:[V_FUT_UTEIS]], J$5, FALSE)</f>
        <v>#N/A</v>
      </c>
      <c r="K2028" s="22" t="e">
        <f>VLOOKUP($A2028, TAB_CORRECAO_C[[DIAS_CORRIDOS]:[V_FUT_UTEIS]],K$5, FALSE)</f>
        <v>#N/A</v>
      </c>
      <c r="L2028" s="22" t="e">
        <f>VLOOKUP($A2028, TAB_AMORTIZACAO_C[[DIAS_CORRIDOS]:[V_FUT_UTEIS]], L$5, FALSE)</f>
        <v>#N/A</v>
      </c>
    </row>
    <row r="2029" spans="1:12" hidden="1">
      <c r="A2029" s="19">
        <f t="shared" si="164"/>
        <v>2023</v>
      </c>
      <c r="B2029" s="20">
        <f t="shared" si="160"/>
        <v>0</v>
      </c>
      <c r="C2029" s="21">
        <f t="shared" si="161"/>
        <v>0</v>
      </c>
      <c r="D2029" s="22" t="e">
        <f>VLOOKUP($A2029, TAB_JUROS_U[[Q_DIAS_U_PARC_TIR]:[V_FUT_U_JURS CENARIO]], D$5, FALSE)</f>
        <v>#N/A</v>
      </c>
      <c r="E2029" s="22" t="e">
        <f>VLOOKUP($A2029,TAB_CORRECAO_U[[Q_DIAS_U_PARC_TIR]:[V_FUT_U_CORC-02]],E$5, FALSE)</f>
        <v>#N/A</v>
      </c>
      <c r="F2029" s="22" t="e">
        <f>VLOOKUP($A2029,TAB_AMORTIZACAO_U[[Q_DIAS_U_PARC_TIR]:[V_FUT_U_PCPL-02]], F$5, FALSE)</f>
        <v>#N/A</v>
      </c>
      <c r="H2029" s="20">
        <f t="shared" si="162"/>
        <v>0</v>
      </c>
      <c r="I2029" s="21">
        <f t="shared" si="163"/>
        <v>0</v>
      </c>
      <c r="J2029" s="22" t="e">
        <f>VLOOKUP($A2029, TAB_JUROS_C[[DIAS_CORRIDOS]:[V_FUT_UTEIS]], J$5, FALSE)</f>
        <v>#N/A</v>
      </c>
      <c r="K2029" s="22" t="e">
        <f>VLOOKUP($A2029, TAB_CORRECAO_C[[DIAS_CORRIDOS]:[V_FUT_UTEIS]],K$5, FALSE)</f>
        <v>#N/A</v>
      </c>
      <c r="L2029" s="22" t="e">
        <f>VLOOKUP($A2029, TAB_AMORTIZACAO_C[[DIAS_CORRIDOS]:[V_FUT_UTEIS]], L$5, FALSE)</f>
        <v>#N/A</v>
      </c>
    </row>
    <row r="2030" spans="1:12" hidden="1">
      <c r="A2030" s="19">
        <f t="shared" si="164"/>
        <v>2024</v>
      </c>
      <c r="B2030" s="20">
        <f t="shared" si="160"/>
        <v>0</v>
      </c>
      <c r="C2030" s="21">
        <f t="shared" si="161"/>
        <v>0</v>
      </c>
      <c r="D2030" s="22" t="e">
        <f>VLOOKUP($A2030, TAB_JUROS_U[[Q_DIAS_U_PARC_TIR]:[V_FUT_U_JURS CENARIO]], D$5, FALSE)</f>
        <v>#N/A</v>
      </c>
      <c r="E2030" s="22" t="e">
        <f>VLOOKUP($A2030,TAB_CORRECAO_U[[Q_DIAS_U_PARC_TIR]:[V_FUT_U_CORC-02]],E$5, FALSE)</f>
        <v>#N/A</v>
      </c>
      <c r="F2030" s="22" t="e">
        <f>VLOOKUP($A2030,TAB_AMORTIZACAO_U[[Q_DIAS_U_PARC_TIR]:[V_FUT_U_PCPL-02]], F$5, FALSE)</f>
        <v>#N/A</v>
      </c>
      <c r="H2030" s="20">
        <f t="shared" si="162"/>
        <v>0</v>
      </c>
      <c r="I2030" s="21">
        <f t="shared" si="163"/>
        <v>0</v>
      </c>
      <c r="J2030" s="22" t="e">
        <f>VLOOKUP($A2030, TAB_JUROS_C[[DIAS_CORRIDOS]:[V_FUT_UTEIS]], J$5, FALSE)</f>
        <v>#N/A</v>
      </c>
      <c r="K2030" s="22" t="e">
        <f>VLOOKUP($A2030, TAB_CORRECAO_C[[DIAS_CORRIDOS]:[V_FUT_UTEIS]],K$5, FALSE)</f>
        <v>#N/A</v>
      </c>
      <c r="L2030" s="22" t="e">
        <f>VLOOKUP($A2030, TAB_AMORTIZACAO_C[[DIAS_CORRIDOS]:[V_FUT_UTEIS]], L$5, FALSE)</f>
        <v>#N/A</v>
      </c>
    </row>
    <row r="2031" spans="1:12" hidden="1">
      <c r="A2031" s="19">
        <f t="shared" si="164"/>
        <v>2025</v>
      </c>
      <c r="B2031" s="20">
        <f t="shared" si="160"/>
        <v>0</v>
      </c>
      <c r="C2031" s="21">
        <f t="shared" si="161"/>
        <v>0</v>
      </c>
      <c r="D2031" s="22" t="e">
        <f>VLOOKUP($A2031, TAB_JUROS_U[[Q_DIAS_U_PARC_TIR]:[V_FUT_U_JURS CENARIO]], D$5, FALSE)</f>
        <v>#N/A</v>
      </c>
      <c r="E2031" s="22" t="e">
        <f>VLOOKUP($A2031,TAB_CORRECAO_U[[Q_DIAS_U_PARC_TIR]:[V_FUT_U_CORC-02]],E$5, FALSE)</f>
        <v>#N/A</v>
      </c>
      <c r="F2031" s="22" t="e">
        <f>VLOOKUP($A2031,TAB_AMORTIZACAO_U[[Q_DIAS_U_PARC_TIR]:[V_FUT_U_PCPL-02]], F$5, FALSE)</f>
        <v>#N/A</v>
      </c>
      <c r="H2031" s="20">
        <f t="shared" si="162"/>
        <v>0</v>
      </c>
      <c r="I2031" s="21">
        <f t="shared" si="163"/>
        <v>0</v>
      </c>
      <c r="J2031" s="22" t="e">
        <f>VLOOKUP($A2031, TAB_JUROS_C[[DIAS_CORRIDOS]:[V_FUT_UTEIS]], J$5, FALSE)</f>
        <v>#N/A</v>
      </c>
      <c r="K2031" s="22" t="e">
        <f>VLOOKUP($A2031, TAB_CORRECAO_C[[DIAS_CORRIDOS]:[V_FUT_UTEIS]],K$5, FALSE)</f>
        <v>#N/A</v>
      </c>
      <c r="L2031" s="22" t="e">
        <f>VLOOKUP($A2031, TAB_AMORTIZACAO_C[[DIAS_CORRIDOS]:[V_FUT_UTEIS]], L$5, FALSE)</f>
        <v>#N/A</v>
      </c>
    </row>
    <row r="2032" spans="1:12" hidden="1">
      <c r="A2032" s="19">
        <f t="shared" si="164"/>
        <v>2026</v>
      </c>
      <c r="B2032" s="20">
        <f t="shared" si="160"/>
        <v>0</v>
      </c>
      <c r="C2032" s="21">
        <f t="shared" si="161"/>
        <v>0</v>
      </c>
      <c r="D2032" s="22" t="e">
        <f>VLOOKUP($A2032, TAB_JUROS_U[[Q_DIAS_U_PARC_TIR]:[V_FUT_U_JURS CENARIO]], D$5, FALSE)</f>
        <v>#N/A</v>
      </c>
      <c r="E2032" s="22" t="e">
        <f>VLOOKUP($A2032,TAB_CORRECAO_U[[Q_DIAS_U_PARC_TIR]:[V_FUT_U_CORC-02]],E$5, FALSE)</f>
        <v>#N/A</v>
      </c>
      <c r="F2032" s="22" t="e">
        <f>VLOOKUP($A2032,TAB_AMORTIZACAO_U[[Q_DIAS_U_PARC_TIR]:[V_FUT_U_PCPL-02]], F$5, FALSE)</f>
        <v>#N/A</v>
      </c>
      <c r="H2032" s="20">
        <f t="shared" si="162"/>
        <v>0</v>
      </c>
      <c r="I2032" s="21">
        <f t="shared" si="163"/>
        <v>0</v>
      </c>
      <c r="J2032" s="22" t="e">
        <f>VLOOKUP($A2032, TAB_JUROS_C[[DIAS_CORRIDOS]:[V_FUT_UTEIS]], J$5, FALSE)</f>
        <v>#N/A</v>
      </c>
      <c r="K2032" s="22" t="e">
        <f>VLOOKUP($A2032, TAB_CORRECAO_C[[DIAS_CORRIDOS]:[V_FUT_UTEIS]],K$5, FALSE)</f>
        <v>#N/A</v>
      </c>
      <c r="L2032" s="22" t="e">
        <f>VLOOKUP($A2032, TAB_AMORTIZACAO_C[[DIAS_CORRIDOS]:[V_FUT_UTEIS]], L$5, FALSE)</f>
        <v>#N/A</v>
      </c>
    </row>
    <row r="2033" spans="1:12" hidden="1">
      <c r="A2033" s="19">
        <f t="shared" si="164"/>
        <v>2027</v>
      </c>
      <c r="B2033" s="20">
        <f t="shared" si="160"/>
        <v>0</v>
      </c>
      <c r="C2033" s="21">
        <f t="shared" si="161"/>
        <v>0</v>
      </c>
      <c r="D2033" s="22" t="e">
        <f>VLOOKUP($A2033, TAB_JUROS_U[[Q_DIAS_U_PARC_TIR]:[V_FUT_U_JURS CENARIO]], D$5, FALSE)</f>
        <v>#N/A</v>
      </c>
      <c r="E2033" s="22" t="e">
        <f>VLOOKUP($A2033,TAB_CORRECAO_U[[Q_DIAS_U_PARC_TIR]:[V_FUT_U_CORC-02]],E$5, FALSE)</f>
        <v>#N/A</v>
      </c>
      <c r="F2033" s="22" t="e">
        <f>VLOOKUP($A2033,TAB_AMORTIZACAO_U[[Q_DIAS_U_PARC_TIR]:[V_FUT_U_PCPL-02]], F$5, FALSE)</f>
        <v>#N/A</v>
      </c>
      <c r="H2033" s="20">
        <f t="shared" si="162"/>
        <v>0</v>
      </c>
      <c r="I2033" s="21">
        <f t="shared" si="163"/>
        <v>0</v>
      </c>
      <c r="J2033" s="22" t="e">
        <f>VLOOKUP($A2033, TAB_JUROS_C[[DIAS_CORRIDOS]:[V_FUT_UTEIS]], J$5, FALSE)</f>
        <v>#N/A</v>
      </c>
      <c r="K2033" s="22" t="e">
        <f>VLOOKUP($A2033, TAB_CORRECAO_C[[DIAS_CORRIDOS]:[V_FUT_UTEIS]],K$5, FALSE)</f>
        <v>#N/A</v>
      </c>
      <c r="L2033" s="22" t="e">
        <f>VLOOKUP($A2033, TAB_AMORTIZACAO_C[[DIAS_CORRIDOS]:[V_FUT_UTEIS]], L$5, FALSE)</f>
        <v>#N/A</v>
      </c>
    </row>
    <row r="2034" spans="1:12" hidden="1">
      <c r="A2034" s="19">
        <f t="shared" si="164"/>
        <v>2028</v>
      </c>
      <c r="B2034" s="20">
        <f t="shared" si="160"/>
        <v>0</v>
      </c>
      <c r="C2034" s="21">
        <f t="shared" si="161"/>
        <v>0</v>
      </c>
      <c r="D2034" s="22" t="e">
        <f>VLOOKUP($A2034, TAB_JUROS_U[[Q_DIAS_U_PARC_TIR]:[V_FUT_U_JURS CENARIO]], D$5, FALSE)</f>
        <v>#N/A</v>
      </c>
      <c r="E2034" s="22" t="e">
        <f>VLOOKUP($A2034,TAB_CORRECAO_U[[Q_DIAS_U_PARC_TIR]:[V_FUT_U_CORC-02]],E$5, FALSE)</f>
        <v>#N/A</v>
      </c>
      <c r="F2034" s="22" t="e">
        <f>VLOOKUP($A2034,TAB_AMORTIZACAO_U[[Q_DIAS_U_PARC_TIR]:[V_FUT_U_PCPL-02]], F$5, FALSE)</f>
        <v>#N/A</v>
      </c>
      <c r="H2034" s="20">
        <f t="shared" si="162"/>
        <v>0</v>
      </c>
      <c r="I2034" s="21">
        <f t="shared" si="163"/>
        <v>0</v>
      </c>
      <c r="J2034" s="22" t="e">
        <f>VLOOKUP($A2034, TAB_JUROS_C[[DIAS_CORRIDOS]:[V_FUT_UTEIS]], J$5, FALSE)</f>
        <v>#N/A</v>
      </c>
      <c r="K2034" s="22" t="e">
        <f>VLOOKUP($A2034, TAB_CORRECAO_C[[DIAS_CORRIDOS]:[V_FUT_UTEIS]],K$5, FALSE)</f>
        <v>#N/A</v>
      </c>
      <c r="L2034" s="22" t="e">
        <f>VLOOKUP($A2034, TAB_AMORTIZACAO_C[[DIAS_CORRIDOS]:[V_FUT_UTEIS]], L$5, FALSE)</f>
        <v>#N/A</v>
      </c>
    </row>
    <row r="2035" spans="1:12" hidden="1">
      <c r="A2035" s="19">
        <f t="shared" si="164"/>
        <v>2029</v>
      </c>
      <c r="B2035" s="20">
        <f t="shared" si="160"/>
        <v>0</v>
      </c>
      <c r="C2035" s="21">
        <f t="shared" si="161"/>
        <v>0</v>
      </c>
      <c r="D2035" s="22" t="e">
        <f>VLOOKUP($A2035, TAB_JUROS_U[[Q_DIAS_U_PARC_TIR]:[V_FUT_U_JURS CENARIO]], D$5, FALSE)</f>
        <v>#N/A</v>
      </c>
      <c r="E2035" s="22" t="e">
        <f>VLOOKUP($A2035,TAB_CORRECAO_U[[Q_DIAS_U_PARC_TIR]:[V_FUT_U_CORC-02]],E$5, FALSE)</f>
        <v>#N/A</v>
      </c>
      <c r="F2035" s="22" t="e">
        <f>VLOOKUP($A2035,TAB_AMORTIZACAO_U[[Q_DIAS_U_PARC_TIR]:[V_FUT_U_PCPL-02]], F$5, FALSE)</f>
        <v>#N/A</v>
      </c>
      <c r="H2035" s="20">
        <f t="shared" si="162"/>
        <v>0</v>
      </c>
      <c r="I2035" s="21">
        <f t="shared" si="163"/>
        <v>0</v>
      </c>
      <c r="J2035" s="22" t="e">
        <f>VLOOKUP($A2035, TAB_JUROS_C[[DIAS_CORRIDOS]:[V_FUT_UTEIS]], J$5, FALSE)</f>
        <v>#N/A</v>
      </c>
      <c r="K2035" s="22" t="e">
        <f>VLOOKUP($A2035, TAB_CORRECAO_C[[DIAS_CORRIDOS]:[V_FUT_UTEIS]],K$5, FALSE)</f>
        <v>#N/A</v>
      </c>
      <c r="L2035" s="22" t="e">
        <f>VLOOKUP($A2035, TAB_AMORTIZACAO_C[[DIAS_CORRIDOS]:[V_FUT_UTEIS]], L$5, FALSE)</f>
        <v>#N/A</v>
      </c>
    </row>
    <row r="2036" spans="1:12" hidden="1">
      <c r="A2036" s="19">
        <f t="shared" si="164"/>
        <v>2030</v>
      </c>
      <c r="B2036" s="20">
        <f t="shared" si="160"/>
        <v>0</v>
      </c>
      <c r="C2036" s="21">
        <f t="shared" si="161"/>
        <v>0</v>
      </c>
      <c r="D2036" s="22" t="e">
        <f>VLOOKUP($A2036, TAB_JUROS_U[[Q_DIAS_U_PARC_TIR]:[V_FUT_U_JURS CENARIO]], D$5, FALSE)</f>
        <v>#N/A</v>
      </c>
      <c r="E2036" s="22" t="e">
        <f>VLOOKUP($A2036,TAB_CORRECAO_U[[Q_DIAS_U_PARC_TIR]:[V_FUT_U_CORC-02]],E$5, FALSE)</f>
        <v>#N/A</v>
      </c>
      <c r="F2036" s="22" t="e">
        <f>VLOOKUP($A2036,TAB_AMORTIZACAO_U[[Q_DIAS_U_PARC_TIR]:[V_FUT_U_PCPL-02]], F$5, FALSE)</f>
        <v>#N/A</v>
      </c>
      <c r="H2036" s="20">
        <f t="shared" si="162"/>
        <v>0</v>
      </c>
      <c r="I2036" s="21">
        <f t="shared" si="163"/>
        <v>0</v>
      </c>
      <c r="J2036" s="22" t="e">
        <f>VLOOKUP($A2036, TAB_JUROS_C[[DIAS_CORRIDOS]:[V_FUT_UTEIS]], J$5, FALSE)</f>
        <v>#N/A</v>
      </c>
      <c r="K2036" s="22" t="e">
        <f>VLOOKUP($A2036, TAB_CORRECAO_C[[DIAS_CORRIDOS]:[V_FUT_UTEIS]],K$5, FALSE)</f>
        <v>#N/A</v>
      </c>
      <c r="L2036" s="22" t="e">
        <f>VLOOKUP($A2036, TAB_AMORTIZACAO_C[[DIAS_CORRIDOS]:[V_FUT_UTEIS]], L$5, FALSE)</f>
        <v>#N/A</v>
      </c>
    </row>
    <row r="2037" spans="1:12" hidden="1">
      <c r="A2037" s="19">
        <f t="shared" si="164"/>
        <v>2031</v>
      </c>
      <c r="B2037" s="20">
        <f t="shared" si="160"/>
        <v>0</v>
      </c>
      <c r="C2037" s="21">
        <f t="shared" si="161"/>
        <v>0</v>
      </c>
      <c r="D2037" s="22" t="e">
        <f>VLOOKUP($A2037, TAB_JUROS_U[[Q_DIAS_U_PARC_TIR]:[V_FUT_U_JURS CENARIO]], D$5, FALSE)</f>
        <v>#N/A</v>
      </c>
      <c r="E2037" s="22" t="e">
        <f>VLOOKUP($A2037,TAB_CORRECAO_U[[Q_DIAS_U_PARC_TIR]:[V_FUT_U_CORC-02]],E$5, FALSE)</f>
        <v>#N/A</v>
      </c>
      <c r="F2037" s="22" t="e">
        <f>VLOOKUP($A2037,TAB_AMORTIZACAO_U[[Q_DIAS_U_PARC_TIR]:[V_FUT_U_PCPL-02]], F$5, FALSE)</f>
        <v>#N/A</v>
      </c>
      <c r="H2037" s="20">
        <f t="shared" si="162"/>
        <v>0</v>
      </c>
      <c r="I2037" s="21">
        <f t="shared" si="163"/>
        <v>0</v>
      </c>
      <c r="J2037" s="22" t="e">
        <f>VLOOKUP($A2037, TAB_JUROS_C[[DIAS_CORRIDOS]:[V_FUT_UTEIS]], J$5, FALSE)</f>
        <v>#N/A</v>
      </c>
      <c r="K2037" s="22" t="e">
        <f>VLOOKUP($A2037, TAB_CORRECAO_C[[DIAS_CORRIDOS]:[V_FUT_UTEIS]],K$5, FALSE)</f>
        <v>#N/A</v>
      </c>
      <c r="L2037" s="22" t="e">
        <f>VLOOKUP($A2037, TAB_AMORTIZACAO_C[[DIAS_CORRIDOS]:[V_FUT_UTEIS]], L$5, FALSE)</f>
        <v>#N/A</v>
      </c>
    </row>
    <row r="2038" spans="1:12" hidden="1">
      <c r="A2038" s="19">
        <f t="shared" si="164"/>
        <v>2032</v>
      </c>
      <c r="B2038" s="20">
        <f t="shared" si="160"/>
        <v>0</v>
      </c>
      <c r="C2038" s="21">
        <f t="shared" si="161"/>
        <v>0</v>
      </c>
      <c r="D2038" s="22" t="e">
        <f>VLOOKUP($A2038, TAB_JUROS_U[[Q_DIAS_U_PARC_TIR]:[V_FUT_U_JURS CENARIO]], D$5, FALSE)</f>
        <v>#N/A</v>
      </c>
      <c r="E2038" s="22" t="e">
        <f>VLOOKUP($A2038,TAB_CORRECAO_U[[Q_DIAS_U_PARC_TIR]:[V_FUT_U_CORC-02]],E$5, FALSE)</f>
        <v>#N/A</v>
      </c>
      <c r="F2038" s="22" t="e">
        <f>VLOOKUP($A2038,TAB_AMORTIZACAO_U[[Q_DIAS_U_PARC_TIR]:[V_FUT_U_PCPL-02]], F$5, FALSE)</f>
        <v>#N/A</v>
      </c>
      <c r="H2038" s="20">
        <f t="shared" si="162"/>
        <v>0</v>
      </c>
      <c r="I2038" s="21">
        <f t="shared" si="163"/>
        <v>0</v>
      </c>
      <c r="J2038" s="22" t="e">
        <f>VLOOKUP($A2038, TAB_JUROS_C[[DIAS_CORRIDOS]:[V_FUT_UTEIS]], J$5, FALSE)</f>
        <v>#N/A</v>
      </c>
      <c r="K2038" s="22" t="e">
        <f>VLOOKUP($A2038, TAB_CORRECAO_C[[DIAS_CORRIDOS]:[V_FUT_UTEIS]],K$5, FALSE)</f>
        <v>#N/A</v>
      </c>
      <c r="L2038" s="22" t="e">
        <f>VLOOKUP($A2038, TAB_AMORTIZACAO_C[[DIAS_CORRIDOS]:[V_FUT_UTEIS]], L$5, FALSE)</f>
        <v>#N/A</v>
      </c>
    </row>
    <row r="2039" spans="1:12" hidden="1">
      <c r="A2039" s="19">
        <f t="shared" si="164"/>
        <v>2033</v>
      </c>
      <c r="B2039" s="20">
        <f t="shared" si="160"/>
        <v>0</v>
      </c>
      <c r="C2039" s="21">
        <f t="shared" si="161"/>
        <v>0</v>
      </c>
      <c r="D2039" s="22" t="e">
        <f>VLOOKUP($A2039, TAB_JUROS_U[[Q_DIAS_U_PARC_TIR]:[V_FUT_U_JURS CENARIO]], D$5, FALSE)</f>
        <v>#N/A</v>
      </c>
      <c r="E2039" s="22" t="e">
        <f>VLOOKUP($A2039,TAB_CORRECAO_U[[Q_DIAS_U_PARC_TIR]:[V_FUT_U_CORC-02]],E$5, FALSE)</f>
        <v>#N/A</v>
      </c>
      <c r="F2039" s="22" t="e">
        <f>VLOOKUP($A2039,TAB_AMORTIZACAO_U[[Q_DIAS_U_PARC_TIR]:[V_FUT_U_PCPL-02]], F$5, FALSE)</f>
        <v>#N/A</v>
      </c>
      <c r="H2039" s="20">
        <f t="shared" si="162"/>
        <v>0</v>
      </c>
      <c r="I2039" s="21">
        <f t="shared" si="163"/>
        <v>0</v>
      </c>
      <c r="J2039" s="22" t="e">
        <f>VLOOKUP($A2039, TAB_JUROS_C[[DIAS_CORRIDOS]:[V_FUT_UTEIS]], J$5, FALSE)</f>
        <v>#N/A</v>
      </c>
      <c r="K2039" s="22" t="e">
        <f>VLOOKUP($A2039, TAB_CORRECAO_C[[DIAS_CORRIDOS]:[V_FUT_UTEIS]],K$5, FALSE)</f>
        <v>#N/A</v>
      </c>
      <c r="L2039" s="22" t="e">
        <f>VLOOKUP($A2039, TAB_AMORTIZACAO_C[[DIAS_CORRIDOS]:[V_FUT_UTEIS]], L$5, FALSE)</f>
        <v>#N/A</v>
      </c>
    </row>
    <row r="2040" spans="1:12" hidden="1">
      <c r="A2040" s="19">
        <f t="shared" si="164"/>
        <v>2034</v>
      </c>
      <c r="B2040" s="20">
        <f t="shared" si="160"/>
        <v>0</v>
      </c>
      <c r="C2040" s="21">
        <f t="shared" si="161"/>
        <v>0</v>
      </c>
      <c r="D2040" s="22" t="e">
        <f>VLOOKUP($A2040, TAB_JUROS_U[[Q_DIAS_U_PARC_TIR]:[V_FUT_U_JURS CENARIO]], D$5, FALSE)</f>
        <v>#N/A</v>
      </c>
      <c r="E2040" s="22" t="e">
        <f>VLOOKUP($A2040,TAB_CORRECAO_U[[Q_DIAS_U_PARC_TIR]:[V_FUT_U_CORC-02]],E$5, FALSE)</f>
        <v>#N/A</v>
      </c>
      <c r="F2040" s="22" t="e">
        <f>VLOOKUP($A2040,TAB_AMORTIZACAO_U[[Q_DIAS_U_PARC_TIR]:[V_FUT_U_PCPL-02]], F$5, FALSE)</f>
        <v>#N/A</v>
      </c>
      <c r="H2040" s="20">
        <f t="shared" si="162"/>
        <v>0</v>
      </c>
      <c r="I2040" s="21">
        <f t="shared" si="163"/>
        <v>0</v>
      </c>
      <c r="J2040" s="22" t="e">
        <f>VLOOKUP($A2040, TAB_JUROS_C[[DIAS_CORRIDOS]:[V_FUT_UTEIS]], J$5, FALSE)</f>
        <v>#N/A</v>
      </c>
      <c r="K2040" s="22" t="e">
        <f>VLOOKUP($A2040, TAB_CORRECAO_C[[DIAS_CORRIDOS]:[V_FUT_UTEIS]],K$5, FALSE)</f>
        <v>#N/A</v>
      </c>
      <c r="L2040" s="22" t="e">
        <f>VLOOKUP($A2040, TAB_AMORTIZACAO_C[[DIAS_CORRIDOS]:[V_FUT_UTEIS]], L$5, FALSE)</f>
        <v>#N/A</v>
      </c>
    </row>
    <row r="2041" spans="1:12" hidden="1">
      <c r="A2041" s="19">
        <f t="shared" si="164"/>
        <v>2035</v>
      </c>
      <c r="B2041" s="20">
        <f t="shared" si="160"/>
        <v>0</v>
      </c>
      <c r="C2041" s="21">
        <f t="shared" si="161"/>
        <v>0</v>
      </c>
      <c r="D2041" s="22" t="e">
        <f>VLOOKUP($A2041, TAB_JUROS_U[[Q_DIAS_U_PARC_TIR]:[V_FUT_U_JURS CENARIO]], D$5, FALSE)</f>
        <v>#N/A</v>
      </c>
      <c r="E2041" s="22" t="e">
        <f>VLOOKUP($A2041,TAB_CORRECAO_U[[Q_DIAS_U_PARC_TIR]:[V_FUT_U_CORC-02]],E$5, FALSE)</f>
        <v>#N/A</v>
      </c>
      <c r="F2041" s="22" t="e">
        <f>VLOOKUP($A2041,TAB_AMORTIZACAO_U[[Q_DIAS_U_PARC_TIR]:[V_FUT_U_PCPL-02]], F$5, FALSE)</f>
        <v>#N/A</v>
      </c>
      <c r="H2041" s="20">
        <f t="shared" si="162"/>
        <v>0</v>
      </c>
      <c r="I2041" s="21">
        <f t="shared" si="163"/>
        <v>0</v>
      </c>
      <c r="J2041" s="22" t="e">
        <f>VLOOKUP($A2041, TAB_JUROS_C[[DIAS_CORRIDOS]:[V_FUT_UTEIS]], J$5, FALSE)</f>
        <v>#N/A</v>
      </c>
      <c r="K2041" s="22" t="e">
        <f>VLOOKUP($A2041, TAB_CORRECAO_C[[DIAS_CORRIDOS]:[V_FUT_UTEIS]],K$5, FALSE)</f>
        <v>#N/A</v>
      </c>
      <c r="L2041" s="22" t="e">
        <f>VLOOKUP($A2041, TAB_AMORTIZACAO_C[[DIAS_CORRIDOS]:[V_FUT_UTEIS]], L$5, FALSE)</f>
        <v>#N/A</v>
      </c>
    </row>
    <row r="2042" spans="1:12" hidden="1">
      <c r="A2042" s="19">
        <f t="shared" si="164"/>
        <v>2036</v>
      </c>
      <c r="B2042" s="20">
        <f t="shared" si="160"/>
        <v>0</v>
      </c>
      <c r="C2042" s="21">
        <f t="shared" si="161"/>
        <v>0</v>
      </c>
      <c r="D2042" s="22" t="e">
        <f>VLOOKUP($A2042, TAB_JUROS_U[[Q_DIAS_U_PARC_TIR]:[V_FUT_U_JURS CENARIO]], D$5, FALSE)</f>
        <v>#N/A</v>
      </c>
      <c r="E2042" s="22" t="e">
        <f>VLOOKUP($A2042,TAB_CORRECAO_U[[Q_DIAS_U_PARC_TIR]:[V_FUT_U_CORC-02]],E$5, FALSE)</f>
        <v>#N/A</v>
      </c>
      <c r="F2042" s="22" t="e">
        <f>VLOOKUP($A2042,TAB_AMORTIZACAO_U[[Q_DIAS_U_PARC_TIR]:[V_FUT_U_PCPL-02]], F$5, FALSE)</f>
        <v>#N/A</v>
      </c>
      <c r="H2042" s="20">
        <f t="shared" si="162"/>
        <v>0</v>
      </c>
      <c r="I2042" s="21">
        <f t="shared" si="163"/>
        <v>0</v>
      </c>
      <c r="J2042" s="22" t="e">
        <f>VLOOKUP($A2042, TAB_JUROS_C[[DIAS_CORRIDOS]:[V_FUT_UTEIS]], J$5, FALSE)</f>
        <v>#N/A</v>
      </c>
      <c r="K2042" s="22" t="e">
        <f>VLOOKUP($A2042, TAB_CORRECAO_C[[DIAS_CORRIDOS]:[V_FUT_UTEIS]],K$5, FALSE)</f>
        <v>#N/A</v>
      </c>
      <c r="L2042" s="22" t="e">
        <f>VLOOKUP($A2042, TAB_AMORTIZACAO_C[[DIAS_CORRIDOS]:[V_FUT_UTEIS]], L$5, FALSE)</f>
        <v>#N/A</v>
      </c>
    </row>
    <row r="2043" spans="1:12" hidden="1">
      <c r="A2043" s="19">
        <f t="shared" si="164"/>
        <v>2037</v>
      </c>
      <c r="B2043" s="20">
        <f t="shared" si="160"/>
        <v>0</v>
      </c>
      <c r="C2043" s="21">
        <f t="shared" si="161"/>
        <v>0</v>
      </c>
      <c r="D2043" s="22" t="e">
        <f>VLOOKUP($A2043, TAB_JUROS_U[[Q_DIAS_U_PARC_TIR]:[V_FUT_U_JURS CENARIO]], D$5, FALSE)</f>
        <v>#N/A</v>
      </c>
      <c r="E2043" s="22" t="e">
        <f>VLOOKUP($A2043,TAB_CORRECAO_U[[Q_DIAS_U_PARC_TIR]:[V_FUT_U_CORC-02]],E$5, FALSE)</f>
        <v>#N/A</v>
      </c>
      <c r="F2043" s="22" t="e">
        <f>VLOOKUP($A2043,TAB_AMORTIZACAO_U[[Q_DIAS_U_PARC_TIR]:[V_FUT_U_PCPL-02]], F$5, FALSE)</f>
        <v>#N/A</v>
      </c>
      <c r="H2043" s="20">
        <f t="shared" si="162"/>
        <v>0</v>
      </c>
      <c r="I2043" s="21">
        <f t="shared" si="163"/>
        <v>0</v>
      </c>
      <c r="J2043" s="22" t="e">
        <f>VLOOKUP($A2043, TAB_JUROS_C[[DIAS_CORRIDOS]:[V_FUT_UTEIS]], J$5, FALSE)</f>
        <v>#N/A</v>
      </c>
      <c r="K2043" s="22" t="e">
        <f>VLOOKUP($A2043, TAB_CORRECAO_C[[DIAS_CORRIDOS]:[V_FUT_UTEIS]],K$5, FALSE)</f>
        <v>#N/A</v>
      </c>
      <c r="L2043" s="22" t="e">
        <f>VLOOKUP($A2043, TAB_AMORTIZACAO_C[[DIAS_CORRIDOS]:[V_FUT_UTEIS]], L$5, FALSE)</f>
        <v>#N/A</v>
      </c>
    </row>
    <row r="2044" spans="1:12" hidden="1">
      <c r="A2044" s="19">
        <f t="shared" si="164"/>
        <v>2038</v>
      </c>
      <c r="B2044" s="20">
        <f t="shared" si="160"/>
        <v>0</v>
      </c>
      <c r="C2044" s="21">
        <f t="shared" si="161"/>
        <v>0</v>
      </c>
      <c r="D2044" s="22" t="e">
        <f>VLOOKUP($A2044, TAB_JUROS_U[[Q_DIAS_U_PARC_TIR]:[V_FUT_U_JURS CENARIO]], D$5, FALSE)</f>
        <v>#N/A</v>
      </c>
      <c r="E2044" s="22" t="e">
        <f>VLOOKUP($A2044,TAB_CORRECAO_U[[Q_DIAS_U_PARC_TIR]:[V_FUT_U_CORC-02]],E$5, FALSE)</f>
        <v>#N/A</v>
      </c>
      <c r="F2044" s="22" t="e">
        <f>VLOOKUP($A2044,TAB_AMORTIZACAO_U[[Q_DIAS_U_PARC_TIR]:[V_FUT_U_PCPL-02]], F$5, FALSE)</f>
        <v>#N/A</v>
      </c>
      <c r="H2044" s="20">
        <f t="shared" si="162"/>
        <v>0</v>
      </c>
      <c r="I2044" s="21">
        <f t="shared" si="163"/>
        <v>0</v>
      </c>
      <c r="J2044" s="22" t="e">
        <f>VLOOKUP($A2044, TAB_JUROS_C[[DIAS_CORRIDOS]:[V_FUT_UTEIS]], J$5, FALSE)</f>
        <v>#N/A</v>
      </c>
      <c r="K2044" s="22" t="e">
        <f>VLOOKUP($A2044, TAB_CORRECAO_C[[DIAS_CORRIDOS]:[V_FUT_UTEIS]],K$5, FALSE)</f>
        <v>#N/A</v>
      </c>
      <c r="L2044" s="22" t="e">
        <f>VLOOKUP($A2044, TAB_AMORTIZACAO_C[[DIAS_CORRIDOS]:[V_FUT_UTEIS]], L$5, FALSE)</f>
        <v>#N/A</v>
      </c>
    </row>
    <row r="2045" spans="1:12" hidden="1">
      <c r="A2045" s="19">
        <f t="shared" si="164"/>
        <v>2039</v>
      </c>
      <c r="B2045" s="20">
        <f t="shared" si="160"/>
        <v>0</v>
      </c>
      <c r="C2045" s="21">
        <f t="shared" si="161"/>
        <v>0</v>
      </c>
      <c r="D2045" s="22" t="e">
        <f>VLOOKUP($A2045, TAB_JUROS_U[[Q_DIAS_U_PARC_TIR]:[V_FUT_U_JURS CENARIO]], D$5, FALSE)</f>
        <v>#N/A</v>
      </c>
      <c r="E2045" s="22" t="e">
        <f>VLOOKUP($A2045,TAB_CORRECAO_U[[Q_DIAS_U_PARC_TIR]:[V_FUT_U_CORC-02]],E$5, FALSE)</f>
        <v>#N/A</v>
      </c>
      <c r="F2045" s="22" t="e">
        <f>VLOOKUP($A2045,TAB_AMORTIZACAO_U[[Q_DIAS_U_PARC_TIR]:[V_FUT_U_PCPL-02]], F$5, FALSE)</f>
        <v>#N/A</v>
      </c>
      <c r="H2045" s="20">
        <f t="shared" si="162"/>
        <v>0</v>
      </c>
      <c r="I2045" s="21">
        <f t="shared" si="163"/>
        <v>0</v>
      </c>
      <c r="J2045" s="22" t="e">
        <f>VLOOKUP($A2045, TAB_JUROS_C[[DIAS_CORRIDOS]:[V_FUT_UTEIS]], J$5, FALSE)</f>
        <v>#N/A</v>
      </c>
      <c r="K2045" s="22" t="e">
        <f>VLOOKUP($A2045, TAB_CORRECAO_C[[DIAS_CORRIDOS]:[V_FUT_UTEIS]],K$5, FALSE)</f>
        <v>#N/A</v>
      </c>
      <c r="L2045" s="22" t="e">
        <f>VLOOKUP($A2045, TAB_AMORTIZACAO_C[[DIAS_CORRIDOS]:[V_FUT_UTEIS]], L$5, FALSE)</f>
        <v>#N/A</v>
      </c>
    </row>
    <row r="2046" spans="1:12">
      <c r="A2046" s="19">
        <f t="shared" si="164"/>
        <v>2040</v>
      </c>
      <c r="B2046" s="20">
        <f t="shared" si="160"/>
        <v>307.98325404122676</v>
      </c>
      <c r="C2046" s="21">
        <f t="shared" si="161"/>
        <v>307.98325404122676</v>
      </c>
      <c r="D2046" s="22">
        <f>VLOOKUP($A2046, TAB_JUROS_U[[Q_DIAS_U_PARC_TIR]:[V_FUT_U_JURS CENARIO]], D$5, FALSE)</f>
        <v>16.580543541540575</v>
      </c>
      <c r="E2046" s="22">
        <f>VLOOKUP($A2046,TAB_CORRECAO_U[[Q_DIAS_U_PARC_TIR]:[V_FUT_U_CORC-02]],E$5, FALSE)</f>
        <v>111.29775814419052</v>
      </c>
      <c r="F2046" s="22">
        <f>VLOOKUP($A2046,TAB_AMORTIZACAO_U[[Q_DIAS_U_PARC_TIR]:[V_FUT_U_PCPL-02]], F$5, FALSE)</f>
        <v>180.10495235549567</v>
      </c>
      <c r="H2046" s="20">
        <f t="shared" si="162"/>
        <v>0</v>
      </c>
      <c r="I2046" s="21">
        <f t="shared" si="163"/>
        <v>0</v>
      </c>
      <c r="J2046" s="22" t="e">
        <f>VLOOKUP($A2046, TAB_JUROS_C[[DIAS_CORRIDOS]:[V_FUT_UTEIS]], J$5, FALSE)</f>
        <v>#N/A</v>
      </c>
      <c r="K2046" s="22" t="e">
        <f>VLOOKUP($A2046, TAB_CORRECAO_C[[DIAS_CORRIDOS]:[V_FUT_UTEIS]],K$5, FALSE)</f>
        <v>#N/A</v>
      </c>
      <c r="L2046" s="22" t="e">
        <f>VLOOKUP($A2046, TAB_AMORTIZACAO_C[[DIAS_CORRIDOS]:[V_FUT_UTEIS]], L$5, FALSE)</f>
        <v>#N/A</v>
      </c>
    </row>
    <row r="2047" spans="1:12" hidden="1">
      <c r="A2047" s="19">
        <f t="shared" si="164"/>
        <v>2041</v>
      </c>
      <c r="B2047" s="20">
        <f t="shared" si="160"/>
        <v>0</v>
      </c>
      <c r="C2047" s="21">
        <f t="shared" si="161"/>
        <v>0</v>
      </c>
      <c r="D2047" s="22" t="e">
        <f>VLOOKUP($A2047, TAB_JUROS_U[[Q_DIAS_U_PARC_TIR]:[V_FUT_U_JURS CENARIO]], D$5, FALSE)</f>
        <v>#N/A</v>
      </c>
      <c r="E2047" s="22" t="e">
        <f>VLOOKUP($A2047,TAB_CORRECAO_U[[Q_DIAS_U_PARC_TIR]:[V_FUT_U_CORC-02]],E$5, FALSE)</f>
        <v>#N/A</v>
      </c>
      <c r="F2047" s="22" t="e">
        <f>VLOOKUP($A2047,TAB_AMORTIZACAO_U[[Q_DIAS_U_PARC_TIR]:[V_FUT_U_PCPL-02]], F$5, FALSE)</f>
        <v>#N/A</v>
      </c>
      <c r="H2047" s="20">
        <f t="shared" si="162"/>
        <v>0</v>
      </c>
      <c r="I2047" s="21">
        <f t="shared" si="163"/>
        <v>0</v>
      </c>
      <c r="J2047" s="22" t="e">
        <f>VLOOKUP($A2047, TAB_JUROS_C[[DIAS_CORRIDOS]:[V_FUT_UTEIS]], J$5, FALSE)</f>
        <v>#N/A</v>
      </c>
      <c r="K2047" s="22" t="e">
        <f>VLOOKUP($A2047, TAB_CORRECAO_C[[DIAS_CORRIDOS]:[V_FUT_UTEIS]],K$5, FALSE)</f>
        <v>#N/A</v>
      </c>
      <c r="L2047" s="22" t="e">
        <f>VLOOKUP($A2047, TAB_AMORTIZACAO_C[[DIAS_CORRIDOS]:[V_FUT_UTEIS]], L$5, FALSE)</f>
        <v>#N/A</v>
      </c>
    </row>
    <row r="2048" spans="1:12" hidden="1">
      <c r="A2048" s="19">
        <f t="shared" si="164"/>
        <v>2042</v>
      </c>
      <c r="B2048" s="20">
        <f t="shared" si="160"/>
        <v>0</v>
      </c>
      <c r="C2048" s="21">
        <f t="shared" si="161"/>
        <v>0</v>
      </c>
      <c r="D2048" s="22" t="e">
        <f>VLOOKUP($A2048, TAB_JUROS_U[[Q_DIAS_U_PARC_TIR]:[V_FUT_U_JURS CENARIO]], D$5, FALSE)</f>
        <v>#N/A</v>
      </c>
      <c r="E2048" s="22" t="e">
        <f>VLOOKUP($A2048,TAB_CORRECAO_U[[Q_DIAS_U_PARC_TIR]:[V_FUT_U_CORC-02]],E$5, FALSE)</f>
        <v>#N/A</v>
      </c>
      <c r="F2048" s="22" t="e">
        <f>VLOOKUP($A2048,TAB_AMORTIZACAO_U[[Q_DIAS_U_PARC_TIR]:[V_FUT_U_PCPL-02]], F$5, FALSE)</f>
        <v>#N/A</v>
      </c>
      <c r="H2048" s="20">
        <f t="shared" si="162"/>
        <v>0</v>
      </c>
      <c r="I2048" s="21">
        <f t="shared" si="163"/>
        <v>0</v>
      </c>
      <c r="J2048" s="22" t="e">
        <f>VLOOKUP($A2048, TAB_JUROS_C[[DIAS_CORRIDOS]:[V_FUT_UTEIS]], J$5, FALSE)</f>
        <v>#N/A</v>
      </c>
      <c r="K2048" s="22" t="e">
        <f>VLOOKUP($A2048, TAB_CORRECAO_C[[DIAS_CORRIDOS]:[V_FUT_UTEIS]],K$5, FALSE)</f>
        <v>#N/A</v>
      </c>
      <c r="L2048" s="22" t="e">
        <f>VLOOKUP($A2048, TAB_AMORTIZACAO_C[[DIAS_CORRIDOS]:[V_FUT_UTEIS]], L$5, FALSE)</f>
        <v>#N/A</v>
      </c>
    </row>
    <row r="2049" spans="1:12" hidden="1">
      <c r="A2049" s="19">
        <f t="shared" si="164"/>
        <v>2043</v>
      </c>
      <c r="B2049" s="20">
        <f t="shared" si="160"/>
        <v>0</v>
      </c>
      <c r="C2049" s="21">
        <f t="shared" si="161"/>
        <v>0</v>
      </c>
      <c r="D2049" s="22" t="e">
        <f>VLOOKUP($A2049, TAB_JUROS_U[[Q_DIAS_U_PARC_TIR]:[V_FUT_U_JURS CENARIO]], D$5, FALSE)</f>
        <v>#N/A</v>
      </c>
      <c r="E2049" s="22" t="e">
        <f>VLOOKUP($A2049,TAB_CORRECAO_U[[Q_DIAS_U_PARC_TIR]:[V_FUT_U_CORC-02]],E$5, FALSE)</f>
        <v>#N/A</v>
      </c>
      <c r="F2049" s="22" t="e">
        <f>VLOOKUP($A2049,TAB_AMORTIZACAO_U[[Q_DIAS_U_PARC_TIR]:[V_FUT_U_PCPL-02]], F$5, FALSE)</f>
        <v>#N/A</v>
      </c>
      <c r="H2049" s="20">
        <f t="shared" si="162"/>
        <v>0</v>
      </c>
      <c r="I2049" s="21">
        <f t="shared" si="163"/>
        <v>0</v>
      </c>
      <c r="J2049" s="22" t="e">
        <f>VLOOKUP($A2049, TAB_JUROS_C[[DIAS_CORRIDOS]:[V_FUT_UTEIS]], J$5, FALSE)</f>
        <v>#N/A</v>
      </c>
      <c r="K2049" s="22" t="e">
        <f>VLOOKUP($A2049, TAB_CORRECAO_C[[DIAS_CORRIDOS]:[V_FUT_UTEIS]],K$5, FALSE)</f>
        <v>#N/A</v>
      </c>
      <c r="L2049" s="22" t="e">
        <f>VLOOKUP($A2049, TAB_AMORTIZACAO_C[[DIAS_CORRIDOS]:[V_FUT_UTEIS]], L$5, FALSE)</f>
        <v>#N/A</v>
      </c>
    </row>
    <row r="2050" spans="1:12" hidden="1">
      <c r="A2050" s="19">
        <f t="shared" si="164"/>
        <v>2044</v>
      </c>
      <c r="B2050" s="20">
        <f t="shared" si="160"/>
        <v>0</v>
      </c>
      <c r="C2050" s="21">
        <f t="shared" si="161"/>
        <v>0</v>
      </c>
      <c r="D2050" s="22" t="e">
        <f>VLOOKUP($A2050, TAB_JUROS_U[[Q_DIAS_U_PARC_TIR]:[V_FUT_U_JURS CENARIO]], D$5, FALSE)</f>
        <v>#N/A</v>
      </c>
      <c r="E2050" s="22" t="e">
        <f>VLOOKUP($A2050,TAB_CORRECAO_U[[Q_DIAS_U_PARC_TIR]:[V_FUT_U_CORC-02]],E$5, FALSE)</f>
        <v>#N/A</v>
      </c>
      <c r="F2050" s="22" t="e">
        <f>VLOOKUP($A2050,TAB_AMORTIZACAO_U[[Q_DIAS_U_PARC_TIR]:[V_FUT_U_PCPL-02]], F$5, FALSE)</f>
        <v>#N/A</v>
      </c>
      <c r="H2050" s="20">
        <f t="shared" si="162"/>
        <v>0</v>
      </c>
      <c r="I2050" s="21">
        <f t="shared" si="163"/>
        <v>0</v>
      </c>
      <c r="J2050" s="22" t="e">
        <f>VLOOKUP($A2050, TAB_JUROS_C[[DIAS_CORRIDOS]:[V_FUT_UTEIS]], J$5, FALSE)</f>
        <v>#N/A</v>
      </c>
      <c r="K2050" s="22" t="e">
        <f>VLOOKUP($A2050, TAB_CORRECAO_C[[DIAS_CORRIDOS]:[V_FUT_UTEIS]],K$5, FALSE)</f>
        <v>#N/A</v>
      </c>
      <c r="L2050" s="22" t="e">
        <f>VLOOKUP($A2050, TAB_AMORTIZACAO_C[[DIAS_CORRIDOS]:[V_FUT_UTEIS]], L$5, FALSE)</f>
        <v>#N/A</v>
      </c>
    </row>
    <row r="2051" spans="1:12" hidden="1">
      <c r="A2051" s="19">
        <f t="shared" si="164"/>
        <v>2045</v>
      </c>
      <c r="B2051" s="20">
        <f t="shared" si="160"/>
        <v>0</v>
      </c>
      <c r="C2051" s="21">
        <f t="shared" si="161"/>
        <v>0</v>
      </c>
      <c r="D2051" s="22" t="e">
        <f>VLOOKUP($A2051, TAB_JUROS_U[[Q_DIAS_U_PARC_TIR]:[V_FUT_U_JURS CENARIO]], D$5, FALSE)</f>
        <v>#N/A</v>
      </c>
      <c r="E2051" s="22" t="e">
        <f>VLOOKUP($A2051,TAB_CORRECAO_U[[Q_DIAS_U_PARC_TIR]:[V_FUT_U_CORC-02]],E$5, FALSE)</f>
        <v>#N/A</v>
      </c>
      <c r="F2051" s="22" t="e">
        <f>VLOOKUP($A2051,TAB_AMORTIZACAO_U[[Q_DIAS_U_PARC_TIR]:[V_FUT_U_PCPL-02]], F$5, FALSE)</f>
        <v>#N/A</v>
      </c>
      <c r="H2051" s="20">
        <f t="shared" si="162"/>
        <v>0</v>
      </c>
      <c r="I2051" s="21">
        <f t="shared" si="163"/>
        <v>0</v>
      </c>
      <c r="J2051" s="22" t="e">
        <f>VLOOKUP($A2051, TAB_JUROS_C[[DIAS_CORRIDOS]:[V_FUT_UTEIS]], J$5, FALSE)</f>
        <v>#N/A</v>
      </c>
      <c r="K2051" s="22" t="e">
        <f>VLOOKUP($A2051, TAB_CORRECAO_C[[DIAS_CORRIDOS]:[V_FUT_UTEIS]],K$5, FALSE)</f>
        <v>#N/A</v>
      </c>
      <c r="L2051" s="22" t="e">
        <f>VLOOKUP($A2051, TAB_AMORTIZACAO_C[[DIAS_CORRIDOS]:[V_FUT_UTEIS]], L$5, FALSE)</f>
        <v>#N/A</v>
      </c>
    </row>
    <row r="2052" spans="1:12" hidden="1">
      <c r="A2052" s="19">
        <f t="shared" si="164"/>
        <v>2046</v>
      </c>
      <c r="B2052" s="20">
        <f t="shared" si="160"/>
        <v>0</v>
      </c>
      <c r="C2052" s="21">
        <f t="shared" si="161"/>
        <v>0</v>
      </c>
      <c r="D2052" s="22" t="e">
        <f>VLOOKUP($A2052, TAB_JUROS_U[[Q_DIAS_U_PARC_TIR]:[V_FUT_U_JURS CENARIO]], D$5, FALSE)</f>
        <v>#N/A</v>
      </c>
      <c r="E2052" s="22" t="e">
        <f>VLOOKUP($A2052,TAB_CORRECAO_U[[Q_DIAS_U_PARC_TIR]:[V_FUT_U_CORC-02]],E$5, FALSE)</f>
        <v>#N/A</v>
      </c>
      <c r="F2052" s="22" t="e">
        <f>VLOOKUP($A2052,TAB_AMORTIZACAO_U[[Q_DIAS_U_PARC_TIR]:[V_FUT_U_PCPL-02]], F$5, FALSE)</f>
        <v>#N/A</v>
      </c>
      <c r="H2052" s="20">
        <f t="shared" si="162"/>
        <v>0</v>
      </c>
      <c r="I2052" s="21">
        <f t="shared" si="163"/>
        <v>0</v>
      </c>
      <c r="J2052" s="22" t="e">
        <f>VLOOKUP($A2052, TAB_JUROS_C[[DIAS_CORRIDOS]:[V_FUT_UTEIS]], J$5, FALSE)</f>
        <v>#N/A</v>
      </c>
      <c r="K2052" s="22" t="e">
        <f>VLOOKUP($A2052, TAB_CORRECAO_C[[DIAS_CORRIDOS]:[V_FUT_UTEIS]],K$5, FALSE)</f>
        <v>#N/A</v>
      </c>
      <c r="L2052" s="22" t="e">
        <f>VLOOKUP($A2052, TAB_AMORTIZACAO_C[[DIAS_CORRIDOS]:[V_FUT_UTEIS]], L$5, FALSE)</f>
        <v>#N/A</v>
      </c>
    </row>
    <row r="2053" spans="1:12" hidden="1">
      <c r="A2053" s="19">
        <f t="shared" si="164"/>
        <v>2047</v>
      </c>
      <c r="B2053" s="20">
        <f t="shared" si="160"/>
        <v>0</v>
      </c>
      <c r="C2053" s="21">
        <f t="shared" si="161"/>
        <v>0</v>
      </c>
      <c r="D2053" s="22" t="e">
        <f>VLOOKUP($A2053, TAB_JUROS_U[[Q_DIAS_U_PARC_TIR]:[V_FUT_U_JURS CENARIO]], D$5, FALSE)</f>
        <v>#N/A</v>
      </c>
      <c r="E2053" s="22" t="e">
        <f>VLOOKUP($A2053,TAB_CORRECAO_U[[Q_DIAS_U_PARC_TIR]:[V_FUT_U_CORC-02]],E$5, FALSE)</f>
        <v>#N/A</v>
      </c>
      <c r="F2053" s="22" t="e">
        <f>VLOOKUP($A2053,TAB_AMORTIZACAO_U[[Q_DIAS_U_PARC_TIR]:[V_FUT_U_PCPL-02]], F$5, FALSE)</f>
        <v>#N/A</v>
      </c>
      <c r="H2053" s="20">
        <f t="shared" si="162"/>
        <v>0</v>
      </c>
      <c r="I2053" s="21">
        <f t="shared" si="163"/>
        <v>0</v>
      </c>
      <c r="J2053" s="22" t="e">
        <f>VLOOKUP($A2053, TAB_JUROS_C[[DIAS_CORRIDOS]:[V_FUT_UTEIS]], J$5, FALSE)</f>
        <v>#N/A</v>
      </c>
      <c r="K2053" s="22" t="e">
        <f>VLOOKUP($A2053, TAB_CORRECAO_C[[DIAS_CORRIDOS]:[V_FUT_UTEIS]],K$5, FALSE)</f>
        <v>#N/A</v>
      </c>
      <c r="L2053" s="22" t="e">
        <f>VLOOKUP($A2053, TAB_AMORTIZACAO_C[[DIAS_CORRIDOS]:[V_FUT_UTEIS]], L$5, FALSE)</f>
        <v>#N/A</v>
      </c>
    </row>
    <row r="2054" spans="1:12" hidden="1">
      <c r="A2054" s="19">
        <f t="shared" si="164"/>
        <v>2048</v>
      </c>
      <c r="B2054" s="20">
        <f t="shared" si="160"/>
        <v>0</v>
      </c>
      <c r="C2054" s="21">
        <f t="shared" si="161"/>
        <v>0</v>
      </c>
      <c r="D2054" s="22" t="e">
        <f>VLOOKUP($A2054, TAB_JUROS_U[[Q_DIAS_U_PARC_TIR]:[V_FUT_U_JURS CENARIO]], D$5, FALSE)</f>
        <v>#N/A</v>
      </c>
      <c r="E2054" s="22" t="e">
        <f>VLOOKUP($A2054,TAB_CORRECAO_U[[Q_DIAS_U_PARC_TIR]:[V_FUT_U_CORC-02]],E$5, FALSE)</f>
        <v>#N/A</v>
      </c>
      <c r="F2054" s="22" t="e">
        <f>VLOOKUP($A2054,TAB_AMORTIZACAO_U[[Q_DIAS_U_PARC_TIR]:[V_FUT_U_PCPL-02]], F$5, FALSE)</f>
        <v>#N/A</v>
      </c>
      <c r="H2054" s="20">
        <f t="shared" si="162"/>
        <v>0</v>
      </c>
      <c r="I2054" s="21">
        <f t="shared" si="163"/>
        <v>0</v>
      </c>
      <c r="J2054" s="22" t="e">
        <f>VLOOKUP($A2054, TAB_JUROS_C[[DIAS_CORRIDOS]:[V_FUT_UTEIS]], J$5, FALSE)</f>
        <v>#N/A</v>
      </c>
      <c r="K2054" s="22" t="e">
        <f>VLOOKUP($A2054, TAB_CORRECAO_C[[DIAS_CORRIDOS]:[V_FUT_UTEIS]],K$5, FALSE)</f>
        <v>#N/A</v>
      </c>
      <c r="L2054" s="22" t="e">
        <f>VLOOKUP($A2054, TAB_AMORTIZACAO_C[[DIAS_CORRIDOS]:[V_FUT_UTEIS]], L$5, FALSE)</f>
        <v>#N/A</v>
      </c>
    </row>
    <row r="2055" spans="1:12" hidden="1">
      <c r="A2055" s="19">
        <f t="shared" si="164"/>
        <v>2049</v>
      </c>
      <c r="B2055" s="20">
        <f t="shared" si="160"/>
        <v>0</v>
      </c>
      <c r="C2055" s="21">
        <f t="shared" si="161"/>
        <v>0</v>
      </c>
      <c r="D2055" s="22" t="e">
        <f>VLOOKUP($A2055, TAB_JUROS_U[[Q_DIAS_U_PARC_TIR]:[V_FUT_U_JURS CENARIO]], D$5, FALSE)</f>
        <v>#N/A</v>
      </c>
      <c r="E2055" s="22" t="e">
        <f>VLOOKUP($A2055,TAB_CORRECAO_U[[Q_DIAS_U_PARC_TIR]:[V_FUT_U_CORC-02]],E$5, FALSE)</f>
        <v>#N/A</v>
      </c>
      <c r="F2055" s="22" t="e">
        <f>VLOOKUP($A2055,TAB_AMORTIZACAO_U[[Q_DIAS_U_PARC_TIR]:[V_FUT_U_PCPL-02]], F$5, FALSE)</f>
        <v>#N/A</v>
      </c>
      <c r="H2055" s="20">
        <f t="shared" si="162"/>
        <v>0</v>
      </c>
      <c r="I2055" s="21">
        <f t="shared" si="163"/>
        <v>0</v>
      </c>
      <c r="J2055" s="22" t="e">
        <f>VLOOKUP($A2055, TAB_JUROS_C[[DIAS_CORRIDOS]:[V_FUT_UTEIS]], J$5, FALSE)</f>
        <v>#N/A</v>
      </c>
      <c r="K2055" s="22" t="e">
        <f>VLOOKUP($A2055, TAB_CORRECAO_C[[DIAS_CORRIDOS]:[V_FUT_UTEIS]],K$5, FALSE)</f>
        <v>#N/A</v>
      </c>
      <c r="L2055" s="22" t="e">
        <f>VLOOKUP($A2055, TAB_AMORTIZACAO_C[[DIAS_CORRIDOS]:[V_FUT_UTEIS]], L$5, FALSE)</f>
        <v>#N/A</v>
      </c>
    </row>
    <row r="2056" spans="1:12" hidden="1">
      <c r="A2056" s="19">
        <f t="shared" si="164"/>
        <v>2050</v>
      </c>
      <c r="B2056" s="20">
        <f t="shared" si="160"/>
        <v>0</v>
      </c>
      <c r="C2056" s="21">
        <f t="shared" si="161"/>
        <v>0</v>
      </c>
      <c r="D2056" s="22" t="e">
        <f>VLOOKUP($A2056, TAB_JUROS_U[[Q_DIAS_U_PARC_TIR]:[V_FUT_U_JURS CENARIO]], D$5, FALSE)</f>
        <v>#N/A</v>
      </c>
      <c r="E2056" s="22" t="e">
        <f>VLOOKUP($A2056,TAB_CORRECAO_U[[Q_DIAS_U_PARC_TIR]:[V_FUT_U_CORC-02]],E$5, FALSE)</f>
        <v>#N/A</v>
      </c>
      <c r="F2056" s="22" t="e">
        <f>VLOOKUP($A2056,TAB_AMORTIZACAO_U[[Q_DIAS_U_PARC_TIR]:[V_FUT_U_PCPL-02]], F$5, FALSE)</f>
        <v>#N/A</v>
      </c>
      <c r="H2056" s="20">
        <f t="shared" si="162"/>
        <v>0</v>
      </c>
      <c r="I2056" s="21">
        <f t="shared" si="163"/>
        <v>0</v>
      </c>
      <c r="J2056" s="22" t="e">
        <f>VLOOKUP($A2056, TAB_JUROS_C[[DIAS_CORRIDOS]:[V_FUT_UTEIS]], J$5, FALSE)</f>
        <v>#N/A</v>
      </c>
      <c r="K2056" s="22" t="e">
        <f>VLOOKUP($A2056, TAB_CORRECAO_C[[DIAS_CORRIDOS]:[V_FUT_UTEIS]],K$5, FALSE)</f>
        <v>#N/A</v>
      </c>
      <c r="L2056" s="22" t="e">
        <f>VLOOKUP($A2056, TAB_AMORTIZACAO_C[[DIAS_CORRIDOS]:[V_FUT_UTEIS]], L$5, FALSE)</f>
        <v>#N/A</v>
      </c>
    </row>
    <row r="2057" spans="1:12" hidden="1">
      <c r="A2057" s="19">
        <f t="shared" si="164"/>
        <v>2051</v>
      </c>
      <c r="B2057" s="20">
        <f t="shared" ref="B2057:B2120" si="165">IF(ISERROR(C2057), 0, C2057)</f>
        <v>0</v>
      </c>
      <c r="C2057" s="21">
        <f t="shared" ref="C2057:C2120" si="166">SUMIF(D2057:F2057, "&gt;0", D2057:F2057)</f>
        <v>0</v>
      </c>
      <c r="D2057" s="22" t="e">
        <f>VLOOKUP($A2057, TAB_JUROS_U[[Q_DIAS_U_PARC_TIR]:[V_FUT_U_JURS CENARIO]], D$5, FALSE)</f>
        <v>#N/A</v>
      </c>
      <c r="E2057" s="22" t="e">
        <f>VLOOKUP($A2057,TAB_CORRECAO_U[[Q_DIAS_U_PARC_TIR]:[V_FUT_U_CORC-02]],E$5, FALSE)</f>
        <v>#N/A</v>
      </c>
      <c r="F2057" s="22" t="e">
        <f>VLOOKUP($A2057,TAB_AMORTIZACAO_U[[Q_DIAS_U_PARC_TIR]:[V_FUT_U_PCPL-02]], F$5, FALSE)</f>
        <v>#N/A</v>
      </c>
      <c r="H2057" s="20">
        <f t="shared" ref="H2057:H2120" si="167">IF(ISERROR(I2057), 0, I2057)</f>
        <v>582.54246877036235</v>
      </c>
      <c r="I2057" s="21">
        <f t="shared" ref="I2057:I2120" si="168">SUMIF(J2057:L2057, "&gt;0", J2057:L2057)</f>
        <v>582.54246877036235</v>
      </c>
      <c r="J2057" s="22">
        <f>VLOOKUP($A2057, TAB_JUROS_C[[DIAS_CORRIDOS]:[V_FUT_UTEIS]], J$5, FALSE)</f>
        <v>41.951405549027292</v>
      </c>
      <c r="K2057" s="22">
        <f>VLOOKUP($A2057, TAB_CORRECAO_C[[DIAS_CORRIDOS]:[V_FUT_UTEIS]],K$5, FALSE)</f>
        <v>253.58626541552775</v>
      </c>
      <c r="L2057" s="22">
        <f>VLOOKUP($A2057, TAB_AMORTIZACAO_C[[DIAS_CORRIDOS]:[V_FUT_UTEIS]], L$5, FALSE)</f>
        <v>287.00479780580736</v>
      </c>
    </row>
    <row r="2058" spans="1:12" hidden="1">
      <c r="A2058" s="19">
        <f t="shared" ref="A2058:A2121" si="169">A2057+1</f>
        <v>2052</v>
      </c>
      <c r="B2058" s="20">
        <f t="shared" si="165"/>
        <v>0</v>
      </c>
      <c r="C2058" s="21">
        <f t="shared" si="166"/>
        <v>0</v>
      </c>
      <c r="D2058" s="22" t="e">
        <f>VLOOKUP($A2058, TAB_JUROS_U[[Q_DIAS_U_PARC_TIR]:[V_FUT_U_JURS CENARIO]], D$5, FALSE)</f>
        <v>#N/A</v>
      </c>
      <c r="E2058" s="22" t="e">
        <f>VLOOKUP($A2058,TAB_CORRECAO_U[[Q_DIAS_U_PARC_TIR]:[V_FUT_U_CORC-02]],E$5, FALSE)</f>
        <v>#N/A</v>
      </c>
      <c r="F2058" s="22" t="e">
        <f>VLOOKUP($A2058,TAB_AMORTIZACAO_U[[Q_DIAS_U_PARC_TIR]:[V_FUT_U_PCPL-02]], F$5, FALSE)</f>
        <v>#N/A</v>
      </c>
      <c r="H2058" s="20">
        <f t="shared" si="167"/>
        <v>0</v>
      </c>
      <c r="I2058" s="21">
        <f t="shared" si="168"/>
        <v>0</v>
      </c>
      <c r="J2058" s="22" t="e">
        <f>VLOOKUP($A2058, TAB_JUROS_C[[DIAS_CORRIDOS]:[V_FUT_UTEIS]], J$5, FALSE)</f>
        <v>#N/A</v>
      </c>
      <c r="K2058" s="22" t="e">
        <f>VLOOKUP($A2058, TAB_CORRECAO_C[[DIAS_CORRIDOS]:[V_FUT_UTEIS]],K$5, FALSE)</f>
        <v>#N/A</v>
      </c>
      <c r="L2058" s="22" t="e">
        <f>VLOOKUP($A2058, TAB_AMORTIZACAO_C[[DIAS_CORRIDOS]:[V_FUT_UTEIS]], L$5, FALSE)</f>
        <v>#N/A</v>
      </c>
    </row>
    <row r="2059" spans="1:12" hidden="1">
      <c r="A2059" s="19">
        <f t="shared" si="169"/>
        <v>2053</v>
      </c>
      <c r="B2059" s="20">
        <f t="shared" si="165"/>
        <v>0</v>
      </c>
      <c r="C2059" s="21">
        <f t="shared" si="166"/>
        <v>0</v>
      </c>
      <c r="D2059" s="22" t="e">
        <f>VLOOKUP($A2059, TAB_JUROS_U[[Q_DIAS_U_PARC_TIR]:[V_FUT_U_JURS CENARIO]], D$5, FALSE)</f>
        <v>#N/A</v>
      </c>
      <c r="E2059" s="22" t="e">
        <f>VLOOKUP($A2059,TAB_CORRECAO_U[[Q_DIAS_U_PARC_TIR]:[V_FUT_U_CORC-02]],E$5, FALSE)</f>
        <v>#N/A</v>
      </c>
      <c r="F2059" s="22" t="e">
        <f>VLOOKUP($A2059,TAB_AMORTIZACAO_U[[Q_DIAS_U_PARC_TIR]:[V_FUT_U_PCPL-02]], F$5, FALSE)</f>
        <v>#N/A</v>
      </c>
      <c r="H2059" s="20">
        <f t="shared" si="167"/>
        <v>0</v>
      </c>
      <c r="I2059" s="21">
        <f t="shared" si="168"/>
        <v>0</v>
      </c>
      <c r="J2059" s="22" t="e">
        <f>VLOOKUP($A2059, TAB_JUROS_C[[DIAS_CORRIDOS]:[V_FUT_UTEIS]], J$5, FALSE)</f>
        <v>#N/A</v>
      </c>
      <c r="K2059" s="22" t="e">
        <f>VLOOKUP($A2059, TAB_CORRECAO_C[[DIAS_CORRIDOS]:[V_FUT_UTEIS]],K$5, FALSE)</f>
        <v>#N/A</v>
      </c>
      <c r="L2059" s="22" t="e">
        <f>VLOOKUP($A2059, TAB_AMORTIZACAO_C[[DIAS_CORRIDOS]:[V_FUT_UTEIS]], L$5, FALSE)</f>
        <v>#N/A</v>
      </c>
    </row>
    <row r="2060" spans="1:12" hidden="1">
      <c r="A2060" s="19">
        <f t="shared" si="169"/>
        <v>2054</v>
      </c>
      <c r="B2060" s="20">
        <f t="shared" si="165"/>
        <v>0</v>
      </c>
      <c r="C2060" s="21">
        <f t="shared" si="166"/>
        <v>0</v>
      </c>
      <c r="D2060" s="22" t="e">
        <f>VLOOKUP($A2060, TAB_JUROS_U[[Q_DIAS_U_PARC_TIR]:[V_FUT_U_JURS CENARIO]], D$5, FALSE)</f>
        <v>#N/A</v>
      </c>
      <c r="E2060" s="22" t="e">
        <f>VLOOKUP($A2060,TAB_CORRECAO_U[[Q_DIAS_U_PARC_TIR]:[V_FUT_U_CORC-02]],E$5, FALSE)</f>
        <v>#N/A</v>
      </c>
      <c r="F2060" s="22" t="e">
        <f>VLOOKUP($A2060,TAB_AMORTIZACAO_U[[Q_DIAS_U_PARC_TIR]:[V_FUT_U_PCPL-02]], F$5, FALSE)</f>
        <v>#N/A</v>
      </c>
      <c r="H2060" s="20">
        <f t="shared" si="167"/>
        <v>0</v>
      </c>
      <c r="I2060" s="21">
        <f t="shared" si="168"/>
        <v>0</v>
      </c>
      <c r="J2060" s="22" t="e">
        <f>VLOOKUP($A2060, TAB_JUROS_C[[DIAS_CORRIDOS]:[V_FUT_UTEIS]], J$5, FALSE)</f>
        <v>#N/A</v>
      </c>
      <c r="K2060" s="22" t="e">
        <f>VLOOKUP($A2060, TAB_CORRECAO_C[[DIAS_CORRIDOS]:[V_FUT_UTEIS]],K$5, FALSE)</f>
        <v>#N/A</v>
      </c>
      <c r="L2060" s="22" t="e">
        <f>VLOOKUP($A2060, TAB_AMORTIZACAO_C[[DIAS_CORRIDOS]:[V_FUT_UTEIS]], L$5, FALSE)</f>
        <v>#N/A</v>
      </c>
    </row>
    <row r="2061" spans="1:12" hidden="1">
      <c r="A2061" s="19">
        <f t="shared" si="169"/>
        <v>2055</v>
      </c>
      <c r="B2061" s="20">
        <f t="shared" si="165"/>
        <v>0</v>
      </c>
      <c r="C2061" s="21">
        <f t="shared" si="166"/>
        <v>0</v>
      </c>
      <c r="D2061" s="22" t="e">
        <f>VLOOKUP($A2061, TAB_JUROS_U[[Q_DIAS_U_PARC_TIR]:[V_FUT_U_JURS CENARIO]], D$5, FALSE)</f>
        <v>#N/A</v>
      </c>
      <c r="E2061" s="22" t="e">
        <f>VLOOKUP($A2061,TAB_CORRECAO_U[[Q_DIAS_U_PARC_TIR]:[V_FUT_U_CORC-02]],E$5, FALSE)</f>
        <v>#N/A</v>
      </c>
      <c r="F2061" s="22" t="e">
        <f>VLOOKUP($A2061,TAB_AMORTIZACAO_U[[Q_DIAS_U_PARC_TIR]:[V_FUT_U_PCPL-02]], F$5, FALSE)</f>
        <v>#N/A</v>
      </c>
      <c r="H2061" s="20">
        <f t="shared" si="167"/>
        <v>0</v>
      </c>
      <c r="I2061" s="21">
        <f t="shared" si="168"/>
        <v>0</v>
      </c>
      <c r="J2061" s="22" t="e">
        <f>VLOOKUP($A2061, TAB_JUROS_C[[DIAS_CORRIDOS]:[V_FUT_UTEIS]], J$5, FALSE)</f>
        <v>#N/A</v>
      </c>
      <c r="K2061" s="22" t="e">
        <f>VLOOKUP($A2061, TAB_CORRECAO_C[[DIAS_CORRIDOS]:[V_FUT_UTEIS]],K$5, FALSE)</f>
        <v>#N/A</v>
      </c>
      <c r="L2061" s="22" t="e">
        <f>VLOOKUP($A2061, TAB_AMORTIZACAO_C[[DIAS_CORRIDOS]:[V_FUT_UTEIS]], L$5, FALSE)</f>
        <v>#N/A</v>
      </c>
    </row>
    <row r="2062" spans="1:12" hidden="1">
      <c r="A2062" s="19">
        <f t="shared" si="169"/>
        <v>2056</v>
      </c>
      <c r="B2062" s="20">
        <f t="shared" si="165"/>
        <v>0</v>
      </c>
      <c r="C2062" s="21">
        <f t="shared" si="166"/>
        <v>0</v>
      </c>
      <c r="D2062" s="22" t="e">
        <f>VLOOKUP($A2062, TAB_JUROS_U[[Q_DIAS_U_PARC_TIR]:[V_FUT_U_JURS CENARIO]], D$5, FALSE)</f>
        <v>#N/A</v>
      </c>
      <c r="E2062" s="22" t="e">
        <f>VLOOKUP($A2062,TAB_CORRECAO_U[[Q_DIAS_U_PARC_TIR]:[V_FUT_U_CORC-02]],E$5, FALSE)</f>
        <v>#N/A</v>
      </c>
      <c r="F2062" s="22" t="e">
        <f>VLOOKUP($A2062,TAB_AMORTIZACAO_U[[Q_DIAS_U_PARC_TIR]:[V_FUT_U_PCPL-02]], F$5, FALSE)</f>
        <v>#N/A</v>
      </c>
      <c r="H2062" s="20">
        <f t="shared" si="167"/>
        <v>0</v>
      </c>
      <c r="I2062" s="21">
        <f t="shared" si="168"/>
        <v>0</v>
      </c>
      <c r="J2062" s="22" t="e">
        <f>VLOOKUP($A2062, TAB_JUROS_C[[DIAS_CORRIDOS]:[V_FUT_UTEIS]], J$5, FALSE)</f>
        <v>#N/A</v>
      </c>
      <c r="K2062" s="22" t="e">
        <f>VLOOKUP($A2062, TAB_CORRECAO_C[[DIAS_CORRIDOS]:[V_FUT_UTEIS]],K$5, FALSE)</f>
        <v>#N/A</v>
      </c>
      <c r="L2062" s="22" t="e">
        <f>VLOOKUP($A2062, TAB_AMORTIZACAO_C[[DIAS_CORRIDOS]:[V_FUT_UTEIS]], L$5, FALSE)</f>
        <v>#N/A</v>
      </c>
    </row>
    <row r="2063" spans="1:12" hidden="1">
      <c r="A2063" s="19">
        <f t="shared" si="169"/>
        <v>2057</v>
      </c>
      <c r="B2063" s="20">
        <f t="shared" si="165"/>
        <v>0</v>
      </c>
      <c r="C2063" s="21">
        <f t="shared" si="166"/>
        <v>0</v>
      </c>
      <c r="D2063" s="22" t="e">
        <f>VLOOKUP($A2063, TAB_JUROS_U[[Q_DIAS_U_PARC_TIR]:[V_FUT_U_JURS CENARIO]], D$5, FALSE)</f>
        <v>#N/A</v>
      </c>
      <c r="E2063" s="22" t="e">
        <f>VLOOKUP($A2063,TAB_CORRECAO_U[[Q_DIAS_U_PARC_TIR]:[V_FUT_U_CORC-02]],E$5, FALSE)</f>
        <v>#N/A</v>
      </c>
      <c r="F2063" s="22" t="e">
        <f>VLOOKUP($A2063,TAB_AMORTIZACAO_U[[Q_DIAS_U_PARC_TIR]:[V_FUT_U_PCPL-02]], F$5, FALSE)</f>
        <v>#N/A</v>
      </c>
      <c r="H2063" s="20">
        <f t="shared" si="167"/>
        <v>0</v>
      </c>
      <c r="I2063" s="21">
        <f t="shared" si="168"/>
        <v>0</v>
      </c>
      <c r="J2063" s="22" t="e">
        <f>VLOOKUP($A2063, TAB_JUROS_C[[DIAS_CORRIDOS]:[V_FUT_UTEIS]], J$5, FALSE)</f>
        <v>#N/A</v>
      </c>
      <c r="K2063" s="22" t="e">
        <f>VLOOKUP($A2063, TAB_CORRECAO_C[[DIAS_CORRIDOS]:[V_FUT_UTEIS]],K$5, FALSE)</f>
        <v>#N/A</v>
      </c>
      <c r="L2063" s="22" t="e">
        <f>VLOOKUP($A2063, TAB_AMORTIZACAO_C[[DIAS_CORRIDOS]:[V_FUT_UTEIS]], L$5, FALSE)</f>
        <v>#N/A</v>
      </c>
    </row>
    <row r="2064" spans="1:12" hidden="1">
      <c r="A2064" s="19">
        <f t="shared" si="169"/>
        <v>2058</v>
      </c>
      <c r="B2064" s="20">
        <f t="shared" si="165"/>
        <v>0</v>
      </c>
      <c r="C2064" s="21">
        <f t="shared" si="166"/>
        <v>0</v>
      </c>
      <c r="D2064" s="22" t="e">
        <f>VLOOKUP($A2064, TAB_JUROS_U[[Q_DIAS_U_PARC_TIR]:[V_FUT_U_JURS CENARIO]], D$5, FALSE)</f>
        <v>#N/A</v>
      </c>
      <c r="E2064" s="22" t="e">
        <f>VLOOKUP($A2064,TAB_CORRECAO_U[[Q_DIAS_U_PARC_TIR]:[V_FUT_U_CORC-02]],E$5, FALSE)</f>
        <v>#N/A</v>
      </c>
      <c r="F2064" s="22" t="e">
        <f>VLOOKUP($A2064,TAB_AMORTIZACAO_U[[Q_DIAS_U_PARC_TIR]:[V_FUT_U_PCPL-02]], F$5, FALSE)</f>
        <v>#N/A</v>
      </c>
      <c r="H2064" s="20">
        <f t="shared" si="167"/>
        <v>0</v>
      </c>
      <c r="I2064" s="21">
        <f t="shared" si="168"/>
        <v>0</v>
      </c>
      <c r="J2064" s="22" t="e">
        <f>VLOOKUP($A2064, TAB_JUROS_C[[DIAS_CORRIDOS]:[V_FUT_UTEIS]], J$5, FALSE)</f>
        <v>#N/A</v>
      </c>
      <c r="K2064" s="22" t="e">
        <f>VLOOKUP($A2064, TAB_CORRECAO_C[[DIAS_CORRIDOS]:[V_FUT_UTEIS]],K$5, FALSE)</f>
        <v>#N/A</v>
      </c>
      <c r="L2064" s="22" t="e">
        <f>VLOOKUP($A2064, TAB_AMORTIZACAO_C[[DIAS_CORRIDOS]:[V_FUT_UTEIS]], L$5, FALSE)</f>
        <v>#N/A</v>
      </c>
    </row>
    <row r="2065" spans="1:12">
      <c r="A2065" s="19">
        <f t="shared" si="169"/>
        <v>2059</v>
      </c>
      <c r="B2065" s="20">
        <f t="shared" si="165"/>
        <v>268.16503091862893</v>
      </c>
      <c r="C2065" s="21">
        <f t="shared" si="166"/>
        <v>268.16503091862893</v>
      </c>
      <c r="D2065" s="22">
        <f>VLOOKUP($A2065, TAB_JUROS_U[[Q_DIAS_U_PARC_TIR]:[V_FUT_U_JURS CENARIO]], D$5, FALSE)</f>
        <v>13.760315735885973</v>
      </c>
      <c r="E2065" s="22">
        <f>VLOOKUP($A2065,TAB_CORRECAO_U[[Q_DIAS_U_PARC_TIR]:[V_FUT_U_CORC-02]],E$5, FALSE)</f>
        <v>75.929223128296755</v>
      </c>
      <c r="F2065" s="22">
        <f>VLOOKUP($A2065,TAB_AMORTIZACAO_U[[Q_DIAS_U_PARC_TIR]:[V_FUT_U_PCPL-02]], F$5, FALSE)</f>
        <v>178.47549205444619</v>
      </c>
      <c r="H2065" s="20">
        <f t="shared" si="167"/>
        <v>0</v>
      </c>
      <c r="I2065" s="21">
        <f t="shared" si="168"/>
        <v>0</v>
      </c>
      <c r="J2065" s="22" t="e">
        <f>VLOOKUP($A2065, TAB_JUROS_C[[DIAS_CORRIDOS]:[V_FUT_UTEIS]], J$5, FALSE)</f>
        <v>#N/A</v>
      </c>
      <c r="K2065" s="22" t="e">
        <f>VLOOKUP($A2065, TAB_CORRECAO_C[[DIAS_CORRIDOS]:[V_FUT_UTEIS]],K$5, FALSE)</f>
        <v>#N/A</v>
      </c>
      <c r="L2065" s="22" t="e">
        <f>VLOOKUP($A2065, TAB_AMORTIZACAO_C[[DIAS_CORRIDOS]:[V_FUT_UTEIS]], L$5, FALSE)</f>
        <v>#N/A</v>
      </c>
    </row>
    <row r="2066" spans="1:12" hidden="1">
      <c r="A2066" s="19">
        <f t="shared" si="169"/>
        <v>2060</v>
      </c>
      <c r="B2066" s="20">
        <f t="shared" si="165"/>
        <v>0</v>
      </c>
      <c r="C2066" s="21">
        <f t="shared" si="166"/>
        <v>0</v>
      </c>
      <c r="D2066" s="22" t="e">
        <f>VLOOKUP($A2066, TAB_JUROS_U[[Q_DIAS_U_PARC_TIR]:[V_FUT_U_JURS CENARIO]], D$5, FALSE)</f>
        <v>#N/A</v>
      </c>
      <c r="E2066" s="22" t="e">
        <f>VLOOKUP($A2066,TAB_CORRECAO_U[[Q_DIAS_U_PARC_TIR]:[V_FUT_U_CORC-02]],E$5, FALSE)</f>
        <v>#N/A</v>
      </c>
      <c r="F2066" s="22" t="e">
        <f>VLOOKUP($A2066,TAB_AMORTIZACAO_U[[Q_DIAS_U_PARC_TIR]:[V_FUT_U_PCPL-02]], F$5, FALSE)</f>
        <v>#N/A</v>
      </c>
      <c r="H2066" s="20">
        <f t="shared" si="167"/>
        <v>0</v>
      </c>
      <c r="I2066" s="21">
        <f t="shared" si="168"/>
        <v>0</v>
      </c>
      <c r="J2066" s="22" t="e">
        <f>VLOOKUP($A2066, TAB_JUROS_C[[DIAS_CORRIDOS]:[V_FUT_UTEIS]], J$5, FALSE)</f>
        <v>#N/A</v>
      </c>
      <c r="K2066" s="22" t="e">
        <f>VLOOKUP($A2066, TAB_CORRECAO_C[[DIAS_CORRIDOS]:[V_FUT_UTEIS]],K$5, FALSE)</f>
        <v>#N/A</v>
      </c>
      <c r="L2066" s="22" t="e">
        <f>VLOOKUP($A2066, TAB_AMORTIZACAO_C[[DIAS_CORRIDOS]:[V_FUT_UTEIS]], L$5, FALSE)</f>
        <v>#N/A</v>
      </c>
    </row>
    <row r="2067" spans="1:12" hidden="1">
      <c r="A2067" s="19">
        <f t="shared" si="169"/>
        <v>2061</v>
      </c>
      <c r="B2067" s="20">
        <f t="shared" si="165"/>
        <v>0</v>
      </c>
      <c r="C2067" s="21">
        <f t="shared" si="166"/>
        <v>0</v>
      </c>
      <c r="D2067" s="22" t="e">
        <f>VLOOKUP($A2067, TAB_JUROS_U[[Q_DIAS_U_PARC_TIR]:[V_FUT_U_JURS CENARIO]], D$5, FALSE)</f>
        <v>#N/A</v>
      </c>
      <c r="E2067" s="22" t="e">
        <f>VLOOKUP($A2067,TAB_CORRECAO_U[[Q_DIAS_U_PARC_TIR]:[V_FUT_U_CORC-02]],E$5, FALSE)</f>
        <v>#N/A</v>
      </c>
      <c r="F2067" s="22" t="e">
        <f>VLOOKUP($A2067,TAB_AMORTIZACAO_U[[Q_DIAS_U_PARC_TIR]:[V_FUT_U_PCPL-02]], F$5, FALSE)</f>
        <v>#N/A</v>
      </c>
      <c r="H2067" s="20">
        <f t="shared" si="167"/>
        <v>0</v>
      </c>
      <c r="I2067" s="21">
        <f t="shared" si="168"/>
        <v>0</v>
      </c>
      <c r="J2067" s="22" t="e">
        <f>VLOOKUP($A2067, TAB_JUROS_C[[DIAS_CORRIDOS]:[V_FUT_UTEIS]], J$5, FALSE)</f>
        <v>#N/A</v>
      </c>
      <c r="K2067" s="22" t="e">
        <f>VLOOKUP($A2067, TAB_CORRECAO_C[[DIAS_CORRIDOS]:[V_FUT_UTEIS]],K$5, FALSE)</f>
        <v>#N/A</v>
      </c>
      <c r="L2067" s="22" t="e">
        <f>VLOOKUP($A2067, TAB_AMORTIZACAO_C[[DIAS_CORRIDOS]:[V_FUT_UTEIS]], L$5, FALSE)</f>
        <v>#N/A</v>
      </c>
    </row>
    <row r="2068" spans="1:12" hidden="1">
      <c r="A2068" s="19">
        <f t="shared" si="169"/>
        <v>2062</v>
      </c>
      <c r="B2068" s="20">
        <f t="shared" si="165"/>
        <v>0</v>
      </c>
      <c r="C2068" s="21">
        <f t="shared" si="166"/>
        <v>0</v>
      </c>
      <c r="D2068" s="22" t="e">
        <f>VLOOKUP($A2068, TAB_JUROS_U[[Q_DIAS_U_PARC_TIR]:[V_FUT_U_JURS CENARIO]], D$5, FALSE)</f>
        <v>#N/A</v>
      </c>
      <c r="E2068" s="22" t="e">
        <f>VLOOKUP($A2068,TAB_CORRECAO_U[[Q_DIAS_U_PARC_TIR]:[V_FUT_U_CORC-02]],E$5, FALSE)</f>
        <v>#N/A</v>
      </c>
      <c r="F2068" s="22" t="e">
        <f>VLOOKUP($A2068,TAB_AMORTIZACAO_U[[Q_DIAS_U_PARC_TIR]:[V_FUT_U_PCPL-02]], F$5, FALSE)</f>
        <v>#N/A</v>
      </c>
      <c r="H2068" s="20">
        <f t="shared" si="167"/>
        <v>0</v>
      </c>
      <c r="I2068" s="21">
        <f t="shared" si="168"/>
        <v>0</v>
      </c>
      <c r="J2068" s="22" t="e">
        <f>VLOOKUP($A2068, TAB_JUROS_C[[DIAS_CORRIDOS]:[V_FUT_UTEIS]], J$5, FALSE)</f>
        <v>#N/A</v>
      </c>
      <c r="K2068" s="22" t="e">
        <f>VLOOKUP($A2068, TAB_CORRECAO_C[[DIAS_CORRIDOS]:[V_FUT_UTEIS]],K$5, FALSE)</f>
        <v>#N/A</v>
      </c>
      <c r="L2068" s="22" t="e">
        <f>VLOOKUP($A2068, TAB_AMORTIZACAO_C[[DIAS_CORRIDOS]:[V_FUT_UTEIS]], L$5, FALSE)</f>
        <v>#N/A</v>
      </c>
    </row>
    <row r="2069" spans="1:12" hidden="1">
      <c r="A2069" s="19">
        <f t="shared" si="169"/>
        <v>2063</v>
      </c>
      <c r="B2069" s="20">
        <f t="shared" si="165"/>
        <v>0</v>
      </c>
      <c r="C2069" s="21">
        <f t="shared" si="166"/>
        <v>0</v>
      </c>
      <c r="D2069" s="22" t="e">
        <f>VLOOKUP($A2069, TAB_JUROS_U[[Q_DIAS_U_PARC_TIR]:[V_FUT_U_JURS CENARIO]], D$5, FALSE)</f>
        <v>#N/A</v>
      </c>
      <c r="E2069" s="22" t="e">
        <f>VLOOKUP($A2069,TAB_CORRECAO_U[[Q_DIAS_U_PARC_TIR]:[V_FUT_U_CORC-02]],E$5, FALSE)</f>
        <v>#N/A</v>
      </c>
      <c r="F2069" s="22" t="e">
        <f>VLOOKUP($A2069,TAB_AMORTIZACAO_U[[Q_DIAS_U_PARC_TIR]:[V_FUT_U_PCPL-02]], F$5, FALSE)</f>
        <v>#N/A</v>
      </c>
      <c r="H2069" s="20">
        <f t="shared" si="167"/>
        <v>0</v>
      </c>
      <c r="I2069" s="21">
        <f t="shared" si="168"/>
        <v>0</v>
      </c>
      <c r="J2069" s="22" t="e">
        <f>VLOOKUP($A2069, TAB_JUROS_C[[DIAS_CORRIDOS]:[V_FUT_UTEIS]], J$5, FALSE)</f>
        <v>#N/A</v>
      </c>
      <c r="K2069" s="22" t="e">
        <f>VLOOKUP($A2069, TAB_CORRECAO_C[[DIAS_CORRIDOS]:[V_FUT_UTEIS]],K$5, FALSE)</f>
        <v>#N/A</v>
      </c>
      <c r="L2069" s="22" t="e">
        <f>VLOOKUP($A2069, TAB_AMORTIZACAO_C[[DIAS_CORRIDOS]:[V_FUT_UTEIS]], L$5, FALSE)</f>
        <v>#N/A</v>
      </c>
    </row>
    <row r="2070" spans="1:12" hidden="1">
      <c r="A2070" s="19">
        <f t="shared" si="169"/>
        <v>2064</v>
      </c>
      <c r="B2070" s="20">
        <f t="shared" si="165"/>
        <v>0</v>
      </c>
      <c r="C2070" s="21">
        <f t="shared" si="166"/>
        <v>0</v>
      </c>
      <c r="D2070" s="22" t="e">
        <f>VLOOKUP($A2070, TAB_JUROS_U[[Q_DIAS_U_PARC_TIR]:[V_FUT_U_JURS CENARIO]], D$5, FALSE)</f>
        <v>#N/A</v>
      </c>
      <c r="E2070" s="22" t="e">
        <f>VLOOKUP($A2070,TAB_CORRECAO_U[[Q_DIAS_U_PARC_TIR]:[V_FUT_U_CORC-02]],E$5, FALSE)</f>
        <v>#N/A</v>
      </c>
      <c r="F2070" s="22" t="e">
        <f>VLOOKUP($A2070,TAB_AMORTIZACAO_U[[Q_DIAS_U_PARC_TIR]:[V_FUT_U_PCPL-02]], F$5, FALSE)</f>
        <v>#N/A</v>
      </c>
      <c r="H2070" s="20">
        <f t="shared" si="167"/>
        <v>0</v>
      </c>
      <c r="I2070" s="21">
        <f t="shared" si="168"/>
        <v>0</v>
      </c>
      <c r="J2070" s="22" t="e">
        <f>VLOOKUP($A2070, TAB_JUROS_C[[DIAS_CORRIDOS]:[V_FUT_UTEIS]], J$5, FALSE)</f>
        <v>#N/A</v>
      </c>
      <c r="K2070" s="22" t="e">
        <f>VLOOKUP($A2070, TAB_CORRECAO_C[[DIAS_CORRIDOS]:[V_FUT_UTEIS]],K$5, FALSE)</f>
        <v>#N/A</v>
      </c>
      <c r="L2070" s="22" t="e">
        <f>VLOOKUP($A2070, TAB_AMORTIZACAO_C[[DIAS_CORRIDOS]:[V_FUT_UTEIS]], L$5, FALSE)</f>
        <v>#N/A</v>
      </c>
    </row>
    <row r="2071" spans="1:12" hidden="1">
      <c r="A2071" s="19">
        <f t="shared" si="169"/>
        <v>2065</v>
      </c>
      <c r="B2071" s="20">
        <f t="shared" si="165"/>
        <v>0</v>
      </c>
      <c r="C2071" s="21">
        <f t="shared" si="166"/>
        <v>0</v>
      </c>
      <c r="D2071" s="22" t="e">
        <f>VLOOKUP($A2071, TAB_JUROS_U[[Q_DIAS_U_PARC_TIR]:[V_FUT_U_JURS CENARIO]], D$5, FALSE)</f>
        <v>#N/A</v>
      </c>
      <c r="E2071" s="22" t="e">
        <f>VLOOKUP($A2071,TAB_CORRECAO_U[[Q_DIAS_U_PARC_TIR]:[V_FUT_U_CORC-02]],E$5, FALSE)</f>
        <v>#N/A</v>
      </c>
      <c r="F2071" s="22" t="e">
        <f>VLOOKUP($A2071,TAB_AMORTIZACAO_U[[Q_DIAS_U_PARC_TIR]:[V_FUT_U_PCPL-02]], F$5, FALSE)</f>
        <v>#N/A</v>
      </c>
      <c r="H2071" s="20">
        <f t="shared" si="167"/>
        <v>0</v>
      </c>
      <c r="I2071" s="21">
        <f t="shared" si="168"/>
        <v>0</v>
      </c>
      <c r="J2071" s="22" t="e">
        <f>VLOOKUP($A2071, TAB_JUROS_C[[DIAS_CORRIDOS]:[V_FUT_UTEIS]], J$5, FALSE)</f>
        <v>#N/A</v>
      </c>
      <c r="K2071" s="22" t="e">
        <f>VLOOKUP($A2071, TAB_CORRECAO_C[[DIAS_CORRIDOS]:[V_FUT_UTEIS]],K$5, FALSE)</f>
        <v>#N/A</v>
      </c>
      <c r="L2071" s="22" t="e">
        <f>VLOOKUP($A2071, TAB_AMORTIZACAO_C[[DIAS_CORRIDOS]:[V_FUT_UTEIS]], L$5, FALSE)</f>
        <v>#N/A</v>
      </c>
    </row>
    <row r="2072" spans="1:12" hidden="1">
      <c r="A2072" s="19">
        <f t="shared" si="169"/>
        <v>2066</v>
      </c>
      <c r="B2072" s="20">
        <f t="shared" si="165"/>
        <v>0</v>
      </c>
      <c r="C2072" s="21">
        <f t="shared" si="166"/>
        <v>0</v>
      </c>
      <c r="D2072" s="22" t="e">
        <f>VLOOKUP($A2072, TAB_JUROS_U[[Q_DIAS_U_PARC_TIR]:[V_FUT_U_JURS CENARIO]], D$5, FALSE)</f>
        <v>#N/A</v>
      </c>
      <c r="E2072" s="22" t="e">
        <f>VLOOKUP($A2072,TAB_CORRECAO_U[[Q_DIAS_U_PARC_TIR]:[V_FUT_U_CORC-02]],E$5, FALSE)</f>
        <v>#N/A</v>
      </c>
      <c r="F2072" s="22" t="e">
        <f>VLOOKUP($A2072,TAB_AMORTIZACAO_U[[Q_DIAS_U_PARC_TIR]:[V_FUT_U_PCPL-02]], F$5, FALSE)</f>
        <v>#N/A</v>
      </c>
      <c r="H2072" s="20">
        <f t="shared" si="167"/>
        <v>0</v>
      </c>
      <c r="I2072" s="21">
        <f t="shared" si="168"/>
        <v>0</v>
      </c>
      <c r="J2072" s="22" t="e">
        <f>VLOOKUP($A2072, TAB_JUROS_C[[DIAS_CORRIDOS]:[V_FUT_UTEIS]], J$5, FALSE)</f>
        <v>#N/A</v>
      </c>
      <c r="K2072" s="22" t="e">
        <f>VLOOKUP($A2072, TAB_CORRECAO_C[[DIAS_CORRIDOS]:[V_FUT_UTEIS]],K$5, FALSE)</f>
        <v>#N/A</v>
      </c>
      <c r="L2072" s="22" t="e">
        <f>VLOOKUP($A2072, TAB_AMORTIZACAO_C[[DIAS_CORRIDOS]:[V_FUT_UTEIS]], L$5, FALSE)</f>
        <v>#N/A</v>
      </c>
    </row>
    <row r="2073" spans="1:12" hidden="1">
      <c r="A2073" s="19">
        <f t="shared" si="169"/>
        <v>2067</v>
      </c>
      <c r="B2073" s="20">
        <f t="shared" si="165"/>
        <v>0</v>
      </c>
      <c r="C2073" s="21">
        <f t="shared" si="166"/>
        <v>0</v>
      </c>
      <c r="D2073" s="22" t="e">
        <f>VLOOKUP($A2073, TAB_JUROS_U[[Q_DIAS_U_PARC_TIR]:[V_FUT_U_JURS CENARIO]], D$5, FALSE)</f>
        <v>#N/A</v>
      </c>
      <c r="E2073" s="22" t="e">
        <f>VLOOKUP($A2073,TAB_CORRECAO_U[[Q_DIAS_U_PARC_TIR]:[V_FUT_U_CORC-02]],E$5, FALSE)</f>
        <v>#N/A</v>
      </c>
      <c r="F2073" s="22" t="e">
        <f>VLOOKUP($A2073,TAB_AMORTIZACAO_U[[Q_DIAS_U_PARC_TIR]:[V_FUT_U_PCPL-02]], F$5, FALSE)</f>
        <v>#N/A</v>
      </c>
      <c r="H2073" s="20">
        <f t="shared" si="167"/>
        <v>0</v>
      </c>
      <c r="I2073" s="21">
        <f t="shared" si="168"/>
        <v>0</v>
      </c>
      <c r="J2073" s="22" t="e">
        <f>VLOOKUP($A2073, TAB_JUROS_C[[DIAS_CORRIDOS]:[V_FUT_UTEIS]], J$5, FALSE)</f>
        <v>#N/A</v>
      </c>
      <c r="K2073" s="22" t="e">
        <f>VLOOKUP($A2073, TAB_CORRECAO_C[[DIAS_CORRIDOS]:[V_FUT_UTEIS]],K$5, FALSE)</f>
        <v>#N/A</v>
      </c>
      <c r="L2073" s="22" t="e">
        <f>VLOOKUP($A2073, TAB_AMORTIZACAO_C[[DIAS_CORRIDOS]:[V_FUT_UTEIS]], L$5, FALSE)</f>
        <v>#N/A</v>
      </c>
    </row>
    <row r="2074" spans="1:12" hidden="1">
      <c r="A2074" s="19">
        <f t="shared" si="169"/>
        <v>2068</v>
      </c>
      <c r="B2074" s="20">
        <f t="shared" si="165"/>
        <v>0</v>
      </c>
      <c r="C2074" s="21">
        <f t="shared" si="166"/>
        <v>0</v>
      </c>
      <c r="D2074" s="22" t="e">
        <f>VLOOKUP($A2074, TAB_JUROS_U[[Q_DIAS_U_PARC_TIR]:[V_FUT_U_JURS CENARIO]], D$5, FALSE)</f>
        <v>#N/A</v>
      </c>
      <c r="E2074" s="22" t="e">
        <f>VLOOKUP($A2074,TAB_CORRECAO_U[[Q_DIAS_U_PARC_TIR]:[V_FUT_U_CORC-02]],E$5, FALSE)</f>
        <v>#N/A</v>
      </c>
      <c r="F2074" s="22" t="e">
        <f>VLOOKUP($A2074,TAB_AMORTIZACAO_U[[Q_DIAS_U_PARC_TIR]:[V_FUT_U_PCPL-02]], F$5, FALSE)</f>
        <v>#N/A</v>
      </c>
      <c r="H2074" s="20">
        <f t="shared" si="167"/>
        <v>0</v>
      </c>
      <c r="I2074" s="21">
        <f t="shared" si="168"/>
        <v>0</v>
      </c>
      <c r="J2074" s="22" t="e">
        <f>VLOOKUP($A2074, TAB_JUROS_C[[DIAS_CORRIDOS]:[V_FUT_UTEIS]], J$5, FALSE)</f>
        <v>#N/A</v>
      </c>
      <c r="K2074" s="22" t="e">
        <f>VLOOKUP($A2074, TAB_CORRECAO_C[[DIAS_CORRIDOS]:[V_FUT_UTEIS]],K$5, FALSE)</f>
        <v>#N/A</v>
      </c>
      <c r="L2074" s="22" t="e">
        <f>VLOOKUP($A2074, TAB_AMORTIZACAO_C[[DIAS_CORRIDOS]:[V_FUT_UTEIS]], L$5, FALSE)</f>
        <v>#N/A</v>
      </c>
    </row>
    <row r="2075" spans="1:12" hidden="1">
      <c r="A2075" s="19">
        <f t="shared" si="169"/>
        <v>2069</v>
      </c>
      <c r="B2075" s="20">
        <f t="shared" si="165"/>
        <v>0</v>
      </c>
      <c r="C2075" s="21">
        <f t="shared" si="166"/>
        <v>0</v>
      </c>
      <c r="D2075" s="22" t="e">
        <f>VLOOKUP($A2075, TAB_JUROS_U[[Q_DIAS_U_PARC_TIR]:[V_FUT_U_JURS CENARIO]], D$5, FALSE)</f>
        <v>#N/A</v>
      </c>
      <c r="E2075" s="22" t="e">
        <f>VLOOKUP($A2075,TAB_CORRECAO_U[[Q_DIAS_U_PARC_TIR]:[V_FUT_U_CORC-02]],E$5, FALSE)</f>
        <v>#N/A</v>
      </c>
      <c r="F2075" s="22" t="e">
        <f>VLOOKUP($A2075,TAB_AMORTIZACAO_U[[Q_DIAS_U_PARC_TIR]:[V_FUT_U_PCPL-02]], F$5, FALSE)</f>
        <v>#N/A</v>
      </c>
      <c r="H2075" s="20">
        <f t="shared" si="167"/>
        <v>0</v>
      </c>
      <c r="I2075" s="21">
        <f t="shared" si="168"/>
        <v>0</v>
      </c>
      <c r="J2075" s="22" t="e">
        <f>VLOOKUP($A2075, TAB_JUROS_C[[DIAS_CORRIDOS]:[V_FUT_UTEIS]], J$5, FALSE)</f>
        <v>#N/A</v>
      </c>
      <c r="K2075" s="22" t="e">
        <f>VLOOKUP($A2075, TAB_CORRECAO_C[[DIAS_CORRIDOS]:[V_FUT_UTEIS]],K$5, FALSE)</f>
        <v>#N/A</v>
      </c>
      <c r="L2075" s="22" t="e">
        <f>VLOOKUP($A2075, TAB_AMORTIZACAO_C[[DIAS_CORRIDOS]:[V_FUT_UTEIS]], L$5, FALSE)</f>
        <v>#N/A</v>
      </c>
    </row>
    <row r="2076" spans="1:12" hidden="1">
      <c r="A2076" s="19">
        <f t="shared" si="169"/>
        <v>2070</v>
      </c>
      <c r="B2076" s="20">
        <f t="shared" si="165"/>
        <v>0</v>
      </c>
      <c r="C2076" s="21">
        <f t="shared" si="166"/>
        <v>0</v>
      </c>
      <c r="D2076" s="22" t="e">
        <f>VLOOKUP($A2076, TAB_JUROS_U[[Q_DIAS_U_PARC_TIR]:[V_FUT_U_JURS CENARIO]], D$5, FALSE)</f>
        <v>#N/A</v>
      </c>
      <c r="E2076" s="22" t="e">
        <f>VLOOKUP($A2076,TAB_CORRECAO_U[[Q_DIAS_U_PARC_TIR]:[V_FUT_U_CORC-02]],E$5, FALSE)</f>
        <v>#N/A</v>
      </c>
      <c r="F2076" s="22" t="e">
        <f>VLOOKUP($A2076,TAB_AMORTIZACAO_U[[Q_DIAS_U_PARC_TIR]:[V_FUT_U_PCPL-02]], F$5, FALSE)</f>
        <v>#N/A</v>
      </c>
      <c r="H2076" s="20">
        <f t="shared" si="167"/>
        <v>0</v>
      </c>
      <c r="I2076" s="21">
        <f t="shared" si="168"/>
        <v>0</v>
      </c>
      <c r="J2076" s="22" t="e">
        <f>VLOOKUP($A2076, TAB_JUROS_C[[DIAS_CORRIDOS]:[V_FUT_UTEIS]], J$5, FALSE)</f>
        <v>#N/A</v>
      </c>
      <c r="K2076" s="22" t="e">
        <f>VLOOKUP($A2076, TAB_CORRECAO_C[[DIAS_CORRIDOS]:[V_FUT_UTEIS]],K$5, FALSE)</f>
        <v>#N/A</v>
      </c>
      <c r="L2076" s="22" t="e">
        <f>VLOOKUP($A2076, TAB_AMORTIZACAO_C[[DIAS_CORRIDOS]:[V_FUT_UTEIS]], L$5, FALSE)</f>
        <v>#N/A</v>
      </c>
    </row>
    <row r="2077" spans="1:12" hidden="1">
      <c r="A2077" s="19">
        <f t="shared" si="169"/>
        <v>2071</v>
      </c>
      <c r="B2077" s="20">
        <f t="shared" si="165"/>
        <v>0</v>
      </c>
      <c r="C2077" s="21">
        <f t="shared" si="166"/>
        <v>0</v>
      </c>
      <c r="D2077" s="22" t="e">
        <f>VLOOKUP($A2077, TAB_JUROS_U[[Q_DIAS_U_PARC_TIR]:[V_FUT_U_JURS CENARIO]], D$5, FALSE)</f>
        <v>#N/A</v>
      </c>
      <c r="E2077" s="22" t="e">
        <f>VLOOKUP($A2077,TAB_CORRECAO_U[[Q_DIAS_U_PARC_TIR]:[V_FUT_U_CORC-02]],E$5, FALSE)</f>
        <v>#N/A</v>
      </c>
      <c r="F2077" s="22" t="e">
        <f>VLOOKUP($A2077,TAB_AMORTIZACAO_U[[Q_DIAS_U_PARC_TIR]:[V_FUT_U_PCPL-02]], F$5, FALSE)</f>
        <v>#N/A</v>
      </c>
      <c r="H2077" s="20">
        <f t="shared" si="167"/>
        <v>0</v>
      </c>
      <c r="I2077" s="21">
        <f t="shared" si="168"/>
        <v>0</v>
      </c>
      <c r="J2077" s="22" t="e">
        <f>VLOOKUP($A2077, TAB_JUROS_C[[DIAS_CORRIDOS]:[V_FUT_UTEIS]], J$5, FALSE)</f>
        <v>#N/A</v>
      </c>
      <c r="K2077" s="22" t="e">
        <f>VLOOKUP($A2077, TAB_CORRECAO_C[[DIAS_CORRIDOS]:[V_FUT_UTEIS]],K$5, FALSE)</f>
        <v>#N/A</v>
      </c>
      <c r="L2077" s="22" t="e">
        <f>VLOOKUP($A2077, TAB_AMORTIZACAO_C[[DIAS_CORRIDOS]:[V_FUT_UTEIS]], L$5, FALSE)</f>
        <v>#N/A</v>
      </c>
    </row>
    <row r="2078" spans="1:12" hidden="1">
      <c r="A2078" s="19">
        <f t="shared" si="169"/>
        <v>2072</v>
      </c>
      <c r="B2078" s="20">
        <f t="shared" si="165"/>
        <v>0</v>
      </c>
      <c r="C2078" s="21">
        <f t="shared" si="166"/>
        <v>0</v>
      </c>
      <c r="D2078" s="22" t="e">
        <f>VLOOKUP($A2078, TAB_JUROS_U[[Q_DIAS_U_PARC_TIR]:[V_FUT_U_JURS CENARIO]], D$5, FALSE)</f>
        <v>#N/A</v>
      </c>
      <c r="E2078" s="22" t="e">
        <f>VLOOKUP($A2078,TAB_CORRECAO_U[[Q_DIAS_U_PARC_TIR]:[V_FUT_U_CORC-02]],E$5, FALSE)</f>
        <v>#N/A</v>
      </c>
      <c r="F2078" s="22" t="e">
        <f>VLOOKUP($A2078,TAB_AMORTIZACAO_U[[Q_DIAS_U_PARC_TIR]:[V_FUT_U_PCPL-02]], F$5, FALSE)</f>
        <v>#N/A</v>
      </c>
      <c r="H2078" s="20">
        <f t="shared" si="167"/>
        <v>0</v>
      </c>
      <c r="I2078" s="21">
        <f t="shared" si="168"/>
        <v>0</v>
      </c>
      <c r="J2078" s="22" t="e">
        <f>VLOOKUP($A2078, TAB_JUROS_C[[DIAS_CORRIDOS]:[V_FUT_UTEIS]], J$5, FALSE)</f>
        <v>#N/A</v>
      </c>
      <c r="K2078" s="22" t="e">
        <f>VLOOKUP($A2078, TAB_CORRECAO_C[[DIAS_CORRIDOS]:[V_FUT_UTEIS]],K$5, FALSE)</f>
        <v>#N/A</v>
      </c>
      <c r="L2078" s="22" t="e">
        <f>VLOOKUP($A2078, TAB_AMORTIZACAO_C[[DIAS_CORRIDOS]:[V_FUT_UTEIS]], L$5, FALSE)</f>
        <v>#N/A</v>
      </c>
    </row>
    <row r="2079" spans="1:12" hidden="1">
      <c r="A2079" s="19">
        <f t="shared" si="169"/>
        <v>2073</v>
      </c>
      <c r="B2079" s="20">
        <f t="shared" si="165"/>
        <v>0</v>
      </c>
      <c r="C2079" s="21">
        <f t="shared" si="166"/>
        <v>0</v>
      </c>
      <c r="D2079" s="22" t="e">
        <f>VLOOKUP($A2079, TAB_JUROS_U[[Q_DIAS_U_PARC_TIR]:[V_FUT_U_JURS CENARIO]], D$5, FALSE)</f>
        <v>#N/A</v>
      </c>
      <c r="E2079" s="22" t="e">
        <f>VLOOKUP($A2079,TAB_CORRECAO_U[[Q_DIAS_U_PARC_TIR]:[V_FUT_U_CORC-02]],E$5, FALSE)</f>
        <v>#N/A</v>
      </c>
      <c r="F2079" s="22" t="e">
        <f>VLOOKUP($A2079,TAB_AMORTIZACAO_U[[Q_DIAS_U_PARC_TIR]:[V_FUT_U_PCPL-02]], F$5, FALSE)</f>
        <v>#N/A</v>
      </c>
      <c r="H2079" s="20">
        <f t="shared" si="167"/>
        <v>0</v>
      </c>
      <c r="I2079" s="21">
        <f t="shared" si="168"/>
        <v>0</v>
      </c>
      <c r="J2079" s="22" t="e">
        <f>VLOOKUP($A2079, TAB_JUROS_C[[DIAS_CORRIDOS]:[V_FUT_UTEIS]], J$5, FALSE)</f>
        <v>#N/A</v>
      </c>
      <c r="K2079" s="22" t="e">
        <f>VLOOKUP($A2079, TAB_CORRECAO_C[[DIAS_CORRIDOS]:[V_FUT_UTEIS]],K$5, FALSE)</f>
        <v>#N/A</v>
      </c>
      <c r="L2079" s="22" t="e">
        <f>VLOOKUP($A2079, TAB_AMORTIZACAO_C[[DIAS_CORRIDOS]:[V_FUT_UTEIS]], L$5, FALSE)</f>
        <v>#N/A</v>
      </c>
    </row>
    <row r="2080" spans="1:12" hidden="1">
      <c r="A2080" s="19">
        <f t="shared" si="169"/>
        <v>2074</v>
      </c>
      <c r="B2080" s="20">
        <f t="shared" si="165"/>
        <v>0</v>
      </c>
      <c r="C2080" s="21">
        <f t="shared" si="166"/>
        <v>0</v>
      </c>
      <c r="D2080" s="22" t="e">
        <f>VLOOKUP($A2080, TAB_JUROS_U[[Q_DIAS_U_PARC_TIR]:[V_FUT_U_JURS CENARIO]], D$5, FALSE)</f>
        <v>#N/A</v>
      </c>
      <c r="E2080" s="22" t="e">
        <f>VLOOKUP($A2080,TAB_CORRECAO_U[[Q_DIAS_U_PARC_TIR]:[V_FUT_U_CORC-02]],E$5, FALSE)</f>
        <v>#N/A</v>
      </c>
      <c r="F2080" s="22" t="e">
        <f>VLOOKUP($A2080,TAB_AMORTIZACAO_U[[Q_DIAS_U_PARC_TIR]:[V_FUT_U_PCPL-02]], F$5, FALSE)</f>
        <v>#N/A</v>
      </c>
      <c r="H2080" s="20">
        <f t="shared" si="167"/>
        <v>0</v>
      </c>
      <c r="I2080" s="21">
        <f t="shared" si="168"/>
        <v>0</v>
      </c>
      <c r="J2080" s="22" t="e">
        <f>VLOOKUP($A2080, TAB_JUROS_C[[DIAS_CORRIDOS]:[V_FUT_UTEIS]], J$5, FALSE)</f>
        <v>#N/A</v>
      </c>
      <c r="K2080" s="22" t="e">
        <f>VLOOKUP($A2080, TAB_CORRECAO_C[[DIAS_CORRIDOS]:[V_FUT_UTEIS]],K$5, FALSE)</f>
        <v>#N/A</v>
      </c>
      <c r="L2080" s="22" t="e">
        <f>VLOOKUP($A2080, TAB_AMORTIZACAO_C[[DIAS_CORRIDOS]:[V_FUT_UTEIS]], L$5, FALSE)</f>
        <v>#N/A</v>
      </c>
    </row>
    <row r="2081" spans="1:12" hidden="1">
      <c r="A2081" s="19">
        <f t="shared" si="169"/>
        <v>2075</v>
      </c>
      <c r="B2081" s="20">
        <f t="shared" si="165"/>
        <v>0</v>
      </c>
      <c r="C2081" s="21">
        <f t="shared" si="166"/>
        <v>0</v>
      </c>
      <c r="D2081" s="22" t="e">
        <f>VLOOKUP($A2081, TAB_JUROS_U[[Q_DIAS_U_PARC_TIR]:[V_FUT_U_JURS CENARIO]], D$5, FALSE)</f>
        <v>#N/A</v>
      </c>
      <c r="E2081" s="22" t="e">
        <f>VLOOKUP($A2081,TAB_CORRECAO_U[[Q_DIAS_U_PARC_TIR]:[V_FUT_U_CORC-02]],E$5, FALSE)</f>
        <v>#N/A</v>
      </c>
      <c r="F2081" s="22" t="e">
        <f>VLOOKUP($A2081,TAB_AMORTIZACAO_U[[Q_DIAS_U_PARC_TIR]:[V_FUT_U_PCPL-02]], F$5, FALSE)</f>
        <v>#N/A</v>
      </c>
      <c r="H2081" s="20">
        <f t="shared" si="167"/>
        <v>0</v>
      </c>
      <c r="I2081" s="21">
        <f t="shared" si="168"/>
        <v>0</v>
      </c>
      <c r="J2081" s="22" t="e">
        <f>VLOOKUP($A2081, TAB_JUROS_C[[DIAS_CORRIDOS]:[V_FUT_UTEIS]], J$5, FALSE)</f>
        <v>#N/A</v>
      </c>
      <c r="K2081" s="22" t="e">
        <f>VLOOKUP($A2081, TAB_CORRECAO_C[[DIAS_CORRIDOS]:[V_FUT_UTEIS]],K$5, FALSE)</f>
        <v>#N/A</v>
      </c>
      <c r="L2081" s="22" t="e">
        <f>VLOOKUP($A2081, TAB_AMORTIZACAO_C[[DIAS_CORRIDOS]:[V_FUT_UTEIS]], L$5, FALSE)</f>
        <v>#N/A</v>
      </c>
    </row>
    <row r="2082" spans="1:12" hidden="1">
      <c r="A2082" s="19">
        <f t="shared" si="169"/>
        <v>2076</v>
      </c>
      <c r="B2082" s="20">
        <f t="shared" si="165"/>
        <v>0</v>
      </c>
      <c r="C2082" s="21">
        <f t="shared" si="166"/>
        <v>0</v>
      </c>
      <c r="D2082" s="22" t="e">
        <f>VLOOKUP($A2082, TAB_JUROS_U[[Q_DIAS_U_PARC_TIR]:[V_FUT_U_JURS CENARIO]], D$5, FALSE)</f>
        <v>#N/A</v>
      </c>
      <c r="E2082" s="22" t="e">
        <f>VLOOKUP($A2082,TAB_CORRECAO_U[[Q_DIAS_U_PARC_TIR]:[V_FUT_U_CORC-02]],E$5, FALSE)</f>
        <v>#N/A</v>
      </c>
      <c r="F2082" s="22" t="e">
        <f>VLOOKUP($A2082,TAB_AMORTIZACAO_U[[Q_DIAS_U_PARC_TIR]:[V_FUT_U_PCPL-02]], F$5, FALSE)</f>
        <v>#N/A</v>
      </c>
      <c r="H2082" s="20">
        <f t="shared" si="167"/>
        <v>0</v>
      </c>
      <c r="I2082" s="21">
        <f t="shared" si="168"/>
        <v>0</v>
      </c>
      <c r="J2082" s="22" t="e">
        <f>VLOOKUP($A2082, TAB_JUROS_C[[DIAS_CORRIDOS]:[V_FUT_UTEIS]], J$5, FALSE)</f>
        <v>#N/A</v>
      </c>
      <c r="K2082" s="22" t="e">
        <f>VLOOKUP($A2082, TAB_CORRECAO_C[[DIAS_CORRIDOS]:[V_FUT_UTEIS]],K$5, FALSE)</f>
        <v>#N/A</v>
      </c>
      <c r="L2082" s="22" t="e">
        <f>VLOOKUP($A2082, TAB_AMORTIZACAO_C[[DIAS_CORRIDOS]:[V_FUT_UTEIS]], L$5, FALSE)</f>
        <v>#N/A</v>
      </c>
    </row>
    <row r="2083" spans="1:12" hidden="1">
      <c r="A2083" s="19">
        <f t="shared" si="169"/>
        <v>2077</v>
      </c>
      <c r="B2083" s="20">
        <f t="shared" si="165"/>
        <v>0</v>
      </c>
      <c r="C2083" s="21">
        <f t="shared" si="166"/>
        <v>0</v>
      </c>
      <c r="D2083" s="22" t="e">
        <f>VLOOKUP($A2083, TAB_JUROS_U[[Q_DIAS_U_PARC_TIR]:[V_FUT_U_JURS CENARIO]], D$5, FALSE)</f>
        <v>#N/A</v>
      </c>
      <c r="E2083" s="22" t="e">
        <f>VLOOKUP($A2083,TAB_CORRECAO_U[[Q_DIAS_U_PARC_TIR]:[V_FUT_U_CORC-02]],E$5, FALSE)</f>
        <v>#N/A</v>
      </c>
      <c r="F2083" s="22" t="e">
        <f>VLOOKUP($A2083,TAB_AMORTIZACAO_U[[Q_DIAS_U_PARC_TIR]:[V_FUT_U_PCPL-02]], F$5, FALSE)</f>
        <v>#N/A</v>
      </c>
      <c r="H2083" s="20">
        <f t="shared" si="167"/>
        <v>0</v>
      </c>
      <c r="I2083" s="21">
        <f t="shared" si="168"/>
        <v>0</v>
      </c>
      <c r="J2083" s="22" t="e">
        <f>VLOOKUP($A2083, TAB_JUROS_C[[DIAS_CORRIDOS]:[V_FUT_UTEIS]], J$5, FALSE)</f>
        <v>#N/A</v>
      </c>
      <c r="K2083" s="22" t="e">
        <f>VLOOKUP($A2083, TAB_CORRECAO_C[[DIAS_CORRIDOS]:[V_FUT_UTEIS]],K$5, FALSE)</f>
        <v>#N/A</v>
      </c>
      <c r="L2083" s="22" t="e">
        <f>VLOOKUP($A2083, TAB_AMORTIZACAO_C[[DIAS_CORRIDOS]:[V_FUT_UTEIS]], L$5, FALSE)</f>
        <v>#N/A</v>
      </c>
    </row>
    <row r="2084" spans="1:12" hidden="1">
      <c r="A2084" s="19">
        <f t="shared" si="169"/>
        <v>2078</v>
      </c>
      <c r="B2084" s="20">
        <f t="shared" si="165"/>
        <v>0</v>
      </c>
      <c r="C2084" s="21">
        <f t="shared" si="166"/>
        <v>0</v>
      </c>
      <c r="D2084" s="22" t="e">
        <f>VLOOKUP($A2084, TAB_JUROS_U[[Q_DIAS_U_PARC_TIR]:[V_FUT_U_JURS CENARIO]], D$5, FALSE)</f>
        <v>#N/A</v>
      </c>
      <c r="E2084" s="22" t="e">
        <f>VLOOKUP($A2084,TAB_CORRECAO_U[[Q_DIAS_U_PARC_TIR]:[V_FUT_U_CORC-02]],E$5, FALSE)</f>
        <v>#N/A</v>
      </c>
      <c r="F2084" s="22" t="e">
        <f>VLOOKUP($A2084,TAB_AMORTIZACAO_U[[Q_DIAS_U_PARC_TIR]:[V_FUT_U_PCPL-02]], F$5, FALSE)</f>
        <v>#N/A</v>
      </c>
      <c r="H2084" s="20">
        <f t="shared" si="167"/>
        <v>0</v>
      </c>
      <c r="I2084" s="21">
        <f t="shared" si="168"/>
        <v>0</v>
      </c>
      <c r="J2084" s="22" t="e">
        <f>VLOOKUP($A2084, TAB_JUROS_C[[DIAS_CORRIDOS]:[V_FUT_UTEIS]], J$5, FALSE)</f>
        <v>#N/A</v>
      </c>
      <c r="K2084" s="22" t="e">
        <f>VLOOKUP($A2084, TAB_CORRECAO_C[[DIAS_CORRIDOS]:[V_FUT_UTEIS]],K$5, FALSE)</f>
        <v>#N/A</v>
      </c>
      <c r="L2084" s="22" t="e">
        <f>VLOOKUP($A2084, TAB_AMORTIZACAO_C[[DIAS_CORRIDOS]:[V_FUT_UTEIS]], L$5, FALSE)</f>
        <v>#N/A</v>
      </c>
    </row>
    <row r="2085" spans="1:12">
      <c r="A2085" s="19">
        <f t="shared" si="169"/>
        <v>2079</v>
      </c>
      <c r="B2085" s="20">
        <f t="shared" si="165"/>
        <v>273.97417444107538</v>
      </c>
      <c r="C2085" s="21">
        <f t="shared" si="166"/>
        <v>273.97417444107538</v>
      </c>
      <c r="D2085" s="22">
        <f>VLOOKUP($A2085, TAB_JUROS_U[[Q_DIAS_U_PARC_TIR]:[V_FUT_U_JURS CENARIO]], D$5, FALSE)</f>
        <v>13.989069004014121</v>
      </c>
      <c r="E2085" s="22">
        <f>VLOOKUP($A2085,TAB_CORRECAO_U[[Q_DIAS_U_PARC_TIR]:[V_FUT_U_CORC-02]],E$5, FALSE)</f>
        <v>86.190104412236067</v>
      </c>
      <c r="F2085" s="22">
        <f>VLOOKUP($A2085,TAB_AMORTIZACAO_U[[Q_DIAS_U_PARC_TIR]:[V_FUT_U_PCPL-02]], F$5, FALSE)</f>
        <v>173.79500102482518</v>
      </c>
      <c r="H2085" s="20">
        <f t="shared" si="167"/>
        <v>0</v>
      </c>
      <c r="I2085" s="21">
        <f t="shared" si="168"/>
        <v>0</v>
      </c>
      <c r="J2085" s="22" t="e">
        <f>VLOOKUP($A2085, TAB_JUROS_C[[DIAS_CORRIDOS]:[V_FUT_UTEIS]], J$5, FALSE)</f>
        <v>#N/A</v>
      </c>
      <c r="K2085" s="22" t="e">
        <f>VLOOKUP($A2085, TAB_CORRECAO_C[[DIAS_CORRIDOS]:[V_FUT_UTEIS]],K$5, FALSE)</f>
        <v>#N/A</v>
      </c>
      <c r="L2085" s="22" t="e">
        <f>VLOOKUP($A2085, TAB_AMORTIZACAO_C[[DIAS_CORRIDOS]:[V_FUT_UTEIS]], L$5, FALSE)</f>
        <v>#N/A</v>
      </c>
    </row>
    <row r="2086" spans="1:12" hidden="1">
      <c r="A2086" s="19">
        <f t="shared" si="169"/>
        <v>2080</v>
      </c>
      <c r="B2086" s="20">
        <f t="shared" si="165"/>
        <v>0</v>
      </c>
      <c r="C2086" s="21">
        <f t="shared" si="166"/>
        <v>0</v>
      </c>
      <c r="D2086" s="22" t="e">
        <f>VLOOKUP($A2086, TAB_JUROS_U[[Q_DIAS_U_PARC_TIR]:[V_FUT_U_JURS CENARIO]], D$5, FALSE)</f>
        <v>#N/A</v>
      </c>
      <c r="E2086" s="22" t="e">
        <f>VLOOKUP($A2086,TAB_CORRECAO_U[[Q_DIAS_U_PARC_TIR]:[V_FUT_U_CORC-02]],E$5, FALSE)</f>
        <v>#N/A</v>
      </c>
      <c r="F2086" s="22" t="e">
        <f>VLOOKUP($A2086,TAB_AMORTIZACAO_U[[Q_DIAS_U_PARC_TIR]:[V_FUT_U_PCPL-02]], F$5, FALSE)</f>
        <v>#N/A</v>
      </c>
      <c r="H2086" s="20">
        <f t="shared" si="167"/>
        <v>0</v>
      </c>
      <c r="I2086" s="21">
        <f t="shared" si="168"/>
        <v>0</v>
      </c>
      <c r="J2086" s="22" t="e">
        <f>VLOOKUP($A2086, TAB_JUROS_C[[DIAS_CORRIDOS]:[V_FUT_UTEIS]], J$5, FALSE)</f>
        <v>#N/A</v>
      </c>
      <c r="K2086" s="22" t="e">
        <f>VLOOKUP($A2086, TAB_CORRECAO_C[[DIAS_CORRIDOS]:[V_FUT_UTEIS]],K$5, FALSE)</f>
        <v>#N/A</v>
      </c>
      <c r="L2086" s="22" t="e">
        <f>VLOOKUP($A2086, TAB_AMORTIZACAO_C[[DIAS_CORRIDOS]:[V_FUT_UTEIS]], L$5, FALSE)</f>
        <v>#N/A</v>
      </c>
    </row>
    <row r="2087" spans="1:12" hidden="1">
      <c r="A2087" s="19">
        <f t="shared" si="169"/>
        <v>2081</v>
      </c>
      <c r="B2087" s="20">
        <f t="shared" si="165"/>
        <v>0</v>
      </c>
      <c r="C2087" s="21">
        <f t="shared" si="166"/>
        <v>0</v>
      </c>
      <c r="D2087" s="22" t="e">
        <f>VLOOKUP($A2087, TAB_JUROS_U[[Q_DIAS_U_PARC_TIR]:[V_FUT_U_JURS CENARIO]], D$5, FALSE)</f>
        <v>#N/A</v>
      </c>
      <c r="E2087" s="22" t="e">
        <f>VLOOKUP($A2087,TAB_CORRECAO_U[[Q_DIAS_U_PARC_TIR]:[V_FUT_U_CORC-02]],E$5, FALSE)</f>
        <v>#N/A</v>
      </c>
      <c r="F2087" s="22" t="e">
        <f>VLOOKUP($A2087,TAB_AMORTIZACAO_U[[Q_DIAS_U_PARC_TIR]:[V_FUT_U_PCPL-02]], F$5, FALSE)</f>
        <v>#N/A</v>
      </c>
      <c r="H2087" s="20">
        <f t="shared" si="167"/>
        <v>0</v>
      </c>
      <c r="I2087" s="21">
        <f t="shared" si="168"/>
        <v>0</v>
      </c>
      <c r="J2087" s="22" t="e">
        <f>VLOOKUP($A2087, TAB_JUROS_C[[DIAS_CORRIDOS]:[V_FUT_UTEIS]], J$5, FALSE)</f>
        <v>#N/A</v>
      </c>
      <c r="K2087" s="22" t="e">
        <f>VLOOKUP($A2087, TAB_CORRECAO_C[[DIAS_CORRIDOS]:[V_FUT_UTEIS]],K$5, FALSE)</f>
        <v>#N/A</v>
      </c>
      <c r="L2087" s="22" t="e">
        <f>VLOOKUP($A2087, TAB_AMORTIZACAO_C[[DIAS_CORRIDOS]:[V_FUT_UTEIS]], L$5, FALSE)</f>
        <v>#N/A</v>
      </c>
    </row>
    <row r="2088" spans="1:12" hidden="1">
      <c r="A2088" s="19">
        <f t="shared" si="169"/>
        <v>2082</v>
      </c>
      <c r="B2088" s="20">
        <f t="shared" si="165"/>
        <v>0</v>
      </c>
      <c r="C2088" s="21">
        <f t="shared" si="166"/>
        <v>0</v>
      </c>
      <c r="D2088" s="22" t="e">
        <f>VLOOKUP($A2088, TAB_JUROS_U[[Q_DIAS_U_PARC_TIR]:[V_FUT_U_JURS CENARIO]], D$5, FALSE)</f>
        <v>#N/A</v>
      </c>
      <c r="E2088" s="22" t="e">
        <f>VLOOKUP($A2088,TAB_CORRECAO_U[[Q_DIAS_U_PARC_TIR]:[V_FUT_U_CORC-02]],E$5, FALSE)</f>
        <v>#N/A</v>
      </c>
      <c r="F2088" s="22" t="e">
        <f>VLOOKUP($A2088,TAB_AMORTIZACAO_U[[Q_DIAS_U_PARC_TIR]:[V_FUT_U_PCPL-02]], F$5, FALSE)</f>
        <v>#N/A</v>
      </c>
      <c r="H2088" s="20">
        <f t="shared" si="167"/>
        <v>567.07877982528009</v>
      </c>
      <c r="I2088" s="21">
        <f t="shared" si="168"/>
        <v>567.07877982528009</v>
      </c>
      <c r="J2088" s="22">
        <f>VLOOKUP($A2088, TAB_JUROS_C[[DIAS_CORRIDOS]:[V_FUT_UTEIS]], J$5, FALSE)</f>
        <v>40.785410759446307</v>
      </c>
      <c r="K2088" s="22">
        <f>VLOOKUP($A2088, TAB_CORRECAO_C[[DIAS_CORRIDOS]:[V_FUT_UTEIS]],K$5, FALSE)</f>
        <v>246.53810432737887</v>
      </c>
      <c r="L2088" s="22">
        <f>VLOOKUP($A2088, TAB_AMORTIZACAO_C[[DIAS_CORRIDOS]:[V_FUT_UTEIS]], L$5, FALSE)</f>
        <v>279.75526473845491</v>
      </c>
    </row>
    <row r="2089" spans="1:12" hidden="1">
      <c r="A2089" s="19">
        <f t="shared" si="169"/>
        <v>2083</v>
      </c>
      <c r="B2089" s="20">
        <f t="shared" si="165"/>
        <v>0</v>
      </c>
      <c r="C2089" s="21">
        <f t="shared" si="166"/>
        <v>0</v>
      </c>
      <c r="D2089" s="22" t="e">
        <f>VLOOKUP($A2089, TAB_JUROS_U[[Q_DIAS_U_PARC_TIR]:[V_FUT_U_JURS CENARIO]], D$5, FALSE)</f>
        <v>#N/A</v>
      </c>
      <c r="E2089" s="22" t="e">
        <f>VLOOKUP($A2089,TAB_CORRECAO_U[[Q_DIAS_U_PARC_TIR]:[V_FUT_U_CORC-02]],E$5, FALSE)</f>
        <v>#N/A</v>
      </c>
      <c r="F2089" s="22" t="e">
        <f>VLOOKUP($A2089,TAB_AMORTIZACAO_U[[Q_DIAS_U_PARC_TIR]:[V_FUT_U_PCPL-02]], F$5, FALSE)</f>
        <v>#N/A</v>
      </c>
      <c r="H2089" s="20">
        <f t="shared" si="167"/>
        <v>0</v>
      </c>
      <c r="I2089" s="21">
        <f t="shared" si="168"/>
        <v>0</v>
      </c>
      <c r="J2089" s="22" t="e">
        <f>VLOOKUP($A2089, TAB_JUROS_C[[DIAS_CORRIDOS]:[V_FUT_UTEIS]], J$5, FALSE)</f>
        <v>#N/A</v>
      </c>
      <c r="K2089" s="22" t="e">
        <f>VLOOKUP($A2089, TAB_CORRECAO_C[[DIAS_CORRIDOS]:[V_FUT_UTEIS]],K$5, FALSE)</f>
        <v>#N/A</v>
      </c>
      <c r="L2089" s="22" t="e">
        <f>VLOOKUP($A2089, TAB_AMORTIZACAO_C[[DIAS_CORRIDOS]:[V_FUT_UTEIS]], L$5, FALSE)</f>
        <v>#N/A</v>
      </c>
    </row>
    <row r="2090" spans="1:12" hidden="1">
      <c r="A2090" s="19">
        <f t="shared" si="169"/>
        <v>2084</v>
      </c>
      <c r="B2090" s="20">
        <f t="shared" si="165"/>
        <v>0</v>
      </c>
      <c r="C2090" s="21">
        <f t="shared" si="166"/>
        <v>0</v>
      </c>
      <c r="D2090" s="22" t="e">
        <f>VLOOKUP($A2090, TAB_JUROS_U[[Q_DIAS_U_PARC_TIR]:[V_FUT_U_JURS CENARIO]], D$5, FALSE)</f>
        <v>#N/A</v>
      </c>
      <c r="E2090" s="22" t="e">
        <f>VLOOKUP($A2090,TAB_CORRECAO_U[[Q_DIAS_U_PARC_TIR]:[V_FUT_U_CORC-02]],E$5, FALSE)</f>
        <v>#N/A</v>
      </c>
      <c r="F2090" s="22" t="e">
        <f>VLOOKUP($A2090,TAB_AMORTIZACAO_U[[Q_DIAS_U_PARC_TIR]:[V_FUT_U_PCPL-02]], F$5, FALSE)</f>
        <v>#N/A</v>
      </c>
      <c r="H2090" s="20">
        <f t="shared" si="167"/>
        <v>0</v>
      </c>
      <c r="I2090" s="21">
        <f t="shared" si="168"/>
        <v>0</v>
      </c>
      <c r="J2090" s="22" t="e">
        <f>VLOOKUP($A2090, TAB_JUROS_C[[DIAS_CORRIDOS]:[V_FUT_UTEIS]], J$5, FALSE)</f>
        <v>#N/A</v>
      </c>
      <c r="K2090" s="22" t="e">
        <f>VLOOKUP($A2090, TAB_CORRECAO_C[[DIAS_CORRIDOS]:[V_FUT_UTEIS]],K$5, FALSE)</f>
        <v>#N/A</v>
      </c>
      <c r="L2090" s="22" t="e">
        <f>VLOOKUP($A2090, TAB_AMORTIZACAO_C[[DIAS_CORRIDOS]:[V_FUT_UTEIS]], L$5, FALSE)</f>
        <v>#N/A</v>
      </c>
    </row>
    <row r="2091" spans="1:12" hidden="1">
      <c r="A2091" s="19">
        <f t="shared" si="169"/>
        <v>2085</v>
      </c>
      <c r="B2091" s="20">
        <f t="shared" si="165"/>
        <v>0</v>
      </c>
      <c r="C2091" s="21">
        <f t="shared" si="166"/>
        <v>0</v>
      </c>
      <c r="D2091" s="22" t="e">
        <f>VLOOKUP($A2091, TAB_JUROS_U[[Q_DIAS_U_PARC_TIR]:[V_FUT_U_JURS CENARIO]], D$5, FALSE)</f>
        <v>#N/A</v>
      </c>
      <c r="E2091" s="22" t="e">
        <f>VLOOKUP($A2091,TAB_CORRECAO_U[[Q_DIAS_U_PARC_TIR]:[V_FUT_U_CORC-02]],E$5, FALSE)</f>
        <v>#N/A</v>
      </c>
      <c r="F2091" s="22" t="e">
        <f>VLOOKUP($A2091,TAB_AMORTIZACAO_U[[Q_DIAS_U_PARC_TIR]:[V_FUT_U_PCPL-02]], F$5, FALSE)</f>
        <v>#N/A</v>
      </c>
      <c r="H2091" s="20">
        <f t="shared" si="167"/>
        <v>0</v>
      </c>
      <c r="I2091" s="21">
        <f t="shared" si="168"/>
        <v>0</v>
      </c>
      <c r="J2091" s="22" t="e">
        <f>VLOOKUP($A2091, TAB_JUROS_C[[DIAS_CORRIDOS]:[V_FUT_UTEIS]], J$5, FALSE)</f>
        <v>#N/A</v>
      </c>
      <c r="K2091" s="22" t="e">
        <f>VLOOKUP($A2091, TAB_CORRECAO_C[[DIAS_CORRIDOS]:[V_FUT_UTEIS]],K$5, FALSE)</f>
        <v>#N/A</v>
      </c>
      <c r="L2091" s="22" t="e">
        <f>VLOOKUP($A2091, TAB_AMORTIZACAO_C[[DIAS_CORRIDOS]:[V_FUT_UTEIS]], L$5, FALSE)</f>
        <v>#N/A</v>
      </c>
    </row>
    <row r="2092" spans="1:12" hidden="1">
      <c r="A2092" s="19">
        <f t="shared" si="169"/>
        <v>2086</v>
      </c>
      <c r="B2092" s="20">
        <f t="shared" si="165"/>
        <v>0</v>
      </c>
      <c r="C2092" s="21">
        <f t="shared" si="166"/>
        <v>0</v>
      </c>
      <c r="D2092" s="22" t="e">
        <f>VLOOKUP($A2092, TAB_JUROS_U[[Q_DIAS_U_PARC_TIR]:[V_FUT_U_JURS CENARIO]], D$5, FALSE)</f>
        <v>#N/A</v>
      </c>
      <c r="E2092" s="22" t="e">
        <f>VLOOKUP($A2092,TAB_CORRECAO_U[[Q_DIAS_U_PARC_TIR]:[V_FUT_U_CORC-02]],E$5, FALSE)</f>
        <v>#N/A</v>
      </c>
      <c r="F2092" s="22" t="e">
        <f>VLOOKUP($A2092,TAB_AMORTIZACAO_U[[Q_DIAS_U_PARC_TIR]:[V_FUT_U_PCPL-02]], F$5, FALSE)</f>
        <v>#N/A</v>
      </c>
      <c r="H2092" s="20">
        <f t="shared" si="167"/>
        <v>0</v>
      </c>
      <c r="I2092" s="21">
        <f t="shared" si="168"/>
        <v>0</v>
      </c>
      <c r="J2092" s="22" t="e">
        <f>VLOOKUP($A2092, TAB_JUROS_C[[DIAS_CORRIDOS]:[V_FUT_UTEIS]], J$5, FALSE)</f>
        <v>#N/A</v>
      </c>
      <c r="K2092" s="22" t="e">
        <f>VLOOKUP($A2092, TAB_CORRECAO_C[[DIAS_CORRIDOS]:[V_FUT_UTEIS]],K$5, FALSE)</f>
        <v>#N/A</v>
      </c>
      <c r="L2092" s="22" t="e">
        <f>VLOOKUP($A2092, TAB_AMORTIZACAO_C[[DIAS_CORRIDOS]:[V_FUT_UTEIS]], L$5, FALSE)</f>
        <v>#N/A</v>
      </c>
    </row>
    <row r="2093" spans="1:12" hidden="1">
      <c r="A2093" s="19">
        <f t="shared" si="169"/>
        <v>2087</v>
      </c>
      <c r="B2093" s="20">
        <f t="shared" si="165"/>
        <v>0</v>
      </c>
      <c r="C2093" s="21">
        <f t="shared" si="166"/>
        <v>0</v>
      </c>
      <c r="D2093" s="22" t="e">
        <f>VLOOKUP($A2093, TAB_JUROS_U[[Q_DIAS_U_PARC_TIR]:[V_FUT_U_JURS CENARIO]], D$5, FALSE)</f>
        <v>#N/A</v>
      </c>
      <c r="E2093" s="22" t="e">
        <f>VLOOKUP($A2093,TAB_CORRECAO_U[[Q_DIAS_U_PARC_TIR]:[V_FUT_U_CORC-02]],E$5, FALSE)</f>
        <v>#N/A</v>
      </c>
      <c r="F2093" s="22" t="e">
        <f>VLOOKUP($A2093,TAB_AMORTIZACAO_U[[Q_DIAS_U_PARC_TIR]:[V_FUT_U_PCPL-02]], F$5, FALSE)</f>
        <v>#N/A</v>
      </c>
      <c r="H2093" s="20">
        <f t="shared" si="167"/>
        <v>0</v>
      </c>
      <c r="I2093" s="21">
        <f t="shared" si="168"/>
        <v>0</v>
      </c>
      <c r="J2093" s="22" t="e">
        <f>VLOOKUP($A2093, TAB_JUROS_C[[DIAS_CORRIDOS]:[V_FUT_UTEIS]], J$5, FALSE)</f>
        <v>#N/A</v>
      </c>
      <c r="K2093" s="22" t="e">
        <f>VLOOKUP($A2093, TAB_CORRECAO_C[[DIAS_CORRIDOS]:[V_FUT_UTEIS]],K$5, FALSE)</f>
        <v>#N/A</v>
      </c>
      <c r="L2093" s="22" t="e">
        <f>VLOOKUP($A2093, TAB_AMORTIZACAO_C[[DIAS_CORRIDOS]:[V_FUT_UTEIS]], L$5, FALSE)</f>
        <v>#N/A</v>
      </c>
    </row>
    <row r="2094" spans="1:12" hidden="1">
      <c r="A2094" s="19">
        <f t="shared" si="169"/>
        <v>2088</v>
      </c>
      <c r="B2094" s="20">
        <f t="shared" si="165"/>
        <v>0</v>
      </c>
      <c r="C2094" s="21">
        <f t="shared" si="166"/>
        <v>0</v>
      </c>
      <c r="D2094" s="22" t="e">
        <f>VLOOKUP($A2094, TAB_JUROS_U[[Q_DIAS_U_PARC_TIR]:[V_FUT_U_JURS CENARIO]], D$5, FALSE)</f>
        <v>#N/A</v>
      </c>
      <c r="E2094" s="22" t="e">
        <f>VLOOKUP($A2094,TAB_CORRECAO_U[[Q_DIAS_U_PARC_TIR]:[V_FUT_U_CORC-02]],E$5, FALSE)</f>
        <v>#N/A</v>
      </c>
      <c r="F2094" s="22" t="e">
        <f>VLOOKUP($A2094,TAB_AMORTIZACAO_U[[Q_DIAS_U_PARC_TIR]:[V_FUT_U_PCPL-02]], F$5, FALSE)</f>
        <v>#N/A</v>
      </c>
      <c r="H2094" s="20">
        <f t="shared" si="167"/>
        <v>0</v>
      </c>
      <c r="I2094" s="21">
        <f t="shared" si="168"/>
        <v>0</v>
      </c>
      <c r="J2094" s="22" t="e">
        <f>VLOOKUP($A2094, TAB_JUROS_C[[DIAS_CORRIDOS]:[V_FUT_UTEIS]], J$5, FALSE)</f>
        <v>#N/A</v>
      </c>
      <c r="K2094" s="22" t="e">
        <f>VLOOKUP($A2094, TAB_CORRECAO_C[[DIAS_CORRIDOS]:[V_FUT_UTEIS]],K$5, FALSE)</f>
        <v>#N/A</v>
      </c>
      <c r="L2094" s="22" t="e">
        <f>VLOOKUP($A2094, TAB_AMORTIZACAO_C[[DIAS_CORRIDOS]:[V_FUT_UTEIS]], L$5, FALSE)</f>
        <v>#N/A</v>
      </c>
    </row>
    <row r="2095" spans="1:12" hidden="1">
      <c r="A2095" s="19">
        <f t="shared" si="169"/>
        <v>2089</v>
      </c>
      <c r="B2095" s="20">
        <f t="shared" si="165"/>
        <v>0</v>
      </c>
      <c r="C2095" s="21">
        <f t="shared" si="166"/>
        <v>0</v>
      </c>
      <c r="D2095" s="22" t="e">
        <f>VLOOKUP($A2095, TAB_JUROS_U[[Q_DIAS_U_PARC_TIR]:[V_FUT_U_JURS CENARIO]], D$5, FALSE)</f>
        <v>#N/A</v>
      </c>
      <c r="E2095" s="22" t="e">
        <f>VLOOKUP($A2095,TAB_CORRECAO_U[[Q_DIAS_U_PARC_TIR]:[V_FUT_U_CORC-02]],E$5, FALSE)</f>
        <v>#N/A</v>
      </c>
      <c r="F2095" s="22" t="e">
        <f>VLOOKUP($A2095,TAB_AMORTIZACAO_U[[Q_DIAS_U_PARC_TIR]:[V_FUT_U_PCPL-02]], F$5, FALSE)</f>
        <v>#N/A</v>
      </c>
      <c r="H2095" s="20">
        <f t="shared" si="167"/>
        <v>0</v>
      </c>
      <c r="I2095" s="21">
        <f t="shared" si="168"/>
        <v>0</v>
      </c>
      <c r="J2095" s="22" t="e">
        <f>VLOOKUP($A2095, TAB_JUROS_C[[DIAS_CORRIDOS]:[V_FUT_UTEIS]], J$5, FALSE)</f>
        <v>#N/A</v>
      </c>
      <c r="K2095" s="22" t="e">
        <f>VLOOKUP($A2095, TAB_CORRECAO_C[[DIAS_CORRIDOS]:[V_FUT_UTEIS]],K$5, FALSE)</f>
        <v>#N/A</v>
      </c>
      <c r="L2095" s="22" t="e">
        <f>VLOOKUP($A2095, TAB_AMORTIZACAO_C[[DIAS_CORRIDOS]:[V_FUT_UTEIS]], L$5, FALSE)</f>
        <v>#N/A</v>
      </c>
    </row>
    <row r="2096" spans="1:12" hidden="1">
      <c r="A2096" s="19">
        <f t="shared" si="169"/>
        <v>2090</v>
      </c>
      <c r="B2096" s="20">
        <f t="shared" si="165"/>
        <v>0</v>
      </c>
      <c r="C2096" s="21">
        <f t="shared" si="166"/>
        <v>0</v>
      </c>
      <c r="D2096" s="22" t="e">
        <f>VLOOKUP($A2096, TAB_JUROS_U[[Q_DIAS_U_PARC_TIR]:[V_FUT_U_JURS CENARIO]], D$5, FALSE)</f>
        <v>#N/A</v>
      </c>
      <c r="E2096" s="22" t="e">
        <f>VLOOKUP($A2096,TAB_CORRECAO_U[[Q_DIAS_U_PARC_TIR]:[V_FUT_U_CORC-02]],E$5, FALSE)</f>
        <v>#N/A</v>
      </c>
      <c r="F2096" s="22" t="e">
        <f>VLOOKUP($A2096,TAB_AMORTIZACAO_U[[Q_DIAS_U_PARC_TIR]:[V_FUT_U_PCPL-02]], F$5, FALSE)</f>
        <v>#N/A</v>
      </c>
      <c r="H2096" s="20">
        <f t="shared" si="167"/>
        <v>0</v>
      </c>
      <c r="I2096" s="21">
        <f t="shared" si="168"/>
        <v>0</v>
      </c>
      <c r="J2096" s="22" t="e">
        <f>VLOOKUP($A2096, TAB_JUROS_C[[DIAS_CORRIDOS]:[V_FUT_UTEIS]], J$5, FALSE)</f>
        <v>#N/A</v>
      </c>
      <c r="K2096" s="22" t="e">
        <f>VLOOKUP($A2096, TAB_CORRECAO_C[[DIAS_CORRIDOS]:[V_FUT_UTEIS]],K$5, FALSE)</f>
        <v>#N/A</v>
      </c>
      <c r="L2096" s="22" t="e">
        <f>VLOOKUP($A2096, TAB_AMORTIZACAO_C[[DIAS_CORRIDOS]:[V_FUT_UTEIS]], L$5, FALSE)</f>
        <v>#N/A</v>
      </c>
    </row>
    <row r="2097" spans="1:12" hidden="1">
      <c r="A2097" s="19">
        <f t="shared" si="169"/>
        <v>2091</v>
      </c>
      <c r="B2097" s="20">
        <f t="shared" si="165"/>
        <v>0</v>
      </c>
      <c r="C2097" s="21">
        <f t="shared" si="166"/>
        <v>0</v>
      </c>
      <c r="D2097" s="22" t="e">
        <f>VLOOKUP($A2097, TAB_JUROS_U[[Q_DIAS_U_PARC_TIR]:[V_FUT_U_JURS CENARIO]], D$5, FALSE)</f>
        <v>#N/A</v>
      </c>
      <c r="E2097" s="22" t="e">
        <f>VLOOKUP($A2097,TAB_CORRECAO_U[[Q_DIAS_U_PARC_TIR]:[V_FUT_U_CORC-02]],E$5, FALSE)</f>
        <v>#N/A</v>
      </c>
      <c r="F2097" s="22" t="e">
        <f>VLOOKUP($A2097,TAB_AMORTIZACAO_U[[Q_DIAS_U_PARC_TIR]:[V_FUT_U_PCPL-02]], F$5, FALSE)</f>
        <v>#N/A</v>
      </c>
      <c r="H2097" s="20">
        <f t="shared" si="167"/>
        <v>0</v>
      </c>
      <c r="I2097" s="21">
        <f t="shared" si="168"/>
        <v>0</v>
      </c>
      <c r="J2097" s="22" t="e">
        <f>VLOOKUP($A2097, TAB_JUROS_C[[DIAS_CORRIDOS]:[V_FUT_UTEIS]], J$5, FALSE)</f>
        <v>#N/A</v>
      </c>
      <c r="K2097" s="22" t="e">
        <f>VLOOKUP($A2097, TAB_CORRECAO_C[[DIAS_CORRIDOS]:[V_FUT_UTEIS]],K$5, FALSE)</f>
        <v>#N/A</v>
      </c>
      <c r="L2097" s="22" t="e">
        <f>VLOOKUP($A2097, TAB_AMORTIZACAO_C[[DIAS_CORRIDOS]:[V_FUT_UTEIS]], L$5, FALSE)</f>
        <v>#N/A</v>
      </c>
    </row>
    <row r="2098" spans="1:12" hidden="1">
      <c r="A2098" s="19">
        <f t="shared" si="169"/>
        <v>2092</v>
      </c>
      <c r="B2098" s="20">
        <f t="shared" si="165"/>
        <v>0</v>
      </c>
      <c r="C2098" s="21">
        <f t="shared" si="166"/>
        <v>0</v>
      </c>
      <c r="D2098" s="22" t="e">
        <f>VLOOKUP($A2098, TAB_JUROS_U[[Q_DIAS_U_PARC_TIR]:[V_FUT_U_JURS CENARIO]], D$5, FALSE)</f>
        <v>#N/A</v>
      </c>
      <c r="E2098" s="22" t="e">
        <f>VLOOKUP($A2098,TAB_CORRECAO_U[[Q_DIAS_U_PARC_TIR]:[V_FUT_U_CORC-02]],E$5, FALSE)</f>
        <v>#N/A</v>
      </c>
      <c r="F2098" s="22" t="e">
        <f>VLOOKUP($A2098,TAB_AMORTIZACAO_U[[Q_DIAS_U_PARC_TIR]:[V_FUT_U_PCPL-02]], F$5, FALSE)</f>
        <v>#N/A</v>
      </c>
      <c r="H2098" s="20">
        <f t="shared" si="167"/>
        <v>0</v>
      </c>
      <c r="I2098" s="21">
        <f t="shared" si="168"/>
        <v>0</v>
      </c>
      <c r="J2098" s="22" t="e">
        <f>VLOOKUP($A2098, TAB_JUROS_C[[DIAS_CORRIDOS]:[V_FUT_UTEIS]], J$5, FALSE)</f>
        <v>#N/A</v>
      </c>
      <c r="K2098" s="22" t="e">
        <f>VLOOKUP($A2098, TAB_CORRECAO_C[[DIAS_CORRIDOS]:[V_FUT_UTEIS]],K$5, FALSE)</f>
        <v>#N/A</v>
      </c>
      <c r="L2098" s="22" t="e">
        <f>VLOOKUP($A2098, TAB_AMORTIZACAO_C[[DIAS_CORRIDOS]:[V_FUT_UTEIS]], L$5, FALSE)</f>
        <v>#N/A</v>
      </c>
    </row>
    <row r="2099" spans="1:12" hidden="1">
      <c r="A2099" s="19">
        <f t="shared" si="169"/>
        <v>2093</v>
      </c>
      <c r="B2099" s="20">
        <f t="shared" si="165"/>
        <v>0</v>
      </c>
      <c r="C2099" s="21">
        <f t="shared" si="166"/>
        <v>0</v>
      </c>
      <c r="D2099" s="22" t="e">
        <f>VLOOKUP($A2099, TAB_JUROS_U[[Q_DIAS_U_PARC_TIR]:[V_FUT_U_JURS CENARIO]], D$5, FALSE)</f>
        <v>#N/A</v>
      </c>
      <c r="E2099" s="22" t="e">
        <f>VLOOKUP($A2099,TAB_CORRECAO_U[[Q_DIAS_U_PARC_TIR]:[V_FUT_U_CORC-02]],E$5, FALSE)</f>
        <v>#N/A</v>
      </c>
      <c r="F2099" s="22" t="e">
        <f>VLOOKUP($A2099,TAB_AMORTIZACAO_U[[Q_DIAS_U_PARC_TIR]:[V_FUT_U_PCPL-02]], F$5, FALSE)</f>
        <v>#N/A</v>
      </c>
      <c r="H2099" s="20">
        <f t="shared" si="167"/>
        <v>0</v>
      </c>
      <c r="I2099" s="21">
        <f t="shared" si="168"/>
        <v>0</v>
      </c>
      <c r="J2099" s="22" t="e">
        <f>VLOOKUP($A2099, TAB_JUROS_C[[DIAS_CORRIDOS]:[V_FUT_UTEIS]], J$5, FALSE)</f>
        <v>#N/A</v>
      </c>
      <c r="K2099" s="22" t="e">
        <f>VLOOKUP($A2099, TAB_CORRECAO_C[[DIAS_CORRIDOS]:[V_FUT_UTEIS]],K$5, FALSE)</f>
        <v>#N/A</v>
      </c>
      <c r="L2099" s="22" t="e">
        <f>VLOOKUP($A2099, TAB_AMORTIZACAO_C[[DIAS_CORRIDOS]:[V_FUT_UTEIS]], L$5, FALSE)</f>
        <v>#N/A</v>
      </c>
    </row>
    <row r="2100" spans="1:12" hidden="1">
      <c r="A2100" s="19">
        <f t="shared" si="169"/>
        <v>2094</v>
      </c>
      <c r="B2100" s="20">
        <f t="shared" si="165"/>
        <v>0</v>
      </c>
      <c r="C2100" s="21">
        <f t="shared" si="166"/>
        <v>0</v>
      </c>
      <c r="D2100" s="22" t="e">
        <f>VLOOKUP($A2100, TAB_JUROS_U[[Q_DIAS_U_PARC_TIR]:[V_FUT_U_JURS CENARIO]], D$5, FALSE)</f>
        <v>#N/A</v>
      </c>
      <c r="E2100" s="22" t="e">
        <f>VLOOKUP($A2100,TAB_CORRECAO_U[[Q_DIAS_U_PARC_TIR]:[V_FUT_U_CORC-02]],E$5, FALSE)</f>
        <v>#N/A</v>
      </c>
      <c r="F2100" s="22" t="e">
        <f>VLOOKUP($A2100,TAB_AMORTIZACAO_U[[Q_DIAS_U_PARC_TIR]:[V_FUT_U_PCPL-02]], F$5, FALSE)</f>
        <v>#N/A</v>
      </c>
      <c r="H2100" s="20">
        <f t="shared" si="167"/>
        <v>0</v>
      </c>
      <c r="I2100" s="21">
        <f t="shared" si="168"/>
        <v>0</v>
      </c>
      <c r="J2100" s="22" t="e">
        <f>VLOOKUP($A2100, TAB_JUROS_C[[DIAS_CORRIDOS]:[V_FUT_UTEIS]], J$5, FALSE)</f>
        <v>#N/A</v>
      </c>
      <c r="K2100" s="22" t="e">
        <f>VLOOKUP($A2100, TAB_CORRECAO_C[[DIAS_CORRIDOS]:[V_FUT_UTEIS]],K$5, FALSE)</f>
        <v>#N/A</v>
      </c>
      <c r="L2100" s="22" t="e">
        <f>VLOOKUP($A2100, TAB_AMORTIZACAO_C[[DIAS_CORRIDOS]:[V_FUT_UTEIS]], L$5, FALSE)</f>
        <v>#N/A</v>
      </c>
    </row>
    <row r="2101" spans="1:12" hidden="1">
      <c r="A2101" s="19">
        <f t="shared" si="169"/>
        <v>2095</v>
      </c>
      <c r="B2101" s="20">
        <f t="shared" si="165"/>
        <v>0</v>
      </c>
      <c r="C2101" s="21">
        <f t="shared" si="166"/>
        <v>0</v>
      </c>
      <c r="D2101" s="22" t="e">
        <f>VLOOKUP($A2101, TAB_JUROS_U[[Q_DIAS_U_PARC_TIR]:[V_FUT_U_JURS CENARIO]], D$5, FALSE)</f>
        <v>#N/A</v>
      </c>
      <c r="E2101" s="22" t="e">
        <f>VLOOKUP($A2101,TAB_CORRECAO_U[[Q_DIAS_U_PARC_TIR]:[V_FUT_U_CORC-02]],E$5, FALSE)</f>
        <v>#N/A</v>
      </c>
      <c r="F2101" s="22" t="e">
        <f>VLOOKUP($A2101,TAB_AMORTIZACAO_U[[Q_DIAS_U_PARC_TIR]:[V_FUT_U_PCPL-02]], F$5, FALSE)</f>
        <v>#N/A</v>
      </c>
      <c r="H2101" s="20">
        <f t="shared" si="167"/>
        <v>0</v>
      </c>
      <c r="I2101" s="21">
        <f t="shared" si="168"/>
        <v>0</v>
      </c>
      <c r="J2101" s="22" t="e">
        <f>VLOOKUP($A2101, TAB_JUROS_C[[DIAS_CORRIDOS]:[V_FUT_UTEIS]], J$5, FALSE)</f>
        <v>#N/A</v>
      </c>
      <c r="K2101" s="22" t="e">
        <f>VLOOKUP($A2101, TAB_CORRECAO_C[[DIAS_CORRIDOS]:[V_FUT_UTEIS]],K$5, FALSE)</f>
        <v>#N/A</v>
      </c>
      <c r="L2101" s="22" t="e">
        <f>VLOOKUP($A2101, TAB_AMORTIZACAO_C[[DIAS_CORRIDOS]:[V_FUT_UTEIS]], L$5, FALSE)</f>
        <v>#N/A</v>
      </c>
    </row>
    <row r="2102" spans="1:12" hidden="1">
      <c r="A2102" s="19">
        <f t="shared" si="169"/>
        <v>2096</v>
      </c>
      <c r="B2102" s="20">
        <f t="shared" si="165"/>
        <v>0</v>
      </c>
      <c r="C2102" s="21">
        <f t="shared" si="166"/>
        <v>0</v>
      </c>
      <c r="D2102" s="22" t="e">
        <f>VLOOKUP($A2102, TAB_JUROS_U[[Q_DIAS_U_PARC_TIR]:[V_FUT_U_JURS CENARIO]], D$5, FALSE)</f>
        <v>#N/A</v>
      </c>
      <c r="E2102" s="22" t="e">
        <f>VLOOKUP($A2102,TAB_CORRECAO_U[[Q_DIAS_U_PARC_TIR]:[V_FUT_U_CORC-02]],E$5, FALSE)</f>
        <v>#N/A</v>
      </c>
      <c r="F2102" s="22" t="e">
        <f>VLOOKUP($A2102,TAB_AMORTIZACAO_U[[Q_DIAS_U_PARC_TIR]:[V_FUT_U_PCPL-02]], F$5, FALSE)</f>
        <v>#N/A</v>
      </c>
      <c r="H2102" s="20">
        <f t="shared" si="167"/>
        <v>0</v>
      </c>
      <c r="I2102" s="21">
        <f t="shared" si="168"/>
        <v>0</v>
      </c>
      <c r="J2102" s="22" t="e">
        <f>VLOOKUP($A2102, TAB_JUROS_C[[DIAS_CORRIDOS]:[V_FUT_UTEIS]], J$5, FALSE)</f>
        <v>#N/A</v>
      </c>
      <c r="K2102" s="22" t="e">
        <f>VLOOKUP($A2102, TAB_CORRECAO_C[[DIAS_CORRIDOS]:[V_FUT_UTEIS]],K$5, FALSE)</f>
        <v>#N/A</v>
      </c>
      <c r="L2102" s="22" t="e">
        <f>VLOOKUP($A2102, TAB_AMORTIZACAO_C[[DIAS_CORRIDOS]:[V_FUT_UTEIS]], L$5, FALSE)</f>
        <v>#N/A</v>
      </c>
    </row>
    <row r="2103" spans="1:12" hidden="1">
      <c r="A2103" s="19">
        <f t="shared" si="169"/>
        <v>2097</v>
      </c>
      <c r="B2103" s="20">
        <f t="shared" si="165"/>
        <v>0</v>
      </c>
      <c r="C2103" s="21">
        <f t="shared" si="166"/>
        <v>0</v>
      </c>
      <c r="D2103" s="22" t="e">
        <f>VLOOKUP($A2103, TAB_JUROS_U[[Q_DIAS_U_PARC_TIR]:[V_FUT_U_JURS CENARIO]], D$5, FALSE)</f>
        <v>#N/A</v>
      </c>
      <c r="E2103" s="22" t="e">
        <f>VLOOKUP($A2103,TAB_CORRECAO_U[[Q_DIAS_U_PARC_TIR]:[V_FUT_U_CORC-02]],E$5, FALSE)</f>
        <v>#N/A</v>
      </c>
      <c r="F2103" s="22" t="e">
        <f>VLOOKUP($A2103,TAB_AMORTIZACAO_U[[Q_DIAS_U_PARC_TIR]:[V_FUT_U_PCPL-02]], F$5, FALSE)</f>
        <v>#N/A</v>
      </c>
      <c r="H2103" s="20">
        <f t="shared" si="167"/>
        <v>0</v>
      </c>
      <c r="I2103" s="21">
        <f t="shared" si="168"/>
        <v>0</v>
      </c>
      <c r="J2103" s="22" t="e">
        <f>VLOOKUP($A2103, TAB_JUROS_C[[DIAS_CORRIDOS]:[V_FUT_UTEIS]], J$5, FALSE)</f>
        <v>#N/A</v>
      </c>
      <c r="K2103" s="22" t="e">
        <f>VLOOKUP($A2103, TAB_CORRECAO_C[[DIAS_CORRIDOS]:[V_FUT_UTEIS]],K$5, FALSE)</f>
        <v>#N/A</v>
      </c>
      <c r="L2103" s="22" t="e">
        <f>VLOOKUP($A2103, TAB_AMORTIZACAO_C[[DIAS_CORRIDOS]:[V_FUT_UTEIS]], L$5, FALSE)</f>
        <v>#N/A</v>
      </c>
    </row>
    <row r="2104" spans="1:12" hidden="1">
      <c r="A2104" s="19">
        <f t="shared" si="169"/>
        <v>2098</v>
      </c>
      <c r="B2104" s="20">
        <f t="shared" si="165"/>
        <v>0</v>
      </c>
      <c r="C2104" s="21">
        <f t="shared" si="166"/>
        <v>0</v>
      </c>
      <c r="D2104" s="22" t="e">
        <f>VLOOKUP($A2104, TAB_JUROS_U[[Q_DIAS_U_PARC_TIR]:[V_FUT_U_JURS CENARIO]], D$5, FALSE)</f>
        <v>#N/A</v>
      </c>
      <c r="E2104" s="22" t="e">
        <f>VLOOKUP($A2104,TAB_CORRECAO_U[[Q_DIAS_U_PARC_TIR]:[V_FUT_U_CORC-02]],E$5, FALSE)</f>
        <v>#N/A</v>
      </c>
      <c r="F2104" s="22" t="e">
        <f>VLOOKUP($A2104,TAB_AMORTIZACAO_U[[Q_DIAS_U_PARC_TIR]:[V_FUT_U_PCPL-02]], F$5, FALSE)</f>
        <v>#N/A</v>
      </c>
      <c r="H2104" s="20">
        <f t="shared" si="167"/>
        <v>0</v>
      </c>
      <c r="I2104" s="21">
        <f t="shared" si="168"/>
        <v>0</v>
      </c>
      <c r="J2104" s="22" t="e">
        <f>VLOOKUP($A2104, TAB_JUROS_C[[DIAS_CORRIDOS]:[V_FUT_UTEIS]], J$5, FALSE)</f>
        <v>#N/A</v>
      </c>
      <c r="K2104" s="22" t="e">
        <f>VLOOKUP($A2104, TAB_CORRECAO_C[[DIAS_CORRIDOS]:[V_FUT_UTEIS]],K$5, FALSE)</f>
        <v>#N/A</v>
      </c>
      <c r="L2104" s="22" t="e">
        <f>VLOOKUP($A2104, TAB_AMORTIZACAO_C[[DIAS_CORRIDOS]:[V_FUT_UTEIS]], L$5, FALSE)</f>
        <v>#N/A</v>
      </c>
    </row>
    <row r="2105" spans="1:12" hidden="1">
      <c r="A2105" s="19">
        <f t="shared" si="169"/>
        <v>2099</v>
      </c>
      <c r="B2105" s="20">
        <f t="shared" si="165"/>
        <v>0</v>
      </c>
      <c r="C2105" s="21">
        <f t="shared" si="166"/>
        <v>0</v>
      </c>
      <c r="D2105" s="22" t="e">
        <f>VLOOKUP($A2105, TAB_JUROS_U[[Q_DIAS_U_PARC_TIR]:[V_FUT_U_JURS CENARIO]], D$5, FALSE)</f>
        <v>#N/A</v>
      </c>
      <c r="E2105" s="22" t="e">
        <f>VLOOKUP($A2105,TAB_CORRECAO_U[[Q_DIAS_U_PARC_TIR]:[V_FUT_U_CORC-02]],E$5, FALSE)</f>
        <v>#N/A</v>
      </c>
      <c r="F2105" s="22" t="e">
        <f>VLOOKUP($A2105,TAB_AMORTIZACAO_U[[Q_DIAS_U_PARC_TIR]:[V_FUT_U_PCPL-02]], F$5, FALSE)</f>
        <v>#N/A</v>
      </c>
      <c r="H2105" s="20">
        <f t="shared" si="167"/>
        <v>0</v>
      </c>
      <c r="I2105" s="21">
        <f t="shared" si="168"/>
        <v>0</v>
      </c>
      <c r="J2105" s="22" t="e">
        <f>VLOOKUP($A2105, TAB_JUROS_C[[DIAS_CORRIDOS]:[V_FUT_UTEIS]], J$5, FALSE)</f>
        <v>#N/A</v>
      </c>
      <c r="K2105" s="22" t="e">
        <f>VLOOKUP($A2105, TAB_CORRECAO_C[[DIAS_CORRIDOS]:[V_FUT_UTEIS]],K$5, FALSE)</f>
        <v>#N/A</v>
      </c>
      <c r="L2105" s="22" t="e">
        <f>VLOOKUP($A2105, TAB_AMORTIZACAO_C[[DIAS_CORRIDOS]:[V_FUT_UTEIS]], L$5, FALSE)</f>
        <v>#N/A</v>
      </c>
    </row>
    <row r="2106" spans="1:12" hidden="1">
      <c r="A2106" s="19">
        <f t="shared" si="169"/>
        <v>2100</v>
      </c>
      <c r="B2106" s="20">
        <f t="shared" si="165"/>
        <v>0</v>
      </c>
      <c r="C2106" s="21">
        <f t="shared" si="166"/>
        <v>0</v>
      </c>
      <c r="D2106" s="22" t="e">
        <f>VLOOKUP($A2106, TAB_JUROS_U[[Q_DIAS_U_PARC_TIR]:[V_FUT_U_JURS CENARIO]], D$5, FALSE)</f>
        <v>#N/A</v>
      </c>
      <c r="E2106" s="22" t="e">
        <f>VLOOKUP($A2106,TAB_CORRECAO_U[[Q_DIAS_U_PARC_TIR]:[V_FUT_U_CORC-02]],E$5, FALSE)</f>
        <v>#N/A</v>
      </c>
      <c r="F2106" s="22" t="e">
        <f>VLOOKUP($A2106,TAB_AMORTIZACAO_U[[Q_DIAS_U_PARC_TIR]:[V_FUT_U_PCPL-02]], F$5, FALSE)</f>
        <v>#N/A</v>
      </c>
      <c r="H2106" s="20">
        <f t="shared" si="167"/>
        <v>0</v>
      </c>
      <c r="I2106" s="21">
        <f t="shared" si="168"/>
        <v>0</v>
      </c>
      <c r="J2106" s="22" t="e">
        <f>VLOOKUP($A2106, TAB_JUROS_C[[DIAS_CORRIDOS]:[V_FUT_UTEIS]], J$5, FALSE)</f>
        <v>#N/A</v>
      </c>
      <c r="K2106" s="22" t="e">
        <f>VLOOKUP($A2106, TAB_CORRECAO_C[[DIAS_CORRIDOS]:[V_FUT_UTEIS]],K$5, FALSE)</f>
        <v>#N/A</v>
      </c>
      <c r="L2106" s="22" t="e">
        <f>VLOOKUP($A2106, TAB_AMORTIZACAO_C[[DIAS_CORRIDOS]:[V_FUT_UTEIS]], L$5, FALSE)</f>
        <v>#N/A</v>
      </c>
    </row>
    <row r="2107" spans="1:12">
      <c r="A2107" s="19">
        <f t="shared" si="169"/>
        <v>2101</v>
      </c>
      <c r="B2107" s="20">
        <f t="shared" si="165"/>
        <v>274.32257297001161</v>
      </c>
      <c r="C2107" s="21">
        <f t="shared" si="166"/>
        <v>274.32257297001161</v>
      </c>
      <c r="D2107" s="22">
        <f>VLOOKUP($A2107, TAB_JUROS_U[[Q_DIAS_U_PARC_TIR]:[V_FUT_U_JURS CENARIO]], D$5, FALSE)</f>
        <v>14.831676384533012</v>
      </c>
      <c r="E2107" s="22">
        <f>VLOOKUP($A2107,TAB_CORRECAO_U[[Q_DIAS_U_PARC_TIR]:[V_FUT_U_CORC-02]],E$5, FALSE)</f>
        <v>91.317234088245186</v>
      </c>
      <c r="F2107" s="22">
        <f>VLOOKUP($A2107,TAB_AMORTIZACAO_U[[Q_DIAS_U_PARC_TIR]:[V_FUT_U_PCPL-02]], F$5, FALSE)</f>
        <v>168.17366249723338</v>
      </c>
      <c r="H2107" s="20">
        <f t="shared" si="167"/>
        <v>0</v>
      </c>
      <c r="I2107" s="21">
        <f t="shared" si="168"/>
        <v>0</v>
      </c>
      <c r="J2107" s="22" t="e">
        <f>VLOOKUP($A2107, TAB_JUROS_C[[DIAS_CORRIDOS]:[V_FUT_UTEIS]], J$5, FALSE)</f>
        <v>#N/A</v>
      </c>
      <c r="K2107" s="22" t="e">
        <f>VLOOKUP($A2107, TAB_CORRECAO_C[[DIAS_CORRIDOS]:[V_FUT_UTEIS]],K$5, FALSE)</f>
        <v>#N/A</v>
      </c>
      <c r="L2107" s="22" t="e">
        <f>VLOOKUP($A2107, TAB_AMORTIZACAO_C[[DIAS_CORRIDOS]:[V_FUT_UTEIS]], L$5, FALSE)</f>
        <v>#N/A</v>
      </c>
    </row>
    <row r="2108" spans="1:12" hidden="1">
      <c r="A2108" s="19">
        <f t="shared" si="169"/>
        <v>2102</v>
      </c>
      <c r="B2108" s="20">
        <f t="shared" si="165"/>
        <v>0</v>
      </c>
      <c r="C2108" s="21">
        <f t="shared" si="166"/>
        <v>0</v>
      </c>
      <c r="D2108" s="22" t="e">
        <f>VLOOKUP($A2108, TAB_JUROS_U[[Q_DIAS_U_PARC_TIR]:[V_FUT_U_JURS CENARIO]], D$5, FALSE)</f>
        <v>#N/A</v>
      </c>
      <c r="E2108" s="22" t="e">
        <f>VLOOKUP($A2108,TAB_CORRECAO_U[[Q_DIAS_U_PARC_TIR]:[V_FUT_U_CORC-02]],E$5, FALSE)</f>
        <v>#N/A</v>
      </c>
      <c r="F2108" s="22" t="e">
        <f>VLOOKUP($A2108,TAB_AMORTIZACAO_U[[Q_DIAS_U_PARC_TIR]:[V_FUT_U_PCPL-02]], F$5, FALSE)</f>
        <v>#N/A</v>
      </c>
      <c r="H2108" s="20">
        <f t="shared" si="167"/>
        <v>0</v>
      </c>
      <c r="I2108" s="21">
        <f t="shared" si="168"/>
        <v>0</v>
      </c>
      <c r="J2108" s="22" t="e">
        <f>VLOOKUP($A2108, TAB_JUROS_C[[DIAS_CORRIDOS]:[V_FUT_UTEIS]], J$5, FALSE)</f>
        <v>#N/A</v>
      </c>
      <c r="K2108" s="22" t="e">
        <f>VLOOKUP($A2108, TAB_CORRECAO_C[[DIAS_CORRIDOS]:[V_FUT_UTEIS]],K$5, FALSE)</f>
        <v>#N/A</v>
      </c>
      <c r="L2108" s="22" t="e">
        <f>VLOOKUP($A2108, TAB_AMORTIZACAO_C[[DIAS_CORRIDOS]:[V_FUT_UTEIS]], L$5, FALSE)</f>
        <v>#N/A</v>
      </c>
    </row>
    <row r="2109" spans="1:12" hidden="1">
      <c r="A2109" s="19">
        <f t="shared" si="169"/>
        <v>2103</v>
      </c>
      <c r="B2109" s="20">
        <f t="shared" si="165"/>
        <v>0</v>
      </c>
      <c r="C2109" s="21">
        <f t="shared" si="166"/>
        <v>0</v>
      </c>
      <c r="D2109" s="22" t="e">
        <f>VLOOKUP($A2109, TAB_JUROS_U[[Q_DIAS_U_PARC_TIR]:[V_FUT_U_JURS CENARIO]], D$5, FALSE)</f>
        <v>#N/A</v>
      </c>
      <c r="E2109" s="22" t="e">
        <f>VLOOKUP($A2109,TAB_CORRECAO_U[[Q_DIAS_U_PARC_TIR]:[V_FUT_U_CORC-02]],E$5, FALSE)</f>
        <v>#N/A</v>
      </c>
      <c r="F2109" s="22" t="e">
        <f>VLOOKUP($A2109,TAB_AMORTIZACAO_U[[Q_DIAS_U_PARC_TIR]:[V_FUT_U_PCPL-02]], F$5, FALSE)</f>
        <v>#N/A</v>
      </c>
      <c r="H2109" s="20">
        <f t="shared" si="167"/>
        <v>0</v>
      </c>
      <c r="I2109" s="21">
        <f t="shared" si="168"/>
        <v>0</v>
      </c>
      <c r="J2109" s="22" t="e">
        <f>VLOOKUP($A2109, TAB_JUROS_C[[DIAS_CORRIDOS]:[V_FUT_UTEIS]], J$5, FALSE)</f>
        <v>#N/A</v>
      </c>
      <c r="K2109" s="22" t="e">
        <f>VLOOKUP($A2109, TAB_CORRECAO_C[[DIAS_CORRIDOS]:[V_FUT_UTEIS]],K$5, FALSE)</f>
        <v>#N/A</v>
      </c>
      <c r="L2109" s="22" t="e">
        <f>VLOOKUP($A2109, TAB_AMORTIZACAO_C[[DIAS_CORRIDOS]:[V_FUT_UTEIS]], L$5, FALSE)</f>
        <v>#N/A</v>
      </c>
    </row>
    <row r="2110" spans="1:12" hidden="1">
      <c r="A2110" s="19">
        <f t="shared" si="169"/>
        <v>2104</v>
      </c>
      <c r="B2110" s="20">
        <f t="shared" si="165"/>
        <v>0</v>
      </c>
      <c r="C2110" s="21">
        <f t="shared" si="166"/>
        <v>0</v>
      </c>
      <c r="D2110" s="22" t="e">
        <f>VLOOKUP($A2110, TAB_JUROS_U[[Q_DIAS_U_PARC_TIR]:[V_FUT_U_JURS CENARIO]], D$5, FALSE)</f>
        <v>#N/A</v>
      </c>
      <c r="E2110" s="22" t="e">
        <f>VLOOKUP($A2110,TAB_CORRECAO_U[[Q_DIAS_U_PARC_TIR]:[V_FUT_U_CORC-02]],E$5, FALSE)</f>
        <v>#N/A</v>
      </c>
      <c r="F2110" s="22" t="e">
        <f>VLOOKUP($A2110,TAB_AMORTIZACAO_U[[Q_DIAS_U_PARC_TIR]:[V_FUT_U_PCPL-02]], F$5, FALSE)</f>
        <v>#N/A</v>
      </c>
      <c r="H2110" s="20">
        <f t="shared" si="167"/>
        <v>0</v>
      </c>
      <c r="I2110" s="21">
        <f t="shared" si="168"/>
        <v>0</v>
      </c>
      <c r="J2110" s="22" t="e">
        <f>VLOOKUP($A2110, TAB_JUROS_C[[DIAS_CORRIDOS]:[V_FUT_UTEIS]], J$5, FALSE)</f>
        <v>#N/A</v>
      </c>
      <c r="K2110" s="22" t="e">
        <f>VLOOKUP($A2110, TAB_CORRECAO_C[[DIAS_CORRIDOS]:[V_FUT_UTEIS]],K$5, FALSE)</f>
        <v>#N/A</v>
      </c>
      <c r="L2110" s="22" t="e">
        <f>VLOOKUP($A2110, TAB_AMORTIZACAO_C[[DIAS_CORRIDOS]:[V_FUT_UTEIS]], L$5, FALSE)</f>
        <v>#N/A</v>
      </c>
    </row>
    <row r="2111" spans="1:12" hidden="1">
      <c r="A2111" s="19">
        <f t="shared" si="169"/>
        <v>2105</v>
      </c>
      <c r="B2111" s="20">
        <f t="shared" si="165"/>
        <v>0</v>
      </c>
      <c r="C2111" s="21">
        <f t="shared" si="166"/>
        <v>0</v>
      </c>
      <c r="D2111" s="22" t="e">
        <f>VLOOKUP($A2111, TAB_JUROS_U[[Q_DIAS_U_PARC_TIR]:[V_FUT_U_JURS CENARIO]], D$5, FALSE)</f>
        <v>#N/A</v>
      </c>
      <c r="E2111" s="22" t="e">
        <f>VLOOKUP($A2111,TAB_CORRECAO_U[[Q_DIAS_U_PARC_TIR]:[V_FUT_U_CORC-02]],E$5, FALSE)</f>
        <v>#N/A</v>
      </c>
      <c r="F2111" s="22" t="e">
        <f>VLOOKUP($A2111,TAB_AMORTIZACAO_U[[Q_DIAS_U_PARC_TIR]:[V_FUT_U_PCPL-02]], F$5, FALSE)</f>
        <v>#N/A</v>
      </c>
      <c r="H2111" s="20">
        <f t="shared" si="167"/>
        <v>0</v>
      </c>
      <c r="I2111" s="21">
        <f t="shared" si="168"/>
        <v>0</v>
      </c>
      <c r="J2111" s="22" t="e">
        <f>VLOOKUP($A2111, TAB_JUROS_C[[DIAS_CORRIDOS]:[V_FUT_UTEIS]], J$5, FALSE)</f>
        <v>#N/A</v>
      </c>
      <c r="K2111" s="22" t="e">
        <f>VLOOKUP($A2111, TAB_CORRECAO_C[[DIAS_CORRIDOS]:[V_FUT_UTEIS]],K$5, FALSE)</f>
        <v>#N/A</v>
      </c>
      <c r="L2111" s="22" t="e">
        <f>VLOOKUP($A2111, TAB_AMORTIZACAO_C[[DIAS_CORRIDOS]:[V_FUT_UTEIS]], L$5, FALSE)</f>
        <v>#N/A</v>
      </c>
    </row>
    <row r="2112" spans="1:12" hidden="1">
      <c r="A2112" s="19">
        <f t="shared" si="169"/>
        <v>2106</v>
      </c>
      <c r="B2112" s="20">
        <f t="shared" si="165"/>
        <v>0</v>
      </c>
      <c r="C2112" s="21">
        <f t="shared" si="166"/>
        <v>0</v>
      </c>
      <c r="D2112" s="22" t="e">
        <f>VLOOKUP($A2112, TAB_JUROS_U[[Q_DIAS_U_PARC_TIR]:[V_FUT_U_JURS CENARIO]], D$5, FALSE)</f>
        <v>#N/A</v>
      </c>
      <c r="E2112" s="22" t="e">
        <f>VLOOKUP($A2112,TAB_CORRECAO_U[[Q_DIAS_U_PARC_TIR]:[V_FUT_U_CORC-02]],E$5, FALSE)</f>
        <v>#N/A</v>
      </c>
      <c r="F2112" s="22" t="e">
        <f>VLOOKUP($A2112,TAB_AMORTIZACAO_U[[Q_DIAS_U_PARC_TIR]:[V_FUT_U_PCPL-02]], F$5, FALSE)</f>
        <v>#N/A</v>
      </c>
      <c r="H2112" s="20">
        <f t="shared" si="167"/>
        <v>0</v>
      </c>
      <c r="I2112" s="21">
        <f t="shared" si="168"/>
        <v>0</v>
      </c>
      <c r="J2112" s="22" t="e">
        <f>VLOOKUP($A2112, TAB_JUROS_C[[DIAS_CORRIDOS]:[V_FUT_UTEIS]], J$5, FALSE)</f>
        <v>#N/A</v>
      </c>
      <c r="K2112" s="22" t="e">
        <f>VLOOKUP($A2112, TAB_CORRECAO_C[[DIAS_CORRIDOS]:[V_FUT_UTEIS]],K$5, FALSE)</f>
        <v>#N/A</v>
      </c>
      <c r="L2112" s="22" t="e">
        <f>VLOOKUP($A2112, TAB_AMORTIZACAO_C[[DIAS_CORRIDOS]:[V_FUT_UTEIS]], L$5, FALSE)</f>
        <v>#N/A</v>
      </c>
    </row>
    <row r="2113" spans="1:12" hidden="1">
      <c r="A2113" s="19">
        <f t="shared" si="169"/>
        <v>2107</v>
      </c>
      <c r="B2113" s="20">
        <f t="shared" si="165"/>
        <v>0</v>
      </c>
      <c r="C2113" s="21">
        <f t="shared" si="166"/>
        <v>0</v>
      </c>
      <c r="D2113" s="22" t="e">
        <f>VLOOKUP($A2113, TAB_JUROS_U[[Q_DIAS_U_PARC_TIR]:[V_FUT_U_JURS CENARIO]], D$5, FALSE)</f>
        <v>#N/A</v>
      </c>
      <c r="E2113" s="22" t="e">
        <f>VLOOKUP($A2113,TAB_CORRECAO_U[[Q_DIAS_U_PARC_TIR]:[V_FUT_U_CORC-02]],E$5, FALSE)</f>
        <v>#N/A</v>
      </c>
      <c r="F2113" s="22" t="e">
        <f>VLOOKUP($A2113,TAB_AMORTIZACAO_U[[Q_DIAS_U_PARC_TIR]:[V_FUT_U_PCPL-02]], F$5, FALSE)</f>
        <v>#N/A</v>
      </c>
      <c r="H2113" s="20">
        <f t="shared" si="167"/>
        <v>0</v>
      </c>
      <c r="I2113" s="21">
        <f t="shared" si="168"/>
        <v>0</v>
      </c>
      <c r="J2113" s="22" t="e">
        <f>VLOOKUP($A2113, TAB_JUROS_C[[DIAS_CORRIDOS]:[V_FUT_UTEIS]], J$5, FALSE)</f>
        <v>#N/A</v>
      </c>
      <c r="K2113" s="22" t="e">
        <f>VLOOKUP($A2113, TAB_CORRECAO_C[[DIAS_CORRIDOS]:[V_FUT_UTEIS]],K$5, FALSE)</f>
        <v>#N/A</v>
      </c>
      <c r="L2113" s="22" t="e">
        <f>VLOOKUP($A2113, TAB_AMORTIZACAO_C[[DIAS_CORRIDOS]:[V_FUT_UTEIS]], L$5, FALSE)</f>
        <v>#N/A</v>
      </c>
    </row>
    <row r="2114" spans="1:12" hidden="1">
      <c r="A2114" s="19">
        <f t="shared" si="169"/>
        <v>2108</v>
      </c>
      <c r="B2114" s="20">
        <f t="shared" si="165"/>
        <v>0</v>
      </c>
      <c r="C2114" s="21">
        <f t="shared" si="166"/>
        <v>0</v>
      </c>
      <c r="D2114" s="22" t="e">
        <f>VLOOKUP($A2114, TAB_JUROS_U[[Q_DIAS_U_PARC_TIR]:[V_FUT_U_JURS CENARIO]], D$5, FALSE)</f>
        <v>#N/A</v>
      </c>
      <c r="E2114" s="22" t="e">
        <f>VLOOKUP($A2114,TAB_CORRECAO_U[[Q_DIAS_U_PARC_TIR]:[V_FUT_U_CORC-02]],E$5, FALSE)</f>
        <v>#N/A</v>
      </c>
      <c r="F2114" s="22" t="e">
        <f>VLOOKUP($A2114,TAB_AMORTIZACAO_U[[Q_DIAS_U_PARC_TIR]:[V_FUT_U_PCPL-02]], F$5, FALSE)</f>
        <v>#N/A</v>
      </c>
      <c r="H2114" s="20">
        <f t="shared" si="167"/>
        <v>0</v>
      </c>
      <c r="I2114" s="21">
        <f t="shared" si="168"/>
        <v>0</v>
      </c>
      <c r="J2114" s="22" t="e">
        <f>VLOOKUP($A2114, TAB_JUROS_C[[DIAS_CORRIDOS]:[V_FUT_UTEIS]], J$5, FALSE)</f>
        <v>#N/A</v>
      </c>
      <c r="K2114" s="22" t="e">
        <f>VLOOKUP($A2114, TAB_CORRECAO_C[[DIAS_CORRIDOS]:[V_FUT_UTEIS]],K$5, FALSE)</f>
        <v>#N/A</v>
      </c>
      <c r="L2114" s="22" t="e">
        <f>VLOOKUP($A2114, TAB_AMORTIZACAO_C[[DIAS_CORRIDOS]:[V_FUT_UTEIS]], L$5, FALSE)</f>
        <v>#N/A</v>
      </c>
    </row>
    <row r="2115" spans="1:12" hidden="1">
      <c r="A2115" s="19">
        <f t="shared" si="169"/>
        <v>2109</v>
      </c>
      <c r="B2115" s="20">
        <f t="shared" si="165"/>
        <v>0</v>
      </c>
      <c r="C2115" s="21">
        <f t="shared" si="166"/>
        <v>0</v>
      </c>
      <c r="D2115" s="22" t="e">
        <f>VLOOKUP($A2115, TAB_JUROS_U[[Q_DIAS_U_PARC_TIR]:[V_FUT_U_JURS CENARIO]], D$5, FALSE)</f>
        <v>#N/A</v>
      </c>
      <c r="E2115" s="22" t="e">
        <f>VLOOKUP($A2115,TAB_CORRECAO_U[[Q_DIAS_U_PARC_TIR]:[V_FUT_U_CORC-02]],E$5, FALSE)</f>
        <v>#N/A</v>
      </c>
      <c r="F2115" s="22" t="e">
        <f>VLOOKUP($A2115,TAB_AMORTIZACAO_U[[Q_DIAS_U_PARC_TIR]:[V_FUT_U_PCPL-02]], F$5, FALSE)</f>
        <v>#N/A</v>
      </c>
      <c r="H2115" s="20">
        <f t="shared" si="167"/>
        <v>0</v>
      </c>
      <c r="I2115" s="21">
        <f t="shared" si="168"/>
        <v>0</v>
      </c>
      <c r="J2115" s="22" t="e">
        <f>VLOOKUP($A2115, TAB_JUROS_C[[DIAS_CORRIDOS]:[V_FUT_UTEIS]], J$5, FALSE)</f>
        <v>#N/A</v>
      </c>
      <c r="K2115" s="22" t="e">
        <f>VLOOKUP($A2115, TAB_CORRECAO_C[[DIAS_CORRIDOS]:[V_FUT_UTEIS]],K$5, FALSE)</f>
        <v>#N/A</v>
      </c>
      <c r="L2115" s="22" t="e">
        <f>VLOOKUP($A2115, TAB_AMORTIZACAO_C[[DIAS_CORRIDOS]:[V_FUT_UTEIS]], L$5, FALSE)</f>
        <v>#N/A</v>
      </c>
    </row>
    <row r="2116" spans="1:12" hidden="1">
      <c r="A2116" s="19">
        <f t="shared" si="169"/>
        <v>2110</v>
      </c>
      <c r="B2116" s="20">
        <f t="shared" si="165"/>
        <v>0</v>
      </c>
      <c r="C2116" s="21">
        <f t="shared" si="166"/>
        <v>0</v>
      </c>
      <c r="D2116" s="22" t="e">
        <f>VLOOKUP($A2116, TAB_JUROS_U[[Q_DIAS_U_PARC_TIR]:[V_FUT_U_JURS CENARIO]], D$5, FALSE)</f>
        <v>#N/A</v>
      </c>
      <c r="E2116" s="22" t="e">
        <f>VLOOKUP($A2116,TAB_CORRECAO_U[[Q_DIAS_U_PARC_TIR]:[V_FUT_U_CORC-02]],E$5, FALSE)</f>
        <v>#N/A</v>
      </c>
      <c r="F2116" s="22" t="e">
        <f>VLOOKUP($A2116,TAB_AMORTIZACAO_U[[Q_DIAS_U_PARC_TIR]:[V_FUT_U_PCPL-02]], F$5, FALSE)</f>
        <v>#N/A</v>
      </c>
      <c r="H2116" s="20">
        <f t="shared" si="167"/>
        <v>0</v>
      </c>
      <c r="I2116" s="21">
        <f t="shared" si="168"/>
        <v>0</v>
      </c>
      <c r="J2116" s="22" t="e">
        <f>VLOOKUP($A2116, TAB_JUROS_C[[DIAS_CORRIDOS]:[V_FUT_UTEIS]], J$5, FALSE)</f>
        <v>#N/A</v>
      </c>
      <c r="K2116" s="22" t="e">
        <f>VLOOKUP($A2116, TAB_CORRECAO_C[[DIAS_CORRIDOS]:[V_FUT_UTEIS]],K$5, FALSE)</f>
        <v>#N/A</v>
      </c>
      <c r="L2116" s="22" t="e">
        <f>VLOOKUP($A2116, TAB_AMORTIZACAO_C[[DIAS_CORRIDOS]:[V_FUT_UTEIS]], L$5, FALSE)</f>
        <v>#N/A</v>
      </c>
    </row>
    <row r="2117" spans="1:12" hidden="1">
      <c r="A2117" s="19">
        <f t="shared" si="169"/>
        <v>2111</v>
      </c>
      <c r="B2117" s="20">
        <f t="shared" si="165"/>
        <v>0</v>
      </c>
      <c r="C2117" s="21">
        <f t="shared" si="166"/>
        <v>0</v>
      </c>
      <c r="D2117" s="22" t="e">
        <f>VLOOKUP($A2117, TAB_JUROS_U[[Q_DIAS_U_PARC_TIR]:[V_FUT_U_JURS CENARIO]], D$5, FALSE)</f>
        <v>#N/A</v>
      </c>
      <c r="E2117" s="22" t="e">
        <f>VLOOKUP($A2117,TAB_CORRECAO_U[[Q_DIAS_U_PARC_TIR]:[V_FUT_U_CORC-02]],E$5, FALSE)</f>
        <v>#N/A</v>
      </c>
      <c r="F2117" s="22" t="e">
        <f>VLOOKUP($A2117,TAB_AMORTIZACAO_U[[Q_DIAS_U_PARC_TIR]:[V_FUT_U_PCPL-02]], F$5, FALSE)</f>
        <v>#N/A</v>
      </c>
      <c r="H2117" s="20">
        <f t="shared" si="167"/>
        <v>0</v>
      </c>
      <c r="I2117" s="21">
        <f t="shared" si="168"/>
        <v>0</v>
      </c>
      <c r="J2117" s="22" t="e">
        <f>VLOOKUP($A2117, TAB_JUROS_C[[DIAS_CORRIDOS]:[V_FUT_UTEIS]], J$5, FALSE)</f>
        <v>#N/A</v>
      </c>
      <c r="K2117" s="22" t="e">
        <f>VLOOKUP($A2117, TAB_CORRECAO_C[[DIAS_CORRIDOS]:[V_FUT_UTEIS]],K$5, FALSE)</f>
        <v>#N/A</v>
      </c>
      <c r="L2117" s="22" t="e">
        <f>VLOOKUP($A2117, TAB_AMORTIZACAO_C[[DIAS_CORRIDOS]:[V_FUT_UTEIS]], L$5, FALSE)</f>
        <v>#N/A</v>
      </c>
    </row>
    <row r="2118" spans="1:12" hidden="1">
      <c r="A2118" s="19">
        <f t="shared" si="169"/>
        <v>2112</v>
      </c>
      <c r="B2118" s="20">
        <f t="shared" si="165"/>
        <v>0</v>
      </c>
      <c r="C2118" s="21">
        <f t="shared" si="166"/>
        <v>0</v>
      </c>
      <c r="D2118" s="22" t="e">
        <f>VLOOKUP($A2118, TAB_JUROS_U[[Q_DIAS_U_PARC_TIR]:[V_FUT_U_JURS CENARIO]], D$5, FALSE)</f>
        <v>#N/A</v>
      </c>
      <c r="E2118" s="22" t="e">
        <f>VLOOKUP($A2118,TAB_CORRECAO_U[[Q_DIAS_U_PARC_TIR]:[V_FUT_U_CORC-02]],E$5, FALSE)</f>
        <v>#N/A</v>
      </c>
      <c r="F2118" s="22" t="e">
        <f>VLOOKUP($A2118,TAB_AMORTIZACAO_U[[Q_DIAS_U_PARC_TIR]:[V_FUT_U_PCPL-02]], F$5, FALSE)</f>
        <v>#N/A</v>
      </c>
      <c r="H2118" s="20">
        <f t="shared" si="167"/>
        <v>0</v>
      </c>
      <c r="I2118" s="21">
        <f t="shared" si="168"/>
        <v>0</v>
      </c>
      <c r="J2118" s="22" t="e">
        <f>VLOOKUP($A2118, TAB_JUROS_C[[DIAS_CORRIDOS]:[V_FUT_UTEIS]], J$5, FALSE)</f>
        <v>#N/A</v>
      </c>
      <c r="K2118" s="22" t="e">
        <f>VLOOKUP($A2118, TAB_CORRECAO_C[[DIAS_CORRIDOS]:[V_FUT_UTEIS]],K$5, FALSE)</f>
        <v>#N/A</v>
      </c>
      <c r="L2118" s="22" t="e">
        <f>VLOOKUP($A2118, TAB_AMORTIZACAO_C[[DIAS_CORRIDOS]:[V_FUT_UTEIS]], L$5, FALSE)</f>
        <v>#N/A</v>
      </c>
    </row>
    <row r="2119" spans="1:12" hidden="1">
      <c r="A2119" s="19">
        <f t="shared" si="169"/>
        <v>2113</v>
      </c>
      <c r="B2119" s="20">
        <f t="shared" si="165"/>
        <v>0</v>
      </c>
      <c r="C2119" s="21">
        <f t="shared" si="166"/>
        <v>0</v>
      </c>
      <c r="D2119" s="22" t="e">
        <f>VLOOKUP($A2119, TAB_JUROS_U[[Q_DIAS_U_PARC_TIR]:[V_FUT_U_JURS CENARIO]], D$5, FALSE)</f>
        <v>#N/A</v>
      </c>
      <c r="E2119" s="22" t="e">
        <f>VLOOKUP($A2119,TAB_CORRECAO_U[[Q_DIAS_U_PARC_TIR]:[V_FUT_U_CORC-02]],E$5, FALSE)</f>
        <v>#N/A</v>
      </c>
      <c r="F2119" s="22" t="e">
        <f>VLOOKUP($A2119,TAB_AMORTIZACAO_U[[Q_DIAS_U_PARC_TIR]:[V_FUT_U_PCPL-02]], F$5, FALSE)</f>
        <v>#N/A</v>
      </c>
      <c r="H2119" s="20">
        <f t="shared" si="167"/>
        <v>0</v>
      </c>
      <c r="I2119" s="21">
        <f t="shared" si="168"/>
        <v>0</v>
      </c>
      <c r="J2119" s="22" t="e">
        <f>VLOOKUP($A2119, TAB_JUROS_C[[DIAS_CORRIDOS]:[V_FUT_UTEIS]], J$5, FALSE)</f>
        <v>#N/A</v>
      </c>
      <c r="K2119" s="22" t="e">
        <f>VLOOKUP($A2119, TAB_CORRECAO_C[[DIAS_CORRIDOS]:[V_FUT_UTEIS]],K$5, FALSE)</f>
        <v>#N/A</v>
      </c>
      <c r="L2119" s="22" t="e">
        <f>VLOOKUP($A2119, TAB_AMORTIZACAO_C[[DIAS_CORRIDOS]:[V_FUT_UTEIS]], L$5, FALSE)</f>
        <v>#N/A</v>
      </c>
    </row>
    <row r="2120" spans="1:12" hidden="1">
      <c r="A2120" s="19">
        <f t="shared" si="169"/>
        <v>2114</v>
      </c>
      <c r="B2120" s="20">
        <f t="shared" si="165"/>
        <v>0</v>
      </c>
      <c r="C2120" s="21">
        <f t="shared" si="166"/>
        <v>0</v>
      </c>
      <c r="D2120" s="22" t="e">
        <f>VLOOKUP($A2120, TAB_JUROS_U[[Q_DIAS_U_PARC_TIR]:[V_FUT_U_JURS CENARIO]], D$5, FALSE)</f>
        <v>#N/A</v>
      </c>
      <c r="E2120" s="22" t="e">
        <f>VLOOKUP($A2120,TAB_CORRECAO_U[[Q_DIAS_U_PARC_TIR]:[V_FUT_U_CORC-02]],E$5, FALSE)</f>
        <v>#N/A</v>
      </c>
      <c r="F2120" s="22" t="e">
        <f>VLOOKUP($A2120,TAB_AMORTIZACAO_U[[Q_DIAS_U_PARC_TIR]:[V_FUT_U_PCPL-02]], F$5, FALSE)</f>
        <v>#N/A</v>
      </c>
      <c r="H2120" s="20">
        <f t="shared" si="167"/>
        <v>552.56055783226896</v>
      </c>
      <c r="I2120" s="21">
        <f t="shared" si="168"/>
        <v>552.56055783226896</v>
      </c>
      <c r="J2120" s="22">
        <f>VLOOKUP($A2120, TAB_JUROS_C[[DIAS_CORRIDOS]:[V_FUT_UTEIS]], J$5, FALSE)</f>
        <v>37.868777480934817</v>
      </c>
      <c r="K2120" s="22">
        <f>VLOOKUP($A2120, TAB_CORRECAO_C[[DIAS_CORRIDOS]:[V_FUT_UTEIS]],K$5, FALSE)</f>
        <v>239.70955950266415</v>
      </c>
      <c r="L2120" s="22">
        <f>VLOOKUP($A2120, TAB_AMORTIZACAO_C[[DIAS_CORRIDOS]:[V_FUT_UTEIS]], L$5, FALSE)</f>
        <v>274.98222084867001</v>
      </c>
    </row>
    <row r="2121" spans="1:12" hidden="1">
      <c r="A2121" s="19">
        <f t="shared" si="169"/>
        <v>2115</v>
      </c>
      <c r="B2121" s="20">
        <f t="shared" ref="B2121:B2184" si="170">IF(ISERROR(C2121), 0, C2121)</f>
        <v>0</v>
      </c>
      <c r="C2121" s="21">
        <f t="shared" ref="C2121:C2184" si="171">SUMIF(D2121:F2121, "&gt;0", D2121:F2121)</f>
        <v>0</v>
      </c>
      <c r="D2121" s="22" t="e">
        <f>VLOOKUP($A2121, TAB_JUROS_U[[Q_DIAS_U_PARC_TIR]:[V_FUT_U_JURS CENARIO]], D$5, FALSE)</f>
        <v>#N/A</v>
      </c>
      <c r="E2121" s="22" t="e">
        <f>VLOOKUP($A2121,TAB_CORRECAO_U[[Q_DIAS_U_PARC_TIR]:[V_FUT_U_CORC-02]],E$5, FALSE)</f>
        <v>#N/A</v>
      </c>
      <c r="F2121" s="22" t="e">
        <f>VLOOKUP($A2121,TAB_AMORTIZACAO_U[[Q_DIAS_U_PARC_TIR]:[V_FUT_U_PCPL-02]], F$5, FALSE)</f>
        <v>#N/A</v>
      </c>
      <c r="H2121" s="20">
        <f t="shared" ref="H2121:H2184" si="172">IF(ISERROR(I2121), 0, I2121)</f>
        <v>0</v>
      </c>
      <c r="I2121" s="21">
        <f t="shared" ref="I2121:I2184" si="173">SUMIF(J2121:L2121, "&gt;0", J2121:L2121)</f>
        <v>0</v>
      </c>
      <c r="J2121" s="22" t="e">
        <f>VLOOKUP($A2121, TAB_JUROS_C[[DIAS_CORRIDOS]:[V_FUT_UTEIS]], J$5, FALSE)</f>
        <v>#N/A</v>
      </c>
      <c r="K2121" s="22" t="e">
        <f>VLOOKUP($A2121, TAB_CORRECAO_C[[DIAS_CORRIDOS]:[V_FUT_UTEIS]],K$5, FALSE)</f>
        <v>#N/A</v>
      </c>
      <c r="L2121" s="22" t="e">
        <f>VLOOKUP($A2121, TAB_AMORTIZACAO_C[[DIAS_CORRIDOS]:[V_FUT_UTEIS]], L$5, FALSE)</f>
        <v>#N/A</v>
      </c>
    </row>
    <row r="2122" spans="1:12" hidden="1">
      <c r="A2122" s="19">
        <f t="shared" ref="A2122:A2185" si="174">A2121+1</f>
        <v>2116</v>
      </c>
      <c r="B2122" s="20">
        <f t="shared" si="170"/>
        <v>0</v>
      </c>
      <c r="C2122" s="21">
        <f t="shared" si="171"/>
        <v>0</v>
      </c>
      <c r="D2122" s="22" t="e">
        <f>VLOOKUP($A2122, TAB_JUROS_U[[Q_DIAS_U_PARC_TIR]:[V_FUT_U_JURS CENARIO]], D$5, FALSE)</f>
        <v>#N/A</v>
      </c>
      <c r="E2122" s="22" t="e">
        <f>VLOOKUP($A2122,TAB_CORRECAO_U[[Q_DIAS_U_PARC_TIR]:[V_FUT_U_CORC-02]],E$5, FALSE)</f>
        <v>#N/A</v>
      </c>
      <c r="F2122" s="22" t="e">
        <f>VLOOKUP($A2122,TAB_AMORTIZACAO_U[[Q_DIAS_U_PARC_TIR]:[V_FUT_U_PCPL-02]], F$5, FALSE)</f>
        <v>#N/A</v>
      </c>
      <c r="H2122" s="20">
        <f t="shared" si="172"/>
        <v>0</v>
      </c>
      <c r="I2122" s="21">
        <f t="shared" si="173"/>
        <v>0</v>
      </c>
      <c r="J2122" s="22" t="e">
        <f>VLOOKUP($A2122, TAB_JUROS_C[[DIAS_CORRIDOS]:[V_FUT_UTEIS]], J$5, FALSE)</f>
        <v>#N/A</v>
      </c>
      <c r="K2122" s="22" t="e">
        <f>VLOOKUP($A2122, TAB_CORRECAO_C[[DIAS_CORRIDOS]:[V_FUT_UTEIS]],K$5, FALSE)</f>
        <v>#N/A</v>
      </c>
      <c r="L2122" s="22" t="e">
        <f>VLOOKUP($A2122, TAB_AMORTIZACAO_C[[DIAS_CORRIDOS]:[V_FUT_UTEIS]], L$5, FALSE)</f>
        <v>#N/A</v>
      </c>
    </row>
    <row r="2123" spans="1:12" hidden="1">
      <c r="A2123" s="19">
        <f t="shared" si="174"/>
        <v>2117</v>
      </c>
      <c r="B2123" s="20">
        <f t="shared" si="170"/>
        <v>0</v>
      </c>
      <c r="C2123" s="21">
        <f t="shared" si="171"/>
        <v>0</v>
      </c>
      <c r="D2123" s="22" t="e">
        <f>VLOOKUP($A2123, TAB_JUROS_U[[Q_DIAS_U_PARC_TIR]:[V_FUT_U_JURS CENARIO]], D$5, FALSE)</f>
        <v>#N/A</v>
      </c>
      <c r="E2123" s="22" t="e">
        <f>VLOOKUP($A2123,TAB_CORRECAO_U[[Q_DIAS_U_PARC_TIR]:[V_FUT_U_CORC-02]],E$5, FALSE)</f>
        <v>#N/A</v>
      </c>
      <c r="F2123" s="22" t="e">
        <f>VLOOKUP($A2123,TAB_AMORTIZACAO_U[[Q_DIAS_U_PARC_TIR]:[V_FUT_U_PCPL-02]], F$5, FALSE)</f>
        <v>#N/A</v>
      </c>
      <c r="H2123" s="20">
        <f t="shared" si="172"/>
        <v>0</v>
      </c>
      <c r="I2123" s="21">
        <f t="shared" si="173"/>
        <v>0</v>
      </c>
      <c r="J2123" s="22" t="e">
        <f>VLOOKUP($A2123, TAB_JUROS_C[[DIAS_CORRIDOS]:[V_FUT_UTEIS]], J$5, FALSE)</f>
        <v>#N/A</v>
      </c>
      <c r="K2123" s="22" t="e">
        <f>VLOOKUP($A2123, TAB_CORRECAO_C[[DIAS_CORRIDOS]:[V_FUT_UTEIS]],K$5, FALSE)</f>
        <v>#N/A</v>
      </c>
      <c r="L2123" s="22" t="e">
        <f>VLOOKUP($A2123, TAB_AMORTIZACAO_C[[DIAS_CORRIDOS]:[V_FUT_UTEIS]], L$5, FALSE)</f>
        <v>#N/A</v>
      </c>
    </row>
    <row r="2124" spans="1:12" hidden="1">
      <c r="A2124" s="19">
        <f t="shared" si="174"/>
        <v>2118</v>
      </c>
      <c r="B2124" s="20">
        <f t="shared" si="170"/>
        <v>0</v>
      </c>
      <c r="C2124" s="21">
        <f t="shared" si="171"/>
        <v>0</v>
      </c>
      <c r="D2124" s="22" t="e">
        <f>VLOOKUP($A2124, TAB_JUROS_U[[Q_DIAS_U_PARC_TIR]:[V_FUT_U_JURS CENARIO]], D$5, FALSE)</f>
        <v>#N/A</v>
      </c>
      <c r="E2124" s="22" t="e">
        <f>VLOOKUP($A2124,TAB_CORRECAO_U[[Q_DIAS_U_PARC_TIR]:[V_FUT_U_CORC-02]],E$5, FALSE)</f>
        <v>#N/A</v>
      </c>
      <c r="F2124" s="22" t="e">
        <f>VLOOKUP($A2124,TAB_AMORTIZACAO_U[[Q_DIAS_U_PARC_TIR]:[V_FUT_U_PCPL-02]], F$5, FALSE)</f>
        <v>#N/A</v>
      </c>
      <c r="H2124" s="20">
        <f t="shared" si="172"/>
        <v>0</v>
      </c>
      <c r="I2124" s="21">
        <f t="shared" si="173"/>
        <v>0</v>
      </c>
      <c r="J2124" s="22" t="e">
        <f>VLOOKUP($A2124, TAB_JUROS_C[[DIAS_CORRIDOS]:[V_FUT_UTEIS]], J$5, FALSE)</f>
        <v>#N/A</v>
      </c>
      <c r="K2124" s="22" t="e">
        <f>VLOOKUP($A2124, TAB_CORRECAO_C[[DIAS_CORRIDOS]:[V_FUT_UTEIS]],K$5, FALSE)</f>
        <v>#N/A</v>
      </c>
      <c r="L2124" s="22" t="e">
        <f>VLOOKUP($A2124, TAB_AMORTIZACAO_C[[DIAS_CORRIDOS]:[V_FUT_UTEIS]], L$5, FALSE)</f>
        <v>#N/A</v>
      </c>
    </row>
    <row r="2125" spans="1:12" hidden="1">
      <c r="A2125" s="19">
        <f t="shared" si="174"/>
        <v>2119</v>
      </c>
      <c r="B2125" s="20">
        <f t="shared" si="170"/>
        <v>0</v>
      </c>
      <c r="C2125" s="21">
        <f t="shared" si="171"/>
        <v>0</v>
      </c>
      <c r="D2125" s="22" t="e">
        <f>VLOOKUP($A2125, TAB_JUROS_U[[Q_DIAS_U_PARC_TIR]:[V_FUT_U_JURS CENARIO]], D$5, FALSE)</f>
        <v>#N/A</v>
      </c>
      <c r="E2125" s="22" t="e">
        <f>VLOOKUP($A2125,TAB_CORRECAO_U[[Q_DIAS_U_PARC_TIR]:[V_FUT_U_CORC-02]],E$5, FALSE)</f>
        <v>#N/A</v>
      </c>
      <c r="F2125" s="22" t="e">
        <f>VLOOKUP($A2125,TAB_AMORTIZACAO_U[[Q_DIAS_U_PARC_TIR]:[V_FUT_U_PCPL-02]], F$5, FALSE)</f>
        <v>#N/A</v>
      </c>
      <c r="H2125" s="20">
        <f t="shared" si="172"/>
        <v>0</v>
      </c>
      <c r="I2125" s="21">
        <f t="shared" si="173"/>
        <v>0</v>
      </c>
      <c r="J2125" s="22" t="e">
        <f>VLOOKUP($A2125, TAB_JUROS_C[[DIAS_CORRIDOS]:[V_FUT_UTEIS]], J$5, FALSE)</f>
        <v>#N/A</v>
      </c>
      <c r="K2125" s="22" t="e">
        <f>VLOOKUP($A2125, TAB_CORRECAO_C[[DIAS_CORRIDOS]:[V_FUT_UTEIS]],K$5, FALSE)</f>
        <v>#N/A</v>
      </c>
      <c r="L2125" s="22" t="e">
        <f>VLOOKUP($A2125, TAB_AMORTIZACAO_C[[DIAS_CORRIDOS]:[V_FUT_UTEIS]], L$5, FALSE)</f>
        <v>#N/A</v>
      </c>
    </row>
    <row r="2126" spans="1:12" hidden="1">
      <c r="A2126" s="19">
        <f t="shared" si="174"/>
        <v>2120</v>
      </c>
      <c r="B2126" s="20">
        <f t="shared" si="170"/>
        <v>0</v>
      </c>
      <c r="C2126" s="21">
        <f t="shared" si="171"/>
        <v>0</v>
      </c>
      <c r="D2126" s="22" t="e">
        <f>VLOOKUP($A2126, TAB_JUROS_U[[Q_DIAS_U_PARC_TIR]:[V_FUT_U_JURS CENARIO]], D$5, FALSE)</f>
        <v>#N/A</v>
      </c>
      <c r="E2126" s="22" t="e">
        <f>VLOOKUP($A2126,TAB_CORRECAO_U[[Q_DIAS_U_PARC_TIR]:[V_FUT_U_CORC-02]],E$5, FALSE)</f>
        <v>#N/A</v>
      </c>
      <c r="F2126" s="22" t="e">
        <f>VLOOKUP($A2126,TAB_AMORTIZACAO_U[[Q_DIAS_U_PARC_TIR]:[V_FUT_U_PCPL-02]], F$5, FALSE)</f>
        <v>#N/A</v>
      </c>
      <c r="H2126" s="20">
        <f t="shared" si="172"/>
        <v>0</v>
      </c>
      <c r="I2126" s="21">
        <f t="shared" si="173"/>
        <v>0</v>
      </c>
      <c r="J2126" s="22" t="e">
        <f>VLOOKUP($A2126, TAB_JUROS_C[[DIAS_CORRIDOS]:[V_FUT_UTEIS]], J$5, FALSE)</f>
        <v>#N/A</v>
      </c>
      <c r="K2126" s="22" t="e">
        <f>VLOOKUP($A2126, TAB_CORRECAO_C[[DIAS_CORRIDOS]:[V_FUT_UTEIS]],K$5, FALSE)</f>
        <v>#N/A</v>
      </c>
      <c r="L2126" s="22" t="e">
        <f>VLOOKUP($A2126, TAB_AMORTIZACAO_C[[DIAS_CORRIDOS]:[V_FUT_UTEIS]], L$5, FALSE)</f>
        <v>#N/A</v>
      </c>
    </row>
    <row r="2127" spans="1:12" hidden="1">
      <c r="A2127" s="19">
        <f t="shared" si="174"/>
        <v>2121</v>
      </c>
      <c r="B2127" s="20">
        <f t="shared" si="170"/>
        <v>0</v>
      </c>
      <c r="C2127" s="21">
        <f t="shared" si="171"/>
        <v>0</v>
      </c>
      <c r="D2127" s="22" t="e">
        <f>VLOOKUP($A2127, TAB_JUROS_U[[Q_DIAS_U_PARC_TIR]:[V_FUT_U_JURS CENARIO]], D$5, FALSE)</f>
        <v>#N/A</v>
      </c>
      <c r="E2127" s="22" t="e">
        <f>VLOOKUP($A2127,TAB_CORRECAO_U[[Q_DIAS_U_PARC_TIR]:[V_FUT_U_CORC-02]],E$5, FALSE)</f>
        <v>#N/A</v>
      </c>
      <c r="F2127" s="22" t="e">
        <f>VLOOKUP($A2127,TAB_AMORTIZACAO_U[[Q_DIAS_U_PARC_TIR]:[V_FUT_U_PCPL-02]], F$5, FALSE)</f>
        <v>#N/A</v>
      </c>
      <c r="H2127" s="20">
        <f t="shared" si="172"/>
        <v>0</v>
      </c>
      <c r="I2127" s="21">
        <f t="shared" si="173"/>
        <v>0</v>
      </c>
      <c r="J2127" s="22" t="e">
        <f>VLOOKUP($A2127, TAB_JUROS_C[[DIAS_CORRIDOS]:[V_FUT_UTEIS]], J$5, FALSE)</f>
        <v>#N/A</v>
      </c>
      <c r="K2127" s="22" t="e">
        <f>VLOOKUP($A2127, TAB_CORRECAO_C[[DIAS_CORRIDOS]:[V_FUT_UTEIS]],K$5, FALSE)</f>
        <v>#N/A</v>
      </c>
      <c r="L2127" s="22" t="e">
        <f>VLOOKUP($A2127, TAB_AMORTIZACAO_C[[DIAS_CORRIDOS]:[V_FUT_UTEIS]], L$5, FALSE)</f>
        <v>#N/A</v>
      </c>
    </row>
    <row r="2128" spans="1:12">
      <c r="A2128" s="19">
        <f t="shared" si="174"/>
        <v>2122</v>
      </c>
      <c r="B2128" s="20">
        <f t="shared" si="170"/>
        <v>262.42520379872224</v>
      </c>
      <c r="C2128" s="21">
        <f t="shared" si="171"/>
        <v>262.42520379872224</v>
      </c>
      <c r="D2128" s="22">
        <f>VLOOKUP($A2128, TAB_JUROS_U[[Q_DIAS_U_PARC_TIR]:[V_FUT_U_JURS CENARIO]], D$5, FALSE)</f>
        <v>13.625132599474062</v>
      </c>
      <c r="E2128" s="22">
        <f>VLOOKUP($A2128,TAB_CORRECAO_U[[Q_DIAS_U_PARC_TIR]:[V_FUT_U_CORC-02]],E$5, FALSE)</f>
        <v>83.918237659721541</v>
      </c>
      <c r="F2128" s="22">
        <f>VLOOKUP($A2128,TAB_AMORTIZACAO_U[[Q_DIAS_U_PARC_TIR]:[V_FUT_U_PCPL-02]], F$5, FALSE)</f>
        <v>164.88183353952667</v>
      </c>
      <c r="H2128" s="20">
        <f t="shared" si="172"/>
        <v>0</v>
      </c>
      <c r="I2128" s="21">
        <f t="shared" si="173"/>
        <v>0</v>
      </c>
      <c r="J2128" s="22" t="e">
        <f>VLOOKUP($A2128, TAB_JUROS_C[[DIAS_CORRIDOS]:[V_FUT_UTEIS]], J$5, FALSE)</f>
        <v>#N/A</v>
      </c>
      <c r="K2128" s="22" t="e">
        <f>VLOOKUP($A2128, TAB_CORRECAO_C[[DIAS_CORRIDOS]:[V_FUT_UTEIS]],K$5, FALSE)</f>
        <v>#N/A</v>
      </c>
      <c r="L2128" s="22" t="e">
        <f>VLOOKUP($A2128, TAB_AMORTIZACAO_C[[DIAS_CORRIDOS]:[V_FUT_UTEIS]], L$5, FALSE)</f>
        <v>#N/A</v>
      </c>
    </row>
    <row r="2129" spans="1:12" hidden="1">
      <c r="A2129" s="19">
        <f t="shared" si="174"/>
        <v>2123</v>
      </c>
      <c r="B2129" s="20">
        <f t="shared" si="170"/>
        <v>0</v>
      </c>
      <c r="C2129" s="21">
        <f t="shared" si="171"/>
        <v>0</v>
      </c>
      <c r="D2129" s="22" t="e">
        <f>VLOOKUP($A2129, TAB_JUROS_U[[Q_DIAS_U_PARC_TIR]:[V_FUT_U_JURS CENARIO]], D$5, FALSE)</f>
        <v>#N/A</v>
      </c>
      <c r="E2129" s="22" t="e">
        <f>VLOOKUP($A2129,TAB_CORRECAO_U[[Q_DIAS_U_PARC_TIR]:[V_FUT_U_CORC-02]],E$5, FALSE)</f>
        <v>#N/A</v>
      </c>
      <c r="F2129" s="22" t="e">
        <f>VLOOKUP($A2129,TAB_AMORTIZACAO_U[[Q_DIAS_U_PARC_TIR]:[V_FUT_U_PCPL-02]], F$5, FALSE)</f>
        <v>#N/A</v>
      </c>
      <c r="H2129" s="20">
        <f t="shared" si="172"/>
        <v>0</v>
      </c>
      <c r="I2129" s="21">
        <f t="shared" si="173"/>
        <v>0</v>
      </c>
      <c r="J2129" s="22" t="e">
        <f>VLOOKUP($A2129, TAB_JUROS_C[[DIAS_CORRIDOS]:[V_FUT_UTEIS]], J$5, FALSE)</f>
        <v>#N/A</v>
      </c>
      <c r="K2129" s="22" t="e">
        <f>VLOOKUP($A2129, TAB_CORRECAO_C[[DIAS_CORRIDOS]:[V_FUT_UTEIS]],K$5, FALSE)</f>
        <v>#N/A</v>
      </c>
      <c r="L2129" s="22" t="e">
        <f>VLOOKUP($A2129, TAB_AMORTIZACAO_C[[DIAS_CORRIDOS]:[V_FUT_UTEIS]], L$5, FALSE)</f>
        <v>#N/A</v>
      </c>
    </row>
    <row r="2130" spans="1:12" hidden="1">
      <c r="A2130" s="19">
        <f t="shared" si="174"/>
        <v>2124</v>
      </c>
      <c r="B2130" s="20">
        <f t="shared" si="170"/>
        <v>0</v>
      </c>
      <c r="C2130" s="21">
        <f t="shared" si="171"/>
        <v>0</v>
      </c>
      <c r="D2130" s="22" t="e">
        <f>VLOOKUP($A2130, TAB_JUROS_U[[Q_DIAS_U_PARC_TIR]:[V_FUT_U_JURS CENARIO]], D$5, FALSE)</f>
        <v>#N/A</v>
      </c>
      <c r="E2130" s="22" t="e">
        <f>VLOOKUP($A2130,TAB_CORRECAO_U[[Q_DIAS_U_PARC_TIR]:[V_FUT_U_CORC-02]],E$5, FALSE)</f>
        <v>#N/A</v>
      </c>
      <c r="F2130" s="22" t="e">
        <f>VLOOKUP($A2130,TAB_AMORTIZACAO_U[[Q_DIAS_U_PARC_TIR]:[V_FUT_U_PCPL-02]], F$5, FALSE)</f>
        <v>#N/A</v>
      </c>
      <c r="H2130" s="20">
        <f t="shared" si="172"/>
        <v>0</v>
      </c>
      <c r="I2130" s="21">
        <f t="shared" si="173"/>
        <v>0</v>
      </c>
      <c r="J2130" s="22" t="e">
        <f>VLOOKUP($A2130, TAB_JUROS_C[[DIAS_CORRIDOS]:[V_FUT_UTEIS]], J$5, FALSE)</f>
        <v>#N/A</v>
      </c>
      <c r="K2130" s="22" t="e">
        <f>VLOOKUP($A2130, TAB_CORRECAO_C[[DIAS_CORRIDOS]:[V_FUT_UTEIS]],K$5, FALSE)</f>
        <v>#N/A</v>
      </c>
      <c r="L2130" s="22" t="e">
        <f>VLOOKUP($A2130, TAB_AMORTIZACAO_C[[DIAS_CORRIDOS]:[V_FUT_UTEIS]], L$5, FALSE)</f>
        <v>#N/A</v>
      </c>
    </row>
    <row r="2131" spans="1:12" hidden="1">
      <c r="A2131" s="19">
        <f t="shared" si="174"/>
        <v>2125</v>
      </c>
      <c r="B2131" s="20">
        <f t="shared" si="170"/>
        <v>0</v>
      </c>
      <c r="C2131" s="21">
        <f t="shared" si="171"/>
        <v>0</v>
      </c>
      <c r="D2131" s="22" t="e">
        <f>VLOOKUP($A2131, TAB_JUROS_U[[Q_DIAS_U_PARC_TIR]:[V_FUT_U_JURS CENARIO]], D$5, FALSE)</f>
        <v>#N/A</v>
      </c>
      <c r="E2131" s="22" t="e">
        <f>VLOOKUP($A2131,TAB_CORRECAO_U[[Q_DIAS_U_PARC_TIR]:[V_FUT_U_CORC-02]],E$5, FALSE)</f>
        <v>#N/A</v>
      </c>
      <c r="F2131" s="22" t="e">
        <f>VLOOKUP($A2131,TAB_AMORTIZACAO_U[[Q_DIAS_U_PARC_TIR]:[V_FUT_U_PCPL-02]], F$5, FALSE)</f>
        <v>#N/A</v>
      </c>
      <c r="H2131" s="20">
        <f t="shared" si="172"/>
        <v>0</v>
      </c>
      <c r="I2131" s="21">
        <f t="shared" si="173"/>
        <v>0</v>
      </c>
      <c r="J2131" s="22" t="e">
        <f>VLOOKUP($A2131, TAB_JUROS_C[[DIAS_CORRIDOS]:[V_FUT_UTEIS]], J$5, FALSE)</f>
        <v>#N/A</v>
      </c>
      <c r="K2131" s="22" t="e">
        <f>VLOOKUP($A2131, TAB_CORRECAO_C[[DIAS_CORRIDOS]:[V_FUT_UTEIS]],K$5, FALSE)</f>
        <v>#N/A</v>
      </c>
      <c r="L2131" s="22" t="e">
        <f>VLOOKUP($A2131, TAB_AMORTIZACAO_C[[DIAS_CORRIDOS]:[V_FUT_UTEIS]], L$5, FALSE)</f>
        <v>#N/A</v>
      </c>
    </row>
    <row r="2132" spans="1:12" hidden="1">
      <c r="A2132" s="19">
        <f t="shared" si="174"/>
        <v>2126</v>
      </c>
      <c r="B2132" s="20">
        <f t="shared" si="170"/>
        <v>0</v>
      </c>
      <c r="C2132" s="21">
        <f t="shared" si="171"/>
        <v>0</v>
      </c>
      <c r="D2132" s="22" t="e">
        <f>VLOOKUP($A2132, TAB_JUROS_U[[Q_DIAS_U_PARC_TIR]:[V_FUT_U_JURS CENARIO]], D$5, FALSE)</f>
        <v>#N/A</v>
      </c>
      <c r="E2132" s="22" t="e">
        <f>VLOOKUP($A2132,TAB_CORRECAO_U[[Q_DIAS_U_PARC_TIR]:[V_FUT_U_CORC-02]],E$5, FALSE)</f>
        <v>#N/A</v>
      </c>
      <c r="F2132" s="22" t="e">
        <f>VLOOKUP($A2132,TAB_AMORTIZACAO_U[[Q_DIAS_U_PARC_TIR]:[V_FUT_U_PCPL-02]], F$5, FALSE)</f>
        <v>#N/A</v>
      </c>
      <c r="H2132" s="20">
        <f t="shared" si="172"/>
        <v>0</v>
      </c>
      <c r="I2132" s="21">
        <f t="shared" si="173"/>
        <v>0</v>
      </c>
      <c r="J2132" s="22" t="e">
        <f>VLOOKUP($A2132, TAB_JUROS_C[[DIAS_CORRIDOS]:[V_FUT_UTEIS]], J$5, FALSE)</f>
        <v>#N/A</v>
      </c>
      <c r="K2132" s="22" t="e">
        <f>VLOOKUP($A2132, TAB_CORRECAO_C[[DIAS_CORRIDOS]:[V_FUT_UTEIS]],K$5, FALSE)</f>
        <v>#N/A</v>
      </c>
      <c r="L2132" s="22" t="e">
        <f>VLOOKUP($A2132, TAB_AMORTIZACAO_C[[DIAS_CORRIDOS]:[V_FUT_UTEIS]], L$5, FALSE)</f>
        <v>#N/A</v>
      </c>
    </row>
    <row r="2133" spans="1:12" hidden="1">
      <c r="A2133" s="19">
        <f t="shared" si="174"/>
        <v>2127</v>
      </c>
      <c r="B2133" s="20">
        <f t="shared" si="170"/>
        <v>0</v>
      </c>
      <c r="C2133" s="21">
        <f t="shared" si="171"/>
        <v>0</v>
      </c>
      <c r="D2133" s="22" t="e">
        <f>VLOOKUP($A2133, TAB_JUROS_U[[Q_DIAS_U_PARC_TIR]:[V_FUT_U_JURS CENARIO]], D$5, FALSE)</f>
        <v>#N/A</v>
      </c>
      <c r="E2133" s="22" t="e">
        <f>VLOOKUP($A2133,TAB_CORRECAO_U[[Q_DIAS_U_PARC_TIR]:[V_FUT_U_CORC-02]],E$5, FALSE)</f>
        <v>#N/A</v>
      </c>
      <c r="F2133" s="22" t="e">
        <f>VLOOKUP($A2133,TAB_AMORTIZACAO_U[[Q_DIAS_U_PARC_TIR]:[V_FUT_U_PCPL-02]], F$5, FALSE)</f>
        <v>#N/A</v>
      </c>
      <c r="H2133" s="20">
        <f t="shared" si="172"/>
        <v>0</v>
      </c>
      <c r="I2133" s="21">
        <f t="shared" si="173"/>
        <v>0</v>
      </c>
      <c r="J2133" s="22" t="e">
        <f>VLOOKUP($A2133, TAB_JUROS_C[[DIAS_CORRIDOS]:[V_FUT_UTEIS]], J$5, FALSE)</f>
        <v>#N/A</v>
      </c>
      <c r="K2133" s="22" t="e">
        <f>VLOOKUP($A2133, TAB_CORRECAO_C[[DIAS_CORRIDOS]:[V_FUT_UTEIS]],K$5, FALSE)</f>
        <v>#N/A</v>
      </c>
      <c r="L2133" s="22" t="e">
        <f>VLOOKUP($A2133, TAB_AMORTIZACAO_C[[DIAS_CORRIDOS]:[V_FUT_UTEIS]], L$5, FALSE)</f>
        <v>#N/A</v>
      </c>
    </row>
    <row r="2134" spans="1:12" hidden="1">
      <c r="A2134" s="19">
        <f t="shared" si="174"/>
        <v>2128</v>
      </c>
      <c r="B2134" s="20">
        <f t="shared" si="170"/>
        <v>0</v>
      </c>
      <c r="C2134" s="21">
        <f t="shared" si="171"/>
        <v>0</v>
      </c>
      <c r="D2134" s="22" t="e">
        <f>VLOOKUP($A2134, TAB_JUROS_U[[Q_DIAS_U_PARC_TIR]:[V_FUT_U_JURS CENARIO]], D$5, FALSE)</f>
        <v>#N/A</v>
      </c>
      <c r="E2134" s="22" t="e">
        <f>VLOOKUP($A2134,TAB_CORRECAO_U[[Q_DIAS_U_PARC_TIR]:[V_FUT_U_CORC-02]],E$5, FALSE)</f>
        <v>#N/A</v>
      </c>
      <c r="F2134" s="22" t="e">
        <f>VLOOKUP($A2134,TAB_AMORTIZACAO_U[[Q_DIAS_U_PARC_TIR]:[V_FUT_U_PCPL-02]], F$5, FALSE)</f>
        <v>#N/A</v>
      </c>
      <c r="H2134" s="20">
        <f t="shared" si="172"/>
        <v>0</v>
      </c>
      <c r="I2134" s="21">
        <f t="shared" si="173"/>
        <v>0</v>
      </c>
      <c r="J2134" s="22" t="e">
        <f>VLOOKUP($A2134, TAB_JUROS_C[[DIAS_CORRIDOS]:[V_FUT_UTEIS]], J$5, FALSE)</f>
        <v>#N/A</v>
      </c>
      <c r="K2134" s="22" t="e">
        <f>VLOOKUP($A2134, TAB_CORRECAO_C[[DIAS_CORRIDOS]:[V_FUT_UTEIS]],K$5, FALSE)</f>
        <v>#N/A</v>
      </c>
      <c r="L2134" s="22" t="e">
        <f>VLOOKUP($A2134, TAB_AMORTIZACAO_C[[DIAS_CORRIDOS]:[V_FUT_UTEIS]], L$5, FALSE)</f>
        <v>#N/A</v>
      </c>
    </row>
    <row r="2135" spans="1:12" hidden="1">
      <c r="A2135" s="19">
        <f t="shared" si="174"/>
        <v>2129</v>
      </c>
      <c r="B2135" s="20">
        <f t="shared" si="170"/>
        <v>0</v>
      </c>
      <c r="C2135" s="21">
        <f t="shared" si="171"/>
        <v>0</v>
      </c>
      <c r="D2135" s="22" t="e">
        <f>VLOOKUP($A2135, TAB_JUROS_U[[Q_DIAS_U_PARC_TIR]:[V_FUT_U_JURS CENARIO]], D$5, FALSE)</f>
        <v>#N/A</v>
      </c>
      <c r="E2135" s="22" t="e">
        <f>VLOOKUP($A2135,TAB_CORRECAO_U[[Q_DIAS_U_PARC_TIR]:[V_FUT_U_CORC-02]],E$5, FALSE)</f>
        <v>#N/A</v>
      </c>
      <c r="F2135" s="22" t="e">
        <f>VLOOKUP($A2135,TAB_AMORTIZACAO_U[[Q_DIAS_U_PARC_TIR]:[V_FUT_U_PCPL-02]], F$5, FALSE)</f>
        <v>#N/A</v>
      </c>
      <c r="H2135" s="20">
        <f t="shared" si="172"/>
        <v>0</v>
      </c>
      <c r="I2135" s="21">
        <f t="shared" si="173"/>
        <v>0</v>
      </c>
      <c r="J2135" s="22" t="e">
        <f>VLOOKUP($A2135, TAB_JUROS_C[[DIAS_CORRIDOS]:[V_FUT_UTEIS]], J$5, FALSE)</f>
        <v>#N/A</v>
      </c>
      <c r="K2135" s="22" t="e">
        <f>VLOOKUP($A2135, TAB_CORRECAO_C[[DIAS_CORRIDOS]:[V_FUT_UTEIS]],K$5, FALSE)</f>
        <v>#N/A</v>
      </c>
      <c r="L2135" s="22" t="e">
        <f>VLOOKUP($A2135, TAB_AMORTIZACAO_C[[DIAS_CORRIDOS]:[V_FUT_UTEIS]], L$5, FALSE)</f>
        <v>#N/A</v>
      </c>
    </row>
    <row r="2136" spans="1:12" hidden="1">
      <c r="A2136" s="19">
        <f t="shared" si="174"/>
        <v>2130</v>
      </c>
      <c r="B2136" s="20">
        <f t="shared" si="170"/>
        <v>0</v>
      </c>
      <c r="C2136" s="21">
        <f t="shared" si="171"/>
        <v>0</v>
      </c>
      <c r="D2136" s="22" t="e">
        <f>VLOOKUP($A2136, TAB_JUROS_U[[Q_DIAS_U_PARC_TIR]:[V_FUT_U_JURS CENARIO]], D$5, FALSE)</f>
        <v>#N/A</v>
      </c>
      <c r="E2136" s="22" t="e">
        <f>VLOOKUP($A2136,TAB_CORRECAO_U[[Q_DIAS_U_PARC_TIR]:[V_FUT_U_CORC-02]],E$5, FALSE)</f>
        <v>#N/A</v>
      </c>
      <c r="F2136" s="22" t="e">
        <f>VLOOKUP($A2136,TAB_AMORTIZACAO_U[[Q_DIAS_U_PARC_TIR]:[V_FUT_U_PCPL-02]], F$5, FALSE)</f>
        <v>#N/A</v>
      </c>
      <c r="H2136" s="20">
        <f t="shared" si="172"/>
        <v>0</v>
      </c>
      <c r="I2136" s="21">
        <f t="shared" si="173"/>
        <v>0</v>
      </c>
      <c r="J2136" s="22" t="e">
        <f>VLOOKUP($A2136, TAB_JUROS_C[[DIAS_CORRIDOS]:[V_FUT_UTEIS]], J$5, FALSE)</f>
        <v>#N/A</v>
      </c>
      <c r="K2136" s="22" t="e">
        <f>VLOOKUP($A2136, TAB_CORRECAO_C[[DIAS_CORRIDOS]:[V_FUT_UTEIS]],K$5, FALSE)</f>
        <v>#N/A</v>
      </c>
      <c r="L2136" s="22" t="e">
        <f>VLOOKUP($A2136, TAB_AMORTIZACAO_C[[DIAS_CORRIDOS]:[V_FUT_UTEIS]], L$5, FALSE)</f>
        <v>#N/A</v>
      </c>
    </row>
    <row r="2137" spans="1:12" hidden="1">
      <c r="A2137" s="19">
        <f t="shared" si="174"/>
        <v>2131</v>
      </c>
      <c r="B2137" s="20">
        <f t="shared" si="170"/>
        <v>0</v>
      </c>
      <c r="C2137" s="21">
        <f t="shared" si="171"/>
        <v>0</v>
      </c>
      <c r="D2137" s="22" t="e">
        <f>VLOOKUP($A2137, TAB_JUROS_U[[Q_DIAS_U_PARC_TIR]:[V_FUT_U_JURS CENARIO]], D$5, FALSE)</f>
        <v>#N/A</v>
      </c>
      <c r="E2137" s="22" t="e">
        <f>VLOOKUP($A2137,TAB_CORRECAO_U[[Q_DIAS_U_PARC_TIR]:[V_FUT_U_CORC-02]],E$5, FALSE)</f>
        <v>#N/A</v>
      </c>
      <c r="F2137" s="22" t="e">
        <f>VLOOKUP($A2137,TAB_AMORTIZACAO_U[[Q_DIAS_U_PARC_TIR]:[V_FUT_U_PCPL-02]], F$5, FALSE)</f>
        <v>#N/A</v>
      </c>
      <c r="H2137" s="20">
        <f t="shared" si="172"/>
        <v>0</v>
      </c>
      <c r="I2137" s="21">
        <f t="shared" si="173"/>
        <v>0</v>
      </c>
      <c r="J2137" s="22" t="e">
        <f>VLOOKUP($A2137, TAB_JUROS_C[[DIAS_CORRIDOS]:[V_FUT_UTEIS]], J$5, FALSE)</f>
        <v>#N/A</v>
      </c>
      <c r="K2137" s="22" t="e">
        <f>VLOOKUP($A2137, TAB_CORRECAO_C[[DIAS_CORRIDOS]:[V_FUT_UTEIS]],K$5, FALSE)</f>
        <v>#N/A</v>
      </c>
      <c r="L2137" s="22" t="e">
        <f>VLOOKUP($A2137, TAB_AMORTIZACAO_C[[DIAS_CORRIDOS]:[V_FUT_UTEIS]], L$5, FALSE)</f>
        <v>#N/A</v>
      </c>
    </row>
    <row r="2138" spans="1:12" hidden="1">
      <c r="A2138" s="19">
        <f t="shared" si="174"/>
        <v>2132</v>
      </c>
      <c r="B2138" s="20">
        <f t="shared" si="170"/>
        <v>0</v>
      </c>
      <c r="C2138" s="21">
        <f t="shared" si="171"/>
        <v>0</v>
      </c>
      <c r="D2138" s="22" t="e">
        <f>VLOOKUP($A2138, TAB_JUROS_U[[Q_DIAS_U_PARC_TIR]:[V_FUT_U_JURS CENARIO]], D$5, FALSE)</f>
        <v>#N/A</v>
      </c>
      <c r="E2138" s="22" t="e">
        <f>VLOOKUP($A2138,TAB_CORRECAO_U[[Q_DIAS_U_PARC_TIR]:[V_FUT_U_CORC-02]],E$5, FALSE)</f>
        <v>#N/A</v>
      </c>
      <c r="F2138" s="22" t="e">
        <f>VLOOKUP($A2138,TAB_AMORTIZACAO_U[[Q_DIAS_U_PARC_TIR]:[V_FUT_U_PCPL-02]], F$5, FALSE)</f>
        <v>#N/A</v>
      </c>
      <c r="H2138" s="20">
        <f t="shared" si="172"/>
        <v>0</v>
      </c>
      <c r="I2138" s="21">
        <f t="shared" si="173"/>
        <v>0</v>
      </c>
      <c r="J2138" s="22" t="e">
        <f>VLOOKUP($A2138, TAB_JUROS_C[[DIAS_CORRIDOS]:[V_FUT_UTEIS]], J$5, FALSE)</f>
        <v>#N/A</v>
      </c>
      <c r="K2138" s="22" t="e">
        <f>VLOOKUP($A2138, TAB_CORRECAO_C[[DIAS_CORRIDOS]:[V_FUT_UTEIS]],K$5, FALSE)</f>
        <v>#N/A</v>
      </c>
      <c r="L2138" s="22" t="e">
        <f>VLOOKUP($A2138, TAB_AMORTIZACAO_C[[DIAS_CORRIDOS]:[V_FUT_UTEIS]], L$5, FALSE)</f>
        <v>#N/A</v>
      </c>
    </row>
    <row r="2139" spans="1:12" hidden="1">
      <c r="A2139" s="19">
        <f t="shared" si="174"/>
        <v>2133</v>
      </c>
      <c r="B2139" s="20">
        <f t="shared" si="170"/>
        <v>0</v>
      </c>
      <c r="C2139" s="21">
        <f t="shared" si="171"/>
        <v>0</v>
      </c>
      <c r="D2139" s="22" t="e">
        <f>VLOOKUP($A2139, TAB_JUROS_U[[Q_DIAS_U_PARC_TIR]:[V_FUT_U_JURS CENARIO]], D$5, FALSE)</f>
        <v>#N/A</v>
      </c>
      <c r="E2139" s="22" t="e">
        <f>VLOOKUP($A2139,TAB_CORRECAO_U[[Q_DIAS_U_PARC_TIR]:[V_FUT_U_CORC-02]],E$5, FALSE)</f>
        <v>#N/A</v>
      </c>
      <c r="F2139" s="22" t="e">
        <f>VLOOKUP($A2139,TAB_AMORTIZACAO_U[[Q_DIAS_U_PARC_TIR]:[V_FUT_U_PCPL-02]], F$5, FALSE)</f>
        <v>#N/A</v>
      </c>
      <c r="H2139" s="20">
        <f t="shared" si="172"/>
        <v>0</v>
      </c>
      <c r="I2139" s="21">
        <f t="shared" si="173"/>
        <v>0</v>
      </c>
      <c r="J2139" s="22" t="e">
        <f>VLOOKUP($A2139, TAB_JUROS_C[[DIAS_CORRIDOS]:[V_FUT_UTEIS]], J$5, FALSE)</f>
        <v>#N/A</v>
      </c>
      <c r="K2139" s="22" t="e">
        <f>VLOOKUP($A2139, TAB_CORRECAO_C[[DIAS_CORRIDOS]:[V_FUT_UTEIS]],K$5, FALSE)</f>
        <v>#N/A</v>
      </c>
      <c r="L2139" s="22" t="e">
        <f>VLOOKUP($A2139, TAB_AMORTIZACAO_C[[DIAS_CORRIDOS]:[V_FUT_UTEIS]], L$5, FALSE)</f>
        <v>#N/A</v>
      </c>
    </row>
    <row r="2140" spans="1:12" hidden="1">
      <c r="A2140" s="19">
        <f t="shared" si="174"/>
        <v>2134</v>
      </c>
      <c r="B2140" s="20">
        <f t="shared" si="170"/>
        <v>0</v>
      </c>
      <c r="C2140" s="21">
        <f t="shared" si="171"/>
        <v>0</v>
      </c>
      <c r="D2140" s="22" t="e">
        <f>VLOOKUP($A2140, TAB_JUROS_U[[Q_DIAS_U_PARC_TIR]:[V_FUT_U_JURS CENARIO]], D$5, FALSE)</f>
        <v>#N/A</v>
      </c>
      <c r="E2140" s="22" t="e">
        <f>VLOOKUP($A2140,TAB_CORRECAO_U[[Q_DIAS_U_PARC_TIR]:[V_FUT_U_CORC-02]],E$5, FALSE)</f>
        <v>#N/A</v>
      </c>
      <c r="F2140" s="22" t="e">
        <f>VLOOKUP($A2140,TAB_AMORTIZACAO_U[[Q_DIAS_U_PARC_TIR]:[V_FUT_U_PCPL-02]], F$5, FALSE)</f>
        <v>#N/A</v>
      </c>
      <c r="H2140" s="20">
        <f t="shared" si="172"/>
        <v>0</v>
      </c>
      <c r="I2140" s="21">
        <f t="shared" si="173"/>
        <v>0</v>
      </c>
      <c r="J2140" s="22" t="e">
        <f>VLOOKUP($A2140, TAB_JUROS_C[[DIAS_CORRIDOS]:[V_FUT_UTEIS]], J$5, FALSE)</f>
        <v>#N/A</v>
      </c>
      <c r="K2140" s="22" t="e">
        <f>VLOOKUP($A2140, TAB_CORRECAO_C[[DIAS_CORRIDOS]:[V_FUT_UTEIS]],K$5, FALSE)</f>
        <v>#N/A</v>
      </c>
      <c r="L2140" s="22" t="e">
        <f>VLOOKUP($A2140, TAB_AMORTIZACAO_C[[DIAS_CORRIDOS]:[V_FUT_UTEIS]], L$5, FALSE)</f>
        <v>#N/A</v>
      </c>
    </row>
    <row r="2141" spans="1:12" hidden="1">
      <c r="A2141" s="19">
        <f t="shared" si="174"/>
        <v>2135</v>
      </c>
      <c r="B2141" s="20">
        <f t="shared" si="170"/>
        <v>0</v>
      </c>
      <c r="C2141" s="21">
        <f t="shared" si="171"/>
        <v>0</v>
      </c>
      <c r="D2141" s="22" t="e">
        <f>VLOOKUP($A2141, TAB_JUROS_U[[Q_DIAS_U_PARC_TIR]:[V_FUT_U_JURS CENARIO]], D$5, FALSE)</f>
        <v>#N/A</v>
      </c>
      <c r="E2141" s="22" t="e">
        <f>VLOOKUP($A2141,TAB_CORRECAO_U[[Q_DIAS_U_PARC_TIR]:[V_FUT_U_CORC-02]],E$5, FALSE)</f>
        <v>#N/A</v>
      </c>
      <c r="F2141" s="22" t="e">
        <f>VLOOKUP($A2141,TAB_AMORTIZACAO_U[[Q_DIAS_U_PARC_TIR]:[V_FUT_U_PCPL-02]], F$5, FALSE)</f>
        <v>#N/A</v>
      </c>
      <c r="H2141" s="20">
        <f t="shared" si="172"/>
        <v>0</v>
      </c>
      <c r="I2141" s="21">
        <f t="shared" si="173"/>
        <v>0</v>
      </c>
      <c r="J2141" s="22" t="e">
        <f>VLOOKUP($A2141, TAB_JUROS_C[[DIAS_CORRIDOS]:[V_FUT_UTEIS]], J$5, FALSE)</f>
        <v>#N/A</v>
      </c>
      <c r="K2141" s="22" t="e">
        <f>VLOOKUP($A2141, TAB_CORRECAO_C[[DIAS_CORRIDOS]:[V_FUT_UTEIS]],K$5, FALSE)</f>
        <v>#N/A</v>
      </c>
      <c r="L2141" s="22" t="e">
        <f>VLOOKUP($A2141, TAB_AMORTIZACAO_C[[DIAS_CORRIDOS]:[V_FUT_UTEIS]], L$5, FALSE)</f>
        <v>#N/A</v>
      </c>
    </row>
    <row r="2142" spans="1:12" hidden="1">
      <c r="A2142" s="19">
        <f t="shared" si="174"/>
        <v>2136</v>
      </c>
      <c r="B2142" s="20">
        <f t="shared" si="170"/>
        <v>0</v>
      </c>
      <c r="C2142" s="21">
        <f t="shared" si="171"/>
        <v>0</v>
      </c>
      <c r="D2142" s="22" t="e">
        <f>VLOOKUP($A2142, TAB_JUROS_U[[Q_DIAS_U_PARC_TIR]:[V_FUT_U_JURS CENARIO]], D$5, FALSE)</f>
        <v>#N/A</v>
      </c>
      <c r="E2142" s="22" t="e">
        <f>VLOOKUP($A2142,TAB_CORRECAO_U[[Q_DIAS_U_PARC_TIR]:[V_FUT_U_CORC-02]],E$5, FALSE)</f>
        <v>#N/A</v>
      </c>
      <c r="F2142" s="22" t="e">
        <f>VLOOKUP($A2142,TAB_AMORTIZACAO_U[[Q_DIAS_U_PARC_TIR]:[V_FUT_U_PCPL-02]], F$5, FALSE)</f>
        <v>#N/A</v>
      </c>
      <c r="H2142" s="20">
        <f t="shared" si="172"/>
        <v>0</v>
      </c>
      <c r="I2142" s="21">
        <f t="shared" si="173"/>
        <v>0</v>
      </c>
      <c r="J2142" s="22" t="e">
        <f>VLOOKUP($A2142, TAB_JUROS_C[[DIAS_CORRIDOS]:[V_FUT_UTEIS]], J$5, FALSE)</f>
        <v>#N/A</v>
      </c>
      <c r="K2142" s="22" t="e">
        <f>VLOOKUP($A2142, TAB_CORRECAO_C[[DIAS_CORRIDOS]:[V_FUT_UTEIS]],K$5, FALSE)</f>
        <v>#N/A</v>
      </c>
      <c r="L2142" s="22" t="e">
        <f>VLOOKUP($A2142, TAB_AMORTIZACAO_C[[DIAS_CORRIDOS]:[V_FUT_UTEIS]], L$5, FALSE)</f>
        <v>#N/A</v>
      </c>
    </row>
    <row r="2143" spans="1:12" hidden="1">
      <c r="A2143" s="19">
        <f t="shared" si="174"/>
        <v>2137</v>
      </c>
      <c r="B2143" s="20">
        <f t="shared" si="170"/>
        <v>0</v>
      </c>
      <c r="C2143" s="21">
        <f t="shared" si="171"/>
        <v>0</v>
      </c>
      <c r="D2143" s="22" t="e">
        <f>VLOOKUP($A2143, TAB_JUROS_U[[Q_DIAS_U_PARC_TIR]:[V_FUT_U_JURS CENARIO]], D$5, FALSE)</f>
        <v>#N/A</v>
      </c>
      <c r="E2143" s="22" t="e">
        <f>VLOOKUP($A2143,TAB_CORRECAO_U[[Q_DIAS_U_PARC_TIR]:[V_FUT_U_CORC-02]],E$5, FALSE)</f>
        <v>#N/A</v>
      </c>
      <c r="F2143" s="22" t="e">
        <f>VLOOKUP($A2143,TAB_AMORTIZACAO_U[[Q_DIAS_U_PARC_TIR]:[V_FUT_U_PCPL-02]], F$5, FALSE)</f>
        <v>#N/A</v>
      </c>
      <c r="H2143" s="20">
        <f t="shared" si="172"/>
        <v>0</v>
      </c>
      <c r="I2143" s="21">
        <f t="shared" si="173"/>
        <v>0</v>
      </c>
      <c r="J2143" s="22" t="e">
        <f>VLOOKUP($A2143, TAB_JUROS_C[[DIAS_CORRIDOS]:[V_FUT_UTEIS]], J$5, FALSE)</f>
        <v>#N/A</v>
      </c>
      <c r="K2143" s="22" t="e">
        <f>VLOOKUP($A2143, TAB_CORRECAO_C[[DIAS_CORRIDOS]:[V_FUT_UTEIS]],K$5, FALSE)</f>
        <v>#N/A</v>
      </c>
      <c r="L2143" s="22" t="e">
        <f>VLOOKUP($A2143, TAB_AMORTIZACAO_C[[DIAS_CORRIDOS]:[V_FUT_UTEIS]], L$5, FALSE)</f>
        <v>#N/A</v>
      </c>
    </row>
    <row r="2144" spans="1:12" hidden="1">
      <c r="A2144" s="19">
        <f t="shared" si="174"/>
        <v>2138</v>
      </c>
      <c r="B2144" s="20">
        <f t="shared" si="170"/>
        <v>0</v>
      </c>
      <c r="C2144" s="21">
        <f t="shared" si="171"/>
        <v>0</v>
      </c>
      <c r="D2144" s="22" t="e">
        <f>VLOOKUP($A2144, TAB_JUROS_U[[Q_DIAS_U_PARC_TIR]:[V_FUT_U_JURS CENARIO]], D$5, FALSE)</f>
        <v>#N/A</v>
      </c>
      <c r="E2144" s="22" t="e">
        <f>VLOOKUP($A2144,TAB_CORRECAO_U[[Q_DIAS_U_PARC_TIR]:[V_FUT_U_CORC-02]],E$5, FALSE)</f>
        <v>#N/A</v>
      </c>
      <c r="F2144" s="22" t="e">
        <f>VLOOKUP($A2144,TAB_AMORTIZACAO_U[[Q_DIAS_U_PARC_TIR]:[V_FUT_U_PCPL-02]], F$5, FALSE)</f>
        <v>#N/A</v>
      </c>
      <c r="H2144" s="20">
        <f t="shared" si="172"/>
        <v>0</v>
      </c>
      <c r="I2144" s="21">
        <f t="shared" si="173"/>
        <v>0</v>
      </c>
      <c r="J2144" s="22" t="e">
        <f>VLOOKUP($A2144, TAB_JUROS_C[[DIAS_CORRIDOS]:[V_FUT_UTEIS]], J$5, FALSE)</f>
        <v>#N/A</v>
      </c>
      <c r="K2144" s="22" t="e">
        <f>VLOOKUP($A2144, TAB_CORRECAO_C[[DIAS_CORRIDOS]:[V_FUT_UTEIS]],K$5, FALSE)</f>
        <v>#N/A</v>
      </c>
      <c r="L2144" s="22" t="e">
        <f>VLOOKUP($A2144, TAB_AMORTIZACAO_C[[DIAS_CORRIDOS]:[V_FUT_UTEIS]], L$5, FALSE)</f>
        <v>#N/A</v>
      </c>
    </row>
    <row r="2145" spans="1:12" hidden="1">
      <c r="A2145" s="19">
        <f t="shared" si="174"/>
        <v>2139</v>
      </c>
      <c r="B2145" s="20">
        <f t="shared" si="170"/>
        <v>0</v>
      </c>
      <c r="C2145" s="21">
        <f t="shared" si="171"/>
        <v>0</v>
      </c>
      <c r="D2145" s="22" t="e">
        <f>VLOOKUP($A2145, TAB_JUROS_U[[Q_DIAS_U_PARC_TIR]:[V_FUT_U_JURS CENARIO]], D$5, FALSE)</f>
        <v>#N/A</v>
      </c>
      <c r="E2145" s="22" t="e">
        <f>VLOOKUP($A2145,TAB_CORRECAO_U[[Q_DIAS_U_PARC_TIR]:[V_FUT_U_CORC-02]],E$5, FALSE)</f>
        <v>#N/A</v>
      </c>
      <c r="F2145" s="22" t="e">
        <f>VLOOKUP($A2145,TAB_AMORTIZACAO_U[[Q_DIAS_U_PARC_TIR]:[V_FUT_U_PCPL-02]], F$5, FALSE)</f>
        <v>#N/A</v>
      </c>
      <c r="H2145" s="20">
        <f t="shared" si="172"/>
        <v>0</v>
      </c>
      <c r="I2145" s="21">
        <f t="shared" si="173"/>
        <v>0</v>
      </c>
      <c r="J2145" s="22" t="e">
        <f>VLOOKUP($A2145, TAB_JUROS_C[[DIAS_CORRIDOS]:[V_FUT_UTEIS]], J$5, FALSE)</f>
        <v>#N/A</v>
      </c>
      <c r="K2145" s="22" t="e">
        <f>VLOOKUP($A2145, TAB_CORRECAO_C[[DIAS_CORRIDOS]:[V_FUT_UTEIS]],K$5, FALSE)</f>
        <v>#N/A</v>
      </c>
      <c r="L2145" s="22" t="e">
        <f>VLOOKUP($A2145, TAB_AMORTIZACAO_C[[DIAS_CORRIDOS]:[V_FUT_UTEIS]], L$5, FALSE)</f>
        <v>#N/A</v>
      </c>
    </row>
    <row r="2146" spans="1:12" hidden="1">
      <c r="A2146" s="19">
        <f t="shared" si="174"/>
        <v>2140</v>
      </c>
      <c r="B2146" s="20">
        <f t="shared" si="170"/>
        <v>0</v>
      </c>
      <c r="C2146" s="21">
        <f t="shared" si="171"/>
        <v>0</v>
      </c>
      <c r="D2146" s="22" t="e">
        <f>VLOOKUP($A2146, TAB_JUROS_U[[Q_DIAS_U_PARC_TIR]:[V_FUT_U_JURS CENARIO]], D$5, FALSE)</f>
        <v>#N/A</v>
      </c>
      <c r="E2146" s="22" t="e">
        <f>VLOOKUP($A2146,TAB_CORRECAO_U[[Q_DIAS_U_PARC_TIR]:[V_FUT_U_CORC-02]],E$5, FALSE)</f>
        <v>#N/A</v>
      </c>
      <c r="F2146" s="22" t="e">
        <f>VLOOKUP($A2146,TAB_AMORTIZACAO_U[[Q_DIAS_U_PARC_TIR]:[V_FUT_U_PCPL-02]], F$5, FALSE)</f>
        <v>#N/A</v>
      </c>
      <c r="H2146" s="20">
        <f t="shared" si="172"/>
        <v>0</v>
      </c>
      <c r="I2146" s="21">
        <f t="shared" si="173"/>
        <v>0</v>
      </c>
      <c r="J2146" s="22" t="e">
        <f>VLOOKUP($A2146, TAB_JUROS_C[[DIAS_CORRIDOS]:[V_FUT_UTEIS]], J$5, FALSE)</f>
        <v>#N/A</v>
      </c>
      <c r="K2146" s="22" t="e">
        <f>VLOOKUP($A2146, TAB_CORRECAO_C[[DIAS_CORRIDOS]:[V_FUT_UTEIS]],K$5, FALSE)</f>
        <v>#N/A</v>
      </c>
      <c r="L2146" s="22" t="e">
        <f>VLOOKUP($A2146, TAB_AMORTIZACAO_C[[DIAS_CORRIDOS]:[V_FUT_UTEIS]], L$5, FALSE)</f>
        <v>#N/A</v>
      </c>
    </row>
    <row r="2147" spans="1:12" hidden="1">
      <c r="A2147" s="19">
        <f t="shared" si="174"/>
        <v>2141</v>
      </c>
      <c r="B2147" s="20">
        <f t="shared" si="170"/>
        <v>0</v>
      </c>
      <c r="C2147" s="21">
        <f t="shared" si="171"/>
        <v>0</v>
      </c>
      <c r="D2147" s="22" t="e">
        <f>VLOOKUP($A2147, TAB_JUROS_U[[Q_DIAS_U_PARC_TIR]:[V_FUT_U_JURS CENARIO]], D$5, FALSE)</f>
        <v>#N/A</v>
      </c>
      <c r="E2147" s="22" t="e">
        <f>VLOOKUP($A2147,TAB_CORRECAO_U[[Q_DIAS_U_PARC_TIR]:[V_FUT_U_CORC-02]],E$5, FALSE)</f>
        <v>#N/A</v>
      </c>
      <c r="F2147" s="22" t="e">
        <f>VLOOKUP($A2147,TAB_AMORTIZACAO_U[[Q_DIAS_U_PARC_TIR]:[V_FUT_U_PCPL-02]], F$5, FALSE)</f>
        <v>#N/A</v>
      </c>
      <c r="H2147" s="20">
        <f t="shared" si="172"/>
        <v>0</v>
      </c>
      <c r="I2147" s="21">
        <f t="shared" si="173"/>
        <v>0</v>
      </c>
      <c r="J2147" s="22" t="e">
        <f>VLOOKUP($A2147, TAB_JUROS_C[[DIAS_CORRIDOS]:[V_FUT_UTEIS]], J$5, FALSE)</f>
        <v>#N/A</v>
      </c>
      <c r="K2147" s="22" t="e">
        <f>VLOOKUP($A2147, TAB_CORRECAO_C[[DIAS_CORRIDOS]:[V_FUT_UTEIS]],K$5, FALSE)</f>
        <v>#N/A</v>
      </c>
      <c r="L2147" s="22" t="e">
        <f>VLOOKUP($A2147, TAB_AMORTIZACAO_C[[DIAS_CORRIDOS]:[V_FUT_UTEIS]], L$5, FALSE)</f>
        <v>#N/A</v>
      </c>
    </row>
    <row r="2148" spans="1:12">
      <c r="A2148" s="19">
        <f t="shared" si="174"/>
        <v>2142</v>
      </c>
      <c r="B2148" s="20">
        <f t="shared" si="170"/>
        <v>251.27597226015465</v>
      </c>
      <c r="C2148" s="21">
        <f t="shared" si="171"/>
        <v>251.27597226015465</v>
      </c>
      <c r="D2148" s="22">
        <f>VLOOKUP($A2148, TAB_JUROS_U[[Q_DIAS_U_PARC_TIR]:[V_FUT_U_JURS CENARIO]], D$5, FALSE)</f>
        <v>12.490135597314765</v>
      </c>
      <c r="E2148" s="22">
        <f>VLOOKUP($A2148,TAB_CORRECAO_U[[Q_DIAS_U_PARC_TIR]:[V_FUT_U_CORC-02]],E$5, FALSE)</f>
        <v>76.945174017104577</v>
      </c>
      <c r="F2148" s="22">
        <f>VLOOKUP($A2148,TAB_AMORTIZACAO_U[[Q_DIAS_U_PARC_TIR]:[V_FUT_U_PCPL-02]], F$5, FALSE)</f>
        <v>161.84066264573531</v>
      </c>
      <c r="H2148" s="20">
        <f t="shared" si="172"/>
        <v>0</v>
      </c>
      <c r="I2148" s="21">
        <f t="shared" si="173"/>
        <v>0</v>
      </c>
      <c r="J2148" s="22" t="e">
        <f>VLOOKUP($A2148, TAB_JUROS_C[[DIAS_CORRIDOS]:[V_FUT_UTEIS]], J$5, FALSE)</f>
        <v>#N/A</v>
      </c>
      <c r="K2148" s="22" t="e">
        <f>VLOOKUP($A2148, TAB_CORRECAO_C[[DIAS_CORRIDOS]:[V_FUT_UTEIS]],K$5, FALSE)</f>
        <v>#N/A</v>
      </c>
      <c r="L2148" s="22" t="e">
        <f>VLOOKUP($A2148, TAB_AMORTIZACAO_C[[DIAS_CORRIDOS]:[V_FUT_UTEIS]], L$5, FALSE)</f>
        <v>#N/A</v>
      </c>
    </row>
    <row r="2149" spans="1:12" hidden="1">
      <c r="A2149" s="19">
        <f t="shared" si="174"/>
        <v>2143</v>
      </c>
      <c r="B2149" s="20">
        <f t="shared" si="170"/>
        <v>0</v>
      </c>
      <c r="C2149" s="21">
        <f t="shared" si="171"/>
        <v>0</v>
      </c>
      <c r="D2149" s="22" t="e">
        <f>VLOOKUP($A2149, TAB_JUROS_U[[Q_DIAS_U_PARC_TIR]:[V_FUT_U_JURS CENARIO]], D$5, FALSE)</f>
        <v>#N/A</v>
      </c>
      <c r="E2149" s="22" t="e">
        <f>VLOOKUP($A2149,TAB_CORRECAO_U[[Q_DIAS_U_PARC_TIR]:[V_FUT_U_CORC-02]],E$5, FALSE)</f>
        <v>#N/A</v>
      </c>
      <c r="F2149" s="22" t="e">
        <f>VLOOKUP($A2149,TAB_AMORTIZACAO_U[[Q_DIAS_U_PARC_TIR]:[V_FUT_U_PCPL-02]], F$5, FALSE)</f>
        <v>#N/A</v>
      </c>
      <c r="H2149" s="20">
        <f t="shared" si="172"/>
        <v>0</v>
      </c>
      <c r="I2149" s="21">
        <f t="shared" si="173"/>
        <v>0</v>
      </c>
      <c r="J2149" s="22" t="e">
        <f>VLOOKUP($A2149, TAB_JUROS_C[[DIAS_CORRIDOS]:[V_FUT_UTEIS]], J$5, FALSE)</f>
        <v>#N/A</v>
      </c>
      <c r="K2149" s="22" t="e">
        <f>VLOOKUP($A2149, TAB_CORRECAO_C[[DIAS_CORRIDOS]:[V_FUT_UTEIS]],K$5, FALSE)</f>
        <v>#N/A</v>
      </c>
      <c r="L2149" s="22" t="e">
        <f>VLOOKUP($A2149, TAB_AMORTIZACAO_C[[DIAS_CORRIDOS]:[V_FUT_UTEIS]], L$5, FALSE)</f>
        <v>#N/A</v>
      </c>
    </row>
    <row r="2150" spans="1:12" hidden="1">
      <c r="A2150" s="19">
        <f t="shared" si="174"/>
        <v>2144</v>
      </c>
      <c r="B2150" s="20">
        <f t="shared" si="170"/>
        <v>0</v>
      </c>
      <c r="C2150" s="21">
        <f t="shared" si="171"/>
        <v>0</v>
      </c>
      <c r="D2150" s="22" t="e">
        <f>VLOOKUP($A2150, TAB_JUROS_U[[Q_DIAS_U_PARC_TIR]:[V_FUT_U_JURS CENARIO]], D$5, FALSE)</f>
        <v>#N/A</v>
      </c>
      <c r="E2150" s="22" t="e">
        <f>VLOOKUP($A2150,TAB_CORRECAO_U[[Q_DIAS_U_PARC_TIR]:[V_FUT_U_CORC-02]],E$5, FALSE)</f>
        <v>#N/A</v>
      </c>
      <c r="F2150" s="22" t="e">
        <f>VLOOKUP($A2150,TAB_AMORTIZACAO_U[[Q_DIAS_U_PARC_TIR]:[V_FUT_U_PCPL-02]], F$5, FALSE)</f>
        <v>#N/A</v>
      </c>
      <c r="H2150" s="20">
        <f t="shared" si="172"/>
        <v>517.17633437499035</v>
      </c>
      <c r="I2150" s="21">
        <f t="shared" si="173"/>
        <v>517.17633437499035</v>
      </c>
      <c r="J2150" s="22">
        <f>VLOOKUP($A2150, TAB_JUROS_C[[DIAS_CORRIDOS]:[V_FUT_UTEIS]], J$5, FALSE)</f>
        <v>35.05461493032076</v>
      </c>
      <c r="K2150" s="22">
        <f>VLOOKUP($A2150, TAB_CORRECAO_C[[DIAS_CORRIDOS]:[V_FUT_UTEIS]],K$5, FALSE)</f>
        <v>211.68555966506193</v>
      </c>
      <c r="L2150" s="22">
        <f>VLOOKUP($A2150, TAB_AMORTIZACAO_C[[DIAS_CORRIDOS]:[V_FUT_UTEIS]], L$5, FALSE)</f>
        <v>270.43615977960764</v>
      </c>
    </row>
    <row r="2151" spans="1:12" hidden="1">
      <c r="A2151" s="19">
        <f t="shared" si="174"/>
        <v>2145</v>
      </c>
      <c r="B2151" s="20">
        <f t="shared" si="170"/>
        <v>0</v>
      </c>
      <c r="C2151" s="21">
        <f t="shared" si="171"/>
        <v>0</v>
      </c>
      <c r="D2151" s="22" t="e">
        <f>VLOOKUP($A2151, TAB_JUROS_U[[Q_DIAS_U_PARC_TIR]:[V_FUT_U_JURS CENARIO]], D$5, FALSE)</f>
        <v>#N/A</v>
      </c>
      <c r="E2151" s="22" t="e">
        <f>VLOOKUP($A2151,TAB_CORRECAO_U[[Q_DIAS_U_PARC_TIR]:[V_FUT_U_CORC-02]],E$5, FALSE)</f>
        <v>#N/A</v>
      </c>
      <c r="F2151" s="22" t="e">
        <f>VLOOKUP($A2151,TAB_AMORTIZACAO_U[[Q_DIAS_U_PARC_TIR]:[V_FUT_U_PCPL-02]], F$5, FALSE)</f>
        <v>#N/A</v>
      </c>
      <c r="H2151" s="20">
        <f t="shared" si="172"/>
        <v>0</v>
      </c>
      <c r="I2151" s="21">
        <f t="shared" si="173"/>
        <v>0</v>
      </c>
      <c r="J2151" s="22" t="e">
        <f>VLOOKUP($A2151, TAB_JUROS_C[[DIAS_CORRIDOS]:[V_FUT_UTEIS]], J$5, FALSE)</f>
        <v>#N/A</v>
      </c>
      <c r="K2151" s="22" t="e">
        <f>VLOOKUP($A2151, TAB_CORRECAO_C[[DIAS_CORRIDOS]:[V_FUT_UTEIS]],K$5, FALSE)</f>
        <v>#N/A</v>
      </c>
      <c r="L2151" s="22" t="e">
        <f>VLOOKUP($A2151, TAB_AMORTIZACAO_C[[DIAS_CORRIDOS]:[V_FUT_UTEIS]], L$5, FALSE)</f>
        <v>#N/A</v>
      </c>
    </row>
    <row r="2152" spans="1:12" hidden="1">
      <c r="A2152" s="19">
        <f t="shared" si="174"/>
        <v>2146</v>
      </c>
      <c r="B2152" s="20">
        <f t="shared" si="170"/>
        <v>0</v>
      </c>
      <c r="C2152" s="21">
        <f t="shared" si="171"/>
        <v>0</v>
      </c>
      <c r="D2152" s="22" t="e">
        <f>VLOOKUP($A2152, TAB_JUROS_U[[Q_DIAS_U_PARC_TIR]:[V_FUT_U_JURS CENARIO]], D$5, FALSE)</f>
        <v>#N/A</v>
      </c>
      <c r="E2152" s="22" t="e">
        <f>VLOOKUP($A2152,TAB_CORRECAO_U[[Q_DIAS_U_PARC_TIR]:[V_FUT_U_CORC-02]],E$5, FALSE)</f>
        <v>#N/A</v>
      </c>
      <c r="F2152" s="22" t="e">
        <f>VLOOKUP($A2152,TAB_AMORTIZACAO_U[[Q_DIAS_U_PARC_TIR]:[V_FUT_U_PCPL-02]], F$5, FALSE)</f>
        <v>#N/A</v>
      </c>
      <c r="H2152" s="20">
        <f t="shared" si="172"/>
        <v>0</v>
      </c>
      <c r="I2152" s="21">
        <f t="shared" si="173"/>
        <v>0</v>
      </c>
      <c r="J2152" s="22" t="e">
        <f>VLOOKUP($A2152, TAB_JUROS_C[[DIAS_CORRIDOS]:[V_FUT_UTEIS]], J$5, FALSE)</f>
        <v>#N/A</v>
      </c>
      <c r="K2152" s="22" t="e">
        <f>VLOOKUP($A2152, TAB_CORRECAO_C[[DIAS_CORRIDOS]:[V_FUT_UTEIS]],K$5, FALSE)</f>
        <v>#N/A</v>
      </c>
      <c r="L2152" s="22" t="e">
        <f>VLOOKUP($A2152, TAB_AMORTIZACAO_C[[DIAS_CORRIDOS]:[V_FUT_UTEIS]], L$5, FALSE)</f>
        <v>#N/A</v>
      </c>
    </row>
    <row r="2153" spans="1:12" hidden="1">
      <c r="A2153" s="19">
        <f t="shared" si="174"/>
        <v>2147</v>
      </c>
      <c r="B2153" s="20">
        <f t="shared" si="170"/>
        <v>0</v>
      </c>
      <c r="C2153" s="21">
        <f t="shared" si="171"/>
        <v>0</v>
      </c>
      <c r="D2153" s="22" t="e">
        <f>VLOOKUP($A2153, TAB_JUROS_U[[Q_DIAS_U_PARC_TIR]:[V_FUT_U_JURS CENARIO]], D$5, FALSE)</f>
        <v>#N/A</v>
      </c>
      <c r="E2153" s="22" t="e">
        <f>VLOOKUP($A2153,TAB_CORRECAO_U[[Q_DIAS_U_PARC_TIR]:[V_FUT_U_CORC-02]],E$5, FALSE)</f>
        <v>#N/A</v>
      </c>
      <c r="F2153" s="22" t="e">
        <f>VLOOKUP($A2153,TAB_AMORTIZACAO_U[[Q_DIAS_U_PARC_TIR]:[V_FUT_U_PCPL-02]], F$5, FALSE)</f>
        <v>#N/A</v>
      </c>
      <c r="H2153" s="20">
        <f t="shared" si="172"/>
        <v>0</v>
      </c>
      <c r="I2153" s="21">
        <f t="shared" si="173"/>
        <v>0</v>
      </c>
      <c r="J2153" s="22" t="e">
        <f>VLOOKUP($A2153, TAB_JUROS_C[[DIAS_CORRIDOS]:[V_FUT_UTEIS]], J$5, FALSE)</f>
        <v>#N/A</v>
      </c>
      <c r="K2153" s="22" t="e">
        <f>VLOOKUP($A2153, TAB_CORRECAO_C[[DIAS_CORRIDOS]:[V_FUT_UTEIS]],K$5, FALSE)</f>
        <v>#N/A</v>
      </c>
      <c r="L2153" s="22" t="e">
        <f>VLOOKUP($A2153, TAB_AMORTIZACAO_C[[DIAS_CORRIDOS]:[V_FUT_UTEIS]], L$5, FALSE)</f>
        <v>#N/A</v>
      </c>
    </row>
    <row r="2154" spans="1:12" hidden="1">
      <c r="A2154" s="19">
        <f t="shared" si="174"/>
        <v>2148</v>
      </c>
      <c r="B2154" s="20">
        <f t="shared" si="170"/>
        <v>0</v>
      </c>
      <c r="C2154" s="21">
        <f t="shared" si="171"/>
        <v>0</v>
      </c>
      <c r="D2154" s="22" t="e">
        <f>VLOOKUP($A2154, TAB_JUROS_U[[Q_DIAS_U_PARC_TIR]:[V_FUT_U_JURS CENARIO]], D$5, FALSE)</f>
        <v>#N/A</v>
      </c>
      <c r="E2154" s="22" t="e">
        <f>VLOOKUP($A2154,TAB_CORRECAO_U[[Q_DIAS_U_PARC_TIR]:[V_FUT_U_CORC-02]],E$5, FALSE)</f>
        <v>#N/A</v>
      </c>
      <c r="F2154" s="22" t="e">
        <f>VLOOKUP($A2154,TAB_AMORTIZACAO_U[[Q_DIAS_U_PARC_TIR]:[V_FUT_U_PCPL-02]], F$5, FALSE)</f>
        <v>#N/A</v>
      </c>
      <c r="H2154" s="20">
        <f t="shared" si="172"/>
        <v>0</v>
      </c>
      <c r="I2154" s="21">
        <f t="shared" si="173"/>
        <v>0</v>
      </c>
      <c r="J2154" s="22" t="e">
        <f>VLOOKUP($A2154, TAB_JUROS_C[[DIAS_CORRIDOS]:[V_FUT_UTEIS]], J$5, FALSE)</f>
        <v>#N/A</v>
      </c>
      <c r="K2154" s="22" t="e">
        <f>VLOOKUP($A2154, TAB_CORRECAO_C[[DIAS_CORRIDOS]:[V_FUT_UTEIS]],K$5, FALSE)</f>
        <v>#N/A</v>
      </c>
      <c r="L2154" s="22" t="e">
        <f>VLOOKUP($A2154, TAB_AMORTIZACAO_C[[DIAS_CORRIDOS]:[V_FUT_UTEIS]], L$5, FALSE)</f>
        <v>#N/A</v>
      </c>
    </row>
    <row r="2155" spans="1:12" hidden="1">
      <c r="A2155" s="19">
        <f t="shared" si="174"/>
        <v>2149</v>
      </c>
      <c r="B2155" s="20">
        <f t="shared" si="170"/>
        <v>0</v>
      </c>
      <c r="C2155" s="21">
        <f t="shared" si="171"/>
        <v>0</v>
      </c>
      <c r="D2155" s="22" t="e">
        <f>VLOOKUP($A2155, TAB_JUROS_U[[Q_DIAS_U_PARC_TIR]:[V_FUT_U_JURS CENARIO]], D$5, FALSE)</f>
        <v>#N/A</v>
      </c>
      <c r="E2155" s="22" t="e">
        <f>VLOOKUP($A2155,TAB_CORRECAO_U[[Q_DIAS_U_PARC_TIR]:[V_FUT_U_CORC-02]],E$5, FALSE)</f>
        <v>#N/A</v>
      </c>
      <c r="F2155" s="22" t="e">
        <f>VLOOKUP($A2155,TAB_AMORTIZACAO_U[[Q_DIAS_U_PARC_TIR]:[V_FUT_U_PCPL-02]], F$5, FALSE)</f>
        <v>#N/A</v>
      </c>
      <c r="H2155" s="20">
        <f t="shared" si="172"/>
        <v>0</v>
      </c>
      <c r="I2155" s="21">
        <f t="shared" si="173"/>
        <v>0</v>
      </c>
      <c r="J2155" s="22" t="e">
        <f>VLOOKUP($A2155, TAB_JUROS_C[[DIAS_CORRIDOS]:[V_FUT_UTEIS]], J$5, FALSE)</f>
        <v>#N/A</v>
      </c>
      <c r="K2155" s="22" t="e">
        <f>VLOOKUP($A2155, TAB_CORRECAO_C[[DIAS_CORRIDOS]:[V_FUT_UTEIS]],K$5, FALSE)</f>
        <v>#N/A</v>
      </c>
      <c r="L2155" s="22" t="e">
        <f>VLOOKUP($A2155, TAB_AMORTIZACAO_C[[DIAS_CORRIDOS]:[V_FUT_UTEIS]], L$5, FALSE)</f>
        <v>#N/A</v>
      </c>
    </row>
    <row r="2156" spans="1:12" hidden="1">
      <c r="A2156" s="19">
        <f t="shared" si="174"/>
        <v>2150</v>
      </c>
      <c r="B2156" s="20">
        <f t="shared" si="170"/>
        <v>0</v>
      </c>
      <c r="C2156" s="21">
        <f t="shared" si="171"/>
        <v>0</v>
      </c>
      <c r="D2156" s="22" t="e">
        <f>VLOOKUP($A2156, TAB_JUROS_U[[Q_DIAS_U_PARC_TIR]:[V_FUT_U_JURS CENARIO]], D$5, FALSE)</f>
        <v>#N/A</v>
      </c>
      <c r="E2156" s="22" t="e">
        <f>VLOOKUP($A2156,TAB_CORRECAO_U[[Q_DIAS_U_PARC_TIR]:[V_FUT_U_CORC-02]],E$5, FALSE)</f>
        <v>#N/A</v>
      </c>
      <c r="F2156" s="22" t="e">
        <f>VLOOKUP($A2156,TAB_AMORTIZACAO_U[[Q_DIAS_U_PARC_TIR]:[V_FUT_U_PCPL-02]], F$5, FALSE)</f>
        <v>#N/A</v>
      </c>
      <c r="H2156" s="20">
        <f t="shared" si="172"/>
        <v>0</v>
      </c>
      <c r="I2156" s="21">
        <f t="shared" si="173"/>
        <v>0</v>
      </c>
      <c r="J2156" s="22" t="e">
        <f>VLOOKUP($A2156, TAB_JUROS_C[[DIAS_CORRIDOS]:[V_FUT_UTEIS]], J$5, FALSE)</f>
        <v>#N/A</v>
      </c>
      <c r="K2156" s="22" t="e">
        <f>VLOOKUP($A2156, TAB_CORRECAO_C[[DIAS_CORRIDOS]:[V_FUT_UTEIS]],K$5, FALSE)</f>
        <v>#N/A</v>
      </c>
      <c r="L2156" s="22" t="e">
        <f>VLOOKUP($A2156, TAB_AMORTIZACAO_C[[DIAS_CORRIDOS]:[V_FUT_UTEIS]], L$5, FALSE)</f>
        <v>#N/A</v>
      </c>
    </row>
    <row r="2157" spans="1:12" hidden="1">
      <c r="A2157" s="19">
        <f t="shared" si="174"/>
        <v>2151</v>
      </c>
      <c r="B2157" s="20">
        <f t="shared" si="170"/>
        <v>0</v>
      </c>
      <c r="C2157" s="21">
        <f t="shared" si="171"/>
        <v>0</v>
      </c>
      <c r="D2157" s="22" t="e">
        <f>VLOOKUP($A2157, TAB_JUROS_U[[Q_DIAS_U_PARC_TIR]:[V_FUT_U_JURS CENARIO]], D$5, FALSE)</f>
        <v>#N/A</v>
      </c>
      <c r="E2157" s="22" t="e">
        <f>VLOOKUP($A2157,TAB_CORRECAO_U[[Q_DIAS_U_PARC_TIR]:[V_FUT_U_CORC-02]],E$5, FALSE)</f>
        <v>#N/A</v>
      </c>
      <c r="F2157" s="22" t="e">
        <f>VLOOKUP($A2157,TAB_AMORTIZACAO_U[[Q_DIAS_U_PARC_TIR]:[V_FUT_U_PCPL-02]], F$5, FALSE)</f>
        <v>#N/A</v>
      </c>
      <c r="H2157" s="20">
        <f t="shared" si="172"/>
        <v>0</v>
      </c>
      <c r="I2157" s="21">
        <f t="shared" si="173"/>
        <v>0</v>
      </c>
      <c r="J2157" s="22" t="e">
        <f>VLOOKUP($A2157, TAB_JUROS_C[[DIAS_CORRIDOS]:[V_FUT_UTEIS]], J$5, FALSE)</f>
        <v>#N/A</v>
      </c>
      <c r="K2157" s="22" t="e">
        <f>VLOOKUP($A2157, TAB_CORRECAO_C[[DIAS_CORRIDOS]:[V_FUT_UTEIS]],K$5, FALSE)</f>
        <v>#N/A</v>
      </c>
      <c r="L2157" s="22" t="e">
        <f>VLOOKUP($A2157, TAB_AMORTIZACAO_C[[DIAS_CORRIDOS]:[V_FUT_UTEIS]], L$5, FALSE)</f>
        <v>#N/A</v>
      </c>
    </row>
    <row r="2158" spans="1:12" hidden="1">
      <c r="A2158" s="19">
        <f t="shared" si="174"/>
        <v>2152</v>
      </c>
      <c r="B2158" s="20">
        <f t="shared" si="170"/>
        <v>0</v>
      </c>
      <c r="C2158" s="21">
        <f t="shared" si="171"/>
        <v>0</v>
      </c>
      <c r="D2158" s="22" t="e">
        <f>VLOOKUP($A2158, TAB_JUROS_U[[Q_DIAS_U_PARC_TIR]:[V_FUT_U_JURS CENARIO]], D$5, FALSE)</f>
        <v>#N/A</v>
      </c>
      <c r="E2158" s="22" t="e">
        <f>VLOOKUP($A2158,TAB_CORRECAO_U[[Q_DIAS_U_PARC_TIR]:[V_FUT_U_CORC-02]],E$5, FALSE)</f>
        <v>#N/A</v>
      </c>
      <c r="F2158" s="22" t="e">
        <f>VLOOKUP($A2158,TAB_AMORTIZACAO_U[[Q_DIAS_U_PARC_TIR]:[V_FUT_U_PCPL-02]], F$5, FALSE)</f>
        <v>#N/A</v>
      </c>
      <c r="H2158" s="20">
        <f t="shared" si="172"/>
        <v>0</v>
      </c>
      <c r="I2158" s="21">
        <f t="shared" si="173"/>
        <v>0</v>
      </c>
      <c r="J2158" s="22" t="e">
        <f>VLOOKUP($A2158, TAB_JUROS_C[[DIAS_CORRIDOS]:[V_FUT_UTEIS]], J$5, FALSE)</f>
        <v>#N/A</v>
      </c>
      <c r="K2158" s="22" t="e">
        <f>VLOOKUP($A2158, TAB_CORRECAO_C[[DIAS_CORRIDOS]:[V_FUT_UTEIS]],K$5, FALSE)</f>
        <v>#N/A</v>
      </c>
      <c r="L2158" s="22" t="e">
        <f>VLOOKUP($A2158, TAB_AMORTIZACAO_C[[DIAS_CORRIDOS]:[V_FUT_UTEIS]], L$5, FALSE)</f>
        <v>#N/A</v>
      </c>
    </row>
    <row r="2159" spans="1:12" hidden="1">
      <c r="A2159" s="19">
        <f t="shared" si="174"/>
        <v>2153</v>
      </c>
      <c r="B2159" s="20">
        <f t="shared" si="170"/>
        <v>0</v>
      </c>
      <c r="C2159" s="21">
        <f t="shared" si="171"/>
        <v>0</v>
      </c>
      <c r="D2159" s="22" t="e">
        <f>VLOOKUP($A2159, TAB_JUROS_U[[Q_DIAS_U_PARC_TIR]:[V_FUT_U_JURS CENARIO]], D$5, FALSE)</f>
        <v>#N/A</v>
      </c>
      <c r="E2159" s="22" t="e">
        <f>VLOOKUP($A2159,TAB_CORRECAO_U[[Q_DIAS_U_PARC_TIR]:[V_FUT_U_CORC-02]],E$5, FALSE)</f>
        <v>#N/A</v>
      </c>
      <c r="F2159" s="22" t="e">
        <f>VLOOKUP($A2159,TAB_AMORTIZACAO_U[[Q_DIAS_U_PARC_TIR]:[V_FUT_U_PCPL-02]], F$5, FALSE)</f>
        <v>#N/A</v>
      </c>
      <c r="H2159" s="20">
        <f t="shared" si="172"/>
        <v>0</v>
      </c>
      <c r="I2159" s="21">
        <f t="shared" si="173"/>
        <v>0</v>
      </c>
      <c r="J2159" s="22" t="e">
        <f>VLOOKUP($A2159, TAB_JUROS_C[[DIAS_CORRIDOS]:[V_FUT_UTEIS]], J$5, FALSE)</f>
        <v>#N/A</v>
      </c>
      <c r="K2159" s="22" t="e">
        <f>VLOOKUP($A2159, TAB_CORRECAO_C[[DIAS_CORRIDOS]:[V_FUT_UTEIS]],K$5, FALSE)</f>
        <v>#N/A</v>
      </c>
      <c r="L2159" s="22" t="e">
        <f>VLOOKUP($A2159, TAB_AMORTIZACAO_C[[DIAS_CORRIDOS]:[V_FUT_UTEIS]], L$5, FALSE)</f>
        <v>#N/A</v>
      </c>
    </row>
    <row r="2160" spans="1:12" hidden="1">
      <c r="A2160" s="19">
        <f t="shared" si="174"/>
        <v>2154</v>
      </c>
      <c r="B2160" s="20">
        <f t="shared" si="170"/>
        <v>0</v>
      </c>
      <c r="C2160" s="21">
        <f t="shared" si="171"/>
        <v>0</v>
      </c>
      <c r="D2160" s="22" t="e">
        <f>VLOOKUP($A2160, TAB_JUROS_U[[Q_DIAS_U_PARC_TIR]:[V_FUT_U_JURS CENARIO]], D$5, FALSE)</f>
        <v>#N/A</v>
      </c>
      <c r="E2160" s="22" t="e">
        <f>VLOOKUP($A2160,TAB_CORRECAO_U[[Q_DIAS_U_PARC_TIR]:[V_FUT_U_CORC-02]],E$5, FALSE)</f>
        <v>#N/A</v>
      </c>
      <c r="F2160" s="22" t="e">
        <f>VLOOKUP($A2160,TAB_AMORTIZACAO_U[[Q_DIAS_U_PARC_TIR]:[V_FUT_U_PCPL-02]], F$5, FALSE)</f>
        <v>#N/A</v>
      </c>
      <c r="H2160" s="20">
        <f t="shared" si="172"/>
        <v>0</v>
      </c>
      <c r="I2160" s="21">
        <f t="shared" si="173"/>
        <v>0</v>
      </c>
      <c r="J2160" s="22" t="e">
        <f>VLOOKUP($A2160, TAB_JUROS_C[[DIAS_CORRIDOS]:[V_FUT_UTEIS]], J$5, FALSE)</f>
        <v>#N/A</v>
      </c>
      <c r="K2160" s="22" t="e">
        <f>VLOOKUP($A2160, TAB_CORRECAO_C[[DIAS_CORRIDOS]:[V_FUT_UTEIS]],K$5, FALSE)</f>
        <v>#N/A</v>
      </c>
      <c r="L2160" s="22" t="e">
        <f>VLOOKUP($A2160, TAB_AMORTIZACAO_C[[DIAS_CORRIDOS]:[V_FUT_UTEIS]], L$5, FALSE)</f>
        <v>#N/A</v>
      </c>
    </row>
    <row r="2161" spans="1:12" hidden="1">
      <c r="A2161" s="19">
        <f t="shared" si="174"/>
        <v>2155</v>
      </c>
      <c r="B2161" s="20">
        <f t="shared" si="170"/>
        <v>0</v>
      </c>
      <c r="C2161" s="21">
        <f t="shared" si="171"/>
        <v>0</v>
      </c>
      <c r="D2161" s="22" t="e">
        <f>VLOOKUP($A2161, TAB_JUROS_U[[Q_DIAS_U_PARC_TIR]:[V_FUT_U_JURS CENARIO]], D$5, FALSE)</f>
        <v>#N/A</v>
      </c>
      <c r="E2161" s="22" t="e">
        <f>VLOOKUP($A2161,TAB_CORRECAO_U[[Q_DIAS_U_PARC_TIR]:[V_FUT_U_CORC-02]],E$5, FALSE)</f>
        <v>#N/A</v>
      </c>
      <c r="F2161" s="22" t="e">
        <f>VLOOKUP($A2161,TAB_AMORTIZACAO_U[[Q_DIAS_U_PARC_TIR]:[V_FUT_U_PCPL-02]], F$5, FALSE)</f>
        <v>#N/A</v>
      </c>
      <c r="H2161" s="20">
        <f t="shared" si="172"/>
        <v>0</v>
      </c>
      <c r="I2161" s="21">
        <f t="shared" si="173"/>
        <v>0</v>
      </c>
      <c r="J2161" s="22" t="e">
        <f>VLOOKUP($A2161, TAB_JUROS_C[[DIAS_CORRIDOS]:[V_FUT_UTEIS]], J$5, FALSE)</f>
        <v>#N/A</v>
      </c>
      <c r="K2161" s="22" t="e">
        <f>VLOOKUP($A2161, TAB_CORRECAO_C[[DIAS_CORRIDOS]:[V_FUT_UTEIS]],K$5, FALSE)</f>
        <v>#N/A</v>
      </c>
      <c r="L2161" s="22" t="e">
        <f>VLOOKUP($A2161, TAB_AMORTIZACAO_C[[DIAS_CORRIDOS]:[V_FUT_UTEIS]], L$5, FALSE)</f>
        <v>#N/A</v>
      </c>
    </row>
    <row r="2162" spans="1:12" hidden="1">
      <c r="A2162" s="19">
        <f t="shared" si="174"/>
        <v>2156</v>
      </c>
      <c r="B2162" s="20">
        <f t="shared" si="170"/>
        <v>0</v>
      </c>
      <c r="C2162" s="21">
        <f t="shared" si="171"/>
        <v>0</v>
      </c>
      <c r="D2162" s="22" t="e">
        <f>VLOOKUP($A2162, TAB_JUROS_U[[Q_DIAS_U_PARC_TIR]:[V_FUT_U_JURS CENARIO]], D$5, FALSE)</f>
        <v>#N/A</v>
      </c>
      <c r="E2162" s="22" t="e">
        <f>VLOOKUP($A2162,TAB_CORRECAO_U[[Q_DIAS_U_PARC_TIR]:[V_FUT_U_CORC-02]],E$5, FALSE)</f>
        <v>#N/A</v>
      </c>
      <c r="F2162" s="22" t="e">
        <f>VLOOKUP($A2162,TAB_AMORTIZACAO_U[[Q_DIAS_U_PARC_TIR]:[V_FUT_U_PCPL-02]], F$5, FALSE)</f>
        <v>#N/A</v>
      </c>
      <c r="H2162" s="20">
        <f t="shared" si="172"/>
        <v>0</v>
      </c>
      <c r="I2162" s="21">
        <f t="shared" si="173"/>
        <v>0</v>
      </c>
      <c r="J2162" s="22" t="e">
        <f>VLOOKUP($A2162, TAB_JUROS_C[[DIAS_CORRIDOS]:[V_FUT_UTEIS]], J$5, FALSE)</f>
        <v>#N/A</v>
      </c>
      <c r="K2162" s="22" t="e">
        <f>VLOOKUP($A2162, TAB_CORRECAO_C[[DIAS_CORRIDOS]:[V_FUT_UTEIS]],K$5, FALSE)</f>
        <v>#N/A</v>
      </c>
      <c r="L2162" s="22" t="e">
        <f>VLOOKUP($A2162, TAB_AMORTIZACAO_C[[DIAS_CORRIDOS]:[V_FUT_UTEIS]], L$5, FALSE)</f>
        <v>#N/A</v>
      </c>
    </row>
    <row r="2163" spans="1:12" hidden="1">
      <c r="A2163" s="19">
        <f t="shared" si="174"/>
        <v>2157</v>
      </c>
      <c r="B2163" s="20">
        <f t="shared" si="170"/>
        <v>0</v>
      </c>
      <c r="C2163" s="21">
        <f t="shared" si="171"/>
        <v>0</v>
      </c>
      <c r="D2163" s="22" t="e">
        <f>VLOOKUP($A2163, TAB_JUROS_U[[Q_DIAS_U_PARC_TIR]:[V_FUT_U_JURS CENARIO]], D$5, FALSE)</f>
        <v>#N/A</v>
      </c>
      <c r="E2163" s="22" t="e">
        <f>VLOOKUP($A2163,TAB_CORRECAO_U[[Q_DIAS_U_PARC_TIR]:[V_FUT_U_CORC-02]],E$5, FALSE)</f>
        <v>#N/A</v>
      </c>
      <c r="F2163" s="22" t="e">
        <f>VLOOKUP($A2163,TAB_AMORTIZACAO_U[[Q_DIAS_U_PARC_TIR]:[V_FUT_U_PCPL-02]], F$5, FALSE)</f>
        <v>#N/A</v>
      </c>
      <c r="H2163" s="20">
        <f t="shared" si="172"/>
        <v>0</v>
      </c>
      <c r="I2163" s="21">
        <f t="shared" si="173"/>
        <v>0</v>
      </c>
      <c r="J2163" s="22" t="e">
        <f>VLOOKUP($A2163, TAB_JUROS_C[[DIAS_CORRIDOS]:[V_FUT_UTEIS]], J$5, FALSE)</f>
        <v>#N/A</v>
      </c>
      <c r="K2163" s="22" t="e">
        <f>VLOOKUP($A2163, TAB_CORRECAO_C[[DIAS_CORRIDOS]:[V_FUT_UTEIS]],K$5, FALSE)</f>
        <v>#N/A</v>
      </c>
      <c r="L2163" s="22" t="e">
        <f>VLOOKUP($A2163, TAB_AMORTIZACAO_C[[DIAS_CORRIDOS]:[V_FUT_UTEIS]], L$5, FALSE)</f>
        <v>#N/A</v>
      </c>
    </row>
    <row r="2164" spans="1:12" hidden="1">
      <c r="A2164" s="19">
        <f t="shared" si="174"/>
        <v>2158</v>
      </c>
      <c r="B2164" s="20">
        <f t="shared" si="170"/>
        <v>0</v>
      </c>
      <c r="C2164" s="21">
        <f t="shared" si="171"/>
        <v>0</v>
      </c>
      <c r="D2164" s="22" t="e">
        <f>VLOOKUP($A2164, TAB_JUROS_U[[Q_DIAS_U_PARC_TIR]:[V_FUT_U_JURS CENARIO]], D$5, FALSE)</f>
        <v>#N/A</v>
      </c>
      <c r="E2164" s="22" t="e">
        <f>VLOOKUP($A2164,TAB_CORRECAO_U[[Q_DIAS_U_PARC_TIR]:[V_FUT_U_CORC-02]],E$5, FALSE)</f>
        <v>#N/A</v>
      </c>
      <c r="F2164" s="22" t="e">
        <f>VLOOKUP($A2164,TAB_AMORTIZACAO_U[[Q_DIAS_U_PARC_TIR]:[V_FUT_U_PCPL-02]], F$5, FALSE)</f>
        <v>#N/A</v>
      </c>
      <c r="H2164" s="20">
        <f t="shared" si="172"/>
        <v>0</v>
      </c>
      <c r="I2164" s="21">
        <f t="shared" si="173"/>
        <v>0</v>
      </c>
      <c r="J2164" s="22" t="e">
        <f>VLOOKUP($A2164, TAB_JUROS_C[[DIAS_CORRIDOS]:[V_FUT_UTEIS]], J$5, FALSE)</f>
        <v>#N/A</v>
      </c>
      <c r="K2164" s="22" t="e">
        <f>VLOOKUP($A2164, TAB_CORRECAO_C[[DIAS_CORRIDOS]:[V_FUT_UTEIS]],K$5, FALSE)</f>
        <v>#N/A</v>
      </c>
      <c r="L2164" s="22" t="e">
        <f>VLOOKUP($A2164, TAB_AMORTIZACAO_C[[DIAS_CORRIDOS]:[V_FUT_UTEIS]], L$5, FALSE)</f>
        <v>#N/A</v>
      </c>
    </row>
    <row r="2165" spans="1:12" hidden="1">
      <c r="A2165" s="19">
        <f t="shared" si="174"/>
        <v>2159</v>
      </c>
      <c r="B2165" s="20">
        <f t="shared" si="170"/>
        <v>0</v>
      </c>
      <c r="C2165" s="21">
        <f t="shared" si="171"/>
        <v>0</v>
      </c>
      <c r="D2165" s="22" t="e">
        <f>VLOOKUP($A2165, TAB_JUROS_U[[Q_DIAS_U_PARC_TIR]:[V_FUT_U_JURS CENARIO]], D$5, FALSE)</f>
        <v>#N/A</v>
      </c>
      <c r="E2165" s="22" t="e">
        <f>VLOOKUP($A2165,TAB_CORRECAO_U[[Q_DIAS_U_PARC_TIR]:[V_FUT_U_CORC-02]],E$5, FALSE)</f>
        <v>#N/A</v>
      </c>
      <c r="F2165" s="22" t="e">
        <f>VLOOKUP($A2165,TAB_AMORTIZACAO_U[[Q_DIAS_U_PARC_TIR]:[V_FUT_U_PCPL-02]], F$5, FALSE)</f>
        <v>#N/A</v>
      </c>
      <c r="H2165" s="20">
        <f t="shared" si="172"/>
        <v>0</v>
      </c>
      <c r="I2165" s="21">
        <f t="shared" si="173"/>
        <v>0</v>
      </c>
      <c r="J2165" s="22" t="e">
        <f>VLOOKUP($A2165, TAB_JUROS_C[[DIAS_CORRIDOS]:[V_FUT_UTEIS]], J$5, FALSE)</f>
        <v>#N/A</v>
      </c>
      <c r="K2165" s="22" t="e">
        <f>VLOOKUP($A2165, TAB_CORRECAO_C[[DIAS_CORRIDOS]:[V_FUT_UTEIS]],K$5, FALSE)</f>
        <v>#N/A</v>
      </c>
      <c r="L2165" s="22" t="e">
        <f>VLOOKUP($A2165, TAB_AMORTIZACAO_C[[DIAS_CORRIDOS]:[V_FUT_UTEIS]], L$5, FALSE)</f>
        <v>#N/A</v>
      </c>
    </row>
    <row r="2166" spans="1:12" hidden="1">
      <c r="A2166" s="19">
        <f t="shared" si="174"/>
        <v>2160</v>
      </c>
      <c r="B2166" s="20">
        <f t="shared" si="170"/>
        <v>0</v>
      </c>
      <c r="C2166" s="21">
        <f t="shared" si="171"/>
        <v>0</v>
      </c>
      <c r="D2166" s="22" t="e">
        <f>VLOOKUP($A2166, TAB_JUROS_U[[Q_DIAS_U_PARC_TIR]:[V_FUT_U_JURS CENARIO]], D$5, FALSE)</f>
        <v>#N/A</v>
      </c>
      <c r="E2166" s="22" t="e">
        <f>VLOOKUP($A2166,TAB_CORRECAO_U[[Q_DIAS_U_PARC_TIR]:[V_FUT_U_CORC-02]],E$5, FALSE)</f>
        <v>#N/A</v>
      </c>
      <c r="F2166" s="22" t="e">
        <f>VLOOKUP($A2166,TAB_AMORTIZACAO_U[[Q_DIAS_U_PARC_TIR]:[V_FUT_U_PCPL-02]], F$5, FALSE)</f>
        <v>#N/A</v>
      </c>
      <c r="H2166" s="20">
        <f t="shared" si="172"/>
        <v>0</v>
      </c>
      <c r="I2166" s="21">
        <f t="shared" si="173"/>
        <v>0</v>
      </c>
      <c r="J2166" s="22" t="e">
        <f>VLOOKUP($A2166, TAB_JUROS_C[[DIAS_CORRIDOS]:[V_FUT_UTEIS]], J$5, FALSE)</f>
        <v>#N/A</v>
      </c>
      <c r="K2166" s="22" t="e">
        <f>VLOOKUP($A2166, TAB_CORRECAO_C[[DIAS_CORRIDOS]:[V_FUT_UTEIS]],K$5, FALSE)</f>
        <v>#N/A</v>
      </c>
      <c r="L2166" s="22" t="e">
        <f>VLOOKUP($A2166, TAB_AMORTIZACAO_C[[DIAS_CORRIDOS]:[V_FUT_UTEIS]], L$5, FALSE)</f>
        <v>#N/A</v>
      </c>
    </row>
    <row r="2167" spans="1:12" hidden="1">
      <c r="A2167" s="19">
        <f t="shared" si="174"/>
        <v>2161</v>
      </c>
      <c r="B2167" s="20">
        <f t="shared" si="170"/>
        <v>0</v>
      </c>
      <c r="C2167" s="21">
        <f t="shared" si="171"/>
        <v>0</v>
      </c>
      <c r="D2167" s="22" t="e">
        <f>VLOOKUP($A2167, TAB_JUROS_U[[Q_DIAS_U_PARC_TIR]:[V_FUT_U_JURS CENARIO]], D$5, FALSE)</f>
        <v>#N/A</v>
      </c>
      <c r="E2167" s="22" t="e">
        <f>VLOOKUP($A2167,TAB_CORRECAO_U[[Q_DIAS_U_PARC_TIR]:[V_FUT_U_CORC-02]],E$5, FALSE)</f>
        <v>#N/A</v>
      </c>
      <c r="F2167" s="22" t="e">
        <f>VLOOKUP($A2167,TAB_AMORTIZACAO_U[[Q_DIAS_U_PARC_TIR]:[V_FUT_U_PCPL-02]], F$5, FALSE)</f>
        <v>#N/A</v>
      </c>
      <c r="H2167" s="20">
        <f t="shared" si="172"/>
        <v>0</v>
      </c>
      <c r="I2167" s="21">
        <f t="shared" si="173"/>
        <v>0</v>
      </c>
      <c r="J2167" s="22" t="e">
        <f>VLOOKUP($A2167, TAB_JUROS_C[[DIAS_CORRIDOS]:[V_FUT_UTEIS]], J$5, FALSE)</f>
        <v>#N/A</v>
      </c>
      <c r="K2167" s="22" t="e">
        <f>VLOOKUP($A2167, TAB_CORRECAO_C[[DIAS_CORRIDOS]:[V_FUT_UTEIS]],K$5, FALSE)</f>
        <v>#N/A</v>
      </c>
      <c r="L2167" s="22" t="e">
        <f>VLOOKUP($A2167, TAB_AMORTIZACAO_C[[DIAS_CORRIDOS]:[V_FUT_UTEIS]], L$5, FALSE)</f>
        <v>#N/A</v>
      </c>
    </row>
    <row r="2168" spans="1:12" hidden="1">
      <c r="A2168" s="19">
        <f t="shared" si="174"/>
        <v>2162</v>
      </c>
      <c r="B2168" s="20">
        <f t="shared" si="170"/>
        <v>0</v>
      </c>
      <c r="C2168" s="21">
        <f t="shared" si="171"/>
        <v>0</v>
      </c>
      <c r="D2168" s="22" t="e">
        <f>VLOOKUP($A2168, TAB_JUROS_U[[Q_DIAS_U_PARC_TIR]:[V_FUT_U_JURS CENARIO]], D$5, FALSE)</f>
        <v>#N/A</v>
      </c>
      <c r="E2168" s="22" t="e">
        <f>VLOOKUP($A2168,TAB_CORRECAO_U[[Q_DIAS_U_PARC_TIR]:[V_FUT_U_CORC-02]],E$5, FALSE)</f>
        <v>#N/A</v>
      </c>
      <c r="F2168" s="22" t="e">
        <f>VLOOKUP($A2168,TAB_AMORTIZACAO_U[[Q_DIAS_U_PARC_TIR]:[V_FUT_U_PCPL-02]], F$5, FALSE)</f>
        <v>#N/A</v>
      </c>
      <c r="H2168" s="20">
        <f t="shared" si="172"/>
        <v>0</v>
      </c>
      <c r="I2168" s="21">
        <f t="shared" si="173"/>
        <v>0</v>
      </c>
      <c r="J2168" s="22" t="e">
        <f>VLOOKUP($A2168, TAB_JUROS_C[[DIAS_CORRIDOS]:[V_FUT_UTEIS]], J$5, FALSE)</f>
        <v>#N/A</v>
      </c>
      <c r="K2168" s="22" t="e">
        <f>VLOOKUP($A2168, TAB_CORRECAO_C[[DIAS_CORRIDOS]:[V_FUT_UTEIS]],K$5, FALSE)</f>
        <v>#N/A</v>
      </c>
      <c r="L2168" s="22" t="e">
        <f>VLOOKUP($A2168, TAB_AMORTIZACAO_C[[DIAS_CORRIDOS]:[V_FUT_UTEIS]], L$5, FALSE)</f>
        <v>#N/A</v>
      </c>
    </row>
    <row r="2169" spans="1:12" hidden="1">
      <c r="A2169" s="19">
        <f t="shared" si="174"/>
        <v>2163</v>
      </c>
      <c r="B2169" s="20">
        <f t="shared" si="170"/>
        <v>0</v>
      </c>
      <c r="C2169" s="21">
        <f t="shared" si="171"/>
        <v>0</v>
      </c>
      <c r="D2169" s="22" t="e">
        <f>VLOOKUP($A2169, TAB_JUROS_U[[Q_DIAS_U_PARC_TIR]:[V_FUT_U_JURS CENARIO]], D$5, FALSE)</f>
        <v>#N/A</v>
      </c>
      <c r="E2169" s="22" t="e">
        <f>VLOOKUP($A2169,TAB_CORRECAO_U[[Q_DIAS_U_PARC_TIR]:[V_FUT_U_CORC-02]],E$5, FALSE)</f>
        <v>#N/A</v>
      </c>
      <c r="F2169" s="22" t="e">
        <f>VLOOKUP($A2169,TAB_AMORTIZACAO_U[[Q_DIAS_U_PARC_TIR]:[V_FUT_U_PCPL-02]], F$5, FALSE)</f>
        <v>#N/A</v>
      </c>
      <c r="H2169" s="20">
        <f t="shared" si="172"/>
        <v>0</v>
      </c>
      <c r="I2169" s="21">
        <f t="shared" si="173"/>
        <v>0</v>
      </c>
      <c r="J2169" s="22" t="e">
        <f>VLOOKUP($A2169, TAB_JUROS_C[[DIAS_CORRIDOS]:[V_FUT_UTEIS]], J$5, FALSE)</f>
        <v>#N/A</v>
      </c>
      <c r="K2169" s="22" t="e">
        <f>VLOOKUP($A2169, TAB_CORRECAO_C[[DIAS_CORRIDOS]:[V_FUT_UTEIS]],K$5, FALSE)</f>
        <v>#N/A</v>
      </c>
      <c r="L2169" s="22" t="e">
        <f>VLOOKUP($A2169, TAB_AMORTIZACAO_C[[DIAS_CORRIDOS]:[V_FUT_UTEIS]], L$5, FALSE)</f>
        <v>#N/A</v>
      </c>
    </row>
    <row r="2170" spans="1:12" hidden="1">
      <c r="A2170" s="19">
        <f t="shared" si="174"/>
        <v>2164</v>
      </c>
      <c r="B2170" s="20">
        <f t="shared" si="170"/>
        <v>0</v>
      </c>
      <c r="C2170" s="21">
        <f t="shared" si="171"/>
        <v>0</v>
      </c>
      <c r="D2170" s="22" t="e">
        <f>VLOOKUP($A2170, TAB_JUROS_U[[Q_DIAS_U_PARC_TIR]:[V_FUT_U_JURS CENARIO]], D$5, FALSE)</f>
        <v>#N/A</v>
      </c>
      <c r="E2170" s="22" t="e">
        <f>VLOOKUP($A2170,TAB_CORRECAO_U[[Q_DIAS_U_PARC_TIR]:[V_FUT_U_CORC-02]],E$5, FALSE)</f>
        <v>#N/A</v>
      </c>
      <c r="F2170" s="22" t="e">
        <f>VLOOKUP($A2170,TAB_AMORTIZACAO_U[[Q_DIAS_U_PARC_TIR]:[V_FUT_U_PCPL-02]], F$5, FALSE)</f>
        <v>#N/A</v>
      </c>
      <c r="H2170" s="20">
        <f t="shared" si="172"/>
        <v>0</v>
      </c>
      <c r="I2170" s="21">
        <f t="shared" si="173"/>
        <v>0</v>
      </c>
      <c r="J2170" s="22" t="e">
        <f>VLOOKUP($A2170, TAB_JUROS_C[[DIAS_CORRIDOS]:[V_FUT_UTEIS]], J$5, FALSE)</f>
        <v>#N/A</v>
      </c>
      <c r="K2170" s="22" t="e">
        <f>VLOOKUP($A2170, TAB_CORRECAO_C[[DIAS_CORRIDOS]:[V_FUT_UTEIS]],K$5, FALSE)</f>
        <v>#N/A</v>
      </c>
      <c r="L2170" s="22" t="e">
        <f>VLOOKUP($A2170, TAB_AMORTIZACAO_C[[DIAS_CORRIDOS]:[V_FUT_UTEIS]], L$5, FALSE)</f>
        <v>#N/A</v>
      </c>
    </row>
    <row r="2171" spans="1:12">
      <c r="A2171" s="19">
        <f t="shared" si="174"/>
        <v>2165</v>
      </c>
      <c r="B2171" s="20">
        <f t="shared" si="170"/>
        <v>254.78583482493767</v>
      </c>
      <c r="C2171" s="21">
        <f t="shared" si="171"/>
        <v>254.78583482493767</v>
      </c>
      <c r="D2171" s="22">
        <f>VLOOKUP($A2171, TAB_JUROS_U[[Q_DIAS_U_PARC_TIR]:[V_FUT_U_JURS CENARIO]], D$5, FALSE)</f>
        <v>13.829997270987256</v>
      </c>
      <c r="E2171" s="22">
        <f>VLOOKUP($A2171,TAB_CORRECAO_U[[Q_DIAS_U_PARC_TIR]:[V_FUT_U_CORC-02]],E$5, FALSE)</f>
        <v>85.077452897813885</v>
      </c>
      <c r="F2171" s="22">
        <f>VLOOKUP($A2171,TAB_AMORTIZACAO_U[[Q_DIAS_U_PARC_TIR]:[V_FUT_U_PCPL-02]], F$5, FALSE)</f>
        <v>155.87838465613652</v>
      </c>
      <c r="H2171" s="20">
        <f t="shared" si="172"/>
        <v>0</v>
      </c>
      <c r="I2171" s="21">
        <f t="shared" si="173"/>
        <v>0</v>
      </c>
      <c r="J2171" s="22" t="e">
        <f>VLOOKUP($A2171, TAB_JUROS_C[[DIAS_CORRIDOS]:[V_FUT_UTEIS]], J$5, FALSE)</f>
        <v>#N/A</v>
      </c>
      <c r="K2171" s="22" t="e">
        <f>VLOOKUP($A2171, TAB_CORRECAO_C[[DIAS_CORRIDOS]:[V_FUT_UTEIS]],K$5, FALSE)</f>
        <v>#N/A</v>
      </c>
      <c r="L2171" s="22" t="e">
        <f>VLOOKUP($A2171, TAB_AMORTIZACAO_C[[DIAS_CORRIDOS]:[V_FUT_UTEIS]], L$5, FALSE)</f>
        <v>#N/A</v>
      </c>
    </row>
    <row r="2172" spans="1:12" hidden="1">
      <c r="A2172" s="19">
        <f t="shared" si="174"/>
        <v>2166</v>
      </c>
      <c r="B2172" s="20">
        <f t="shared" si="170"/>
        <v>0</v>
      </c>
      <c r="C2172" s="21">
        <f t="shared" si="171"/>
        <v>0</v>
      </c>
      <c r="D2172" s="22" t="e">
        <f>VLOOKUP($A2172, TAB_JUROS_U[[Q_DIAS_U_PARC_TIR]:[V_FUT_U_JURS CENARIO]], D$5, FALSE)</f>
        <v>#N/A</v>
      </c>
      <c r="E2172" s="22" t="e">
        <f>VLOOKUP($A2172,TAB_CORRECAO_U[[Q_DIAS_U_PARC_TIR]:[V_FUT_U_CORC-02]],E$5, FALSE)</f>
        <v>#N/A</v>
      </c>
      <c r="F2172" s="22" t="e">
        <f>VLOOKUP($A2172,TAB_AMORTIZACAO_U[[Q_DIAS_U_PARC_TIR]:[V_FUT_U_PCPL-02]], F$5, FALSE)</f>
        <v>#N/A</v>
      </c>
      <c r="H2172" s="20">
        <f t="shared" si="172"/>
        <v>0</v>
      </c>
      <c r="I2172" s="21">
        <f t="shared" si="173"/>
        <v>0</v>
      </c>
      <c r="J2172" s="22" t="e">
        <f>VLOOKUP($A2172, TAB_JUROS_C[[DIAS_CORRIDOS]:[V_FUT_UTEIS]], J$5, FALSE)</f>
        <v>#N/A</v>
      </c>
      <c r="K2172" s="22" t="e">
        <f>VLOOKUP($A2172, TAB_CORRECAO_C[[DIAS_CORRIDOS]:[V_FUT_UTEIS]],K$5, FALSE)</f>
        <v>#N/A</v>
      </c>
      <c r="L2172" s="22" t="e">
        <f>VLOOKUP($A2172, TAB_AMORTIZACAO_C[[DIAS_CORRIDOS]:[V_FUT_UTEIS]], L$5, FALSE)</f>
        <v>#N/A</v>
      </c>
    </row>
    <row r="2173" spans="1:12" hidden="1">
      <c r="A2173" s="19">
        <f t="shared" si="174"/>
        <v>2167</v>
      </c>
      <c r="B2173" s="20">
        <f t="shared" si="170"/>
        <v>0</v>
      </c>
      <c r="C2173" s="21">
        <f t="shared" si="171"/>
        <v>0</v>
      </c>
      <c r="D2173" s="22" t="e">
        <f>VLOOKUP($A2173, TAB_JUROS_U[[Q_DIAS_U_PARC_TIR]:[V_FUT_U_JURS CENARIO]], D$5, FALSE)</f>
        <v>#N/A</v>
      </c>
      <c r="E2173" s="22" t="e">
        <f>VLOOKUP($A2173,TAB_CORRECAO_U[[Q_DIAS_U_PARC_TIR]:[V_FUT_U_CORC-02]],E$5, FALSE)</f>
        <v>#N/A</v>
      </c>
      <c r="F2173" s="22" t="e">
        <f>VLOOKUP($A2173,TAB_AMORTIZACAO_U[[Q_DIAS_U_PARC_TIR]:[V_FUT_U_PCPL-02]], F$5, FALSE)</f>
        <v>#N/A</v>
      </c>
      <c r="H2173" s="20">
        <f t="shared" si="172"/>
        <v>0</v>
      </c>
      <c r="I2173" s="21">
        <f t="shared" si="173"/>
        <v>0</v>
      </c>
      <c r="J2173" s="22" t="e">
        <f>VLOOKUP($A2173, TAB_JUROS_C[[DIAS_CORRIDOS]:[V_FUT_UTEIS]], J$5, FALSE)</f>
        <v>#N/A</v>
      </c>
      <c r="K2173" s="22" t="e">
        <f>VLOOKUP($A2173, TAB_CORRECAO_C[[DIAS_CORRIDOS]:[V_FUT_UTEIS]],K$5, FALSE)</f>
        <v>#N/A</v>
      </c>
      <c r="L2173" s="22" t="e">
        <f>VLOOKUP($A2173, TAB_AMORTIZACAO_C[[DIAS_CORRIDOS]:[V_FUT_UTEIS]], L$5, FALSE)</f>
        <v>#N/A</v>
      </c>
    </row>
    <row r="2174" spans="1:12" hidden="1">
      <c r="A2174" s="19">
        <f t="shared" si="174"/>
        <v>2168</v>
      </c>
      <c r="B2174" s="20">
        <f t="shared" si="170"/>
        <v>0</v>
      </c>
      <c r="C2174" s="21">
        <f t="shared" si="171"/>
        <v>0</v>
      </c>
      <c r="D2174" s="22" t="e">
        <f>VLOOKUP($A2174, TAB_JUROS_U[[Q_DIAS_U_PARC_TIR]:[V_FUT_U_JURS CENARIO]], D$5, FALSE)</f>
        <v>#N/A</v>
      </c>
      <c r="E2174" s="22" t="e">
        <f>VLOOKUP($A2174,TAB_CORRECAO_U[[Q_DIAS_U_PARC_TIR]:[V_FUT_U_CORC-02]],E$5, FALSE)</f>
        <v>#N/A</v>
      </c>
      <c r="F2174" s="22" t="e">
        <f>VLOOKUP($A2174,TAB_AMORTIZACAO_U[[Q_DIAS_U_PARC_TIR]:[V_FUT_U_PCPL-02]], F$5, FALSE)</f>
        <v>#N/A</v>
      </c>
      <c r="H2174" s="20">
        <f t="shared" si="172"/>
        <v>0</v>
      </c>
      <c r="I2174" s="21">
        <f t="shared" si="173"/>
        <v>0</v>
      </c>
      <c r="J2174" s="22" t="e">
        <f>VLOOKUP($A2174, TAB_JUROS_C[[DIAS_CORRIDOS]:[V_FUT_UTEIS]], J$5, FALSE)</f>
        <v>#N/A</v>
      </c>
      <c r="K2174" s="22" t="e">
        <f>VLOOKUP($A2174, TAB_CORRECAO_C[[DIAS_CORRIDOS]:[V_FUT_UTEIS]],K$5, FALSE)</f>
        <v>#N/A</v>
      </c>
      <c r="L2174" s="22" t="e">
        <f>VLOOKUP($A2174, TAB_AMORTIZACAO_C[[DIAS_CORRIDOS]:[V_FUT_UTEIS]], L$5, FALSE)</f>
        <v>#N/A</v>
      </c>
    </row>
    <row r="2175" spans="1:12" hidden="1">
      <c r="A2175" s="19">
        <f t="shared" si="174"/>
        <v>2169</v>
      </c>
      <c r="B2175" s="20">
        <f t="shared" si="170"/>
        <v>0</v>
      </c>
      <c r="C2175" s="21">
        <f t="shared" si="171"/>
        <v>0</v>
      </c>
      <c r="D2175" s="22" t="e">
        <f>VLOOKUP($A2175, TAB_JUROS_U[[Q_DIAS_U_PARC_TIR]:[V_FUT_U_JURS CENARIO]], D$5, FALSE)</f>
        <v>#N/A</v>
      </c>
      <c r="E2175" s="22" t="e">
        <f>VLOOKUP($A2175,TAB_CORRECAO_U[[Q_DIAS_U_PARC_TIR]:[V_FUT_U_CORC-02]],E$5, FALSE)</f>
        <v>#N/A</v>
      </c>
      <c r="F2175" s="22" t="e">
        <f>VLOOKUP($A2175,TAB_AMORTIZACAO_U[[Q_DIAS_U_PARC_TIR]:[V_FUT_U_PCPL-02]], F$5, FALSE)</f>
        <v>#N/A</v>
      </c>
      <c r="H2175" s="20">
        <f t="shared" si="172"/>
        <v>0</v>
      </c>
      <c r="I2175" s="21">
        <f t="shared" si="173"/>
        <v>0</v>
      </c>
      <c r="J2175" s="22" t="e">
        <f>VLOOKUP($A2175, TAB_JUROS_C[[DIAS_CORRIDOS]:[V_FUT_UTEIS]], J$5, FALSE)</f>
        <v>#N/A</v>
      </c>
      <c r="K2175" s="22" t="e">
        <f>VLOOKUP($A2175, TAB_CORRECAO_C[[DIAS_CORRIDOS]:[V_FUT_UTEIS]],K$5, FALSE)</f>
        <v>#N/A</v>
      </c>
      <c r="L2175" s="22" t="e">
        <f>VLOOKUP($A2175, TAB_AMORTIZACAO_C[[DIAS_CORRIDOS]:[V_FUT_UTEIS]], L$5, FALSE)</f>
        <v>#N/A</v>
      </c>
    </row>
    <row r="2176" spans="1:12" hidden="1">
      <c r="A2176" s="19">
        <f t="shared" si="174"/>
        <v>2170</v>
      </c>
      <c r="B2176" s="20">
        <f t="shared" si="170"/>
        <v>0</v>
      </c>
      <c r="C2176" s="21">
        <f t="shared" si="171"/>
        <v>0</v>
      </c>
      <c r="D2176" s="22" t="e">
        <f>VLOOKUP($A2176, TAB_JUROS_U[[Q_DIAS_U_PARC_TIR]:[V_FUT_U_JURS CENARIO]], D$5, FALSE)</f>
        <v>#N/A</v>
      </c>
      <c r="E2176" s="22" t="e">
        <f>VLOOKUP($A2176,TAB_CORRECAO_U[[Q_DIAS_U_PARC_TIR]:[V_FUT_U_CORC-02]],E$5, FALSE)</f>
        <v>#N/A</v>
      </c>
      <c r="F2176" s="22" t="e">
        <f>VLOOKUP($A2176,TAB_AMORTIZACAO_U[[Q_DIAS_U_PARC_TIR]:[V_FUT_U_PCPL-02]], F$5, FALSE)</f>
        <v>#N/A</v>
      </c>
      <c r="H2176" s="20">
        <f t="shared" si="172"/>
        <v>0</v>
      </c>
      <c r="I2176" s="21">
        <f t="shared" si="173"/>
        <v>0</v>
      </c>
      <c r="J2176" s="22" t="e">
        <f>VLOOKUP($A2176, TAB_JUROS_C[[DIAS_CORRIDOS]:[V_FUT_UTEIS]], J$5, FALSE)</f>
        <v>#N/A</v>
      </c>
      <c r="K2176" s="22" t="e">
        <f>VLOOKUP($A2176, TAB_CORRECAO_C[[DIAS_CORRIDOS]:[V_FUT_UTEIS]],K$5, FALSE)</f>
        <v>#N/A</v>
      </c>
      <c r="L2176" s="22" t="e">
        <f>VLOOKUP($A2176, TAB_AMORTIZACAO_C[[DIAS_CORRIDOS]:[V_FUT_UTEIS]], L$5, FALSE)</f>
        <v>#N/A</v>
      </c>
    </row>
    <row r="2177" spans="1:12" hidden="1">
      <c r="A2177" s="19">
        <f t="shared" si="174"/>
        <v>2171</v>
      </c>
      <c r="B2177" s="20">
        <f t="shared" si="170"/>
        <v>0</v>
      </c>
      <c r="C2177" s="21">
        <f t="shared" si="171"/>
        <v>0</v>
      </c>
      <c r="D2177" s="22" t="e">
        <f>VLOOKUP($A2177, TAB_JUROS_U[[Q_DIAS_U_PARC_TIR]:[V_FUT_U_JURS CENARIO]], D$5, FALSE)</f>
        <v>#N/A</v>
      </c>
      <c r="E2177" s="22" t="e">
        <f>VLOOKUP($A2177,TAB_CORRECAO_U[[Q_DIAS_U_PARC_TIR]:[V_FUT_U_CORC-02]],E$5, FALSE)</f>
        <v>#N/A</v>
      </c>
      <c r="F2177" s="22" t="e">
        <f>VLOOKUP($A2177,TAB_AMORTIZACAO_U[[Q_DIAS_U_PARC_TIR]:[V_FUT_U_PCPL-02]], F$5, FALSE)</f>
        <v>#N/A</v>
      </c>
      <c r="H2177" s="20">
        <f t="shared" si="172"/>
        <v>0</v>
      </c>
      <c r="I2177" s="21">
        <f t="shared" si="173"/>
        <v>0</v>
      </c>
      <c r="J2177" s="22" t="e">
        <f>VLOOKUP($A2177, TAB_JUROS_C[[DIAS_CORRIDOS]:[V_FUT_UTEIS]], J$5, FALSE)</f>
        <v>#N/A</v>
      </c>
      <c r="K2177" s="22" t="e">
        <f>VLOOKUP($A2177, TAB_CORRECAO_C[[DIAS_CORRIDOS]:[V_FUT_UTEIS]],K$5, FALSE)</f>
        <v>#N/A</v>
      </c>
      <c r="L2177" s="22" t="e">
        <f>VLOOKUP($A2177, TAB_AMORTIZACAO_C[[DIAS_CORRIDOS]:[V_FUT_UTEIS]], L$5, FALSE)</f>
        <v>#N/A</v>
      </c>
    </row>
    <row r="2178" spans="1:12" hidden="1">
      <c r="A2178" s="19">
        <f t="shared" si="174"/>
        <v>2172</v>
      </c>
      <c r="B2178" s="20">
        <f t="shared" si="170"/>
        <v>0</v>
      </c>
      <c r="C2178" s="21">
        <f t="shared" si="171"/>
        <v>0</v>
      </c>
      <c r="D2178" s="22" t="e">
        <f>VLOOKUP($A2178, TAB_JUROS_U[[Q_DIAS_U_PARC_TIR]:[V_FUT_U_JURS CENARIO]], D$5, FALSE)</f>
        <v>#N/A</v>
      </c>
      <c r="E2178" s="22" t="e">
        <f>VLOOKUP($A2178,TAB_CORRECAO_U[[Q_DIAS_U_PARC_TIR]:[V_FUT_U_CORC-02]],E$5, FALSE)</f>
        <v>#N/A</v>
      </c>
      <c r="F2178" s="22" t="e">
        <f>VLOOKUP($A2178,TAB_AMORTIZACAO_U[[Q_DIAS_U_PARC_TIR]:[V_FUT_U_PCPL-02]], F$5, FALSE)</f>
        <v>#N/A</v>
      </c>
      <c r="H2178" s="20">
        <f t="shared" si="172"/>
        <v>494.03870315535346</v>
      </c>
      <c r="I2178" s="21">
        <f t="shared" si="173"/>
        <v>494.03870315535346</v>
      </c>
      <c r="J2178" s="22">
        <f>VLOOKUP($A2178, TAB_JUROS_C[[DIAS_CORRIDOS]:[V_FUT_UTEIS]], J$5, FALSE)</f>
        <v>34.089048529776719</v>
      </c>
      <c r="K2178" s="22">
        <f>VLOOKUP($A2178, TAB_CORRECAO_C[[DIAS_CORRIDOS]:[V_FUT_UTEIS]],K$5, FALSE)</f>
        <v>195.62025246662603</v>
      </c>
      <c r="L2178" s="22">
        <f>VLOOKUP($A2178, TAB_AMORTIZACAO_C[[DIAS_CORRIDOS]:[V_FUT_UTEIS]], L$5, FALSE)</f>
        <v>264.3294021589507</v>
      </c>
    </row>
    <row r="2179" spans="1:12" hidden="1">
      <c r="A2179" s="19">
        <f t="shared" si="174"/>
        <v>2173</v>
      </c>
      <c r="B2179" s="20">
        <f t="shared" si="170"/>
        <v>0</v>
      </c>
      <c r="C2179" s="21">
        <f t="shared" si="171"/>
        <v>0</v>
      </c>
      <c r="D2179" s="22" t="e">
        <f>VLOOKUP($A2179, TAB_JUROS_U[[Q_DIAS_U_PARC_TIR]:[V_FUT_U_JURS CENARIO]], D$5, FALSE)</f>
        <v>#N/A</v>
      </c>
      <c r="E2179" s="22" t="e">
        <f>VLOOKUP($A2179,TAB_CORRECAO_U[[Q_DIAS_U_PARC_TIR]:[V_FUT_U_CORC-02]],E$5, FALSE)</f>
        <v>#N/A</v>
      </c>
      <c r="F2179" s="22" t="e">
        <f>VLOOKUP($A2179,TAB_AMORTIZACAO_U[[Q_DIAS_U_PARC_TIR]:[V_FUT_U_PCPL-02]], F$5, FALSE)</f>
        <v>#N/A</v>
      </c>
      <c r="H2179" s="20">
        <f t="shared" si="172"/>
        <v>0</v>
      </c>
      <c r="I2179" s="21">
        <f t="shared" si="173"/>
        <v>0</v>
      </c>
      <c r="J2179" s="22" t="e">
        <f>VLOOKUP($A2179, TAB_JUROS_C[[DIAS_CORRIDOS]:[V_FUT_UTEIS]], J$5, FALSE)</f>
        <v>#N/A</v>
      </c>
      <c r="K2179" s="22" t="e">
        <f>VLOOKUP($A2179, TAB_CORRECAO_C[[DIAS_CORRIDOS]:[V_FUT_UTEIS]],K$5, FALSE)</f>
        <v>#N/A</v>
      </c>
      <c r="L2179" s="22" t="e">
        <f>VLOOKUP($A2179, TAB_AMORTIZACAO_C[[DIAS_CORRIDOS]:[V_FUT_UTEIS]], L$5, FALSE)</f>
        <v>#N/A</v>
      </c>
    </row>
    <row r="2180" spans="1:12" hidden="1">
      <c r="A2180" s="19">
        <f t="shared" si="174"/>
        <v>2174</v>
      </c>
      <c r="B2180" s="20">
        <f t="shared" si="170"/>
        <v>0</v>
      </c>
      <c r="C2180" s="21">
        <f t="shared" si="171"/>
        <v>0</v>
      </c>
      <c r="D2180" s="22" t="e">
        <f>VLOOKUP($A2180, TAB_JUROS_U[[Q_DIAS_U_PARC_TIR]:[V_FUT_U_JURS CENARIO]], D$5, FALSE)</f>
        <v>#N/A</v>
      </c>
      <c r="E2180" s="22" t="e">
        <f>VLOOKUP($A2180,TAB_CORRECAO_U[[Q_DIAS_U_PARC_TIR]:[V_FUT_U_CORC-02]],E$5, FALSE)</f>
        <v>#N/A</v>
      </c>
      <c r="F2180" s="22" t="e">
        <f>VLOOKUP($A2180,TAB_AMORTIZACAO_U[[Q_DIAS_U_PARC_TIR]:[V_FUT_U_PCPL-02]], F$5, FALSE)</f>
        <v>#N/A</v>
      </c>
      <c r="H2180" s="20">
        <f t="shared" si="172"/>
        <v>0</v>
      </c>
      <c r="I2180" s="21">
        <f t="shared" si="173"/>
        <v>0</v>
      </c>
      <c r="J2180" s="22" t="e">
        <f>VLOOKUP($A2180, TAB_JUROS_C[[DIAS_CORRIDOS]:[V_FUT_UTEIS]], J$5, FALSE)</f>
        <v>#N/A</v>
      </c>
      <c r="K2180" s="22" t="e">
        <f>VLOOKUP($A2180, TAB_CORRECAO_C[[DIAS_CORRIDOS]:[V_FUT_UTEIS]],K$5, FALSE)</f>
        <v>#N/A</v>
      </c>
      <c r="L2180" s="22" t="e">
        <f>VLOOKUP($A2180, TAB_AMORTIZACAO_C[[DIAS_CORRIDOS]:[V_FUT_UTEIS]], L$5, FALSE)</f>
        <v>#N/A</v>
      </c>
    </row>
    <row r="2181" spans="1:12" hidden="1">
      <c r="A2181" s="19">
        <f t="shared" si="174"/>
        <v>2175</v>
      </c>
      <c r="B2181" s="20">
        <f t="shared" si="170"/>
        <v>0</v>
      </c>
      <c r="C2181" s="21">
        <f t="shared" si="171"/>
        <v>0</v>
      </c>
      <c r="D2181" s="22" t="e">
        <f>VLOOKUP($A2181, TAB_JUROS_U[[Q_DIAS_U_PARC_TIR]:[V_FUT_U_JURS CENARIO]], D$5, FALSE)</f>
        <v>#N/A</v>
      </c>
      <c r="E2181" s="22" t="e">
        <f>VLOOKUP($A2181,TAB_CORRECAO_U[[Q_DIAS_U_PARC_TIR]:[V_FUT_U_CORC-02]],E$5, FALSE)</f>
        <v>#N/A</v>
      </c>
      <c r="F2181" s="22" t="e">
        <f>VLOOKUP($A2181,TAB_AMORTIZACAO_U[[Q_DIAS_U_PARC_TIR]:[V_FUT_U_PCPL-02]], F$5, FALSE)</f>
        <v>#N/A</v>
      </c>
      <c r="H2181" s="20">
        <f t="shared" si="172"/>
        <v>0</v>
      </c>
      <c r="I2181" s="21">
        <f t="shared" si="173"/>
        <v>0</v>
      </c>
      <c r="J2181" s="22" t="e">
        <f>VLOOKUP($A2181, TAB_JUROS_C[[DIAS_CORRIDOS]:[V_FUT_UTEIS]], J$5, FALSE)</f>
        <v>#N/A</v>
      </c>
      <c r="K2181" s="22" t="e">
        <f>VLOOKUP($A2181, TAB_CORRECAO_C[[DIAS_CORRIDOS]:[V_FUT_UTEIS]],K$5, FALSE)</f>
        <v>#N/A</v>
      </c>
      <c r="L2181" s="22" t="e">
        <f>VLOOKUP($A2181, TAB_AMORTIZACAO_C[[DIAS_CORRIDOS]:[V_FUT_UTEIS]], L$5, FALSE)</f>
        <v>#N/A</v>
      </c>
    </row>
    <row r="2182" spans="1:12" hidden="1">
      <c r="A2182" s="19">
        <f t="shared" si="174"/>
        <v>2176</v>
      </c>
      <c r="B2182" s="20">
        <f t="shared" si="170"/>
        <v>0</v>
      </c>
      <c r="C2182" s="21">
        <f t="shared" si="171"/>
        <v>0</v>
      </c>
      <c r="D2182" s="22" t="e">
        <f>VLOOKUP($A2182, TAB_JUROS_U[[Q_DIAS_U_PARC_TIR]:[V_FUT_U_JURS CENARIO]], D$5, FALSE)</f>
        <v>#N/A</v>
      </c>
      <c r="E2182" s="22" t="e">
        <f>VLOOKUP($A2182,TAB_CORRECAO_U[[Q_DIAS_U_PARC_TIR]:[V_FUT_U_CORC-02]],E$5, FALSE)</f>
        <v>#N/A</v>
      </c>
      <c r="F2182" s="22" t="e">
        <f>VLOOKUP($A2182,TAB_AMORTIZACAO_U[[Q_DIAS_U_PARC_TIR]:[V_FUT_U_PCPL-02]], F$5, FALSE)</f>
        <v>#N/A</v>
      </c>
      <c r="H2182" s="20">
        <f t="shared" si="172"/>
        <v>0</v>
      </c>
      <c r="I2182" s="21">
        <f t="shared" si="173"/>
        <v>0</v>
      </c>
      <c r="J2182" s="22" t="e">
        <f>VLOOKUP($A2182, TAB_JUROS_C[[DIAS_CORRIDOS]:[V_FUT_UTEIS]], J$5, FALSE)</f>
        <v>#N/A</v>
      </c>
      <c r="K2182" s="22" t="e">
        <f>VLOOKUP($A2182, TAB_CORRECAO_C[[DIAS_CORRIDOS]:[V_FUT_UTEIS]],K$5, FALSE)</f>
        <v>#N/A</v>
      </c>
      <c r="L2182" s="22" t="e">
        <f>VLOOKUP($A2182, TAB_AMORTIZACAO_C[[DIAS_CORRIDOS]:[V_FUT_UTEIS]], L$5, FALSE)</f>
        <v>#N/A</v>
      </c>
    </row>
    <row r="2183" spans="1:12" hidden="1">
      <c r="A2183" s="19">
        <f t="shared" si="174"/>
        <v>2177</v>
      </c>
      <c r="B2183" s="20">
        <f t="shared" si="170"/>
        <v>0</v>
      </c>
      <c r="C2183" s="21">
        <f t="shared" si="171"/>
        <v>0</v>
      </c>
      <c r="D2183" s="22" t="e">
        <f>VLOOKUP($A2183, TAB_JUROS_U[[Q_DIAS_U_PARC_TIR]:[V_FUT_U_JURS CENARIO]], D$5, FALSE)</f>
        <v>#N/A</v>
      </c>
      <c r="E2183" s="22" t="e">
        <f>VLOOKUP($A2183,TAB_CORRECAO_U[[Q_DIAS_U_PARC_TIR]:[V_FUT_U_CORC-02]],E$5, FALSE)</f>
        <v>#N/A</v>
      </c>
      <c r="F2183" s="22" t="e">
        <f>VLOOKUP($A2183,TAB_AMORTIZACAO_U[[Q_DIAS_U_PARC_TIR]:[V_FUT_U_PCPL-02]], F$5, FALSE)</f>
        <v>#N/A</v>
      </c>
      <c r="H2183" s="20">
        <f t="shared" si="172"/>
        <v>0</v>
      </c>
      <c r="I2183" s="21">
        <f t="shared" si="173"/>
        <v>0</v>
      </c>
      <c r="J2183" s="22" t="e">
        <f>VLOOKUP($A2183, TAB_JUROS_C[[DIAS_CORRIDOS]:[V_FUT_UTEIS]], J$5, FALSE)</f>
        <v>#N/A</v>
      </c>
      <c r="K2183" s="22" t="e">
        <f>VLOOKUP($A2183, TAB_CORRECAO_C[[DIAS_CORRIDOS]:[V_FUT_UTEIS]],K$5, FALSE)</f>
        <v>#N/A</v>
      </c>
      <c r="L2183" s="22" t="e">
        <f>VLOOKUP($A2183, TAB_AMORTIZACAO_C[[DIAS_CORRIDOS]:[V_FUT_UTEIS]], L$5, FALSE)</f>
        <v>#N/A</v>
      </c>
    </row>
    <row r="2184" spans="1:12" hidden="1">
      <c r="A2184" s="19">
        <f t="shared" si="174"/>
        <v>2178</v>
      </c>
      <c r="B2184" s="20">
        <f t="shared" si="170"/>
        <v>0</v>
      </c>
      <c r="C2184" s="21">
        <f t="shared" si="171"/>
        <v>0</v>
      </c>
      <c r="D2184" s="22" t="e">
        <f>VLOOKUP($A2184, TAB_JUROS_U[[Q_DIAS_U_PARC_TIR]:[V_FUT_U_JURS CENARIO]], D$5, FALSE)</f>
        <v>#N/A</v>
      </c>
      <c r="E2184" s="22" t="e">
        <f>VLOOKUP($A2184,TAB_CORRECAO_U[[Q_DIAS_U_PARC_TIR]:[V_FUT_U_CORC-02]],E$5, FALSE)</f>
        <v>#N/A</v>
      </c>
      <c r="F2184" s="22" t="e">
        <f>VLOOKUP($A2184,TAB_AMORTIZACAO_U[[Q_DIAS_U_PARC_TIR]:[V_FUT_U_PCPL-02]], F$5, FALSE)</f>
        <v>#N/A</v>
      </c>
      <c r="H2184" s="20">
        <f t="shared" si="172"/>
        <v>0</v>
      </c>
      <c r="I2184" s="21">
        <f t="shared" si="173"/>
        <v>0</v>
      </c>
      <c r="J2184" s="22" t="e">
        <f>VLOOKUP($A2184, TAB_JUROS_C[[DIAS_CORRIDOS]:[V_FUT_UTEIS]], J$5, FALSE)</f>
        <v>#N/A</v>
      </c>
      <c r="K2184" s="22" t="e">
        <f>VLOOKUP($A2184, TAB_CORRECAO_C[[DIAS_CORRIDOS]:[V_FUT_UTEIS]],K$5, FALSE)</f>
        <v>#N/A</v>
      </c>
      <c r="L2184" s="22" t="e">
        <f>VLOOKUP($A2184, TAB_AMORTIZACAO_C[[DIAS_CORRIDOS]:[V_FUT_UTEIS]], L$5, FALSE)</f>
        <v>#N/A</v>
      </c>
    </row>
    <row r="2185" spans="1:12" hidden="1">
      <c r="A2185" s="19">
        <f t="shared" si="174"/>
        <v>2179</v>
      </c>
      <c r="B2185" s="20">
        <f t="shared" ref="B2185:B2248" si="175">IF(ISERROR(C2185), 0, C2185)</f>
        <v>0</v>
      </c>
      <c r="C2185" s="21">
        <f t="shared" ref="C2185:C2248" si="176">SUMIF(D2185:F2185, "&gt;0", D2185:F2185)</f>
        <v>0</v>
      </c>
      <c r="D2185" s="22" t="e">
        <f>VLOOKUP($A2185, TAB_JUROS_U[[Q_DIAS_U_PARC_TIR]:[V_FUT_U_JURS CENARIO]], D$5, FALSE)</f>
        <v>#N/A</v>
      </c>
      <c r="E2185" s="22" t="e">
        <f>VLOOKUP($A2185,TAB_CORRECAO_U[[Q_DIAS_U_PARC_TIR]:[V_FUT_U_CORC-02]],E$5, FALSE)</f>
        <v>#N/A</v>
      </c>
      <c r="F2185" s="22" t="e">
        <f>VLOOKUP($A2185,TAB_AMORTIZACAO_U[[Q_DIAS_U_PARC_TIR]:[V_FUT_U_PCPL-02]], F$5, FALSE)</f>
        <v>#N/A</v>
      </c>
      <c r="H2185" s="20">
        <f t="shared" ref="H2185:H2248" si="177">IF(ISERROR(I2185), 0, I2185)</f>
        <v>0</v>
      </c>
      <c r="I2185" s="21">
        <f t="shared" ref="I2185:I2248" si="178">SUMIF(J2185:L2185, "&gt;0", J2185:L2185)</f>
        <v>0</v>
      </c>
      <c r="J2185" s="22" t="e">
        <f>VLOOKUP($A2185, TAB_JUROS_C[[DIAS_CORRIDOS]:[V_FUT_UTEIS]], J$5, FALSE)</f>
        <v>#N/A</v>
      </c>
      <c r="K2185" s="22" t="e">
        <f>VLOOKUP($A2185, TAB_CORRECAO_C[[DIAS_CORRIDOS]:[V_FUT_UTEIS]],K$5, FALSE)</f>
        <v>#N/A</v>
      </c>
      <c r="L2185" s="22" t="e">
        <f>VLOOKUP($A2185, TAB_AMORTIZACAO_C[[DIAS_CORRIDOS]:[V_FUT_UTEIS]], L$5, FALSE)</f>
        <v>#N/A</v>
      </c>
    </row>
    <row r="2186" spans="1:12" hidden="1">
      <c r="A2186" s="19">
        <f t="shared" ref="A2186:A2249" si="179">A2185+1</f>
        <v>2180</v>
      </c>
      <c r="B2186" s="20">
        <f t="shared" si="175"/>
        <v>0</v>
      </c>
      <c r="C2186" s="21">
        <f t="shared" si="176"/>
        <v>0</v>
      </c>
      <c r="D2186" s="22" t="e">
        <f>VLOOKUP($A2186, TAB_JUROS_U[[Q_DIAS_U_PARC_TIR]:[V_FUT_U_JURS CENARIO]], D$5, FALSE)</f>
        <v>#N/A</v>
      </c>
      <c r="E2186" s="22" t="e">
        <f>VLOOKUP($A2186,TAB_CORRECAO_U[[Q_DIAS_U_PARC_TIR]:[V_FUT_U_CORC-02]],E$5, FALSE)</f>
        <v>#N/A</v>
      </c>
      <c r="F2186" s="22" t="e">
        <f>VLOOKUP($A2186,TAB_AMORTIZACAO_U[[Q_DIAS_U_PARC_TIR]:[V_FUT_U_PCPL-02]], F$5, FALSE)</f>
        <v>#N/A</v>
      </c>
      <c r="H2186" s="20">
        <f t="shared" si="177"/>
        <v>0</v>
      </c>
      <c r="I2186" s="21">
        <f t="shared" si="178"/>
        <v>0</v>
      </c>
      <c r="J2186" s="22" t="e">
        <f>VLOOKUP($A2186, TAB_JUROS_C[[DIAS_CORRIDOS]:[V_FUT_UTEIS]], J$5, FALSE)</f>
        <v>#N/A</v>
      </c>
      <c r="K2186" s="22" t="e">
        <f>VLOOKUP($A2186, TAB_CORRECAO_C[[DIAS_CORRIDOS]:[V_FUT_UTEIS]],K$5, FALSE)</f>
        <v>#N/A</v>
      </c>
      <c r="L2186" s="22" t="e">
        <f>VLOOKUP($A2186, TAB_AMORTIZACAO_C[[DIAS_CORRIDOS]:[V_FUT_UTEIS]], L$5, FALSE)</f>
        <v>#N/A</v>
      </c>
    </row>
    <row r="2187" spans="1:12" hidden="1">
      <c r="A2187" s="19">
        <f t="shared" si="179"/>
        <v>2181</v>
      </c>
      <c r="B2187" s="20">
        <f t="shared" si="175"/>
        <v>0</v>
      </c>
      <c r="C2187" s="21">
        <f t="shared" si="176"/>
        <v>0</v>
      </c>
      <c r="D2187" s="22" t="e">
        <f>VLOOKUP($A2187, TAB_JUROS_U[[Q_DIAS_U_PARC_TIR]:[V_FUT_U_JURS CENARIO]], D$5, FALSE)</f>
        <v>#N/A</v>
      </c>
      <c r="E2187" s="22" t="e">
        <f>VLOOKUP($A2187,TAB_CORRECAO_U[[Q_DIAS_U_PARC_TIR]:[V_FUT_U_CORC-02]],E$5, FALSE)</f>
        <v>#N/A</v>
      </c>
      <c r="F2187" s="22" t="e">
        <f>VLOOKUP($A2187,TAB_AMORTIZACAO_U[[Q_DIAS_U_PARC_TIR]:[V_FUT_U_PCPL-02]], F$5, FALSE)</f>
        <v>#N/A</v>
      </c>
      <c r="H2187" s="20">
        <f t="shared" si="177"/>
        <v>0</v>
      </c>
      <c r="I2187" s="21">
        <f t="shared" si="178"/>
        <v>0</v>
      </c>
      <c r="J2187" s="22" t="e">
        <f>VLOOKUP($A2187, TAB_JUROS_C[[DIAS_CORRIDOS]:[V_FUT_UTEIS]], J$5, FALSE)</f>
        <v>#N/A</v>
      </c>
      <c r="K2187" s="22" t="e">
        <f>VLOOKUP($A2187, TAB_CORRECAO_C[[DIAS_CORRIDOS]:[V_FUT_UTEIS]],K$5, FALSE)</f>
        <v>#N/A</v>
      </c>
      <c r="L2187" s="22" t="e">
        <f>VLOOKUP($A2187, TAB_AMORTIZACAO_C[[DIAS_CORRIDOS]:[V_FUT_UTEIS]], L$5, FALSE)</f>
        <v>#N/A</v>
      </c>
    </row>
    <row r="2188" spans="1:12" hidden="1">
      <c r="A2188" s="19">
        <f t="shared" si="179"/>
        <v>2182</v>
      </c>
      <c r="B2188" s="20">
        <f t="shared" si="175"/>
        <v>0</v>
      </c>
      <c r="C2188" s="21">
        <f t="shared" si="176"/>
        <v>0</v>
      </c>
      <c r="D2188" s="22" t="e">
        <f>VLOOKUP($A2188, TAB_JUROS_U[[Q_DIAS_U_PARC_TIR]:[V_FUT_U_JURS CENARIO]], D$5, FALSE)</f>
        <v>#N/A</v>
      </c>
      <c r="E2188" s="22" t="e">
        <f>VLOOKUP($A2188,TAB_CORRECAO_U[[Q_DIAS_U_PARC_TIR]:[V_FUT_U_CORC-02]],E$5, FALSE)</f>
        <v>#N/A</v>
      </c>
      <c r="F2188" s="22" t="e">
        <f>VLOOKUP($A2188,TAB_AMORTIZACAO_U[[Q_DIAS_U_PARC_TIR]:[V_FUT_U_PCPL-02]], F$5, FALSE)</f>
        <v>#N/A</v>
      </c>
      <c r="H2188" s="20">
        <f t="shared" si="177"/>
        <v>0</v>
      </c>
      <c r="I2188" s="21">
        <f t="shared" si="178"/>
        <v>0</v>
      </c>
      <c r="J2188" s="22" t="e">
        <f>VLOOKUP($A2188, TAB_JUROS_C[[DIAS_CORRIDOS]:[V_FUT_UTEIS]], J$5, FALSE)</f>
        <v>#N/A</v>
      </c>
      <c r="K2188" s="22" t="e">
        <f>VLOOKUP($A2188, TAB_CORRECAO_C[[DIAS_CORRIDOS]:[V_FUT_UTEIS]],K$5, FALSE)</f>
        <v>#N/A</v>
      </c>
      <c r="L2188" s="22" t="e">
        <f>VLOOKUP($A2188, TAB_AMORTIZACAO_C[[DIAS_CORRIDOS]:[V_FUT_UTEIS]], L$5, FALSE)</f>
        <v>#N/A</v>
      </c>
    </row>
    <row r="2189" spans="1:12" hidden="1">
      <c r="A2189" s="19">
        <f t="shared" si="179"/>
        <v>2183</v>
      </c>
      <c r="B2189" s="20">
        <f t="shared" si="175"/>
        <v>0</v>
      </c>
      <c r="C2189" s="21">
        <f t="shared" si="176"/>
        <v>0</v>
      </c>
      <c r="D2189" s="22" t="e">
        <f>VLOOKUP($A2189, TAB_JUROS_U[[Q_DIAS_U_PARC_TIR]:[V_FUT_U_JURS CENARIO]], D$5, FALSE)</f>
        <v>#N/A</v>
      </c>
      <c r="E2189" s="22" t="e">
        <f>VLOOKUP($A2189,TAB_CORRECAO_U[[Q_DIAS_U_PARC_TIR]:[V_FUT_U_CORC-02]],E$5, FALSE)</f>
        <v>#N/A</v>
      </c>
      <c r="F2189" s="22" t="e">
        <f>VLOOKUP($A2189,TAB_AMORTIZACAO_U[[Q_DIAS_U_PARC_TIR]:[V_FUT_U_PCPL-02]], F$5, FALSE)</f>
        <v>#N/A</v>
      </c>
      <c r="H2189" s="20">
        <f t="shared" si="177"/>
        <v>0</v>
      </c>
      <c r="I2189" s="21">
        <f t="shared" si="178"/>
        <v>0</v>
      </c>
      <c r="J2189" s="22" t="e">
        <f>VLOOKUP($A2189, TAB_JUROS_C[[DIAS_CORRIDOS]:[V_FUT_UTEIS]], J$5, FALSE)</f>
        <v>#N/A</v>
      </c>
      <c r="K2189" s="22" t="e">
        <f>VLOOKUP($A2189, TAB_CORRECAO_C[[DIAS_CORRIDOS]:[V_FUT_UTEIS]],K$5, FALSE)</f>
        <v>#N/A</v>
      </c>
      <c r="L2189" s="22" t="e">
        <f>VLOOKUP($A2189, TAB_AMORTIZACAO_C[[DIAS_CORRIDOS]:[V_FUT_UTEIS]], L$5, FALSE)</f>
        <v>#N/A</v>
      </c>
    </row>
    <row r="2190" spans="1:12" hidden="1">
      <c r="A2190" s="19">
        <f t="shared" si="179"/>
        <v>2184</v>
      </c>
      <c r="B2190" s="20">
        <f t="shared" si="175"/>
        <v>0</v>
      </c>
      <c r="C2190" s="21">
        <f t="shared" si="176"/>
        <v>0</v>
      </c>
      <c r="D2190" s="22" t="e">
        <f>VLOOKUP($A2190, TAB_JUROS_U[[Q_DIAS_U_PARC_TIR]:[V_FUT_U_JURS CENARIO]], D$5, FALSE)</f>
        <v>#N/A</v>
      </c>
      <c r="E2190" s="22" t="e">
        <f>VLOOKUP($A2190,TAB_CORRECAO_U[[Q_DIAS_U_PARC_TIR]:[V_FUT_U_CORC-02]],E$5, FALSE)</f>
        <v>#N/A</v>
      </c>
      <c r="F2190" s="22" t="e">
        <f>VLOOKUP($A2190,TAB_AMORTIZACAO_U[[Q_DIAS_U_PARC_TIR]:[V_FUT_U_PCPL-02]], F$5, FALSE)</f>
        <v>#N/A</v>
      </c>
      <c r="H2190" s="20">
        <f t="shared" si="177"/>
        <v>0</v>
      </c>
      <c r="I2190" s="21">
        <f t="shared" si="178"/>
        <v>0</v>
      </c>
      <c r="J2190" s="22" t="e">
        <f>VLOOKUP($A2190, TAB_JUROS_C[[DIAS_CORRIDOS]:[V_FUT_UTEIS]], J$5, FALSE)</f>
        <v>#N/A</v>
      </c>
      <c r="K2190" s="22" t="e">
        <f>VLOOKUP($A2190, TAB_CORRECAO_C[[DIAS_CORRIDOS]:[V_FUT_UTEIS]],K$5, FALSE)</f>
        <v>#N/A</v>
      </c>
      <c r="L2190" s="22" t="e">
        <f>VLOOKUP($A2190, TAB_AMORTIZACAO_C[[DIAS_CORRIDOS]:[V_FUT_UTEIS]], L$5, FALSE)</f>
        <v>#N/A</v>
      </c>
    </row>
    <row r="2191" spans="1:12" hidden="1">
      <c r="A2191" s="19">
        <f t="shared" si="179"/>
        <v>2185</v>
      </c>
      <c r="B2191" s="20">
        <f t="shared" si="175"/>
        <v>0</v>
      </c>
      <c r="C2191" s="21">
        <f t="shared" si="176"/>
        <v>0</v>
      </c>
      <c r="D2191" s="22" t="e">
        <f>VLOOKUP($A2191, TAB_JUROS_U[[Q_DIAS_U_PARC_TIR]:[V_FUT_U_JURS CENARIO]], D$5, FALSE)</f>
        <v>#N/A</v>
      </c>
      <c r="E2191" s="22" t="e">
        <f>VLOOKUP($A2191,TAB_CORRECAO_U[[Q_DIAS_U_PARC_TIR]:[V_FUT_U_CORC-02]],E$5, FALSE)</f>
        <v>#N/A</v>
      </c>
      <c r="F2191" s="22" t="e">
        <f>VLOOKUP($A2191,TAB_AMORTIZACAO_U[[Q_DIAS_U_PARC_TIR]:[V_FUT_U_PCPL-02]], F$5, FALSE)</f>
        <v>#N/A</v>
      </c>
      <c r="H2191" s="20">
        <f t="shared" si="177"/>
        <v>0</v>
      </c>
      <c r="I2191" s="21">
        <f t="shared" si="178"/>
        <v>0</v>
      </c>
      <c r="J2191" s="22" t="e">
        <f>VLOOKUP($A2191, TAB_JUROS_C[[DIAS_CORRIDOS]:[V_FUT_UTEIS]], J$5, FALSE)</f>
        <v>#N/A</v>
      </c>
      <c r="K2191" s="22" t="e">
        <f>VLOOKUP($A2191, TAB_CORRECAO_C[[DIAS_CORRIDOS]:[V_FUT_UTEIS]],K$5, FALSE)</f>
        <v>#N/A</v>
      </c>
      <c r="L2191" s="22" t="e">
        <f>VLOOKUP($A2191, TAB_AMORTIZACAO_C[[DIAS_CORRIDOS]:[V_FUT_UTEIS]], L$5, FALSE)</f>
        <v>#N/A</v>
      </c>
    </row>
    <row r="2192" spans="1:12" hidden="1">
      <c r="A2192" s="19">
        <f t="shared" si="179"/>
        <v>2186</v>
      </c>
      <c r="B2192" s="20">
        <f t="shared" si="175"/>
        <v>0</v>
      </c>
      <c r="C2192" s="21">
        <f t="shared" si="176"/>
        <v>0</v>
      </c>
      <c r="D2192" s="22" t="e">
        <f>VLOOKUP($A2192, TAB_JUROS_U[[Q_DIAS_U_PARC_TIR]:[V_FUT_U_JURS CENARIO]], D$5, FALSE)</f>
        <v>#N/A</v>
      </c>
      <c r="E2192" s="22" t="e">
        <f>VLOOKUP($A2192,TAB_CORRECAO_U[[Q_DIAS_U_PARC_TIR]:[V_FUT_U_CORC-02]],E$5, FALSE)</f>
        <v>#N/A</v>
      </c>
      <c r="F2192" s="22" t="e">
        <f>VLOOKUP($A2192,TAB_AMORTIZACAO_U[[Q_DIAS_U_PARC_TIR]:[V_FUT_U_PCPL-02]], F$5, FALSE)</f>
        <v>#N/A</v>
      </c>
      <c r="H2192" s="20">
        <f t="shared" si="177"/>
        <v>0</v>
      </c>
      <c r="I2192" s="21">
        <f t="shared" si="178"/>
        <v>0</v>
      </c>
      <c r="J2192" s="22" t="e">
        <f>VLOOKUP($A2192, TAB_JUROS_C[[DIAS_CORRIDOS]:[V_FUT_UTEIS]], J$5, FALSE)</f>
        <v>#N/A</v>
      </c>
      <c r="K2192" s="22" t="e">
        <f>VLOOKUP($A2192, TAB_CORRECAO_C[[DIAS_CORRIDOS]:[V_FUT_UTEIS]],K$5, FALSE)</f>
        <v>#N/A</v>
      </c>
      <c r="L2192" s="22" t="e">
        <f>VLOOKUP($A2192, TAB_AMORTIZACAO_C[[DIAS_CORRIDOS]:[V_FUT_UTEIS]], L$5, FALSE)</f>
        <v>#N/A</v>
      </c>
    </row>
    <row r="2193" spans="1:12">
      <c r="A2193" s="19">
        <f t="shared" si="179"/>
        <v>2187</v>
      </c>
      <c r="B2193" s="20">
        <f t="shared" si="175"/>
        <v>243.56288047624403</v>
      </c>
      <c r="C2193" s="21">
        <f t="shared" si="176"/>
        <v>243.56288047624403</v>
      </c>
      <c r="D2193" s="22">
        <f>VLOOKUP($A2193, TAB_JUROS_U[[Q_DIAS_U_PARC_TIR]:[V_FUT_U_JURS CENARIO]], D$5, FALSE)</f>
        <v>12.710650675461455</v>
      </c>
      <c r="E2193" s="22">
        <f>VLOOKUP($A2193,TAB_CORRECAO_U[[Q_DIAS_U_PARC_TIR]:[V_FUT_U_CORC-02]],E$5, FALSE)</f>
        <v>78.219169376354401</v>
      </c>
      <c r="F2193" s="22">
        <f>VLOOKUP($A2193,TAB_AMORTIZACAO_U[[Q_DIAS_U_PARC_TIR]:[V_FUT_U_PCPL-02]], F$5, FALSE)</f>
        <v>152.63306042442818</v>
      </c>
      <c r="H2193" s="20">
        <f t="shared" si="177"/>
        <v>0</v>
      </c>
      <c r="I2193" s="21">
        <f t="shared" si="178"/>
        <v>0</v>
      </c>
      <c r="J2193" s="22" t="e">
        <f>VLOOKUP($A2193, TAB_JUROS_C[[DIAS_CORRIDOS]:[V_FUT_UTEIS]], J$5, FALSE)</f>
        <v>#N/A</v>
      </c>
      <c r="K2193" s="22" t="e">
        <f>VLOOKUP($A2193, TAB_CORRECAO_C[[DIAS_CORRIDOS]:[V_FUT_UTEIS]],K$5, FALSE)</f>
        <v>#N/A</v>
      </c>
      <c r="L2193" s="22" t="e">
        <f>VLOOKUP($A2193, TAB_AMORTIZACAO_C[[DIAS_CORRIDOS]:[V_FUT_UTEIS]], L$5, FALSE)</f>
        <v>#N/A</v>
      </c>
    </row>
    <row r="2194" spans="1:12" hidden="1">
      <c r="A2194" s="19">
        <f t="shared" si="179"/>
        <v>2188</v>
      </c>
      <c r="B2194" s="20">
        <f t="shared" si="175"/>
        <v>0</v>
      </c>
      <c r="C2194" s="21">
        <f t="shared" si="176"/>
        <v>0</v>
      </c>
      <c r="D2194" s="22" t="e">
        <f>VLOOKUP($A2194, TAB_JUROS_U[[Q_DIAS_U_PARC_TIR]:[V_FUT_U_JURS CENARIO]], D$5, FALSE)</f>
        <v>#N/A</v>
      </c>
      <c r="E2194" s="22" t="e">
        <f>VLOOKUP($A2194,TAB_CORRECAO_U[[Q_DIAS_U_PARC_TIR]:[V_FUT_U_CORC-02]],E$5, FALSE)</f>
        <v>#N/A</v>
      </c>
      <c r="F2194" s="22" t="e">
        <f>VLOOKUP($A2194,TAB_AMORTIZACAO_U[[Q_DIAS_U_PARC_TIR]:[V_FUT_U_PCPL-02]], F$5, FALSE)</f>
        <v>#N/A</v>
      </c>
      <c r="H2194" s="20">
        <f t="shared" si="177"/>
        <v>0</v>
      </c>
      <c r="I2194" s="21">
        <f t="shared" si="178"/>
        <v>0</v>
      </c>
      <c r="J2194" s="22" t="e">
        <f>VLOOKUP($A2194, TAB_JUROS_C[[DIAS_CORRIDOS]:[V_FUT_UTEIS]], J$5, FALSE)</f>
        <v>#N/A</v>
      </c>
      <c r="K2194" s="22" t="e">
        <f>VLOOKUP($A2194, TAB_CORRECAO_C[[DIAS_CORRIDOS]:[V_FUT_UTEIS]],K$5, FALSE)</f>
        <v>#N/A</v>
      </c>
      <c r="L2194" s="22" t="e">
        <f>VLOOKUP($A2194, TAB_AMORTIZACAO_C[[DIAS_CORRIDOS]:[V_FUT_UTEIS]], L$5, FALSE)</f>
        <v>#N/A</v>
      </c>
    </row>
    <row r="2195" spans="1:12" hidden="1">
      <c r="A2195" s="19">
        <f t="shared" si="179"/>
        <v>2189</v>
      </c>
      <c r="B2195" s="20">
        <f t="shared" si="175"/>
        <v>0</v>
      </c>
      <c r="C2195" s="21">
        <f t="shared" si="176"/>
        <v>0</v>
      </c>
      <c r="D2195" s="22" t="e">
        <f>VLOOKUP($A2195, TAB_JUROS_U[[Q_DIAS_U_PARC_TIR]:[V_FUT_U_JURS CENARIO]], D$5, FALSE)</f>
        <v>#N/A</v>
      </c>
      <c r="E2195" s="22" t="e">
        <f>VLOOKUP($A2195,TAB_CORRECAO_U[[Q_DIAS_U_PARC_TIR]:[V_FUT_U_CORC-02]],E$5, FALSE)</f>
        <v>#N/A</v>
      </c>
      <c r="F2195" s="22" t="e">
        <f>VLOOKUP($A2195,TAB_AMORTIZACAO_U[[Q_DIAS_U_PARC_TIR]:[V_FUT_U_PCPL-02]], F$5, FALSE)</f>
        <v>#N/A</v>
      </c>
      <c r="H2195" s="20">
        <f t="shared" si="177"/>
        <v>0</v>
      </c>
      <c r="I2195" s="21">
        <f t="shared" si="178"/>
        <v>0</v>
      </c>
      <c r="J2195" s="22" t="e">
        <f>VLOOKUP($A2195, TAB_JUROS_C[[DIAS_CORRIDOS]:[V_FUT_UTEIS]], J$5, FALSE)</f>
        <v>#N/A</v>
      </c>
      <c r="K2195" s="22" t="e">
        <f>VLOOKUP($A2195, TAB_CORRECAO_C[[DIAS_CORRIDOS]:[V_FUT_UTEIS]],K$5, FALSE)</f>
        <v>#N/A</v>
      </c>
      <c r="L2195" s="22" t="e">
        <f>VLOOKUP($A2195, TAB_AMORTIZACAO_C[[DIAS_CORRIDOS]:[V_FUT_UTEIS]], L$5, FALSE)</f>
        <v>#N/A</v>
      </c>
    </row>
    <row r="2196" spans="1:12" hidden="1">
      <c r="A2196" s="19">
        <f t="shared" si="179"/>
        <v>2190</v>
      </c>
      <c r="B2196" s="20">
        <f t="shared" si="175"/>
        <v>0</v>
      </c>
      <c r="C2196" s="21">
        <f t="shared" si="176"/>
        <v>0</v>
      </c>
      <c r="D2196" s="22" t="e">
        <f>VLOOKUP($A2196, TAB_JUROS_U[[Q_DIAS_U_PARC_TIR]:[V_FUT_U_JURS CENARIO]], D$5, FALSE)</f>
        <v>#N/A</v>
      </c>
      <c r="E2196" s="22" t="e">
        <f>VLOOKUP($A2196,TAB_CORRECAO_U[[Q_DIAS_U_PARC_TIR]:[V_FUT_U_CORC-02]],E$5, FALSE)</f>
        <v>#N/A</v>
      </c>
      <c r="F2196" s="22" t="e">
        <f>VLOOKUP($A2196,TAB_AMORTIZACAO_U[[Q_DIAS_U_PARC_TIR]:[V_FUT_U_PCPL-02]], F$5, FALSE)</f>
        <v>#N/A</v>
      </c>
      <c r="H2196" s="20">
        <f t="shared" si="177"/>
        <v>0</v>
      </c>
      <c r="I2196" s="21">
        <f t="shared" si="178"/>
        <v>0</v>
      </c>
      <c r="J2196" s="22" t="e">
        <f>VLOOKUP($A2196, TAB_JUROS_C[[DIAS_CORRIDOS]:[V_FUT_UTEIS]], J$5, FALSE)</f>
        <v>#N/A</v>
      </c>
      <c r="K2196" s="22" t="e">
        <f>VLOOKUP($A2196, TAB_CORRECAO_C[[DIAS_CORRIDOS]:[V_FUT_UTEIS]],K$5, FALSE)</f>
        <v>#N/A</v>
      </c>
      <c r="L2196" s="22" t="e">
        <f>VLOOKUP($A2196, TAB_AMORTIZACAO_C[[DIAS_CORRIDOS]:[V_FUT_UTEIS]], L$5, FALSE)</f>
        <v>#N/A</v>
      </c>
    </row>
    <row r="2197" spans="1:12" hidden="1">
      <c r="A2197" s="19">
        <f t="shared" si="179"/>
        <v>2191</v>
      </c>
      <c r="B2197" s="20">
        <f t="shared" si="175"/>
        <v>0</v>
      </c>
      <c r="C2197" s="21">
        <f t="shared" si="176"/>
        <v>0</v>
      </c>
      <c r="D2197" s="22" t="e">
        <f>VLOOKUP($A2197, TAB_JUROS_U[[Q_DIAS_U_PARC_TIR]:[V_FUT_U_JURS CENARIO]], D$5, FALSE)</f>
        <v>#N/A</v>
      </c>
      <c r="E2197" s="22" t="e">
        <f>VLOOKUP($A2197,TAB_CORRECAO_U[[Q_DIAS_U_PARC_TIR]:[V_FUT_U_CORC-02]],E$5, FALSE)</f>
        <v>#N/A</v>
      </c>
      <c r="F2197" s="22" t="e">
        <f>VLOOKUP($A2197,TAB_AMORTIZACAO_U[[Q_DIAS_U_PARC_TIR]:[V_FUT_U_PCPL-02]], F$5, FALSE)</f>
        <v>#N/A</v>
      </c>
      <c r="H2197" s="20">
        <f t="shared" si="177"/>
        <v>0</v>
      </c>
      <c r="I2197" s="21">
        <f t="shared" si="178"/>
        <v>0</v>
      </c>
      <c r="J2197" s="22" t="e">
        <f>VLOOKUP($A2197, TAB_JUROS_C[[DIAS_CORRIDOS]:[V_FUT_UTEIS]], J$5, FALSE)</f>
        <v>#N/A</v>
      </c>
      <c r="K2197" s="22" t="e">
        <f>VLOOKUP($A2197, TAB_CORRECAO_C[[DIAS_CORRIDOS]:[V_FUT_UTEIS]],K$5, FALSE)</f>
        <v>#N/A</v>
      </c>
      <c r="L2197" s="22" t="e">
        <f>VLOOKUP($A2197, TAB_AMORTIZACAO_C[[DIAS_CORRIDOS]:[V_FUT_UTEIS]], L$5, FALSE)</f>
        <v>#N/A</v>
      </c>
    </row>
    <row r="2198" spans="1:12" hidden="1">
      <c r="A2198" s="19">
        <f t="shared" si="179"/>
        <v>2192</v>
      </c>
      <c r="B2198" s="20">
        <f t="shared" si="175"/>
        <v>0</v>
      </c>
      <c r="C2198" s="21">
        <f t="shared" si="176"/>
        <v>0</v>
      </c>
      <c r="D2198" s="22" t="e">
        <f>VLOOKUP($A2198, TAB_JUROS_U[[Q_DIAS_U_PARC_TIR]:[V_FUT_U_JURS CENARIO]], D$5, FALSE)</f>
        <v>#N/A</v>
      </c>
      <c r="E2198" s="22" t="e">
        <f>VLOOKUP($A2198,TAB_CORRECAO_U[[Q_DIAS_U_PARC_TIR]:[V_FUT_U_CORC-02]],E$5, FALSE)</f>
        <v>#N/A</v>
      </c>
      <c r="F2198" s="22" t="e">
        <f>VLOOKUP($A2198,TAB_AMORTIZACAO_U[[Q_DIAS_U_PARC_TIR]:[V_FUT_U_PCPL-02]], F$5, FALSE)</f>
        <v>#N/A</v>
      </c>
      <c r="H2198" s="20">
        <f t="shared" si="177"/>
        <v>0</v>
      </c>
      <c r="I2198" s="21">
        <f t="shared" si="178"/>
        <v>0</v>
      </c>
      <c r="J2198" s="22" t="e">
        <f>VLOOKUP($A2198, TAB_JUROS_C[[DIAS_CORRIDOS]:[V_FUT_UTEIS]], J$5, FALSE)</f>
        <v>#N/A</v>
      </c>
      <c r="K2198" s="22" t="e">
        <f>VLOOKUP($A2198, TAB_CORRECAO_C[[DIAS_CORRIDOS]:[V_FUT_UTEIS]],K$5, FALSE)</f>
        <v>#N/A</v>
      </c>
      <c r="L2198" s="22" t="e">
        <f>VLOOKUP($A2198, TAB_AMORTIZACAO_C[[DIAS_CORRIDOS]:[V_FUT_UTEIS]], L$5, FALSE)</f>
        <v>#N/A</v>
      </c>
    </row>
    <row r="2199" spans="1:12" hidden="1">
      <c r="A2199" s="19">
        <f t="shared" si="179"/>
        <v>2193</v>
      </c>
      <c r="B2199" s="20">
        <f t="shared" si="175"/>
        <v>0</v>
      </c>
      <c r="C2199" s="21">
        <f t="shared" si="176"/>
        <v>0</v>
      </c>
      <c r="D2199" s="22" t="e">
        <f>VLOOKUP($A2199, TAB_JUROS_U[[Q_DIAS_U_PARC_TIR]:[V_FUT_U_JURS CENARIO]], D$5, FALSE)</f>
        <v>#N/A</v>
      </c>
      <c r="E2199" s="22" t="e">
        <f>VLOOKUP($A2199,TAB_CORRECAO_U[[Q_DIAS_U_PARC_TIR]:[V_FUT_U_CORC-02]],E$5, FALSE)</f>
        <v>#N/A</v>
      </c>
      <c r="F2199" s="22" t="e">
        <f>VLOOKUP($A2199,TAB_AMORTIZACAO_U[[Q_DIAS_U_PARC_TIR]:[V_FUT_U_PCPL-02]], F$5, FALSE)</f>
        <v>#N/A</v>
      </c>
      <c r="H2199" s="20">
        <f t="shared" si="177"/>
        <v>0</v>
      </c>
      <c r="I2199" s="21">
        <f t="shared" si="178"/>
        <v>0</v>
      </c>
      <c r="J2199" s="22" t="e">
        <f>VLOOKUP($A2199, TAB_JUROS_C[[DIAS_CORRIDOS]:[V_FUT_UTEIS]], J$5, FALSE)</f>
        <v>#N/A</v>
      </c>
      <c r="K2199" s="22" t="e">
        <f>VLOOKUP($A2199, TAB_CORRECAO_C[[DIAS_CORRIDOS]:[V_FUT_UTEIS]],K$5, FALSE)</f>
        <v>#N/A</v>
      </c>
      <c r="L2199" s="22" t="e">
        <f>VLOOKUP($A2199, TAB_AMORTIZACAO_C[[DIAS_CORRIDOS]:[V_FUT_UTEIS]], L$5, FALSE)</f>
        <v>#N/A</v>
      </c>
    </row>
    <row r="2200" spans="1:12" hidden="1">
      <c r="A2200" s="19">
        <f t="shared" si="179"/>
        <v>2194</v>
      </c>
      <c r="B2200" s="20">
        <f t="shared" si="175"/>
        <v>0</v>
      </c>
      <c r="C2200" s="21">
        <f t="shared" si="176"/>
        <v>0</v>
      </c>
      <c r="D2200" s="22" t="e">
        <f>VLOOKUP($A2200, TAB_JUROS_U[[Q_DIAS_U_PARC_TIR]:[V_FUT_U_JURS CENARIO]], D$5, FALSE)</f>
        <v>#N/A</v>
      </c>
      <c r="E2200" s="22" t="e">
        <f>VLOOKUP($A2200,TAB_CORRECAO_U[[Q_DIAS_U_PARC_TIR]:[V_FUT_U_CORC-02]],E$5, FALSE)</f>
        <v>#N/A</v>
      </c>
      <c r="F2200" s="22" t="e">
        <f>VLOOKUP($A2200,TAB_AMORTIZACAO_U[[Q_DIAS_U_PARC_TIR]:[V_FUT_U_PCPL-02]], F$5, FALSE)</f>
        <v>#N/A</v>
      </c>
      <c r="H2200" s="20">
        <f t="shared" si="177"/>
        <v>0</v>
      </c>
      <c r="I2200" s="21">
        <f t="shared" si="178"/>
        <v>0</v>
      </c>
      <c r="J2200" s="22" t="e">
        <f>VLOOKUP($A2200, TAB_JUROS_C[[DIAS_CORRIDOS]:[V_FUT_UTEIS]], J$5, FALSE)</f>
        <v>#N/A</v>
      </c>
      <c r="K2200" s="22" t="e">
        <f>VLOOKUP($A2200, TAB_CORRECAO_C[[DIAS_CORRIDOS]:[V_FUT_UTEIS]],K$5, FALSE)</f>
        <v>#N/A</v>
      </c>
      <c r="L2200" s="22" t="e">
        <f>VLOOKUP($A2200, TAB_AMORTIZACAO_C[[DIAS_CORRIDOS]:[V_FUT_UTEIS]], L$5, FALSE)</f>
        <v>#N/A</v>
      </c>
    </row>
    <row r="2201" spans="1:12" hidden="1">
      <c r="A2201" s="19">
        <f t="shared" si="179"/>
        <v>2195</v>
      </c>
      <c r="B2201" s="20">
        <f t="shared" si="175"/>
        <v>0</v>
      </c>
      <c r="C2201" s="21">
        <f t="shared" si="176"/>
        <v>0</v>
      </c>
      <c r="D2201" s="22" t="e">
        <f>VLOOKUP($A2201, TAB_JUROS_U[[Q_DIAS_U_PARC_TIR]:[V_FUT_U_JURS CENARIO]], D$5, FALSE)</f>
        <v>#N/A</v>
      </c>
      <c r="E2201" s="22" t="e">
        <f>VLOOKUP($A2201,TAB_CORRECAO_U[[Q_DIAS_U_PARC_TIR]:[V_FUT_U_CORC-02]],E$5, FALSE)</f>
        <v>#N/A</v>
      </c>
      <c r="F2201" s="22" t="e">
        <f>VLOOKUP($A2201,TAB_AMORTIZACAO_U[[Q_DIAS_U_PARC_TIR]:[V_FUT_U_PCPL-02]], F$5, FALSE)</f>
        <v>#N/A</v>
      </c>
      <c r="H2201" s="20">
        <f t="shared" si="177"/>
        <v>0</v>
      </c>
      <c r="I2201" s="21">
        <f t="shared" si="178"/>
        <v>0</v>
      </c>
      <c r="J2201" s="22" t="e">
        <f>VLOOKUP($A2201, TAB_JUROS_C[[DIAS_CORRIDOS]:[V_FUT_UTEIS]], J$5, FALSE)</f>
        <v>#N/A</v>
      </c>
      <c r="K2201" s="22" t="e">
        <f>VLOOKUP($A2201, TAB_CORRECAO_C[[DIAS_CORRIDOS]:[V_FUT_UTEIS]],K$5, FALSE)</f>
        <v>#N/A</v>
      </c>
      <c r="L2201" s="22" t="e">
        <f>VLOOKUP($A2201, TAB_AMORTIZACAO_C[[DIAS_CORRIDOS]:[V_FUT_UTEIS]], L$5, FALSE)</f>
        <v>#N/A</v>
      </c>
    </row>
    <row r="2202" spans="1:12" hidden="1">
      <c r="A2202" s="19">
        <f t="shared" si="179"/>
        <v>2196</v>
      </c>
      <c r="B2202" s="20">
        <f t="shared" si="175"/>
        <v>0</v>
      </c>
      <c r="C2202" s="21">
        <f t="shared" si="176"/>
        <v>0</v>
      </c>
      <c r="D2202" s="22" t="e">
        <f>VLOOKUP($A2202, TAB_JUROS_U[[Q_DIAS_U_PARC_TIR]:[V_FUT_U_JURS CENARIO]], D$5, FALSE)</f>
        <v>#N/A</v>
      </c>
      <c r="E2202" s="22" t="e">
        <f>VLOOKUP($A2202,TAB_CORRECAO_U[[Q_DIAS_U_PARC_TIR]:[V_FUT_U_CORC-02]],E$5, FALSE)</f>
        <v>#N/A</v>
      </c>
      <c r="F2202" s="22" t="e">
        <f>VLOOKUP($A2202,TAB_AMORTIZACAO_U[[Q_DIAS_U_PARC_TIR]:[V_FUT_U_PCPL-02]], F$5, FALSE)</f>
        <v>#N/A</v>
      </c>
      <c r="H2202" s="20">
        <f t="shared" si="177"/>
        <v>0</v>
      </c>
      <c r="I2202" s="21">
        <f t="shared" si="178"/>
        <v>0</v>
      </c>
      <c r="J2202" s="22" t="e">
        <f>VLOOKUP($A2202, TAB_JUROS_C[[DIAS_CORRIDOS]:[V_FUT_UTEIS]], J$5, FALSE)</f>
        <v>#N/A</v>
      </c>
      <c r="K2202" s="22" t="e">
        <f>VLOOKUP($A2202, TAB_CORRECAO_C[[DIAS_CORRIDOS]:[V_FUT_UTEIS]],K$5, FALSE)</f>
        <v>#N/A</v>
      </c>
      <c r="L2202" s="22" t="e">
        <f>VLOOKUP($A2202, TAB_AMORTIZACAO_C[[DIAS_CORRIDOS]:[V_FUT_UTEIS]], L$5, FALSE)</f>
        <v>#N/A</v>
      </c>
    </row>
    <row r="2203" spans="1:12" hidden="1">
      <c r="A2203" s="19">
        <f t="shared" si="179"/>
        <v>2197</v>
      </c>
      <c r="B2203" s="20">
        <f t="shared" si="175"/>
        <v>0</v>
      </c>
      <c r="C2203" s="21">
        <f t="shared" si="176"/>
        <v>0</v>
      </c>
      <c r="D2203" s="22" t="e">
        <f>VLOOKUP($A2203, TAB_JUROS_U[[Q_DIAS_U_PARC_TIR]:[V_FUT_U_JURS CENARIO]], D$5, FALSE)</f>
        <v>#N/A</v>
      </c>
      <c r="E2203" s="22" t="e">
        <f>VLOOKUP($A2203,TAB_CORRECAO_U[[Q_DIAS_U_PARC_TIR]:[V_FUT_U_CORC-02]],E$5, FALSE)</f>
        <v>#N/A</v>
      </c>
      <c r="F2203" s="22" t="e">
        <f>VLOOKUP($A2203,TAB_AMORTIZACAO_U[[Q_DIAS_U_PARC_TIR]:[V_FUT_U_PCPL-02]], F$5, FALSE)</f>
        <v>#N/A</v>
      </c>
      <c r="H2203" s="20">
        <f t="shared" si="177"/>
        <v>0</v>
      </c>
      <c r="I2203" s="21">
        <f t="shared" si="178"/>
        <v>0</v>
      </c>
      <c r="J2203" s="22" t="e">
        <f>VLOOKUP($A2203, TAB_JUROS_C[[DIAS_CORRIDOS]:[V_FUT_UTEIS]], J$5, FALSE)</f>
        <v>#N/A</v>
      </c>
      <c r="K2203" s="22" t="e">
        <f>VLOOKUP($A2203, TAB_CORRECAO_C[[DIAS_CORRIDOS]:[V_FUT_UTEIS]],K$5, FALSE)</f>
        <v>#N/A</v>
      </c>
      <c r="L2203" s="22" t="e">
        <f>VLOOKUP($A2203, TAB_AMORTIZACAO_C[[DIAS_CORRIDOS]:[V_FUT_UTEIS]], L$5, FALSE)</f>
        <v>#N/A</v>
      </c>
    </row>
    <row r="2204" spans="1:12" hidden="1">
      <c r="A2204" s="19">
        <f t="shared" si="179"/>
        <v>2198</v>
      </c>
      <c r="B2204" s="20">
        <f t="shared" si="175"/>
        <v>0</v>
      </c>
      <c r="C2204" s="21">
        <f t="shared" si="176"/>
        <v>0</v>
      </c>
      <c r="D2204" s="22" t="e">
        <f>VLOOKUP($A2204, TAB_JUROS_U[[Q_DIAS_U_PARC_TIR]:[V_FUT_U_JURS CENARIO]], D$5, FALSE)</f>
        <v>#N/A</v>
      </c>
      <c r="E2204" s="22" t="e">
        <f>VLOOKUP($A2204,TAB_CORRECAO_U[[Q_DIAS_U_PARC_TIR]:[V_FUT_U_CORC-02]],E$5, FALSE)</f>
        <v>#N/A</v>
      </c>
      <c r="F2204" s="22" t="e">
        <f>VLOOKUP($A2204,TAB_AMORTIZACAO_U[[Q_DIAS_U_PARC_TIR]:[V_FUT_U_PCPL-02]], F$5, FALSE)</f>
        <v>#N/A</v>
      </c>
      <c r="H2204" s="20">
        <f t="shared" si="177"/>
        <v>0</v>
      </c>
      <c r="I2204" s="21">
        <f t="shared" si="178"/>
        <v>0</v>
      </c>
      <c r="J2204" s="22" t="e">
        <f>VLOOKUP($A2204, TAB_JUROS_C[[DIAS_CORRIDOS]:[V_FUT_UTEIS]], J$5, FALSE)</f>
        <v>#N/A</v>
      </c>
      <c r="K2204" s="22" t="e">
        <f>VLOOKUP($A2204, TAB_CORRECAO_C[[DIAS_CORRIDOS]:[V_FUT_UTEIS]],K$5, FALSE)</f>
        <v>#N/A</v>
      </c>
      <c r="L2204" s="22" t="e">
        <f>VLOOKUP($A2204, TAB_AMORTIZACAO_C[[DIAS_CORRIDOS]:[V_FUT_UTEIS]], L$5, FALSE)</f>
        <v>#N/A</v>
      </c>
    </row>
    <row r="2205" spans="1:12" hidden="1">
      <c r="A2205" s="19">
        <f t="shared" si="179"/>
        <v>2199</v>
      </c>
      <c r="B2205" s="20">
        <f t="shared" si="175"/>
        <v>0</v>
      </c>
      <c r="C2205" s="21">
        <f t="shared" si="176"/>
        <v>0</v>
      </c>
      <c r="D2205" s="22" t="e">
        <f>VLOOKUP($A2205, TAB_JUROS_U[[Q_DIAS_U_PARC_TIR]:[V_FUT_U_JURS CENARIO]], D$5, FALSE)</f>
        <v>#N/A</v>
      </c>
      <c r="E2205" s="22" t="e">
        <f>VLOOKUP($A2205,TAB_CORRECAO_U[[Q_DIAS_U_PARC_TIR]:[V_FUT_U_CORC-02]],E$5, FALSE)</f>
        <v>#N/A</v>
      </c>
      <c r="F2205" s="22" t="e">
        <f>VLOOKUP($A2205,TAB_AMORTIZACAO_U[[Q_DIAS_U_PARC_TIR]:[V_FUT_U_PCPL-02]], F$5, FALSE)</f>
        <v>#N/A</v>
      </c>
      <c r="H2205" s="20">
        <f t="shared" si="177"/>
        <v>0</v>
      </c>
      <c r="I2205" s="21">
        <f t="shared" si="178"/>
        <v>0</v>
      </c>
      <c r="J2205" s="22" t="e">
        <f>VLOOKUP($A2205, TAB_JUROS_C[[DIAS_CORRIDOS]:[V_FUT_UTEIS]], J$5, FALSE)</f>
        <v>#N/A</v>
      </c>
      <c r="K2205" s="22" t="e">
        <f>VLOOKUP($A2205, TAB_CORRECAO_C[[DIAS_CORRIDOS]:[V_FUT_UTEIS]],K$5, FALSE)</f>
        <v>#N/A</v>
      </c>
      <c r="L2205" s="22" t="e">
        <f>VLOOKUP($A2205, TAB_AMORTIZACAO_C[[DIAS_CORRIDOS]:[V_FUT_UTEIS]], L$5, FALSE)</f>
        <v>#N/A</v>
      </c>
    </row>
    <row r="2206" spans="1:12" hidden="1">
      <c r="A2206" s="19">
        <f t="shared" si="179"/>
        <v>2200</v>
      </c>
      <c r="B2206" s="20">
        <f t="shared" si="175"/>
        <v>0</v>
      </c>
      <c r="C2206" s="21">
        <f t="shared" si="176"/>
        <v>0</v>
      </c>
      <c r="D2206" s="22" t="e">
        <f>VLOOKUP($A2206, TAB_JUROS_U[[Q_DIAS_U_PARC_TIR]:[V_FUT_U_JURS CENARIO]], D$5, FALSE)</f>
        <v>#N/A</v>
      </c>
      <c r="E2206" s="22" t="e">
        <f>VLOOKUP($A2206,TAB_CORRECAO_U[[Q_DIAS_U_PARC_TIR]:[V_FUT_U_CORC-02]],E$5, FALSE)</f>
        <v>#N/A</v>
      </c>
      <c r="F2206" s="22" t="e">
        <f>VLOOKUP($A2206,TAB_AMORTIZACAO_U[[Q_DIAS_U_PARC_TIR]:[V_FUT_U_PCPL-02]], F$5, FALSE)</f>
        <v>#N/A</v>
      </c>
      <c r="H2206" s="20">
        <f t="shared" si="177"/>
        <v>0</v>
      </c>
      <c r="I2206" s="21">
        <f t="shared" si="178"/>
        <v>0</v>
      </c>
      <c r="J2206" s="22" t="e">
        <f>VLOOKUP($A2206, TAB_JUROS_C[[DIAS_CORRIDOS]:[V_FUT_UTEIS]], J$5, FALSE)</f>
        <v>#N/A</v>
      </c>
      <c r="K2206" s="22" t="e">
        <f>VLOOKUP($A2206, TAB_CORRECAO_C[[DIAS_CORRIDOS]:[V_FUT_UTEIS]],K$5, FALSE)</f>
        <v>#N/A</v>
      </c>
      <c r="L2206" s="22" t="e">
        <f>VLOOKUP($A2206, TAB_AMORTIZACAO_C[[DIAS_CORRIDOS]:[V_FUT_UTEIS]], L$5, FALSE)</f>
        <v>#N/A</v>
      </c>
    </row>
    <row r="2207" spans="1:12" hidden="1">
      <c r="A2207" s="19">
        <f t="shared" si="179"/>
        <v>2201</v>
      </c>
      <c r="B2207" s="20">
        <f t="shared" si="175"/>
        <v>0</v>
      </c>
      <c r="C2207" s="21">
        <f t="shared" si="176"/>
        <v>0</v>
      </c>
      <c r="D2207" s="22" t="e">
        <f>VLOOKUP($A2207, TAB_JUROS_U[[Q_DIAS_U_PARC_TIR]:[V_FUT_U_JURS CENARIO]], D$5, FALSE)</f>
        <v>#N/A</v>
      </c>
      <c r="E2207" s="22" t="e">
        <f>VLOOKUP($A2207,TAB_CORRECAO_U[[Q_DIAS_U_PARC_TIR]:[V_FUT_U_CORC-02]],E$5, FALSE)</f>
        <v>#N/A</v>
      </c>
      <c r="F2207" s="22" t="e">
        <f>VLOOKUP($A2207,TAB_AMORTIZACAO_U[[Q_DIAS_U_PARC_TIR]:[V_FUT_U_PCPL-02]], F$5, FALSE)</f>
        <v>#N/A</v>
      </c>
      <c r="H2207" s="20">
        <f t="shared" si="177"/>
        <v>0</v>
      </c>
      <c r="I2207" s="21">
        <f t="shared" si="178"/>
        <v>0</v>
      </c>
      <c r="J2207" s="22" t="e">
        <f>VLOOKUP($A2207, TAB_JUROS_C[[DIAS_CORRIDOS]:[V_FUT_UTEIS]], J$5, FALSE)</f>
        <v>#N/A</v>
      </c>
      <c r="K2207" s="22" t="e">
        <f>VLOOKUP($A2207, TAB_CORRECAO_C[[DIAS_CORRIDOS]:[V_FUT_UTEIS]],K$5, FALSE)</f>
        <v>#N/A</v>
      </c>
      <c r="L2207" s="22" t="e">
        <f>VLOOKUP($A2207, TAB_AMORTIZACAO_C[[DIAS_CORRIDOS]:[V_FUT_UTEIS]], L$5, FALSE)</f>
        <v>#N/A</v>
      </c>
    </row>
    <row r="2208" spans="1:12" hidden="1">
      <c r="A2208" s="19">
        <f t="shared" si="179"/>
        <v>2202</v>
      </c>
      <c r="B2208" s="20">
        <f t="shared" si="175"/>
        <v>0</v>
      </c>
      <c r="C2208" s="21">
        <f t="shared" si="176"/>
        <v>0</v>
      </c>
      <c r="D2208" s="22" t="e">
        <f>VLOOKUP($A2208, TAB_JUROS_U[[Q_DIAS_U_PARC_TIR]:[V_FUT_U_JURS CENARIO]], D$5, FALSE)</f>
        <v>#N/A</v>
      </c>
      <c r="E2208" s="22" t="e">
        <f>VLOOKUP($A2208,TAB_CORRECAO_U[[Q_DIAS_U_PARC_TIR]:[V_FUT_U_CORC-02]],E$5, FALSE)</f>
        <v>#N/A</v>
      </c>
      <c r="F2208" s="22" t="e">
        <f>VLOOKUP($A2208,TAB_AMORTIZACAO_U[[Q_DIAS_U_PARC_TIR]:[V_FUT_U_PCPL-02]], F$5, FALSE)</f>
        <v>#N/A</v>
      </c>
      <c r="H2208" s="20">
        <f t="shared" si="177"/>
        <v>0</v>
      </c>
      <c r="I2208" s="21">
        <f t="shared" si="178"/>
        <v>0</v>
      </c>
      <c r="J2208" s="22" t="e">
        <f>VLOOKUP($A2208, TAB_JUROS_C[[DIAS_CORRIDOS]:[V_FUT_UTEIS]], J$5, FALSE)</f>
        <v>#N/A</v>
      </c>
      <c r="K2208" s="22" t="e">
        <f>VLOOKUP($A2208, TAB_CORRECAO_C[[DIAS_CORRIDOS]:[V_FUT_UTEIS]],K$5, FALSE)</f>
        <v>#N/A</v>
      </c>
      <c r="L2208" s="22" t="e">
        <f>VLOOKUP($A2208, TAB_AMORTIZACAO_C[[DIAS_CORRIDOS]:[V_FUT_UTEIS]], L$5, FALSE)</f>
        <v>#N/A</v>
      </c>
    </row>
    <row r="2209" spans="1:12" hidden="1">
      <c r="A2209" s="19">
        <f t="shared" si="179"/>
        <v>2203</v>
      </c>
      <c r="B2209" s="20">
        <f t="shared" si="175"/>
        <v>0</v>
      </c>
      <c r="C2209" s="21">
        <f t="shared" si="176"/>
        <v>0</v>
      </c>
      <c r="D2209" s="22" t="e">
        <f>VLOOKUP($A2209, TAB_JUROS_U[[Q_DIAS_U_PARC_TIR]:[V_FUT_U_JURS CENARIO]], D$5, FALSE)</f>
        <v>#N/A</v>
      </c>
      <c r="E2209" s="22" t="e">
        <f>VLOOKUP($A2209,TAB_CORRECAO_U[[Q_DIAS_U_PARC_TIR]:[V_FUT_U_CORC-02]],E$5, FALSE)</f>
        <v>#N/A</v>
      </c>
      <c r="F2209" s="22" t="e">
        <f>VLOOKUP($A2209,TAB_AMORTIZACAO_U[[Q_DIAS_U_PARC_TIR]:[V_FUT_U_PCPL-02]], F$5, FALSE)</f>
        <v>#N/A</v>
      </c>
      <c r="H2209" s="20">
        <f t="shared" si="177"/>
        <v>0</v>
      </c>
      <c r="I2209" s="21">
        <f t="shared" si="178"/>
        <v>0</v>
      </c>
      <c r="J2209" s="22" t="e">
        <f>VLOOKUP($A2209, TAB_JUROS_C[[DIAS_CORRIDOS]:[V_FUT_UTEIS]], J$5, FALSE)</f>
        <v>#N/A</v>
      </c>
      <c r="K2209" s="22" t="e">
        <f>VLOOKUP($A2209, TAB_CORRECAO_C[[DIAS_CORRIDOS]:[V_FUT_UTEIS]],K$5, FALSE)</f>
        <v>#N/A</v>
      </c>
      <c r="L2209" s="22" t="e">
        <f>VLOOKUP($A2209, TAB_AMORTIZACAO_C[[DIAS_CORRIDOS]:[V_FUT_UTEIS]], L$5, FALSE)</f>
        <v>#N/A</v>
      </c>
    </row>
    <row r="2210" spans="1:12" hidden="1">
      <c r="A2210" s="19">
        <f t="shared" si="179"/>
        <v>2204</v>
      </c>
      <c r="B2210" s="20">
        <f t="shared" si="175"/>
        <v>0</v>
      </c>
      <c r="C2210" s="21">
        <f t="shared" si="176"/>
        <v>0</v>
      </c>
      <c r="D2210" s="22" t="e">
        <f>VLOOKUP($A2210, TAB_JUROS_U[[Q_DIAS_U_PARC_TIR]:[V_FUT_U_JURS CENARIO]], D$5, FALSE)</f>
        <v>#N/A</v>
      </c>
      <c r="E2210" s="22" t="e">
        <f>VLOOKUP($A2210,TAB_CORRECAO_U[[Q_DIAS_U_PARC_TIR]:[V_FUT_U_CORC-02]],E$5, FALSE)</f>
        <v>#N/A</v>
      </c>
      <c r="F2210" s="22" t="e">
        <f>VLOOKUP($A2210,TAB_AMORTIZACAO_U[[Q_DIAS_U_PARC_TIR]:[V_FUT_U_PCPL-02]], F$5, FALSE)</f>
        <v>#N/A</v>
      </c>
      <c r="H2210" s="20">
        <f t="shared" si="177"/>
        <v>0</v>
      </c>
      <c r="I2210" s="21">
        <f t="shared" si="178"/>
        <v>0</v>
      </c>
      <c r="J2210" s="22" t="e">
        <f>VLOOKUP($A2210, TAB_JUROS_C[[DIAS_CORRIDOS]:[V_FUT_UTEIS]], J$5, FALSE)</f>
        <v>#N/A</v>
      </c>
      <c r="K2210" s="22" t="e">
        <f>VLOOKUP($A2210, TAB_CORRECAO_C[[DIAS_CORRIDOS]:[V_FUT_UTEIS]],K$5, FALSE)</f>
        <v>#N/A</v>
      </c>
      <c r="L2210" s="22" t="e">
        <f>VLOOKUP($A2210, TAB_AMORTIZACAO_C[[DIAS_CORRIDOS]:[V_FUT_UTEIS]], L$5, FALSE)</f>
        <v>#N/A</v>
      </c>
    </row>
    <row r="2211" spans="1:12" hidden="1">
      <c r="A2211" s="19">
        <f t="shared" si="179"/>
        <v>2205</v>
      </c>
      <c r="B2211" s="20">
        <f t="shared" si="175"/>
        <v>0</v>
      </c>
      <c r="C2211" s="21">
        <f t="shared" si="176"/>
        <v>0</v>
      </c>
      <c r="D2211" s="22" t="e">
        <f>VLOOKUP($A2211, TAB_JUROS_U[[Q_DIAS_U_PARC_TIR]:[V_FUT_U_JURS CENARIO]], D$5, FALSE)</f>
        <v>#N/A</v>
      </c>
      <c r="E2211" s="22" t="e">
        <f>VLOOKUP($A2211,TAB_CORRECAO_U[[Q_DIAS_U_PARC_TIR]:[V_FUT_U_CORC-02]],E$5, FALSE)</f>
        <v>#N/A</v>
      </c>
      <c r="F2211" s="22" t="e">
        <f>VLOOKUP($A2211,TAB_AMORTIZACAO_U[[Q_DIAS_U_PARC_TIR]:[V_FUT_U_PCPL-02]], F$5, FALSE)</f>
        <v>#N/A</v>
      </c>
      <c r="H2211" s="20">
        <f t="shared" si="177"/>
        <v>543.06098777890975</v>
      </c>
      <c r="I2211" s="21">
        <f t="shared" si="178"/>
        <v>543.06098777890975</v>
      </c>
      <c r="J2211" s="22">
        <f>VLOOKUP($A2211, TAB_JUROS_C[[DIAS_CORRIDOS]:[V_FUT_UTEIS]], J$5, FALSE)</f>
        <v>38.170837986232172</v>
      </c>
      <c r="K2211" s="22">
        <f>VLOOKUP($A2211, TAB_CORRECAO_C[[DIAS_CORRIDOS]:[V_FUT_UTEIS]],K$5, FALSE)</f>
        <v>230.34558964585946</v>
      </c>
      <c r="L2211" s="22">
        <f>VLOOKUP($A2211, TAB_AMORTIZACAO_C[[DIAS_CORRIDOS]:[V_FUT_UTEIS]], L$5, FALSE)</f>
        <v>274.54456014681813</v>
      </c>
    </row>
    <row r="2212" spans="1:12" hidden="1">
      <c r="A2212" s="19">
        <f t="shared" si="179"/>
        <v>2206</v>
      </c>
      <c r="B2212" s="20">
        <f t="shared" si="175"/>
        <v>0</v>
      </c>
      <c r="C2212" s="21">
        <f t="shared" si="176"/>
        <v>0</v>
      </c>
      <c r="D2212" s="22" t="e">
        <f>VLOOKUP($A2212, TAB_JUROS_U[[Q_DIAS_U_PARC_TIR]:[V_FUT_U_JURS CENARIO]], D$5, FALSE)</f>
        <v>#N/A</v>
      </c>
      <c r="E2212" s="22" t="e">
        <f>VLOOKUP($A2212,TAB_CORRECAO_U[[Q_DIAS_U_PARC_TIR]:[V_FUT_U_CORC-02]],E$5, FALSE)</f>
        <v>#N/A</v>
      </c>
      <c r="F2212" s="22" t="e">
        <f>VLOOKUP($A2212,TAB_AMORTIZACAO_U[[Q_DIAS_U_PARC_TIR]:[V_FUT_U_PCPL-02]], F$5, FALSE)</f>
        <v>#N/A</v>
      </c>
      <c r="H2212" s="20">
        <f t="shared" si="177"/>
        <v>0</v>
      </c>
      <c r="I2212" s="21">
        <f t="shared" si="178"/>
        <v>0</v>
      </c>
      <c r="J2212" s="22" t="e">
        <f>VLOOKUP($A2212, TAB_JUROS_C[[DIAS_CORRIDOS]:[V_FUT_UTEIS]], J$5, FALSE)</f>
        <v>#N/A</v>
      </c>
      <c r="K2212" s="22" t="e">
        <f>VLOOKUP($A2212, TAB_CORRECAO_C[[DIAS_CORRIDOS]:[V_FUT_UTEIS]],K$5, FALSE)</f>
        <v>#N/A</v>
      </c>
      <c r="L2212" s="22" t="e">
        <f>VLOOKUP($A2212, TAB_AMORTIZACAO_C[[DIAS_CORRIDOS]:[V_FUT_UTEIS]], L$5, FALSE)</f>
        <v>#N/A</v>
      </c>
    </row>
    <row r="2213" spans="1:12" hidden="1">
      <c r="A2213" s="19">
        <f t="shared" si="179"/>
        <v>2207</v>
      </c>
      <c r="B2213" s="20">
        <f t="shared" si="175"/>
        <v>0</v>
      </c>
      <c r="C2213" s="21">
        <f t="shared" si="176"/>
        <v>0</v>
      </c>
      <c r="D2213" s="22" t="e">
        <f>VLOOKUP($A2213, TAB_JUROS_U[[Q_DIAS_U_PARC_TIR]:[V_FUT_U_JURS CENARIO]], D$5, FALSE)</f>
        <v>#N/A</v>
      </c>
      <c r="E2213" s="22" t="e">
        <f>VLOOKUP($A2213,TAB_CORRECAO_U[[Q_DIAS_U_PARC_TIR]:[V_FUT_U_CORC-02]],E$5, FALSE)</f>
        <v>#N/A</v>
      </c>
      <c r="F2213" s="22" t="e">
        <f>VLOOKUP($A2213,TAB_AMORTIZACAO_U[[Q_DIAS_U_PARC_TIR]:[V_FUT_U_PCPL-02]], F$5, FALSE)</f>
        <v>#N/A</v>
      </c>
      <c r="H2213" s="20">
        <f t="shared" si="177"/>
        <v>0</v>
      </c>
      <c r="I2213" s="21">
        <f t="shared" si="178"/>
        <v>0</v>
      </c>
      <c r="J2213" s="22" t="e">
        <f>VLOOKUP($A2213, TAB_JUROS_C[[DIAS_CORRIDOS]:[V_FUT_UTEIS]], J$5, FALSE)</f>
        <v>#N/A</v>
      </c>
      <c r="K2213" s="22" t="e">
        <f>VLOOKUP($A2213, TAB_CORRECAO_C[[DIAS_CORRIDOS]:[V_FUT_UTEIS]],K$5, FALSE)</f>
        <v>#N/A</v>
      </c>
      <c r="L2213" s="22" t="e">
        <f>VLOOKUP($A2213, TAB_AMORTIZACAO_C[[DIAS_CORRIDOS]:[V_FUT_UTEIS]], L$5, FALSE)</f>
        <v>#N/A</v>
      </c>
    </row>
    <row r="2214" spans="1:12">
      <c r="A2214" s="19">
        <f t="shared" si="179"/>
        <v>2208</v>
      </c>
      <c r="B2214" s="20">
        <f t="shared" si="175"/>
        <v>233.05181863693619</v>
      </c>
      <c r="C2214" s="21">
        <f t="shared" si="176"/>
        <v>233.05181863693619</v>
      </c>
      <c r="D2214" s="22">
        <f>VLOOKUP($A2214, TAB_JUROS_U[[Q_DIAS_U_PARC_TIR]:[V_FUT_U_JURS CENARIO]], D$5, FALSE)</f>
        <v>11.659110415275245</v>
      </c>
      <c r="E2214" s="22">
        <f>VLOOKUP($A2214,TAB_CORRECAO_U[[Q_DIAS_U_PARC_TIR]:[V_FUT_U_CORC-02]],E$5, FALSE)</f>
        <v>71.77343691354389</v>
      </c>
      <c r="F2214" s="22">
        <f>VLOOKUP($A2214,TAB_AMORTIZACAO_U[[Q_DIAS_U_PARC_TIR]:[V_FUT_U_PCPL-02]], F$5, FALSE)</f>
        <v>149.61927130811705</v>
      </c>
      <c r="H2214" s="20">
        <f t="shared" si="177"/>
        <v>0</v>
      </c>
      <c r="I2214" s="21">
        <f t="shared" si="178"/>
        <v>0</v>
      </c>
      <c r="J2214" s="22" t="e">
        <f>VLOOKUP($A2214, TAB_JUROS_C[[DIAS_CORRIDOS]:[V_FUT_UTEIS]], J$5, FALSE)</f>
        <v>#N/A</v>
      </c>
      <c r="K2214" s="22" t="e">
        <f>VLOOKUP($A2214, TAB_CORRECAO_C[[DIAS_CORRIDOS]:[V_FUT_UTEIS]],K$5, FALSE)</f>
        <v>#N/A</v>
      </c>
      <c r="L2214" s="22" t="e">
        <f>VLOOKUP($A2214, TAB_AMORTIZACAO_C[[DIAS_CORRIDOS]:[V_FUT_UTEIS]], L$5, FALSE)</f>
        <v>#N/A</v>
      </c>
    </row>
    <row r="2215" spans="1:12" hidden="1">
      <c r="A2215" s="19">
        <f t="shared" si="179"/>
        <v>2209</v>
      </c>
      <c r="B2215" s="20">
        <f t="shared" si="175"/>
        <v>0</v>
      </c>
      <c r="C2215" s="21">
        <f t="shared" si="176"/>
        <v>0</v>
      </c>
      <c r="D2215" s="22" t="e">
        <f>VLOOKUP($A2215, TAB_JUROS_U[[Q_DIAS_U_PARC_TIR]:[V_FUT_U_JURS CENARIO]], D$5, FALSE)</f>
        <v>#N/A</v>
      </c>
      <c r="E2215" s="22" t="e">
        <f>VLOOKUP($A2215,TAB_CORRECAO_U[[Q_DIAS_U_PARC_TIR]:[V_FUT_U_CORC-02]],E$5, FALSE)</f>
        <v>#N/A</v>
      </c>
      <c r="F2215" s="22" t="e">
        <f>VLOOKUP($A2215,TAB_AMORTIZACAO_U[[Q_DIAS_U_PARC_TIR]:[V_FUT_U_PCPL-02]], F$5, FALSE)</f>
        <v>#N/A</v>
      </c>
      <c r="H2215" s="20">
        <f t="shared" si="177"/>
        <v>0</v>
      </c>
      <c r="I2215" s="21">
        <f t="shared" si="178"/>
        <v>0</v>
      </c>
      <c r="J2215" s="22" t="e">
        <f>VLOOKUP($A2215, TAB_JUROS_C[[DIAS_CORRIDOS]:[V_FUT_UTEIS]], J$5, FALSE)</f>
        <v>#N/A</v>
      </c>
      <c r="K2215" s="22" t="e">
        <f>VLOOKUP($A2215, TAB_CORRECAO_C[[DIAS_CORRIDOS]:[V_FUT_UTEIS]],K$5, FALSE)</f>
        <v>#N/A</v>
      </c>
      <c r="L2215" s="22" t="e">
        <f>VLOOKUP($A2215, TAB_AMORTIZACAO_C[[DIAS_CORRIDOS]:[V_FUT_UTEIS]], L$5, FALSE)</f>
        <v>#N/A</v>
      </c>
    </row>
    <row r="2216" spans="1:12" hidden="1">
      <c r="A2216" s="19">
        <f t="shared" si="179"/>
        <v>2210</v>
      </c>
      <c r="B2216" s="20">
        <f t="shared" si="175"/>
        <v>0</v>
      </c>
      <c r="C2216" s="21">
        <f t="shared" si="176"/>
        <v>0</v>
      </c>
      <c r="D2216" s="22" t="e">
        <f>VLOOKUP($A2216, TAB_JUROS_U[[Q_DIAS_U_PARC_TIR]:[V_FUT_U_JURS CENARIO]], D$5, FALSE)</f>
        <v>#N/A</v>
      </c>
      <c r="E2216" s="22" t="e">
        <f>VLOOKUP($A2216,TAB_CORRECAO_U[[Q_DIAS_U_PARC_TIR]:[V_FUT_U_CORC-02]],E$5, FALSE)</f>
        <v>#N/A</v>
      </c>
      <c r="F2216" s="22" t="e">
        <f>VLOOKUP($A2216,TAB_AMORTIZACAO_U[[Q_DIAS_U_PARC_TIR]:[V_FUT_U_PCPL-02]], F$5, FALSE)</f>
        <v>#N/A</v>
      </c>
      <c r="H2216" s="20">
        <f t="shared" si="177"/>
        <v>0</v>
      </c>
      <c r="I2216" s="21">
        <f t="shared" si="178"/>
        <v>0</v>
      </c>
      <c r="J2216" s="22" t="e">
        <f>VLOOKUP($A2216, TAB_JUROS_C[[DIAS_CORRIDOS]:[V_FUT_UTEIS]], J$5, FALSE)</f>
        <v>#N/A</v>
      </c>
      <c r="K2216" s="22" t="e">
        <f>VLOOKUP($A2216, TAB_CORRECAO_C[[DIAS_CORRIDOS]:[V_FUT_UTEIS]],K$5, FALSE)</f>
        <v>#N/A</v>
      </c>
      <c r="L2216" s="22" t="e">
        <f>VLOOKUP($A2216, TAB_AMORTIZACAO_C[[DIAS_CORRIDOS]:[V_FUT_UTEIS]], L$5, FALSE)</f>
        <v>#N/A</v>
      </c>
    </row>
    <row r="2217" spans="1:12" hidden="1">
      <c r="A2217" s="19">
        <f t="shared" si="179"/>
        <v>2211</v>
      </c>
      <c r="B2217" s="20">
        <f t="shared" si="175"/>
        <v>0</v>
      </c>
      <c r="C2217" s="21">
        <f t="shared" si="176"/>
        <v>0</v>
      </c>
      <c r="D2217" s="22" t="e">
        <f>VLOOKUP($A2217, TAB_JUROS_U[[Q_DIAS_U_PARC_TIR]:[V_FUT_U_JURS CENARIO]], D$5, FALSE)</f>
        <v>#N/A</v>
      </c>
      <c r="E2217" s="22" t="e">
        <f>VLOOKUP($A2217,TAB_CORRECAO_U[[Q_DIAS_U_PARC_TIR]:[V_FUT_U_CORC-02]],E$5, FALSE)</f>
        <v>#N/A</v>
      </c>
      <c r="F2217" s="22" t="e">
        <f>VLOOKUP($A2217,TAB_AMORTIZACAO_U[[Q_DIAS_U_PARC_TIR]:[V_FUT_U_PCPL-02]], F$5, FALSE)</f>
        <v>#N/A</v>
      </c>
      <c r="H2217" s="20">
        <f t="shared" si="177"/>
        <v>0</v>
      </c>
      <c r="I2217" s="21">
        <f t="shared" si="178"/>
        <v>0</v>
      </c>
      <c r="J2217" s="22" t="e">
        <f>VLOOKUP($A2217, TAB_JUROS_C[[DIAS_CORRIDOS]:[V_FUT_UTEIS]], J$5, FALSE)</f>
        <v>#N/A</v>
      </c>
      <c r="K2217" s="22" t="e">
        <f>VLOOKUP($A2217, TAB_CORRECAO_C[[DIAS_CORRIDOS]:[V_FUT_UTEIS]],K$5, FALSE)</f>
        <v>#N/A</v>
      </c>
      <c r="L2217" s="22" t="e">
        <f>VLOOKUP($A2217, TAB_AMORTIZACAO_C[[DIAS_CORRIDOS]:[V_FUT_UTEIS]], L$5, FALSE)</f>
        <v>#N/A</v>
      </c>
    </row>
    <row r="2218" spans="1:12" hidden="1">
      <c r="A2218" s="19">
        <f t="shared" si="179"/>
        <v>2212</v>
      </c>
      <c r="B2218" s="20">
        <f t="shared" si="175"/>
        <v>0</v>
      </c>
      <c r="C2218" s="21">
        <f t="shared" si="176"/>
        <v>0</v>
      </c>
      <c r="D2218" s="22" t="e">
        <f>VLOOKUP($A2218, TAB_JUROS_U[[Q_DIAS_U_PARC_TIR]:[V_FUT_U_JURS CENARIO]], D$5, FALSE)</f>
        <v>#N/A</v>
      </c>
      <c r="E2218" s="22" t="e">
        <f>VLOOKUP($A2218,TAB_CORRECAO_U[[Q_DIAS_U_PARC_TIR]:[V_FUT_U_CORC-02]],E$5, FALSE)</f>
        <v>#N/A</v>
      </c>
      <c r="F2218" s="22" t="e">
        <f>VLOOKUP($A2218,TAB_AMORTIZACAO_U[[Q_DIAS_U_PARC_TIR]:[V_FUT_U_PCPL-02]], F$5, FALSE)</f>
        <v>#N/A</v>
      </c>
      <c r="H2218" s="20">
        <f t="shared" si="177"/>
        <v>0</v>
      </c>
      <c r="I2218" s="21">
        <f t="shared" si="178"/>
        <v>0</v>
      </c>
      <c r="J2218" s="22" t="e">
        <f>VLOOKUP($A2218, TAB_JUROS_C[[DIAS_CORRIDOS]:[V_FUT_UTEIS]], J$5, FALSE)</f>
        <v>#N/A</v>
      </c>
      <c r="K2218" s="22" t="e">
        <f>VLOOKUP($A2218, TAB_CORRECAO_C[[DIAS_CORRIDOS]:[V_FUT_UTEIS]],K$5, FALSE)</f>
        <v>#N/A</v>
      </c>
      <c r="L2218" s="22" t="e">
        <f>VLOOKUP($A2218, TAB_AMORTIZACAO_C[[DIAS_CORRIDOS]:[V_FUT_UTEIS]], L$5, FALSE)</f>
        <v>#N/A</v>
      </c>
    </row>
    <row r="2219" spans="1:12" hidden="1">
      <c r="A2219" s="19">
        <f t="shared" si="179"/>
        <v>2213</v>
      </c>
      <c r="B2219" s="20">
        <f t="shared" si="175"/>
        <v>0</v>
      </c>
      <c r="C2219" s="21">
        <f t="shared" si="176"/>
        <v>0</v>
      </c>
      <c r="D2219" s="22" t="e">
        <f>VLOOKUP($A2219, TAB_JUROS_U[[Q_DIAS_U_PARC_TIR]:[V_FUT_U_JURS CENARIO]], D$5, FALSE)</f>
        <v>#N/A</v>
      </c>
      <c r="E2219" s="22" t="e">
        <f>VLOOKUP($A2219,TAB_CORRECAO_U[[Q_DIAS_U_PARC_TIR]:[V_FUT_U_CORC-02]],E$5, FALSE)</f>
        <v>#N/A</v>
      </c>
      <c r="F2219" s="22" t="e">
        <f>VLOOKUP($A2219,TAB_AMORTIZACAO_U[[Q_DIAS_U_PARC_TIR]:[V_FUT_U_PCPL-02]], F$5, FALSE)</f>
        <v>#N/A</v>
      </c>
      <c r="H2219" s="20">
        <f t="shared" si="177"/>
        <v>0</v>
      </c>
      <c r="I2219" s="21">
        <f t="shared" si="178"/>
        <v>0</v>
      </c>
      <c r="J2219" s="22" t="e">
        <f>VLOOKUP($A2219, TAB_JUROS_C[[DIAS_CORRIDOS]:[V_FUT_UTEIS]], J$5, FALSE)</f>
        <v>#N/A</v>
      </c>
      <c r="K2219" s="22" t="e">
        <f>VLOOKUP($A2219, TAB_CORRECAO_C[[DIAS_CORRIDOS]:[V_FUT_UTEIS]],K$5, FALSE)</f>
        <v>#N/A</v>
      </c>
      <c r="L2219" s="22" t="e">
        <f>VLOOKUP($A2219, TAB_AMORTIZACAO_C[[DIAS_CORRIDOS]:[V_FUT_UTEIS]], L$5, FALSE)</f>
        <v>#N/A</v>
      </c>
    </row>
    <row r="2220" spans="1:12" hidden="1">
      <c r="A2220" s="19">
        <f t="shared" si="179"/>
        <v>2214</v>
      </c>
      <c r="B2220" s="20">
        <f t="shared" si="175"/>
        <v>0</v>
      </c>
      <c r="C2220" s="21">
        <f t="shared" si="176"/>
        <v>0</v>
      </c>
      <c r="D2220" s="22" t="e">
        <f>VLOOKUP($A2220, TAB_JUROS_U[[Q_DIAS_U_PARC_TIR]:[V_FUT_U_JURS CENARIO]], D$5, FALSE)</f>
        <v>#N/A</v>
      </c>
      <c r="E2220" s="22" t="e">
        <f>VLOOKUP($A2220,TAB_CORRECAO_U[[Q_DIAS_U_PARC_TIR]:[V_FUT_U_CORC-02]],E$5, FALSE)</f>
        <v>#N/A</v>
      </c>
      <c r="F2220" s="22" t="e">
        <f>VLOOKUP($A2220,TAB_AMORTIZACAO_U[[Q_DIAS_U_PARC_TIR]:[V_FUT_U_PCPL-02]], F$5, FALSE)</f>
        <v>#N/A</v>
      </c>
      <c r="H2220" s="20">
        <f t="shared" si="177"/>
        <v>0</v>
      </c>
      <c r="I2220" s="21">
        <f t="shared" si="178"/>
        <v>0</v>
      </c>
      <c r="J2220" s="22" t="e">
        <f>VLOOKUP($A2220, TAB_JUROS_C[[DIAS_CORRIDOS]:[V_FUT_UTEIS]], J$5, FALSE)</f>
        <v>#N/A</v>
      </c>
      <c r="K2220" s="22" t="e">
        <f>VLOOKUP($A2220, TAB_CORRECAO_C[[DIAS_CORRIDOS]:[V_FUT_UTEIS]],K$5, FALSE)</f>
        <v>#N/A</v>
      </c>
      <c r="L2220" s="22" t="e">
        <f>VLOOKUP($A2220, TAB_AMORTIZACAO_C[[DIAS_CORRIDOS]:[V_FUT_UTEIS]], L$5, FALSE)</f>
        <v>#N/A</v>
      </c>
    </row>
    <row r="2221" spans="1:12" hidden="1">
      <c r="A2221" s="19">
        <f t="shared" si="179"/>
        <v>2215</v>
      </c>
      <c r="B2221" s="20">
        <f t="shared" si="175"/>
        <v>0</v>
      </c>
      <c r="C2221" s="21">
        <f t="shared" si="176"/>
        <v>0</v>
      </c>
      <c r="D2221" s="22" t="e">
        <f>VLOOKUP($A2221, TAB_JUROS_U[[Q_DIAS_U_PARC_TIR]:[V_FUT_U_JURS CENARIO]], D$5, FALSE)</f>
        <v>#N/A</v>
      </c>
      <c r="E2221" s="22" t="e">
        <f>VLOOKUP($A2221,TAB_CORRECAO_U[[Q_DIAS_U_PARC_TIR]:[V_FUT_U_CORC-02]],E$5, FALSE)</f>
        <v>#N/A</v>
      </c>
      <c r="F2221" s="22" t="e">
        <f>VLOOKUP($A2221,TAB_AMORTIZACAO_U[[Q_DIAS_U_PARC_TIR]:[V_FUT_U_PCPL-02]], F$5, FALSE)</f>
        <v>#N/A</v>
      </c>
      <c r="H2221" s="20">
        <f t="shared" si="177"/>
        <v>0</v>
      </c>
      <c r="I2221" s="21">
        <f t="shared" si="178"/>
        <v>0</v>
      </c>
      <c r="J2221" s="22" t="e">
        <f>VLOOKUP($A2221, TAB_JUROS_C[[DIAS_CORRIDOS]:[V_FUT_UTEIS]], J$5, FALSE)</f>
        <v>#N/A</v>
      </c>
      <c r="K2221" s="22" t="e">
        <f>VLOOKUP($A2221, TAB_CORRECAO_C[[DIAS_CORRIDOS]:[V_FUT_UTEIS]],K$5, FALSE)</f>
        <v>#N/A</v>
      </c>
      <c r="L2221" s="22" t="e">
        <f>VLOOKUP($A2221, TAB_AMORTIZACAO_C[[DIAS_CORRIDOS]:[V_FUT_UTEIS]], L$5, FALSE)</f>
        <v>#N/A</v>
      </c>
    </row>
    <row r="2222" spans="1:12" hidden="1">
      <c r="A2222" s="19">
        <f t="shared" si="179"/>
        <v>2216</v>
      </c>
      <c r="B2222" s="20">
        <f t="shared" si="175"/>
        <v>0</v>
      </c>
      <c r="C2222" s="21">
        <f t="shared" si="176"/>
        <v>0</v>
      </c>
      <c r="D2222" s="22" t="e">
        <f>VLOOKUP($A2222, TAB_JUROS_U[[Q_DIAS_U_PARC_TIR]:[V_FUT_U_JURS CENARIO]], D$5, FALSE)</f>
        <v>#N/A</v>
      </c>
      <c r="E2222" s="22" t="e">
        <f>VLOOKUP($A2222,TAB_CORRECAO_U[[Q_DIAS_U_PARC_TIR]:[V_FUT_U_CORC-02]],E$5, FALSE)</f>
        <v>#N/A</v>
      </c>
      <c r="F2222" s="22" t="e">
        <f>VLOOKUP($A2222,TAB_AMORTIZACAO_U[[Q_DIAS_U_PARC_TIR]:[V_FUT_U_PCPL-02]], F$5, FALSE)</f>
        <v>#N/A</v>
      </c>
      <c r="H2222" s="20">
        <f t="shared" si="177"/>
        <v>0</v>
      </c>
      <c r="I2222" s="21">
        <f t="shared" si="178"/>
        <v>0</v>
      </c>
      <c r="J2222" s="22" t="e">
        <f>VLOOKUP($A2222, TAB_JUROS_C[[DIAS_CORRIDOS]:[V_FUT_UTEIS]], J$5, FALSE)</f>
        <v>#N/A</v>
      </c>
      <c r="K2222" s="22" t="e">
        <f>VLOOKUP($A2222, TAB_CORRECAO_C[[DIAS_CORRIDOS]:[V_FUT_UTEIS]],K$5, FALSE)</f>
        <v>#N/A</v>
      </c>
      <c r="L2222" s="22" t="e">
        <f>VLOOKUP($A2222, TAB_AMORTIZACAO_C[[DIAS_CORRIDOS]:[V_FUT_UTEIS]], L$5, FALSE)</f>
        <v>#N/A</v>
      </c>
    </row>
    <row r="2223" spans="1:12" hidden="1">
      <c r="A2223" s="19">
        <f t="shared" si="179"/>
        <v>2217</v>
      </c>
      <c r="B2223" s="20">
        <f t="shared" si="175"/>
        <v>0</v>
      </c>
      <c r="C2223" s="21">
        <f t="shared" si="176"/>
        <v>0</v>
      </c>
      <c r="D2223" s="22" t="e">
        <f>VLOOKUP($A2223, TAB_JUROS_U[[Q_DIAS_U_PARC_TIR]:[V_FUT_U_JURS CENARIO]], D$5, FALSE)</f>
        <v>#N/A</v>
      </c>
      <c r="E2223" s="22" t="e">
        <f>VLOOKUP($A2223,TAB_CORRECAO_U[[Q_DIAS_U_PARC_TIR]:[V_FUT_U_CORC-02]],E$5, FALSE)</f>
        <v>#N/A</v>
      </c>
      <c r="F2223" s="22" t="e">
        <f>VLOOKUP($A2223,TAB_AMORTIZACAO_U[[Q_DIAS_U_PARC_TIR]:[V_FUT_U_PCPL-02]], F$5, FALSE)</f>
        <v>#N/A</v>
      </c>
      <c r="H2223" s="20">
        <f t="shared" si="177"/>
        <v>0</v>
      </c>
      <c r="I2223" s="21">
        <f t="shared" si="178"/>
        <v>0</v>
      </c>
      <c r="J2223" s="22" t="e">
        <f>VLOOKUP($A2223, TAB_JUROS_C[[DIAS_CORRIDOS]:[V_FUT_UTEIS]], J$5, FALSE)</f>
        <v>#N/A</v>
      </c>
      <c r="K2223" s="22" t="e">
        <f>VLOOKUP($A2223, TAB_CORRECAO_C[[DIAS_CORRIDOS]:[V_FUT_UTEIS]],K$5, FALSE)</f>
        <v>#N/A</v>
      </c>
      <c r="L2223" s="22" t="e">
        <f>VLOOKUP($A2223, TAB_AMORTIZACAO_C[[DIAS_CORRIDOS]:[V_FUT_UTEIS]], L$5, FALSE)</f>
        <v>#N/A</v>
      </c>
    </row>
    <row r="2224" spans="1:12" hidden="1">
      <c r="A2224" s="19">
        <f t="shared" si="179"/>
        <v>2218</v>
      </c>
      <c r="B2224" s="20">
        <f t="shared" si="175"/>
        <v>0</v>
      </c>
      <c r="C2224" s="21">
        <f t="shared" si="176"/>
        <v>0</v>
      </c>
      <c r="D2224" s="22" t="e">
        <f>VLOOKUP($A2224, TAB_JUROS_U[[Q_DIAS_U_PARC_TIR]:[V_FUT_U_JURS CENARIO]], D$5, FALSE)</f>
        <v>#N/A</v>
      </c>
      <c r="E2224" s="22" t="e">
        <f>VLOOKUP($A2224,TAB_CORRECAO_U[[Q_DIAS_U_PARC_TIR]:[V_FUT_U_CORC-02]],E$5, FALSE)</f>
        <v>#N/A</v>
      </c>
      <c r="F2224" s="22" t="e">
        <f>VLOOKUP($A2224,TAB_AMORTIZACAO_U[[Q_DIAS_U_PARC_TIR]:[V_FUT_U_PCPL-02]], F$5, FALSE)</f>
        <v>#N/A</v>
      </c>
      <c r="H2224" s="20">
        <f t="shared" si="177"/>
        <v>0</v>
      </c>
      <c r="I2224" s="21">
        <f t="shared" si="178"/>
        <v>0</v>
      </c>
      <c r="J2224" s="22" t="e">
        <f>VLOOKUP($A2224, TAB_JUROS_C[[DIAS_CORRIDOS]:[V_FUT_UTEIS]], J$5, FALSE)</f>
        <v>#N/A</v>
      </c>
      <c r="K2224" s="22" t="e">
        <f>VLOOKUP($A2224, TAB_CORRECAO_C[[DIAS_CORRIDOS]:[V_FUT_UTEIS]],K$5, FALSE)</f>
        <v>#N/A</v>
      </c>
      <c r="L2224" s="22" t="e">
        <f>VLOOKUP($A2224, TAB_AMORTIZACAO_C[[DIAS_CORRIDOS]:[V_FUT_UTEIS]], L$5, FALSE)</f>
        <v>#N/A</v>
      </c>
    </row>
    <row r="2225" spans="1:12" hidden="1">
      <c r="A2225" s="19">
        <f t="shared" si="179"/>
        <v>2219</v>
      </c>
      <c r="B2225" s="20">
        <f t="shared" si="175"/>
        <v>0</v>
      </c>
      <c r="C2225" s="21">
        <f t="shared" si="176"/>
        <v>0</v>
      </c>
      <c r="D2225" s="22" t="e">
        <f>VLOOKUP($A2225, TAB_JUROS_U[[Q_DIAS_U_PARC_TIR]:[V_FUT_U_JURS CENARIO]], D$5, FALSE)</f>
        <v>#N/A</v>
      </c>
      <c r="E2225" s="22" t="e">
        <f>VLOOKUP($A2225,TAB_CORRECAO_U[[Q_DIAS_U_PARC_TIR]:[V_FUT_U_CORC-02]],E$5, FALSE)</f>
        <v>#N/A</v>
      </c>
      <c r="F2225" s="22" t="e">
        <f>VLOOKUP($A2225,TAB_AMORTIZACAO_U[[Q_DIAS_U_PARC_TIR]:[V_FUT_U_PCPL-02]], F$5, FALSE)</f>
        <v>#N/A</v>
      </c>
      <c r="H2225" s="20">
        <f t="shared" si="177"/>
        <v>0</v>
      </c>
      <c r="I2225" s="21">
        <f t="shared" si="178"/>
        <v>0</v>
      </c>
      <c r="J2225" s="22" t="e">
        <f>VLOOKUP($A2225, TAB_JUROS_C[[DIAS_CORRIDOS]:[V_FUT_UTEIS]], J$5, FALSE)</f>
        <v>#N/A</v>
      </c>
      <c r="K2225" s="22" t="e">
        <f>VLOOKUP($A2225, TAB_CORRECAO_C[[DIAS_CORRIDOS]:[V_FUT_UTEIS]],K$5, FALSE)</f>
        <v>#N/A</v>
      </c>
      <c r="L2225" s="22" t="e">
        <f>VLOOKUP($A2225, TAB_AMORTIZACAO_C[[DIAS_CORRIDOS]:[V_FUT_UTEIS]], L$5, FALSE)</f>
        <v>#N/A</v>
      </c>
    </row>
    <row r="2226" spans="1:12" hidden="1">
      <c r="A2226" s="19">
        <f t="shared" si="179"/>
        <v>2220</v>
      </c>
      <c r="B2226" s="20">
        <f t="shared" si="175"/>
        <v>0</v>
      </c>
      <c r="C2226" s="21">
        <f t="shared" si="176"/>
        <v>0</v>
      </c>
      <c r="D2226" s="22" t="e">
        <f>VLOOKUP($A2226, TAB_JUROS_U[[Q_DIAS_U_PARC_TIR]:[V_FUT_U_JURS CENARIO]], D$5, FALSE)</f>
        <v>#N/A</v>
      </c>
      <c r="E2226" s="22" t="e">
        <f>VLOOKUP($A2226,TAB_CORRECAO_U[[Q_DIAS_U_PARC_TIR]:[V_FUT_U_CORC-02]],E$5, FALSE)</f>
        <v>#N/A</v>
      </c>
      <c r="F2226" s="22" t="e">
        <f>VLOOKUP($A2226,TAB_AMORTIZACAO_U[[Q_DIAS_U_PARC_TIR]:[V_FUT_U_PCPL-02]], F$5, FALSE)</f>
        <v>#N/A</v>
      </c>
      <c r="H2226" s="20">
        <f t="shared" si="177"/>
        <v>0</v>
      </c>
      <c r="I2226" s="21">
        <f t="shared" si="178"/>
        <v>0</v>
      </c>
      <c r="J2226" s="22" t="e">
        <f>VLOOKUP($A2226, TAB_JUROS_C[[DIAS_CORRIDOS]:[V_FUT_UTEIS]], J$5, FALSE)</f>
        <v>#N/A</v>
      </c>
      <c r="K2226" s="22" t="e">
        <f>VLOOKUP($A2226, TAB_CORRECAO_C[[DIAS_CORRIDOS]:[V_FUT_UTEIS]],K$5, FALSE)</f>
        <v>#N/A</v>
      </c>
      <c r="L2226" s="22" t="e">
        <f>VLOOKUP($A2226, TAB_AMORTIZACAO_C[[DIAS_CORRIDOS]:[V_FUT_UTEIS]], L$5, FALSE)</f>
        <v>#N/A</v>
      </c>
    </row>
    <row r="2227" spans="1:12" hidden="1">
      <c r="A2227" s="19">
        <f t="shared" si="179"/>
        <v>2221</v>
      </c>
      <c r="B2227" s="20">
        <f t="shared" si="175"/>
        <v>0</v>
      </c>
      <c r="C2227" s="21">
        <f t="shared" si="176"/>
        <v>0</v>
      </c>
      <c r="D2227" s="22" t="e">
        <f>VLOOKUP($A2227, TAB_JUROS_U[[Q_DIAS_U_PARC_TIR]:[V_FUT_U_JURS CENARIO]], D$5, FALSE)</f>
        <v>#N/A</v>
      </c>
      <c r="E2227" s="22" t="e">
        <f>VLOOKUP($A2227,TAB_CORRECAO_U[[Q_DIAS_U_PARC_TIR]:[V_FUT_U_CORC-02]],E$5, FALSE)</f>
        <v>#N/A</v>
      </c>
      <c r="F2227" s="22" t="e">
        <f>VLOOKUP($A2227,TAB_AMORTIZACAO_U[[Q_DIAS_U_PARC_TIR]:[V_FUT_U_PCPL-02]], F$5, FALSE)</f>
        <v>#N/A</v>
      </c>
      <c r="H2227" s="20">
        <f t="shared" si="177"/>
        <v>0</v>
      </c>
      <c r="I2227" s="21">
        <f t="shared" si="178"/>
        <v>0</v>
      </c>
      <c r="J2227" s="22" t="e">
        <f>VLOOKUP($A2227, TAB_JUROS_C[[DIAS_CORRIDOS]:[V_FUT_UTEIS]], J$5, FALSE)</f>
        <v>#N/A</v>
      </c>
      <c r="K2227" s="22" t="e">
        <f>VLOOKUP($A2227, TAB_CORRECAO_C[[DIAS_CORRIDOS]:[V_FUT_UTEIS]],K$5, FALSE)</f>
        <v>#N/A</v>
      </c>
      <c r="L2227" s="22" t="e">
        <f>VLOOKUP($A2227, TAB_AMORTIZACAO_C[[DIAS_CORRIDOS]:[V_FUT_UTEIS]], L$5, FALSE)</f>
        <v>#N/A</v>
      </c>
    </row>
    <row r="2228" spans="1:12" hidden="1">
      <c r="A2228" s="19">
        <f t="shared" si="179"/>
        <v>2222</v>
      </c>
      <c r="B2228" s="20">
        <f t="shared" si="175"/>
        <v>0</v>
      </c>
      <c r="C2228" s="21">
        <f t="shared" si="176"/>
        <v>0</v>
      </c>
      <c r="D2228" s="22" t="e">
        <f>VLOOKUP($A2228, TAB_JUROS_U[[Q_DIAS_U_PARC_TIR]:[V_FUT_U_JURS CENARIO]], D$5, FALSE)</f>
        <v>#N/A</v>
      </c>
      <c r="E2228" s="22" t="e">
        <f>VLOOKUP($A2228,TAB_CORRECAO_U[[Q_DIAS_U_PARC_TIR]:[V_FUT_U_CORC-02]],E$5, FALSE)</f>
        <v>#N/A</v>
      </c>
      <c r="F2228" s="22" t="e">
        <f>VLOOKUP($A2228,TAB_AMORTIZACAO_U[[Q_DIAS_U_PARC_TIR]:[V_FUT_U_PCPL-02]], F$5, FALSE)</f>
        <v>#N/A</v>
      </c>
      <c r="H2228" s="20">
        <f t="shared" si="177"/>
        <v>0</v>
      </c>
      <c r="I2228" s="21">
        <f t="shared" si="178"/>
        <v>0</v>
      </c>
      <c r="J2228" s="22" t="e">
        <f>VLOOKUP($A2228, TAB_JUROS_C[[DIAS_CORRIDOS]:[V_FUT_UTEIS]], J$5, FALSE)</f>
        <v>#N/A</v>
      </c>
      <c r="K2228" s="22" t="e">
        <f>VLOOKUP($A2228, TAB_CORRECAO_C[[DIAS_CORRIDOS]:[V_FUT_UTEIS]],K$5, FALSE)</f>
        <v>#N/A</v>
      </c>
      <c r="L2228" s="22" t="e">
        <f>VLOOKUP($A2228, TAB_AMORTIZACAO_C[[DIAS_CORRIDOS]:[V_FUT_UTEIS]], L$5, FALSE)</f>
        <v>#N/A</v>
      </c>
    </row>
    <row r="2229" spans="1:12" hidden="1">
      <c r="A2229" s="19">
        <f t="shared" si="179"/>
        <v>2223</v>
      </c>
      <c r="B2229" s="20">
        <f t="shared" si="175"/>
        <v>0</v>
      </c>
      <c r="C2229" s="21">
        <f t="shared" si="176"/>
        <v>0</v>
      </c>
      <c r="D2229" s="22" t="e">
        <f>VLOOKUP($A2229, TAB_JUROS_U[[Q_DIAS_U_PARC_TIR]:[V_FUT_U_JURS CENARIO]], D$5, FALSE)</f>
        <v>#N/A</v>
      </c>
      <c r="E2229" s="22" t="e">
        <f>VLOOKUP($A2229,TAB_CORRECAO_U[[Q_DIAS_U_PARC_TIR]:[V_FUT_U_CORC-02]],E$5, FALSE)</f>
        <v>#N/A</v>
      </c>
      <c r="F2229" s="22" t="e">
        <f>VLOOKUP($A2229,TAB_AMORTIZACAO_U[[Q_DIAS_U_PARC_TIR]:[V_FUT_U_PCPL-02]], F$5, FALSE)</f>
        <v>#N/A</v>
      </c>
      <c r="H2229" s="20">
        <f t="shared" si="177"/>
        <v>0</v>
      </c>
      <c r="I2229" s="21">
        <f t="shared" si="178"/>
        <v>0</v>
      </c>
      <c r="J2229" s="22" t="e">
        <f>VLOOKUP($A2229, TAB_JUROS_C[[DIAS_CORRIDOS]:[V_FUT_UTEIS]], J$5, FALSE)</f>
        <v>#N/A</v>
      </c>
      <c r="K2229" s="22" t="e">
        <f>VLOOKUP($A2229, TAB_CORRECAO_C[[DIAS_CORRIDOS]:[V_FUT_UTEIS]],K$5, FALSE)</f>
        <v>#N/A</v>
      </c>
      <c r="L2229" s="22" t="e">
        <f>VLOOKUP($A2229, TAB_AMORTIZACAO_C[[DIAS_CORRIDOS]:[V_FUT_UTEIS]], L$5, FALSE)</f>
        <v>#N/A</v>
      </c>
    </row>
    <row r="2230" spans="1:12" hidden="1">
      <c r="A2230" s="19">
        <f t="shared" si="179"/>
        <v>2224</v>
      </c>
      <c r="B2230" s="20">
        <f t="shared" si="175"/>
        <v>0</v>
      </c>
      <c r="C2230" s="21">
        <f t="shared" si="176"/>
        <v>0</v>
      </c>
      <c r="D2230" s="22" t="e">
        <f>VLOOKUP($A2230, TAB_JUROS_U[[Q_DIAS_U_PARC_TIR]:[V_FUT_U_JURS CENARIO]], D$5, FALSE)</f>
        <v>#N/A</v>
      </c>
      <c r="E2230" s="22" t="e">
        <f>VLOOKUP($A2230,TAB_CORRECAO_U[[Q_DIAS_U_PARC_TIR]:[V_FUT_U_CORC-02]],E$5, FALSE)</f>
        <v>#N/A</v>
      </c>
      <c r="F2230" s="22" t="e">
        <f>VLOOKUP($A2230,TAB_AMORTIZACAO_U[[Q_DIAS_U_PARC_TIR]:[V_FUT_U_PCPL-02]], F$5, FALSE)</f>
        <v>#N/A</v>
      </c>
      <c r="H2230" s="20">
        <f t="shared" si="177"/>
        <v>0</v>
      </c>
      <c r="I2230" s="21">
        <f t="shared" si="178"/>
        <v>0</v>
      </c>
      <c r="J2230" s="22" t="e">
        <f>VLOOKUP($A2230, TAB_JUROS_C[[DIAS_CORRIDOS]:[V_FUT_UTEIS]], J$5, FALSE)</f>
        <v>#N/A</v>
      </c>
      <c r="K2230" s="22" t="e">
        <f>VLOOKUP($A2230, TAB_CORRECAO_C[[DIAS_CORRIDOS]:[V_FUT_UTEIS]],K$5, FALSE)</f>
        <v>#N/A</v>
      </c>
      <c r="L2230" s="22" t="e">
        <f>VLOOKUP($A2230, TAB_AMORTIZACAO_C[[DIAS_CORRIDOS]:[V_FUT_UTEIS]], L$5, FALSE)</f>
        <v>#N/A</v>
      </c>
    </row>
    <row r="2231" spans="1:12" hidden="1">
      <c r="A2231" s="19">
        <f t="shared" si="179"/>
        <v>2225</v>
      </c>
      <c r="B2231" s="20">
        <f t="shared" si="175"/>
        <v>0</v>
      </c>
      <c r="C2231" s="21">
        <f t="shared" si="176"/>
        <v>0</v>
      </c>
      <c r="D2231" s="22" t="e">
        <f>VLOOKUP($A2231, TAB_JUROS_U[[Q_DIAS_U_PARC_TIR]:[V_FUT_U_JURS CENARIO]], D$5, FALSE)</f>
        <v>#N/A</v>
      </c>
      <c r="E2231" s="22" t="e">
        <f>VLOOKUP($A2231,TAB_CORRECAO_U[[Q_DIAS_U_PARC_TIR]:[V_FUT_U_CORC-02]],E$5, FALSE)</f>
        <v>#N/A</v>
      </c>
      <c r="F2231" s="22" t="e">
        <f>VLOOKUP($A2231,TAB_AMORTIZACAO_U[[Q_DIAS_U_PARC_TIR]:[V_FUT_U_PCPL-02]], F$5, FALSE)</f>
        <v>#N/A</v>
      </c>
      <c r="H2231" s="20">
        <f t="shared" si="177"/>
        <v>0</v>
      </c>
      <c r="I2231" s="21">
        <f t="shared" si="178"/>
        <v>0</v>
      </c>
      <c r="J2231" s="22" t="e">
        <f>VLOOKUP($A2231, TAB_JUROS_C[[DIAS_CORRIDOS]:[V_FUT_UTEIS]], J$5, FALSE)</f>
        <v>#N/A</v>
      </c>
      <c r="K2231" s="22" t="e">
        <f>VLOOKUP($A2231, TAB_CORRECAO_C[[DIAS_CORRIDOS]:[V_FUT_UTEIS]],K$5, FALSE)</f>
        <v>#N/A</v>
      </c>
      <c r="L2231" s="22" t="e">
        <f>VLOOKUP($A2231, TAB_AMORTIZACAO_C[[DIAS_CORRIDOS]:[V_FUT_UTEIS]], L$5, FALSE)</f>
        <v>#N/A</v>
      </c>
    </row>
    <row r="2232" spans="1:12" hidden="1">
      <c r="A2232" s="19">
        <f t="shared" si="179"/>
        <v>2226</v>
      </c>
      <c r="B2232" s="20">
        <f t="shared" si="175"/>
        <v>0</v>
      </c>
      <c r="C2232" s="21">
        <f t="shared" si="176"/>
        <v>0</v>
      </c>
      <c r="D2232" s="22" t="e">
        <f>VLOOKUP($A2232, TAB_JUROS_U[[Q_DIAS_U_PARC_TIR]:[V_FUT_U_JURS CENARIO]], D$5, FALSE)</f>
        <v>#N/A</v>
      </c>
      <c r="E2232" s="22" t="e">
        <f>VLOOKUP($A2232,TAB_CORRECAO_U[[Q_DIAS_U_PARC_TIR]:[V_FUT_U_CORC-02]],E$5, FALSE)</f>
        <v>#N/A</v>
      </c>
      <c r="F2232" s="22" t="e">
        <f>VLOOKUP($A2232,TAB_AMORTIZACAO_U[[Q_DIAS_U_PARC_TIR]:[V_FUT_U_PCPL-02]], F$5, FALSE)</f>
        <v>#N/A</v>
      </c>
      <c r="H2232" s="20">
        <f t="shared" si="177"/>
        <v>0</v>
      </c>
      <c r="I2232" s="21">
        <f t="shared" si="178"/>
        <v>0</v>
      </c>
      <c r="J2232" s="22" t="e">
        <f>VLOOKUP($A2232, TAB_JUROS_C[[DIAS_CORRIDOS]:[V_FUT_UTEIS]], J$5, FALSE)</f>
        <v>#N/A</v>
      </c>
      <c r="K2232" s="22" t="e">
        <f>VLOOKUP($A2232, TAB_CORRECAO_C[[DIAS_CORRIDOS]:[V_FUT_UTEIS]],K$5, FALSE)</f>
        <v>#N/A</v>
      </c>
      <c r="L2232" s="22" t="e">
        <f>VLOOKUP($A2232, TAB_AMORTIZACAO_C[[DIAS_CORRIDOS]:[V_FUT_UTEIS]], L$5, FALSE)</f>
        <v>#N/A</v>
      </c>
    </row>
    <row r="2233" spans="1:12" hidden="1">
      <c r="A2233" s="19">
        <f t="shared" si="179"/>
        <v>2227</v>
      </c>
      <c r="B2233" s="20">
        <f t="shared" si="175"/>
        <v>0</v>
      </c>
      <c r="C2233" s="21">
        <f t="shared" si="176"/>
        <v>0</v>
      </c>
      <c r="D2233" s="22" t="e">
        <f>VLOOKUP($A2233, TAB_JUROS_U[[Q_DIAS_U_PARC_TIR]:[V_FUT_U_JURS CENARIO]], D$5, FALSE)</f>
        <v>#N/A</v>
      </c>
      <c r="E2233" s="22" t="e">
        <f>VLOOKUP($A2233,TAB_CORRECAO_U[[Q_DIAS_U_PARC_TIR]:[V_FUT_U_CORC-02]],E$5, FALSE)</f>
        <v>#N/A</v>
      </c>
      <c r="F2233" s="22" t="e">
        <f>VLOOKUP($A2233,TAB_AMORTIZACAO_U[[Q_DIAS_U_PARC_TIR]:[V_FUT_U_PCPL-02]], F$5, FALSE)</f>
        <v>#N/A</v>
      </c>
      <c r="H2233" s="20">
        <f t="shared" si="177"/>
        <v>0</v>
      </c>
      <c r="I2233" s="21">
        <f t="shared" si="178"/>
        <v>0</v>
      </c>
      <c r="J2233" s="22" t="e">
        <f>VLOOKUP($A2233, TAB_JUROS_C[[DIAS_CORRIDOS]:[V_FUT_UTEIS]], J$5, FALSE)</f>
        <v>#N/A</v>
      </c>
      <c r="K2233" s="22" t="e">
        <f>VLOOKUP($A2233, TAB_CORRECAO_C[[DIAS_CORRIDOS]:[V_FUT_UTEIS]],K$5, FALSE)</f>
        <v>#N/A</v>
      </c>
      <c r="L2233" s="22" t="e">
        <f>VLOOKUP($A2233, TAB_AMORTIZACAO_C[[DIAS_CORRIDOS]:[V_FUT_UTEIS]], L$5, FALSE)</f>
        <v>#N/A</v>
      </c>
    </row>
    <row r="2234" spans="1:12" hidden="1">
      <c r="A2234" s="19">
        <f t="shared" si="179"/>
        <v>2228</v>
      </c>
      <c r="B2234" s="20">
        <f t="shared" si="175"/>
        <v>0</v>
      </c>
      <c r="C2234" s="21">
        <f t="shared" si="176"/>
        <v>0</v>
      </c>
      <c r="D2234" s="22" t="e">
        <f>VLOOKUP($A2234, TAB_JUROS_U[[Q_DIAS_U_PARC_TIR]:[V_FUT_U_JURS CENARIO]], D$5, FALSE)</f>
        <v>#N/A</v>
      </c>
      <c r="E2234" s="22" t="e">
        <f>VLOOKUP($A2234,TAB_CORRECAO_U[[Q_DIAS_U_PARC_TIR]:[V_FUT_U_CORC-02]],E$5, FALSE)</f>
        <v>#N/A</v>
      </c>
      <c r="F2234" s="22" t="e">
        <f>VLOOKUP($A2234,TAB_AMORTIZACAO_U[[Q_DIAS_U_PARC_TIR]:[V_FUT_U_PCPL-02]], F$5, FALSE)</f>
        <v>#N/A</v>
      </c>
      <c r="H2234" s="20">
        <f t="shared" si="177"/>
        <v>0</v>
      </c>
      <c r="I2234" s="21">
        <f t="shared" si="178"/>
        <v>0</v>
      </c>
      <c r="J2234" s="22" t="e">
        <f>VLOOKUP($A2234, TAB_JUROS_C[[DIAS_CORRIDOS]:[V_FUT_UTEIS]], J$5, FALSE)</f>
        <v>#N/A</v>
      </c>
      <c r="K2234" s="22" t="e">
        <f>VLOOKUP($A2234, TAB_CORRECAO_C[[DIAS_CORRIDOS]:[V_FUT_UTEIS]],K$5, FALSE)</f>
        <v>#N/A</v>
      </c>
      <c r="L2234" s="22" t="e">
        <f>VLOOKUP($A2234, TAB_AMORTIZACAO_C[[DIAS_CORRIDOS]:[V_FUT_UTEIS]], L$5, FALSE)</f>
        <v>#N/A</v>
      </c>
    </row>
    <row r="2235" spans="1:12" hidden="1">
      <c r="A2235" s="19">
        <f t="shared" si="179"/>
        <v>2229</v>
      </c>
      <c r="B2235" s="20">
        <f t="shared" si="175"/>
        <v>0</v>
      </c>
      <c r="C2235" s="21">
        <f t="shared" si="176"/>
        <v>0</v>
      </c>
      <c r="D2235" s="22" t="e">
        <f>VLOOKUP($A2235, TAB_JUROS_U[[Q_DIAS_U_PARC_TIR]:[V_FUT_U_JURS CENARIO]], D$5, FALSE)</f>
        <v>#N/A</v>
      </c>
      <c r="E2235" s="22" t="e">
        <f>VLOOKUP($A2235,TAB_CORRECAO_U[[Q_DIAS_U_PARC_TIR]:[V_FUT_U_CORC-02]],E$5, FALSE)</f>
        <v>#N/A</v>
      </c>
      <c r="F2235" s="22" t="e">
        <f>VLOOKUP($A2235,TAB_AMORTIZACAO_U[[Q_DIAS_U_PARC_TIR]:[V_FUT_U_PCPL-02]], F$5, FALSE)</f>
        <v>#N/A</v>
      </c>
      <c r="H2235" s="20">
        <f t="shared" si="177"/>
        <v>0</v>
      </c>
      <c r="I2235" s="21">
        <f t="shared" si="178"/>
        <v>0</v>
      </c>
      <c r="J2235" s="22" t="e">
        <f>VLOOKUP($A2235, TAB_JUROS_C[[DIAS_CORRIDOS]:[V_FUT_UTEIS]], J$5, FALSE)</f>
        <v>#N/A</v>
      </c>
      <c r="K2235" s="22" t="e">
        <f>VLOOKUP($A2235, TAB_CORRECAO_C[[DIAS_CORRIDOS]:[V_FUT_UTEIS]],K$5, FALSE)</f>
        <v>#N/A</v>
      </c>
      <c r="L2235" s="22" t="e">
        <f>VLOOKUP($A2235, TAB_AMORTIZACAO_C[[DIAS_CORRIDOS]:[V_FUT_UTEIS]], L$5, FALSE)</f>
        <v>#N/A</v>
      </c>
    </row>
    <row r="2236" spans="1:12" hidden="1">
      <c r="A2236" s="19">
        <f t="shared" si="179"/>
        <v>2230</v>
      </c>
      <c r="B2236" s="20">
        <f t="shared" si="175"/>
        <v>0</v>
      </c>
      <c r="C2236" s="21">
        <f t="shared" si="176"/>
        <v>0</v>
      </c>
      <c r="D2236" s="22" t="e">
        <f>VLOOKUP($A2236, TAB_JUROS_U[[Q_DIAS_U_PARC_TIR]:[V_FUT_U_JURS CENARIO]], D$5, FALSE)</f>
        <v>#N/A</v>
      </c>
      <c r="E2236" s="22" t="e">
        <f>VLOOKUP($A2236,TAB_CORRECAO_U[[Q_DIAS_U_PARC_TIR]:[V_FUT_U_CORC-02]],E$5, FALSE)</f>
        <v>#N/A</v>
      </c>
      <c r="F2236" s="22" t="e">
        <f>VLOOKUP($A2236,TAB_AMORTIZACAO_U[[Q_DIAS_U_PARC_TIR]:[V_FUT_U_PCPL-02]], F$5, FALSE)</f>
        <v>#N/A</v>
      </c>
      <c r="H2236" s="20">
        <f t="shared" si="177"/>
        <v>0</v>
      </c>
      <c r="I2236" s="21">
        <f t="shared" si="178"/>
        <v>0</v>
      </c>
      <c r="J2236" s="22" t="e">
        <f>VLOOKUP($A2236, TAB_JUROS_C[[DIAS_CORRIDOS]:[V_FUT_UTEIS]], J$5, FALSE)</f>
        <v>#N/A</v>
      </c>
      <c r="K2236" s="22" t="e">
        <f>VLOOKUP($A2236, TAB_CORRECAO_C[[DIAS_CORRIDOS]:[V_FUT_UTEIS]],K$5, FALSE)</f>
        <v>#N/A</v>
      </c>
      <c r="L2236" s="22" t="e">
        <f>VLOOKUP($A2236, TAB_AMORTIZACAO_C[[DIAS_CORRIDOS]:[V_FUT_UTEIS]], L$5, FALSE)</f>
        <v>#N/A</v>
      </c>
    </row>
    <row r="2237" spans="1:12">
      <c r="A2237" s="19">
        <f t="shared" si="179"/>
        <v>2231</v>
      </c>
      <c r="B2237" s="20">
        <f t="shared" si="175"/>
        <v>232.49766099707131</v>
      </c>
      <c r="C2237" s="21">
        <f t="shared" si="176"/>
        <v>232.49766099707131</v>
      </c>
      <c r="D2237" s="22">
        <f>VLOOKUP($A2237, TAB_JUROS_U[[Q_DIAS_U_PARC_TIR]:[V_FUT_U_JURS CENARIO]], D$5, FALSE)</f>
        <v>12.273950165996109</v>
      </c>
      <c r="E2237" s="22">
        <f>VLOOKUP($A2237,TAB_CORRECAO_U[[Q_DIAS_U_PARC_TIR]:[V_FUT_U_CORC-02]],E$5, FALSE)</f>
        <v>75.505178826626448</v>
      </c>
      <c r="F2237" s="22">
        <f>VLOOKUP($A2237,TAB_AMORTIZACAO_U[[Q_DIAS_U_PARC_TIR]:[V_FUT_U_PCPL-02]], F$5, FALSE)</f>
        <v>144.71853200444875</v>
      </c>
      <c r="H2237" s="20">
        <f t="shared" si="177"/>
        <v>0</v>
      </c>
      <c r="I2237" s="21">
        <f t="shared" si="178"/>
        <v>0</v>
      </c>
      <c r="J2237" s="22" t="e">
        <f>VLOOKUP($A2237, TAB_JUROS_C[[DIAS_CORRIDOS]:[V_FUT_UTEIS]], J$5, FALSE)</f>
        <v>#N/A</v>
      </c>
      <c r="K2237" s="22" t="e">
        <f>VLOOKUP($A2237, TAB_CORRECAO_C[[DIAS_CORRIDOS]:[V_FUT_UTEIS]],K$5, FALSE)</f>
        <v>#N/A</v>
      </c>
      <c r="L2237" s="22" t="e">
        <f>VLOOKUP($A2237, TAB_AMORTIZACAO_C[[DIAS_CORRIDOS]:[V_FUT_UTEIS]], L$5, FALSE)</f>
        <v>#N/A</v>
      </c>
    </row>
    <row r="2238" spans="1:12" hidden="1">
      <c r="A2238" s="19">
        <f t="shared" si="179"/>
        <v>2232</v>
      </c>
      <c r="B2238" s="20">
        <f t="shared" si="175"/>
        <v>0</v>
      </c>
      <c r="C2238" s="21">
        <f t="shared" si="176"/>
        <v>0</v>
      </c>
      <c r="D2238" s="22" t="e">
        <f>VLOOKUP($A2238, TAB_JUROS_U[[Q_DIAS_U_PARC_TIR]:[V_FUT_U_JURS CENARIO]], D$5, FALSE)</f>
        <v>#N/A</v>
      </c>
      <c r="E2238" s="22" t="e">
        <f>VLOOKUP($A2238,TAB_CORRECAO_U[[Q_DIAS_U_PARC_TIR]:[V_FUT_U_CORC-02]],E$5, FALSE)</f>
        <v>#N/A</v>
      </c>
      <c r="F2238" s="22" t="e">
        <f>VLOOKUP($A2238,TAB_AMORTIZACAO_U[[Q_DIAS_U_PARC_TIR]:[V_FUT_U_PCPL-02]], F$5, FALSE)</f>
        <v>#N/A</v>
      </c>
      <c r="H2238" s="20">
        <f t="shared" si="177"/>
        <v>0</v>
      </c>
      <c r="I2238" s="21">
        <f t="shared" si="178"/>
        <v>0</v>
      </c>
      <c r="J2238" s="22" t="e">
        <f>VLOOKUP($A2238, TAB_JUROS_C[[DIAS_CORRIDOS]:[V_FUT_UTEIS]], J$5, FALSE)</f>
        <v>#N/A</v>
      </c>
      <c r="K2238" s="22" t="e">
        <f>VLOOKUP($A2238, TAB_CORRECAO_C[[DIAS_CORRIDOS]:[V_FUT_UTEIS]],K$5, FALSE)</f>
        <v>#N/A</v>
      </c>
      <c r="L2238" s="22" t="e">
        <f>VLOOKUP($A2238, TAB_AMORTIZACAO_C[[DIAS_CORRIDOS]:[V_FUT_UTEIS]], L$5, FALSE)</f>
        <v>#N/A</v>
      </c>
    </row>
    <row r="2239" spans="1:12" hidden="1">
      <c r="A2239" s="19">
        <f t="shared" si="179"/>
        <v>2233</v>
      </c>
      <c r="B2239" s="20">
        <f t="shared" si="175"/>
        <v>0</v>
      </c>
      <c r="C2239" s="21">
        <f t="shared" si="176"/>
        <v>0</v>
      </c>
      <c r="D2239" s="22" t="e">
        <f>VLOOKUP($A2239, TAB_JUROS_U[[Q_DIAS_U_PARC_TIR]:[V_FUT_U_JURS CENARIO]], D$5, FALSE)</f>
        <v>#N/A</v>
      </c>
      <c r="E2239" s="22" t="e">
        <f>VLOOKUP($A2239,TAB_CORRECAO_U[[Q_DIAS_U_PARC_TIR]:[V_FUT_U_CORC-02]],E$5, FALSE)</f>
        <v>#N/A</v>
      </c>
      <c r="F2239" s="22" t="e">
        <f>VLOOKUP($A2239,TAB_AMORTIZACAO_U[[Q_DIAS_U_PARC_TIR]:[V_FUT_U_PCPL-02]], F$5, FALSE)</f>
        <v>#N/A</v>
      </c>
      <c r="H2239" s="20">
        <f t="shared" si="177"/>
        <v>0</v>
      </c>
      <c r="I2239" s="21">
        <f t="shared" si="178"/>
        <v>0</v>
      </c>
      <c r="J2239" s="22" t="e">
        <f>VLOOKUP($A2239, TAB_JUROS_C[[DIAS_CORRIDOS]:[V_FUT_UTEIS]], J$5, FALSE)</f>
        <v>#N/A</v>
      </c>
      <c r="K2239" s="22" t="e">
        <f>VLOOKUP($A2239, TAB_CORRECAO_C[[DIAS_CORRIDOS]:[V_FUT_UTEIS]],K$5, FALSE)</f>
        <v>#N/A</v>
      </c>
      <c r="L2239" s="22" t="e">
        <f>VLOOKUP($A2239, TAB_AMORTIZACAO_C[[DIAS_CORRIDOS]:[V_FUT_UTEIS]], L$5, FALSE)</f>
        <v>#N/A</v>
      </c>
    </row>
    <row r="2240" spans="1:12" hidden="1">
      <c r="A2240" s="19">
        <f t="shared" si="179"/>
        <v>2234</v>
      </c>
      <c r="B2240" s="20">
        <f t="shared" si="175"/>
        <v>0</v>
      </c>
      <c r="C2240" s="21">
        <f t="shared" si="176"/>
        <v>0</v>
      </c>
      <c r="D2240" s="22" t="e">
        <f>VLOOKUP($A2240, TAB_JUROS_U[[Q_DIAS_U_PARC_TIR]:[V_FUT_U_JURS CENARIO]], D$5, FALSE)</f>
        <v>#N/A</v>
      </c>
      <c r="E2240" s="22" t="e">
        <f>VLOOKUP($A2240,TAB_CORRECAO_U[[Q_DIAS_U_PARC_TIR]:[V_FUT_U_CORC-02]],E$5, FALSE)</f>
        <v>#N/A</v>
      </c>
      <c r="F2240" s="22" t="e">
        <f>VLOOKUP($A2240,TAB_AMORTIZACAO_U[[Q_DIAS_U_PARC_TIR]:[V_FUT_U_PCPL-02]], F$5, FALSE)</f>
        <v>#N/A</v>
      </c>
      <c r="H2240" s="20">
        <f t="shared" si="177"/>
        <v>509.39080361169863</v>
      </c>
      <c r="I2240" s="21">
        <f t="shared" si="178"/>
        <v>509.39080361169863</v>
      </c>
      <c r="J2240" s="22">
        <f>VLOOKUP($A2240, TAB_JUROS_C[[DIAS_CORRIDOS]:[V_FUT_UTEIS]], J$5, FALSE)</f>
        <v>33.808786987650208</v>
      </c>
      <c r="K2240" s="22">
        <f>VLOOKUP($A2240, TAB_CORRECAO_C[[DIAS_CORRIDOS]:[V_FUT_UTEIS]],K$5, FALSE)</f>
        <v>204.42309489186275</v>
      </c>
      <c r="L2240" s="22">
        <f>VLOOKUP($A2240, TAB_AMORTIZACAO_C[[DIAS_CORRIDOS]:[V_FUT_UTEIS]], L$5, FALSE)</f>
        <v>271.15892173218566</v>
      </c>
    </row>
    <row r="2241" spans="1:12" hidden="1">
      <c r="A2241" s="19">
        <f t="shared" si="179"/>
        <v>2235</v>
      </c>
      <c r="B2241" s="20">
        <f t="shared" si="175"/>
        <v>0</v>
      </c>
      <c r="C2241" s="21">
        <f t="shared" si="176"/>
        <v>0</v>
      </c>
      <c r="D2241" s="22" t="e">
        <f>VLOOKUP($A2241, TAB_JUROS_U[[Q_DIAS_U_PARC_TIR]:[V_FUT_U_JURS CENARIO]], D$5, FALSE)</f>
        <v>#N/A</v>
      </c>
      <c r="E2241" s="22" t="e">
        <f>VLOOKUP($A2241,TAB_CORRECAO_U[[Q_DIAS_U_PARC_TIR]:[V_FUT_U_CORC-02]],E$5, FALSE)</f>
        <v>#N/A</v>
      </c>
      <c r="F2241" s="22" t="e">
        <f>VLOOKUP($A2241,TAB_AMORTIZACAO_U[[Q_DIAS_U_PARC_TIR]:[V_FUT_U_PCPL-02]], F$5, FALSE)</f>
        <v>#N/A</v>
      </c>
      <c r="H2241" s="20">
        <f t="shared" si="177"/>
        <v>0</v>
      </c>
      <c r="I2241" s="21">
        <f t="shared" si="178"/>
        <v>0</v>
      </c>
      <c r="J2241" s="22" t="e">
        <f>VLOOKUP($A2241, TAB_JUROS_C[[DIAS_CORRIDOS]:[V_FUT_UTEIS]], J$5, FALSE)</f>
        <v>#N/A</v>
      </c>
      <c r="K2241" s="22" t="e">
        <f>VLOOKUP($A2241, TAB_CORRECAO_C[[DIAS_CORRIDOS]:[V_FUT_UTEIS]],K$5, FALSE)</f>
        <v>#N/A</v>
      </c>
      <c r="L2241" s="22" t="e">
        <f>VLOOKUP($A2241, TAB_AMORTIZACAO_C[[DIAS_CORRIDOS]:[V_FUT_UTEIS]], L$5, FALSE)</f>
        <v>#N/A</v>
      </c>
    </row>
    <row r="2242" spans="1:12" hidden="1">
      <c r="A2242" s="19">
        <f t="shared" si="179"/>
        <v>2236</v>
      </c>
      <c r="B2242" s="20">
        <f t="shared" si="175"/>
        <v>0</v>
      </c>
      <c r="C2242" s="21">
        <f t="shared" si="176"/>
        <v>0</v>
      </c>
      <c r="D2242" s="22" t="e">
        <f>VLOOKUP($A2242, TAB_JUROS_U[[Q_DIAS_U_PARC_TIR]:[V_FUT_U_JURS CENARIO]], D$5, FALSE)</f>
        <v>#N/A</v>
      </c>
      <c r="E2242" s="22" t="e">
        <f>VLOOKUP($A2242,TAB_CORRECAO_U[[Q_DIAS_U_PARC_TIR]:[V_FUT_U_CORC-02]],E$5, FALSE)</f>
        <v>#N/A</v>
      </c>
      <c r="F2242" s="22" t="e">
        <f>VLOOKUP($A2242,TAB_AMORTIZACAO_U[[Q_DIAS_U_PARC_TIR]:[V_FUT_U_PCPL-02]], F$5, FALSE)</f>
        <v>#N/A</v>
      </c>
      <c r="H2242" s="20">
        <f t="shared" si="177"/>
        <v>0</v>
      </c>
      <c r="I2242" s="21">
        <f t="shared" si="178"/>
        <v>0</v>
      </c>
      <c r="J2242" s="22" t="e">
        <f>VLOOKUP($A2242, TAB_JUROS_C[[DIAS_CORRIDOS]:[V_FUT_UTEIS]], J$5, FALSE)</f>
        <v>#N/A</v>
      </c>
      <c r="K2242" s="22" t="e">
        <f>VLOOKUP($A2242, TAB_CORRECAO_C[[DIAS_CORRIDOS]:[V_FUT_UTEIS]],K$5, FALSE)</f>
        <v>#N/A</v>
      </c>
      <c r="L2242" s="22" t="e">
        <f>VLOOKUP($A2242, TAB_AMORTIZACAO_C[[DIAS_CORRIDOS]:[V_FUT_UTEIS]], L$5, FALSE)</f>
        <v>#N/A</v>
      </c>
    </row>
    <row r="2243" spans="1:12" hidden="1">
      <c r="A2243" s="19">
        <f t="shared" si="179"/>
        <v>2237</v>
      </c>
      <c r="B2243" s="20">
        <f t="shared" si="175"/>
        <v>0</v>
      </c>
      <c r="C2243" s="21">
        <f t="shared" si="176"/>
        <v>0</v>
      </c>
      <c r="D2243" s="22" t="e">
        <f>VLOOKUP($A2243, TAB_JUROS_U[[Q_DIAS_U_PARC_TIR]:[V_FUT_U_JURS CENARIO]], D$5, FALSE)</f>
        <v>#N/A</v>
      </c>
      <c r="E2243" s="22" t="e">
        <f>VLOOKUP($A2243,TAB_CORRECAO_U[[Q_DIAS_U_PARC_TIR]:[V_FUT_U_CORC-02]],E$5, FALSE)</f>
        <v>#N/A</v>
      </c>
      <c r="F2243" s="22" t="e">
        <f>VLOOKUP($A2243,TAB_AMORTIZACAO_U[[Q_DIAS_U_PARC_TIR]:[V_FUT_U_PCPL-02]], F$5, FALSE)</f>
        <v>#N/A</v>
      </c>
      <c r="H2243" s="20">
        <f t="shared" si="177"/>
        <v>0</v>
      </c>
      <c r="I2243" s="21">
        <f t="shared" si="178"/>
        <v>0</v>
      </c>
      <c r="J2243" s="22" t="e">
        <f>VLOOKUP($A2243, TAB_JUROS_C[[DIAS_CORRIDOS]:[V_FUT_UTEIS]], J$5, FALSE)</f>
        <v>#N/A</v>
      </c>
      <c r="K2243" s="22" t="e">
        <f>VLOOKUP($A2243, TAB_CORRECAO_C[[DIAS_CORRIDOS]:[V_FUT_UTEIS]],K$5, FALSE)</f>
        <v>#N/A</v>
      </c>
      <c r="L2243" s="22" t="e">
        <f>VLOOKUP($A2243, TAB_AMORTIZACAO_C[[DIAS_CORRIDOS]:[V_FUT_UTEIS]], L$5, FALSE)</f>
        <v>#N/A</v>
      </c>
    </row>
    <row r="2244" spans="1:12" hidden="1">
      <c r="A2244" s="19">
        <f t="shared" si="179"/>
        <v>2238</v>
      </c>
      <c r="B2244" s="20">
        <f t="shared" si="175"/>
        <v>0</v>
      </c>
      <c r="C2244" s="21">
        <f t="shared" si="176"/>
        <v>0</v>
      </c>
      <c r="D2244" s="22" t="e">
        <f>VLOOKUP($A2244, TAB_JUROS_U[[Q_DIAS_U_PARC_TIR]:[V_FUT_U_JURS CENARIO]], D$5, FALSE)</f>
        <v>#N/A</v>
      </c>
      <c r="E2244" s="22" t="e">
        <f>VLOOKUP($A2244,TAB_CORRECAO_U[[Q_DIAS_U_PARC_TIR]:[V_FUT_U_CORC-02]],E$5, FALSE)</f>
        <v>#N/A</v>
      </c>
      <c r="F2244" s="22" t="e">
        <f>VLOOKUP($A2244,TAB_AMORTIZACAO_U[[Q_DIAS_U_PARC_TIR]:[V_FUT_U_PCPL-02]], F$5, FALSE)</f>
        <v>#N/A</v>
      </c>
      <c r="H2244" s="20">
        <f t="shared" si="177"/>
        <v>0</v>
      </c>
      <c r="I2244" s="21">
        <f t="shared" si="178"/>
        <v>0</v>
      </c>
      <c r="J2244" s="22" t="e">
        <f>VLOOKUP($A2244, TAB_JUROS_C[[DIAS_CORRIDOS]:[V_FUT_UTEIS]], J$5, FALSE)</f>
        <v>#N/A</v>
      </c>
      <c r="K2244" s="22" t="e">
        <f>VLOOKUP($A2244, TAB_CORRECAO_C[[DIAS_CORRIDOS]:[V_FUT_UTEIS]],K$5, FALSE)</f>
        <v>#N/A</v>
      </c>
      <c r="L2244" s="22" t="e">
        <f>VLOOKUP($A2244, TAB_AMORTIZACAO_C[[DIAS_CORRIDOS]:[V_FUT_UTEIS]], L$5, FALSE)</f>
        <v>#N/A</v>
      </c>
    </row>
    <row r="2245" spans="1:12" hidden="1">
      <c r="A2245" s="19">
        <f t="shared" si="179"/>
        <v>2239</v>
      </c>
      <c r="B2245" s="20">
        <f t="shared" si="175"/>
        <v>0</v>
      </c>
      <c r="C2245" s="21">
        <f t="shared" si="176"/>
        <v>0</v>
      </c>
      <c r="D2245" s="22" t="e">
        <f>VLOOKUP($A2245, TAB_JUROS_U[[Q_DIAS_U_PARC_TIR]:[V_FUT_U_JURS CENARIO]], D$5, FALSE)</f>
        <v>#N/A</v>
      </c>
      <c r="E2245" s="22" t="e">
        <f>VLOOKUP($A2245,TAB_CORRECAO_U[[Q_DIAS_U_PARC_TIR]:[V_FUT_U_CORC-02]],E$5, FALSE)</f>
        <v>#N/A</v>
      </c>
      <c r="F2245" s="22" t="e">
        <f>VLOOKUP($A2245,TAB_AMORTIZACAO_U[[Q_DIAS_U_PARC_TIR]:[V_FUT_U_PCPL-02]], F$5, FALSE)</f>
        <v>#N/A</v>
      </c>
      <c r="H2245" s="20">
        <f t="shared" si="177"/>
        <v>0</v>
      </c>
      <c r="I2245" s="21">
        <f t="shared" si="178"/>
        <v>0</v>
      </c>
      <c r="J2245" s="22" t="e">
        <f>VLOOKUP($A2245, TAB_JUROS_C[[DIAS_CORRIDOS]:[V_FUT_UTEIS]], J$5, FALSE)</f>
        <v>#N/A</v>
      </c>
      <c r="K2245" s="22" t="e">
        <f>VLOOKUP($A2245, TAB_CORRECAO_C[[DIAS_CORRIDOS]:[V_FUT_UTEIS]],K$5, FALSE)</f>
        <v>#N/A</v>
      </c>
      <c r="L2245" s="22" t="e">
        <f>VLOOKUP($A2245, TAB_AMORTIZACAO_C[[DIAS_CORRIDOS]:[V_FUT_UTEIS]], L$5, FALSE)</f>
        <v>#N/A</v>
      </c>
    </row>
    <row r="2246" spans="1:12" hidden="1">
      <c r="A2246" s="19">
        <f t="shared" si="179"/>
        <v>2240</v>
      </c>
      <c r="B2246" s="20">
        <f t="shared" si="175"/>
        <v>0</v>
      </c>
      <c r="C2246" s="21">
        <f t="shared" si="176"/>
        <v>0</v>
      </c>
      <c r="D2246" s="22" t="e">
        <f>VLOOKUP($A2246, TAB_JUROS_U[[Q_DIAS_U_PARC_TIR]:[V_FUT_U_JURS CENARIO]], D$5, FALSE)</f>
        <v>#N/A</v>
      </c>
      <c r="E2246" s="22" t="e">
        <f>VLOOKUP($A2246,TAB_CORRECAO_U[[Q_DIAS_U_PARC_TIR]:[V_FUT_U_CORC-02]],E$5, FALSE)</f>
        <v>#N/A</v>
      </c>
      <c r="F2246" s="22" t="e">
        <f>VLOOKUP($A2246,TAB_AMORTIZACAO_U[[Q_DIAS_U_PARC_TIR]:[V_FUT_U_PCPL-02]], F$5, FALSE)</f>
        <v>#N/A</v>
      </c>
      <c r="H2246" s="20">
        <f t="shared" si="177"/>
        <v>0</v>
      </c>
      <c r="I2246" s="21">
        <f t="shared" si="178"/>
        <v>0</v>
      </c>
      <c r="J2246" s="22" t="e">
        <f>VLOOKUP($A2246, TAB_JUROS_C[[DIAS_CORRIDOS]:[V_FUT_UTEIS]], J$5, FALSE)</f>
        <v>#N/A</v>
      </c>
      <c r="K2246" s="22" t="e">
        <f>VLOOKUP($A2246, TAB_CORRECAO_C[[DIAS_CORRIDOS]:[V_FUT_UTEIS]],K$5, FALSE)</f>
        <v>#N/A</v>
      </c>
      <c r="L2246" s="22" t="e">
        <f>VLOOKUP($A2246, TAB_AMORTIZACAO_C[[DIAS_CORRIDOS]:[V_FUT_UTEIS]], L$5, FALSE)</f>
        <v>#N/A</v>
      </c>
    </row>
    <row r="2247" spans="1:12" hidden="1">
      <c r="A2247" s="19">
        <f t="shared" si="179"/>
        <v>2241</v>
      </c>
      <c r="B2247" s="20">
        <f t="shared" si="175"/>
        <v>0</v>
      </c>
      <c r="C2247" s="21">
        <f t="shared" si="176"/>
        <v>0</v>
      </c>
      <c r="D2247" s="22" t="e">
        <f>VLOOKUP($A2247, TAB_JUROS_U[[Q_DIAS_U_PARC_TIR]:[V_FUT_U_JURS CENARIO]], D$5, FALSE)</f>
        <v>#N/A</v>
      </c>
      <c r="E2247" s="22" t="e">
        <f>VLOOKUP($A2247,TAB_CORRECAO_U[[Q_DIAS_U_PARC_TIR]:[V_FUT_U_CORC-02]],E$5, FALSE)</f>
        <v>#N/A</v>
      </c>
      <c r="F2247" s="22" t="e">
        <f>VLOOKUP($A2247,TAB_AMORTIZACAO_U[[Q_DIAS_U_PARC_TIR]:[V_FUT_U_PCPL-02]], F$5, FALSE)</f>
        <v>#N/A</v>
      </c>
      <c r="H2247" s="20">
        <f t="shared" si="177"/>
        <v>0</v>
      </c>
      <c r="I2247" s="21">
        <f t="shared" si="178"/>
        <v>0</v>
      </c>
      <c r="J2247" s="22" t="e">
        <f>VLOOKUP($A2247, TAB_JUROS_C[[DIAS_CORRIDOS]:[V_FUT_UTEIS]], J$5, FALSE)</f>
        <v>#N/A</v>
      </c>
      <c r="K2247" s="22" t="e">
        <f>VLOOKUP($A2247, TAB_CORRECAO_C[[DIAS_CORRIDOS]:[V_FUT_UTEIS]],K$5, FALSE)</f>
        <v>#N/A</v>
      </c>
      <c r="L2247" s="22" t="e">
        <f>VLOOKUP($A2247, TAB_AMORTIZACAO_C[[DIAS_CORRIDOS]:[V_FUT_UTEIS]], L$5, FALSE)</f>
        <v>#N/A</v>
      </c>
    </row>
    <row r="2248" spans="1:12" hidden="1">
      <c r="A2248" s="19">
        <f t="shared" si="179"/>
        <v>2242</v>
      </c>
      <c r="B2248" s="20">
        <f t="shared" si="175"/>
        <v>0</v>
      </c>
      <c r="C2248" s="21">
        <f t="shared" si="176"/>
        <v>0</v>
      </c>
      <c r="D2248" s="22" t="e">
        <f>VLOOKUP($A2248, TAB_JUROS_U[[Q_DIAS_U_PARC_TIR]:[V_FUT_U_JURS CENARIO]], D$5, FALSE)</f>
        <v>#N/A</v>
      </c>
      <c r="E2248" s="22" t="e">
        <f>VLOOKUP($A2248,TAB_CORRECAO_U[[Q_DIAS_U_PARC_TIR]:[V_FUT_U_CORC-02]],E$5, FALSE)</f>
        <v>#N/A</v>
      </c>
      <c r="F2248" s="22" t="e">
        <f>VLOOKUP($A2248,TAB_AMORTIZACAO_U[[Q_DIAS_U_PARC_TIR]:[V_FUT_U_PCPL-02]], F$5, FALSE)</f>
        <v>#N/A</v>
      </c>
      <c r="H2248" s="20">
        <f t="shared" si="177"/>
        <v>0</v>
      </c>
      <c r="I2248" s="21">
        <f t="shared" si="178"/>
        <v>0</v>
      </c>
      <c r="J2248" s="22" t="e">
        <f>VLOOKUP($A2248, TAB_JUROS_C[[DIAS_CORRIDOS]:[V_FUT_UTEIS]], J$5, FALSE)</f>
        <v>#N/A</v>
      </c>
      <c r="K2248" s="22" t="e">
        <f>VLOOKUP($A2248, TAB_CORRECAO_C[[DIAS_CORRIDOS]:[V_FUT_UTEIS]],K$5, FALSE)</f>
        <v>#N/A</v>
      </c>
      <c r="L2248" s="22" t="e">
        <f>VLOOKUP($A2248, TAB_AMORTIZACAO_C[[DIAS_CORRIDOS]:[V_FUT_UTEIS]], L$5, FALSE)</f>
        <v>#N/A</v>
      </c>
    </row>
    <row r="2249" spans="1:12" hidden="1">
      <c r="A2249" s="19">
        <f t="shared" si="179"/>
        <v>2243</v>
      </c>
      <c r="B2249" s="20">
        <f t="shared" ref="B2249:B2312" si="180">IF(ISERROR(C2249), 0, C2249)</f>
        <v>0</v>
      </c>
      <c r="C2249" s="21">
        <f t="shared" ref="C2249:C2312" si="181">SUMIF(D2249:F2249, "&gt;0", D2249:F2249)</f>
        <v>0</v>
      </c>
      <c r="D2249" s="22" t="e">
        <f>VLOOKUP($A2249, TAB_JUROS_U[[Q_DIAS_U_PARC_TIR]:[V_FUT_U_JURS CENARIO]], D$5, FALSE)</f>
        <v>#N/A</v>
      </c>
      <c r="E2249" s="22" t="e">
        <f>VLOOKUP($A2249,TAB_CORRECAO_U[[Q_DIAS_U_PARC_TIR]:[V_FUT_U_CORC-02]],E$5, FALSE)</f>
        <v>#N/A</v>
      </c>
      <c r="F2249" s="22" t="e">
        <f>VLOOKUP($A2249,TAB_AMORTIZACAO_U[[Q_DIAS_U_PARC_TIR]:[V_FUT_U_PCPL-02]], F$5, FALSE)</f>
        <v>#N/A</v>
      </c>
      <c r="H2249" s="20">
        <f t="shared" ref="H2249:H2312" si="182">IF(ISERROR(I2249), 0, I2249)</f>
        <v>0</v>
      </c>
      <c r="I2249" s="21">
        <f t="shared" ref="I2249:I2312" si="183">SUMIF(J2249:L2249, "&gt;0", J2249:L2249)</f>
        <v>0</v>
      </c>
      <c r="J2249" s="22" t="e">
        <f>VLOOKUP($A2249, TAB_JUROS_C[[DIAS_CORRIDOS]:[V_FUT_UTEIS]], J$5, FALSE)</f>
        <v>#N/A</v>
      </c>
      <c r="K2249" s="22" t="e">
        <f>VLOOKUP($A2249, TAB_CORRECAO_C[[DIAS_CORRIDOS]:[V_FUT_UTEIS]],K$5, FALSE)</f>
        <v>#N/A</v>
      </c>
      <c r="L2249" s="22" t="e">
        <f>VLOOKUP($A2249, TAB_AMORTIZACAO_C[[DIAS_CORRIDOS]:[V_FUT_UTEIS]], L$5, FALSE)</f>
        <v>#N/A</v>
      </c>
    </row>
    <row r="2250" spans="1:12" hidden="1">
      <c r="A2250" s="19">
        <f t="shared" ref="A2250:A2313" si="184">A2249+1</f>
        <v>2244</v>
      </c>
      <c r="B2250" s="20">
        <f t="shared" si="180"/>
        <v>0</v>
      </c>
      <c r="C2250" s="21">
        <f t="shared" si="181"/>
        <v>0</v>
      </c>
      <c r="D2250" s="22" t="e">
        <f>VLOOKUP($A2250, TAB_JUROS_U[[Q_DIAS_U_PARC_TIR]:[V_FUT_U_JURS CENARIO]], D$5, FALSE)</f>
        <v>#N/A</v>
      </c>
      <c r="E2250" s="22" t="e">
        <f>VLOOKUP($A2250,TAB_CORRECAO_U[[Q_DIAS_U_PARC_TIR]:[V_FUT_U_CORC-02]],E$5, FALSE)</f>
        <v>#N/A</v>
      </c>
      <c r="F2250" s="22" t="e">
        <f>VLOOKUP($A2250,TAB_AMORTIZACAO_U[[Q_DIAS_U_PARC_TIR]:[V_FUT_U_PCPL-02]], F$5, FALSE)</f>
        <v>#N/A</v>
      </c>
      <c r="H2250" s="20">
        <f t="shared" si="182"/>
        <v>0</v>
      </c>
      <c r="I2250" s="21">
        <f t="shared" si="183"/>
        <v>0</v>
      </c>
      <c r="J2250" s="22" t="e">
        <f>VLOOKUP($A2250, TAB_JUROS_C[[DIAS_CORRIDOS]:[V_FUT_UTEIS]], J$5, FALSE)</f>
        <v>#N/A</v>
      </c>
      <c r="K2250" s="22" t="e">
        <f>VLOOKUP($A2250, TAB_CORRECAO_C[[DIAS_CORRIDOS]:[V_FUT_UTEIS]],K$5, FALSE)</f>
        <v>#N/A</v>
      </c>
      <c r="L2250" s="22" t="e">
        <f>VLOOKUP($A2250, TAB_AMORTIZACAO_C[[DIAS_CORRIDOS]:[V_FUT_UTEIS]], L$5, FALSE)</f>
        <v>#N/A</v>
      </c>
    </row>
    <row r="2251" spans="1:12" hidden="1">
      <c r="A2251" s="19">
        <f t="shared" si="184"/>
        <v>2245</v>
      </c>
      <c r="B2251" s="20">
        <f t="shared" si="180"/>
        <v>0</v>
      </c>
      <c r="C2251" s="21">
        <f t="shared" si="181"/>
        <v>0</v>
      </c>
      <c r="D2251" s="22" t="e">
        <f>VLOOKUP($A2251, TAB_JUROS_U[[Q_DIAS_U_PARC_TIR]:[V_FUT_U_JURS CENARIO]], D$5, FALSE)</f>
        <v>#N/A</v>
      </c>
      <c r="E2251" s="22" t="e">
        <f>VLOOKUP($A2251,TAB_CORRECAO_U[[Q_DIAS_U_PARC_TIR]:[V_FUT_U_CORC-02]],E$5, FALSE)</f>
        <v>#N/A</v>
      </c>
      <c r="F2251" s="22" t="e">
        <f>VLOOKUP($A2251,TAB_AMORTIZACAO_U[[Q_DIAS_U_PARC_TIR]:[V_FUT_U_PCPL-02]], F$5, FALSE)</f>
        <v>#N/A</v>
      </c>
      <c r="H2251" s="20">
        <f t="shared" si="182"/>
        <v>0</v>
      </c>
      <c r="I2251" s="21">
        <f t="shared" si="183"/>
        <v>0</v>
      </c>
      <c r="J2251" s="22" t="e">
        <f>VLOOKUP($A2251, TAB_JUROS_C[[DIAS_CORRIDOS]:[V_FUT_UTEIS]], J$5, FALSE)</f>
        <v>#N/A</v>
      </c>
      <c r="K2251" s="22" t="e">
        <f>VLOOKUP($A2251, TAB_CORRECAO_C[[DIAS_CORRIDOS]:[V_FUT_UTEIS]],K$5, FALSE)</f>
        <v>#N/A</v>
      </c>
      <c r="L2251" s="22" t="e">
        <f>VLOOKUP($A2251, TAB_AMORTIZACAO_C[[DIAS_CORRIDOS]:[V_FUT_UTEIS]], L$5, FALSE)</f>
        <v>#N/A</v>
      </c>
    </row>
    <row r="2252" spans="1:12" hidden="1">
      <c r="A2252" s="19">
        <f t="shared" si="184"/>
        <v>2246</v>
      </c>
      <c r="B2252" s="20">
        <f t="shared" si="180"/>
        <v>0</v>
      </c>
      <c r="C2252" s="21">
        <f t="shared" si="181"/>
        <v>0</v>
      </c>
      <c r="D2252" s="22" t="e">
        <f>VLOOKUP($A2252, TAB_JUROS_U[[Q_DIAS_U_PARC_TIR]:[V_FUT_U_JURS CENARIO]], D$5, FALSE)</f>
        <v>#N/A</v>
      </c>
      <c r="E2252" s="22" t="e">
        <f>VLOOKUP($A2252,TAB_CORRECAO_U[[Q_DIAS_U_PARC_TIR]:[V_FUT_U_CORC-02]],E$5, FALSE)</f>
        <v>#N/A</v>
      </c>
      <c r="F2252" s="22" t="e">
        <f>VLOOKUP($A2252,TAB_AMORTIZACAO_U[[Q_DIAS_U_PARC_TIR]:[V_FUT_U_PCPL-02]], F$5, FALSE)</f>
        <v>#N/A</v>
      </c>
      <c r="H2252" s="20">
        <f t="shared" si="182"/>
        <v>0</v>
      </c>
      <c r="I2252" s="21">
        <f t="shared" si="183"/>
        <v>0</v>
      </c>
      <c r="J2252" s="22" t="e">
        <f>VLOOKUP($A2252, TAB_JUROS_C[[DIAS_CORRIDOS]:[V_FUT_UTEIS]], J$5, FALSE)</f>
        <v>#N/A</v>
      </c>
      <c r="K2252" s="22" t="e">
        <f>VLOOKUP($A2252, TAB_CORRECAO_C[[DIAS_CORRIDOS]:[V_FUT_UTEIS]],K$5, FALSE)</f>
        <v>#N/A</v>
      </c>
      <c r="L2252" s="22" t="e">
        <f>VLOOKUP($A2252, TAB_AMORTIZACAO_C[[DIAS_CORRIDOS]:[V_FUT_UTEIS]], L$5, FALSE)</f>
        <v>#N/A</v>
      </c>
    </row>
    <row r="2253" spans="1:12" hidden="1">
      <c r="A2253" s="19">
        <f t="shared" si="184"/>
        <v>2247</v>
      </c>
      <c r="B2253" s="20">
        <f t="shared" si="180"/>
        <v>0</v>
      </c>
      <c r="C2253" s="21">
        <f t="shared" si="181"/>
        <v>0</v>
      </c>
      <c r="D2253" s="22" t="e">
        <f>VLOOKUP($A2253, TAB_JUROS_U[[Q_DIAS_U_PARC_TIR]:[V_FUT_U_JURS CENARIO]], D$5, FALSE)</f>
        <v>#N/A</v>
      </c>
      <c r="E2253" s="22" t="e">
        <f>VLOOKUP($A2253,TAB_CORRECAO_U[[Q_DIAS_U_PARC_TIR]:[V_FUT_U_CORC-02]],E$5, FALSE)</f>
        <v>#N/A</v>
      </c>
      <c r="F2253" s="22" t="e">
        <f>VLOOKUP($A2253,TAB_AMORTIZACAO_U[[Q_DIAS_U_PARC_TIR]:[V_FUT_U_PCPL-02]], F$5, FALSE)</f>
        <v>#N/A</v>
      </c>
      <c r="H2253" s="20">
        <f t="shared" si="182"/>
        <v>0</v>
      </c>
      <c r="I2253" s="21">
        <f t="shared" si="183"/>
        <v>0</v>
      </c>
      <c r="J2253" s="22" t="e">
        <f>VLOOKUP($A2253, TAB_JUROS_C[[DIAS_CORRIDOS]:[V_FUT_UTEIS]], J$5, FALSE)</f>
        <v>#N/A</v>
      </c>
      <c r="K2253" s="22" t="e">
        <f>VLOOKUP($A2253, TAB_CORRECAO_C[[DIAS_CORRIDOS]:[V_FUT_UTEIS]],K$5, FALSE)</f>
        <v>#N/A</v>
      </c>
      <c r="L2253" s="22" t="e">
        <f>VLOOKUP($A2253, TAB_AMORTIZACAO_C[[DIAS_CORRIDOS]:[V_FUT_UTEIS]], L$5, FALSE)</f>
        <v>#N/A</v>
      </c>
    </row>
    <row r="2254" spans="1:12" hidden="1">
      <c r="A2254" s="19">
        <f t="shared" si="184"/>
        <v>2248</v>
      </c>
      <c r="B2254" s="20">
        <f t="shared" si="180"/>
        <v>0</v>
      </c>
      <c r="C2254" s="21">
        <f t="shared" si="181"/>
        <v>0</v>
      </c>
      <c r="D2254" s="22" t="e">
        <f>VLOOKUP($A2254, TAB_JUROS_U[[Q_DIAS_U_PARC_TIR]:[V_FUT_U_JURS CENARIO]], D$5, FALSE)</f>
        <v>#N/A</v>
      </c>
      <c r="E2254" s="22" t="e">
        <f>VLOOKUP($A2254,TAB_CORRECAO_U[[Q_DIAS_U_PARC_TIR]:[V_FUT_U_CORC-02]],E$5, FALSE)</f>
        <v>#N/A</v>
      </c>
      <c r="F2254" s="22" t="e">
        <f>VLOOKUP($A2254,TAB_AMORTIZACAO_U[[Q_DIAS_U_PARC_TIR]:[V_FUT_U_PCPL-02]], F$5, FALSE)</f>
        <v>#N/A</v>
      </c>
      <c r="H2254" s="20">
        <f t="shared" si="182"/>
        <v>0</v>
      </c>
      <c r="I2254" s="21">
        <f t="shared" si="183"/>
        <v>0</v>
      </c>
      <c r="J2254" s="22" t="e">
        <f>VLOOKUP($A2254, TAB_JUROS_C[[DIAS_CORRIDOS]:[V_FUT_UTEIS]], J$5, FALSE)</f>
        <v>#N/A</v>
      </c>
      <c r="K2254" s="22" t="e">
        <f>VLOOKUP($A2254, TAB_CORRECAO_C[[DIAS_CORRIDOS]:[V_FUT_UTEIS]],K$5, FALSE)</f>
        <v>#N/A</v>
      </c>
      <c r="L2254" s="22" t="e">
        <f>VLOOKUP($A2254, TAB_AMORTIZACAO_C[[DIAS_CORRIDOS]:[V_FUT_UTEIS]], L$5, FALSE)</f>
        <v>#N/A</v>
      </c>
    </row>
    <row r="2255" spans="1:12" hidden="1">
      <c r="A2255" s="19">
        <f t="shared" si="184"/>
        <v>2249</v>
      </c>
      <c r="B2255" s="20">
        <f t="shared" si="180"/>
        <v>0</v>
      </c>
      <c r="C2255" s="21">
        <f t="shared" si="181"/>
        <v>0</v>
      </c>
      <c r="D2255" s="22" t="e">
        <f>VLOOKUP($A2255, TAB_JUROS_U[[Q_DIAS_U_PARC_TIR]:[V_FUT_U_JURS CENARIO]], D$5, FALSE)</f>
        <v>#N/A</v>
      </c>
      <c r="E2255" s="22" t="e">
        <f>VLOOKUP($A2255,TAB_CORRECAO_U[[Q_DIAS_U_PARC_TIR]:[V_FUT_U_CORC-02]],E$5, FALSE)</f>
        <v>#N/A</v>
      </c>
      <c r="F2255" s="22" t="e">
        <f>VLOOKUP($A2255,TAB_AMORTIZACAO_U[[Q_DIAS_U_PARC_TIR]:[V_FUT_U_PCPL-02]], F$5, FALSE)</f>
        <v>#N/A</v>
      </c>
      <c r="H2255" s="20">
        <f t="shared" si="182"/>
        <v>0</v>
      </c>
      <c r="I2255" s="21">
        <f t="shared" si="183"/>
        <v>0</v>
      </c>
      <c r="J2255" s="22" t="e">
        <f>VLOOKUP($A2255, TAB_JUROS_C[[DIAS_CORRIDOS]:[V_FUT_UTEIS]], J$5, FALSE)</f>
        <v>#N/A</v>
      </c>
      <c r="K2255" s="22" t="e">
        <f>VLOOKUP($A2255, TAB_CORRECAO_C[[DIAS_CORRIDOS]:[V_FUT_UTEIS]],K$5, FALSE)</f>
        <v>#N/A</v>
      </c>
      <c r="L2255" s="22" t="e">
        <f>VLOOKUP($A2255, TAB_AMORTIZACAO_C[[DIAS_CORRIDOS]:[V_FUT_UTEIS]], L$5, FALSE)</f>
        <v>#N/A</v>
      </c>
    </row>
    <row r="2256" spans="1:12" hidden="1">
      <c r="A2256" s="19">
        <f t="shared" si="184"/>
        <v>2250</v>
      </c>
      <c r="B2256" s="20">
        <f t="shared" si="180"/>
        <v>0</v>
      </c>
      <c r="C2256" s="21">
        <f t="shared" si="181"/>
        <v>0</v>
      </c>
      <c r="D2256" s="22" t="e">
        <f>VLOOKUP($A2256, TAB_JUROS_U[[Q_DIAS_U_PARC_TIR]:[V_FUT_U_JURS CENARIO]], D$5, FALSE)</f>
        <v>#N/A</v>
      </c>
      <c r="E2256" s="22" t="e">
        <f>VLOOKUP($A2256,TAB_CORRECAO_U[[Q_DIAS_U_PARC_TIR]:[V_FUT_U_CORC-02]],E$5, FALSE)</f>
        <v>#N/A</v>
      </c>
      <c r="F2256" s="22" t="e">
        <f>VLOOKUP($A2256,TAB_AMORTIZACAO_U[[Q_DIAS_U_PARC_TIR]:[V_FUT_U_PCPL-02]], F$5, FALSE)</f>
        <v>#N/A</v>
      </c>
      <c r="H2256" s="20">
        <f t="shared" si="182"/>
        <v>0</v>
      </c>
      <c r="I2256" s="21">
        <f t="shared" si="183"/>
        <v>0</v>
      </c>
      <c r="J2256" s="22" t="e">
        <f>VLOOKUP($A2256, TAB_JUROS_C[[DIAS_CORRIDOS]:[V_FUT_UTEIS]], J$5, FALSE)</f>
        <v>#N/A</v>
      </c>
      <c r="K2256" s="22" t="e">
        <f>VLOOKUP($A2256, TAB_CORRECAO_C[[DIAS_CORRIDOS]:[V_FUT_UTEIS]],K$5, FALSE)</f>
        <v>#N/A</v>
      </c>
      <c r="L2256" s="22" t="e">
        <f>VLOOKUP($A2256, TAB_AMORTIZACAO_C[[DIAS_CORRIDOS]:[V_FUT_UTEIS]], L$5, FALSE)</f>
        <v>#N/A</v>
      </c>
    </row>
    <row r="2257" spans="1:12">
      <c r="A2257" s="19">
        <f t="shared" si="184"/>
        <v>2251</v>
      </c>
      <c r="B2257" s="20">
        <f t="shared" si="180"/>
        <v>216.35343944845155</v>
      </c>
      <c r="C2257" s="21">
        <f t="shared" si="181"/>
        <v>216.35343944845155</v>
      </c>
      <c r="D2257" s="22">
        <f>VLOOKUP($A2257, TAB_JUROS_U[[Q_DIAS_U_PARC_TIR]:[V_FUT_U_JURS CENARIO]], D$5, FALSE)</f>
        <v>10.241364703673412</v>
      </c>
      <c r="E2257" s="22">
        <f>VLOOKUP($A2257,TAB_CORRECAO_U[[Q_DIAS_U_PARC_TIR]:[V_FUT_U_CORC-02]],E$5, FALSE)</f>
        <v>63.067982533033096</v>
      </c>
      <c r="F2257" s="22">
        <f>VLOOKUP($A2257,TAB_AMORTIZACAO_U[[Q_DIAS_U_PARC_TIR]:[V_FUT_U_PCPL-02]], F$5, FALSE)</f>
        <v>143.04409221174504</v>
      </c>
      <c r="H2257" s="20">
        <f t="shared" si="182"/>
        <v>0</v>
      </c>
      <c r="I2257" s="21">
        <f t="shared" si="183"/>
        <v>0</v>
      </c>
      <c r="J2257" s="22" t="e">
        <f>VLOOKUP($A2257, TAB_JUROS_C[[DIAS_CORRIDOS]:[V_FUT_UTEIS]], J$5, FALSE)</f>
        <v>#N/A</v>
      </c>
      <c r="K2257" s="22" t="e">
        <f>VLOOKUP($A2257, TAB_CORRECAO_C[[DIAS_CORRIDOS]:[V_FUT_UTEIS]],K$5, FALSE)</f>
        <v>#N/A</v>
      </c>
      <c r="L2257" s="22" t="e">
        <f>VLOOKUP($A2257, TAB_AMORTIZACAO_C[[DIAS_CORRIDOS]:[V_FUT_UTEIS]], L$5, FALSE)</f>
        <v>#N/A</v>
      </c>
    </row>
    <row r="2258" spans="1:12" hidden="1">
      <c r="A2258" s="19">
        <f t="shared" si="184"/>
        <v>2252</v>
      </c>
      <c r="B2258" s="20">
        <f t="shared" si="180"/>
        <v>0</v>
      </c>
      <c r="C2258" s="21">
        <f t="shared" si="181"/>
        <v>0</v>
      </c>
      <c r="D2258" s="22" t="e">
        <f>VLOOKUP($A2258, TAB_JUROS_U[[Q_DIAS_U_PARC_TIR]:[V_FUT_U_JURS CENARIO]], D$5, FALSE)</f>
        <v>#N/A</v>
      </c>
      <c r="E2258" s="22" t="e">
        <f>VLOOKUP($A2258,TAB_CORRECAO_U[[Q_DIAS_U_PARC_TIR]:[V_FUT_U_CORC-02]],E$5, FALSE)</f>
        <v>#N/A</v>
      </c>
      <c r="F2258" s="22" t="e">
        <f>VLOOKUP($A2258,TAB_AMORTIZACAO_U[[Q_DIAS_U_PARC_TIR]:[V_FUT_U_PCPL-02]], F$5, FALSE)</f>
        <v>#N/A</v>
      </c>
      <c r="H2258" s="20">
        <f t="shared" si="182"/>
        <v>0</v>
      </c>
      <c r="I2258" s="21">
        <f t="shared" si="183"/>
        <v>0</v>
      </c>
      <c r="J2258" s="22" t="e">
        <f>VLOOKUP($A2258, TAB_JUROS_C[[DIAS_CORRIDOS]:[V_FUT_UTEIS]], J$5, FALSE)</f>
        <v>#N/A</v>
      </c>
      <c r="K2258" s="22" t="e">
        <f>VLOOKUP($A2258, TAB_CORRECAO_C[[DIAS_CORRIDOS]:[V_FUT_UTEIS]],K$5, FALSE)</f>
        <v>#N/A</v>
      </c>
      <c r="L2258" s="22" t="e">
        <f>VLOOKUP($A2258, TAB_AMORTIZACAO_C[[DIAS_CORRIDOS]:[V_FUT_UTEIS]], L$5, FALSE)</f>
        <v>#N/A</v>
      </c>
    </row>
    <row r="2259" spans="1:12" hidden="1">
      <c r="A2259" s="19">
        <f t="shared" si="184"/>
        <v>2253</v>
      </c>
      <c r="B2259" s="20">
        <f t="shared" si="180"/>
        <v>0</v>
      </c>
      <c r="C2259" s="21">
        <f t="shared" si="181"/>
        <v>0</v>
      </c>
      <c r="D2259" s="22" t="e">
        <f>VLOOKUP($A2259, TAB_JUROS_U[[Q_DIAS_U_PARC_TIR]:[V_FUT_U_JURS CENARIO]], D$5, FALSE)</f>
        <v>#N/A</v>
      </c>
      <c r="E2259" s="22" t="e">
        <f>VLOOKUP($A2259,TAB_CORRECAO_U[[Q_DIAS_U_PARC_TIR]:[V_FUT_U_CORC-02]],E$5, FALSE)</f>
        <v>#N/A</v>
      </c>
      <c r="F2259" s="22" t="e">
        <f>VLOOKUP($A2259,TAB_AMORTIZACAO_U[[Q_DIAS_U_PARC_TIR]:[V_FUT_U_PCPL-02]], F$5, FALSE)</f>
        <v>#N/A</v>
      </c>
      <c r="H2259" s="20">
        <f t="shared" si="182"/>
        <v>0</v>
      </c>
      <c r="I2259" s="21">
        <f t="shared" si="183"/>
        <v>0</v>
      </c>
      <c r="J2259" s="22" t="e">
        <f>VLOOKUP($A2259, TAB_JUROS_C[[DIAS_CORRIDOS]:[V_FUT_UTEIS]], J$5, FALSE)</f>
        <v>#N/A</v>
      </c>
      <c r="K2259" s="22" t="e">
        <f>VLOOKUP($A2259, TAB_CORRECAO_C[[DIAS_CORRIDOS]:[V_FUT_UTEIS]],K$5, FALSE)</f>
        <v>#N/A</v>
      </c>
      <c r="L2259" s="22" t="e">
        <f>VLOOKUP($A2259, TAB_AMORTIZACAO_C[[DIAS_CORRIDOS]:[V_FUT_UTEIS]], L$5, FALSE)</f>
        <v>#N/A</v>
      </c>
    </row>
    <row r="2260" spans="1:12" hidden="1">
      <c r="A2260" s="19">
        <f t="shared" si="184"/>
        <v>2254</v>
      </c>
      <c r="B2260" s="20">
        <f t="shared" si="180"/>
        <v>0</v>
      </c>
      <c r="C2260" s="21">
        <f t="shared" si="181"/>
        <v>0</v>
      </c>
      <c r="D2260" s="22" t="e">
        <f>VLOOKUP($A2260, TAB_JUROS_U[[Q_DIAS_U_PARC_TIR]:[V_FUT_U_JURS CENARIO]], D$5, FALSE)</f>
        <v>#N/A</v>
      </c>
      <c r="E2260" s="22" t="e">
        <f>VLOOKUP($A2260,TAB_CORRECAO_U[[Q_DIAS_U_PARC_TIR]:[V_FUT_U_CORC-02]],E$5, FALSE)</f>
        <v>#N/A</v>
      </c>
      <c r="F2260" s="22" t="e">
        <f>VLOOKUP($A2260,TAB_AMORTIZACAO_U[[Q_DIAS_U_PARC_TIR]:[V_FUT_U_PCPL-02]], F$5, FALSE)</f>
        <v>#N/A</v>
      </c>
      <c r="H2260" s="20">
        <f t="shared" si="182"/>
        <v>0</v>
      </c>
      <c r="I2260" s="21">
        <f t="shared" si="183"/>
        <v>0</v>
      </c>
      <c r="J2260" s="22" t="e">
        <f>VLOOKUP($A2260, TAB_JUROS_C[[DIAS_CORRIDOS]:[V_FUT_UTEIS]], J$5, FALSE)</f>
        <v>#N/A</v>
      </c>
      <c r="K2260" s="22" t="e">
        <f>VLOOKUP($A2260, TAB_CORRECAO_C[[DIAS_CORRIDOS]:[V_FUT_UTEIS]],K$5, FALSE)</f>
        <v>#N/A</v>
      </c>
      <c r="L2260" s="22" t="e">
        <f>VLOOKUP($A2260, TAB_AMORTIZACAO_C[[DIAS_CORRIDOS]:[V_FUT_UTEIS]], L$5, FALSE)</f>
        <v>#N/A</v>
      </c>
    </row>
    <row r="2261" spans="1:12" hidden="1">
      <c r="A2261" s="19">
        <f t="shared" si="184"/>
        <v>2255</v>
      </c>
      <c r="B2261" s="20">
        <f t="shared" si="180"/>
        <v>0</v>
      </c>
      <c r="C2261" s="21">
        <f t="shared" si="181"/>
        <v>0</v>
      </c>
      <c r="D2261" s="22" t="e">
        <f>VLOOKUP($A2261, TAB_JUROS_U[[Q_DIAS_U_PARC_TIR]:[V_FUT_U_JURS CENARIO]], D$5, FALSE)</f>
        <v>#N/A</v>
      </c>
      <c r="E2261" s="22" t="e">
        <f>VLOOKUP($A2261,TAB_CORRECAO_U[[Q_DIAS_U_PARC_TIR]:[V_FUT_U_CORC-02]],E$5, FALSE)</f>
        <v>#N/A</v>
      </c>
      <c r="F2261" s="22" t="e">
        <f>VLOOKUP($A2261,TAB_AMORTIZACAO_U[[Q_DIAS_U_PARC_TIR]:[V_FUT_U_PCPL-02]], F$5, FALSE)</f>
        <v>#N/A</v>
      </c>
      <c r="H2261" s="20">
        <f t="shared" si="182"/>
        <v>0</v>
      </c>
      <c r="I2261" s="21">
        <f t="shared" si="183"/>
        <v>0</v>
      </c>
      <c r="J2261" s="22" t="e">
        <f>VLOOKUP($A2261, TAB_JUROS_C[[DIAS_CORRIDOS]:[V_FUT_UTEIS]], J$5, FALSE)</f>
        <v>#N/A</v>
      </c>
      <c r="K2261" s="22" t="e">
        <f>VLOOKUP($A2261, TAB_CORRECAO_C[[DIAS_CORRIDOS]:[V_FUT_UTEIS]],K$5, FALSE)</f>
        <v>#N/A</v>
      </c>
      <c r="L2261" s="22" t="e">
        <f>VLOOKUP($A2261, TAB_AMORTIZACAO_C[[DIAS_CORRIDOS]:[V_FUT_UTEIS]], L$5, FALSE)</f>
        <v>#N/A</v>
      </c>
    </row>
    <row r="2262" spans="1:12" hidden="1">
      <c r="A2262" s="19">
        <f t="shared" si="184"/>
        <v>2256</v>
      </c>
      <c r="B2262" s="20">
        <f t="shared" si="180"/>
        <v>0</v>
      </c>
      <c r="C2262" s="21">
        <f t="shared" si="181"/>
        <v>0</v>
      </c>
      <c r="D2262" s="22" t="e">
        <f>VLOOKUP($A2262, TAB_JUROS_U[[Q_DIAS_U_PARC_TIR]:[V_FUT_U_JURS CENARIO]], D$5, FALSE)</f>
        <v>#N/A</v>
      </c>
      <c r="E2262" s="22" t="e">
        <f>VLOOKUP($A2262,TAB_CORRECAO_U[[Q_DIAS_U_PARC_TIR]:[V_FUT_U_CORC-02]],E$5, FALSE)</f>
        <v>#N/A</v>
      </c>
      <c r="F2262" s="22" t="e">
        <f>VLOOKUP($A2262,TAB_AMORTIZACAO_U[[Q_DIAS_U_PARC_TIR]:[V_FUT_U_PCPL-02]], F$5, FALSE)</f>
        <v>#N/A</v>
      </c>
      <c r="H2262" s="20">
        <f t="shared" si="182"/>
        <v>0</v>
      </c>
      <c r="I2262" s="21">
        <f t="shared" si="183"/>
        <v>0</v>
      </c>
      <c r="J2262" s="22" t="e">
        <f>VLOOKUP($A2262, TAB_JUROS_C[[DIAS_CORRIDOS]:[V_FUT_UTEIS]], J$5, FALSE)</f>
        <v>#N/A</v>
      </c>
      <c r="K2262" s="22" t="e">
        <f>VLOOKUP($A2262, TAB_CORRECAO_C[[DIAS_CORRIDOS]:[V_FUT_UTEIS]],K$5, FALSE)</f>
        <v>#N/A</v>
      </c>
      <c r="L2262" s="22" t="e">
        <f>VLOOKUP($A2262, TAB_AMORTIZACAO_C[[DIAS_CORRIDOS]:[V_FUT_UTEIS]], L$5, FALSE)</f>
        <v>#N/A</v>
      </c>
    </row>
    <row r="2263" spans="1:12" hidden="1">
      <c r="A2263" s="19">
        <f t="shared" si="184"/>
        <v>2257</v>
      </c>
      <c r="B2263" s="20">
        <f t="shared" si="180"/>
        <v>0</v>
      </c>
      <c r="C2263" s="21">
        <f t="shared" si="181"/>
        <v>0</v>
      </c>
      <c r="D2263" s="22" t="e">
        <f>VLOOKUP($A2263, TAB_JUROS_U[[Q_DIAS_U_PARC_TIR]:[V_FUT_U_JURS CENARIO]], D$5, FALSE)</f>
        <v>#N/A</v>
      </c>
      <c r="E2263" s="22" t="e">
        <f>VLOOKUP($A2263,TAB_CORRECAO_U[[Q_DIAS_U_PARC_TIR]:[V_FUT_U_CORC-02]],E$5, FALSE)</f>
        <v>#N/A</v>
      </c>
      <c r="F2263" s="22" t="e">
        <f>VLOOKUP($A2263,TAB_AMORTIZACAO_U[[Q_DIAS_U_PARC_TIR]:[V_FUT_U_PCPL-02]], F$5, FALSE)</f>
        <v>#N/A</v>
      </c>
      <c r="H2263" s="20">
        <f t="shared" si="182"/>
        <v>0</v>
      </c>
      <c r="I2263" s="21">
        <f t="shared" si="183"/>
        <v>0</v>
      </c>
      <c r="J2263" s="22" t="e">
        <f>VLOOKUP($A2263, TAB_JUROS_C[[DIAS_CORRIDOS]:[V_FUT_UTEIS]], J$5, FALSE)</f>
        <v>#N/A</v>
      </c>
      <c r="K2263" s="22" t="e">
        <f>VLOOKUP($A2263, TAB_CORRECAO_C[[DIAS_CORRIDOS]:[V_FUT_UTEIS]],K$5, FALSE)</f>
        <v>#N/A</v>
      </c>
      <c r="L2263" s="22" t="e">
        <f>VLOOKUP($A2263, TAB_AMORTIZACAO_C[[DIAS_CORRIDOS]:[V_FUT_UTEIS]], L$5, FALSE)</f>
        <v>#N/A</v>
      </c>
    </row>
    <row r="2264" spans="1:12" hidden="1">
      <c r="A2264" s="19">
        <f t="shared" si="184"/>
        <v>2258</v>
      </c>
      <c r="B2264" s="20">
        <f t="shared" si="180"/>
        <v>0</v>
      </c>
      <c r="C2264" s="21">
        <f t="shared" si="181"/>
        <v>0</v>
      </c>
      <c r="D2264" s="22" t="e">
        <f>VLOOKUP($A2264, TAB_JUROS_U[[Q_DIAS_U_PARC_TIR]:[V_FUT_U_JURS CENARIO]], D$5, FALSE)</f>
        <v>#N/A</v>
      </c>
      <c r="E2264" s="22" t="e">
        <f>VLOOKUP($A2264,TAB_CORRECAO_U[[Q_DIAS_U_PARC_TIR]:[V_FUT_U_CORC-02]],E$5, FALSE)</f>
        <v>#N/A</v>
      </c>
      <c r="F2264" s="22" t="e">
        <f>VLOOKUP($A2264,TAB_AMORTIZACAO_U[[Q_DIAS_U_PARC_TIR]:[V_FUT_U_PCPL-02]], F$5, FALSE)</f>
        <v>#N/A</v>
      </c>
      <c r="H2264" s="20">
        <f t="shared" si="182"/>
        <v>0</v>
      </c>
      <c r="I2264" s="21">
        <f t="shared" si="183"/>
        <v>0</v>
      </c>
      <c r="J2264" s="22" t="e">
        <f>VLOOKUP($A2264, TAB_JUROS_C[[DIAS_CORRIDOS]:[V_FUT_UTEIS]], J$5, FALSE)</f>
        <v>#N/A</v>
      </c>
      <c r="K2264" s="22" t="e">
        <f>VLOOKUP($A2264, TAB_CORRECAO_C[[DIAS_CORRIDOS]:[V_FUT_UTEIS]],K$5, FALSE)</f>
        <v>#N/A</v>
      </c>
      <c r="L2264" s="22" t="e">
        <f>VLOOKUP($A2264, TAB_AMORTIZACAO_C[[DIAS_CORRIDOS]:[V_FUT_UTEIS]], L$5, FALSE)</f>
        <v>#N/A</v>
      </c>
    </row>
    <row r="2265" spans="1:12" hidden="1">
      <c r="A2265" s="19">
        <f t="shared" si="184"/>
        <v>2259</v>
      </c>
      <c r="B2265" s="20">
        <f t="shared" si="180"/>
        <v>0</v>
      </c>
      <c r="C2265" s="21">
        <f t="shared" si="181"/>
        <v>0</v>
      </c>
      <c r="D2265" s="22" t="e">
        <f>VLOOKUP($A2265, TAB_JUROS_U[[Q_DIAS_U_PARC_TIR]:[V_FUT_U_JURS CENARIO]], D$5, FALSE)</f>
        <v>#N/A</v>
      </c>
      <c r="E2265" s="22" t="e">
        <f>VLOOKUP($A2265,TAB_CORRECAO_U[[Q_DIAS_U_PARC_TIR]:[V_FUT_U_CORC-02]],E$5, FALSE)</f>
        <v>#N/A</v>
      </c>
      <c r="F2265" s="22" t="e">
        <f>VLOOKUP($A2265,TAB_AMORTIZACAO_U[[Q_DIAS_U_PARC_TIR]:[V_FUT_U_PCPL-02]], F$5, FALSE)</f>
        <v>#N/A</v>
      </c>
      <c r="H2265" s="20">
        <f t="shared" si="182"/>
        <v>0</v>
      </c>
      <c r="I2265" s="21">
        <f t="shared" si="183"/>
        <v>0</v>
      </c>
      <c r="J2265" s="22" t="e">
        <f>VLOOKUP($A2265, TAB_JUROS_C[[DIAS_CORRIDOS]:[V_FUT_UTEIS]], J$5, FALSE)</f>
        <v>#N/A</v>
      </c>
      <c r="K2265" s="22" t="e">
        <f>VLOOKUP($A2265, TAB_CORRECAO_C[[DIAS_CORRIDOS]:[V_FUT_UTEIS]],K$5, FALSE)</f>
        <v>#N/A</v>
      </c>
      <c r="L2265" s="22" t="e">
        <f>VLOOKUP($A2265, TAB_AMORTIZACAO_C[[DIAS_CORRIDOS]:[V_FUT_UTEIS]], L$5, FALSE)</f>
        <v>#N/A</v>
      </c>
    </row>
    <row r="2266" spans="1:12" hidden="1">
      <c r="A2266" s="19">
        <f t="shared" si="184"/>
        <v>2260</v>
      </c>
      <c r="B2266" s="20">
        <f t="shared" si="180"/>
        <v>0</v>
      </c>
      <c r="C2266" s="21">
        <f t="shared" si="181"/>
        <v>0</v>
      </c>
      <c r="D2266" s="22" t="e">
        <f>VLOOKUP($A2266, TAB_JUROS_U[[Q_DIAS_U_PARC_TIR]:[V_FUT_U_JURS CENARIO]], D$5, FALSE)</f>
        <v>#N/A</v>
      </c>
      <c r="E2266" s="22" t="e">
        <f>VLOOKUP($A2266,TAB_CORRECAO_U[[Q_DIAS_U_PARC_TIR]:[V_FUT_U_CORC-02]],E$5, FALSE)</f>
        <v>#N/A</v>
      </c>
      <c r="F2266" s="22" t="e">
        <f>VLOOKUP($A2266,TAB_AMORTIZACAO_U[[Q_DIAS_U_PARC_TIR]:[V_FUT_U_PCPL-02]], F$5, FALSE)</f>
        <v>#N/A</v>
      </c>
      <c r="H2266" s="20">
        <f t="shared" si="182"/>
        <v>0</v>
      </c>
      <c r="I2266" s="21">
        <f t="shared" si="183"/>
        <v>0</v>
      </c>
      <c r="J2266" s="22" t="e">
        <f>VLOOKUP($A2266, TAB_JUROS_C[[DIAS_CORRIDOS]:[V_FUT_UTEIS]], J$5, FALSE)</f>
        <v>#N/A</v>
      </c>
      <c r="K2266" s="22" t="e">
        <f>VLOOKUP($A2266, TAB_CORRECAO_C[[DIAS_CORRIDOS]:[V_FUT_UTEIS]],K$5, FALSE)</f>
        <v>#N/A</v>
      </c>
      <c r="L2266" s="22" t="e">
        <f>VLOOKUP($A2266, TAB_AMORTIZACAO_C[[DIAS_CORRIDOS]:[V_FUT_UTEIS]], L$5, FALSE)</f>
        <v>#N/A</v>
      </c>
    </row>
    <row r="2267" spans="1:12" hidden="1">
      <c r="A2267" s="19">
        <f t="shared" si="184"/>
        <v>2261</v>
      </c>
      <c r="B2267" s="20">
        <f t="shared" si="180"/>
        <v>0</v>
      </c>
      <c r="C2267" s="21">
        <f t="shared" si="181"/>
        <v>0</v>
      </c>
      <c r="D2267" s="22" t="e">
        <f>VLOOKUP($A2267, TAB_JUROS_U[[Q_DIAS_U_PARC_TIR]:[V_FUT_U_JURS CENARIO]], D$5, FALSE)</f>
        <v>#N/A</v>
      </c>
      <c r="E2267" s="22" t="e">
        <f>VLOOKUP($A2267,TAB_CORRECAO_U[[Q_DIAS_U_PARC_TIR]:[V_FUT_U_CORC-02]],E$5, FALSE)</f>
        <v>#N/A</v>
      </c>
      <c r="F2267" s="22" t="e">
        <f>VLOOKUP($A2267,TAB_AMORTIZACAO_U[[Q_DIAS_U_PARC_TIR]:[V_FUT_U_PCPL-02]], F$5, FALSE)</f>
        <v>#N/A</v>
      </c>
      <c r="H2267" s="20">
        <f t="shared" si="182"/>
        <v>0</v>
      </c>
      <c r="I2267" s="21">
        <f t="shared" si="183"/>
        <v>0</v>
      </c>
      <c r="J2267" s="22" t="e">
        <f>VLOOKUP($A2267, TAB_JUROS_C[[DIAS_CORRIDOS]:[V_FUT_UTEIS]], J$5, FALSE)</f>
        <v>#N/A</v>
      </c>
      <c r="K2267" s="22" t="e">
        <f>VLOOKUP($A2267, TAB_CORRECAO_C[[DIAS_CORRIDOS]:[V_FUT_UTEIS]],K$5, FALSE)</f>
        <v>#N/A</v>
      </c>
      <c r="L2267" s="22" t="e">
        <f>VLOOKUP($A2267, TAB_AMORTIZACAO_C[[DIAS_CORRIDOS]:[V_FUT_UTEIS]], L$5, FALSE)</f>
        <v>#N/A</v>
      </c>
    </row>
    <row r="2268" spans="1:12" hidden="1">
      <c r="A2268" s="19">
        <f t="shared" si="184"/>
        <v>2262</v>
      </c>
      <c r="B2268" s="20">
        <f t="shared" si="180"/>
        <v>0</v>
      </c>
      <c r="C2268" s="21">
        <f t="shared" si="181"/>
        <v>0</v>
      </c>
      <c r="D2268" s="22" t="e">
        <f>VLOOKUP($A2268, TAB_JUROS_U[[Q_DIAS_U_PARC_TIR]:[V_FUT_U_JURS CENARIO]], D$5, FALSE)</f>
        <v>#N/A</v>
      </c>
      <c r="E2268" s="22" t="e">
        <f>VLOOKUP($A2268,TAB_CORRECAO_U[[Q_DIAS_U_PARC_TIR]:[V_FUT_U_CORC-02]],E$5, FALSE)</f>
        <v>#N/A</v>
      </c>
      <c r="F2268" s="22" t="e">
        <f>VLOOKUP($A2268,TAB_AMORTIZACAO_U[[Q_DIAS_U_PARC_TIR]:[V_FUT_U_PCPL-02]], F$5, FALSE)</f>
        <v>#N/A</v>
      </c>
      <c r="H2268" s="20">
        <f t="shared" si="182"/>
        <v>0</v>
      </c>
      <c r="I2268" s="21">
        <f t="shared" si="183"/>
        <v>0</v>
      </c>
      <c r="J2268" s="22" t="e">
        <f>VLOOKUP($A2268, TAB_JUROS_C[[DIAS_CORRIDOS]:[V_FUT_UTEIS]], J$5, FALSE)</f>
        <v>#N/A</v>
      </c>
      <c r="K2268" s="22" t="e">
        <f>VLOOKUP($A2268, TAB_CORRECAO_C[[DIAS_CORRIDOS]:[V_FUT_UTEIS]],K$5, FALSE)</f>
        <v>#N/A</v>
      </c>
      <c r="L2268" s="22" t="e">
        <f>VLOOKUP($A2268, TAB_AMORTIZACAO_C[[DIAS_CORRIDOS]:[V_FUT_UTEIS]], L$5, FALSE)</f>
        <v>#N/A</v>
      </c>
    </row>
    <row r="2269" spans="1:12" hidden="1">
      <c r="A2269" s="19">
        <f t="shared" si="184"/>
        <v>2263</v>
      </c>
      <c r="B2269" s="20">
        <f t="shared" si="180"/>
        <v>0</v>
      </c>
      <c r="C2269" s="21">
        <f t="shared" si="181"/>
        <v>0</v>
      </c>
      <c r="D2269" s="22" t="e">
        <f>VLOOKUP($A2269, TAB_JUROS_U[[Q_DIAS_U_PARC_TIR]:[V_FUT_U_JURS CENARIO]], D$5, FALSE)</f>
        <v>#N/A</v>
      </c>
      <c r="E2269" s="22" t="e">
        <f>VLOOKUP($A2269,TAB_CORRECAO_U[[Q_DIAS_U_PARC_TIR]:[V_FUT_U_CORC-02]],E$5, FALSE)</f>
        <v>#N/A</v>
      </c>
      <c r="F2269" s="22" t="e">
        <f>VLOOKUP($A2269,TAB_AMORTIZACAO_U[[Q_DIAS_U_PARC_TIR]:[V_FUT_U_PCPL-02]], F$5, FALSE)</f>
        <v>#N/A</v>
      </c>
      <c r="H2269" s="20">
        <f t="shared" si="182"/>
        <v>477.98840396980097</v>
      </c>
      <c r="I2269" s="21">
        <f t="shared" si="183"/>
        <v>477.98840396980097</v>
      </c>
      <c r="J2269" s="22">
        <f>VLOOKUP($A2269, TAB_JUROS_C[[DIAS_CORRIDOS]:[V_FUT_UTEIS]], J$5, FALSE)</f>
        <v>29.700060548811926</v>
      </c>
      <c r="K2269" s="22">
        <f>VLOOKUP($A2269, TAB_CORRECAO_C[[DIAS_CORRIDOS]:[V_FUT_UTEIS]],K$5, FALSE)</f>
        <v>179.70453500874191</v>
      </c>
      <c r="L2269" s="22">
        <f>VLOOKUP($A2269, TAB_AMORTIZACAO_C[[DIAS_CORRIDOS]:[V_FUT_UTEIS]], L$5, FALSE)</f>
        <v>268.58380841224715</v>
      </c>
    </row>
    <row r="2270" spans="1:12" hidden="1">
      <c r="A2270" s="19">
        <f t="shared" si="184"/>
        <v>2264</v>
      </c>
      <c r="B2270" s="20">
        <f t="shared" si="180"/>
        <v>0</v>
      </c>
      <c r="C2270" s="21">
        <f t="shared" si="181"/>
        <v>0</v>
      </c>
      <c r="D2270" s="22" t="e">
        <f>VLOOKUP($A2270, TAB_JUROS_U[[Q_DIAS_U_PARC_TIR]:[V_FUT_U_JURS CENARIO]], D$5, FALSE)</f>
        <v>#N/A</v>
      </c>
      <c r="E2270" s="22" t="e">
        <f>VLOOKUP($A2270,TAB_CORRECAO_U[[Q_DIAS_U_PARC_TIR]:[V_FUT_U_CORC-02]],E$5, FALSE)</f>
        <v>#N/A</v>
      </c>
      <c r="F2270" s="22" t="e">
        <f>VLOOKUP($A2270,TAB_AMORTIZACAO_U[[Q_DIAS_U_PARC_TIR]:[V_FUT_U_PCPL-02]], F$5, FALSE)</f>
        <v>#N/A</v>
      </c>
      <c r="H2270" s="20">
        <f t="shared" si="182"/>
        <v>0</v>
      </c>
      <c r="I2270" s="21">
        <f t="shared" si="183"/>
        <v>0</v>
      </c>
      <c r="J2270" s="22" t="e">
        <f>VLOOKUP($A2270, TAB_JUROS_C[[DIAS_CORRIDOS]:[V_FUT_UTEIS]], J$5, FALSE)</f>
        <v>#N/A</v>
      </c>
      <c r="K2270" s="22" t="e">
        <f>VLOOKUP($A2270, TAB_CORRECAO_C[[DIAS_CORRIDOS]:[V_FUT_UTEIS]],K$5, FALSE)</f>
        <v>#N/A</v>
      </c>
      <c r="L2270" s="22" t="e">
        <f>VLOOKUP($A2270, TAB_AMORTIZACAO_C[[DIAS_CORRIDOS]:[V_FUT_UTEIS]], L$5, FALSE)</f>
        <v>#N/A</v>
      </c>
    </row>
    <row r="2271" spans="1:12" hidden="1">
      <c r="A2271" s="19">
        <f t="shared" si="184"/>
        <v>2265</v>
      </c>
      <c r="B2271" s="20">
        <f t="shared" si="180"/>
        <v>0</v>
      </c>
      <c r="C2271" s="21">
        <f t="shared" si="181"/>
        <v>0</v>
      </c>
      <c r="D2271" s="22" t="e">
        <f>VLOOKUP($A2271, TAB_JUROS_U[[Q_DIAS_U_PARC_TIR]:[V_FUT_U_JURS CENARIO]], D$5, FALSE)</f>
        <v>#N/A</v>
      </c>
      <c r="E2271" s="22" t="e">
        <f>VLOOKUP($A2271,TAB_CORRECAO_U[[Q_DIAS_U_PARC_TIR]:[V_FUT_U_CORC-02]],E$5, FALSE)</f>
        <v>#N/A</v>
      </c>
      <c r="F2271" s="22" t="e">
        <f>VLOOKUP($A2271,TAB_AMORTIZACAO_U[[Q_DIAS_U_PARC_TIR]:[V_FUT_U_PCPL-02]], F$5, FALSE)</f>
        <v>#N/A</v>
      </c>
      <c r="H2271" s="20">
        <f t="shared" si="182"/>
        <v>0</v>
      </c>
      <c r="I2271" s="21">
        <f t="shared" si="183"/>
        <v>0</v>
      </c>
      <c r="J2271" s="22" t="e">
        <f>VLOOKUP($A2271, TAB_JUROS_C[[DIAS_CORRIDOS]:[V_FUT_UTEIS]], J$5, FALSE)</f>
        <v>#N/A</v>
      </c>
      <c r="K2271" s="22" t="e">
        <f>VLOOKUP($A2271, TAB_CORRECAO_C[[DIAS_CORRIDOS]:[V_FUT_UTEIS]],K$5, FALSE)</f>
        <v>#N/A</v>
      </c>
      <c r="L2271" s="22" t="e">
        <f>VLOOKUP($A2271, TAB_AMORTIZACAO_C[[DIAS_CORRIDOS]:[V_FUT_UTEIS]], L$5, FALSE)</f>
        <v>#N/A</v>
      </c>
    </row>
    <row r="2272" spans="1:12" hidden="1">
      <c r="A2272" s="19">
        <f t="shared" si="184"/>
        <v>2266</v>
      </c>
      <c r="B2272" s="20">
        <f t="shared" si="180"/>
        <v>0</v>
      </c>
      <c r="C2272" s="21">
        <f t="shared" si="181"/>
        <v>0</v>
      </c>
      <c r="D2272" s="22" t="e">
        <f>VLOOKUP($A2272, TAB_JUROS_U[[Q_DIAS_U_PARC_TIR]:[V_FUT_U_JURS CENARIO]], D$5, FALSE)</f>
        <v>#N/A</v>
      </c>
      <c r="E2272" s="22" t="e">
        <f>VLOOKUP($A2272,TAB_CORRECAO_U[[Q_DIAS_U_PARC_TIR]:[V_FUT_U_CORC-02]],E$5, FALSE)</f>
        <v>#N/A</v>
      </c>
      <c r="F2272" s="22" t="e">
        <f>VLOOKUP($A2272,TAB_AMORTIZACAO_U[[Q_DIAS_U_PARC_TIR]:[V_FUT_U_PCPL-02]], F$5, FALSE)</f>
        <v>#N/A</v>
      </c>
      <c r="H2272" s="20">
        <f t="shared" si="182"/>
        <v>0</v>
      </c>
      <c r="I2272" s="21">
        <f t="shared" si="183"/>
        <v>0</v>
      </c>
      <c r="J2272" s="22" t="e">
        <f>VLOOKUP($A2272, TAB_JUROS_C[[DIAS_CORRIDOS]:[V_FUT_UTEIS]], J$5, FALSE)</f>
        <v>#N/A</v>
      </c>
      <c r="K2272" s="22" t="e">
        <f>VLOOKUP($A2272, TAB_CORRECAO_C[[DIAS_CORRIDOS]:[V_FUT_UTEIS]],K$5, FALSE)</f>
        <v>#N/A</v>
      </c>
      <c r="L2272" s="22" t="e">
        <f>VLOOKUP($A2272, TAB_AMORTIZACAO_C[[DIAS_CORRIDOS]:[V_FUT_UTEIS]], L$5, FALSE)</f>
        <v>#N/A</v>
      </c>
    </row>
    <row r="2273" spans="1:12" hidden="1">
      <c r="A2273" s="19">
        <f t="shared" si="184"/>
        <v>2267</v>
      </c>
      <c r="B2273" s="20">
        <f t="shared" si="180"/>
        <v>0</v>
      </c>
      <c r="C2273" s="21">
        <f t="shared" si="181"/>
        <v>0</v>
      </c>
      <c r="D2273" s="22" t="e">
        <f>VLOOKUP($A2273, TAB_JUROS_U[[Q_DIAS_U_PARC_TIR]:[V_FUT_U_JURS CENARIO]], D$5, FALSE)</f>
        <v>#N/A</v>
      </c>
      <c r="E2273" s="22" t="e">
        <f>VLOOKUP($A2273,TAB_CORRECAO_U[[Q_DIAS_U_PARC_TIR]:[V_FUT_U_CORC-02]],E$5, FALSE)</f>
        <v>#N/A</v>
      </c>
      <c r="F2273" s="22" t="e">
        <f>VLOOKUP($A2273,TAB_AMORTIZACAO_U[[Q_DIAS_U_PARC_TIR]:[V_FUT_U_PCPL-02]], F$5, FALSE)</f>
        <v>#N/A</v>
      </c>
      <c r="H2273" s="20">
        <f t="shared" si="182"/>
        <v>0</v>
      </c>
      <c r="I2273" s="21">
        <f t="shared" si="183"/>
        <v>0</v>
      </c>
      <c r="J2273" s="22" t="e">
        <f>VLOOKUP($A2273, TAB_JUROS_C[[DIAS_CORRIDOS]:[V_FUT_UTEIS]], J$5, FALSE)</f>
        <v>#N/A</v>
      </c>
      <c r="K2273" s="22" t="e">
        <f>VLOOKUP($A2273, TAB_CORRECAO_C[[DIAS_CORRIDOS]:[V_FUT_UTEIS]],K$5, FALSE)</f>
        <v>#N/A</v>
      </c>
      <c r="L2273" s="22" t="e">
        <f>VLOOKUP($A2273, TAB_AMORTIZACAO_C[[DIAS_CORRIDOS]:[V_FUT_UTEIS]], L$5, FALSE)</f>
        <v>#N/A</v>
      </c>
    </row>
    <row r="2274" spans="1:12" hidden="1">
      <c r="A2274" s="19">
        <f t="shared" si="184"/>
        <v>2268</v>
      </c>
      <c r="B2274" s="20">
        <f t="shared" si="180"/>
        <v>0</v>
      </c>
      <c r="C2274" s="21">
        <f t="shared" si="181"/>
        <v>0</v>
      </c>
      <c r="D2274" s="22" t="e">
        <f>VLOOKUP($A2274, TAB_JUROS_U[[Q_DIAS_U_PARC_TIR]:[V_FUT_U_JURS CENARIO]], D$5, FALSE)</f>
        <v>#N/A</v>
      </c>
      <c r="E2274" s="22" t="e">
        <f>VLOOKUP($A2274,TAB_CORRECAO_U[[Q_DIAS_U_PARC_TIR]:[V_FUT_U_CORC-02]],E$5, FALSE)</f>
        <v>#N/A</v>
      </c>
      <c r="F2274" s="22" t="e">
        <f>VLOOKUP($A2274,TAB_AMORTIZACAO_U[[Q_DIAS_U_PARC_TIR]:[V_FUT_U_PCPL-02]], F$5, FALSE)</f>
        <v>#N/A</v>
      </c>
      <c r="H2274" s="20">
        <f t="shared" si="182"/>
        <v>0</v>
      </c>
      <c r="I2274" s="21">
        <f t="shared" si="183"/>
        <v>0</v>
      </c>
      <c r="J2274" s="22" t="e">
        <f>VLOOKUP($A2274, TAB_JUROS_C[[DIAS_CORRIDOS]:[V_FUT_UTEIS]], J$5, FALSE)</f>
        <v>#N/A</v>
      </c>
      <c r="K2274" s="22" t="e">
        <f>VLOOKUP($A2274, TAB_CORRECAO_C[[DIAS_CORRIDOS]:[V_FUT_UTEIS]],K$5, FALSE)</f>
        <v>#N/A</v>
      </c>
      <c r="L2274" s="22" t="e">
        <f>VLOOKUP($A2274, TAB_AMORTIZACAO_C[[DIAS_CORRIDOS]:[V_FUT_UTEIS]], L$5, FALSE)</f>
        <v>#N/A</v>
      </c>
    </row>
    <row r="2275" spans="1:12" hidden="1">
      <c r="A2275" s="19">
        <f t="shared" si="184"/>
        <v>2269</v>
      </c>
      <c r="B2275" s="20">
        <f t="shared" si="180"/>
        <v>0</v>
      </c>
      <c r="C2275" s="21">
        <f t="shared" si="181"/>
        <v>0</v>
      </c>
      <c r="D2275" s="22" t="e">
        <f>VLOOKUP($A2275, TAB_JUROS_U[[Q_DIAS_U_PARC_TIR]:[V_FUT_U_JURS CENARIO]], D$5, FALSE)</f>
        <v>#N/A</v>
      </c>
      <c r="E2275" s="22" t="e">
        <f>VLOOKUP($A2275,TAB_CORRECAO_U[[Q_DIAS_U_PARC_TIR]:[V_FUT_U_CORC-02]],E$5, FALSE)</f>
        <v>#N/A</v>
      </c>
      <c r="F2275" s="22" t="e">
        <f>VLOOKUP($A2275,TAB_AMORTIZACAO_U[[Q_DIAS_U_PARC_TIR]:[V_FUT_U_PCPL-02]], F$5, FALSE)</f>
        <v>#N/A</v>
      </c>
      <c r="H2275" s="20">
        <f t="shared" si="182"/>
        <v>0</v>
      </c>
      <c r="I2275" s="21">
        <f t="shared" si="183"/>
        <v>0</v>
      </c>
      <c r="J2275" s="22" t="e">
        <f>VLOOKUP($A2275, TAB_JUROS_C[[DIAS_CORRIDOS]:[V_FUT_UTEIS]], J$5, FALSE)</f>
        <v>#N/A</v>
      </c>
      <c r="K2275" s="22" t="e">
        <f>VLOOKUP($A2275, TAB_CORRECAO_C[[DIAS_CORRIDOS]:[V_FUT_UTEIS]],K$5, FALSE)</f>
        <v>#N/A</v>
      </c>
      <c r="L2275" s="22" t="e">
        <f>VLOOKUP($A2275, TAB_AMORTIZACAO_C[[DIAS_CORRIDOS]:[V_FUT_UTEIS]], L$5, FALSE)</f>
        <v>#N/A</v>
      </c>
    </row>
    <row r="2276" spans="1:12" hidden="1">
      <c r="A2276" s="19">
        <f t="shared" si="184"/>
        <v>2270</v>
      </c>
      <c r="B2276" s="20">
        <f t="shared" si="180"/>
        <v>0</v>
      </c>
      <c r="C2276" s="21">
        <f t="shared" si="181"/>
        <v>0</v>
      </c>
      <c r="D2276" s="22" t="e">
        <f>VLOOKUP($A2276, TAB_JUROS_U[[Q_DIAS_U_PARC_TIR]:[V_FUT_U_JURS CENARIO]], D$5, FALSE)</f>
        <v>#N/A</v>
      </c>
      <c r="E2276" s="22" t="e">
        <f>VLOOKUP($A2276,TAB_CORRECAO_U[[Q_DIAS_U_PARC_TIR]:[V_FUT_U_CORC-02]],E$5, FALSE)</f>
        <v>#N/A</v>
      </c>
      <c r="F2276" s="22" t="e">
        <f>VLOOKUP($A2276,TAB_AMORTIZACAO_U[[Q_DIAS_U_PARC_TIR]:[V_FUT_U_PCPL-02]], F$5, FALSE)</f>
        <v>#N/A</v>
      </c>
      <c r="H2276" s="20">
        <f t="shared" si="182"/>
        <v>0</v>
      </c>
      <c r="I2276" s="21">
        <f t="shared" si="183"/>
        <v>0</v>
      </c>
      <c r="J2276" s="22" t="e">
        <f>VLOOKUP($A2276, TAB_JUROS_C[[DIAS_CORRIDOS]:[V_FUT_UTEIS]], J$5, FALSE)</f>
        <v>#N/A</v>
      </c>
      <c r="K2276" s="22" t="e">
        <f>VLOOKUP($A2276, TAB_CORRECAO_C[[DIAS_CORRIDOS]:[V_FUT_UTEIS]],K$5, FALSE)</f>
        <v>#N/A</v>
      </c>
      <c r="L2276" s="22" t="e">
        <f>VLOOKUP($A2276, TAB_AMORTIZACAO_C[[DIAS_CORRIDOS]:[V_FUT_UTEIS]], L$5, FALSE)</f>
        <v>#N/A</v>
      </c>
    </row>
    <row r="2277" spans="1:12" hidden="1">
      <c r="A2277" s="19">
        <f t="shared" si="184"/>
        <v>2271</v>
      </c>
      <c r="B2277" s="20">
        <f t="shared" si="180"/>
        <v>0</v>
      </c>
      <c r="C2277" s="21">
        <f t="shared" si="181"/>
        <v>0</v>
      </c>
      <c r="D2277" s="22" t="e">
        <f>VLOOKUP($A2277, TAB_JUROS_U[[Q_DIAS_U_PARC_TIR]:[V_FUT_U_JURS CENARIO]], D$5, FALSE)</f>
        <v>#N/A</v>
      </c>
      <c r="E2277" s="22" t="e">
        <f>VLOOKUP($A2277,TAB_CORRECAO_U[[Q_DIAS_U_PARC_TIR]:[V_FUT_U_CORC-02]],E$5, FALSE)</f>
        <v>#N/A</v>
      </c>
      <c r="F2277" s="22" t="e">
        <f>VLOOKUP($A2277,TAB_AMORTIZACAO_U[[Q_DIAS_U_PARC_TIR]:[V_FUT_U_PCPL-02]], F$5, FALSE)</f>
        <v>#N/A</v>
      </c>
      <c r="H2277" s="20">
        <f t="shared" si="182"/>
        <v>0</v>
      </c>
      <c r="I2277" s="21">
        <f t="shared" si="183"/>
        <v>0</v>
      </c>
      <c r="J2277" s="22" t="e">
        <f>VLOOKUP($A2277, TAB_JUROS_C[[DIAS_CORRIDOS]:[V_FUT_UTEIS]], J$5, FALSE)</f>
        <v>#N/A</v>
      </c>
      <c r="K2277" s="22" t="e">
        <f>VLOOKUP($A2277, TAB_CORRECAO_C[[DIAS_CORRIDOS]:[V_FUT_UTEIS]],K$5, FALSE)</f>
        <v>#N/A</v>
      </c>
      <c r="L2277" s="22" t="e">
        <f>VLOOKUP($A2277, TAB_AMORTIZACAO_C[[DIAS_CORRIDOS]:[V_FUT_UTEIS]], L$5, FALSE)</f>
        <v>#N/A</v>
      </c>
    </row>
    <row r="2278" spans="1:12">
      <c r="A2278" s="19">
        <f t="shared" si="184"/>
        <v>2272</v>
      </c>
      <c r="B2278" s="20">
        <f t="shared" si="180"/>
        <v>225.70046023467233</v>
      </c>
      <c r="C2278" s="21">
        <f t="shared" si="181"/>
        <v>225.70046023467233</v>
      </c>
      <c r="D2278" s="22">
        <f>VLOOKUP($A2278, TAB_JUROS_U[[Q_DIAS_U_PARC_TIR]:[V_FUT_U_JURS CENARIO]], D$5, FALSE)</f>
        <v>10.331663311429224</v>
      </c>
      <c r="E2278" s="22">
        <f>VLOOKUP($A2278,TAB_CORRECAO_U[[Q_DIAS_U_PARC_TIR]:[V_FUT_U_CORC-02]],E$5, FALSE)</f>
        <v>63.098950471583279</v>
      </c>
      <c r="F2278" s="22">
        <f>VLOOKUP($A2278,TAB_AMORTIZACAO_U[[Q_DIAS_U_PARC_TIR]:[V_FUT_U_PCPL-02]], F$5, FALSE)</f>
        <v>152.26984645165982</v>
      </c>
      <c r="H2278" s="20">
        <f t="shared" si="182"/>
        <v>0</v>
      </c>
      <c r="I2278" s="21">
        <f t="shared" si="183"/>
        <v>0</v>
      </c>
      <c r="J2278" s="22" t="e">
        <f>VLOOKUP($A2278, TAB_JUROS_C[[DIAS_CORRIDOS]:[V_FUT_UTEIS]], J$5, FALSE)</f>
        <v>#N/A</v>
      </c>
      <c r="K2278" s="22" t="e">
        <f>VLOOKUP($A2278, TAB_CORRECAO_C[[DIAS_CORRIDOS]:[V_FUT_UTEIS]],K$5, FALSE)</f>
        <v>#N/A</v>
      </c>
      <c r="L2278" s="22" t="e">
        <f>VLOOKUP($A2278, TAB_AMORTIZACAO_C[[DIAS_CORRIDOS]:[V_FUT_UTEIS]], L$5, FALSE)</f>
        <v>#N/A</v>
      </c>
    </row>
    <row r="2279" spans="1:12" hidden="1">
      <c r="A2279" s="19">
        <f t="shared" si="184"/>
        <v>2273</v>
      </c>
      <c r="B2279" s="20">
        <f t="shared" si="180"/>
        <v>0</v>
      </c>
      <c r="C2279" s="21">
        <f t="shared" si="181"/>
        <v>0</v>
      </c>
      <c r="D2279" s="22" t="e">
        <f>VLOOKUP($A2279, TAB_JUROS_U[[Q_DIAS_U_PARC_TIR]:[V_FUT_U_JURS CENARIO]], D$5, FALSE)</f>
        <v>#N/A</v>
      </c>
      <c r="E2279" s="22" t="e">
        <f>VLOOKUP($A2279,TAB_CORRECAO_U[[Q_DIAS_U_PARC_TIR]:[V_FUT_U_CORC-02]],E$5, FALSE)</f>
        <v>#N/A</v>
      </c>
      <c r="F2279" s="22" t="e">
        <f>VLOOKUP($A2279,TAB_AMORTIZACAO_U[[Q_DIAS_U_PARC_TIR]:[V_FUT_U_PCPL-02]], F$5, FALSE)</f>
        <v>#N/A</v>
      </c>
      <c r="H2279" s="20">
        <f t="shared" si="182"/>
        <v>0</v>
      </c>
      <c r="I2279" s="21">
        <f t="shared" si="183"/>
        <v>0</v>
      </c>
      <c r="J2279" s="22" t="e">
        <f>VLOOKUP($A2279, TAB_JUROS_C[[DIAS_CORRIDOS]:[V_FUT_UTEIS]], J$5, FALSE)</f>
        <v>#N/A</v>
      </c>
      <c r="K2279" s="22" t="e">
        <f>VLOOKUP($A2279, TAB_CORRECAO_C[[DIAS_CORRIDOS]:[V_FUT_UTEIS]],K$5, FALSE)</f>
        <v>#N/A</v>
      </c>
      <c r="L2279" s="22" t="e">
        <f>VLOOKUP($A2279, TAB_AMORTIZACAO_C[[DIAS_CORRIDOS]:[V_FUT_UTEIS]], L$5, FALSE)</f>
        <v>#N/A</v>
      </c>
    </row>
    <row r="2280" spans="1:12" hidden="1">
      <c r="A2280" s="19">
        <f t="shared" si="184"/>
        <v>2274</v>
      </c>
      <c r="B2280" s="20">
        <f t="shared" si="180"/>
        <v>0</v>
      </c>
      <c r="C2280" s="21">
        <f t="shared" si="181"/>
        <v>0</v>
      </c>
      <c r="D2280" s="22" t="e">
        <f>VLOOKUP($A2280, TAB_JUROS_U[[Q_DIAS_U_PARC_TIR]:[V_FUT_U_JURS CENARIO]], D$5, FALSE)</f>
        <v>#N/A</v>
      </c>
      <c r="E2280" s="22" t="e">
        <f>VLOOKUP($A2280,TAB_CORRECAO_U[[Q_DIAS_U_PARC_TIR]:[V_FUT_U_CORC-02]],E$5, FALSE)</f>
        <v>#N/A</v>
      </c>
      <c r="F2280" s="22" t="e">
        <f>VLOOKUP($A2280,TAB_AMORTIZACAO_U[[Q_DIAS_U_PARC_TIR]:[V_FUT_U_PCPL-02]], F$5, FALSE)</f>
        <v>#N/A</v>
      </c>
      <c r="H2280" s="20">
        <f t="shared" si="182"/>
        <v>0</v>
      </c>
      <c r="I2280" s="21">
        <f t="shared" si="183"/>
        <v>0</v>
      </c>
      <c r="J2280" s="22" t="e">
        <f>VLOOKUP($A2280, TAB_JUROS_C[[DIAS_CORRIDOS]:[V_FUT_UTEIS]], J$5, FALSE)</f>
        <v>#N/A</v>
      </c>
      <c r="K2280" s="22" t="e">
        <f>VLOOKUP($A2280, TAB_CORRECAO_C[[DIAS_CORRIDOS]:[V_FUT_UTEIS]],K$5, FALSE)</f>
        <v>#N/A</v>
      </c>
      <c r="L2280" s="22" t="e">
        <f>VLOOKUP($A2280, TAB_AMORTIZACAO_C[[DIAS_CORRIDOS]:[V_FUT_UTEIS]], L$5, FALSE)</f>
        <v>#N/A</v>
      </c>
    </row>
    <row r="2281" spans="1:12" hidden="1">
      <c r="A2281" s="19">
        <f t="shared" si="184"/>
        <v>2275</v>
      </c>
      <c r="B2281" s="20">
        <f t="shared" si="180"/>
        <v>0</v>
      </c>
      <c r="C2281" s="21">
        <f t="shared" si="181"/>
        <v>0</v>
      </c>
      <c r="D2281" s="22" t="e">
        <f>VLOOKUP($A2281, TAB_JUROS_U[[Q_DIAS_U_PARC_TIR]:[V_FUT_U_JURS CENARIO]], D$5, FALSE)</f>
        <v>#N/A</v>
      </c>
      <c r="E2281" s="22" t="e">
        <f>VLOOKUP($A2281,TAB_CORRECAO_U[[Q_DIAS_U_PARC_TIR]:[V_FUT_U_CORC-02]],E$5, FALSE)</f>
        <v>#N/A</v>
      </c>
      <c r="F2281" s="22" t="e">
        <f>VLOOKUP($A2281,TAB_AMORTIZACAO_U[[Q_DIAS_U_PARC_TIR]:[V_FUT_U_PCPL-02]], F$5, FALSE)</f>
        <v>#N/A</v>
      </c>
      <c r="H2281" s="20">
        <f t="shared" si="182"/>
        <v>0</v>
      </c>
      <c r="I2281" s="21">
        <f t="shared" si="183"/>
        <v>0</v>
      </c>
      <c r="J2281" s="22" t="e">
        <f>VLOOKUP($A2281, TAB_JUROS_C[[DIAS_CORRIDOS]:[V_FUT_UTEIS]], J$5, FALSE)</f>
        <v>#N/A</v>
      </c>
      <c r="K2281" s="22" t="e">
        <f>VLOOKUP($A2281, TAB_CORRECAO_C[[DIAS_CORRIDOS]:[V_FUT_UTEIS]],K$5, FALSE)</f>
        <v>#N/A</v>
      </c>
      <c r="L2281" s="22" t="e">
        <f>VLOOKUP($A2281, TAB_AMORTIZACAO_C[[DIAS_CORRIDOS]:[V_FUT_UTEIS]], L$5, FALSE)</f>
        <v>#N/A</v>
      </c>
    </row>
    <row r="2282" spans="1:12" hidden="1">
      <c r="A2282" s="19">
        <f t="shared" si="184"/>
        <v>2276</v>
      </c>
      <c r="B2282" s="20">
        <f t="shared" si="180"/>
        <v>0</v>
      </c>
      <c r="C2282" s="21">
        <f t="shared" si="181"/>
        <v>0</v>
      </c>
      <c r="D2282" s="22" t="e">
        <f>VLOOKUP($A2282, TAB_JUROS_U[[Q_DIAS_U_PARC_TIR]:[V_FUT_U_JURS CENARIO]], D$5, FALSE)</f>
        <v>#N/A</v>
      </c>
      <c r="E2282" s="22" t="e">
        <f>VLOOKUP($A2282,TAB_CORRECAO_U[[Q_DIAS_U_PARC_TIR]:[V_FUT_U_CORC-02]],E$5, FALSE)</f>
        <v>#N/A</v>
      </c>
      <c r="F2282" s="22" t="e">
        <f>VLOOKUP($A2282,TAB_AMORTIZACAO_U[[Q_DIAS_U_PARC_TIR]:[V_FUT_U_PCPL-02]], F$5, FALSE)</f>
        <v>#N/A</v>
      </c>
      <c r="H2282" s="20">
        <f t="shared" si="182"/>
        <v>0</v>
      </c>
      <c r="I2282" s="21">
        <f t="shared" si="183"/>
        <v>0</v>
      </c>
      <c r="J2282" s="22" t="e">
        <f>VLOOKUP($A2282, TAB_JUROS_C[[DIAS_CORRIDOS]:[V_FUT_UTEIS]], J$5, FALSE)</f>
        <v>#N/A</v>
      </c>
      <c r="K2282" s="22" t="e">
        <f>VLOOKUP($A2282, TAB_CORRECAO_C[[DIAS_CORRIDOS]:[V_FUT_UTEIS]],K$5, FALSE)</f>
        <v>#N/A</v>
      </c>
      <c r="L2282" s="22" t="e">
        <f>VLOOKUP($A2282, TAB_AMORTIZACAO_C[[DIAS_CORRIDOS]:[V_FUT_UTEIS]], L$5, FALSE)</f>
        <v>#N/A</v>
      </c>
    </row>
    <row r="2283" spans="1:12" hidden="1">
      <c r="A2283" s="19">
        <f t="shared" si="184"/>
        <v>2277</v>
      </c>
      <c r="B2283" s="20">
        <f t="shared" si="180"/>
        <v>0</v>
      </c>
      <c r="C2283" s="21">
        <f t="shared" si="181"/>
        <v>0</v>
      </c>
      <c r="D2283" s="22" t="e">
        <f>VLOOKUP($A2283, TAB_JUROS_U[[Q_DIAS_U_PARC_TIR]:[V_FUT_U_JURS CENARIO]], D$5, FALSE)</f>
        <v>#N/A</v>
      </c>
      <c r="E2283" s="22" t="e">
        <f>VLOOKUP($A2283,TAB_CORRECAO_U[[Q_DIAS_U_PARC_TIR]:[V_FUT_U_CORC-02]],E$5, FALSE)</f>
        <v>#N/A</v>
      </c>
      <c r="F2283" s="22" t="e">
        <f>VLOOKUP($A2283,TAB_AMORTIZACAO_U[[Q_DIAS_U_PARC_TIR]:[V_FUT_U_PCPL-02]], F$5, FALSE)</f>
        <v>#N/A</v>
      </c>
      <c r="H2283" s="20">
        <f t="shared" si="182"/>
        <v>0</v>
      </c>
      <c r="I2283" s="21">
        <f t="shared" si="183"/>
        <v>0</v>
      </c>
      <c r="J2283" s="22" t="e">
        <f>VLOOKUP($A2283, TAB_JUROS_C[[DIAS_CORRIDOS]:[V_FUT_UTEIS]], J$5, FALSE)</f>
        <v>#N/A</v>
      </c>
      <c r="K2283" s="22" t="e">
        <f>VLOOKUP($A2283, TAB_CORRECAO_C[[DIAS_CORRIDOS]:[V_FUT_UTEIS]],K$5, FALSE)</f>
        <v>#N/A</v>
      </c>
      <c r="L2283" s="22" t="e">
        <f>VLOOKUP($A2283, TAB_AMORTIZACAO_C[[DIAS_CORRIDOS]:[V_FUT_UTEIS]], L$5, FALSE)</f>
        <v>#N/A</v>
      </c>
    </row>
    <row r="2284" spans="1:12" hidden="1">
      <c r="A2284" s="19">
        <f t="shared" si="184"/>
        <v>2278</v>
      </c>
      <c r="B2284" s="20">
        <f t="shared" si="180"/>
        <v>0</v>
      </c>
      <c r="C2284" s="21">
        <f t="shared" si="181"/>
        <v>0</v>
      </c>
      <c r="D2284" s="22" t="e">
        <f>VLOOKUP($A2284, TAB_JUROS_U[[Q_DIAS_U_PARC_TIR]:[V_FUT_U_JURS CENARIO]], D$5, FALSE)</f>
        <v>#N/A</v>
      </c>
      <c r="E2284" s="22" t="e">
        <f>VLOOKUP($A2284,TAB_CORRECAO_U[[Q_DIAS_U_PARC_TIR]:[V_FUT_U_CORC-02]],E$5, FALSE)</f>
        <v>#N/A</v>
      </c>
      <c r="F2284" s="22" t="e">
        <f>VLOOKUP($A2284,TAB_AMORTIZACAO_U[[Q_DIAS_U_PARC_TIR]:[V_FUT_U_PCPL-02]], F$5, FALSE)</f>
        <v>#N/A</v>
      </c>
      <c r="H2284" s="20">
        <f t="shared" si="182"/>
        <v>0</v>
      </c>
      <c r="I2284" s="21">
        <f t="shared" si="183"/>
        <v>0</v>
      </c>
      <c r="J2284" s="22" t="e">
        <f>VLOOKUP($A2284, TAB_JUROS_C[[DIAS_CORRIDOS]:[V_FUT_UTEIS]], J$5, FALSE)</f>
        <v>#N/A</v>
      </c>
      <c r="K2284" s="22" t="e">
        <f>VLOOKUP($A2284, TAB_CORRECAO_C[[DIAS_CORRIDOS]:[V_FUT_UTEIS]],K$5, FALSE)</f>
        <v>#N/A</v>
      </c>
      <c r="L2284" s="22" t="e">
        <f>VLOOKUP($A2284, TAB_AMORTIZACAO_C[[DIAS_CORRIDOS]:[V_FUT_UTEIS]], L$5, FALSE)</f>
        <v>#N/A</v>
      </c>
    </row>
    <row r="2285" spans="1:12" hidden="1">
      <c r="A2285" s="19">
        <f t="shared" si="184"/>
        <v>2279</v>
      </c>
      <c r="B2285" s="20">
        <f t="shared" si="180"/>
        <v>0</v>
      </c>
      <c r="C2285" s="21">
        <f t="shared" si="181"/>
        <v>0</v>
      </c>
      <c r="D2285" s="22" t="e">
        <f>VLOOKUP($A2285, TAB_JUROS_U[[Q_DIAS_U_PARC_TIR]:[V_FUT_U_JURS CENARIO]], D$5, FALSE)</f>
        <v>#N/A</v>
      </c>
      <c r="E2285" s="22" t="e">
        <f>VLOOKUP($A2285,TAB_CORRECAO_U[[Q_DIAS_U_PARC_TIR]:[V_FUT_U_CORC-02]],E$5, FALSE)</f>
        <v>#N/A</v>
      </c>
      <c r="F2285" s="22" t="e">
        <f>VLOOKUP($A2285,TAB_AMORTIZACAO_U[[Q_DIAS_U_PARC_TIR]:[V_FUT_U_PCPL-02]], F$5, FALSE)</f>
        <v>#N/A</v>
      </c>
      <c r="H2285" s="20">
        <f t="shared" si="182"/>
        <v>0</v>
      </c>
      <c r="I2285" s="21">
        <f t="shared" si="183"/>
        <v>0</v>
      </c>
      <c r="J2285" s="22" t="e">
        <f>VLOOKUP($A2285, TAB_JUROS_C[[DIAS_CORRIDOS]:[V_FUT_UTEIS]], J$5, FALSE)</f>
        <v>#N/A</v>
      </c>
      <c r="K2285" s="22" t="e">
        <f>VLOOKUP($A2285, TAB_CORRECAO_C[[DIAS_CORRIDOS]:[V_FUT_UTEIS]],K$5, FALSE)</f>
        <v>#N/A</v>
      </c>
      <c r="L2285" s="22" t="e">
        <f>VLOOKUP($A2285, TAB_AMORTIZACAO_C[[DIAS_CORRIDOS]:[V_FUT_UTEIS]], L$5, FALSE)</f>
        <v>#N/A</v>
      </c>
    </row>
    <row r="2286" spans="1:12" hidden="1">
      <c r="A2286" s="19">
        <f t="shared" si="184"/>
        <v>2280</v>
      </c>
      <c r="B2286" s="20">
        <f t="shared" si="180"/>
        <v>0</v>
      </c>
      <c r="C2286" s="21">
        <f t="shared" si="181"/>
        <v>0</v>
      </c>
      <c r="D2286" s="22" t="e">
        <f>VLOOKUP($A2286, TAB_JUROS_U[[Q_DIAS_U_PARC_TIR]:[V_FUT_U_JURS CENARIO]], D$5, FALSE)</f>
        <v>#N/A</v>
      </c>
      <c r="E2286" s="22" t="e">
        <f>VLOOKUP($A2286,TAB_CORRECAO_U[[Q_DIAS_U_PARC_TIR]:[V_FUT_U_CORC-02]],E$5, FALSE)</f>
        <v>#N/A</v>
      </c>
      <c r="F2286" s="22" t="e">
        <f>VLOOKUP($A2286,TAB_AMORTIZACAO_U[[Q_DIAS_U_PARC_TIR]:[V_FUT_U_PCPL-02]], F$5, FALSE)</f>
        <v>#N/A</v>
      </c>
      <c r="H2286" s="20">
        <f t="shared" si="182"/>
        <v>0</v>
      </c>
      <c r="I2286" s="21">
        <f t="shared" si="183"/>
        <v>0</v>
      </c>
      <c r="J2286" s="22" t="e">
        <f>VLOOKUP($A2286, TAB_JUROS_C[[DIAS_CORRIDOS]:[V_FUT_UTEIS]], J$5, FALSE)</f>
        <v>#N/A</v>
      </c>
      <c r="K2286" s="22" t="e">
        <f>VLOOKUP($A2286, TAB_CORRECAO_C[[DIAS_CORRIDOS]:[V_FUT_UTEIS]],K$5, FALSE)</f>
        <v>#N/A</v>
      </c>
      <c r="L2286" s="22" t="e">
        <f>VLOOKUP($A2286, TAB_AMORTIZACAO_C[[DIAS_CORRIDOS]:[V_FUT_UTEIS]], L$5, FALSE)</f>
        <v>#N/A</v>
      </c>
    </row>
    <row r="2287" spans="1:12" hidden="1">
      <c r="A2287" s="19">
        <f t="shared" si="184"/>
        <v>2281</v>
      </c>
      <c r="B2287" s="20">
        <f t="shared" si="180"/>
        <v>0</v>
      </c>
      <c r="C2287" s="21">
        <f t="shared" si="181"/>
        <v>0</v>
      </c>
      <c r="D2287" s="22" t="e">
        <f>VLOOKUP($A2287, TAB_JUROS_U[[Q_DIAS_U_PARC_TIR]:[V_FUT_U_JURS CENARIO]], D$5, FALSE)</f>
        <v>#N/A</v>
      </c>
      <c r="E2287" s="22" t="e">
        <f>VLOOKUP($A2287,TAB_CORRECAO_U[[Q_DIAS_U_PARC_TIR]:[V_FUT_U_CORC-02]],E$5, FALSE)</f>
        <v>#N/A</v>
      </c>
      <c r="F2287" s="22" t="e">
        <f>VLOOKUP($A2287,TAB_AMORTIZACAO_U[[Q_DIAS_U_PARC_TIR]:[V_FUT_U_PCPL-02]], F$5, FALSE)</f>
        <v>#N/A</v>
      </c>
      <c r="H2287" s="20">
        <f t="shared" si="182"/>
        <v>0</v>
      </c>
      <c r="I2287" s="21">
        <f t="shared" si="183"/>
        <v>0</v>
      </c>
      <c r="J2287" s="22" t="e">
        <f>VLOOKUP($A2287, TAB_JUROS_C[[DIAS_CORRIDOS]:[V_FUT_UTEIS]], J$5, FALSE)</f>
        <v>#N/A</v>
      </c>
      <c r="K2287" s="22" t="e">
        <f>VLOOKUP($A2287, TAB_CORRECAO_C[[DIAS_CORRIDOS]:[V_FUT_UTEIS]],K$5, FALSE)</f>
        <v>#N/A</v>
      </c>
      <c r="L2287" s="22" t="e">
        <f>VLOOKUP($A2287, TAB_AMORTIZACAO_C[[DIAS_CORRIDOS]:[V_FUT_UTEIS]], L$5, FALSE)</f>
        <v>#N/A</v>
      </c>
    </row>
    <row r="2288" spans="1:12" hidden="1">
      <c r="A2288" s="19">
        <f t="shared" si="184"/>
        <v>2282</v>
      </c>
      <c r="B2288" s="20">
        <f t="shared" si="180"/>
        <v>0</v>
      </c>
      <c r="C2288" s="21">
        <f t="shared" si="181"/>
        <v>0</v>
      </c>
      <c r="D2288" s="22" t="e">
        <f>VLOOKUP($A2288, TAB_JUROS_U[[Q_DIAS_U_PARC_TIR]:[V_FUT_U_JURS CENARIO]], D$5, FALSE)</f>
        <v>#N/A</v>
      </c>
      <c r="E2288" s="22" t="e">
        <f>VLOOKUP($A2288,TAB_CORRECAO_U[[Q_DIAS_U_PARC_TIR]:[V_FUT_U_CORC-02]],E$5, FALSE)</f>
        <v>#N/A</v>
      </c>
      <c r="F2288" s="22" t="e">
        <f>VLOOKUP($A2288,TAB_AMORTIZACAO_U[[Q_DIAS_U_PARC_TIR]:[V_FUT_U_PCPL-02]], F$5, FALSE)</f>
        <v>#N/A</v>
      </c>
      <c r="H2288" s="20">
        <f t="shared" si="182"/>
        <v>0</v>
      </c>
      <c r="I2288" s="21">
        <f t="shared" si="183"/>
        <v>0</v>
      </c>
      <c r="J2288" s="22" t="e">
        <f>VLOOKUP($A2288, TAB_JUROS_C[[DIAS_CORRIDOS]:[V_FUT_UTEIS]], J$5, FALSE)</f>
        <v>#N/A</v>
      </c>
      <c r="K2288" s="22" t="e">
        <f>VLOOKUP($A2288, TAB_CORRECAO_C[[DIAS_CORRIDOS]:[V_FUT_UTEIS]],K$5, FALSE)</f>
        <v>#N/A</v>
      </c>
      <c r="L2288" s="22" t="e">
        <f>VLOOKUP($A2288, TAB_AMORTIZACAO_C[[DIAS_CORRIDOS]:[V_FUT_UTEIS]], L$5, FALSE)</f>
        <v>#N/A</v>
      </c>
    </row>
    <row r="2289" spans="1:12" hidden="1">
      <c r="A2289" s="19">
        <f t="shared" si="184"/>
        <v>2283</v>
      </c>
      <c r="B2289" s="20">
        <f t="shared" si="180"/>
        <v>0</v>
      </c>
      <c r="C2289" s="21">
        <f t="shared" si="181"/>
        <v>0</v>
      </c>
      <c r="D2289" s="22" t="e">
        <f>VLOOKUP($A2289, TAB_JUROS_U[[Q_DIAS_U_PARC_TIR]:[V_FUT_U_JURS CENARIO]], D$5, FALSE)</f>
        <v>#N/A</v>
      </c>
      <c r="E2289" s="22" t="e">
        <f>VLOOKUP($A2289,TAB_CORRECAO_U[[Q_DIAS_U_PARC_TIR]:[V_FUT_U_CORC-02]],E$5, FALSE)</f>
        <v>#N/A</v>
      </c>
      <c r="F2289" s="22" t="e">
        <f>VLOOKUP($A2289,TAB_AMORTIZACAO_U[[Q_DIAS_U_PARC_TIR]:[V_FUT_U_PCPL-02]], F$5, FALSE)</f>
        <v>#N/A</v>
      </c>
      <c r="H2289" s="20">
        <f t="shared" si="182"/>
        <v>0</v>
      </c>
      <c r="I2289" s="21">
        <f t="shared" si="183"/>
        <v>0</v>
      </c>
      <c r="J2289" s="22" t="e">
        <f>VLOOKUP($A2289, TAB_JUROS_C[[DIAS_CORRIDOS]:[V_FUT_UTEIS]], J$5, FALSE)</f>
        <v>#N/A</v>
      </c>
      <c r="K2289" s="22" t="e">
        <f>VLOOKUP($A2289, TAB_CORRECAO_C[[DIAS_CORRIDOS]:[V_FUT_UTEIS]],K$5, FALSE)</f>
        <v>#N/A</v>
      </c>
      <c r="L2289" s="22" t="e">
        <f>VLOOKUP($A2289, TAB_AMORTIZACAO_C[[DIAS_CORRIDOS]:[V_FUT_UTEIS]], L$5, FALSE)</f>
        <v>#N/A</v>
      </c>
    </row>
    <row r="2290" spans="1:12" hidden="1">
      <c r="A2290" s="19">
        <f t="shared" si="184"/>
        <v>2284</v>
      </c>
      <c r="B2290" s="20">
        <f t="shared" si="180"/>
        <v>0</v>
      </c>
      <c r="C2290" s="21">
        <f t="shared" si="181"/>
        <v>0</v>
      </c>
      <c r="D2290" s="22" t="e">
        <f>VLOOKUP($A2290, TAB_JUROS_U[[Q_DIAS_U_PARC_TIR]:[V_FUT_U_JURS CENARIO]], D$5, FALSE)</f>
        <v>#N/A</v>
      </c>
      <c r="E2290" s="22" t="e">
        <f>VLOOKUP($A2290,TAB_CORRECAO_U[[Q_DIAS_U_PARC_TIR]:[V_FUT_U_CORC-02]],E$5, FALSE)</f>
        <v>#N/A</v>
      </c>
      <c r="F2290" s="22" t="e">
        <f>VLOOKUP($A2290,TAB_AMORTIZACAO_U[[Q_DIAS_U_PARC_TIR]:[V_FUT_U_PCPL-02]], F$5, FALSE)</f>
        <v>#N/A</v>
      </c>
      <c r="H2290" s="20">
        <f t="shared" si="182"/>
        <v>0</v>
      </c>
      <c r="I2290" s="21">
        <f t="shared" si="183"/>
        <v>0</v>
      </c>
      <c r="J2290" s="22" t="e">
        <f>VLOOKUP($A2290, TAB_JUROS_C[[DIAS_CORRIDOS]:[V_FUT_UTEIS]], J$5, FALSE)</f>
        <v>#N/A</v>
      </c>
      <c r="K2290" s="22" t="e">
        <f>VLOOKUP($A2290, TAB_CORRECAO_C[[DIAS_CORRIDOS]:[V_FUT_UTEIS]],K$5, FALSE)</f>
        <v>#N/A</v>
      </c>
      <c r="L2290" s="22" t="e">
        <f>VLOOKUP($A2290, TAB_AMORTIZACAO_C[[DIAS_CORRIDOS]:[V_FUT_UTEIS]], L$5, FALSE)</f>
        <v>#N/A</v>
      </c>
    </row>
    <row r="2291" spans="1:12" hidden="1">
      <c r="A2291" s="19">
        <f t="shared" si="184"/>
        <v>2285</v>
      </c>
      <c r="B2291" s="20">
        <f t="shared" si="180"/>
        <v>0</v>
      </c>
      <c r="C2291" s="21">
        <f t="shared" si="181"/>
        <v>0</v>
      </c>
      <c r="D2291" s="22" t="e">
        <f>VLOOKUP($A2291, TAB_JUROS_U[[Q_DIAS_U_PARC_TIR]:[V_FUT_U_JURS CENARIO]], D$5, FALSE)</f>
        <v>#N/A</v>
      </c>
      <c r="E2291" s="22" t="e">
        <f>VLOOKUP($A2291,TAB_CORRECAO_U[[Q_DIAS_U_PARC_TIR]:[V_FUT_U_CORC-02]],E$5, FALSE)</f>
        <v>#N/A</v>
      </c>
      <c r="F2291" s="22" t="e">
        <f>VLOOKUP($A2291,TAB_AMORTIZACAO_U[[Q_DIAS_U_PARC_TIR]:[V_FUT_U_PCPL-02]], F$5, FALSE)</f>
        <v>#N/A</v>
      </c>
      <c r="H2291" s="20">
        <f t="shared" si="182"/>
        <v>0</v>
      </c>
      <c r="I2291" s="21">
        <f t="shared" si="183"/>
        <v>0</v>
      </c>
      <c r="J2291" s="22" t="e">
        <f>VLOOKUP($A2291, TAB_JUROS_C[[DIAS_CORRIDOS]:[V_FUT_UTEIS]], J$5, FALSE)</f>
        <v>#N/A</v>
      </c>
      <c r="K2291" s="22" t="e">
        <f>VLOOKUP($A2291, TAB_CORRECAO_C[[DIAS_CORRIDOS]:[V_FUT_UTEIS]],K$5, FALSE)</f>
        <v>#N/A</v>
      </c>
      <c r="L2291" s="22" t="e">
        <f>VLOOKUP($A2291, TAB_AMORTIZACAO_C[[DIAS_CORRIDOS]:[V_FUT_UTEIS]], L$5, FALSE)</f>
        <v>#N/A</v>
      </c>
    </row>
    <row r="2292" spans="1:12" hidden="1">
      <c r="A2292" s="19">
        <f t="shared" si="184"/>
        <v>2286</v>
      </c>
      <c r="B2292" s="20">
        <f t="shared" si="180"/>
        <v>0</v>
      </c>
      <c r="C2292" s="21">
        <f t="shared" si="181"/>
        <v>0</v>
      </c>
      <c r="D2292" s="22" t="e">
        <f>VLOOKUP($A2292, TAB_JUROS_U[[Q_DIAS_U_PARC_TIR]:[V_FUT_U_JURS CENARIO]], D$5, FALSE)</f>
        <v>#N/A</v>
      </c>
      <c r="E2292" s="22" t="e">
        <f>VLOOKUP($A2292,TAB_CORRECAO_U[[Q_DIAS_U_PARC_TIR]:[V_FUT_U_CORC-02]],E$5, FALSE)</f>
        <v>#N/A</v>
      </c>
      <c r="F2292" s="22" t="e">
        <f>VLOOKUP($A2292,TAB_AMORTIZACAO_U[[Q_DIAS_U_PARC_TIR]:[V_FUT_U_PCPL-02]], F$5, FALSE)</f>
        <v>#N/A</v>
      </c>
      <c r="H2292" s="20">
        <f t="shared" si="182"/>
        <v>0</v>
      </c>
      <c r="I2292" s="21">
        <f t="shared" si="183"/>
        <v>0</v>
      </c>
      <c r="J2292" s="22" t="e">
        <f>VLOOKUP($A2292, TAB_JUROS_C[[DIAS_CORRIDOS]:[V_FUT_UTEIS]], J$5, FALSE)</f>
        <v>#N/A</v>
      </c>
      <c r="K2292" s="22" t="e">
        <f>VLOOKUP($A2292, TAB_CORRECAO_C[[DIAS_CORRIDOS]:[V_FUT_UTEIS]],K$5, FALSE)</f>
        <v>#N/A</v>
      </c>
      <c r="L2292" s="22" t="e">
        <f>VLOOKUP($A2292, TAB_AMORTIZACAO_C[[DIAS_CORRIDOS]:[V_FUT_UTEIS]], L$5, FALSE)</f>
        <v>#N/A</v>
      </c>
    </row>
    <row r="2293" spans="1:12" hidden="1">
      <c r="A2293" s="19">
        <f t="shared" si="184"/>
        <v>2287</v>
      </c>
      <c r="B2293" s="20">
        <f t="shared" si="180"/>
        <v>0</v>
      </c>
      <c r="C2293" s="21">
        <f t="shared" si="181"/>
        <v>0</v>
      </c>
      <c r="D2293" s="22" t="e">
        <f>VLOOKUP($A2293, TAB_JUROS_U[[Q_DIAS_U_PARC_TIR]:[V_FUT_U_JURS CENARIO]], D$5, FALSE)</f>
        <v>#N/A</v>
      </c>
      <c r="E2293" s="22" t="e">
        <f>VLOOKUP($A2293,TAB_CORRECAO_U[[Q_DIAS_U_PARC_TIR]:[V_FUT_U_CORC-02]],E$5, FALSE)</f>
        <v>#N/A</v>
      </c>
      <c r="F2293" s="22" t="e">
        <f>VLOOKUP($A2293,TAB_AMORTIZACAO_U[[Q_DIAS_U_PARC_TIR]:[V_FUT_U_PCPL-02]], F$5, FALSE)</f>
        <v>#N/A</v>
      </c>
      <c r="H2293" s="20">
        <f t="shared" si="182"/>
        <v>0</v>
      </c>
      <c r="I2293" s="21">
        <f t="shared" si="183"/>
        <v>0</v>
      </c>
      <c r="J2293" s="22" t="e">
        <f>VLOOKUP($A2293, TAB_JUROS_C[[DIAS_CORRIDOS]:[V_FUT_UTEIS]], J$5, FALSE)</f>
        <v>#N/A</v>
      </c>
      <c r="K2293" s="22" t="e">
        <f>VLOOKUP($A2293, TAB_CORRECAO_C[[DIAS_CORRIDOS]:[V_FUT_UTEIS]],K$5, FALSE)</f>
        <v>#N/A</v>
      </c>
      <c r="L2293" s="22" t="e">
        <f>VLOOKUP($A2293, TAB_AMORTIZACAO_C[[DIAS_CORRIDOS]:[V_FUT_UTEIS]], L$5, FALSE)</f>
        <v>#N/A</v>
      </c>
    </row>
    <row r="2294" spans="1:12" hidden="1">
      <c r="A2294" s="19">
        <f t="shared" si="184"/>
        <v>2288</v>
      </c>
      <c r="B2294" s="20">
        <f t="shared" si="180"/>
        <v>0</v>
      </c>
      <c r="C2294" s="21">
        <f t="shared" si="181"/>
        <v>0</v>
      </c>
      <c r="D2294" s="22" t="e">
        <f>VLOOKUP($A2294, TAB_JUROS_U[[Q_DIAS_U_PARC_TIR]:[V_FUT_U_JURS CENARIO]], D$5, FALSE)</f>
        <v>#N/A</v>
      </c>
      <c r="E2294" s="22" t="e">
        <f>VLOOKUP($A2294,TAB_CORRECAO_U[[Q_DIAS_U_PARC_TIR]:[V_FUT_U_CORC-02]],E$5, FALSE)</f>
        <v>#N/A</v>
      </c>
      <c r="F2294" s="22" t="e">
        <f>VLOOKUP($A2294,TAB_AMORTIZACAO_U[[Q_DIAS_U_PARC_TIR]:[V_FUT_U_PCPL-02]], F$5, FALSE)</f>
        <v>#N/A</v>
      </c>
      <c r="H2294" s="20">
        <f t="shared" si="182"/>
        <v>0</v>
      </c>
      <c r="I2294" s="21">
        <f t="shared" si="183"/>
        <v>0</v>
      </c>
      <c r="J2294" s="22" t="e">
        <f>VLOOKUP($A2294, TAB_JUROS_C[[DIAS_CORRIDOS]:[V_FUT_UTEIS]], J$5, FALSE)</f>
        <v>#N/A</v>
      </c>
      <c r="K2294" s="22" t="e">
        <f>VLOOKUP($A2294, TAB_CORRECAO_C[[DIAS_CORRIDOS]:[V_FUT_UTEIS]],K$5, FALSE)</f>
        <v>#N/A</v>
      </c>
      <c r="L2294" s="22" t="e">
        <f>VLOOKUP($A2294, TAB_AMORTIZACAO_C[[DIAS_CORRIDOS]:[V_FUT_UTEIS]], L$5, FALSE)</f>
        <v>#N/A</v>
      </c>
    </row>
    <row r="2295" spans="1:12" hidden="1">
      <c r="A2295" s="19">
        <f t="shared" si="184"/>
        <v>2289</v>
      </c>
      <c r="B2295" s="20">
        <f t="shared" si="180"/>
        <v>0</v>
      </c>
      <c r="C2295" s="21">
        <f t="shared" si="181"/>
        <v>0</v>
      </c>
      <c r="D2295" s="22" t="e">
        <f>VLOOKUP($A2295, TAB_JUROS_U[[Q_DIAS_U_PARC_TIR]:[V_FUT_U_JURS CENARIO]], D$5, FALSE)</f>
        <v>#N/A</v>
      </c>
      <c r="E2295" s="22" t="e">
        <f>VLOOKUP($A2295,TAB_CORRECAO_U[[Q_DIAS_U_PARC_TIR]:[V_FUT_U_CORC-02]],E$5, FALSE)</f>
        <v>#N/A</v>
      </c>
      <c r="F2295" s="22" t="e">
        <f>VLOOKUP($A2295,TAB_AMORTIZACAO_U[[Q_DIAS_U_PARC_TIR]:[V_FUT_U_PCPL-02]], F$5, FALSE)</f>
        <v>#N/A</v>
      </c>
      <c r="H2295" s="20">
        <f t="shared" si="182"/>
        <v>0</v>
      </c>
      <c r="I2295" s="21">
        <f t="shared" si="183"/>
        <v>0</v>
      </c>
      <c r="J2295" s="22" t="e">
        <f>VLOOKUP($A2295, TAB_JUROS_C[[DIAS_CORRIDOS]:[V_FUT_UTEIS]], J$5, FALSE)</f>
        <v>#N/A</v>
      </c>
      <c r="K2295" s="22" t="e">
        <f>VLOOKUP($A2295, TAB_CORRECAO_C[[DIAS_CORRIDOS]:[V_FUT_UTEIS]],K$5, FALSE)</f>
        <v>#N/A</v>
      </c>
      <c r="L2295" s="22" t="e">
        <f>VLOOKUP($A2295, TAB_AMORTIZACAO_C[[DIAS_CORRIDOS]:[V_FUT_UTEIS]], L$5, FALSE)</f>
        <v>#N/A</v>
      </c>
    </row>
    <row r="2296" spans="1:12" hidden="1">
      <c r="A2296" s="19">
        <f t="shared" si="184"/>
        <v>2290</v>
      </c>
      <c r="B2296" s="20">
        <f t="shared" si="180"/>
        <v>0</v>
      </c>
      <c r="C2296" s="21">
        <f t="shared" si="181"/>
        <v>0</v>
      </c>
      <c r="D2296" s="22" t="e">
        <f>VLOOKUP($A2296, TAB_JUROS_U[[Q_DIAS_U_PARC_TIR]:[V_FUT_U_JURS CENARIO]], D$5, FALSE)</f>
        <v>#N/A</v>
      </c>
      <c r="E2296" s="22" t="e">
        <f>VLOOKUP($A2296,TAB_CORRECAO_U[[Q_DIAS_U_PARC_TIR]:[V_FUT_U_CORC-02]],E$5, FALSE)</f>
        <v>#N/A</v>
      </c>
      <c r="F2296" s="22" t="e">
        <f>VLOOKUP($A2296,TAB_AMORTIZACAO_U[[Q_DIAS_U_PARC_TIR]:[V_FUT_U_PCPL-02]], F$5, FALSE)</f>
        <v>#N/A</v>
      </c>
      <c r="H2296" s="20">
        <f t="shared" si="182"/>
        <v>0</v>
      </c>
      <c r="I2296" s="21">
        <f t="shared" si="183"/>
        <v>0</v>
      </c>
      <c r="J2296" s="22" t="e">
        <f>VLOOKUP($A2296, TAB_JUROS_C[[DIAS_CORRIDOS]:[V_FUT_UTEIS]], J$5, FALSE)</f>
        <v>#N/A</v>
      </c>
      <c r="K2296" s="22" t="e">
        <f>VLOOKUP($A2296, TAB_CORRECAO_C[[DIAS_CORRIDOS]:[V_FUT_UTEIS]],K$5, FALSE)</f>
        <v>#N/A</v>
      </c>
      <c r="L2296" s="22" t="e">
        <f>VLOOKUP($A2296, TAB_AMORTIZACAO_C[[DIAS_CORRIDOS]:[V_FUT_UTEIS]], L$5, FALSE)</f>
        <v>#N/A</v>
      </c>
    </row>
    <row r="2297" spans="1:12" hidden="1">
      <c r="A2297" s="19">
        <f t="shared" si="184"/>
        <v>2291</v>
      </c>
      <c r="B2297" s="20">
        <f t="shared" si="180"/>
        <v>0</v>
      </c>
      <c r="C2297" s="21">
        <f t="shared" si="181"/>
        <v>0</v>
      </c>
      <c r="D2297" s="22" t="e">
        <f>VLOOKUP($A2297, TAB_JUROS_U[[Q_DIAS_U_PARC_TIR]:[V_FUT_U_JURS CENARIO]], D$5, FALSE)</f>
        <v>#N/A</v>
      </c>
      <c r="E2297" s="22" t="e">
        <f>VLOOKUP($A2297,TAB_CORRECAO_U[[Q_DIAS_U_PARC_TIR]:[V_FUT_U_CORC-02]],E$5, FALSE)</f>
        <v>#N/A</v>
      </c>
      <c r="F2297" s="22" t="e">
        <f>VLOOKUP($A2297,TAB_AMORTIZACAO_U[[Q_DIAS_U_PARC_TIR]:[V_FUT_U_PCPL-02]], F$5, FALSE)</f>
        <v>#N/A</v>
      </c>
      <c r="H2297" s="20">
        <f t="shared" si="182"/>
        <v>0</v>
      </c>
      <c r="I2297" s="21">
        <f t="shared" si="183"/>
        <v>0</v>
      </c>
      <c r="J2297" s="22" t="e">
        <f>VLOOKUP($A2297, TAB_JUROS_C[[DIAS_CORRIDOS]:[V_FUT_UTEIS]], J$5, FALSE)</f>
        <v>#N/A</v>
      </c>
      <c r="K2297" s="22" t="e">
        <f>VLOOKUP($A2297, TAB_CORRECAO_C[[DIAS_CORRIDOS]:[V_FUT_UTEIS]],K$5, FALSE)</f>
        <v>#N/A</v>
      </c>
      <c r="L2297" s="22" t="e">
        <f>VLOOKUP($A2297, TAB_AMORTIZACAO_C[[DIAS_CORRIDOS]:[V_FUT_UTEIS]], L$5, FALSE)</f>
        <v>#N/A</v>
      </c>
    </row>
    <row r="2298" spans="1:12" hidden="1">
      <c r="A2298" s="19">
        <f t="shared" si="184"/>
        <v>2292</v>
      </c>
      <c r="B2298" s="20">
        <f t="shared" si="180"/>
        <v>0</v>
      </c>
      <c r="C2298" s="21">
        <f t="shared" si="181"/>
        <v>0</v>
      </c>
      <c r="D2298" s="22" t="e">
        <f>VLOOKUP($A2298, TAB_JUROS_U[[Q_DIAS_U_PARC_TIR]:[V_FUT_U_JURS CENARIO]], D$5, FALSE)</f>
        <v>#N/A</v>
      </c>
      <c r="E2298" s="22" t="e">
        <f>VLOOKUP($A2298,TAB_CORRECAO_U[[Q_DIAS_U_PARC_TIR]:[V_FUT_U_CORC-02]],E$5, FALSE)</f>
        <v>#N/A</v>
      </c>
      <c r="F2298" s="22" t="e">
        <f>VLOOKUP($A2298,TAB_AMORTIZACAO_U[[Q_DIAS_U_PARC_TIR]:[V_FUT_U_PCPL-02]], F$5, FALSE)</f>
        <v>#N/A</v>
      </c>
      <c r="H2298" s="20">
        <f t="shared" si="182"/>
        <v>0</v>
      </c>
      <c r="I2298" s="21">
        <f t="shared" si="183"/>
        <v>0</v>
      </c>
      <c r="J2298" s="22" t="e">
        <f>VLOOKUP($A2298, TAB_JUROS_C[[DIAS_CORRIDOS]:[V_FUT_UTEIS]], J$5, FALSE)</f>
        <v>#N/A</v>
      </c>
      <c r="K2298" s="22" t="e">
        <f>VLOOKUP($A2298, TAB_CORRECAO_C[[DIAS_CORRIDOS]:[V_FUT_UTEIS]],K$5, FALSE)</f>
        <v>#N/A</v>
      </c>
      <c r="L2298" s="22" t="e">
        <f>VLOOKUP($A2298, TAB_AMORTIZACAO_C[[DIAS_CORRIDOS]:[V_FUT_UTEIS]], L$5, FALSE)</f>
        <v>#N/A</v>
      </c>
    </row>
    <row r="2299" spans="1:12" hidden="1">
      <c r="A2299" s="19">
        <f t="shared" si="184"/>
        <v>2293</v>
      </c>
      <c r="B2299" s="20">
        <f t="shared" si="180"/>
        <v>0</v>
      </c>
      <c r="C2299" s="21">
        <f t="shared" si="181"/>
        <v>0</v>
      </c>
      <c r="D2299" s="22" t="e">
        <f>VLOOKUP($A2299, TAB_JUROS_U[[Q_DIAS_U_PARC_TIR]:[V_FUT_U_JURS CENARIO]], D$5, FALSE)</f>
        <v>#N/A</v>
      </c>
      <c r="E2299" s="22" t="e">
        <f>VLOOKUP($A2299,TAB_CORRECAO_U[[Q_DIAS_U_PARC_TIR]:[V_FUT_U_CORC-02]],E$5, FALSE)</f>
        <v>#N/A</v>
      </c>
      <c r="F2299" s="22" t="e">
        <f>VLOOKUP($A2299,TAB_AMORTIZACAO_U[[Q_DIAS_U_PARC_TIR]:[V_FUT_U_PCPL-02]], F$5, FALSE)</f>
        <v>#N/A</v>
      </c>
      <c r="H2299" s="20">
        <f t="shared" si="182"/>
        <v>492.83115835748288</v>
      </c>
      <c r="I2299" s="21">
        <f t="shared" si="183"/>
        <v>492.83115835748288</v>
      </c>
      <c r="J2299" s="22">
        <f>VLOOKUP($A2299, TAB_JUROS_C[[DIAS_CORRIDOS]:[V_FUT_UTEIS]], J$5, FALSE)</f>
        <v>33.427611938533637</v>
      </c>
      <c r="K2299" s="22">
        <f>VLOOKUP($A2299, TAB_CORRECAO_C[[DIAS_CORRIDOS]:[V_FUT_UTEIS]],K$5, FALSE)</f>
        <v>202.04823058461355</v>
      </c>
      <c r="L2299" s="22">
        <f>VLOOKUP($A2299, TAB_AMORTIZACAO_C[[DIAS_CORRIDOS]:[V_FUT_UTEIS]], L$5, FALSE)</f>
        <v>257.35531583433573</v>
      </c>
    </row>
    <row r="2300" spans="1:12">
      <c r="A2300" s="19">
        <f t="shared" si="184"/>
        <v>2294</v>
      </c>
      <c r="B2300" s="20">
        <f t="shared" si="180"/>
        <v>220.12526902562959</v>
      </c>
      <c r="C2300" s="21">
        <f t="shared" si="181"/>
        <v>220.12526902562959</v>
      </c>
      <c r="D2300" s="22">
        <f>VLOOKUP($A2300, TAB_JUROS_U[[Q_DIAS_U_PARC_TIR]:[V_FUT_U_JURS CENARIO]], D$5, FALSE)</f>
        <v>10.359981412737735</v>
      </c>
      <c r="E2300" s="22">
        <f>VLOOKUP($A2300,TAB_CORRECAO_U[[Q_DIAS_U_PARC_TIR]:[V_FUT_U_CORC-02]],E$5, FALSE)</f>
        <v>61.637433002741062</v>
      </c>
      <c r="F2300" s="22">
        <f>VLOOKUP($A2300,TAB_AMORTIZACAO_U[[Q_DIAS_U_PARC_TIR]:[V_FUT_U_PCPL-02]], F$5, FALSE)</f>
        <v>148.12785461015079</v>
      </c>
      <c r="H2300" s="20">
        <f t="shared" si="182"/>
        <v>0</v>
      </c>
      <c r="I2300" s="21">
        <f t="shared" si="183"/>
        <v>0</v>
      </c>
      <c r="J2300" s="22" t="e">
        <f>VLOOKUP($A2300, TAB_JUROS_C[[DIAS_CORRIDOS]:[V_FUT_UTEIS]], J$5, FALSE)</f>
        <v>#N/A</v>
      </c>
      <c r="K2300" s="22" t="e">
        <f>VLOOKUP($A2300, TAB_CORRECAO_C[[DIAS_CORRIDOS]:[V_FUT_UTEIS]],K$5, FALSE)</f>
        <v>#N/A</v>
      </c>
      <c r="L2300" s="22" t="e">
        <f>VLOOKUP($A2300, TAB_AMORTIZACAO_C[[DIAS_CORRIDOS]:[V_FUT_UTEIS]], L$5, FALSE)</f>
        <v>#N/A</v>
      </c>
    </row>
    <row r="2301" spans="1:12" hidden="1">
      <c r="A2301" s="19">
        <f t="shared" si="184"/>
        <v>2295</v>
      </c>
      <c r="B2301" s="20">
        <f t="shared" si="180"/>
        <v>0</v>
      </c>
      <c r="C2301" s="21">
        <f t="shared" si="181"/>
        <v>0</v>
      </c>
      <c r="D2301" s="22" t="e">
        <f>VLOOKUP($A2301, TAB_JUROS_U[[Q_DIAS_U_PARC_TIR]:[V_FUT_U_JURS CENARIO]], D$5, FALSE)</f>
        <v>#N/A</v>
      </c>
      <c r="E2301" s="22" t="e">
        <f>VLOOKUP($A2301,TAB_CORRECAO_U[[Q_DIAS_U_PARC_TIR]:[V_FUT_U_CORC-02]],E$5, FALSE)</f>
        <v>#N/A</v>
      </c>
      <c r="F2301" s="22" t="e">
        <f>VLOOKUP($A2301,TAB_AMORTIZACAO_U[[Q_DIAS_U_PARC_TIR]:[V_FUT_U_PCPL-02]], F$5, FALSE)</f>
        <v>#N/A</v>
      </c>
      <c r="H2301" s="20">
        <f t="shared" si="182"/>
        <v>0</v>
      </c>
      <c r="I2301" s="21">
        <f t="shared" si="183"/>
        <v>0</v>
      </c>
      <c r="J2301" s="22" t="e">
        <f>VLOOKUP($A2301, TAB_JUROS_C[[DIAS_CORRIDOS]:[V_FUT_UTEIS]], J$5, FALSE)</f>
        <v>#N/A</v>
      </c>
      <c r="K2301" s="22" t="e">
        <f>VLOOKUP($A2301, TAB_CORRECAO_C[[DIAS_CORRIDOS]:[V_FUT_UTEIS]],K$5, FALSE)</f>
        <v>#N/A</v>
      </c>
      <c r="L2301" s="22" t="e">
        <f>VLOOKUP($A2301, TAB_AMORTIZACAO_C[[DIAS_CORRIDOS]:[V_FUT_UTEIS]], L$5, FALSE)</f>
        <v>#N/A</v>
      </c>
    </row>
    <row r="2302" spans="1:12" hidden="1">
      <c r="A2302" s="19">
        <f t="shared" si="184"/>
        <v>2296</v>
      </c>
      <c r="B2302" s="20">
        <f t="shared" si="180"/>
        <v>0</v>
      </c>
      <c r="C2302" s="21">
        <f t="shared" si="181"/>
        <v>0</v>
      </c>
      <c r="D2302" s="22" t="e">
        <f>VLOOKUP($A2302, TAB_JUROS_U[[Q_DIAS_U_PARC_TIR]:[V_FUT_U_JURS CENARIO]], D$5, FALSE)</f>
        <v>#N/A</v>
      </c>
      <c r="E2302" s="22" t="e">
        <f>VLOOKUP($A2302,TAB_CORRECAO_U[[Q_DIAS_U_PARC_TIR]:[V_FUT_U_CORC-02]],E$5, FALSE)</f>
        <v>#N/A</v>
      </c>
      <c r="F2302" s="22" t="e">
        <f>VLOOKUP($A2302,TAB_AMORTIZACAO_U[[Q_DIAS_U_PARC_TIR]:[V_FUT_U_PCPL-02]], F$5, FALSE)</f>
        <v>#N/A</v>
      </c>
      <c r="H2302" s="20">
        <f t="shared" si="182"/>
        <v>0</v>
      </c>
      <c r="I2302" s="21">
        <f t="shared" si="183"/>
        <v>0</v>
      </c>
      <c r="J2302" s="22" t="e">
        <f>VLOOKUP($A2302, TAB_JUROS_C[[DIAS_CORRIDOS]:[V_FUT_UTEIS]], J$5, FALSE)</f>
        <v>#N/A</v>
      </c>
      <c r="K2302" s="22" t="e">
        <f>VLOOKUP($A2302, TAB_CORRECAO_C[[DIAS_CORRIDOS]:[V_FUT_UTEIS]],K$5, FALSE)</f>
        <v>#N/A</v>
      </c>
      <c r="L2302" s="22" t="e">
        <f>VLOOKUP($A2302, TAB_AMORTIZACAO_C[[DIAS_CORRIDOS]:[V_FUT_UTEIS]], L$5, FALSE)</f>
        <v>#N/A</v>
      </c>
    </row>
    <row r="2303" spans="1:12" hidden="1">
      <c r="A2303" s="19">
        <f t="shared" si="184"/>
        <v>2297</v>
      </c>
      <c r="B2303" s="20">
        <f t="shared" si="180"/>
        <v>0</v>
      </c>
      <c r="C2303" s="21">
        <f t="shared" si="181"/>
        <v>0</v>
      </c>
      <c r="D2303" s="22" t="e">
        <f>VLOOKUP($A2303, TAB_JUROS_U[[Q_DIAS_U_PARC_TIR]:[V_FUT_U_JURS CENARIO]], D$5, FALSE)</f>
        <v>#N/A</v>
      </c>
      <c r="E2303" s="22" t="e">
        <f>VLOOKUP($A2303,TAB_CORRECAO_U[[Q_DIAS_U_PARC_TIR]:[V_FUT_U_CORC-02]],E$5, FALSE)</f>
        <v>#N/A</v>
      </c>
      <c r="F2303" s="22" t="e">
        <f>VLOOKUP($A2303,TAB_AMORTIZACAO_U[[Q_DIAS_U_PARC_TIR]:[V_FUT_U_PCPL-02]], F$5, FALSE)</f>
        <v>#N/A</v>
      </c>
      <c r="H2303" s="20">
        <f t="shared" si="182"/>
        <v>0</v>
      </c>
      <c r="I2303" s="21">
        <f t="shared" si="183"/>
        <v>0</v>
      </c>
      <c r="J2303" s="22" t="e">
        <f>VLOOKUP($A2303, TAB_JUROS_C[[DIAS_CORRIDOS]:[V_FUT_UTEIS]], J$5, FALSE)</f>
        <v>#N/A</v>
      </c>
      <c r="K2303" s="22" t="e">
        <f>VLOOKUP($A2303, TAB_CORRECAO_C[[DIAS_CORRIDOS]:[V_FUT_UTEIS]],K$5, FALSE)</f>
        <v>#N/A</v>
      </c>
      <c r="L2303" s="22" t="e">
        <f>VLOOKUP($A2303, TAB_AMORTIZACAO_C[[DIAS_CORRIDOS]:[V_FUT_UTEIS]], L$5, FALSE)</f>
        <v>#N/A</v>
      </c>
    </row>
    <row r="2304" spans="1:12" hidden="1">
      <c r="A2304" s="19">
        <f t="shared" si="184"/>
        <v>2298</v>
      </c>
      <c r="B2304" s="20">
        <f t="shared" si="180"/>
        <v>0</v>
      </c>
      <c r="C2304" s="21">
        <f t="shared" si="181"/>
        <v>0</v>
      </c>
      <c r="D2304" s="22" t="e">
        <f>VLOOKUP($A2304, TAB_JUROS_U[[Q_DIAS_U_PARC_TIR]:[V_FUT_U_JURS CENARIO]], D$5, FALSE)</f>
        <v>#N/A</v>
      </c>
      <c r="E2304" s="22" t="e">
        <f>VLOOKUP($A2304,TAB_CORRECAO_U[[Q_DIAS_U_PARC_TIR]:[V_FUT_U_CORC-02]],E$5, FALSE)</f>
        <v>#N/A</v>
      </c>
      <c r="F2304" s="22" t="e">
        <f>VLOOKUP($A2304,TAB_AMORTIZACAO_U[[Q_DIAS_U_PARC_TIR]:[V_FUT_U_PCPL-02]], F$5, FALSE)</f>
        <v>#N/A</v>
      </c>
      <c r="H2304" s="20">
        <f t="shared" si="182"/>
        <v>0</v>
      </c>
      <c r="I2304" s="21">
        <f t="shared" si="183"/>
        <v>0</v>
      </c>
      <c r="J2304" s="22" t="e">
        <f>VLOOKUP($A2304, TAB_JUROS_C[[DIAS_CORRIDOS]:[V_FUT_UTEIS]], J$5, FALSE)</f>
        <v>#N/A</v>
      </c>
      <c r="K2304" s="22" t="e">
        <f>VLOOKUP($A2304, TAB_CORRECAO_C[[DIAS_CORRIDOS]:[V_FUT_UTEIS]],K$5, FALSE)</f>
        <v>#N/A</v>
      </c>
      <c r="L2304" s="22" t="e">
        <f>VLOOKUP($A2304, TAB_AMORTIZACAO_C[[DIAS_CORRIDOS]:[V_FUT_UTEIS]], L$5, FALSE)</f>
        <v>#N/A</v>
      </c>
    </row>
    <row r="2305" spans="1:12" hidden="1">
      <c r="A2305" s="19">
        <f t="shared" si="184"/>
        <v>2299</v>
      </c>
      <c r="B2305" s="20">
        <f t="shared" si="180"/>
        <v>0</v>
      </c>
      <c r="C2305" s="21">
        <f t="shared" si="181"/>
        <v>0</v>
      </c>
      <c r="D2305" s="22" t="e">
        <f>VLOOKUP($A2305, TAB_JUROS_U[[Q_DIAS_U_PARC_TIR]:[V_FUT_U_JURS CENARIO]], D$5, FALSE)</f>
        <v>#N/A</v>
      </c>
      <c r="E2305" s="22" t="e">
        <f>VLOOKUP($A2305,TAB_CORRECAO_U[[Q_DIAS_U_PARC_TIR]:[V_FUT_U_CORC-02]],E$5, FALSE)</f>
        <v>#N/A</v>
      </c>
      <c r="F2305" s="22" t="e">
        <f>VLOOKUP($A2305,TAB_AMORTIZACAO_U[[Q_DIAS_U_PARC_TIR]:[V_FUT_U_PCPL-02]], F$5, FALSE)</f>
        <v>#N/A</v>
      </c>
      <c r="H2305" s="20">
        <f t="shared" si="182"/>
        <v>0</v>
      </c>
      <c r="I2305" s="21">
        <f t="shared" si="183"/>
        <v>0</v>
      </c>
      <c r="J2305" s="22" t="e">
        <f>VLOOKUP($A2305, TAB_JUROS_C[[DIAS_CORRIDOS]:[V_FUT_UTEIS]], J$5, FALSE)</f>
        <v>#N/A</v>
      </c>
      <c r="K2305" s="22" t="e">
        <f>VLOOKUP($A2305, TAB_CORRECAO_C[[DIAS_CORRIDOS]:[V_FUT_UTEIS]],K$5, FALSE)</f>
        <v>#N/A</v>
      </c>
      <c r="L2305" s="22" t="e">
        <f>VLOOKUP($A2305, TAB_AMORTIZACAO_C[[DIAS_CORRIDOS]:[V_FUT_UTEIS]], L$5, FALSE)</f>
        <v>#N/A</v>
      </c>
    </row>
    <row r="2306" spans="1:12" hidden="1">
      <c r="A2306" s="19">
        <f t="shared" si="184"/>
        <v>2300</v>
      </c>
      <c r="B2306" s="20">
        <f t="shared" si="180"/>
        <v>0</v>
      </c>
      <c r="C2306" s="21">
        <f t="shared" si="181"/>
        <v>0</v>
      </c>
      <c r="D2306" s="22" t="e">
        <f>VLOOKUP($A2306, TAB_JUROS_U[[Q_DIAS_U_PARC_TIR]:[V_FUT_U_JURS CENARIO]], D$5, FALSE)</f>
        <v>#N/A</v>
      </c>
      <c r="E2306" s="22" t="e">
        <f>VLOOKUP($A2306,TAB_CORRECAO_U[[Q_DIAS_U_PARC_TIR]:[V_FUT_U_CORC-02]],E$5, FALSE)</f>
        <v>#N/A</v>
      </c>
      <c r="F2306" s="22" t="e">
        <f>VLOOKUP($A2306,TAB_AMORTIZACAO_U[[Q_DIAS_U_PARC_TIR]:[V_FUT_U_PCPL-02]], F$5, FALSE)</f>
        <v>#N/A</v>
      </c>
      <c r="H2306" s="20">
        <f t="shared" si="182"/>
        <v>0</v>
      </c>
      <c r="I2306" s="21">
        <f t="shared" si="183"/>
        <v>0</v>
      </c>
      <c r="J2306" s="22" t="e">
        <f>VLOOKUP($A2306, TAB_JUROS_C[[DIAS_CORRIDOS]:[V_FUT_UTEIS]], J$5, FALSE)</f>
        <v>#N/A</v>
      </c>
      <c r="K2306" s="22" t="e">
        <f>VLOOKUP($A2306, TAB_CORRECAO_C[[DIAS_CORRIDOS]:[V_FUT_UTEIS]],K$5, FALSE)</f>
        <v>#N/A</v>
      </c>
      <c r="L2306" s="22" t="e">
        <f>VLOOKUP($A2306, TAB_AMORTIZACAO_C[[DIAS_CORRIDOS]:[V_FUT_UTEIS]], L$5, FALSE)</f>
        <v>#N/A</v>
      </c>
    </row>
    <row r="2307" spans="1:12" hidden="1">
      <c r="A2307" s="19">
        <f t="shared" si="184"/>
        <v>2301</v>
      </c>
      <c r="B2307" s="20">
        <f t="shared" si="180"/>
        <v>0</v>
      </c>
      <c r="C2307" s="21">
        <f t="shared" si="181"/>
        <v>0</v>
      </c>
      <c r="D2307" s="22" t="e">
        <f>VLOOKUP($A2307, TAB_JUROS_U[[Q_DIAS_U_PARC_TIR]:[V_FUT_U_JURS CENARIO]], D$5, FALSE)</f>
        <v>#N/A</v>
      </c>
      <c r="E2307" s="22" t="e">
        <f>VLOOKUP($A2307,TAB_CORRECAO_U[[Q_DIAS_U_PARC_TIR]:[V_FUT_U_CORC-02]],E$5, FALSE)</f>
        <v>#N/A</v>
      </c>
      <c r="F2307" s="22" t="e">
        <f>VLOOKUP($A2307,TAB_AMORTIZACAO_U[[Q_DIAS_U_PARC_TIR]:[V_FUT_U_PCPL-02]], F$5, FALSE)</f>
        <v>#N/A</v>
      </c>
      <c r="H2307" s="20">
        <f t="shared" si="182"/>
        <v>0</v>
      </c>
      <c r="I2307" s="21">
        <f t="shared" si="183"/>
        <v>0</v>
      </c>
      <c r="J2307" s="22" t="e">
        <f>VLOOKUP($A2307, TAB_JUROS_C[[DIAS_CORRIDOS]:[V_FUT_UTEIS]], J$5, FALSE)</f>
        <v>#N/A</v>
      </c>
      <c r="K2307" s="22" t="e">
        <f>VLOOKUP($A2307, TAB_CORRECAO_C[[DIAS_CORRIDOS]:[V_FUT_UTEIS]],K$5, FALSE)</f>
        <v>#N/A</v>
      </c>
      <c r="L2307" s="22" t="e">
        <f>VLOOKUP($A2307, TAB_AMORTIZACAO_C[[DIAS_CORRIDOS]:[V_FUT_UTEIS]], L$5, FALSE)</f>
        <v>#N/A</v>
      </c>
    </row>
    <row r="2308" spans="1:12" hidden="1">
      <c r="A2308" s="19">
        <f t="shared" si="184"/>
        <v>2302</v>
      </c>
      <c r="B2308" s="20">
        <f t="shared" si="180"/>
        <v>0</v>
      </c>
      <c r="C2308" s="21">
        <f t="shared" si="181"/>
        <v>0</v>
      </c>
      <c r="D2308" s="22" t="e">
        <f>VLOOKUP($A2308, TAB_JUROS_U[[Q_DIAS_U_PARC_TIR]:[V_FUT_U_JURS CENARIO]], D$5, FALSE)</f>
        <v>#N/A</v>
      </c>
      <c r="E2308" s="22" t="e">
        <f>VLOOKUP($A2308,TAB_CORRECAO_U[[Q_DIAS_U_PARC_TIR]:[V_FUT_U_CORC-02]],E$5, FALSE)</f>
        <v>#N/A</v>
      </c>
      <c r="F2308" s="22" t="e">
        <f>VLOOKUP($A2308,TAB_AMORTIZACAO_U[[Q_DIAS_U_PARC_TIR]:[V_FUT_U_PCPL-02]], F$5, FALSE)</f>
        <v>#N/A</v>
      </c>
      <c r="H2308" s="20">
        <f t="shared" si="182"/>
        <v>0</v>
      </c>
      <c r="I2308" s="21">
        <f t="shared" si="183"/>
        <v>0</v>
      </c>
      <c r="J2308" s="22" t="e">
        <f>VLOOKUP($A2308, TAB_JUROS_C[[DIAS_CORRIDOS]:[V_FUT_UTEIS]], J$5, FALSE)</f>
        <v>#N/A</v>
      </c>
      <c r="K2308" s="22" t="e">
        <f>VLOOKUP($A2308, TAB_CORRECAO_C[[DIAS_CORRIDOS]:[V_FUT_UTEIS]],K$5, FALSE)</f>
        <v>#N/A</v>
      </c>
      <c r="L2308" s="22" t="e">
        <f>VLOOKUP($A2308, TAB_AMORTIZACAO_C[[DIAS_CORRIDOS]:[V_FUT_UTEIS]], L$5, FALSE)</f>
        <v>#N/A</v>
      </c>
    </row>
    <row r="2309" spans="1:12" hidden="1">
      <c r="A2309" s="19">
        <f t="shared" si="184"/>
        <v>2303</v>
      </c>
      <c r="B2309" s="20">
        <f t="shared" si="180"/>
        <v>0</v>
      </c>
      <c r="C2309" s="21">
        <f t="shared" si="181"/>
        <v>0</v>
      </c>
      <c r="D2309" s="22" t="e">
        <f>VLOOKUP($A2309, TAB_JUROS_U[[Q_DIAS_U_PARC_TIR]:[V_FUT_U_JURS CENARIO]], D$5, FALSE)</f>
        <v>#N/A</v>
      </c>
      <c r="E2309" s="22" t="e">
        <f>VLOOKUP($A2309,TAB_CORRECAO_U[[Q_DIAS_U_PARC_TIR]:[V_FUT_U_CORC-02]],E$5, FALSE)</f>
        <v>#N/A</v>
      </c>
      <c r="F2309" s="22" t="e">
        <f>VLOOKUP($A2309,TAB_AMORTIZACAO_U[[Q_DIAS_U_PARC_TIR]:[V_FUT_U_PCPL-02]], F$5, FALSE)</f>
        <v>#N/A</v>
      </c>
      <c r="H2309" s="20">
        <f t="shared" si="182"/>
        <v>0</v>
      </c>
      <c r="I2309" s="21">
        <f t="shared" si="183"/>
        <v>0</v>
      </c>
      <c r="J2309" s="22" t="e">
        <f>VLOOKUP($A2309, TAB_JUROS_C[[DIAS_CORRIDOS]:[V_FUT_UTEIS]], J$5, FALSE)</f>
        <v>#N/A</v>
      </c>
      <c r="K2309" s="22" t="e">
        <f>VLOOKUP($A2309, TAB_CORRECAO_C[[DIAS_CORRIDOS]:[V_FUT_UTEIS]],K$5, FALSE)</f>
        <v>#N/A</v>
      </c>
      <c r="L2309" s="22" t="e">
        <f>VLOOKUP($A2309, TAB_AMORTIZACAO_C[[DIAS_CORRIDOS]:[V_FUT_UTEIS]], L$5, FALSE)</f>
        <v>#N/A</v>
      </c>
    </row>
    <row r="2310" spans="1:12" hidden="1">
      <c r="A2310" s="19">
        <f t="shared" si="184"/>
        <v>2304</v>
      </c>
      <c r="B2310" s="20">
        <f t="shared" si="180"/>
        <v>0</v>
      </c>
      <c r="C2310" s="21">
        <f t="shared" si="181"/>
        <v>0</v>
      </c>
      <c r="D2310" s="22" t="e">
        <f>VLOOKUP($A2310, TAB_JUROS_U[[Q_DIAS_U_PARC_TIR]:[V_FUT_U_JURS CENARIO]], D$5, FALSE)</f>
        <v>#N/A</v>
      </c>
      <c r="E2310" s="22" t="e">
        <f>VLOOKUP($A2310,TAB_CORRECAO_U[[Q_DIAS_U_PARC_TIR]:[V_FUT_U_CORC-02]],E$5, FALSE)</f>
        <v>#N/A</v>
      </c>
      <c r="F2310" s="22" t="e">
        <f>VLOOKUP($A2310,TAB_AMORTIZACAO_U[[Q_DIAS_U_PARC_TIR]:[V_FUT_U_PCPL-02]], F$5, FALSE)</f>
        <v>#N/A</v>
      </c>
      <c r="H2310" s="20">
        <f t="shared" si="182"/>
        <v>0</v>
      </c>
      <c r="I2310" s="21">
        <f t="shared" si="183"/>
        <v>0</v>
      </c>
      <c r="J2310" s="22" t="e">
        <f>VLOOKUP($A2310, TAB_JUROS_C[[DIAS_CORRIDOS]:[V_FUT_UTEIS]], J$5, FALSE)</f>
        <v>#N/A</v>
      </c>
      <c r="K2310" s="22" t="e">
        <f>VLOOKUP($A2310, TAB_CORRECAO_C[[DIAS_CORRIDOS]:[V_FUT_UTEIS]],K$5, FALSE)</f>
        <v>#N/A</v>
      </c>
      <c r="L2310" s="22" t="e">
        <f>VLOOKUP($A2310, TAB_AMORTIZACAO_C[[DIAS_CORRIDOS]:[V_FUT_UTEIS]], L$5, FALSE)</f>
        <v>#N/A</v>
      </c>
    </row>
    <row r="2311" spans="1:12" hidden="1">
      <c r="A2311" s="19">
        <f t="shared" si="184"/>
        <v>2305</v>
      </c>
      <c r="B2311" s="20">
        <f t="shared" si="180"/>
        <v>0</v>
      </c>
      <c r="C2311" s="21">
        <f t="shared" si="181"/>
        <v>0</v>
      </c>
      <c r="D2311" s="22" t="e">
        <f>VLOOKUP($A2311, TAB_JUROS_U[[Q_DIAS_U_PARC_TIR]:[V_FUT_U_JURS CENARIO]], D$5, FALSE)</f>
        <v>#N/A</v>
      </c>
      <c r="E2311" s="22" t="e">
        <f>VLOOKUP($A2311,TAB_CORRECAO_U[[Q_DIAS_U_PARC_TIR]:[V_FUT_U_CORC-02]],E$5, FALSE)</f>
        <v>#N/A</v>
      </c>
      <c r="F2311" s="22" t="e">
        <f>VLOOKUP($A2311,TAB_AMORTIZACAO_U[[Q_DIAS_U_PARC_TIR]:[V_FUT_U_PCPL-02]], F$5, FALSE)</f>
        <v>#N/A</v>
      </c>
      <c r="H2311" s="20">
        <f t="shared" si="182"/>
        <v>0</v>
      </c>
      <c r="I2311" s="21">
        <f t="shared" si="183"/>
        <v>0</v>
      </c>
      <c r="J2311" s="22" t="e">
        <f>VLOOKUP($A2311, TAB_JUROS_C[[DIAS_CORRIDOS]:[V_FUT_UTEIS]], J$5, FALSE)</f>
        <v>#N/A</v>
      </c>
      <c r="K2311" s="22" t="e">
        <f>VLOOKUP($A2311, TAB_CORRECAO_C[[DIAS_CORRIDOS]:[V_FUT_UTEIS]],K$5, FALSE)</f>
        <v>#N/A</v>
      </c>
      <c r="L2311" s="22" t="e">
        <f>VLOOKUP($A2311, TAB_AMORTIZACAO_C[[DIAS_CORRIDOS]:[V_FUT_UTEIS]], L$5, FALSE)</f>
        <v>#N/A</v>
      </c>
    </row>
    <row r="2312" spans="1:12" hidden="1">
      <c r="A2312" s="19">
        <f t="shared" si="184"/>
        <v>2306</v>
      </c>
      <c r="B2312" s="20">
        <f t="shared" si="180"/>
        <v>0</v>
      </c>
      <c r="C2312" s="21">
        <f t="shared" si="181"/>
        <v>0</v>
      </c>
      <c r="D2312" s="22" t="e">
        <f>VLOOKUP($A2312, TAB_JUROS_U[[Q_DIAS_U_PARC_TIR]:[V_FUT_U_JURS CENARIO]], D$5, FALSE)</f>
        <v>#N/A</v>
      </c>
      <c r="E2312" s="22" t="e">
        <f>VLOOKUP($A2312,TAB_CORRECAO_U[[Q_DIAS_U_PARC_TIR]:[V_FUT_U_CORC-02]],E$5, FALSE)</f>
        <v>#N/A</v>
      </c>
      <c r="F2312" s="22" t="e">
        <f>VLOOKUP($A2312,TAB_AMORTIZACAO_U[[Q_DIAS_U_PARC_TIR]:[V_FUT_U_PCPL-02]], F$5, FALSE)</f>
        <v>#N/A</v>
      </c>
      <c r="H2312" s="20">
        <f t="shared" si="182"/>
        <v>0</v>
      </c>
      <c r="I2312" s="21">
        <f t="shared" si="183"/>
        <v>0</v>
      </c>
      <c r="J2312" s="22" t="e">
        <f>VLOOKUP($A2312, TAB_JUROS_C[[DIAS_CORRIDOS]:[V_FUT_UTEIS]], J$5, FALSE)</f>
        <v>#N/A</v>
      </c>
      <c r="K2312" s="22" t="e">
        <f>VLOOKUP($A2312, TAB_CORRECAO_C[[DIAS_CORRIDOS]:[V_FUT_UTEIS]],K$5, FALSE)</f>
        <v>#N/A</v>
      </c>
      <c r="L2312" s="22" t="e">
        <f>VLOOKUP($A2312, TAB_AMORTIZACAO_C[[DIAS_CORRIDOS]:[V_FUT_UTEIS]], L$5, FALSE)</f>
        <v>#N/A</v>
      </c>
    </row>
    <row r="2313" spans="1:12" hidden="1">
      <c r="A2313" s="19">
        <f t="shared" si="184"/>
        <v>2307</v>
      </c>
      <c r="B2313" s="20">
        <f t="shared" ref="B2313:B2376" si="185">IF(ISERROR(C2313), 0, C2313)</f>
        <v>0</v>
      </c>
      <c r="C2313" s="21">
        <f t="shared" ref="C2313:C2376" si="186">SUMIF(D2313:F2313, "&gt;0", D2313:F2313)</f>
        <v>0</v>
      </c>
      <c r="D2313" s="22" t="e">
        <f>VLOOKUP($A2313, TAB_JUROS_U[[Q_DIAS_U_PARC_TIR]:[V_FUT_U_JURS CENARIO]], D$5, FALSE)</f>
        <v>#N/A</v>
      </c>
      <c r="E2313" s="22" t="e">
        <f>VLOOKUP($A2313,TAB_CORRECAO_U[[Q_DIAS_U_PARC_TIR]:[V_FUT_U_CORC-02]],E$5, FALSE)</f>
        <v>#N/A</v>
      </c>
      <c r="F2313" s="22" t="e">
        <f>VLOOKUP($A2313,TAB_AMORTIZACAO_U[[Q_DIAS_U_PARC_TIR]:[V_FUT_U_PCPL-02]], F$5, FALSE)</f>
        <v>#N/A</v>
      </c>
      <c r="H2313" s="20">
        <f t="shared" ref="H2313:H2376" si="187">IF(ISERROR(I2313), 0, I2313)</f>
        <v>0</v>
      </c>
      <c r="I2313" s="21">
        <f t="shared" ref="I2313:I2376" si="188">SUMIF(J2313:L2313, "&gt;0", J2313:L2313)</f>
        <v>0</v>
      </c>
      <c r="J2313" s="22" t="e">
        <f>VLOOKUP($A2313, TAB_JUROS_C[[DIAS_CORRIDOS]:[V_FUT_UTEIS]], J$5, FALSE)</f>
        <v>#N/A</v>
      </c>
      <c r="K2313" s="22" t="e">
        <f>VLOOKUP($A2313, TAB_CORRECAO_C[[DIAS_CORRIDOS]:[V_FUT_UTEIS]],K$5, FALSE)</f>
        <v>#N/A</v>
      </c>
      <c r="L2313" s="22" t="e">
        <f>VLOOKUP($A2313, TAB_AMORTIZACAO_C[[DIAS_CORRIDOS]:[V_FUT_UTEIS]], L$5, FALSE)</f>
        <v>#N/A</v>
      </c>
    </row>
    <row r="2314" spans="1:12" hidden="1">
      <c r="A2314" s="19">
        <f t="shared" ref="A2314:A2377" si="189">A2313+1</f>
        <v>2308</v>
      </c>
      <c r="B2314" s="20">
        <f t="shared" si="185"/>
        <v>0</v>
      </c>
      <c r="C2314" s="21">
        <f t="shared" si="186"/>
        <v>0</v>
      </c>
      <c r="D2314" s="22" t="e">
        <f>VLOOKUP($A2314, TAB_JUROS_U[[Q_DIAS_U_PARC_TIR]:[V_FUT_U_JURS CENARIO]], D$5, FALSE)</f>
        <v>#N/A</v>
      </c>
      <c r="E2314" s="22" t="e">
        <f>VLOOKUP($A2314,TAB_CORRECAO_U[[Q_DIAS_U_PARC_TIR]:[V_FUT_U_CORC-02]],E$5, FALSE)</f>
        <v>#N/A</v>
      </c>
      <c r="F2314" s="22" t="e">
        <f>VLOOKUP($A2314,TAB_AMORTIZACAO_U[[Q_DIAS_U_PARC_TIR]:[V_FUT_U_PCPL-02]], F$5, FALSE)</f>
        <v>#N/A</v>
      </c>
      <c r="H2314" s="20">
        <f t="shared" si="187"/>
        <v>0</v>
      </c>
      <c r="I2314" s="21">
        <f t="shared" si="188"/>
        <v>0</v>
      </c>
      <c r="J2314" s="22" t="e">
        <f>VLOOKUP($A2314, TAB_JUROS_C[[DIAS_CORRIDOS]:[V_FUT_UTEIS]], J$5, FALSE)</f>
        <v>#N/A</v>
      </c>
      <c r="K2314" s="22" t="e">
        <f>VLOOKUP($A2314, TAB_CORRECAO_C[[DIAS_CORRIDOS]:[V_FUT_UTEIS]],K$5, FALSE)</f>
        <v>#N/A</v>
      </c>
      <c r="L2314" s="22" t="e">
        <f>VLOOKUP($A2314, TAB_AMORTIZACAO_C[[DIAS_CORRIDOS]:[V_FUT_UTEIS]], L$5, FALSE)</f>
        <v>#N/A</v>
      </c>
    </row>
    <row r="2315" spans="1:12" hidden="1">
      <c r="A2315" s="19">
        <f t="shared" si="189"/>
        <v>2309</v>
      </c>
      <c r="B2315" s="20">
        <f t="shared" si="185"/>
        <v>0</v>
      </c>
      <c r="C2315" s="21">
        <f t="shared" si="186"/>
        <v>0</v>
      </c>
      <c r="D2315" s="22" t="e">
        <f>VLOOKUP($A2315, TAB_JUROS_U[[Q_DIAS_U_PARC_TIR]:[V_FUT_U_JURS CENARIO]], D$5, FALSE)</f>
        <v>#N/A</v>
      </c>
      <c r="E2315" s="22" t="e">
        <f>VLOOKUP($A2315,TAB_CORRECAO_U[[Q_DIAS_U_PARC_TIR]:[V_FUT_U_CORC-02]],E$5, FALSE)</f>
        <v>#N/A</v>
      </c>
      <c r="F2315" s="22" t="e">
        <f>VLOOKUP($A2315,TAB_AMORTIZACAO_U[[Q_DIAS_U_PARC_TIR]:[V_FUT_U_PCPL-02]], F$5, FALSE)</f>
        <v>#N/A</v>
      </c>
      <c r="H2315" s="20">
        <f t="shared" si="187"/>
        <v>0</v>
      </c>
      <c r="I2315" s="21">
        <f t="shared" si="188"/>
        <v>0</v>
      </c>
      <c r="J2315" s="22" t="e">
        <f>VLOOKUP($A2315, TAB_JUROS_C[[DIAS_CORRIDOS]:[V_FUT_UTEIS]], J$5, FALSE)</f>
        <v>#N/A</v>
      </c>
      <c r="K2315" s="22" t="e">
        <f>VLOOKUP($A2315, TAB_CORRECAO_C[[DIAS_CORRIDOS]:[V_FUT_UTEIS]],K$5, FALSE)</f>
        <v>#N/A</v>
      </c>
      <c r="L2315" s="22" t="e">
        <f>VLOOKUP($A2315, TAB_AMORTIZACAO_C[[DIAS_CORRIDOS]:[V_FUT_UTEIS]], L$5, FALSE)</f>
        <v>#N/A</v>
      </c>
    </row>
    <row r="2316" spans="1:12" hidden="1">
      <c r="A2316" s="19">
        <f t="shared" si="189"/>
        <v>2310</v>
      </c>
      <c r="B2316" s="20">
        <f t="shared" si="185"/>
        <v>0</v>
      </c>
      <c r="C2316" s="21">
        <f t="shared" si="186"/>
        <v>0</v>
      </c>
      <c r="D2316" s="22" t="e">
        <f>VLOOKUP($A2316, TAB_JUROS_U[[Q_DIAS_U_PARC_TIR]:[V_FUT_U_JURS CENARIO]], D$5, FALSE)</f>
        <v>#N/A</v>
      </c>
      <c r="E2316" s="22" t="e">
        <f>VLOOKUP($A2316,TAB_CORRECAO_U[[Q_DIAS_U_PARC_TIR]:[V_FUT_U_CORC-02]],E$5, FALSE)</f>
        <v>#N/A</v>
      </c>
      <c r="F2316" s="22" t="e">
        <f>VLOOKUP($A2316,TAB_AMORTIZACAO_U[[Q_DIAS_U_PARC_TIR]:[V_FUT_U_PCPL-02]], F$5, FALSE)</f>
        <v>#N/A</v>
      </c>
      <c r="H2316" s="20">
        <f t="shared" si="187"/>
        <v>0</v>
      </c>
      <c r="I2316" s="21">
        <f t="shared" si="188"/>
        <v>0</v>
      </c>
      <c r="J2316" s="22" t="e">
        <f>VLOOKUP($A2316, TAB_JUROS_C[[DIAS_CORRIDOS]:[V_FUT_UTEIS]], J$5, FALSE)</f>
        <v>#N/A</v>
      </c>
      <c r="K2316" s="22" t="e">
        <f>VLOOKUP($A2316, TAB_CORRECAO_C[[DIAS_CORRIDOS]:[V_FUT_UTEIS]],K$5, FALSE)</f>
        <v>#N/A</v>
      </c>
      <c r="L2316" s="22" t="e">
        <f>VLOOKUP($A2316, TAB_AMORTIZACAO_C[[DIAS_CORRIDOS]:[V_FUT_UTEIS]], L$5, FALSE)</f>
        <v>#N/A</v>
      </c>
    </row>
    <row r="2317" spans="1:12" hidden="1">
      <c r="A2317" s="19">
        <f t="shared" si="189"/>
        <v>2311</v>
      </c>
      <c r="B2317" s="20">
        <f t="shared" si="185"/>
        <v>0</v>
      </c>
      <c r="C2317" s="21">
        <f t="shared" si="186"/>
        <v>0</v>
      </c>
      <c r="D2317" s="22" t="e">
        <f>VLOOKUP($A2317, TAB_JUROS_U[[Q_DIAS_U_PARC_TIR]:[V_FUT_U_JURS CENARIO]], D$5, FALSE)</f>
        <v>#N/A</v>
      </c>
      <c r="E2317" s="22" t="e">
        <f>VLOOKUP($A2317,TAB_CORRECAO_U[[Q_DIAS_U_PARC_TIR]:[V_FUT_U_CORC-02]],E$5, FALSE)</f>
        <v>#N/A</v>
      </c>
      <c r="F2317" s="22" t="e">
        <f>VLOOKUP($A2317,TAB_AMORTIZACAO_U[[Q_DIAS_U_PARC_TIR]:[V_FUT_U_PCPL-02]], F$5, FALSE)</f>
        <v>#N/A</v>
      </c>
      <c r="H2317" s="20">
        <f t="shared" si="187"/>
        <v>0</v>
      </c>
      <c r="I2317" s="21">
        <f t="shared" si="188"/>
        <v>0</v>
      </c>
      <c r="J2317" s="22" t="e">
        <f>VLOOKUP($A2317, TAB_JUROS_C[[DIAS_CORRIDOS]:[V_FUT_UTEIS]], J$5, FALSE)</f>
        <v>#N/A</v>
      </c>
      <c r="K2317" s="22" t="e">
        <f>VLOOKUP($A2317, TAB_CORRECAO_C[[DIAS_CORRIDOS]:[V_FUT_UTEIS]],K$5, FALSE)</f>
        <v>#N/A</v>
      </c>
      <c r="L2317" s="22" t="e">
        <f>VLOOKUP($A2317, TAB_AMORTIZACAO_C[[DIAS_CORRIDOS]:[V_FUT_UTEIS]], L$5, FALSE)</f>
        <v>#N/A</v>
      </c>
    </row>
    <row r="2318" spans="1:12" hidden="1">
      <c r="A2318" s="19">
        <f t="shared" si="189"/>
        <v>2312</v>
      </c>
      <c r="B2318" s="20">
        <f t="shared" si="185"/>
        <v>0</v>
      </c>
      <c r="C2318" s="21">
        <f t="shared" si="186"/>
        <v>0</v>
      </c>
      <c r="D2318" s="22" t="e">
        <f>VLOOKUP($A2318, TAB_JUROS_U[[Q_DIAS_U_PARC_TIR]:[V_FUT_U_JURS CENARIO]], D$5, FALSE)</f>
        <v>#N/A</v>
      </c>
      <c r="E2318" s="22" t="e">
        <f>VLOOKUP($A2318,TAB_CORRECAO_U[[Q_DIAS_U_PARC_TIR]:[V_FUT_U_CORC-02]],E$5, FALSE)</f>
        <v>#N/A</v>
      </c>
      <c r="F2318" s="22" t="e">
        <f>VLOOKUP($A2318,TAB_AMORTIZACAO_U[[Q_DIAS_U_PARC_TIR]:[V_FUT_U_PCPL-02]], F$5, FALSE)</f>
        <v>#N/A</v>
      </c>
      <c r="H2318" s="20">
        <f t="shared" si="187"/>
        <v>0</v>
      </c>
      <c r="I2318" s="21">
        <f t="shared" si="188"/>
        <v>0</v>
      </c>
      <c r="J2318" s="22" t="e">
        <f>VLOOKUP($A2318, TAB_JUROS_C[[DIAS_CORRIDOS]:[V_FUT_UTEIS]], J$5, FALSE)</f>
        <v>#N/A</v>
      </c>
      <c r="K2318" s="22" t="e">
        <f>VLOOKUP($A2318, TAB_CORRECAO_C[[DIAS_CORRIDOS]:[V_FUT_UTEIS]],K$5, FALSE)</f>
        <v>#N/A</v>
      </c>
      <c r="L2318" s="22" t="e">
        <f>VLOOKUP($A2318, TAB_AMORTIZACAO_C[[DIAS_CORRIDOS]:[V_FUT_UTEIS]], L$5, FALSE)</f>
        <v>#N/A</v>
      </c>
    </row>
    <row r="2319" spans="1:12" hidden="1">
      <c r="A2319" s="19">
        <f t="shared" si="189"/>
        <v>2313</v>
      </c>
      <c r="B2319" s="20">
        <f t="shared" si="185"/>
        <v>0</v>
      </c>
      <c r="C2319" s="21">
        <f t="shared" si="186"/>
        <v>0</v>
      </c>
      <c r="D2319" s="22" t="e">
        <f>VLOOKUP($A2319, TAB_JUROS_U[[Q_DIAS_U_PARC_TIR]:[V_FUT_U_JURS CENARIO]], D$5, FALSE)</f>
        <v>#N/A</v>
      </c>
      <c r="E2319" s="22" t="e">
        <f>VLOOKUP($A2319,TAB_CORRECAO_U[[Q_DIAS_U_PARC_TIR]:[V_FUT_U_CORC-02]],E$5, FALSE)</f>
        <v>#N/A</v>
      </c>
      <c r="F2319" s="22" t="e">
        <f>VLOOKUP($A2319,TAB_AMORTIZACAO_U[[Q_DIAS_U_PARC_TIR]:[V_FUT_U_PCPL-02]], F$5, FALSE)</f>
        <v>#N/A</v>
      </c>
      <c r="H2319" s="20">
        <f t="shared" si="187"/>
        <v>0</v>
      </c>
      <c r="I2319" s="21">
        <f t="shared" si="188"/>
        <v>0</v>
      </c>
      <c r="J2319" s="22" t="e">
        <f>VLOOKUP($A2319, TAB_JUROS_C[[DIAS_CORRIDOS]:[V_FUT_UTEIS]], J$5, FALSE)</f>
        <v>#N/A</v>
      </c>
      <c r="K2319" s="22" t="e">
        <f>VLOOKUP($A2319, TAB_CORRECAO_C[[DIAS_CORRIDOS]:[V_FUT_UTEIS]],K$5, FALSE)</f>
        <v>#N/A</v>
      </c>
      <c r="L2319" s="22" t="e">
        <f>VLOOKUP($A2319, TAB_AMORTIZACAO_C[[DIAS_CORRIDOS]:[V_FUT_UTEIS]], L$5, FALSE)</f>
        <v>#N/A</v>
      </c>
    </row>
    <row r="2320" spans="1:12">
      <c r="A2320" s="19">
        <f t="shared" si="189"/>
        <v>2314</v>
      </c>
      <c r="B2320" s="20">
        <f t="shared" si="185"/>
        <v>208.43159552275847</v>
      </c>
      <c r="C2320" s="21">
        <f t="shared" si="186"/>
        <v>208.43159552275847</v>
      </c>
      <c r="D2320" s="22">
        <f>VLOOKUP($A2320, TAB_JUROS_U[[Q_DIAS_U_PARC_TIR]:[V_FUT_U_JURS CENARIO]], D$5, FALSE)</f>
        <v>9.0062848023209678</v>
      </c>
      <c r="E2320" s="22">
        <f>VLOOKUP($A2320,TAB_CORRECAO_U[[Q_DIAS_U_PARC_TIR]:[V_FUT_U_CORC-02]],E$5, FALSE)</f>
        <v>53.620158851051023</v>
      </c>
      <c r="F2320" s="22">
        <f>VLOOKUP($A2320,TAB_AMORTIZACAO_U[[Q_DIAS_U_PARC_TIR]:[V_FUT_U_PCPL-02]], F$5, FALSE)</f>
        <v>145.80515186938649</v>
      </c>
      <c r="H2320" s="20">
        <f t="shared" si="187"/>
        <v>0</v>
      </c>
      <c r="I2320" s="21">
        <f t="shared" si="188"/>
        <v>0</v>
      </c>
      <c r="J2320" s="22" t="e">
        <f>VLOOKUP($A2320, TAB_JUROS_C[[DIAS_CORRIDOS]:[V_FUT_UTEIS]], J$5, FALSE)</f>
        <v>#N/A</v>
      </c>
      <c r="K2320" s="22" t="e">
        <f>VLOOKUP($A2320, TAB_CORRECAO_C[[DIAS_CORRIDOS]:[V_FUT_UTEIS]],K$5, FALSE)</f>
        <v>#N/A</v>
      </c>
      <c r="L2320" s="22" t="e">
        <f>VLOOKUP($A2320, TAB_AMORTIZACAO_C[[DIAS_CORRIDOS]:[V_FUT_UTEIS]], L$5, FALSE)</f>
        <v>#N/A</v>
      </c>
    </row>
    <row r="2321" spans="1:12" hidden="1">
      <c r="A2321" s="19">
        <f t="shared" si="189"/>
        <v>2315</v>
      </c>
      <c r="B2321" s="20">
        <f t="shared" si="185"/>
        <v>0</v>
      </c>
      <c r="C2321" s="21">
        <f t="shared" si="186"/>
        <v>0</v>
      </c>
      <c r="D2321" s="22" t="e">
        <f>VLOOKUP($A2321, TAB_JUROS_U[[Q_DIAS_U_PARC_TIR]:[V_FUT_U_JURS CENARIO]], D$5, FALSE)</f>
        <v>#N/A</v>
      </c>
      <c r="E2321" s="22" t="e">
        <f>VLOOKUP($A2321,TAB_CORRECAO_U[[Q_DIAS_U_PARC_TIR]:[V_FUT_U_CORC-02]],E$5, FALSE)</f>
        <v>#N/A</v>
      </c>
      <c r="F2321" s="22" t="e">
        <f>VLOOKUP($A2321,TAB_AMORTIZACAO_U[[Q_DIAS_U_PARC_TIR]:[V_FUT_U_PCPL-02]], F$5, FALSE)</f>
        <v>#N/A</v>
      </c>
      <c r="H2321" s="20">
        <f t="shared" si="187"/>
        <v>0</v>
      </c>
      <c r="I2321" s="21">
        <f t="shared" si="188"/>
        <v>0</v>
      </c>
      <c r="J2321" s="22" t="e">
        <f>VLOOKUP($A2321, TAB_JUROS_C[[DIAS_CORRIDOS]:[V_FUT_UTEIS]], J$5, FALSE)</f>
        <v>#N/A</v>
      </c>
      <c r="K2321" s="22" t="e">
        <f>VLOOKUP($A2321, TAB_CORRECAO_C[[DIAS_CORRIDOS]:[V_FUT_UTEIS]],K$5, FALSE)</f>
        <v>#N/A</v>
      </c>
      <c r="L2321" s="22" t="e">
        <f>VLOOKUP($A2321, TAB_AMORTIZACAO_C[[DIAS_CORRIDOS]:[V_FUT_UTEIS]], L$5, FALSE)</f>
        <v>#N/A</v>
      </c>
    </row>
    <row r="2322" spans="1:12" hidden="1">
      <c r="A2322" s="19">
        <f t="shared" si="189"/>
        <v>2316</v>
      </c>
      <c r="B2322" s="20">
        <f t="shared" si="185"/>
        <v>0</v>
      </c>
      <c r="C2322" s="21">
        <f t="shared" si="186"/>
        <v>0</v>
      </c>
      <c r="D2322" s="22" t="e">
        <f>VLOOKUP($A2322, TAB_JUROS_U[[Q_DIAS_U_PARC_TIR]:[V_FUT_U_JURS CENARIO]], D$5, FALSE)</f>
        <v>#N/A</v>
      </c>
      <c r="E2322" s="22" t="e">
        <f>VLOOKUP($A2322,TAB_CORRECAO_U[[Q_DIAS_U_PARC_TIR]:[V_FUT_U_CORC-02]],E$5, FALSE)</f>
        <v>#N/A</v>
      </c>
      <c r="F2322" s="22" t="e">
        <f>VLOOKUP($A2322,TAB_AMORTIZACAO_U[[Q_DIAS_U_PARC_TIR]:[V_FUT_U_PCPL-02]], F$5, FALSE)</f>
        <v>#N/A</v>
      </c>
      <c r="H2322" s="20">
        <f t="shared" si="187"/>
        <v>0</v>
      </c>
      <c r="I2322" s="21">
        <f t="shared" si="188"/>
        <v>0</v>
      </c>
      <c r="J2322" s="22" t="e">
        <f>VLOOKUP($A2322, TAB_JUROS_C[[DIAS_CORRIDOS]:[V_FUT_UTEIS]], J$5, FALSE)</f>
        <v>#N/A</v>
      </c>
      <c r="K2322" s="22" t="e">
        <f>VLOOKUP($A2322, TAB_CORRECAO_C[[DIAS_CORRIDOS]:[V_FUT_UTEIS]],K$5, FALSE)</f>
        <v>#N/A</v>
      </c>
      <c r="L2322" s="22" t="e">
        <f>VLOOKUP($A2322, TAB_AMORTIZACAO_C[[DIAS_CORRIDOS]:[V_FUT_UTEIS]], L$5, FALSE)</f>
        <v>#N/A</v>
      </c>
    </row>
    <row r="2323" spans="1:12" hidden="1">
      <c r="A2323" s="19">
        <f t="shared" si="189"/>
        <v>2317</v>
      </c>
      <c r="B2323" s="20">
        <f t="shared" si="185"/>
        <v>0</v>
      </c>
      <c r="C2323" s="21">
        <f t="shared" si="186"/>
        <v>0</v>
      </c>
      <c r="D2323" s="22" t="e">
        <f>VLOOKUP($A2323, TAB_JUROS_U[[Q_DIAS_U_PARC_TIR]:[V_FUT_U_JURS CENARIO]], D$5, FALSE)</f>
        <v>#N/A</v>
      </c>
      <c r="E2323" s="22" t="e">
        <f>VLOOKUP($A2323,TAB_CORRECAO_U[[Q_DIAS_U_PARC_TIR]:[V_FUT_U_CORC-02]],E$5, FALSE)</f>
        <v>#N/A</v>
      </c>
      <c r="F2323" s="22" t="e">
        <f>VLOOKUP($A2323,TAB_AMORTIZACAO_U[[Q_DIAS_U_PARC_TIR]:[V_FUT_U_PCPL-02]], F$5, FALSE)</f>
        <v>#N/A</v>
      </c>
      <c r="H2323" s="20">
        <f t="shared" si="187"/>
        <v>0</v>
      </c>
      <c r="I2323" s="21">
        <f t="shared" si="188"/>
        <v>0</v>
      </c>
      <c r="J2323" s="22" t="e">
        <f>VLOOKUP($A2323, TAB_JUROS_C[[DIAS_CORRIDOS]:[V_FUT_UTEIS]], J$5, FALSE)</f>
        <v>#N/A</v>
      </c>
      <c r="K2323" s="22" t="e">
        <f>VLOOKUP($A2323, TAB_CORRECAO_C[[DIAS_CORRIDOS]:[V_FUT_UTEIS]],K$5, FALSE)</f>
        <v>#N/A</v>
      </c>
      <c r="L2323" s="22" t="e">
        <f>VLOOKUP($A2323, TAB_AMORTIZACAO_C[[DIAS_CORRIDOS]:[V_FUT_UTEIS]], L$5, FALSE)</f>
        <v>#N/A</v>
      </c>
    </row>
    <row r="2324" spans="1:12" hidden="1">
      <c r="A2324" s="19">
        <f t="shared" si="189"/>
        <v>2318</v>
      </c>
      <c r="B2324" s="20">
        <f t="shared" si="185"/>
        <v>0</v>
      </c>
      <c r="C2324" s="21">
        <f t="shared" si="186"/>
        <v>0</v>
      </c>
      <c r="D2324" s="22" t="e">
        <f>VLOOKUP($A2324, TAB_JUROS_U[[Q_DIAS_U_PARC_TIR]:[V_FUT_U_JURS CENARIO]], D$5, FALSE)</f>
        <v>#N/A</v>
      </c>
      <c r="E2324" s="22" t="e">
        <f>VLOOKUP($A2324,TAB_CORRECAO_U[[Q_DIAS_U_PARC_TIR]:[V_FUT_U_CORC-02]],E$5, FALSE)</f>
        <v>#N/A</v>
      </c>
      <c r="F2324" s="22" t="e">
        <f>VLOOKUP($A2324,TAB_AMORTIZACAO_U[[Q_DIAS_U_PARC_TIR]:[V_FUT_U_PCPL-02]], F$5, FALSE)</f>
        <v>#N/A</v>
      </c>
      <c r="H2324" s="20">
        <f t="shared" si="187"/>
        <v>0</v>
      </c>
      <c r="I2324" s="21">
        <f t="shared" si="188"/>
        <v>0</v>
      </c>
      <c r="J2324" s="22" t="e">
        <f>VLOOKUP($A2324, TAB_JUROS_C[[DIAS_CORRIDOS]:[V_FUT_UTEIS]], J$5, FALSE)</f>
        <v>#N/A</v>
      </c>
      <c r="K2324" s="22" t="e">
        <f>VLOOKUP($A2324, TAB_CORRECAO_C[[DIAS_CORRIDOS]:[V_FUT_UTEIS]],K$5, FALSE)</f>
        <v>#N/A</v>
      </c>
      <c r="L2324" s="22" t="e">
        <f>VLOOKUP($A2324, TAB_AMORTIZACAO_C[[DIAS_CORRIDOS]:[V_FUT_UTEIS]], L$5, FALSE)</f>
        <v>#N/A</v>
      </c>
    </row>
    <row r="2325" spans="1:12" hidden="1">
      <c r="A2325" s="19">
        <f t="shared" si="189"/>
        <v>2319</v>
      </c>
      <c r="B2325" s="20">
        <f t="shared" si="185"/>
        <v>0</v>
      </c>
      <c r="C2325" s="21">
        <f t="shared" si="186"/>
        <v>0</v>
      </c>
      <c r="D2325" s="22" t="e">
        <f>VLOOKUP($A2325, TAB_JUROS_U[[Q_DIAS_U_PARC_TIR]:[V_FUT_U_JURS CENARIO]], D$5, FALSE)</f>
        <v>#N/A</v>
      </c>
      <c r="E2325" s="22" t="e">
        <f>VLOOKUP($A2325,TAB_CORRECAO_U[[Q_DIAS_U_PARC_TIR]:[V_FUT_U_CORC-02]],E$5, FALSE)</f>
        <v>#N/A</v>
      </c>
      <c r="F2325" s="22" t="e">
        <f>VLOOKUP($A2325,TAB_AMORTIZACAO_U[[Q_DIAS_U_PARC_TIR]:[V_FUT_U_PCPL-02]], F$5, FALSE)</f>
        <v>#N/A</v>
      </c>
      <c r="H2325" s="20">
        <f t="shared" si="187"/>
        <v>0</v>
      </c>
      <c r="I2325" s="21">
        <f t="shared" si="188"/>
        <v>0</v>
      </c>
      <c r="J2325" s="22" t="e">
        <f>VLOOKUP($A2325, TAB_JUROS_C[[DIAS_CORRIDOS]:[V_FUT_UTEIS]], J$5, FALSE)</f>
        <v>#N/A</v>
      </c>
      <c r="K2325" s="22" t="e">
        <f>VLOOKUP($A2325, TAB_CORRECAO_C[[DIAS_CORRIDOS]:[V_FUT_UTEIS]],K$5, FALSE)</f>
        <v>#N/A</v>
      </c>
      <c r="L2325" s="22" t="e">
        <f>VLOOKUP($A2325, TAB_AMORTIZACAO_C[[DIAS_CORRIDOS]:[V_FUT_UTEIS]], L$5, FALSE)</f>
        <v>#N/A</v>
      </c>
    </row>
    <row r="2326" spans="1:12" hidden="1">
      <c r="A2326" s="19">
        <f t="shared" si="189"/>
        <v>2320</v>
      </c>
      <c r="B2326" s="20">
        <f t="shared" si="185"/>
        <v>0</v>
      </c>
      <c r="C2326" s="21">
        <f t="shared" si="186"/>
        <v>0</v>
      </c>
      <c r="D2326" s="22" t="e">
        <f>VLOOKUP($A2326, TAB_JUROS_U[[Q_DIAS_U_PARC_TIR]:[V_FUT_U_JURS CENARIO]], D$5, FALSE)</f>
        <v>#N/A</v>
      </c>
      <c r="E2326" s="22" t="e">
        <f>VLOOKUP($A2326,TAB_CORRECAO_U[[Q_DIAS_U_PARC_TIR]:[V_FUT_U_CORC-02]],E$5, FALSE)</f>
        <v>#N/A</v>
      </c>
      <c r="F2326" s="22" t="e">
        <f>VLOOKUP($A2326,TAB_AMORTIZACAO_U[[Q_DIAS_U_PARC_TIR]:[V_FUT_U_PCPL-02]], F$5, FALSE)</f>
        <v>#N/A</v>
      </c>
      <c r="H2326" s="20">
        <f t="shared" si="187"/>
        <v>0</v>
      </c>
      <c r="I2326" s="21">
        <f t="shared" si="188"/>
        <v>0</v>
      </c>
      <c r="J2326" s="22" t="e">
        <f>VLOOKUP($A2326, TAB_JUROS_C[[DIAS_CORRIDOS]:[V_FUT_UTEIS]], J$5, FALSE)</f>
        <v>#N/A</v>
      </c>
      <c r="K2326" s="22" t="e">
        <f>VLOOKUP($A2326, TAB_CORRECAO_C[[DIAS_CORRIDOS]:[V_FUT_UTEIS]],K$5, FALSE)</f>
        <v>#N/A</v>
      </c>
      <c r="L2326" s="22" t="e">
        <f>VLOOKUP($A2326, TAB_AMORTIZACAO_C[[DIAS_CORRIDOS]:[V_FUT_UTEIS]], L$5, FALSE)</f>
        <v>#N/A</v>
      </c>
    </row>
    <row r="2327" spans="1:12" hidden="1">
      <c r="A2327" s="19">
        <f t="shared" si="189"/>
        <v>2321</v>
      </c>
      <c r="B2327" s="20">
        <f t="shared" si="185"/>
        <v>0</v>
      </c>
      <c r="C2327" s="21">
        <f t="shared" si="186"/>
        <v>0</v>
      </c>
      <c r="D2327" s="22" t="e">
        <f>VLOOKUP($A2327, TAB_JUROS_U[[Q_DIAS_U_PARC_TIR]:[V_FUT_U_JURS CENARIO]], D$5, FALSE)</f>
        <v>#N/A</v>
      </c>
      <c r="E2327" s="22" t="e">
        <f>VLOOKUP($A2327,TAB_CORRECAO_U[[Q_DIAS_U_PARC_TIR]:[V_FUT_U_CORC-02]],E$5, FALSE)</f>
        <v>#N/A</v>
      </c>
      <c r="F2327" s="22" t="e">
        <f>VLOOKUP($A2327,TAB_AMORTIZACAO_U[[Q_DIAS_U_PARC_TIR]:[V_FUT_U_PCPL-02]], F$5, FALSE)</f>
        <v>#N/A</v>
      </c>
      <c r="H2327" s="20">
        <f t="shared" si="187"/>
        <v>0</v>
      </c>
      <c r="I2327" s="21">
        <f t="shared" si="188"/>
        <v>0</v>
      </c>
      <c r="J2327" s="22" t="e">
        <f>VLOOKUP($A2327, TAB_JUROS_C[[DIAS_CORRIDOS]:[V_FUT_UTEIS]], J$5, FALSE)</f>
        <v>#N/A</v>
      </c>
      <c r="K2327" s="22" t="e">
        <f>VLOOKUP($A2327, TAB_CORRECAO_C[[DIAS_CORRIDOS]:[V_FUT_UTEIS]],K$5, FALSE)</f>
        <v>#N/A</v>
      </c>
      <c r="L2327" s="22" t="e">
        <f>VLOOKUP($A2327, TAB_AMORTIZACAO_C[[DIAS_CORRIDOS]:[V_FUT_UTEIS]], L$5, FALSE)</f>
        <v>#N/A</v>
      </c>
    </row>
    <row r="2328" spans="1:12" hidden="1">
      <c r="A2328" s="19">
        <f t="shared" si="189"/>
        <v>2322</v>
      </c>
      <c r="B2328" s="20">
        <f t="shared" si="185"/>
        <v>0</v>
      </c>
      <c r="C2328" s="21">
        <f t="shared" si="186"/>
        <v>0</v>
      </c>
      <c r="D2328" s="22" t="e">
        <f>VLOOKUP($A2328, TAB_JUROS_U[[Q_DIAS_U_PARC_TIR]:[V_FUT_U_JURS CENARIO]], D$5, FALSE)</f>
        <v>#N/A</v>
      </c>
      <c r="E2328" s="22" t="e">
        <f>VLOOKUP($A2328,TAB_CORRECAO_U[[Q_DIAS_U_PARC_TIR]:[V_FUT_U_CORC-02]],E$5, FALSE)</f>
        <v>#N/A</v>
      </c>
      <c r="F2328" s="22" t="e">
        <f>VLOOKUP($A2328,TAB_AMORTIZACAO_U[[Q_DIAS_U_PARC_TIR]:[V_FUT_U_PCPL-02]], F$5, FALSE)</f>
        <v>#N/A</v>
      </c>
      <c r="H2328" s="20">
        <f t="shared" si="187"/>
        <v>0</v>
      </c>
      <c r="I2328" s="21">
        <f t="shared" si="188"/>
        <v>0</v>
      </c>
      <c r="J2328" s="22" t="e">
        <f>VLOOKUP($A2328, TAB_JUROS_C[[DIAS_CORRIDOS]:[V_FUT_UTEIS]], J$5, FALSE)</f>
        <v>#N/A</v>
      </c>
      <c r="K2328" s="22" t="e">
        <f>VLOOKUP($A2328, TAB_CORRECAO_C[[DIAS_CORRIDOS]:[V_FUT_UTEIS]],K$5, FALSE)</f>
        <v>#N/A</v>
      </c>
      <c r="L2328" s="22" t="e">
        <f>VLOOKUP($A2328, TAB_AMORTIZACAO_C[[DIAS_CORRIDOS]:[V_FUT_UTEIS]], L$5, FALSE)</f>
        <v>#N/A</v>
      </c>
    </row>
    <row r="2329" spans="1:12" hidden="1">
      <c r="A2329" s="19">
        <f t="shared" si="189"/>
        <v>2323</v>
      </c>
      <c r="B2329" s="20">
        <f t="shared" si="185"/>
        <v>0</v>
      </c>
      <c r="C2329" s="21">
        <f t="shared" si="186"/>
        <v>0</v>
      </c>
      <c r="D2329" s="22" t="e">
        <f>VLOOKUP($A2329, TAB_JUROS_U[[Q_DIAS_U_PARC_TIR]:[V_FUT_U_JURS CENARIO]], D$5, FALSE)</f>
        <v>#N/A</v>
      </c>
      <c r="E2329" s="22" t="e">
        <f>VLOOKUP($A2329,TAB_CORRECAO_U[[Q_DIAS_U_PARC_TIR]:[V_FUT_U_CORC-02]],E$5, FALSE)</f>
        <v>#N/A</v>
      </c>
      <c r="F2329" s="22" t="e">
        <f>VLOOKUP($A2329,TAB_AMORTIZACAO_U[[Q_DIAS_U_PARC_TIR]:[V_FUT_U_PCPL-02]], F$5, FALSE)</f>
        <v>#N/A</v>
      </c>
      <c r="H2329" s="20">
        <f t="shared" si="187"/>
        <v>0</v>
      </c>
      <c r="I2329" s="21">
        <f t="shared" si="188"/>
        <v>0</v>
      </c>
      <c r="J2329" s="22" t="e">
        <f>VLOOKUP($A2329, TAB_JUROS_C[[DIAS_CORRIDOS]:[V_FUT_UTEIS]], J$5, FALSE)</f>
        <v>#N/A</v>
      </c>
      <c r="K2329" s="22" t="e">
        <f>VLOOKUP($A2329, TAB_CORRECAO_C[[DIAS_CORRIDOS]:[V_FUT_UTEIS]],K$5, FALSE)</f>
        <v>#N/A</v>
      </c>
      <c r="L2329" s="22" t="e">
        <f>VLOOKUP($A2329, TAB_AMORTIZACAO_C[[DIAS_CORRIDOS]:[V_FUT_UTEIS]], L$5, FALSE)</f>
        <v>#N/A</v>
      </c>
    </row>
    <row r="2330" spans="1:12" hidden="1">
      <c r="A2330" s="19">
        <f t="shared" si="189"/>
        <v>2324</v>
      </c>
      <c r="B2330" s="20">
        <f t="shared" si="185"/>
        <v>0</v>
      </c>
      <c r="C2330" s="21">
        <f t="shared" si="186"/>
        <v>0</v>
      </c>
      <c r="D2330" s="22" t="e">
        <f>VLOOKUP($A2330, TAB_JUROS_U[[Q_DIAS_U_PARC_TIR]:[V_FUT_U_JURS CENARIO]], D$5, FALSE)</f>
        <v>#N/A</v>
      </c>
      <c r="E2330" s="22" t="e">
        <f>VLOOKUP($A2330,TAB_CORRECAO_U[[Q_DIAS_U_PARC_TIR]:[V_FUT_U_CORC-02]],E$5, FALSE)</f>
        <v>#N/A</v>
      </c>
      <c r="F2330" s="22" t="e">
        <f>VLOOKUP($A2330,TAB_AMORTIZACAO_U[[Q_DIAS_U_PARC_TIR]:[V_FUT_U_PCPL-02]], F$5, FALSE)</f>
        <v>#N/A</v>
      </c>
      <c r="H2330" s="20">
        <f t="shared" si="187"/>
        <v>453.7067520137561</v>
      </c>
      <c r="I2330" s="21">
        <f t="shared" si="188"/>
        <v>453.7067520137561</v>
      </c>
      <c r="J2330" s="22">
        <f>VLOOKUP($A2330, TAB_JUROS_C[[DIAS_CORRIDOS]:[V_FUT_UTEIS]], J$5, FALSE)</f>
        <v>28.009395543909669</v>
      </c>
      <c r="K2330" s="22">
        <f>VLOOKUP($A2330, TAB_CORRECAO_C[[DIAS_CORRIDOS]:[V_FUT_UTEIS]],K$5, FALSE)</f>
        <v>169.47492055855631</v>
      </c>
      <c r="L2330" s="22">
        <f>VLOOKUP($A2330, TAB_AMORTIZACAO_C[[DIAS_CORRIDOS]:[V_FUT_UTEIS]], L$5, FALSE)</f>
        <v>256.22243591129012</v>
      </c>
    </row>
    <row r="2331" spans="1:12" hidden="1">
      <c r="A2331" s="19">
        <f t="shared" si="189"/>
        <v>2325</v>
      </c>
      <c r="B2331" s="20">
        <f t="shared" si="185"/>
        <v>0</v>
      </c>
      <c r="C2331" s="21">
        <f t="shared" si="186"/>
        <v>0</v>
      </c>
      <c r="D2331" s="22" t="e">
        <f>VLOOKUP($A2331, TAB_JUROS_U[[Q_DIAS_U_PARC_TIR]:[V_FUT_U_JURS CENARIO]], D$5, FALSE)</f>
        <v>#N/A</v>
      </c>
      <c r="E2331" s="22" t="e">
        <f>VLOOKUP($A2331,TAB_CORRECAO_U[[Q_DIAS_U_PARC_TIR]:[V_FUT_U_CORC-02]],E$5, FALSE)</f>
        <v>#N/A</v>
      </c>
      <c r="F2331" s="22" t="e">
        <f>VLOOKUP($A2331,TAB_AMORTIZACAO_U[[Q_DIAS_U_PARC_TIR]:[V_FUT_U_PCPL-02]], F$5, FALSE)</f>
        <v>#N/A</v>
      </c>
      <c r="H2331" s="20">
        <f t="shared" si="187"/>
        <v>0</v>
      </c>
      <c r="I2331" s="21">
        <f t="shared" si="188"/>
        <v>0</v>
      </c>
      <c r="J2331" s="22" t="e">
        <f>VLOOKUP($A2331, TAB_JUROS_C[[DIAS_CORRIDOS]:[V_FUT_UTEIS]], J$5, FALSE)</f>
        <v>#N/A</v>
      </c>
      <c r="K2331" s="22" t="e">
        <f>VLOOKUP($A2331, TAB_CORRECAO_C[[DIAS_CORRIDOS]:[V_FUT_UTEIS]],K$5, FALSE)</f>
        <v>#N/A</v>
      </c>
      <c r="L2331" s="22" t="e">
        <f>VLOOKUP($A2331, TAB_AMORTIZACAO_C[[DIAS_CORRIDOS]:[V_FUT_UTEIS]], L$5, FALSE)</f>
        <v>#N/A</v>
      </c>
    </row>
    <row r="2332" spans="1:12" hidden="1">
      <c r="A2332" s="19">
        <f t="shared" si="189"/>
        <v>2326</v>
      </c>
      <c r="B2332" s="20">
        <f t="shared" si="185"/>
        <v>0</v>
      </c>
      <c r="C2332" s="21">
        <f t="shared" si="186"/>
        <v>0</v>
      </c>
      <c r="D2332" s="22" t="e">
        <f>VLOOKUP($A2332, TAB_JUROS_U[[Q_DIAS_U_PARC_TIR]:[V_FUT_U_JURS CENARIO]], D$5, FALSE)</f>
        <v>#N/A</v>
      </c>
      <c r="E2332" s="22" t="e">
        <f>VLOOKUP($A2332,TAB_CORRECAO_U[[Q_DIAS_U_PARC_TIR]:[V_FUT_U_CORC-02]],E$5, FALSE)</f>
        <v>#N/A</v>
      </c>
      <c r="F2332" s="22" t="e">
        <f>VLOOKUP($A2332,TAB_AMORTIZACAO_U[[Q_DIAS_U_PARC_TIR]:[V_FUT_U_PCPL-02]], F$5, FALSE)</f>
        <v>#N/A</v>
      </c>
      <c r="H2332" s="20">
        <f t="shared" si="187"/>
        <v>0</v>
      </c>
      <c r="I2332" s="21">
        <f t="shared" si="188"/>
        <v>0</v>
      </c>
      <c r="J2332" s="22" t="e">
        <f>VLOOKUP($A2332, TAB_JUROS_C[[DIAS_CORRIDOS]:[V_FUT_UTEIS]], J$5, FALSE)</f>
        <v>#N/A</v>
      </c>
      <c r="K2332" s="22" t="e">
        <f>VLOOKUP($A2332, TAB_CORRECAO_C[[DIAS_CORRIDOS]:[V_FUT_UTEIS]],K$5, FALSE)</f>
        <v>#N/A</v>
      </c>
      <c r="L2332" s="22" t="e">
        <f>VLOOKUP($A2332, TAB_AMORTIZACAO_C[[DIAS_CORRIDOS]:[V_FUT_UTEIS]], L$5, FALSE)</f>
        <v>#N/A</v>
      </c>
    </row>
    <row r="2333" spans="1:12" hidden="1">
      <c r="A2333" s="19">
        <f t="shared" si="189"/>
        <v>2327</v>
      </c>
      <c r="B2333" s="20">
        <f t="shared" si="185"/>
        <v>0</v>
      </c>
      <c r="C2333" s="21">
        <f t="shared" si="186"/>
        <v>0</v>
      </c>
      <c r="D2333" s="22" t="e">
        <f>VLOOKUP($A2333, TAB_JUROS_U[[Q_DIAS_U_PARC_TIR]:[V_FUT_U_JURS CENARIO]], D$5, FALSE)</f>
        <v>#N/A</v>
      </c>
      <c r="E2333" s="22" t="e">
        <f>VLOOKUP($A2333,TAB_CORRECAO_U[[Q_DIAS_U_PARC_TIR]:[V_FUT_U_CORC-02]],E$5, FALSE)</f>
        <v>#N/A</v>
      </c>
      <c r="F2333" s="22" t="e">
        <f>VLOOKUP($A2333,TAB_AMORTIZACAO_U[[Q_DIAS_U_PARC_TIR]:[V_FUT_U_PCPL-02]], F$5, FALSE)</f>
        <v>#N/A</v>
      </c>
      <c r="H2333" s="20">
        <f t="shared" si="187"/>
        <v>0</v>
      </c>
      <c r="I2333" s="21">
        <f t="shared" si="188"/>
        <v>0</v>
      </c>
      <c r="J2333" s="22" t="e">
        <f>VLOOKUP($A2333, TAB_JUROS_C[[DIAS_CORRIDOS]:[V_FUT_UTEIS]], J$5, FALSE)</f>
        <v>#N/A</v>
      </c>
      <c r="K2333" s="22" t="e">
        <f>VLOOKUP($A2333, TAB_CORRECAO_C[[DIAS_CORRIDOS]:[V_FUT_UTEIS]],K$5, FALSE)</f>
        <v>#N/A</v>
      </c>
      <c r="L2333" s="22" t="e">
        <f>VLOOKUP($A2333, TAB_AMORTIZACAO_C[[DIAS_CORRIDOS]:[V_FUT_UTEIS]], L$5, FALSE)</f>
        <v>#N/A</v>
      </c>
    </row>
    <row r="2334" spans="1:12" hidden="1">
      <c r="A2334" s="19">
        <f t="shared" si="189"/>
        <v>2328</v>
      </c>
      <c r="B2334" s="20">
        <f t="shared" si="185"/>
        <v>0</v>
      </c>
      <c r="C2334" s="21">
        <f t="shared" si="186"/>
        <v>0</v>
      </c>
      <c r="D2334" s="22" t="e">
        <f>VLOOKUP($A2334, TAB_JUROS_U[[Q_DIAS_U_PARC_TIR]:[V_FUT_U_JURS CENARIO]], D$5, FALSE)</f>
        <v>#N/A</v>
      </c>
      <c r="E2334" s="22" t="e">
        <f>VLOOKUP($A2334,TAB_CORRECAO_U[[Q_DIAS_U_PARC_TIR]:[V_FUT_U_CORC-02]],E$5, FALSE)</f>
        <v>#N/A</v>
      </c>
      <c r="F2334" s="22" t="e">
        <f>VLOOKUP($A2334,TAB_AMORTIZACAO_U[[Q_DIAS_U_PARC_TIR]:[V_FUT_U_PCPL-02]], F$5, FALSE)</f>
        <v>#N/A</v>
      </c>
      <c r="H2334" s="20">
        <f t="shared" si="187"/>
        <v>0</v>
      </c>
      <c r="I2334" s="21">
        <f t="shared" si="188"/>
        <v>0</v>
      </c>
      <c r="J2334" s="22" t="e">
        <f>VLOOKUP($A2334, TAB_JUROS_C[[DIAS_CORRIDOS]:[V_FUT_UTEIS]], J$5, FALSE)</f>
        <v>#N/A</v>
      </c>
      <c r="K2334" s="22" t="e">
        <f>VLOOKUP($A2334, TAB_CORRECAO_C[[DIAS_CORRIDOS]:[V_FUT_UTEIS]],K$5, FALSE)</f>
        <v>#N/A</v>
      </c>
      <c r="L2334" s="22" t="e">
        <f>VLOOKUP($A2334, TAB_AMORTIZACAO_C[[DIAS_CORRIDOS]:[V_FUT_UTEIS]], L$5, FALSE)</f>
        <v>#N/A</v>
      </c>
    </row>
    <row r="2335" spans="1:12" hidden="1">
      <c r="A2335" s="19">
        <f t="shared" si="189"/>
        <v>2329</v>
      </c>
      <c r="B2335" s="20">
        <f t="shared" si="185"/>
        <v>0</v>
      </c>
      <c r="C2335" s="21">
        <f t="shared" si="186"/>
        <v>0</v>
      </c>
      <c r="D2335" s="22" t="e">
        <f>VLOOKUP($A2335, TAB_JUROS_U[[Q_DIAS_U_PARC_TIR]:[V_FUT_U_JURS CENARIO]], D$5, FALSE)</f>
        <v>#N/A</v>
      </c>
      <c r="E2335" s="22" t="e">
        <f>VLOOKUP($A2335,TAB_CORRECAO_U[[Q_DIAS_U_PARC_TIR]:[V_FUT_U_CORC-02]],E$5, FALSE)</f>
        <v>#N/A</v>
      </c>
      <c r="F2335" s="22" t="e">
        <f>VLOOKUP($A2335,TAB_AMORTIZACAO_U[[Q_DIAS_U_PARC_TIR]:[V_FUT_U_PCPL-02]], F$5, FALSE)</f>
        <v>#N/A</v>
      </c>
      <c r="H2335" s="20">
        <f t="shared" si="187"/>
        <v>0</v>
      </c>
      <c r="I2335" s="21">
        <f t="shared" si="188"/>
        <v>0</v>
      </c>
      <c r="J2335" s="22" t="e">
        <f>VLOOKUP($A2335, TAB_JUROS_C[[DIAS_CORRIDOS]:[V_FUT_UTEIS]], J$5, FALSE)</f>
        <v>#N/A</v>
      </c>
      <c r="K2335" s="22" t="e">
        <f>VLOOKUP($A2335, TAB_CORRECAO_C[[DIAS_CORRIDOS]:[V_FUT_UTEIS]],K$5, FALSE)</f>
        <v>#N/A</v>
      </c>
      <c r="L2335" s="22" t="e">
        <f>VLOOKUP($A2335, TAB_AMORTIZACAO_C[[DIAS_CORRIDOS]:[V_FUT_UTEIS]], L$5, FALSE)</f>
        <v>#N/A</v>
      </c>
    </row>
    <row r="2336" spans="1:12" hidden="1">
      <c r="A2336" s="19">
        <f t="shared" si="189"/>
        <v>2330</v>
      </c>
      <c r="B2336" s="20">
        <f t="shared" si="185"/>
        <v>0</v>
      </c>
      <c r="C2336" s="21">
        <f t="shared" si="186"/>
        <v>0</v>
      </c>
      <c r="D2336" s="22" t="e">
        <f>VLOOKUP($A2336, TAB_JUROS_U[[Q_DIAS_U_PARC_TIR]:[V_FUT_U_JURS CENARIO]], D$5, FALSE)</f>
        <v>#N/A</v>
      </c>
      <c r="E2336" s="22" t="e">
        <f>VLOOKUP($A2336,TAB_CORRECAO_U[[Q_DIAS_U_PARC_TIR]:[V_FUT_U_CORC-02]],E$5, FALSE)</f>
        <v>#N/A</v>
      </c>
      <c r="F2336" s="22" t="e">
        <f>VLOOKUP($A2336,TAB_AMORTIZACAO_U[[Q_DIAS_U_PARC_TIR]:[V_FUT_U_PCPL-02]], F$5, FALSE)</f>
        <v>#N/A</v>
      </c>
      <c r="H2336" s="20">
        <f t="shared" si="187"/>
        <v>0</v>
      </c>
      <c r="I2336" s="21">
        <f t="shared" si="188"/>
        <v>0</v>
      </c>
      <c r="J2336" s="22" t="e">
        <f>VLOOKUP($A2336, TAB_JUROS_C[[DIAS_CORRIDOS]:[V_FUT_UTEIS]], J$5, FALSE)</f>
        <v>#N/A</v>
      </c>
      <c r="K2336" s="22" t="e">
        <f>VLOOKUP($A2336, TAB_CORRECAO_C[[DIAS_CORRIDOS]:[V_FUT_UTEIS]],K$5, FALSE)</f>
        <v>#N/A</v>
      </c>
      <c r="L2336" s="22" t="e">
        <f>VLOOKUP($A2336, TAB_AMORTIZACAO_C[[DIAS_CORRIDOS]:[V_FUT_UTEIS]], L$5, FALSE)</f>
        <v>#N/A</v>
      </c>
    </row>
    <row r="2337" spans="1:12" hidden="1">
      <c r="A2337" s="19">
        <f t="shared" si="189"/>
        <v>2331</v>
      </c>
      <c r="B2337" s="20">
        <f t="shared" si="185"/>
        <v>0</v>
      </c>
      <c r="C2337" s="21">
        <f t="shared" si="186"/>
        <v>0</v>
      </c>
      <c r="D2337" s="22" t="e">
        <f>VLOOKUP($A2337, TAB_JUROS_U[[Q_DIAS_U_PARC_TIR]:[V_FUT_U_JURS CENARIO]], D$5, FALSE)</f>
        <v>#N/A</v>
      </c>
      <c r="E2337" s="22" t="e">
        <f>VLOOKUP($A2337,TAB_CORRECAO_U[[Q_DIAS_U_PARC_TIR]:[V_FUT_U_CORC-02]],E$5, FALSE)</f>
        <v>#N/A</v>
      </c>
      <c r="F2337" s="22" t="e">
        <f>VLOOKUP($A2337,TAB_AMORTIZACAO_U[[Q_DIAS_U_PARC_TIR]:[V_FUT_U_PCPL-02]], F$5, FALSE)</f>
        <v>#N/A</v>
      </c>
      <c r="H2337" s="20">
        <f t="shared" si="187"/>
        <v>0</v>
      </c>
      <c r="I2337" s="21">
        <f t="shared" si="188"/>
        <v>0</v>
      </c>
      <c r="J2337" s="22" t="e">
        <f>VLOOKUP($A2337, TAB_JUROS_C[[DIAS_CORRIDOS]:[V_FUT_UTEIS]], J$5, FALSE)</f>
        <v>#N/A</v>
      </c>
      <c r="K2337" s="22" t="e">
        <f>VLOOKUP($A2337, TAB_CORRECAO_C[[DIAS_CORRIDOS]:[V_FUT_UTEIS]],K$5, FALSE)</f>
        <v>#N/A</v>
      </c>
      <c r="L2337" s="22" t="e">
        <f>VLOOKUP($A2337, TAB_AMORTIZACAO_C[[DIAS_CORRIDOS]:[V_FUT_UTEIS]], L$5, FALSE)</f>
        <v>#N/A</v>
      </c>
    </row>
    <row r="2338" spans="1:12" hidden="1">
      <c r="A2338" s="19">
        <f t="shared" si="189"/>
        <v>2332</v>
      </c>
      <c r="B2338" s="20">
        <f t="shared" si="185"/>
        <v>0</v>
      </c>
      <c r="C2338" s="21">
        <f t="shared" si="186"/>
        <v>0</v>
      </c>
      <c r="D2338" s="22" t="e">
        <f>VLOOKUP($A2338, TAB_JUROS_U[[Q_DIAS_U_PARC_TIR]:[V_FUT_U_JURS CENARIO]], D$5, FALSE)</f>
        <v>#N/A</v>
      </c>
      <c r="E2338" s="22" t="e">
        <f>VLOOKUP($A2338,TAB_CORRECAO_U[[Q_DIAS_U_PARC_TIR]:[V_FUT_U_CORC-02]],E$5, FALSE)</f>
        <v>#N/A</v>
      </c>
      <c r="F2338" s="22" t="e">
        <f>VLOOKUP($A2338,TAB_AMORTIZACAO_U[[Q_DIAS_U_PARC_TIR]:[V_FUT_U_PCPL-02]], F$5, FALSE)</f>
        <v>#N/A</v>
      </c>
      <c r="H2338" s="20">
        <f t="shared" si="187"/>
        <v>0</v>
      </c>
      <c r="I2338" s="21">
        <f t="shared" si="188"/>
        <v>0</v>
      </c>
      <c r="J2338" s="22" t="e">
        <f>VLOOKUP($A2338, TAB_JUROS_C[[DIAS_CORRIDOS]:[V_FUT_UTEIS]], J$5, FALSE)</f>
        <v>#N/A</v>
      </c>
      <c r="K2338" s="22" t="e">
        <f>VLOOKUP($A2338, TAB_CORRECAO_C[[DIAS_CORRIDOS]:[V_FUT_UTEIS]],K$5, FALSE)</f>
        <v>#N/A</v>
      </c>
      <c r="L2338" s="22" t="e">
        <f>VLOOKUP($A2338, TAB_AMORTIZACAO_C[[DIAS_CORRIDOS]:[V_FUT_UTEIS]], L$5, FALSE)</f>
        <v>#N/A</v>
      </c>
    </row>
    <row r="2339" spans="1:12">
      <c r="A2339" s="19">
        <f t="shared" si="189"/>
        <v>2333</v>
      </c>
      <c r="B2339" s="20">
        <f t="shared" si="185"/>
        <v>200.15062122280591</v>
      </c>
      <c r="C2339" s="21">
        <f t="shared" si="186"/>
        <v>200.15062122280591</v>
      </c>
      <c r="D2339" s="22">
        <f>VLOOKUP($A2339, TAB_JUROS_U[[Q_DIAS_U_PARC_TIR]:[V_FUT_U_JURS CENARIO]], D$5, FALSE)</f>
        <v>8.1843729026718872</v>
      </c>
      <c r="E2339" s="22">
        <f>VLOOKUP($A2339,TAB_CORRECAO_U[[Q_DIAS_U_PARC_TIR]:[V_FUT_U_CORC-02]],E$5, FALSE)</f>
        <v>48.74347516671348</v>
      </c>
      <c r="F2339" s="22">
        <f>VLOOKUP($A2339,TAB_AMORTIZACAO_U[[Q_DIAS_U_PARC_TIR]:[V_FUT_U_PCPL-02]], F$5, FALSE)</f>
        <v>143.22277315342055</v>
      </c>
      <c r="H2339" s="20">
        <f t="shared" si="187"/>
        <v>0</v>
      </c>
      <c r="I2339" s="21">
        <f t="shared" si="188"/>
        <v>0</v>
      </c>
      <c r="J2339" s="22" t="e">
        <f>VLOOKUP($A2339, TAB_JUROS_C[[DIAS_CORRIDOS]:[V_FUT_UTEIS]], J$5, FALSE)</f>
        <v>#N/A</v>
      </c>
      <c r="K2339" s="22" t="e">
        <f>VLOOKUP($A2339, TAB_CORRECAO_C[[DIAS_CORRIDOS]:[V_FUT_UTEIS]],K$5, FALSE)</f>
        <v>#N/A</v>
      </c>
      <c r="L2339" s="22" t="e">
        <f>VLOOKUP($A2339, TAB_AMORTIZACAO_C[[DIAS_CORRIDOS]:[V_FUT_UTEIS]], L$5, FALSE)</f>
        <v>#N/A</v>
      </c>
    </row>
    <row r="2340" spans="1:12" hidden="1">
      <c r="A2340" s="19">
        <f t="shared" si="189"/>
        <v>2334</v>
      </c>
      <c r="B2340" s="20">
        <f t="shared" si="185"/>
        <v>0</v>
      </c>
      <c r="C2340" s="21">
        <f t="shared" si="186"/>
        <v>0</v>
      </c>
      <c r="D2340" s="22" t="e">
        <f>VLOOKUP($A2340, TAB_JUROS_U[[Q_DIAS_U_PARC_TIR]:[V_FUT_U_JURS CENARIO]], D$5, FALSE)</f>
        <v>#N/A</v>
      </c>
      <c r="E2340" s="22" t="e">
        <f>VLOOKUP($A2340,TAB_CORRECAO_U[[Q_DIAS_U_PARC_TIR]:[V_FUT_U_CORC-02]],E$5, FALSE)</f>
        <v>#N/A</v>
      </c>
      <c r="F2340" s="22" t="e">
        <f>VLOOKUP($A2340,TAB_AMORTIZACAO_U[[Q_DIAS_U_PARC_TIR]:[V_FUT_U_PCPL-02]], F$5, FALSE)</f>
        <v>#N/A</v>
      </c>
      <c r="H2340" s="20">
        <f t="shared" si="187"/>
        <v>0</v>
      </c>
      <c r="I2340" s="21">
        <f t="shared" si="188"/>
        <v>0</v>
      </c>
      <c r="J2340" s="22" t="e">
        <f>VLOOKUP($A2340, TAB_JUROS_C[[DIAS_CORRIDOS]:[V_FUT_UTEIS]], J$5, FALSE)</f>
        <v>#N/A</v>
      </c>
      <c r="K2340" s="22" t="e">
        <f>VLOOKUP($A2340, TAB_CORRECAO_C[[DIAS_CORRIDOS]:[V_FUT_UTEIS]],K$5, FALSE)</f>
        <v>#N/A</v>
      </c>
      <c r="L2340" s="22" t="e">
        <f>VLOOKUP($A2340, TAB_AMORTIZACAO_C[[DIAS_CORRIDOS]:[V_FUT_UTEIS]], L$5, FALSE)</f>
        <v>#N/A</v>
      </c>
    </row>
    <row r="2341" spans="1:12" hidden="1">
      <c r="A2341" s="19">
        <f t="shared" si="189"/>
        <v>2335</v>
      </c>
      <c r="B2341" s="20">
        <f t="shared" si="185"/>
        <v>0</v>
      </c>
      <c r="C2341" s="21">
        <f t="shared" si="186"/>
        <v>0</v>
      </c>
      <c r="D2341" s="22" t="e">
        <f>VLOOKUP($A2341, TAB_JUROS_U[[Q_DIAS_U_PARC_TIR]:[V_FUT_U_JURS CENARIO]], D$5, FALSE)</f>
        <v>#N/A</v>
      </c>
      <c r="E2341" s="22" t="e">
        <f>VLOOKUP($A2341,TAB_CORRECAO_U[[Q_DIAS_U_PARC_TIR]:[V_FUT_U_CORC-02]],E$5, FALSE)</f>
        <v>#N/A</v>
      </c>
      <c r="F2341" s="22" t="e">
        <f>VLOOKUP($A2341,TAB_AMORTIZACAO_U[[Q_DIAS_U_PARC_TIR]:[V_FUT_U_PCPL-02]], F$5, FALSE)</f>
        <v>#N/A</v>
      </c>
      <c r="H2341" s="20">
        <f t="shared" si="187"/>
        <v>0</v>
      </c>
      <c r="I2341" s="21">
        <f t="shared" si="188"/>
        <v>0</v>
      </c>
      <c r="J2341" s="22" t="e">
        <f>VLOOKUP($A2341, TAB_JUROS_C[[DIAS_CORRIDOS]:[V_FUT_UTEIS]], J$5, FALSE)</f>
        <v>#N/A</v>
      </c>
      <c r="K2341" s="22" t="e">
        <f>VLOOKUP($A2341, TAB_CORRECAO_C[[DIAS_CORRIDOS]:[V_FUT_UTEIS]],K$5, FALSE)</f>
        <v>#N/A</v>
      </c>
      <c r="L2341" s="22" t="e">
        <f>VLOOKUP($A2341, TAB_AMORTIZACAO_C[[DIAS_CORRIDOS]:[V_FUT_UTEIS]], L$5, FALSE)</f>
        <v>#N/A</v>
      </c>
    </row>
    <row r="2342" spans="1:12" hidden="1">
      <c r="A2342" s="19">
        <f t="shared" si="189"/>
        <v>2336</v>
      </c>
      <c r="B2342" s="20">
        <f t="shared" si="185"/>
        <v>0</v>
      </c>
      <c r="C2342" s="21">
        <f t="shared" si="186"/>
        <v>0</v>
      </c>
      <c r="D2342" s="22" t="e">
        <f>VLOOKUP($A2342, TAB_JUROS_U[[Q_DIAS_U_PARC_TIR]:[V_FUT_U_JURS CENARIO]], D$5, FALSE)</f>
        <v>#N/A</v>
      </c>
      <c r="E2342" s="22" t="e">
        <f>VLOOKUP($A2342,TAB_CORRECAO_U[[Q_DIAS_U_PARC_TIR]:[V_FUT_U_CORC-02]],E$5, FALSE)</f>
        <v>#N/A</v>
      </c>
      <c r="F2342" s="22" t="e">
        <f>VLOOKUP($A2342,TAB_AMORTIZACAO_U[[Q_DIAS_U_PARC_TIR]:[V_FUT_U_PCPL-02]], F$5, FALSE)</f>
        <v>#N/A</v>
      </c>
      <c r="H2342" s="20">
        <f t="shared" si="187"/>
        <v>0</v>
      </c>
      <c r="I2342" s="21">
        <f t="shared" si="188"/>
        <v>0</v>
      </c>
      <c r="J2342" s="22" t="e">
        <f>VLOOKUP($A2342, TAB_JUROS_C[[DIAS_CORRIDOS]:[V_FUT_UTEIS]], J$5, FALSE)</f>
        <v>#N/A</v>
      </c>
      <c r="K2342" s="22" t="e">
        <f>VLOOKUP($A2342, TAB_CORRECAO_C[[DIAS_CORRIDOS]:[V_FUT_UTEIS]],K$5, FALSE)</f>
        <v>#N/A</v>
      </c>
      <c r="L2342" s="22" t="e">
        <f>VLOOKUP($A2342, TAB_AMORTIZACAO_C[[DIAS_CORRIDOS]:[V_FUT_UTEIS]], L$5, FALSE)</f>
        <v>#N/A</v>
      </c>
    </row>
    <row r="2343" spans="1:12" hidden="1">
      <c r="A2343" s="19">
        <f t="shared" si="189"/>
        <v>2337</v>
      </c>
      <c r="B2343" s="20">
        <f t="shared" si="185"/>
        <v>0</v>
      </c>
      <c r="C2343" s="21">
        <f t="shared" si="186"/>
        <v>0</v>
      </c>
      <c r="D2343" s="22" t="e">
        <f>VLOOKUP($A2343, TAB_JUROS_U[[Q_DIAS_U_PARC_TIR]:[V_FUT_U_JURS CENARIO]], D$5, FALSE)</f>
        <v>#N/A</v>
      </c>
      <c r="E2343" s="22" t="e">
        <f>VLOOKUP($A2343,TAB_CORRECAO_U[[Q_DIAS_U_PARC_TIR]:[V_FUT_U_CORC-02]],E$5, FALSE)</f>
        <v>#N/A</v>
      </c>
      <c r="F2343" s="22" t="e">
        <f>VLOOKUP($A2343,TAB_AMORTIZACAO_U[[Q_DIAS_U_PARC_TIR]:[V_FUT_U_PCPL-02]], F$5, FALSE)</f>
        <v>#N/A</v>
      </c>
      <c r="H2343" s="20">
        <f t="shared" si="187"/>
        <v>0</v>
      </c>
      <c r="I2343" s="21">
        <f t="shared" si="188"/>
        <v>0</v>
      </c>
      <c r="J2343" s="22" t="e">
        <f>VLOOKUP($A2343, TAB_JUROS_C[[DIAS_CORRIDOS]:[V_FUT_UTEIS]], J$5, FALSE)</f>
        <v>#N/A</v>
      </c>
      <c r="K2343" s="22" t="e">
        <f>VLOOKUP($A2343, TAB_CORRECAO_C[[DIAS_CORRIDOS]:[V_FUT_UTEIS]],K$5, FALSE)</f>
        <v>#N/A</v>
      </c>
      <c r="L2343" s="22" t="e">
        <f>VLOOKUP($A2343, TAB_AMORTIZACAO_C[[DIAS_CORRIDOS]:[V_FUT_UTEIS]], L$5, FALSE)</f>
        <v>#N/A</v>
      </c>
    </row>
    <row r="2344" spans="1:12" hidden="1">
      <c r="A2344" s="19">
        <f t="shared" si="189"/>
        <v>2338</v>
      </c>
      <c r="B2344" s="20">
        <f t="shared" si="185"/>
        <v>0</v>
      </c>
      <c r="C2344" s="21">
        <f t="shared" si="186"/>
        <v>0</v>
      </c>
      <c r="D2344" s="22" t="e">
        <f>VLOOKUP($A2344, TAB_JUROS_U[[Q_DIAS_U_PARC_TIR]:[V_FUT_U_JURS CENARIO]], D$5, FALSE)</f>
        <v>#N/A</v>
      </c>
      <c r="E2344" s="22" t="e">
        <f>VLOOKUP($A2344,TAB_CORRECAO_U[[Q_DIAS_U_PARC_TIR]:[V_FUT_U_CORC-02]],E$5, FALSE)</f>
        <v>#N/A</v>
      </c>
      <c r="F2344" s="22" t="e">
        <f>VLOOKUP($A2344,TAB_AMORTIZACAO_U[[Q_DIAS_U_PARC_TIR]:[V_FUT_U_PCPL-02]], F$5, FALSE)</f>
        <v>#N/A</v>
      </c>
      <c r="H2344" s="20">
        <f t="shared" si="187"/>
        <v>0</v>
      </c>
      <c r="I2344" s="21">
        <f t="shared" si="188"/>
        <v>0</v>
      </c>
      <c r="J2344" s="22" t="e">
        <f>VLOOKUP($A2344, TAB_JUROS_C[[DIAS_CORRIDOS]:[V_FUT_UTEIS]], J$5, FALSE)</f>
        <v>#N/A</v>
      </c>
      <c r="K2344" s="22" t="e">
        <f>VLOOKUP($A2344, TAB_CORRECAO_C[[DIAS_CORRIDOS]:[V_FUT_UTEIS]],K$5, FALSE)</f>
        <v>#N/A</v>
      </c>
      <c r="L2344" s="22" t="e">
        <f>VLOOKUP($A2344, TAB_AMORTIZACAO_C[[DIAS_CORRIDOS]:[V_FUT_UTEIS]], L$5, FALSE)</f>
        <v>#N/A</v>
      </c>
    </row>
    <row r="2345" spans="1:12" hidden="1">
      <c r="A2345" s="19">
        <f t="shared" si="189"/>
        <v>2339</v>
      </c>
      <c r="B2345" s="20">
        <f t="shared" si="185"/>
        <v>0</v>
      </c>
      <c r="C2345" s="21">
        <f t="shared" si="186"/>
        <v>0</v>
      </c>
      <c r="D2345" s="22" t="e">
        <f>VLOOKUP($A2345, TAB_JUROS_U[[Q_DIAS_U_PARC_TIR]:[V_FUT_U_JURS CENARIO]], D$5, FALSE)</f>
        <v>#N/A</v>
      </c>
      <c r="E2345" s="22" t="e">
        <f>VLOOKUP($A2345,TAB_CORRECAO_U[[Q_DIAS_U_PARC_TIR]:[V_FUT_U_CORC-02]],E$5, FALSE)</f>
        <v>#N/A</v>
      </c>
      <c r="F2345" s="22" t="e">
        <f>VLOOKUP($A2345,TAB_AMORTIZACAO_U[[Q_DIAS_U_PARC_TIR]:[V_FUT_U_PCPL-02]], F$5, FALSE)</f>
        <v>#N/A</v>
      </c>
      <c r="H2345" s="20">
        <f t="shared" si="187"/>
        <v>0</v>
      </c>
      <c r="I2345" s="21">
        <f t="shared" si="188"/>
        <v>0</v>
      </c>
      <c r="J2345" s="22" t="e">
        <f>VLOOKUP($A2345, TAB_JUROS_C[[DIAS_CORRIDOS]:[V_FUT_UTEIS]], J$5, FALSE)</f>
        <v>#N/A</v>
      </c>
      <c r="K2345" s="22" t="e">
        <f>VLOOKUP($A2345, TAB_CORRECAO_C[[DIAS_CORRIDOS]:[V_FUT_UTEIS]],K$5, FALSE)</f>
        <v>#N/A</v>
      </c>
      <c r="L2345" s="22" t="e">
        <f>VLOOKUP($A2345, TAB_AMORTIZACAO_C[[DIAS_CORRIDOS]:[V_FUT_UTEIS]], L$5, FALSE)</f>
        <v>#N/A</v>
      </c>
    </row>
    <row r="2346" spans="1:12" hidden="1">
      <c r="A2346" s="19">
        <f t="shared" si="189"/>
        <v>2340</v>
      </c>
      <c r="B2346" s="20">
        <f t="shared" si="185"/>
        <v>0</v>
      </c>
      <c r="C2346" s="21">
        <f t="shared" si="186"/>
        <v>0</v>
      </c>
      <c r="D2346" s="22" t="e">
        <f>VLOOKUP($A2346, TAB_JUROS_U[[Q_DIAS_U_PARC_TIR]:[V_FUT_U_JURS CENARIO]], D$5, FALSE)</f>
        <v>#N/A</v>
      </c>
      <c r="E2346" s="22" t="e">
        <f>VLOOKUP($A2346,TAB_CORRECAO_U[[Q_DIAS_U_PARC_TIR]:[V_FUT_U_CORC-02]],E$5, FALSE)</f>
        <v>#N/A</v>
      </c>
      <c r="F2346" s="22" t="e">
        <f>VLOOKUP($A2346,TAB_AMORTIZACAO_U[[Q_DIAS_U_PARC_TIR]:[V_FUT_U_PCPL-02]], F$5, FALSE)</f>
        <v>#N/A</v>
      </c>
      <c r="H2346" s="20">
        <f t="shared" si="187"/>
        <v>0</v>
      </c>
      <c r="I2346" s="21">
        <f t="shared" si="188"/>
        <v>0</v>
      </c>
      <c r="J2346" s="22" t="e">
        <f>VLOOKUP($A2346, TAB_JUROS_C[[DIAS_CORRIDOS]:[V_FUT_UTEIS]], J$5, FALSE)</f>
        <v>#N/A</v>
      </c>
      <c r="K2346" s="22" t="e">
        <f>VLOOKUP($A2346, TAB_CORRECAO_C[[DIAS_CORRIDOS]:[V_FUT_UTEIS]],K$5, FALSE)</f>
        <v>#N/A</v>
      </c>
      <c r="L2346" s="22" t="e">
        <f>VLOOKUP($A2346, TAB_AMORTIZACAO_C[[DIAS_CORRIDOS]:[V_FUT_UTEIS]], L$5, FALSE)</f>
        <v>#N/A</v>
      </c>
    </row>
    <row r="2347" spans="1:12" hidden="1">
      <c r="A2347" s="19">
        <f t="shared" si="189"/>
        <v>2341</v>
      </c>
      <c r="B2347" s="20">
        <f t="shared" si="185"/>
        <v>0</v>
      </c>
      <c r="C2347" s="21">
        <f t="shared" si="186"/>
        <v>0</v>
      </c>
      <c r="D2347" s="22" t="e">
        <f>VLOOKUP($A2347, TAB_JUROS_U[[Q_DIAS_U_PARC_TIR]:[V_FUT_U_JURS CENARIO]], D$5, FALSE)</f>
        <v>#N/A</v>
      </c>
      <c r="E2347" s="22" t="e">
        <f>VLOOKUP($A2347,TAB_CORRECAO_U[[Q_DIAS_U_PARC_TIR]:[V_FUT_U_CORC-02]],E$5, FALSE)</f>
        <v>#N/A</v>
      </c>
      <c r="F2347" s="22" t="e">
        <f>VLOOKUP($A2347,TAB_AMORTIZACAO_U[[Q_DIAS_U_PARC_TIR]:[V_FUT_U_PCPL-02]], F$5, FALSE)</f>
        <v>#N/A</v>
      </c>
      <c r="H2347" s="20">
        <f t="shared" si="187"/>
        <v>0</v>
      </c>
      <c r="I2347" s="21">
        <f t="shared" si="188"/>
        <v>0</v>
      </c>
      <c r="J2347" s="22" t="e">
        <f>VLOOKUP($A2347, TAB_JUROS_C[[DIAS_CORRIDOS]:[V_FUT_UTEIS]], J$5, FALSE)</f>
        <v>#N/A</v>
      </c>
      <c r="K2347" s="22" t="e">
        <f>VLOOKUP($A2347, TAB_CORRECAO_C[[DIAS_CORRIDOS]:[V_FUT_UTEIS]],K$5, FALSE)</f>
        <v>#N/A</v>
      </c>
      <c r="L2347" s="22" t="e">
        <f>VLOOKUP($A2347, TAB_AMORTIZACAO_C[[DIAS_CORRIDOS]:[V_FUT_UTEIS]], L$5, FALSE)</f>
        <v>#N/A</v>
      </c>
    </row>
    <row r="2348" spans="1:12" hidden="1">
      <c r="A2348" s="19">
        <f t="shared" si="189"/>
        <v>2342</v>
      </c>
      <c r="B2348" s="20">
        <f t="shared" si="185"/>
        <v>0</v>
      </c>
      <c r="C2348" s="21">
        <f t="shared" si="186"/>
        <v>0</v>
      </c>
      <c r="D2348" s="22" t="e">
        <f>VLOOKUP($A2348, TAB_JUROS_U[[Q_DIAS_U_PARC_TIR]:[V_FUT_U_JURS CENARIO]], D$5, FALSE)</f>
        <v>#N/A</v>
      </c>
      <c r="E2348" s="22" t="e">
        <f>VLOOKUP($A2348,TAB_CORRECAO_U[[Q_DIAS_U_PARC_TIR]:[V_FUT_U_CORC-02]],E$5, FALSE)</f>
        <v>#N/A</v>
      </c>
      <c r="F2348" s="22" t="e">
        <f>VLOOKUP($A2348,TAB_AMORTIZACAO_U[[Q_DIAS_U_PARC_TIR]:[V_FUT_U_PCPL-02]], F$5, FALSE)</f>
        <v>#N/A</v>
      </c>
      <c r="H2348" s="20">
        <f t="shared" si="187"/>
        <v>0</v>
      </c>
      <c r="I2348" s="21">
        <f t="shared" si="188"/>
        <v>0</v>
      </c>
      <c r="J2348" s="22" t="e">
        <f>VLOOKUP($A2348, TAB_JUROS_C[[DIAS_CORRIDOS]:[V_FUT_UTEIS]], J$5, FALSE)</f>
        <v>#N/A</v>
      </c>
      <c r="K2348" s="22" t="e">
        <f>VLOOKUP($A2348, TAB_CORRECAO_C[[DIAS_CORRIDOS]:[V_FUT_UTEIS]],K$5, FALSE)</f>
        <v>#N/A</v>
      </c>
      <c r="L2348" s="22" t="e">
        <f>VLOOKUP($A2348, TAB_AMORTIZACAO_C[[DIAS_CORRIDOS]:[V_FUT_UTEIS]], L$5, FALSE)</f>
        <v>#N/A</v>
      </c>
    </row>
    <row r="2349" spans="1:12" hidden="1">
      <c r="A2349" s="19">
        <f t="shared" si="189"/>
        <v>2343</v>
      </c>
      <c r="B2349" s="20">
        <f t="shared" si="185"/>
        <v>0</v>
      </c>
      <c r="C2349" s="21">
        <f t="shared" si="186"/>
        <v>0</v>
      </c>
      <c r="D2349" s="22" t="e">
        <f>VLOOKUP($A2349, TAB_JUROS_U[[Q_DIAS_U_PARC_TIR]:[V_FUT_U_JURS CENARIO]], D$5, FALSE)</f>
        <v>#N/A</v>
      </c>
      <c r="E2349" s="22" t="e">
        <f>VLOOKUP($A2349,TAB_CORRECAO_U[[Q_DIAS_U_PARC_TIR]:[V_FUT_U_CORC-02]],E$5, FALSE)</f>
        <v>#N/A</v>
      </c>
      <c r="F2349" s="22" t="e">
        <f>VLOOKUP($A2349,TAB_AMORTIZACAO_U[[Q_DIAS_U_PARC_TIR]:[V_FUT_U_PCPL-02]], F$5, FALSE)</f>
        <v>#N/A</v>
      </c>
      <c r="H2349" s="20">
        <f t="shared" si="187"/>
        <v>0</v>
      </c>
      <c r="I2349" s="21">
        <f t="shared" si="188"/>
        <v>0</v>
      </c>
      <c r="J2349" s="22" t="e">
        <f>VLOOKUP($A2349, TAB_JUROS_C[[DIAS_CORRIDOS]:[V_FUT_UTEIS]], J$5, FALSE)</f>
        <v>#N/A</v>
      </c>
      <c r="K2349" s="22" t="e">
        <f>VLOOKUP($A2349, TAB_CORRECAO_C[[DIAS_CORRIDOS]:[V_FUT_UTEIS]],K$5, FALSE)</f>
        <v>#N/A</v>
      </c>
      <c r="L2349" s="22" t="e">
        <f>VLOOKUP($A2349, TAB_AMORTIZACAO_C[[DIAS_CORRIDOS]:[V_FUT_UTEIS]], L$5, FALSE)</f>
        <v>#N/A</v>
      </c>
    </row>
    <row r="2350" spans="1:12" hidden="1">
      <c r="A2350" s="19">
        <f t="shared" si="189"/>
        <v>2344</v>
      </c>
      <c r="B2350" s="20">
        <f t="shared" si="185"/>
        <v>0</v>
      </c>
      <c r="C2350" s="21">
        <f t="shared" si="186"/>
        <v>0</v>
      </c>
      <c r="D2350" s="22" t="e">
        <f>VLOOKUP($A2350, TAB_JUROS_U[[Q_DIAS_U_PARC_TIR]:[V_FUT_U_JURS CENARIO]], D$5, FALSE)</f>
        <v>#N/A</v>
      </c>
      <c r="E2350" s="22" t="e">
        <f>VLOOKUP($A2350,TAB_CORRECAO_U[[Q_DIAS_U_PARC_TIR]:[V_FUT_U_CORC-02]],E$5, FALSE)</f>
        <v>#N/A</v>
      </c>
      <c r="F2350" s="22" t="e">
        <f>VLOOKUP($A2350,TAB_AMORTIZACAO_U[[Q_DIAS_U_PARC_TIR]:[V_FUT_U_PCPL-02]], F$5, FALSE)</f>
        <v>#N/A</v>
      </c>
      <c r="H2350" s="20">
        <f t="shared" si="187"/>
        <v>0</v>
      </c>
      <c r="I2350" s="21">
        <f t="shared" si="188"/>
        <v>0</v>
      </c>
      <c r="J2350" s="22" t="e">
        <f>VLOOKUP($A2350, TAB_JUROS_C[[DIAS_CORRIDOS]:[V_FUT_UTEIS]], J$5, FALSE)</f>
        <v>#N/A</v>
      </c>
      <c r="K2350" s="22" t="e">
        <f>VLOOKUP($A2350, TAB_CORRECAO_C[[DIAS_CORRIDOS]:[V_FUT_UTEIS]],K$5, FALSE)</f>
        <v>#N/A</v>
      </c>
      <c r="L2350" s="22" t="e">
        <f>VLOOKUP($A2350, TAB_AMORTIZACAO_C[[DIAS_CORRIDOS]:[V_FUT_UTEIS]], L$5, FALSE)</f>
        <v>#N/A</v>
      </c>
    </row>
    <row r="2351" spans="1:12" hidden="1">
      <c r="A2351" s="19">
        <f t="shared" si="189"/>
        <v>2345</v>
      </c>
      <c r="B2351" s="20">
        <f t="shared" si="185"/>
        <v>0</v>
      </c>
      <c r="C2351" s="21">
        <f t="shared" si="186"/>
        <v>0</v>
      </c>
      <c r="D2351" s="22" t="e">
        <f>VLOOKUP($A2351, TAB_JUROS_U[[Q_DIAS_U_PARC_TIR]:[V_FUT_U_JURS CENARIO]], D$5, FALSE)</f>
        <v>#N/A</v>
      </c>
      <c r="E2351" s="22" t="e">
        <f>VLOOKUP($A2351,TAB_CORRECAO_U[[Q_DIAS_U_PARC_TIR]:[V_FUT_U_CORC-02]],E$5, FALSE)</f>
        <v>#N/A</v>
      </c>
      <c r="F2351" s="22" t="e">
        <f>VLOOKUP($A2351,TAB_AMORTIZACAO_U[[Q_DIAS_U_PARC_TIR]:[V_FUT_U_PCPL-02]], F$5, FALSE)</f>
        <v>#N/A</v>
      </c>
      <c r="H2351" s="20">
        <f t="shared" si="187"/>
        <v>0</v>
      </c>
      <c r="I2351" s="21">
        <f t="shared" si="188"/>
        <v>0</v>
      </c>
      <c r="J2351" s="22" t="e">
        <f>VLOOKUP($A2351, TAB_JUROS_C[[DIAS_CORRIDOS]:[V_FUT_UTEIS]], J$5, FALSE)</f>
        <v>#N/A</v>
      </c>
      <c r="K2351" s="22" t="e">
        <f>VLOOKUP($A2351, TAB_CORRECAO_C[[DIAS_CORRIDOS]:[V_FUT_UTEIS]],K$5, FALSE)</f>
        <v>#N/A</v>
      </c>
      <c r="L2351" s="22" t="e">
        <f>VLOOKUP($A2351, TAB_AMORTIZACAO_C[[DIAS_CORRIDOS]:[V_FUT_UTEIS]], L$5, FALSE)</f>
        <v>#N/A</v>
      </c>
    </row>
    <row r="2352" spans="1:12" hidden="1">
      <c r="A2352" s="19">
        <f t="shared" si="189"/>
        <v>2346</v>
      </c>
      <c r="B2352" s="20">
        <f t="shared" si="185"/>
        <v>0</v>
      </c>
      <c r="C2352" s="21">
        <f t="shared" si="186"/>
        <v>0</v>
      </c>
      <c r="D2352" s="22" t="e">
        <f>VLOOKUP($A2352, TAB_JUROS_U[[Q_DIAS_U_PARC_TIR]:[V_FUT_U_JURS CENARIO]], D$5, FALSE)</f>
        <v>#N/A</v>
      </c>
      <c r="E2352" s="22" t="e">
        <f>VLOOKUP($A2352,TAB_CORRECAO_U[[Q_DIAS_U_PARC_TIR]:[V_FUT_U_CORC-02]],E$5, FALSE)</f>
        <v>#N/A</v>
      </c>
      <c r="F2352" s="22" t="e">
        <f>VLOOKUP($A2352,TAB_AMORTIZACAO_U[[Q_DIAS_U_PARC_TIR]:[V_FUT_U_PCPL-02]], F$5, FALSE)</f>
        <v>#N/A</v>
      </c>
      <c r="H2352" s="20">
        <f t="shared" si="187"/>
        <v>0</v>
      </c>
      <c r="I2352" s="21">
        <f t="shared" si="188"/>
        <v>0</v>
      </c>
      <c r="J2352" s="22" t="e">
        <f>VLOOKUP($A2352, TAB_JUROS_C[[DIAS_CORRIDOS]:[V_FUT_UTEIS]], J$5, FALSE)</f>
        <v>#N/A</v>
      </c>
      <c r="K2352" s="22" t="e">
        <f>VLOOKUP($A2352, TAB_CORRECAO_C[[DIAS_CORRIDOS]:[V_FUT_UTEIS]],K$5, FALSE)</f>
        <v>#N/A</v>
      </c>
      <c r="L2352" s="22" t="e">
        <f>VLOOKUP($A2352, TAB_AMORTIZACAO_C[[DIAS_CORRIDOS]:[V_FUT_UTEIS]], L$5, FALSE)</f>
        <v>#N/A</v>
      </c>
    </row>
    <row r="2353" spans="1:12" hidden="1">
      <c r="A2353" s="19">
        <f t="shared" si="189"/>
        <v>2347</v>
      </c>
      <c r="B2353" s="20">
        <f t="shared" si="185"/>
        <v>0</v>
      </c>
      <c r="C2353" s="21">
        <f t="shared" si="186"/>
        <v>0</v>
      </c>
      <c r="D2353" s="22" t="e">
        <f>VLOOKUP($A2353, TAB_JUROS_U[[Q_DIAS_U_PARC_TIR]:[V_FUT_U_JURS CENARIO]], D$5, FALSE)</f>
        <v>#N/A</v>
      </c>
      <c r="E2353" s="22" t="e">
        <f>VLOOKUP($A2353,TAB_CORRECAO_U[[Q_DIAS_U_PARC_TIR]:[V_FUT_U_CORC-02]],E$5, FALSE)</f>
        <v>#N/A</v>
      </c>
      <c r="F2353" s="22" t="e">
        <f>VLOOKUP($A2353,TAB_AMORTIZACAO_U[[Q_DIAS_U_PARC_TIR]:[V_FUT_U_PCPL-02]], F$5, FALSE)</f>
        <v>#N/A</v>
      </c>
      <c r="H2353" s="20">
        <f t="shared" si="187"/>
        <v>0</v>
      </c>
      <c r="I2353" s="21">
        <f t="shared" si="188"/>
        <v>0</v>
      </c>
      <c r="J2353" s="22" t="e">
        <f>VLOOKUP($A2353, TAB_JUROS_C[[DIAS_CORRIDOS]:[V_FUT_UTEIS]], J$5, FALSE)</f>
        <v>#N/A</v>
      </c>
      <c r="K2353" s="22" t="e">
        <f>VLOOKUP($A2353, TAB_CORRECAO_C[[DIAS_CORRIDOS]:[V_FUT_UTEIS]],K$5, FALSE)</f>
        <v>#N/A</v>
      </c>
      <c r="L2353" s="22" t="e">
        <f>VLOOKUP($A2353, TAB_AMORTIZACAO_C[[DIAS_CORRIDOS]:[V_FUT_UTEIS]], L$5, FALSE)</f>
        <v>#N/A</v>
      </c>
    </row>
    <row r="2354" spans="1:12" hidden="1">
      <c r="A2354" s="19">
        <f t="shared" si="189"/>
        <v>2348</v>
      </c>
      <c r="B2354" s="20">
        <f t="shared" si="185"/>
        <v>0</v>
      </c>
      <c r="C2354" s="21">
        <f t="shared" si="186"/>
        <v>0</v>
      </c>
      <c r="D2354" s="22" t="e">
        <f>VLOOKUP($A2354, TAB_JUROS_U[[Q_DIAS_U_PARC_TIR]:[V_FUT_U_JURS CENARIO]], D$5, FALSE)</f>
        <v>#N/A</v>
      </c>
      <c r="E2354" s="22" t="e">
        <f>VLOOKUP($A2354,TAB_CORRECAO_U[[Q_DIAS_U_PARC_TIR]:[V_FUT_U_CORC-02]],E$5, FALSE)</f>
        <v>#N/A</v>
      </c>
      <c r="F2354" s="22" t="e">
        <f>VLOOKUP($A2354,TAB_AMORTIZACAO_U[[Q_DIAS_U_PARC_TIR]:[V_FUT_U_PCPL-02]], F$5, FALSE)</f>
        <v>#N/A</v>
      </c>
      <c r="H2354" s="20">
        <f t="shared" si="187"/>
        <v>0</v>
      </c>
      <c r="I2354" s="21">
        <f t="shared" si="188"/>
        <v>0</v>
      </c>
      <c r="J2354" s="22" t="e">
        <f>VLOOKUP($A2354, TAB_JUROS_C[[DIAS_CORRIDOS]:[V_FUT_UTEIS]], J$5, FALSE)</f>
        <v>#N/A</v>
      </c>
      <c r="K2354" s="22" t="e">
        <f>VLOOKUP($A2354, TAB_CORRECAO_C[[DIAS_CORRIDOS]:[V_FUT_UTEIS]],K$5, FALSE)</f>
        <v>#N/A</v>
      </c>
      <c r="L2354" s="22" t="e">
        <f>VLOOKUP($A2354, TAB_AMORTIZACAO_C[[DIAS_CORRIDOS]:[V_FUT_UTEIS]], L$5, FALSE)</f>
        <v>#N/A</v>
      </c>
    </row>
    <row r="2355" spans="1:12" hidden="1">
      <c r="A2355" s="19">
        <f t="shared" si="189"/>
        <v>2349</v>
      </c>
      <c r="B2355" s="20">
        <f t="shared" si="185"/>
        <v>0</v>
      </c>
      <c r="C2355" s="21">
        <f t="shared" si="186"/>
        <v>0</v>
      </c>
      <c r="D2355" s="22" t="e">
        <f>VLOOKUP($A2355, TAB_JUROS_U[[Q_DIAS_U_PARC_TIR]:[V_FUT_U_JURS CENARIO]], D$5, FALSE)</f>
        <v>#N/A</v>
      </c>
      <c r="E2355" s="22" t="e">
        <f>VLOOKUP($A2355,TAB_CORRECAO_U[[Q_DIAS_U_PARC_TIR]:[V_FUT_U_CORC-02]],E$5, FALSE)</f>
        <v>#N/A</v>
      </c>
      <c r="F2355" s="22" t="e">
        <f>VLOOKUP($A2355,TAB_AMORTIZACAO_U[[Q_DIAS_U_PARC_TIR]:[V_FUT_U_PCPL-02]], F$5, FALSE)</f>
        <v>#N/A</v>
      </c>
      <c r="H2355" s="20">
        <f t="shared" si="187"/>
        <v>0</v>
      </c>
      <c r="I2355" s="21">
        <f t="shared" si="188"/>
        <v>0</v>
      </c>
      <c r="J2355" s="22" t="e">
        <f>VLOOKUP($A2355, TAB_JUROS_C[[DIAS_CORRIDOS]:[V_FUT_UTEIS]], J$5, FALSE)</f>
        <v>#N/A</v>
      </c>
      <c r="K2355" s="22" t="e">
        <f>VLOOKUP($A2355, TAB_CORRECAO_C[[DIAS_CORRIDOS]:[V_FUT_UTEIS]],K$5, FALSE)</f>
        <v>#N/A</v>
      </c>
      <c r="L2355" s="22" t="e">
        <f>VLOOKUP($A2355, TAB_AMORTIZACAO_C[[DIAS_CORRIDOS]:[V_FUT_UTEIS]], L$5, FALSE)</f>
        <v>#N/A</v>
      </c>
    </row>
    <row r="2356" spans="1:12" hidden="1">
      <c r="A2356" s="19">
        <f t="shared" si="189"/>
        <v>2350</v>
      </c>
      <c r="B2356" s="20">
        <f t="shared" si="185"/>
        <v>0</v>
      </c>
      <c r="C2356" s="21">
        <f t="shared" si="186"/>
        <v>0</v>
      </c>
      <c r="D2356" s="22" t="e">
        <f>VLOOKUP($A2356, TAB_JUROS_U[[Q_DIAS_U_PARC_TIR]:[V_FUT_U_JURS CENARIO]], D$5, FALSE)</f>
        <v>#N/A</v>
      </c>
      <c r="E2356" s="22" t="e">
        <f>VLOOKUP($A2356,TAB_CORRECAO_U[[Q_DIAS_U_PARC_TIR]:[V_FUT_U_CORC-02]],E$5, FALSE)</f>
        <v>#N/A</v>
      </c>
      <c r="F2356" s="22" t="e">
        <f>VLOOKUP($A2356,TAB_AMORTIZACAO_U[[Q_DIAS_U_PARC_TIR]:[V_FUT_U_PCPL-02]], F$5, FALSE)</f>
        <v>#N/A</v>
      </c>
      <c r="H2356" s="20">
        <f t="shared" si="187"/>
        <v>0</v>
      </c>
      <c r="I2356" s="21">
        <f t="shared" si="188"/>
        <v>0</v>
      </c>
      <c r="J2356" s="22" t="e">
        <f>VLOOKUP($A2356, TAB_JUROS_C[[DIAS_CORRIDOS]:[V_FUT_UTEIS]], J$5, FALSE)</f>
        <v>#N/A</v>
      </c>
      <c r="K2356" s="22" t="e">
        <f>VLOOKUP($A2356, TAB_CORRECAO_C[[DIAS_CORRIDOS]:[V_FUT_UTEIS]],K$5, FALSE)</f>
        <v>#N/A</v>
      </c>
      <c r="L2356" s="22" t="e">
        <f>VLOOKUP($A2356, TAB_AMORTIZACAO_C[[DIAS_CORRIDOS]:[V_FUT_UTEIS]], L$5, FALSE)</f>
        <v>#N/A</v>
      </c>
    </row>
    <row r="2357" spans="1:12" hidden="1">
      <c r="A2357" s="19">
        <f t="shared" si="189"/>
        <v>2351</v>
      </c>
      <c r="B2357" s="20">
        <f t="shared" si="185"/>
        <v>0</v>
      </c>
      <c r="C2357" s="21">
        <f t="shared" si="186"/>
        <v>0</v>
      </c>
      <c r="D2357" s="22" t="e">
        <f>VLOOKUP($A2357, TAB_JUROS_U[[Q_DIAS_U_PARC_TIR]:[V_FUT_U_JURS CENARIO]], D$5, FALSE)</f>
        <v>#N/A</v>
      </c>
      <c r="E2357" s="22" t="e">
        <f>VLOOKUP($A2357,TAB_CORRECAO_U[[Q_DIAS_U_PARC_TIR]:[V_FUT_U_CORC-02]],E$5, FALSE)</f>
        <v>#N/A</v>
      </c>
      <c r="F2357" s="22" t="e">
        <f>VLOOKUP($A2357,TAB_AMORTIZACAO_U[[Q_DIAS_U_PARC_TIR]:[V_FUT_U_PCPL-02]], F$5, FALSE)</f>
        <v>#N/A</v>
      </c>
      <c r="H2357" s="20">
        <f t="shared" si="187"/>
        <v>0</v>
      </c>
      <c r="I2357" s="21">
        <f t="shared" si="188"/>
        <v>0</v>
      </c>
      <c r="J2357" s="22" t="e">
        <f>VLOOKUP($A2357, TAB_JUROS_C[[DIAS_CORRIDOS]:[V_FUT_UTEIS]], J$5, FALSE)</f>
        <v>#N/A</v>
      </c>
      <c r="K2357" s="22" t="e">
        <f>VLOOKUP($A2357, TAB_CORRECAO_C[[DIAS_CORRIDOS]:[V_FUT_UTEIS]],K$5, FALSE)</f>
        <v>#N/A</v>
      </c>
      <c r="L2357" s="22" t="e">
        <f>VLOOKUP($A2357, TAB_AMORTIZACAO_C[[DIAS_CORRIDOS]:[V_FUT_UTEIS]], L$5, FALSE)</f>
        <v>#N/A</v>
      </c>
    </row>
    <row r="2358" spans="1:12" hidden="1">
      <c r="A2358" s="19">
        <f t="shared" si="189"/>
        <v>2352</v>
      </c>
      <c r="B2358" s="20">
        <f t="shared" si="185"/>
        <v>0</v>
      </c>
      <c r="C2358" s="21">
        <f t="shared" si="186"/>
        <v>0</v>
      </c>
      <c r="D2358" s="22" t="e">
        <f>VLOOKUP($A2358, TAB_JUROS_U[[Q_DIAS_U_PARC_TIR]:[V_FUT_U_JURS CENARIO]], D$5, FALSE)</f>
        <v>#N/A</v>
      </c>
      <c r="E2358" s="22" t="e">
        <f>VLOOKUP($A2358,TAB_CORRECAO_U[[Q_DIAS_U_PARC_TIR]:[V_FUT_U_CORC-02]],E$5, FALSE)</f>
        <v>#N/A</v>
      </c>
      <c r="F2358" s="22" t="e">
        <f>VLOOKUP($A2358,TAB_AMORTIZACAO_U[[Q_DIAS_U_PARC_TIR]:[V_FUT_U_PCPL-02]], F$5, FALSE)</f>
        <v>#N/A</v>
      </c>
      <c r="H2358" s="20">
        <f t="shared" si="187"/>
        <v>0</v>
      </c>
      <c r="I2358" s="21">
        <f t="shared" si="188"/>
        <v>0</v>
      </c>
      <c r="J2358" s="22" t="e">
        <f>VLOOKUP($A2358, TAB_JUROS_C[[DIAS_CORRIDOS]:[V_FUT_UTEIS]], J$5, FALSE)</f>
        <v>#N/A</v>
      </c>
      <c r="K2358" s="22" t="e">
        <f>VLOOKUP($A2358, TAB_CORRECAO_C[[DIAS_CORRIDOS]:[V_FUT_UTEIS]],K$5, FALSE)</f>
        <v>#N/A</v>
      </c>
      <c r="L2358" s="22" t="e">
        <f>VLOOKUP($A2358, TAB_AMORTIZACAO_C[[DIAS_CORRIDOS]:[V_FUT_UTEIS]], L$5, FALSE)</f>
        <v>#N/A</v>
      </c>
    </row>
    <row r="2359" spans="1:12">
      <c r="A2359" s="19">
        <f t="shared" si="189"/>
        <v>2353</v>
      </c>
      <c r="B2359" s="20">
        <f t="shared" si="185"/>
        <v>196.97748117812202</v>
      </c>
      <c r="C2359" s="21">
        <f t="shared" si="186"/>
        <v>196.97748117812202</v>
      </c>
      <c r="D2359" s="22">
        <f>VLOOKUP($A2359, TAB_JUROS_U[[Q_DIAS_U_PARC_TIR]:[V_FUT_U_JURS CENARIO]], D$5, FALSE)</f>
        <v>8.239426768357113</v>
      </c>
      <c r="E2359" s="22">
        <f>VLOOKUP($A2359,TAB_CORRECAO_U[[Q_DIAS_U_PARC_TIR]:[V_FUT_U_CORC-02]],E$5, FALSE)</f>
        <v>49.054563769408688</v>
      </c>
      <c r="F2359" s="22">
        <f>VLOOKUP($A2359,TAB_AMORTIZACAO_U[[Q_DIAS_U_PARC_TIR]:[V_FUT_U_PCPL-02]], F$5, FALSE)</f>
        <v>139.68349064035621</v>
      </c>
      <c r="H2359" s="20">
        <f t="shared" si="187"/>
        <v>0</v>
      </c>
      <c r="I2359" s="21">
        <f t="shared" si="188"/>
        <v>0</v>
      </c>
      <c r="J2359" s="22" t="e">
        <f>VLOOKUP($A2359, TAB_JUROS_C[[DIAS_CORRIDOS]:[V_FUT_UTEIS]], J$5, FALSE)</f>
        <v>#N/A</v>
      </c>
      <c r="K2359" s="22" t="e">
        <f>VLOOKUP($A2359, TAB_CORRECAO_C[[DIAS_CORRIDOS]:[V_FUT_UTEIS]],K$5, FALSE)</f>
        <v>#N/A</v>
      </c>
      <c r="L2359" s="22" t="e">
        <f>VLOOKUP($A2359, TAB_AMORTIZACAO_C[[DIAS_CORRIDOS]:[V_FUT_UTEIS]], L$5, FALSE)</f>
        <v>#N/A</v>
      </c>
    </row>
    <row r="2360" spans="1:12" hidden="1">
      <c r="A2360" s="19">
        <f t="shared" si="189"/>
        <v>2354</v>
      </c>
      <c r="B2360" s="20">
        <f t="shared" si="185"/>
        <v>0</v>
      </c>
      <c r="C2360" s="21">
        <f t="shared" si="186"/>
        <v>0</v>
      </c>
      <c r="D2360" s="22" t="e">
        <f>VLOOKUP($A2360, TAB_JUROS_U[[Q_DIAS_U_PARC_TIR]:[V_FUT_U_JURS CENARIO]], D$5, FALSE)</f>
        <v>#N/A</v>
      </c>
      <c r="E2360" s="22" t="e">
        <f>VLOOKUP($A2360,TAB_CORRECAO_U[[Q_DIAS_U_PARC_TIR]:[V_FUT_U_CORC-02]],E$5, FALSE)</f>
        <v>#N/A</v>
      </c>
      <c r="F2360" s="22" t="e">
        <f>VLOOKUP($A2360,TAB_AMORTIZACAO_U[[Q_DIAS_U_PARC_TIR]:[V_FUT_U_PCPL-02]], F$5, FALSE)</f>
        <v>#N/A</v>
      </c>
      <c r="H2360" s="20">
        <f t="shared" si="187"/>
        <v>467.65196290420243</v>
      </c>
      <c r="I2360" s="21">
        <f t="shared" si="188"/>
        <v>467.65196290420243</v>
      </c>
      <c r="J2360" s="22">
        <f>VLOOKUP($A2360, TAB_JUROS_C[[DIAS_CORRIDOS]:[V_FUT_UTEIS]], J$5, FALSE)</f>
        <v>31.51835582070434</v>
      </c>
      <c r="K2360" s="22">
        <f>VLOOKUP($A2360, TAB_CORRECAO_C[[DIAS_CORRIDOS]:[V_FUT_UTEIS]],K$5, FALSE)</f>
        <v>190.50801583491523</v>
      </c>
      <c r="L2360" s="22">
        <f>VLOOKUP($A2360, TAB_AMORTIZACAO_C[[DIAS_CORRIDOS]:[V_FUT_UTEIS]], L$5, FALSE)</f>
        <v>245.62559124858288</v>
      </c>
    </row>
    <row r="2361" spans="1:12" hidden="1">
      <c r="A2361" s="19">
        <f t="shared" si="189"/>
        <v>2355</v>
      </c>
      <c r="B2361" s="20">
        <f t="shared" si="185"/>
        <v>0</v>
      </c>
      <c r="C2361" s="21">
        <f t="shared" si="186"/>
        <v>0</v>
      </c>
      <c r="D2361" s="22" t="e">
        <f>VLOOKUP($A2361, TAB_JUROS_U[[Q_DIAS_U_PARC_TIR]:[V_FUT_U_JURS CENARIO]], D$5, FALSE)</f>
        <v>#N/A</v>
      </c>
      <c r="E2361" s="22" t="e">
        <f>VLOOKUP($A2361,TAB_CORRECAO_U[[Q_DIAS_U_PARC_TIR]:[V_FUT_U_CORC-02]],E$5, FALSE)</f>
        <v>#N/A</v>
      </c>
      <c r="F2361" s="22" t="e">
        <f>VLOOKUP($A2361,TAB_AMORTIZACAO_U[[Q_DIAS_U_PARC_TIR]:[V_FUT_U_PCPL-02]], F$5, FALSE)</f>
        <v>#N/A</v>
      </c>
      <c r="H2361" s="20">
        <f t="shared" si="187"/>
        <v>0</v>
      </c>
      <c r="I2361" s="21">
        <f t="shared" si="188"/>
        <v>0</v>
      </c>
      <c r="J2361" s="22" t="e">
        <f>VLOOKUP($A2361, TAB_JUROS_C[[DIAS_CORRIDOS]:[V_FUT_UTEIS]], J$5, FALSE)</f>
        <v>#N/A</v>
      </c>
      <c r="K2361" s="22" t="e">
        <f>VLOOKUP($A2361, TAB_CORRECAO_C[[DIAS_CORRIDOS]:[V_FUT_UTEIS]],K$5, FALSE)</f>
        <v>#N/A</v>
      </c>
      <c r="L2361" s="22" t="e">
        <f>VLOOKUP($A2361, TAB_AMORTIZACAO_C[[DIAS_CORRIDOS]:[V_FUT_UTEIS]], L$5, FALSE)</f>
        <v>#N/A</v>
      </c>
    </row>
    <row r="2362" spans="1:12" hidden="1">
      <c r="A2362" s="19">
        <f t="shared" si="189"/>
        <v>2356</v>
      </c>
      <c r="B2362" s="20">
        <f t="shared" si="185"/>
        <v>0</v>
      </c>
      <c r="C2362" s="21">
        <f t="shared" si="186"/>
        <v>0</v>
      </c>
      <c r="D2362" s="22" t="e">
        <f>VLOOKUP($A2362, TAB_JUROS_U[[Q_DIAS_U_PARC_TIR]:[V_FUT_U_JURS CENARIO]], D$5, FALSE)</f>
        <v>#N/A</v>
      </c>
      <c r="E2362" s="22" t="e">
        <f>VLOOKUP($A2362,TAB_CORRECAO_U[[Q_DIAS_U_PARC_TIR]:[V_FUT_U_CORC-02]],E$5, FALSE)</f>
        <v>#N/A</v>
      </c>
      <c r="F2362" s="22" t="e">
        <f>VLOOKUP($A2362,TAB_AMORTIZACAO_U[[Q_DIAS_U_PARC_TIR]:[V_FUT_U_PCPL-02]], F$5, FALSE)</f>
        <v>#N/A</v>
      </c>
      <c r="H2362" s="20">
        <f t="shared" si="187"/>
        <v>0</v>
      </c>
      <c r="I2362" s="21">
        <f t="shared" si="188"/>
        <v>0</v>
      </c>
      <c r="J2362" s="22" t="e">
        <f>VLOOKUP($A2362, TAB_JUROS_C[[DIAS_CORRIDOS]:[V_FUT_UTEIS]], J$5, FALSE)</f>
        <v>#N/A</v>
      </c>
      <c r="K2362" s="22" t="e">
        <f>VLOOKUP($A2362, TAB_CORRECAO_C[[DIAS_CORRIDOS]:[V_FUT_UTEIS]],K$5, FALSE)</f>
        <v>#N/A</v>
      </c>
      <c r="L2362" s="22" t="e">
        <f>VLOOKUP($A2362, TAB_AMORTIZACAO_C[[DIAS_CORRIDOS]:[V_FUT_UTEIS]], L$5, FALSE)</f>
        <v>#N/A</v>
      </c>
    </row>
    <row r="2363" spans="1:12" hidden="1">
      <c r="A2363" s="19">
        <f t="shared" si="189"/>
        <v>2357</v>
      </c>
      <c r="B2363" s="20">
        <f t="shared" si="185"/>
        <v>0</v>
      </c>
      <c r="C2363" s="21">
        <f t="shared" si="186"/>
        <v>0</v>
      </c>
      <c r="D2363" s="22" t="e">
        <f>VLOOKUP($A2363, TAB_JUROS_U[[Q_DIAS_U_PARC_TIR]:[V_FUT_U_JURS CENARIO]], D$5, FALSE)</f>
        <v>#N/A</v>
      </c>
      <c r="E2363" s="22" t="e">
        <f>VLOOKUP($A2363,TAB_CORRECAO_U[[Q_DIAS_U_PARC_TIR]:[V_FUT_U_CORC-02]],E$5, FALSE)</f>
        <v>#N/A</v>
      </c>
      <c r="F2363" s="22" t="e">
        <f>VLOOKUP($A2363,TAB_AMORTIZACAO_U[[Q_DIAS_U_PARC_TIR]:[V_FUT_U_PCPL-02]], F$5, FALSE)</f>
        <v>#N/A</v>
      </c>
      <c r="H2363" s="20">
        <f t="shared" si="187"/>
        <v>0</v>
      </c>
      <c r="I2363" s="21">
        <f t="shared" si="188"/>
        <v>0</v>
      </c>
      <c r="J2363" s="22" t="e">
        <f>VLOOKUP($A2363, TAB_JUROS_C[[DIAS_CORRIDOS]:[V_FUT_UTEIS]], J$5, FALSE)</f>
        <v>#N/A</v>
      </c>
      <c r="K2363" s="22" t="e">
        <f>VLOOKUP($A2363, TAB_CORRECAO_C[[DIAS_CORRIDOS]:[V_FUT_UTEIS]],K$5, FALSE)</f>
        <v>#N/A</v>
      </c>
      <c r="L2363" s="22" t="e">
        <f>VLOOKUP($A2363, TAB_AMORTIZACAO_C[[DIAS_CORRIDOS]:[V_FUT_UTEIS]], L$5, FALSE)</f>
        <v>#N/A</v>
      </c>
    </row>
    <row r="2364" spans="1:12" hidden="1">
      <c r="A2364" s="19">
        <f t="shared" si="189"/>
        <v>2358</v>
      </c>
      <c r="B2364" s="20">
        <f t="shared" si="185"/>
        <v>0</v>
      </c>
      <c r="C2364" s="21">
        <f t="shared" si="186"/>
        <v>0</v>
      </c>
      <c r="D2364" s="22" t="e">
        <f>VLOOKUP($A2364, TAB_JUROS_U[[Q_DIAS_U_PARC_TIR]:[V_FUT_U_JURS CENARIO]], D$5, FALSE)</f>
        <v>#N/A</v>
      </c>
      <c r="E2364" s="22" t="e">
        <f>VLOOKUP($A2364,TAB_CORRECAO_U[[Q_DIAS_U_PARC_TIR]:[V_FUT_U_CORC-02]],E$5, FALSE)</f>
        <v>#N/A</v>
      </c>
      <c r="F2364" s="22" t="e">
        <f>VLOOKUP($A2364,TAB_AMORTIZACAO_U[[Q_DIAS_U_PARC_TIR]:[V_FUT_U_PCPL-02]], F$5, FALSE)</f>
        <v>#N/A</v>
      </c>
      <c r="H2364" s="20">
        <f t="shared" si="187"/>
        <v>0</v>
      </c>
      <c r="I2364" s="21">
        <f t="shared" si="188"/>
        <v>0</v>
      </c>
      <c r="J2364" s="22" t="e">
        <f>VLOOKUP($A2364, TAB_JUROS_C[[DIAS_CORRIDOS]:[V_FUT_UTEIS]], J$5, FALSE)</f>
        <v>#N/A</v>
      </c>
      <c r="K2364" s="22" t="e">
        <f>VLOOKUP($A2364, TAB_CORRECAO_C[[DIAS_CORRIDOS]:[V_FUT_UTEIS]],K$5, FALSE)</f>
        <v>#N/A</v>
      </c>
      <c r="L2364" s="22" t="e">
        <f>VLOOKUP($A2364, TAB_AMORTIZACAO_C[[DIAS_CORRIDOS]:[V_FUT_UTEIS]], L$5, FALSE)</f>
        <v>#N/A</v>
      </c>
    </row>
    <row r="2365" spans="1:12" hidden="1">
      <c r="A2365" s="19">
        <f t="shared" si="189"/>
        <v>2359</v>
      </c>
      <c r="B2365" s="20">
        <f t="shared" si="185"/>
        <v>0</v>
      </c>
      <c r="C2365" s="21">
        <f t="shared" si="186"/>
        <v>0</v>
      </c>
      <c r="D2365" s="22" t="e">
        <f>VLOOKUP($A2365, TAB_JUROS_U[[Q_DIAS_U_PARC_TIR]:[V_FUT_U_JURS CENARIO]], D$5, FALSE)</f>
        <v>#N/A</v>
      </c>
      <c r="E2365" s="22" t="e">
        <f>VLOOKUP($A2365,TAB_CORRECAO_U[[Q_DIAS_U_PARC_TIR]:[V_FUT_U_CORC-02]],E$5, FALSE)</f>
        <v>#N/A</v>
      </c>
      <c r="F2365" s="22" t="e">
        <f>VLOOKUP($A2365,TAB_AMORTIZACAO_U[[Q_DIAS_U_PARC_TIR]:[V_FUT_U_PCPL-02]], F$5, FALSE)</f>
        <v>#N/A</v>
      </c>
      <c r="H2365" s="20">
        <f t="shared" si="187"/>
        <v>0</v>
      </c>
      <c r="I2365" s="21">
        <f t="shared" si="188"/>
        <v>0</v>
      </c>
      <c r="J2365" s="22" t="e">
        <f>VLOOKUP($A2365, TAB_JUROS_C[[DIAS_CORRIDOS]:[V_FUT_UTEIS]], J$5, FALSE)</f>
        <v>#N/A</v>
      </c>
      <c r="K2365" s="22" t="e">
        <f>VLOOKUP($A2365, TAB_CORRECAO_C[[DIAS_CORRIDOS]:[V_FUT_UTEIS]],K$5, FALSE)</f>
        <v>#N/A</v>
      </c>
      <c r="L2365" s="22" t="e">
        <f>VLOOKUP($A2365, TAB_AMORTIZACAO_C[[DIAS_CORRIDOS]:[V_FUT_UTEIS]], L$5, FALSE)</f>
        <v>#N/A</v>
      </c>
    </row>
    <row r="2366" spans="1:12" hidden="1">
      <c r="A2366" s="19">
        <f t="shared" si="189"/>
        <v>2360</v>
      </c>
      <c r="B2366" s="20">
        <f t="shared" si="185"/>
        <v>0</v>
      </c>
      <c r="C2366" s="21">
        <f t="shared" si="186"/>
        <v>0</v>
      </c>
      <c r="D2366" s="22" t="e">
        <f>VLOOKUP($A2366, TAB_JUROS_U[[Q_DIAS_U_PARC_TIR]:[V_FUT_U_JURS CENARIO]], D$5, FALSE)</f>
        <v>#N/A</v>
      </c>
      <c r="E2366" s="22" t="e">
        <f>VLOOKUP($A2366,TAB_CORRECAO_U[[Q_DIAS_U_PARC_TIR]:[V_FUT_U_CORC-02]],E$5, FALSE)</f>
        <v>#N/A</v>
      </c>
      <c r="F2366" s="22" t="e">
        <f>VLOOKUP($A2366,TAB_AMORTIZACAO_U[[Q_DIAS_U_PARC_TIR]:[V_FUT_U_PCPL-02]], F$5, FALSE)</f>
        <v>#N/A</v>
      </c>
      <c r="H2366" s="20">
        <f t="shared" si="187"/>
        <v>0</v>
      </c>
      <c r="I2366" s="21">
        <f t="shared" si="188"/>
        <v>0</v>
      </c>
      <c r="J2366" s="22" t="e">
        <f>VLOOKUP($A2366, TAB_JUROS_C[[DIAS_CORRIDOS]:[V_FUT_UTEIS]], J$5, FALSE)</f>
        <v>#N/A</v>
      </c>
      <c r="K2366" s="22" t="e">
        <f>VLOOKUP($A2366, TAB_CORRECAO_C[[DIAS_CORRIDOS]:[V_FUT_UTEIS]],K$5, FALSE)</f>
        <v>#N/A</v>
      </c>
      <c r="L2366" s="22" t="e">
        <f>VLOOKUP($A2366, TAB_AMORTIZACAO_C[[DIAS_CORRIDOS]:[V_FUT_UTEIS]], L$5, FALSE)</f>
        <v>#N/A</v>
      </c>
    </row>
    <row r="2367" spans="1:12" hidden="1">
      <c r="A2367" s="19">
        <f t="shared" si="189"/>
        <v>2361</v>
      </c>
      <c r="B2367" s="20">
        <f t="shared" si="185"/>
        <v>0</v>
      </c>
      <c r="C2367" s="21">
        <f t="shared" si="186"/>
        <v>0</v>
      </c>
      <c r="D2367" s="22" t="e">
        <f>VLOOKUP($A2367, TAB_JUROS_U[[Q_DIAS_U_PARC_TIR]:[V_FUT_U_JURS CENARIO]], D$5, FALSE)</f>
        <v>#N/A</v>
      </c>
      <c r="E2367" s="22" t="e">
        <f>VLOOKUP($A2367,TAB_CORRECAO_U[[Q_DIAS_U_PARC_TIR]:[V_FUT_U_CORC-02]],E$5, FALSE)</f>
        <v>#N/A</v>
      </c>
      <c r="F2367" s="22" t="e">
        <f>VLOOKUP($A2367,TAB_AMORTIZACAO_U[[Q_DIAS_U_PARC_TIR]:[V_FUT_U_PCPL-02]], F$5, FALSE)</f>
        <v>#N/A</v>
      </c>
      <c r="H2367" s="20">
        <f t="shared" si="187"/>
        <v>0</v>
      </c>
      <c r="I2367" s="21">
        <f t="shared" si="188"/>
        <v>0</v>
      </c>
      <c r="J2367" s="22" t="e">
        <f>VLOOKUP($A2367, TAB_JUROS_C[[DIAS_CORRIDOS]:[V_FUT_UTEIS]], J$5, FALSE)</f>
        <v>#N/A</v>
      </c>
      <c r="K2367" s="22" t="e">
        <f>VLOOKUP($A2367, TAB_CORRECAO_C[[DIAS_CORRIDOS]:[V_FUT_UTEIS]],K$5, FALSE)</f>
        <v>#N/A</v>
      </c>
      <c r="L2367" s="22" t="e">
        <f>VLOOKUP($A2367, TAB_AMORTIZACAO_C[[DIAS_CORRIDOS]:[V_FUT_UTEIS]], L$5, FALSE)</f>
        <v>#N/A</v>
      </c>
    </row>
    <row r="2368" spans="1:12" hidden="1">
      <c r="A2368" s="19">
        <f t="shared" si="189"/>
        <v>2362</v>
      </c>
      <c r="B2368" s="20">
        <f t="shared" si="185"/>
        <v>0</v>
      </c>
      <c r="C2368" s="21">
        <f t="shared" si="186"/>
        <v>0</v>
      </c>
      <c r="D2368" s="22" t="e">
        <f>VLOOKUP($A2368, TAB_JUROS_U[[Q_DIAS_U_PARC_TIR]:[V_FUT_U_JURS CENARIO]], D$5, FALSE)</f>
        <v>#N/A</v>
      </c>
      <c r="E2368" s="22" t="e">
        <f>VLOOKUP($A2368,TAB_CORRECAO_U[[Q_DIAS_U_PARC_TIR]:[V_FUT_U_CORC-02]],E$5, FALSE)</f>
        <v>#N/A</v>
      </c>
      <c r="F2368" s="22" t="e">
        <f>VLOOKUP($A2368,TAB_AMORTIZACAO_U[[Q_DIAS_U_PARC_TIR]:[V_FUT_U_PCPL-02]], F$5, FALSE)</f>
        <v>#N/A</v>
      </c>
      <c r="H2368" s="20">
        <f t="shared" si="187"/>
        <v>0</v>
      </c>
      <c r="I2368" s="21">
        <f t="shared" si="188"/>
        <v>0</v>
      </c>
      <c r="J2368" s="22" t="e">
        <f>VLOOKUP($A2368, TAB_JUROS_C[[DIAS_CORRIDOS]:[V_FUT_UTEIS]], J$5, FALSE)</f>
        <v>#N/A</v>
      </c>
      <c r="K2368" s="22" t="e">
        <f>VLOOKUP($A2368, TAB_CORRECAO_C[[DIAS_CORRIDOS]:[V_FUT_UTEIS]],K$5, FALSE)</f>
        <v>#N/A</v>
      </c>
      <c r="L2368" s="22" t="e">
        <f>VLOOKUP($A2368, TAB_AMORTIZACAO_C[[DIAS_CORRIDOS]:[V_FUT_UTEIS]], L$5, FALSE)</f>
        <v>#N/A</v>
      </c>
    </row>
    <row r="2369" spans="1:12" hidden="1">
      <c r="A2369" s="19">
        <f t="shared" si="189"/>
        <v>2363</v>
      </c>
      <c r="B2369" s="20">
        <f t="shared" si="185"/>
        <v>0</v>
      </c>
      <c r="C2369" s="21">
        <f t="shared" si="186"/>
        <v>0</v>
      </c>
      <c r="D2369" s="22" t="e">
        <f>VLOOKUP($A2369, TAB_JUROS_U[[Q_DIAS_U_PARC_TIR]:[V_FUT_U_JURS CENARIO]], D$5, FALSE)</f>
        <v>#N/A</v>
      </c>
      <c r="E2369" s="22" t="e">
        <f>VLOOKUP($A2369,TAB_CORRECAO_U[[Q_DIAS_U_PARC_TIR]:[V_FUT_U_CORC-02]],E$5, FALSE)</f>
        <v>#N/A</v>
      </c>
      <c r="F2369" s="22" t="e">
        <f>VLOOKUP($A2369,TAB_AMORTIZACAO_U[[Q_DIAS_U_PARC_TIR]:[V_FUT_U_PCPL-02]], F$5, FALSE)</f>
        <v>#N/A</v>
      </c>
      <c r="H2369" s="20">
        <f t="shared" si="187"/>
        <v>0</v>
      </c>
      <c r="I2369" s="21">
        <f t="shared" si="188"/>
        <v>0</v>
      </c>
      <c r="J2369" s="22" t="e">
        <f>VLOOKUP($A2369, TAB_JUROS_C[[DIAS_CORRIDOS]:[V_FUT_UTEIS]], J$5, FALSE)</f>
        <v>#N/A</v>
      </c>
      <c r="K2369" s="22" t="e">
        <f>VLOOKUP($A2369, TAB_CORRECAO_C[[DIAS_CORRIDOS]:[V_FUT_UTEIS]],K$5, FALSE)</f>
        <v>#N/A</v>
      </c>
      <c r="L2369" s="22" t="e">
        <f>VLOOKUP($A2369, TAB_AMORTIZACAO_C[[DIAS_CORRIDOS]:[V_FUT_UTEIS]], L$5, FALSE)</f>
        <v>#N/A</v>
      </c>
    </row>
    <row r="2370" spans="1:12" hidden="1">
      <c r="A2370" s="19">
        <f t="shared" si="189"/>
        <v>2364</v>
      </c>
      <c r="B2370" s="20">
        <f t="shared" si="185"/>
        <v>0</v>
      </c>
      <c r="C2370" s="21">
        <f t="shared" si="186"/>
        <v>0</v>
      </c>
      <c r="D2370" s="22" t="e">
        <f>VLOOKUP($A2370, TAB_JUROS_U[[Q_DIAS_U_PARC_TIR]:[V_FUT_U_JURS CENARIO]], D$5, FALSE)</f>
        <v>#N/A</v>
      </c>
      <c r="E2370" s="22" t="e">
        <f>VLOOKUP($A2370,TAB_CORRECAO_U[[Q_DIAS_U_PARC_TIR]:[V_FUT_U_CORC-02]],E$5, FALSE)</f>
        <v>#N/A</v>
      </c>
      <c r="F2370" s="22" t="e">
        <f>VLOOKUP($A2370,TAB_AMORTIZACAO_U[[Q_DIAS_U_PARC_TIR]:[V_FUT_U_PCPL-02]], F$5, FALSE)</f>
        <v>#N/A</v>
      </c>
      <c r="H2370" s="20">
        <f t="shared" si="187"/>
        <v>0</v>
      </c>
      <c r="I2370" s="21">
        <f t="shared" si="188"/>
        <v>0</v>
      </c>
      <c r="J2370" s="22" t="e">
        <f>VLOOKUP($A2370, TAB_JUROS_C[[DIAS_CORRIDOS]:[V_FUT_UTEIS]], J$5, FALSE)</f>
        <v>#N/A</v>
      </c>
      <c r="K2370" s="22" t="e">
        <f>VLOOKUP($A2370, TAB_CORRECAO_C[[DIAS_CORRIDOS]:[V_FUT_UTEIS]],K$5, FALSE)</f>
        <v>#N/A</v>
      </c>
      <c r="L2370" s="22" t="e">
        <f>VLOOKUP($A2370, TAB_AMORTIZACAO_C[[DIAS_CORRIDOS]:[V_FUT_UTEIS]], L$5, FALSE)</f>
        <v>#N/A</v>
      </c>
    </row>
    <row r="2371" spans="1:12" hidden="1">
      <c r="A2371" s="19">
        <f t="shared" si="189"/>
        <v>2365</v>
      </c>
      <c r="B2371" s="20">
        <f t="shared" si="185"/>
        <v>0</v>
      </c>
      <c r="C2371" s="21">
        <f t="shared" si="186"/>
        <v>0</v>
      </c>
      <c r="D2371" s="22" t="e">
        <f>VLOOKUP($A2371, TAB_JUROS_U[[Q_DIAS_U_PARC_TIR]:[V_FUT_U_JURS CENARIO]], D$5, FALSE)</f>
        <v>#N/A</v>
      </c>
      <c r="E2371" s="22" t="e">
        <f>VLOOKUP($A2371,TAB_CORRECAO_U[[Q_DIAS_U_PARC_TIR]:[V_FUT_U_CORC-02]],E$5, FALSE)</f>
        <v>#N/A</v>
      </c>
      <c r="F2371" s="22" t="e">
        <f>VLOOKUP($A2371,TAB_AMORTIZACAO_U[[Q_DIAS_U_PARC_TIR]:[V_FUT_U_PCPL-02]], F$5, FALSE)</f>
        <v>#N/A</v>
      </c>
      <c r="H2371" s="20">
        <f t="shared" si="187"/>
        <v>0</v>
      </c>
      <c r="I2371" s="21">
        <f t="shared" si="188"/>
        <v>0</v>
      </c>
      <c r="J2371" s="22" t="e">
        <f>VLOOKUP($A2371, TAB_JUROS_C[[DIAS_CORRIDOS]:[V_FUT_UTEIS]], J$5, FALSE)</f>
        <v>#N/A</v>
      </c>
      <c r="K2371" s="22" t="e">
        <f>VLOOKUP($A2371, TAB_CORRECAO_C[[DIAS_CORRIDOS]:[V_FUT_UTEIS]],K$5, FALSE)</f>
        <v>#N/A</v>
      </c>
      <c r="L2371" s="22" t="e">
        <f>VLOOKUP($A2371, TAB_AMORTIZACAO_C[[DIAS_CORRIDOS]:[V_FUT_UTEIS]], L$5, FALSE)</f>
        <v>#N/A</v>
      </c>
    </row>
    <row r="2372" spans="1:12" hidden="1">
      <c r="A2372" s="19">
        <f t="shared" si="189"/>
        <v>2366</v>
      </c>
      <c r="B2372" s="20">
        <f t="shared" si="185"/>
        <v>0</v>
      </c>
      <c r="C2372" s="21">
        <f t="shared" si="186"/>
        <v>0</v>
      </c>
      <c r="D2372" s="22" t="e">
        <f>VLOOKUP($A2372, TAB_JUROS_U[[Q_DIAS_U_PARC_TIR]:[V_FUT_U_JURS CENARIO]], D$5, FALSE)</f>
        <v>#N/A</v>
      </c>
      <c r="E2372" s="22" t="e">
        <f>VLOOKUP($A2372,TAB_CORRECAO_U[[Q_DIAS_U_PARC_TIR]:[V_FUT_U_CORC-02]],E$5, FALSE)</f>
        <v>#N/A</v>
      </c>
      <c r="F2372" s="22" t="e">
        <f>VLOOKUP($A2372,TAB_AMORTIZACAO_U[[Q_DIAS_U_PARC_TIR]:[V_FUT_U_PCPL-02]], F$5, FALSE)</f>
        <v>#N/A</v>
      </c>
      <c r="H2372" s="20">
        <f t="shared" si="187"/>
        <v>0</v>
      </c>
      <c r="I2372" s="21">
        <f t="shared" si="188"/>
        <v>0</v>
      </c>
      <c r="J2372" s="22" t="e">
        <f>VLOOKUP($A2372, TAB_JUROS_C[[DIAS_CORRIDOS]:[V_FUT_UTEIS]], J$5, FALSE)</f>
        <v>#N/A</v>
      </c>
      <c r="K2372" s="22" t="e">
        <f>VLOOKUP($A2372, TAB_CORRECAO_C[[DIAS_CORRIDOS]:[V_FUT_UTEIS]],K$5, FALSE)</f>
        <v>#N/A</v>
      </c>
      <c r="L2372" s="22" t="e">
        <f>VLOOKUP($A2372, TAB_AMORTIZACAO_C[[DIAS_CORRIDOS]:[V_FUT_UTEIS]], L$5, FALSE)</f>
        <v>#N/A</v>
      </c>
    </row>
    <row r="2373" spans="1:12" hidden="1">
      <c r="A2373" s="19">
        <f t="shared" si="189"/>
        <v>2367</v>
      </c>
      <c r="B2373" s="20">
        <f t="shared" si="185"/>
        <v>0</v>
      </c>
      <c r="C2373" s="21">
        <f t="shared" si="186"/>
        <v>0</v>
      </c>
      <c r="D2373" s="22" t="e">
        <f>VLOOKUP($A2373, TAB_JUROS_U[[Q_DIAS_U_PARC_TIR]:[V_FUT_U_JURS CENARIO]], D$5, FALSE)</f>
        <v>#N/A</v>
      </c>
      <c r="E2373" s="22" t="e">
        <f>VLOOKUP($A2373,TAB_CORRECAO_U[[Q_DIAS_U_PARC_TIR]:[V_FUT_U_CORC-02]],E$5, FALSE)</f>
        <v>#N/A</v>
      </c>
      <c r="F2373" s="22" t="e">
        <f>VLOOKUP($A2373,TAB_AMORTIZACAO_U[[Q_DIAS_U_PARC_TIR]:[V_FUT_U_PCPL-02]], F$5, FALSE)</f>
        <v>#N/A</v>
      </c>
      <c r="H2373" s="20">
        <f t="shared" si="187"/>
        <v>0</v>
      </c>
      <c r="I2373" s="21">
        <f t="shared" si="188"/>
        <v>0</v>
      </c>
      <c r="J2373" s="22" t="e">
        <f>VLOOKUP($A2373, TAB_JUROS_C[[DIAS_CORRIDOS]:[V_FUT_UTEIS]], J$5, FALSE)</f>
        <v>#N/A</v>
      </c>
      <c r="K2373" s="22" t="e">
        <f>VLOOKUP($A2373, TAB_CORRECAO_C[[DIAS_CORRIDOS]:[V_FUT_UTEIS]],K$5, FALSE)</f>
        <v>#N/A</v>
      </c>
      <c r="L2373" s="22" t="e">
        <f>VLOOKUP($A2373, TAB_AMORTIZACAO_C[[DIAS_CORRIDOS]:[V_FUT_UTEIS]], L$5, FALSE)</f>
        <v>#N/A</v>
      </c>
    </row>
    <row r="2374" spans="1:12" hidden="1">
      <c r="A2374" s="19">
        <f t="shared" si="189"/>
        <v>2368</v>
      </c>
      <c r="B2374" s="20">
        <f t="shared" si="185"/>
        <v>0</v>
      </c>
      <c r="C2374" s="21">
        <f t="shared" si="186"/>
        <v>0</v>
      </c>
      <c r="D2374" s="22" t="e">
        <f>VLOOKUP($A2374, TAB_JUROS_U[[Q_DIAS_U_PARC_TIR]:[V_FUT_U_JURS CENARIO]], D$5, FALSE)</f>
        <v>#N/A</v>
      </c>
      <c r="E2374" s="22" t="e">
        <f>VLOOKUP($A2374,TAB_CORRECAO_U[[Q_DIAS_U_PARC_TIR]:[V_FUT_U_CORC-02]],E$5, FALSE)</f>
        <v>#N/A</v>
      </c>
      <c r="F2374" s="22" t="e">
        <f>VLOOKUP($A2374,TAB_AMORTIZACAO_U[[Q_DIAS_U_PARC_TIR]:[V_FUT_U_PCPL-02]], F$5, FALSE)</f>
        <v>#N/A</v>
      </c>
      <c r="H2374" s="20">
        <f t="shared" si="187"/>
        <v>0</v>
      </c>
      <c r="I2374" s="21">
        <f t="shared" si="188"/>
        <v>0</v>
      </c>
      <c r="J2374" s="22" t="e">
        <f>VLOOKUP($A2374, TAB_JUROS_C[[DIAS_CORRIDOS]:[V_FUT_UTEIS]], J$5, FALSE)</f>
        <v>#N/A</v>
      </c>
      <c r="K2374" s="22" t="e">
        <f>VLOOKUP($A2374, TAB_CORRECAO_C[[DIAS_CORRIDOS]:[V_FUT_UTEIS]],K$5, FALSE)</f>
        <v>#N/A</v>
      </c>
      <c r="L2374" s="22" t="e">
        <f>VLOOKUP($A2374, TAB_AMORTIZACAO_C[[DIAS_CORRIDOS]:[V_FUT_UTEIS]], L$5, FALSE)</f>
        <v>#N/A</v>
      </c>
    </row>
    <row r="2375" spans="1:12" hidden="1">
      <c r="A2375" s="19">
        <f t="shared" si="189"/>
        <v>2369</v>
      </c>
      <c r="B2375" s="20">
        <f t="shared" si="185"/>
        <v>0</v>
      </c>
      <c r="C2375" s="21">
        <f t="shared" si="186"/>
        <v>0</v>
      </c>
      <c r="D2375" s="22" t="e">
        <f>VLOOKUP($A2375, TAB_JUROS_U[[Q_DIAS_U_PARC_TIR]:[V_FUT_U_JURS CENARIO]], D$5, FALSE)</f>
        <v>#N/A</v>
      </c>
      <c r="E2375" s="22" t="e">
        <f>VLOOKUP($A2375,TAB_CORRECAO_U[[Q_DIAS_U_PARC_TIR]:[V_FUT_U_CORC-02]],E$5, FALSE)</f>
        <v>#N/A</v>
      </c>
      <c r="F2375" s="22" t="e">
        <f>VLOOKUP($A2375,TAB_AMORTIZACAO_U[[Q_DIAS_U_PARC_TIR]:[V_FUT_U_PCPL-02]], F$5, FALSE)</f>
        <v>#N/A</v>
      </c>
      <c r="H2375" s="20">
        <f t="shared" si="187"/>
        <v>0</v>
      </c>
      <c r="I2375" s="21">
        <f t="shared" si="188"/>
        <v>0</v>
      </c>
      <c r="J2375" s="22" t="e">
        <f>VLOOKUP($A2375, TAB_JUROS_C[[DIAS_CORRIDOS]:[V_FUT_UTEIS]], J$5, FALSE)</f>
        <v>#N/A</v>
      </c>
      <c r="K2375" s="22" t="e">
        <f>VLOOKUP($A2375, TAB_CORRECAO_C[[DIAS_CORRIDOS]:[V_FUT_UTEIS]],K$5, FALSE)</f>
        <v>#N/A</v>
      </c>
      <c r="L2375" s="22" t="e">
        <f>VLOOKUP($A2375, TAB_AMORTIZACAO_C[[DIAS_CORRIDOS]:[V_FUT_UTEIS]], L$5, FALSE)</f>
        <v>#N/A</v>
      </c>
    </row>
    <row r="2376" spans="1:12" hidden="1">
      <c r="A2376" s="19">
        <f t="shared" si="189"/>
        <v>2370</v>
      </c>
      <c r="B2376" s="20">
        <f t="shared" si="185"/>
        <v>0</v>
      </c>
      <c r="C2376" s="21">
        <f t="shared" si="186"/>
        <v>0</v>
      </c>
      <c r="D2376" s="22" t="e">
        <f>VLOOKUP($A2376, TAB_JUROS_U[[Q_DIAS_U_PARC_TIR]:[V_FUT_U_JURS CENARIO]], D$5, FALSE)</f>
        <v>#N/A</v>
      </c>
      <c r="E2376" s="22" t="e">
        <f>VLOOKUP($A2376,TAB_CORRECAO_U[[Q_DIAS_U_PARC_TIR]:[V_FUT_U_CORC-02]],E$5, FALSE)</f>
        <v>#N/A</v>
      </c>
      <c r="F2376" s="22" t="e">
        <f>VLOOKUP($A2376,TAB_AMORTIZACAO_U[[Q_DIAS_U_PARC_TIR]:[V_FUT_U_PCPL-02]], F$5, FALSE)</f>
        <v>#N/A</v>
      </c>
      <c r="H2376" s="20">
        <f t="shared" si="187"/>
        <v>0</v>
      </c>
      <c r="I2376" s="21">
        <f t="shared" si="188"/>
        <v>0</v>
      </c>
      <c r="J2376" s="22" t="e">
        <f>VLOOKUP($A2376, TAB_JUROS_C[[DIAS_CORRIDOS]:[V_FUT_UTEIS]], J$5, FALSE)</f>
        <v>#N/A</v>
      </c>
      <c r="K2376" s="22" t="e">
        <f>VLOOKUP($A2376, TAB_CORRECAO_C[[DIAS_CORRIDOS]:[V_FUT_UTEIS]],K$5, FALSE)</f>
        <v>#N/A</v>
      </c>
      <c r="L2376" s="22" t="e">
        <f>VLOOKUP($A2376, TAB_AMORTIZACAO_C[[DIAS_CORRIDOS]:[V_FUT_UTEIS]], L$5, FALSE)</f>
        <v>#N/A</v>
      </c>
    </row>
    <row r="2377" spans="1:12" hidden="1">
      <c r="A2377" s="19">
        <f t="shared" si="189"/>
        <v>2371</v>
      </c>
      <c r="B2377" s="20">
        <f t="shared" ref="B2377:B2440" si="190">IF(ISERROR(C2377), 0, C2377)</f>
        <v>0</v>
      </c>
      <c r="C2377" s="21">
        <f t="shared" ref="C2377:C2440" si="191">SUMIF(D2377:F2377, "&gt;0", D2377:F2377)</f>
        <v>0</v>
      </c>
      <c r="D2377" s="22" t="e">
        <f>VLOOKUP($A2377, TAB_JUROS_U[[Q_DIAS_U_PARC_TIR]:[V_FUT_U_JURS CENARIO]], D$5, FALSE)</f>
        <v>#N/A</v>
      </c>
      <c r="E2377" s="22" t="e">
        <f>VLOOKUP($A2377,TAB_CORRECAO_U[[Q_DIAS_U_PARC_TIR]:[V_FUT_U_CORC-02]],E$5, FALSE)</f>
        <v>#N/A</v>
      </c>
      <c r="F2377" s="22" t="e">
        <f>VLOOKUP($A2377,TAB_AMORTIZACAO_U[[Q_DIAS_U_PARC_TIR]:[V_FUT_U_PCPL-02]], F$5, FALSE)</f>
        <v>#N/A</v>
      </c>
      <c r="H2377" s="20">
        <f t="shared" ref="H2377:H2440" si="192">IF(ISERROR(I2377), 0, I2377)</f>
        <v>0</v>
      </c>
      <c r="I2377" s="21">
        <f t="shared" ref="I2377:I2440" si="193">SUMIF(J2377:L2377, "&gt;0", J2377:L2377)</f>
        <v>0</v>
      </c>
      <c r="J2377" s="22" t="e">
        <f>VLOOKUP($A2377, TAB_JUROS_C[[DIAS_CORRIDOS]:[V_FUT_UTEIS]], J$5, FALSE)</f>
        <v>#N/A</v>
      </c>
      <c r="K2377" s="22" t="e">
        <f>VLOOKUP($A2377, TAB_CORRECAO_C[[DIAS_CORRIDOS]:[V_FUT_UTEIS]],K$5, FALSE)</f>
        <v>#N/A</v>
      </c>
      <c r="L2377" s="22" t="e">
        <f>VLOOKUP($A2377, TAB_AMORTIZACAO_C[[DIAS_CORRIDOS]:[V_FUT_UTEIS]], L$5, FALSE)</f>
        <v>#N/A</v>
      </c>
    </row>
    <row r="2378" spans="1:12" hidden="1">
      <c r="A2378" s="19">
        <f t="shared" ref="A2378:A2441" si="194">A2377+1</f>
        <v>2372</v>
      </c>
      <c r="B2378" s="20">
        <f t="shared" si="190"/>
        <v>0</v>
      </c>
      <c r="C2378" s="21">
        <f t="shared" si="191"/>
        <v>0</v>
      </c>
      <c r="D2378" s="22" t="e">
        <f>VLOOKUP($A2378, TAB_JUROS_U[[Q_DIAS_U_PARC_TIR]:[V_FUT_U_JURS CENARIO]], D$5, FALSE)</f>
        <v>#N/A</v>
      </c>
      <c r="E2378" s="22" t="e">
        <f>VLOOKUP($A2378,TAB_CORRECAO_U[[Q_DIAS_U_PARC_TIR]:[V_FUT_U_CORC-02]],E$5, FALSE)</f>
        <v>#N/A</v>
      </c>
      <c r="F2378" s="22" t="e">
        <f>VLOOKUP($A2378,TAB_AMORTIZACAO_U[[Q_DIAS_U_PARC_TIR]:[V_FUT_U_PCPL-02]], F$5, FALSE)</f>
        <v>#N/A</v>
      </c>
      <c r="H2378" s="20">
        <f t="shared" si="192"/>
        <v>0</v>
      </c>
      <c r="I2378" s="21">
        <f t="shared" si="193"/>
        <v>0</v>
      </c>
      <c r="J2378" s="22" t="e">
        <f>VLOOKUP($A2378, TAB_JUROS_C[[DIAS_CORRIDOS]:[V_FUT_UTEIS]], J$5, FALSE)</f>
        <v>#N/A</v>
      </c>
      <c r="K2378" s="22" t="e">
        <f>VLOOKUP($A2378, TAB_CORRECAO_C[[DIAS_CORRIDOS]:[V_FUT_UTEIS]],K$5, FALSE)</f>
        <v>#N/A</v>
      </c>
      <c r="L2378" s="22" t="e">
        <f>VLOOKUP($A2378, TAB_AMORTIZACAO_C[[DIAS_CORRIDOS]:[V_FUT_UTEIS]], L$5, FALSE)</f>
        <v>#N/A</v>
      </c>
    </row>
    <row r="2379" spans="1:12" hidden="1">
      <c r="A2379" s="19">
        <f t="shared" si="194"/>
        <v>2373</v>
      </c>
      <c r="B2379" s="20">
        <f t="shared" si="190"/>
        <v>0</v>
      </c>
      <c r="C2379" s="21">
        <f t="shared" si="191"/>
        <v>0</v>
      </c>
      <c r="D2379" s="22" t="e">
        <f>VLOOKUP($A2379, TAB_JUROS_U[[Q_DIAS_U_PARC_TIR]:[V_FUT_U_JURS CENARIO]], D$5, FALSE)</f>
        <v>#N/A</v>
      </c>
      <c r="E2379" s="22" t="e">
        <f>VLOOKUP($A2379,TAB_CORRECAO_U[[Q_DIAS_U_PARC_TIR]:[V_FUT_U_CORC-02]],E$5, FALSE)</f>
        <v>#N/A</v>
      </c>
      <c r="F2379" s="22" t="e">
        <f>VLOOKUP($A2379,TAB_AMORTIZACAO_U[[Q_DIAS_U_PARC_TIR]:[V_FUT_U_PCPL-02]], F$5, FALSE)</f>
        <v>#N/A</v>
      </c>
      <c r="H2379" s="20">
        <f t="shared" si="192"/>
        <v>0</v>
      </c>
      <c r="I2379" s="21">
        <f t="shared" si="193"/>
        <v>0</v>
      </c>
      <c r="J2379" s="22" t="e">
        <f>VLOOKUP($A2379, TAB_JUROS_C[[DIAS_CORRIDOS]:[V_FUT_UTEIS]], J$5, FALSE)</f>
        <v>#N/A</v>
      </c>
      <c r="K2379" s="22" t="e">
        <f>VLOOKUP($A2379, TAB_CORRECAO_C[[DIAS_CORRIDOS]:[V_FUT_UTEIS]],K$5, FALSE)</f>
        <v>#N/A</v>
      </c>
      <c r="L2379" s="22" t="e">
        <f>VLOOKUP($A2379, TAB_AMORTIZACAO_C[[DIAS_CORRIDOS]:[V_FUT_UTEIS]], L$5, FALSE)</f>
        <v>#N/A</v>
      </c>
    </row>
    <row r="2380" spans="1:12">
      <c r="A2380" s="19">
        <f t="shared" si="194"/>
        <v>2374</v>
      </c>
      <c r="B2380" s="20">
        <f t="shared" si="190"/>
        <v>193.53431059498837</v>
      </c>
      <c r="C2380" s="21">
        <f t="shared" si="191"/>
        <v>193.53431059498837</v>
      </c>
      <c r="D2380" s="22">
        <f>VLOOKUP($A2380, TAB_JUROS_U[[Q_DIAS_U_PARC_TIR]:[V_FUT_U_JURS CENARIO]], D$5, FALSE)</f>
        <v>8.2635022555841964</v>
      </c>
      <c r="E2380" s="22">
        <f>VLOOKUP($A2380,TAB_CORRECAO_U[[Q_DIAS_U_PARC_TIR]:[V_FUT_U_CORC-02]],E$5, FALSE)</f>
        <v>49.181107613168045</v>
      </c>
      <c r="F2380" s="22">
        <f>VLOOKUP($A2380,TAB_AMORTIZACAO_U[[Q_DIAS_U_PARC_TIR]:[V_FUT_U_PCPL-02]], F$5, FALSE)</f>
        <v>136.08970072623615</v>
      </c>
      <c r="H2380" s="20">
        <f t="shared" si="192"/>
        <v>0</v>
      </c>
      <c r="I2380" s="21">
        <f t="shared" si="193"/>
        <v>0</v>
      </c>
      <c r="J2380" s="22" t="e">
        <f>VLOOKUP($A2380, TAB_JUROS_C[[DIAS_CORRIDOS]:[V_FUT_UTEIS]], J$5, FALSE)</f>
        <v>#N/A</v>
      </c>
      <c r="K2380" s="22" t="e">
        <f>VLOOKUP($A2380, TAB_CORRECAO_C[[DIAS_CORRIDOS]:[V_FUT_UTEIS]],K$5, FALSE)</f>
        <v>#N/A</v>
      </c>
      <c r="L2380" s="22" t="e">
        <f>VLOOKUP($A2380, TAB_AMORTIZACAO_C[[DIAS_CORRIDOS]:[V_FUT_UTEIS]], L$5, FALSE)</f>
        <v>#N/A</v>
      </c>
    </row>
    <row r="2381" spans="1:12" hidden="1">
      <c r="A2381" s="19">
        <f t="shared" si="194"/>
        <v>2375</v>
      </c>
      <c r="B2381" s="20">
        <f t="shared" si="190"/>
        <v>0</v>
      </c>
      <c r="C2381" s="21">
        <f t="shared" si="191"/>
        <v>0</v>
      </c>
      <c r="D2381" s="22" t="e">
        <f>VLOOKUP($A2381, TAB_JUROS_U[[Q_DIAS_U_PARC_TIR]:[V_FUT_U_JURS CENARIO]], D$5, FALSE)</f>
        <v>#N/A</v>
      </c>
      <c r="E2381" s="22" t="e">
        <f>VLOOKUP($A2381,TAB_CORRECAO_U[[Q_DIAS_U_PARC_TIR]:[V_FUT_U_CORC-02]],E$5, FALSE)</f>
        <v>#N/A</v>
      </c>
      <c r="F2381" s="22" t="e">
        <f>VLOOKUP($A2381,TAB_AMORTIZACAO_U[[Q_DIAS_U_PARC_TIR]:[V_FUT_U_PCPL-02]], F$5, FALSE)</f>
        <v>#N/A</v>
      </c>
      <c r="H2381" s="20">
        <f t="shared" si="192"/>
        <v>0</v>
      </c>
      <c r="I2381" s="21">
        <f t="shared" si="193"/>
        <v>0</v>
      </c>
      <c r="J2381" s="22" t="e">
        <f>VLOOKUP($A2381, TAB_JUROS_C[[DIAS_CORRIDOS]:[V_FUT_UTEIS]], J$5, FALSE)</f>
        <v>#N/A</v>
      </c>
      <c r="K2381" s="22" t="e">
        <f>VLOOKUP($A2381, TAB_CORRECAO_C[[DIAS_CORRIDOS]:[V_FUT_UTEIS]],K$5, FALSE)</f>
        <v>#N/A</v>
      </c>
      <c r="L2381" s="22" t="e">
        <f>VLOOKUP($A2381, TAB_AMORTIZACAO_C[[DIAS_CORRIDOS]:[V_FUT_UTEIS]], L$5, FALSE)</f>
        <v>#N/A</v>
      </c>
    </row>
    <row r="2382" spans="1:12" hidden="1">
      <c r="A2382" s="19">
        <f t="shared" si="194"/>
        <v>2376</v>
      </c>
      <c r="B2382" s="20">
        <f t="shared" si="190"/>
        <v>0</v>
      </c>
      <c r="C2382" s="21">
        <f t="shared" si="191"/>
        <v>0</v>
      </c>
      <c r="D2382" s="22" t="e">
        <f>VLOOKUP($A2382, TAB_JUROS_U[[Q_DIAS_U_PARC_TIR]:[V_FUT_U_JURS CENARIO]], D$5, FALSE)</f>
        <v>#N/A</v>
      </c>
      <c r="E2382" s="22" t="e">
        <f>VLOOKUP($A2382,TAB_CORRECAO_U[[Q_DIAS_U_PARC_TIR]:[V_FUT_U_CORC-02]],E$5, FALSE)</f>
        <v>#N/A</v>
      </c>
      <c r="F2382" s="22" t="e">
        <f>VLOOKUP($A2382,TAB_AMORTIZACAO_U[[Q_DIAS_U_PARC_TIR]:[V_FUT_U_PCPL-02]], F$5, FALSE)</f>
        <v>#N/A</v>
      </c>
      <c r="H2382" s="20">
        <f t="shared" si="192"/>
        <v>0</v>
      </c>
      <c r="I2382" s="21">
        <f t="shared" si="193"/>
        <v>0</v>
      </c>
      <c r="J2382" s="22" t="e">
        <f>VLOOKUP($A2382, TAB_JUROS_C[[DIAS_CORRIDOS]:[V_FUT_UTEIS]], J$5, FALSE)</f>
        <v>#N/A</v>
      </c>
      <c r="K2382" s="22" t="e">
        <f>VLOOKUP($A2382, TAB_CORRECAO_C[[DIAS_CORRIDOS]:[V_FUT_UTEIS]],K$5, FALSE)</f>
        <v>#N/A</v>
      </c>
      <c r="L2382" s="22" t="e">
        <f>VLOOKUP($A2382, TAB_AMORTIZACAO_C[[DIAS_CORRIDOS]:[V_FUT_UTEIS]], L$5, FALSE)</f>
        <v>#N/A</v>
      </c>
    </row>
    <row r="2383" spans="1:12" hidden="1">
      <c r="A2383" s="19">
        <f t="shared" si="194"/>
        <v>2377</v>
      </c>
      <c r="B2383" s="20">
        <f t="shared" si="190"/>
        <v>0</v>
      </c>
      <c r="C2383" s="21">
        <f t="shared" si="191"/>
        <v>0</v>
      </c>
      <c r="D2383" s="22" t="e">
        <f>VLOOKUP($A2383, TAB_JUROS_U[[Q_DIAS_U_PARC_TIR]:[V_FUT_U_JURS CENARIO]], D$5, FALSE)</f>
        <v>#N/A</v>
      </c>
      <c r="E2383" s="22" t="e">
        <f>VLOOKUP($A2383,TAB_CORRECAO_U[[Q_DIAS_U_PARC_TIR]:[V_FUT_U_CORC-02]],E$5, FALSE)</f>
        <v>#N/A</v>
      </c>
      <c r="F2383" s="22" t="e">
        <f>VLOOKUP($A2383,TAB_AMORTIZACAO_U[[Q_DIAS_U_PARC_TIR]:[V_FUT_U_PCPL-02]], F$5, FALSE)</f>
        <v>#N/A</v>
      </c>
      <c r="H2383" s="20">
        <f t="shared" si="192"/>
        <v>0</v>
      </c>
      <c r="I2383" s="21">
        <f t="shared" si="193"/>
        <v>0</v>
      </c>
      <c r="J2383" s="22" t="e">
        <f>VLOOKUP($A2383, TAB_JUROS_C[[DIAS_CORRIDOS]:[V_FUT_UTEIS]], J$5, FALSE)</f>
        <v>#N/A</v>
      </c>
      <c r="K2383" s="22" t="e">
        <f>VLOOKUP($A2383, TAB_CORRECAO_C[[DIAS_CORRIDOS]:[V_FUT_UTEIS]],K$5, FALSE)</f>
        <v>#N/A</v>
      </c>
      <c r="L2383" s="22" t="e">
        <f>VLOOKUP($A2383, TAB_AMORTIZACAO_C[[DIAS_CORRIDOS]:[V_FUT_UTEIS]], L$5, FALSE)</f>
        <v>#N/A</v>
      </c>
    </row>
    <row r="2384" spans="1:12" hidden="1">
      <c r="A2384" s="19">
        <f t="shared" si="194"/>
        <v>2378</v>
      </c>
      <c r="B2384" s="20">
        <f t="shared" si="190"/>
        <v>0</v>
      </c>
      <c r="C2384" s="21">
        <f t="shared" si="191"/>
        <v>0</v>
      </c>
      <c r="D2384" s="22" t="e">
        <f>VLOOKUP($A2384, TAB_JUROS_U[[Q_DIAS_U_PARC_TIR]:[V_FUT_U_JURS CENARIO]], D$5, FALSE)</f>
        <v>#N/A</v>
      </c>
      <c r="E2384" s="22" t="e">
        <f>VLOOKUP($A2384,TAB_CORRECAO_U[[Q_DIAS_U_PARC_TIR]:[V_FUT_U_CORC-02]],E$5, FALSE)</f>
        <v>#N/A</v>
      </c>
      <c r="F2384" s="22" t="e">
        <f>VLOOKUP($A2384,TAB_AMORTIZACAO_U[[Q_DIAS_U_PARC_TIR]:[V_FUT_U_PCPL-02]], F$5, FALSE)</f>
        <v>#N/A</v>
      </c>
      <c r="H2384" s="20">
        <f t="shared" si="192"/>
        <v>0</v>
      </c>
      <c r="I2384" s="21">
        <f t="shared" si="193"/>
        <v>0</v>
      </c>
      <c r="J2384" s="22" t="e">
        <f>VLOOKUP($A2384, TAB_JUROS_C[[DIAS_CORRIDOS]:[V_FUT_UTEIS]], J$5, FALSE)</f>
        <v>#N/A</v>
      </c>
      <c r="K2384" s="22" t="e">
        <f>VLOOKUP($A2384, TAB_CORRECAO_C[[DIAS_CORRIDOS]:[V_FUT_UTEIS]],K$5, FALSE)</f>
        <v>#N/A</v>
      </c>
      <c r="L2384" s="22" t="e">
        <f>VLOOKUP($A2384, TAB_AMORTIZACAO_C[[DIAS_CORRIDOS]:[V_FUT_UTEIS]], L$5, FALSE)</f>
        <v>#N/A</v>
      </c>
    </row>
    <row r="2385" spans="1:12" hidden="1">
      <c r="A2385" s="19">
        <f t="shared" si="194"/>
        <v>2379</v>
      </c>
      <c r="B2385" s="20">
        <f t="shared" si="190"/>
        <v>0</v>
      </c>
      <c r="C2385" s="21">
        <f t="shared" si="191"/>
        <v>0</v>
      </c>
      <c r="D2385" s="22" t="e">
        <f>VLOOKUP($A2385, TAB_JUROS_U[[Q_DIAS_U_PARC_TIR]:[V_FUT_U_JURS CENARIO]], D$5, FALSE)</f>
        <v>#N/A</v>
      </c>
      <c r="E2385" s="22" t="e">
        <f>VLOOKUP($A2385,TAB_CORRECAO_U[[Q_DIAS_U_PARC_TIR]:[V_FUT_U_CORC-02]],E$5, FALSE)</f>
        <v>#N/A</v>
      </c>
      <c r="F2385" s="22" t="e">
        <f>VLOOKUP($A2385,TAB_AMORTIZACAO_U[[Q_DIAS_U_PARC_TIR]:[V_FUT_U_PCPL-02]], F$5, FALSE)</f>
        <v>#N/A</v>
      </c>
      <c r="H2385" s="20">
        <f t="shared" si="192"/>
        <v>0</v>
      </c>
      <c r="I2385" s="21">
        <f t="shared" si="193"/>
        <v>0</v>
      </c>
      <c r="J2385" s="22" t="e">
        <f>VLOOKUP($A2385, TAB_JUROS_C[[DIAS_CORRIDOS]:[V_FUT_UTEIS]], J$5, FALSE)</f>
        <v>#N/A</v>
      </c>
      <c r="K2385" s="22" t="e">
        <f>VLOOKUP($A2385, TAB_CORRECAO_C[[DIAS_CORRIDOS]:[V_FUT_UTEIS]],K$5, FALSE)</f>
        <v>#N/A</v>
      </c>
      <c r="L2385" s="22" t="e">
        <f>VLOOKUP($A2385, TAB_AMORTIZACAO_C[[DIAS_CORRIDOS]:[V_FUT_UTEIS]], L$5, FALSE)</f>
        <v>#N/A</v>
      </c>
    </row>
    <row r="2386" spans="1:12" hidden="1">
      <c r="A2386" s="19">
        <f t="shared" si="194"/>
        <v>2380</v>
      </c>
      <c r="B2386" s="20">
        <f t="shared" si="190"/>
        <v>0</v>
      </c>
      <c r="C2386" s="21">
        <f t="shared" si="191"/>
        <v>0</v>
      </c>
      <c r="D2386" s="22" t="e">
        <f>VLOOKUP($A2386, TAB_JUROS_U[[Q_DIAS_U_PARC_TIR]:[V_FUT_U_JURS CENARIO]], D$5, FALSE)</f>
        <v>#N/A</v>
      </c>
      <c r="E2386" s="22" t="e">
        <f>VLOOKUP($A2386,TAB_CORRECAO_U[[Q_DIAS_U_PARC_TIR]:[V_FUT_U_CORC-02]],E$5, FALSE)</f>
        <v>#N/A</v>
      </c>
      <c r="F2386" s="22" t="e">
        <f>VLOOKUP($A2386,TAB_AMORTIZACAO_U[[Q_DIAS_U_PARC_TIR]:[V_FUT_U_PCPL-02]], F$5, FALSE)</f>
        <v>#N/A</v>
      </c>
      <c r="H2386" s="20">
        <f t="shared" si="192"/>
        <v>0</v>
      </c>
      <c r="I2386" s="21">
        <f t="shared" si="193"/>
        <v>0</v>
      </c>
      <c r="J2386" s="22" t="e">
        <f>VLOOKUP($A2386, TAB_JUROS_C[[DIAS_CORRIDOS]:[V_FUT_UTEIS]], J$5, FALSE)</f>
        <v>#N/A</v>
      </c>
      <c r="K2386" s="22" t="e">
        <f>VLOOKUP($A2386, TAB_CORRECAO_C[[DIAS_CORRIDOS]:[V_FUT_UTEIS]],K$5, FALSE)</f>
        <v>#N/A</v>
      </c>
      <c r="L2386" s="22" t="e">
        <f>VLOOKUP($A2386, TAB_AMORTIZACAO_C[[DIAS_CORRIDOS]:[V_FUT_UTEIS]], L$5, FALSE)</f>
        <v>#N/A</v>
      </c>
    </row>
    <row r="2387" spans="1:12" hidden="1">
      <c r="A2387" s="19">
        <f t="shared" si="194"/>
        <v>2381</v>
      </c>
      <c r="B2387" s="20">
        <f t="shared" si="190"/>
        <v>0</v>
      </c>
      <c r="C2387" s="21">
        <f t="shared" si="191"/>
        <v>0</v>
      </c>
      <c r="D2387" s="22" t="e">
        <f>VLOOKUP($A2387, TAB_JUROS_U[[Q_DIAS_U_PARC_TIR]:[V_FUT_U_JURS CENARIO]], D$5, FALSE)</f>
        <v>#N/A</v>
      </c>
      <c r="E2387" s="22" t="e">
        <f>VLOOKUP($A2387,TAB_CORRECAO_U[[Q_DIAS_U_PARC_TIR]:[V_FUT_U_CORC-02]],E$5, FALSE)</f>
        <v>#N/A</v>
      </c>
      <c r="F2387" s="22" t="e">
        <f>VLOOKUP($A2387,TAB_AMORTIZACAO_U[[Q_DIAS_U_PARC_TIR]:[V_FUT_U_PCPL-02]], F$5, FALSE)</f>
        <v>#N/A</v>
      </c>
      <c r="H2387" s="20">
        <f t="shared" si="192"/>
        <v>0</v>
      </c>
      <c r="I2387" s="21">
        <f t="shared" si="193"/>
        <v>0</v>
      </c>
      <c r="J2387" s="22" t="e">
        <f>VLOOKUP($A2387, TAB_JUROS_C[[DIAS_CORRIDOS]:[V_FUT_UTEIS]], J$5, FALSE)</f>
        <v>#N/A</v>
      </c>
      <c r="K2387" s="22" t="e">
        <f>VLOOKUP($A2387, TAB_CORRECAO_C[[DIAS_CORRIDOS]:[V_FUT_UTEIS]],K$5, FALSE)</f>
        <v>#N/A</v>
      </c>
      <c r="L2387" s="22" t="e">
        <f>VLOOKUP($A2387, TAB_AMORTIZACAO_C[[DIAS_CORRIDOS]:[V_FUT_UTEIS]], L$5, FALSE)</f>
        <v>#N/A</v>
      </c>
    </row>
    <row r="2388" spans="1:12" hidden="1">
      <c r="A2388" s="19">
        <f t="shared" si="194"/>
        <v>2382</v>
      </c>
      <c r="B2388" s="20">
        <f t="shared" si="190"/>
        <v>0</v>
      </c>
      <c r="C2388" s="21">
        <f t="shared" si="191"/>
        <v>0</v>
      </c>
      <c r="D2388" s="22" t="e">
        <f>VLOOKUP($A2388, TAB_JUROS_U[[Q_DIAS_U_PARC_TIR]:[V_FUT_U_JURS CENARIO]], D$5, FALSE)</f>
        <v>#N/A</v>
      </c>
      <c r="E2388" s="22" t="e">
        <f>VLOOKUP($A2388,TAB_CORRECAO_U[[Q_DIAS_U_PARC_TIR]:[V_FUT_U_CORC-02]],E$5, FALSE)</f>
        <v>#N/A</v>
      </c>
      <c r="F2388" s="22" t="e">
        <f>VLOOKUP($A2388,TAB_AMORTIZACAO_U[[Q_DIAS_U_PARC_TIR]:[V_FUT_U_PCPL-02]], F$5, FALSE)</f>
        <v>#N/A</v>
      </c>
      <c r="H2388" s="20">
        <f t="shared" si="192"/>
        <v>0</v>
      </c>
      <c r="I2388" s="21">
        <f t="shared" si="193"/>
        <v>0</v>
      </c>
      <c r="J2388" s="22" t="e">
        <f>VLOOKUP($A2388, TAB_JUROS_C[[DIAS_CORRIDOS]:[V_FUT_UTEIS]], J$5, FALSE)</f>
        <v>#N/A</v>
      </c>
      <c r="K2388" s="22" t="e">
        <f>VLOOKUP($A2388, TAB_CORRECAO_C[[DIAS_CORRIDOS]:[V_FUT_UTEIS]],K$5, FALSE)</f>
        <v>#N/A</v>
      </c>
      <c r="L2388" s="22" t="e">
        <f>VLOOKUP($A2388, TAB_AMORTIZACAO_C[[DIAS_CORRIDOS]:[V_FUT_UTEIS]], L$5, FALSE)</f>
        <v>#N/A</v>
      </c>
    </row>
    <row r="2389" spans="1:12" hidden="1">
      <c r="A2389" s="19">
        <f t="shared" si="194"/>
        <v>2383</v>
      </c>
      <c r="B2389" s="20">
        <f t="shared" si="190"/>
        <v>0</v>
      </c>
      <c r="C2389" s="21">
        <f t="shared" si="191"/>
        <v>0</v>
      </c>
      <c r="D2389" s="22" t="e">
        <f>VLOOKUP($A2389, TAB_JUROS_U[[Q_DIAS_U_PARC_TIR]:[V_FUT_U_JURS CENARIO]], D$5, FALSE)</f>
        <v>#N/A</v>
      </c>
      <c r="E2389" s="22" t="e">
        <f>VLOOKUP($A2389,TAB_CORRECAO_U[[Q_DIAS_U_PARC_TIR]:[V_FUT_U_CORC-02]],E$5, FALSE)</f>
        <v>#N/A</v>
      </c>
      <c r="F2389" s="22" t="e">
        <f>VLOOKUP($A2389,TAB_AMORTIZACAO_U[[Q_DIAS_U_PARC_TIR]:[V_FUT_U_PCPL-02]], F$5, FALSE)</f>
        <v>#N/A</v>
      </c>
      <c r="H2389" s="20">
        <f t="shared" si="192"/>
        <v>0</v>
      </c>
      <c r="I2389" s="21">
        <f t="shared" si="193"/>
        <v>0</v>
      </c>
      <c r="J2389" s="22" t="e">
        <f>VLOOKUP($A2389, TAB_JUROS_C[[DIAS_CORRIDOS]:[V_FUT_UTEIS]], J$5, FALSE)</f>
        <v>#N/A</v>
      </c>
      <c r="K2389" s="22" t="e">
        <f>VLOOKUP($A2389, TAB_CORRECAO_C[[DIAS_CORRIDOS]:[V_FUT_UTEIS]],K$5, FALSE)</f>
        <v>#N/A</v>
      </c>
      <c r="L2389" s="22" t="e">
        <f>VLOOKUP($A2389, TAB_AMORTIZACAO_C[[DIAS_CORRIDOS]:[V_FUT_UTEIS]], L$5, FALSE)</f>
        <v>#N/A</v>
      </c>
    </row>
    <row r="2390" spans="1:12" hidden="1">
      <c r="A2390" s="19">
        <f t="shared" si="194"/>
        <v>2384</v>
      </c>
      <c r="B2390" s="20">
        <f t="shared" si="190"/>
        <v>0</v>
      </c>
      <c r="C2390" s="21">
        <f t="shared" si="191"/>
        <v>0</v>
      </c>
      <c r="D2390" s="22" t="e">
        <f>VLOOKUP($A2390, TAB_JUROS_U[[Q_DIAS_U_PARC_TIR]:[V_FUT_U_JURS CENARIO]], D$5, FALSE)</f>
        <v>#N/A</v>
      </c>
      <c r="E2390" s="22" t="e">
        <f>VLOOKUP($A2390,TAB_CORRECAO_U[[Q_DIAS_U_PARC_TIR]:[V_FUT_U_CORC-02]],E$5, FALSE)</f>
        <v>#N/A</v>
      </c>
      <c r="F2390" s="22" t="e">
        <f>VLOOKUP($A2390,TAB_AMORTIZACAO_U[[Q_DIAS_U_PARC_TIR]:[V_FUT_U_PCPL-02]], F$5, FALSE)</f>
        <v>#N/A</v>
      </c>
      <c r="H2390" s="20">
        <f t="shared" si="192"/>
        <v>446.84769473247007</v>
      </c>
      <c r="I2390" s="21">
        <f t="shared" si="193"/>
        <v>446.84769473247007</v>
      </c>
      <c r="J2390" s="22">
        <f>VLOOKUP($A2390, TAB_JUROS_C[[DIAS_CORRIDOS]:[V_FUT_UTEIS]], J$5, FALSE)</f>
        <v>29.186398920529264</v>
      </c>
      <c r="K2390" s="22">
        <f>VLOOKUP($A2390, TAB_CORRECAO_C[[DIAS_CORRIDOS]:[V_FUT_UTEIS]],K$5, FALSE)</f>
        <v>176.43868721351828</v>
      </c>
      <c r="L2390" s="22">
        <f>VLOOKUP($A2390, TAB_AMORTIZACAO_C[[DIAS_CORRIDOS]:[V_FUT_UTEIS]], L$5, FALSE)</f>
        <v>241.22260859842254</v>
      </c>
    </row>
    <row r="2391" spans="1:12" hidden="1">
      <c r="A2391" s="19">
        <f t="shared" si="194"/>
        <v>2385</v>
      </c>
      <c r="B2391" s="20">
        <f t="shared" si="190"/>
        <v>0</v>
      </c>
      <c r="C2391" s="21">
        <f t="shared" si="191"/>
        <v>0</v>
      </c>
      <c r="D2391" s="22" t="e">
        <f>VLOOKUP($A2391, TAB_JUROS_U[[Q_DIAS_U_PARC_TIR]:[V_FUT_U_JURS CENARIO]], D$5, FALSE)</f>
        <v>#N/A</v>
      </c>
      <c r="E2391" s="22" t="e">
        <f>VLOOKUP($A2391,TAB_CORRECAO_U[[Q_DIAS_U_PARC_TIR]:[V_FUT_U_CORC-02]],E$5, FALSE)</f>
        <v>#N/A</v>
      </c>
      <c r="F2391" s="22" t="e">
        <f>VLOOKUP($A2391,TAB_AMORTIZACAO_U[[Q_DIAS_U_PARC_TIR]:[V_FUT_U_PCPL-02]], F$5, FALSE)</f>
        <v>#N/A</v>
      </c>
      <c r="H2391" s="20">
        <f t="shared" si="192"/>
        <v>0</v>
      </c>
      <c r="I2391" s="21">
        <f t="shared" si="193"/>
        <v>0</v>
      </c>
      <c r="J2391" s="22" t="e">
        <f>VLOOKUP($A2391, TAB_JUROS_C[[DIAS_CORRIDOS]:[V_FUT_UTEIS]], J$5, FALSE)</f>
        <v>#N/A</v>
      </c>
      <c r="K2391" s="22" t="e">
        <f>VLOOKUP($A2391, TAB_CORRECAO_C[[DIAS_CORRIDOS]:[V_FUT_UTEIS]],K$5, FALSE)</f>
        <v>#N/A</v>
      </c>
      <c r="L2391" s="22" t="e">
        <f>VLOOKUP($A2391, TAB_AMORTIZACAO_C[[DIAS_CORRIDOS]:[V_FUT_UTEIS]], L$5, FALSE)</f>
        <v>#N/A</v>
      </c>
    </row>
    <row r="2392" spans="1:12" hidden="1">
      <c r="A2392" s="19">
        <f t="shared" si="194"/>
        <v>2386</v>
      </c>
      <c r="B2392" s="20">
        <f t="shared" si="190"/>
        <v>0</v>
      </c>
      <c r="C2392" s="21">
        <f t="shared" si="191"/>
        <v>0</v>
      </c>
      <c r="D2392" s="22" t="e">
        <f>VLOOKUP($A2392, TAB_JUROS_U[[Q_DIAS_U_PARC_TIR]:[V_FUT_U_JURS CENARIO]], D$5, FALSE)</f>
        <v>#N/A</v>
      </c>
      <c r="E2392" s="22" t="e">
        <f>VLOOKUP($A2392,TAB_CORRECAO_U[[Q_DIAS_U_PARC_TIR]:[V_FUT_U_CORC-02]],E$5, FALSE)</f>
        <v>#N/A</v>
      </c>
      <c r="F2392" s="22" t="e">
        <f>VLOOKUP($A2392,TAB_AMORTIZACAO_U[[Q_DIAS_U_PARC_TIR]:[V_FUT_U_PCPL-02]], F$5, FALSE)</f>
        <v>#N/A</v>
      </c>
      <c r="H2392" s="20">
        <f t="shared" si="192"/>
        <v>0</v>
      </c>
      <c r="I2392" s="21">
        <f t="shared" si="193"/>
        <v>0</v>
      </c>
      <c r="J2392" s="22" t="e">
        <f>VLOOKUP($A2392, TAB_JUROS_C[[DIAS_CORRIDOS]:[V_FUT_UTEIS]], J$5, FALSE)</f>
        <v>#N/A</v>
      </c>
      <c r="K2392" s="22" t="e">
        <f>VLOOKUP($A2392, TAB_CORRECAO_C[[DIAS_CORRIDOS]:[V_FUT_UTEIS]],K$5, FALSE)</f>
        <v>#N/A</v>
      </c>
      <c r="L2392" s="22" t="e">
        <f>VLOOKUP($A2392, TAB_AMORTIZACAO_C[[DIAS_CORRIDOS]:[V_FUT_UTEIS]], L$5, FALSE)</f>
        <v>#N/A</v>
      </c>
    </row>
    <row r="2393" spans="1:12" hidden="1">
      <c r="A2393" s="19">
        <f t="shared" si="194"/>
        <v>2387</v>
      </c>
      <c r="B2393" s="20">
        <f t="shared" si="190"/>
        <v>0</v>
      </c>
      <c r="C2393" s="21">
        <f t="shared" si="191"/>
        <v>0</v>
      </c>
      <c r="D2393" s="22" t="e">
        <f>VLOOKUP($A2393, TAB_JUROS_U[[Q_DIAS_U_PARC_TIR]:[V_FUT_U_JURS CENARIO]], D$5, FALSE)</f>
        <v>#N/A</v>
      </c>
      <c r="E2393" s="22" t="e">
        <f>VLOOKUP($A2393,TAB_CORRECAO_U[[Q_DIAS_U_PARC_TIR]:[V_FUT_U_CORC-02]],E$5, FALSE)</f>
        <v>#N/A</v>
      </c>
      <c r="F2393" s="22" t="e">
        <f>VLOOKUP($A2393,TAB_AMORTIZACAO_U[[Q_DIAS_U_PARC_TIR]:[V_FUT_U_PCPL-02]], F$5, FALSE)</f>
        <v>#N/A</v>
      </c>
      <c r="H2393" s="20">
        <f t="shared" si="192"/>
        <v>0</v>
      </c>
      <c r="I2393" s="21">
        <f t="shared" si="193"/>
        <v>0</v>
      </c>
      <c r="J2393" s="22" t="e">
        <f>VLOOKUP($A2393, TAB_JUROS_C[[DIAS_CORRIDOS]:[V_FUT_UTEIS]], J$5, FALSE)</f>
        <v>#N/A</v>
      </c>
      <c r="K2393" s="22" t="e">
        <f>VLOOKUP($A2393, TAB_CORRECAO_C[[DIAS_CORRIDOS]:[V_FUT_UTEIS]],K$5, FALSE)</f>
        <v>#N/A</v>
      </c>
      <c r="L2393" s="22" t="e">
        <f>VLOOKUP($A2393, TAB_AMORTIZACAO_C[[DIAS_CORRIDOS]:[V_FUT_UTEIS]], L$5, FALSE)</f>
        <v>#N/A</v>
      </c>
    </row>
    <row r="2394" spans="1:12" hidden="1">
      <c r="A2394" s="19">
        <f t="shared" si="194"/>
        <v>2388</v>
      </c>
      <c r="B2394" s="20">
        <f t="shared" si="190"/>
        <v>0</v>
      </c>
      <c r="C2394" s="21">
        <f t="shared" si="191"/>
        <v>0</v>
      </c>
      <c r="D2394" s="22" t="e">
        <f>VLOOKUP($A2394, TAB_JUROS_U[[Q_DIAS_U_PARC_TIR]:[V_FUT_U_JURS CENARIO]], D$5, FALSE)</f>
        <v>#N/A</v>
      </c>
      <c r="E2394" s="22" t="e">
        <f>VLOOKUP($A2394,TAB_CORRECAO_U[[Q_DIAS_U_PARC_TIR]:[V_FUT_U_CORC-02]],E$5, FALSE)</f>
        <v>#N/A</v>
      </c>
      <c r="F2394" s="22" t="e">
        <f>VLOOKUP($A2394,TAB_AMORTIZACAO_U[[Q_DIAS_U_PARC_TIR]:[V_FUT_U_PCPL-02]], F$5, FALSE)</f>
        <v>#N/A</v>
      </c>
      <c r="H2394" s="20">
        <f t="shared" si="192"/>
        <v>0</v>
      </c>
      <c r="I2394" s="21">
        <f t="shared" si="193"/>
        <v>0</v>
      </c>
      <c r="J2394" s="22" t="e">
        <f>VLOOKUP($A2394, TAB_JUROS_C[[DIAS_CORRIDOS]:[V_FUT_UTEIS]], J$5, FALSE)</f>
        <v>#N/A</v>
      </c>
      <c r="K2394" s="22" t="e">
        <f>VLOOKUP($A2394, TAB_CORRECAO_C[[DIAS_CORRIDOS]:[V_FUT_UTEIS]],K$5, FALSE)</f>
        <v>#N/A</v>
      </c>
      <c r="L2394" s="22" t="e">
        <f>VLOOKUP($A2394, TAB_AMORTIZACAO_C[[DIAS_CORRIDOS]:[V_FUT_UTEIS]], L$5, FALSE)</f>
        <v>#N/A</v>
      </c>
    </row>
    <row r="2395" spans="1:12" hidden="1">
      <c r="A2395" s="19">
        <f t="shared" si="194"/>
        <v>2389</v>
      </c>
      <c r="B2395" s="20">
        <f t="shared" si="190"/>
        <v>0</v>
      </c>
      <c r="C2395" s="21">
        <f t="shared" si="191"/>
        <v>0</v>
      </c>
      <c r="D2395" s="22" t="e">
        <f>VLOOKUP($A2395, TAB_JUROS_U[[Q_DIAS_U_PARC_TIR]:[V_FUT_U_JURS CENARIO]], D$5, FALSE)</f>
        <v>#N/A</v>
      </c>
      <c r="E2395" s="22" t="e">
        <f>VLOOKUP($A2395,TAB_CORRECAO_U[[Q_DIAS_U_PARC_TIR]:[V_FUT_U_CORC-02]],E$5, FALSE)</f>
        <v>#N/A</v>
      </c>
      <c r="F2395" s="22" t="e">
        <f>VLOOKUP($A2395,TAB_AMORTIZACAO_U[[Q_DIAS_U_PARC_TIR]:[V_FUT_U_PCPL-02]], F$5, FALSE)</f>
        <v>#N/A</v>
      </c>
      <c r="H2395" s="20">
        <f t="shared" si="192"/>
        <v>0</v>
      </c>
      <c r="I2395" s="21">
        <f t="shared" si="193"/>
        <v>0</v>
      </c>
      <c r="J2395" s="22" t="e">
        <f>VLOOKUP($A2395, TAB_JUROS_C[[DIAS_CORRIDOS]:[V_FUT_UTEIS]], J$5, FALSE)</f>
        <v>#N/A</v>
      </c>
      <c r="K2395" s="22" t="e">
        <f>VLOOKUP($A2395, TAB_CORRECAO_C[[DIAS_CORRIDOS]:[V_FUT_UTEIS]],K$5, FALSE)</f>
        <v>#N/A</v>
      </c>
      <c r="L2395" s="22" t="e">
        <f>VLOOKUP($A2395, TAB_AMORTIZACAO_C[[DIAS_CORRIDOS]:[V_FUT_UTEIS]], L$5, FALSE)</f>
        <v>#N/A</v>
      </c>
    </row>
    <row r="2396" spans="1:12" hidden="1">
      <c r="A2396" s="19">
        <f t="shared" si="194"/>
        <v>2390</v>
      </c>
      <c r="B2396" s="20">
        <f t="shared" si="190"/>
        <v>0</v>
      </c>
      <c r="C2396" s="21">
        <f t="shared" si="191"/>
        <v>0</v>
      </c>
      <c r="D2396" s="22" t="e">
        <f>VLOOKUP($A2396, TAB_JUROS_U[[Q_DIAS_U_PARC_TIR]:[V_FUT_U_JURS CENARIO]], D$5, FALSE)</f>
        <v>#N/A</v>
      </c>
      <c r="E2396" s="22" t="e">
        <f>VLOOKUP($A2396,TAB_CORRECAO_U[[Q_DIAS_U_PARC_TIR]:[V_FUT_U_CORC-02]],E$5, FALSE)</f>
        <v>#N/A</v>
      </c>
      <c r="F2396" s="22" t="e">
        <f>VLOOKUP($A2396,TAB_AMORTIZACAO_U[[Q_DIAS_U_PARC_TIR]:[V_FUT_U_PCPL-02]], F$5, FALSE)</f>
        <v>#N/A</v>
      </c>
      <c r="H2396" s="20">
        <f t="shared" si="192"/>
        <v>0</v>
      </c>
      <c r="I2396" s="21">
        <f t="shared" si="193"/>
        <v>0</v>
      </c>
      <c r="J2396" s="22" t="e">
        <f>VLOOKUP($A2396, TAB_JUROS_C[[DIAS_CORRIDOS]:[V_FUT_UTEIS]], J$5, FALSE)</f>
        <v>#N/A</v>
      </c>
      <c r="K2396" s="22" t="e">
        <f>VLOOKUP($A2396, TAB_CORRECAO_C[[DIAS_CORRIDOS]:[V_FUT_UTEIS]],K$5, FALSE)</f>
        <v>#N/A</v>
      </c>
      <c r="L2396" s="22" t="e">
        <f>VLOOKUP($A2396, TAB_AMORTIZACAO_C[[DIAS_CORRIDOS]:[V_FUT_UTEIS]], L$5, FALSE)</f>
        <v>#N/A</v>
      </c>
    </row>
    <row r="2397" spans="1:12" hidden="1">
      <c r="A2397" s="19">
        <f t="shared" si="194"/>
        <v>2391</v>
      </c>
      <c r="B2397" s="20">
        <f t="shared" si="190"/>
        <v>0</v>
      </c>
      <c r="C2397" s="21">
        <f t="shared" si="191"/>
        <v>0</v>
      </c>
      <c r="D2397" s="22" t="e">
        <f>VLOOKUP($A2397, TAB_JUROS_U[[Q_DIAS_U_PARC_TIR]:[V_FUT_U_JURS CENARIO]], D$5, FALSE)</f>
        <v>#N/A</v>
      </c>
      <c r="E2397" s="22" t="e">
        <f>VLOOKUP($A2397,TAB_CORRECAO_U[[Q_DIAS_U_PARC_TIR]:[V_FUT_U_CORC-02]],E$5, FALSE)</f>
        <v>#N/A</v>
      </c>
      <c r="F2397" s="22" t="e">
        <f>VLOOKUP($A2397,TAB_AMORTIZACAO_U[[Q_DIAS_U_PARC_TIR]:[V_FUT_U_PCPL-02]], F$5, FALSE)</f>
        <v>#N/A</v>
      </c>
      <c r="H2397" s="20">
        <f t="shared" si="192"/>
        <v>0</v>
      </c>
      <c r="I2397" s="21">
        <f t="shared" si="193"/>
        <v>0</v>
      </c>
      <c r="J2397" s="22" t="e">
        <f>VLOOKUP($A2397, TAB_JUROS_C[[DIAS_CORRIDOS]:[V_FUT_UTEIS]], J$5, FALSE)</f>
        <v>#N/A</v>
      </c>
      <c r="K2397" s="22" t="e">
        <f>VLOOKUP($A2397, TAB_CORRECAO_C[[DIAS_CORRIDOS]:[V_FUT_UTEIS]],K$5, FALSE)</f>
        <v>#N/A</v>
      </c>
      <c r="L2397" s="22" t="e">
        <f>VLOOKUP($A2397, TAB_AMORTIZACAO_C[[DIAS_CORRIDOS]:[V_FUT_UTEIS]], L$5, FALSE)</f>
        <v>#N/A</v>
      </c>
    </row>
    <row r="2398" spans="1:12" hidden="1">
      <c r="A2398" s="19">
        <f t="shared" si="194"/>
        <v>2392</v>
      </c>
      <c r="B2398" s="20">
        <f t="shared" si="190"/>
        <v>0</v>
      </c>
      <c r="C2398" s="21">
        <f t="shared" si="191"/>
        <v>0</v>
      </c>
      <c r="D2398" s="22" t="e">
        <f>VLOOKUP($A2398, TAB_JUROS_U[[Q_DIAS_U_PARC_TIR]:[V_FUT_U_JURS CENARIO]], D$5, FALSE)</f>
        <v>#N/A</v>
      </c>
      <c r="E2398" s="22" t="e">
        <f>VLOOKUP($A2398,TAB_CORRECAO_U[[Q_DIAS_U_PARC_TIR]:[V_FUT_U_CORC-02]],E$5, FALSE)</f>
        <v>#N/A</v>
      </c>
      <c r="F2398" s="22" t="e">
        <f>VLOOKUP($A2398,TAB_AMORTIZACAO_U[[Q_DIAS_U_PARC_TIR]:[V_FUT_U_PCPL-02]], F$5, FALSE)</f>
        <v>#N/A</v>
      </c>
      <c r="H2398" s="20">
        <f t="shared" si="192"/>
        <v>0</v>
      </c>
      <c r="I2398" s="21">
        <f t="shared" si="193"/>
        <v>0</v>
      </c>
      <c r="J2398" s="22" t="e">
        <f>VLOOKUP($A2398, TAB_JUROS_C[[DIAS_CORRIDOS]:[V_FUT_UTEIS]], J$5, FALSE)</f>
        <v>#N/A</v>
      </c>
      <c r="K2398" s="22" t="e">
        <f>VLOOKUP($A2398, TAB_CORRECAO_C[[DIAS_CORRIDOS]:[V_FUT_UTEIS]],K$5, FALSE)</f>
        <v>#N/A</v>
      </c>
      <c r="L2398" s="22" t="e">
        <f>VLOOKUP($A2398, TAB_AMORTIZACAO_C[[DIAS_CORRIDOS]:[V_FUT_UTEIS]], L$5, FALSE)</f>
        <v>#N/A</v>
      </c>
    </row>
    <row r="2399" spans="1:12" hidden="1">
      <c r="A2399" s="19">
        <f t="shared" si="194"/>
        <v>2393</v>
      </c>
      <c r="B2399" s="20">
        <f t="shared" si="190"/>
        <v>0</v>
      </c>
      <c r="C2399" s="21">
        <f t="shared" si="191"/>
        <v>0</v>
      </c>
      <c r="D2399" s="22" t="e">
        <f>VLOOKUP($A2399, TAB_JUROS_U[[Q_DIAS_U_PARC_TIR]:[V_FUT_U_JURS CENARIO]], D$5, FALSE)</f>
        <v>#N/A</v>
      </c>
      <c r="E2399" s="22" t="e">
        <f>VLOOKUP($A2399,TAB_CORRECAO_U[[Q_DIAS_U_PARC_TIR]:[V_FUT_U_CORC-02]],E$5, FALSE)</f>
        <v>#N/A</v>
      </c>
      <c r="F2399" s="22" t="e">
        <f>VLOOKUP($A2399,TAB_AMORTIZACAO_U[[Q_DIAS_U_PARC_TIR]:[V_FUT_U_PCPL-02]], F$5, FALSE)</f>
        <v>#N/A</v>
      </c>
      <c r="H2399" s="20">
        <f t="shared" si="192"/>
        <v>0</v>
      </c>
      <c r="I2399" s="21">
        <f t="shared" si="193"/>
        <v>0</v>
      </c>
      <c r="J2399" s="22" t="e">
        <f>VLOOKUP($A2399, TAB_JUROS_C[[DIAS_CORRIDOS]:[V_FUT_UTEIS]], J$5, FALSE)</f>
        <v>#N/A</v>
      </c>
      <c r="K2399" s="22" t="e">
        <f>VLOOKUP($A2399, TAB_CORRECAO_C[[DIAS_CORRIDOS]:[V_FUT_UTEIS]],K$5, FALSE)</f>
        <v>#N/A</v>
      </c>
      <c r="L2399" s="22" t="e">
        <f>VLOOKUP($A2399, TAB_AMORTIZACAO_C[[DIAS_CORRIDOS]:[V_FUT_UTEIS]], L$5, FALSE)</f>
        <v>#N/A</v>
      </c>
    </row>
    <row r="2400" spans="1:12">
      <c r="A2400" s="19">
        <f t="shared" si="194"/>
        <v>2394</v>
      </c>
      <c r="B2400" s="20">
        <f t="shared" si="190"/>
        <v>185.70610293407077</v>
      </c>
      <c r="C2400" s="21">
        <f t="shared" si="191"/>
        <v>185.70610293407077</v>
      </c>
      <c r="D2400" s="22">
        <f>VLOOKUP($A2400, TAB_JUROS_U[[Q_DIAS_U_PARC_TIR]:[V_FUT_U_JURS CENARIO]], D$5, FALSE)</f>
        <v>7.5066104739287125</v>
      </c>
      <c r="E2400" s="22">
        <f>VLOOKUP($A2400,TAB_CORRECAO_U[[Q_DIAS_U_PARC_TIR]:[V_FUT_U_CORC-02]],E$5, FALSE)</f>
        <v>44.691640879632523</v>
      </c>
      <c r="F2400" s="22">
        <f>VLOOKUP($A2400,TAB_AMORTIZACAO_U[[Q_DIAS_U_PARC_TIR]:[V_FUT_U_PCPL-02]], F$5, FALSE)</f>
        <v>133.50785158050954</v>
      </c>
      <c r="H2400" s="20">
        <f t="shared" si="192"/>
        <v>0</v>
      </c>
      <c r="I2400" s="21">
        <f t="shared" si="193"/>
        <v>0</v>
      </c>
      <c r="J2400" s="22" t="e">
        <f>VLOOKUP($A2400, TAB_JUROS_C[[DIAS_CORRIDOS]:[V_FUT_UTEIS]], J$5, FALSE)</f>
        <v>#N/A</v>
      </c>
      <c r="K2400" s="22" t="e">
        <f>VLOOKUP($A2400, TAB_CORRECAO_C[[DIAS_CORRIDOS]:[V_FUT_UTEIS]],K$5, FALSE)</f>
        <v>#N/A</v>
      </c>
      <c r="L2400" s="22" t="e">
        <f>VLOOKUP($A2400, TAB_AMORTIZACAO_C[[DIAS_CORRIDOS]:[V_FUT_UTEIS]], L$5, FALSE)</f>
        <v>#N/A</v>
      </c>
    </row>
    <row r="2401" spans="1:12" hidden="1">
      <c r="A2401" s="19">
        <f t="shared" si="194"/>
        <v>2395</v>
      </c>
      <c r="B2401" s="20">
        <f t="shared" si="190"/>
        <v>0</v>
      </c>
      <c r="C2401" s="21">
        <f t="shared" si="191"/>
        <v>0</v>
      </c>
      <c r="D2401" s="22" t="e">
        <f>VLOOKUP($A2401, TAB_JUROS_U[[Q_DIAS_U_PARC_TIR]:[V_FUT_U_JURS CENARIO]], D$5, FALSE)</f>
        <v>#N/A</v>
      </c>
      <c r="E2401" s="22" t="e">
        <f>VLOOKUP($A2401,TAB_CORRECAO_U[[Q_DIAS_U_PARC_TIR]:[V_FUT_U_CORC-02]],E$5, FALSE)</f>
        <v>#N/A</v>
      </c>
      <c r="F2401" s="22" t="e">
        <f>VLOOKUP($A2401,TAB_AMORTIZACAO_U[[Q_DIAS_U_PARC_TIR]:[V_FUT_U_PCPL-02]], F$5, FALSE)</f>
        <v>#N/A</v>
      </c>
      <c r="H2401" s="20">
        <f t="shared" si="192"/>
        <v>0</v>
      </c>
      <c r="I2401" s="21">
        <f t="shared" si="193"/>
        <v>0</v>
      </c>
      <c r="J2401" s="22" t="e">
        <f>VLOOKUP($A2401, TAB_JUROS_C[[DIAS_CORRIDOS]:[V_FUT_UTEIS]], J$5, FALSE)</f>
        <v>#N/A</v>
      </c>
      <c r="K2401" s="22" t="e">
        <f>VLOOKUP($A2401, TAB_CORRECAO_C[[DIAS_CORRIDOS]:[V_FUT_UTEIS]],K$5, FALSE)</f>
        <v>#N/A</v>
      </c>
      <c r="L2401" s="22" t="e">
        <f>VLOOKUP($A2401, TAB_AMORTIZACAO_C[[DIAS_CORRIDOS]:[V_FUT_UTEIS]], L$5, FALSE)</f>
        <v>#N/A</v>
      </c>
    </row>
    <row r="2402" spans="1:12" hidden="1">
      <c r="A2402" s="19">
        <f t="shared" si="194"/>
        <v>2396</v>
      </c>
      <c r="B2402" s="20">
        <f t="shared" si="190"/>
        <v>0</v>
      </c>
      <c r="C2402" s="21">
        <f t="shared" si="191"/>
        <v>0</v>
      </c>
      <c r="D2402" s="22" t="e">
        <f>VLOOKUP($A2402, TAB_JUROS_U[[Q_DIAS_U_PARC_TIR]:[V_FUT_U_JURS CENARIO]], D$5, FALSE)</f>
        <v>#N/A</v>
      </c>
      <c r="E2402" s="22" t="e">
        <f>VLOOKUP($A2402,TAB_CORRECAO_U[[Q_DIAS_U_PARC_TIR]:[V_FUT_U_CORC-02]],E$5, FALSE)</f>
        <v>#N/A</v>
      </c>
      <c r="F2402" s="22" t="e">
        <f>VLOOKUP($A2402,TAB_AMORTIZACAO_U[[Q_DIAS_U_PARC_TIR]:[V_FUT_U_PCPL-02]], F$5, FALSE)</f>
        <v>#N/A</v>
      </c>
      <c r="H2402" s="20">
        <f t="shared" si="192"/>
        <v>0</v>
      </c>
      <c r="I2402" s="21">
        <f t="shared" si="193"/>
        <v>0</v>
      </c>
      <c r="J2402" s="22" t="e">
        <f>VLOOKUP($A2402, TAB_JUROS_C[[DIAS_CORRIDOS]:[V_FUT_UTEIS]], J$5, FALSE)</f>
        <v>#N/A</v>
      </c>
      <c r="K2402" s="22" t="e">
        <f>VLOOKUP($A2402, TAB_CORRECAO_C[[DIAS_CORRIDOS]:[V_FUT_UTEIS]],K$5, FALSE)</f>
        <v>#N/A</v>
      </c>
      <c r="L2402" s="22" t="e">
        <f>VLOOKUP($A2402, TAB_AMORTIZACAO_C[[DIAS_CORRIDOS]:[V_FUT_UTEIS]], L$5, FALSE)</f>
        <v>#N/A</v>
      </c>
    </row>
    <row r="2403" spans="1:12" hidden="1">
      <c r="A2403" s="19">
        <f t="shared" si="194"/>
        <v>2397</v>
      </c>
      <c r="B2403" s="20">
        <f t="shared" si="190"/>
        <v>0</v>
      </c>
      <c r="C2403" s="21">
        <f t="shared" si="191"/>
        <v>0</v>
      </c>
      <c r="D2403" s="22" t="e">
        <f>VLOOKUP($A2403, TAB_JUROS_U[[Q_DIAS_U_PARC_TIR]:[V_FUT_U_JURS CENARIO]], D$5, FALSE)</f>
        <v>#N/A</v>
      </c>
      <c r="E2403" s="22" t="e">
        <f>VLOOKUP($A2403,TAB_CORRECAO_U[[Q_DIAS_U_PARC_TIR]:[V_FUT_U_CORC-02]],E$5, FALSE)</f>
        <v>#N/A</v>
      </c>
      <c r="F2403" s="22" t="e">
        <f>VLOOKUP($A2403,TAB_AMORTIZACAO_U[[Q_DIAS_U_PARC_TIR]:[V_FUT_U_PCPL-02]], F$5, FALSE)</f>
        <v>#N/A</v>
      </c>
      <c r="H2403" s="20">
        <f t="shared" si="192"/>
        <v>0</v>
      </c>
      <c r="I2403" s="21">
        <f t="shared" si="193"/>
        <v>0</v>
      </c>
      <c r="J2403" s="22" t="e">
        <f>VLOOKUP($A2403, TAB_JUROS_C[[DIAS_CORRIDOS]:[V_FUT_UTEIS]], J$5, FALSE)</f>
        <v>#N/A</v>
      </c>
      <c r="K2403" s="22" t="e">
        <f>VLOOKUP($A2403, TAB_CORRECAO_C[[DIAS_CORRIDOS]:[V_FUT_UTEIS]],K$5, FALSE)</f>
        <v>#N/A</v>
      </c>
      <c r="L2403" s="22" t="e">
        <f>VLOOKUP($A2403, TAB_AMORTIZACAO_C[[DIAS_CORRIDOS]:[V_FUT_UTEIS]], L$5, FALSE)</f>
        <v>#N/A</v>
      </c>
    </row>
    <row r="2404" spans="1:12" hidden="1">
      <c r="A2404" s="19">
        <f t="shared" si="194"/>
        <v>2398</v>
      </c>
      <c r="B2404" s="20">
        <f t="shared" si="190"/>
        <v>0</v>
      </c>
      <c r="C2404" s="21">
        <f t="shared" si="191"/>
        <v>0</v>
      </c>
      <c r="D2404" s="22" t="e">
        <f>VLOOKUP($A2404, TAB_JUROS_U[[Q_DIAS_U_PARC_TIR]:[V_FUT_U_JURS CENARIO]], D$5, FALSE)</f>
        <v>#N/A</v>
      </c>
      <c r="E2404" s="22" t="e">
        <f>VLOOKUP($A2404,TAB_CORRECAO_U[[Q_DIAS_U_PARC_TIR]:[V_FUT_U_CORC-02]],E$5, FALSE)</f>
        <v>#N/A</v>
      </c>
      <c r="F2404" s="22" t="e">
        <f>VLOOKUP($A2404,TAB_AMORTIZACAO_U[[Q_DIAS_U_PARC_TIR]:[V_FUT_U_PCPL-02]], F$5, FALSE)</f>
        <v>#N/A</v>
      </c>
      <c r="H2404" s="20">
        <f t="shared" si="192"/>
        <v>0</v>
      </c>
      <c r="I2404" s="21">
        <f t="shared" si="193"/>
        <v>0</v>
      </c>
      <c r="J2404" s="22" t="e">
        <f>VLOOKUP($A2404, TAB_JUROS_C[[DIAS_CORRIDOS]:[V_FUT_UTEIS]], J$5, FALSE)</f>
        <v>#N/A</v>
      </c>
      <c r="K2404" s="22" t="e">
        <f>VLOOKUP($A2404, TAB_CORRECAO_C[[DIAS_CORRIDOS]:[V_FUT_UTEIS]],K$5, FALSE)</f>
        <v>#N/A</v>
      </c>
      <c r="L2404" s="22" t="e">
        <f>VLOOKUP($A2404, TAB_AMORTIZACAO_C[[DIAS_CORRIDOS]:[V_FUT_UTEIS]], L$5, FALSE)</f>
        <v>#N/A</v>
      </c>
    </row>
    <row r="2405" spans="1:12" hidden="1">
      <c r="A2405" s="19">
        <f t="shared" si="194"/>
        <v>2399</v>
      </c>
      <c r="B2405" s="20">
        <f t="shared" si="190"/>
        <v>0</v>
      </c>
      <c r="C2405" s="21">
        <f t="shared" si="191"/>
        <v>0</v>
      </c>
      <c r="D2405" s="22" t="e">
        <f>VLOOKUP($A2405, TAB_JUROS_U[[Q_DIAS_U_PARC_TIR]:[V_FUT_U_JURS CENARIO]], D$5, FALSE)</f>
        <v>#N/A</v>
      </c>
      <c r="E2405" s="22" t="e">
        <f>VLOOKUP($A2405,TAB_CORRECAO_U[[Q_DIAS_U_PARC_TIR]:[V_FUT_U_CORC-02]],E$5, FALSE)</f>
        <v>#N/A</v>
      </c>
      <c r="F2405" s="22" t="e">
        <f>VLOOKUP($A2405,TAB_AMORTIZACAO_U[[Q_DIAS_U_PARC_TIR]:[V_FUT_U_PCPL-02]], F$5, FALSE)</f>
        <v>#N/A</v>
      </c>
      <c r="H2405" s="20">
        <f t="shared" si="192"/>
        <v>0</v>
      </c>
      <c r="I2405" s="21">
        <f t="shared" si="193"/>
        <v>0</v>
      </c>
      <c r="J2405" s="22" t="e">
        <f>VLOOKUP($A2405, TAB_JUROS_C[[DIAS_CORRIDOS]:[V_FUT_UTEIS]], J$5, FALSE)</f>
        <v>#N/A</v>
      </c>
      <c r="K2405" s="22" t="e">
        <f>VLOOKUP($A2405, TAB_CORRECAO_C[[DIAS_CORRIDOS]:[V_FUT_UTEIS]],K$5, FALSE)</f>
        <v>#N/A</v>
      </c>
      <c r="L2405" s="22" t="e">
        <f>VLOOKUP($A2405, TAB_AMORTIZACAO_C[[DIAS_CORRIDOS]:[V_FUT_UTEIS]], L$5, FALSE)</f>
        <v>#N/A</v>
      </c>
    </row>
    <row r="2406" spans="1:12" hidden="1">
      <c r="A2406" s="19">
        <f t="shared" si="194"/>
        <v>2400</v>
      </c>
      <c r="B2406" s="20">
        <f t="shared" si="190"/>
        <v>0</v>
      </c>
      <c r="C2406" s="21">
        <f t="shared" si="191"/>
        <v>0</v>
      </c>
      <c r="D2406" s="22" t="e">
        <f>VLOOKUP($A2406, TAB_JUROS_U[[Q_DIAS_U_PARC_TIR]:[V_FUT_U_JURS CENARIO]], D$5, FALSE)</f>
        <v>#N/A</v>
      </c>
      <c r="E2406" s="22" t="e">
        <f>VLOOKUP($A2406,TAB_CORRECAO_U[[Q_DIAS_U_PARC_TIR]:[V_FUT_U_CORC-02]],E$5, FALSE)</f>
        <v>#N/A</v>
      </c>
      <c r="F2406" s="22" t="e">
        <f>VLOOKUP($A2406,TAB_AMORTIZACAO_U[[Q_DIAS_U_PARC_TIR]:[V_FUT_U_PCPL-02]], F$5, FALSE)</f>
        <v>#N/A</v>
      </c>
      <c r="H2406" s="20">
        <f t="shared" si="192"/>
        <v>0</v>
      </c>
      <c r="I2406" s="21">
        <f t="shared" si="193"/>
        <v>0</v>
      </c>
      <c r="J2406" s="22" t="e">
        <f>VLOOKUP($A2406, TAB_JUROS_C[[DIAS_CORRIDOS]:[V_FUT_UTEIS]], J$5, FALSE)</f>
        <v>#N/A</v>
      </c>
      <c r="K2406" s="22" t="e">
        <f>VLOOKUP($A2406, TAB_CORRECAO_C[[DIAS_CORRIDOS]:[V_FUT_UTEIS]],K$5, FALSE)</f>
        <v>#N/A</v>
      </c>
      <c r="L2406" s="22" t="e">
        <f>VLOOKUP($A2406, TAB_AMORTIZACAO_C[[DIAS_CORRIDOS]:[V_FUT_UTEIS]], L$5, FALSE)</f>
        <v>#N/A</v>
      </c>
    </row>
    <row r="2407" spans="1:12" hidden="1">
      <c r="A2407" s="19">
        <f t="shared" si="194"/>
        <v>2401</v>
      </c>
      <c r="B2407" s="20">
        <f t="shared" si="190"/>
        <v>0</v>
      </c>
      <c r="C2407" s="21">
        <f t="shared" si="191"/>
        <v>0</v>
      </c>
      <c r="D2407" s="22" t="e">
        <f>VLOOKUP($A2407, TAB_JUROS_U[[Q_DIAS_U_PARC_TIR]:[V_FUT_U_JURS CENARIO]], D$5, FALSE)</f>
        <v>#N/A</v>
      </c>
      <c r="E2407" s="22" t="e">
        <f>VLOOKUP($A2407,TAB_CORRECAO_U[[Q_DIAS_U_PARC_TIR]:[V_FUT_U_CORC-02]],E$5, FALSE)</f>
        <v>#N/A</v>
      </c>
      <c r="F2407" s="22" t="e">
        <f>VLOOKUP($A2407,TAB_AMORTIZACAO_U[[Q_DIAS_U_PARC_TIR]:[V_FUT_U_PCPL-02]], F$5, FALSE)</f>
        <v>#N/A</v>
      </c>
      <c r="H2407" s="20">
        <f t="shared" si="192"/>
        <v>0</v>
      </c>
      <c r="I2407" s="21">
        <f t="shared" si="193"/>
        <v>0</v>
      </c>
      <c r="J2407" s="22" t="e">
        <f>VLOOKUP($A2407, TAB_JUROS_C[[DIAS_CORRIDOS]:[V_FUT_UTEIS]], J$5, FALSE)</f>
        <v>#N/A</v>
      </c>
      <c r="K2407" s="22" t="e">
        <f>VLOOKUP($A2407, TAB_CORRECAO_C[[DIAS_CORRIDOS]:[V_FUT_UTEIS]],K$5, FALSE)</f>
        <v>#N/A</v>
      </c>
      <c r="L2407" s="22" t="e">
        <f>VLOOKUP($A2407, TAB_AMORTIZACAO_C[[DIAS_CORRIDOS]:[V_FUT_UTEIS]], L$5, FALSE)</f>
        <v>#N/A</v>
      </c>
    </row>
    <row r="2408" spans="1:12" hidden="1">
      <c r="A2408" s="19">
        <f t="shared" si="194"/>
        <v>2402</v>
      </c>
      <c r="B2408" s="20">
        <f t="shared" si="190"/>
        <v>0</v>
      </c>
      <c r="C2408" s="21">
        <f t="shared" si="191"/>
        <v>0</v>
      </c>
      <c r="D2408" s="22" t="e">
        <f>VLOOKUP($A2408, TAB_JUROS_U[[Q_DIAS_U_PARC_TIR]:[V_FUT_U_JURS CENARIO]], D$5, FALSE)</f>
        <v>#N/A</v>
      </c>
      <c r="E2408" s="22" t="e">
        <f>VLOOKUP($A2408,TAB_CORRECAO_U[[Q_DIAS_U_PARC_TIR]:[V_FUT_U_CORC-02]],E$5, FALSE)</f>
        <v>#N/A</v>
      </c>
      <c r="F2408" s="22" t="e">
        <f>VLOOKUP($A2408,TAB_AMORTIZACAO_U[[Q_DIAS_U_PARC_TIR]:[V_FUT_U_PCPL-02]], F$5, FALSE)</f>
        <v>#N/A</v>
      </c>
      <c r="H2408" s="20">
        <f t="shared" si="192"/>
        <v>0</v>
      </c>
      <c r="I2408" s="21">
        <f t="shared" si="193"/>
        <v>0</v>
      </c>
      <c r="J2408" s="22" t="e">
        <f>VLOOKUP($A2408, TAB_JUROS_C[[DIAS_CORRIDOS]:[V_FUT_UTEIS]], J$5, FALSE)</f>
        <v>#N/A</v>
      </c>
      <c r="K2408" s="22" t="e">
        <f>VLOOKUP($A2408, TAB_CORRECAO_C[[DIAS_CORRIDOS]:[V_FUT_UTEIS]],K$5, FALSE)</f>
        <v>#N/A</v>
      </c>
      <c r="L2408" s="22" t="e">
        <f>VLOOKUP($A2408, TAB_AMORTIZACAO_C[[DIAS_CORRIDOS]:[V_FUT_UTEIS]], L$5, FALSE)</f>
        <v>#N/A</v>
      </c>
    </row>
    <row r="2409" spans="1:12" hidden="1">
      <c r="A2409" s="19">
        <f t="shared" si="194"/>
        <v>2403</v>
      </c>
      <c r="B2409" s="20">
        <f t="shared" si="190"/>
        <v>0</v>
      </c>
      <c r="C2409" s="21">
        <f t="shared" si="191"/>
        <v>0</v>
      </c>
      <c r="D2409" s="22" t="e">
        <f>VLOOKUP($A2409, TAB_JUROS_U[[Q_DIAS_U_PARC_TIR]:[V_FUT_U_JURS CENARIO]], D$5, FALSE)</f>
        <v>#N/A</v>
      </c>
      <c r="E2409" s="22" t="e">
        <f>VLOOKUP($A2409,TAB_CORRECAO_U[[Q_DIAS_U_PARC_TIR]:[V_FUT_U_CORC-02]],E$5, FALSE)</f>
        <v>#N/A</v>
      </c>
      <c r="F2409" s="22" t="e">
        <f>VLOOKUP($A2409,TAB_AMORTIZACAO_U[[Q_DIAS_U_PARC_TIR]:[V_FUT_U_PCPL-02]], F$5, FALSE)</f>
        <v>#N/A</v>
      </c>
      <c r="H2409" s="20">
        <f t="shared" si="192"/>
        <v>0</v>
      </c>
      <c r="I2409" s="21">
        <f t="shared" si="193"/>
        <v>0</v>
      </c>
      <c r="J2409" s="22" t="e">
        <f>VLOOKUP($A2409, TAB_JUROS_C[[DIAS_CORRIDOS]:[V_FUT_UTEIS]], J$5, FALSE)</f>
        <v>#N/A</v>
      </c>
      <c r="K2409" s="22" t="e">
        <f>VLOOKUP($A2409, TAB_CORRECAO_C[[DIAS_CORRIDOS]:[V_FUT_UTEIS]],K$5, FALSE)</f>
        <v>#N/A</v>
      </c>
      <c r="L2409" s="22" t="e">
        <f>VLOOKUP($A2409, TAB_AMORTIZACAO_C[[DIAS_CORRIDOS]:[V_FUT_UTEIS]], L$5, FALSE)</f>
        <v>#N/A</v>
      </c>
    </row>
    <row r="2410" spans="1:12" hidden="1">
      <c r="A2410" s="19">
        <f t="shared" si="194"/>
        <v>2404</v>
      </c>
      <c r="B2410" s="20">
        <f t="shared" si="190"/>
        <v>0</v>
      </c>
      <c r="C2410" s="21">
        <f t="shared" si="191"/>
        <v>0</v>
      </c>
      <c r="D2410" s="22" t="e">
        <f>VLOOKUP($A2410, TAB_JUROS_U[[Q_DIAS_U_PARC_TIR]:[V_FUT_U_JURS CENARIO]], D$5, FALSE)</f>
        <v>#N/A</v>
      </c>
      <c r="E2410" s="22" t="e">
        <f>VLOOKUP($A2410,TAB_CORRECAO_U[[Q_DIAS_U_PARC_TIR]:[V_FUT_U_CORC-02]],E$5, FALSE)</f>
        <v>#N/A</v>
      </c>
      <c r="F2410" s="22" t="e">
        <f>VLOOKUP($A2410,TAB_AMORTIZACAO_U[[Q_DIAS_U_PARC_TIR]:[V_FUT_U_PCPL-02]], F$5, FALSE)</f>
        <v>#N/A</v>
      </c>
      <c r="H2410" s="20">
        <f t="shared" si="192"/>
        <v>0</v>
      </c>
      <c r="I2410" s="21">
        <f t="shared" si="193"/>
        <v>0</v>
      </c>
      <c r="J2410" s="22" t="e">
        <f>VLOOKUP($A2410, TAB_JUROS_C[[DIAS_CORRIDOS]:[V_FUT_UTEIS]], J$5, FALSE)</f>
        <v>#N/A</v>
      </c>
      <c r="K2410" s="22" t="e">
        <f>VLOOKUP($A2410, TAB_CORRECAO_C[[DIAS_CORRIDOS]:[V_FUT_UTEIS]],K$5, FALSE)</f>
        <v>#N/A</v>
      </c>
      <c r="L2410" s="22" t="e">
        <f>VLOOKUP($A2410, TAB_AMORTIZACAO_C[[DIAS_CORRIDOS]:[V_FUT_UTEIS]], L$5, FALSE)</f>
        <v>#N/A</v>
      </c>
    </row>
    <row r="2411" spans="1:12" hidden="1">
      <c r="A2411" s="19">
        <f t="shared" si="194"/>
        <v>2405</v>
      </c>
      <c r="B2411" s="20">
        <f t="shared" si="190"/>
        <v>0</v>
      </c>
      <c r="C2411" s="21">
        <f t="shared" si="191"/>
        <v>0</v>
      </c>
      <c r="D2411" s="22" t="e">
        <f>VLOOKUP($A2411, TAB_JUROS_U[[Q_DIAS_U_PARC_TIR]:[V_FUT_U_JURS CENARIO]], D$5, FALSE)</f>
        <v>#N/A</v>
      </c>
      <c r="E2411" s="22" t="e">
        <f>VLOOKUP($A2411,TAB_CORRECAO_U[[Q_DIAS_U_PARC_TIR]:[V_FUT_U_CORC-02]],E$5, FALSE)</f>
        <v>#N/A</v>
      </c>
      <c r="F2411" s="22" t="e">
        <f>VLOOKUP($A2411,TAB_AMORTIZACAO_U[[Q_DIAS_U_PARC_TIR]:[V_FUT_U_PCPL-02]], F$5, FALSE)</f>
        <v>#N/A</v>
      </c>
      <c r="H2411" s="20">
        <f t="shared" si="192"/>
        <v>0</v>
      </c>
      <c r="I2411" s="21">
        <f t="shared" si="193"/>
        <v>0</v>
      </c>
      <c r="J2411" s="22" t="e">
        <f>VLOOKUP($A2411, TAB_JUROS_C[[DIAS_CORRIDOS]:[V_FUT_UTEIS]], J$5, FALSE)</f>
        <v>#N/A</v>
      </c>
      <c r="K2411" s="22" t="e">
        <f>VLOOKUP($A2411, TAB_CORRECAO_C[[DIAS_CORRIDOS]:[V_FUT_UTEIS]],K$5, FALSE)</f>
        <v>#N/A</v>
      </c>
      <c r="L2411" s="22" t="e">
        <f>VLOOKUP($A2411, TAB_AMORTIZACAO_C[[DIAS_CORRIDOS]:[V_FUT_UTEIS]], L$5, FALSE)</f>
        <v>#N/A</v>
      </c>
    </row>
    <row r="2412" spans="1:12" hidden="1">
      <c r="A2412" s="19">
        <f t="shared" si="194"/>
        <v>2406</v>
      </c>
      <c r="B2412" s="20">
        <f t="shared" si="190"/>
        <v>0</v>
      </c>
      <c r="C2412" s="21">
        <f t="shared" si="191"/>
        <v>0</v>
      </c>
      <c r="D2412" s="22" t="e">
        <f>VLOOKUP($A2412, TAB_JUROS_U[[Q_DIAS_U_PARC_TIR]:[V_FUT_U_JURS CENARIO]], D$5, FALSE)</f>
        <v>#N/A</v>
      </c>
      <c r="E2412" s="22" t="e">
        <f>VLOOKUP($A2412,TAB_CORRECAO_U[[Q_DIAS_U_PARC_TIR]:[V_FUT_U_CORC-02]],E$5, FALSE)</f>
        <v>#N/A</v>
      </c>
      <c r="F2412" s="22" t="e">
        <f>VLOOKUP($A2412,TAB_AMORTIZACAO_U[[Q_DIAS_U_PARC_TIR]:[V_FUT_U_PCPL-02]], F$5, FALSE)</f>
        <v>#N/A</v>
      </c>
      <c r="H2412" s="20">
        <f t="shared" si="192"/>
        <v>0</v>
      </c>
      <c r="I2412" s="21">
        <f t="shared" si="193"/>
        <v>0</v>
      </c>
      <c r="J2412" s="22" t="e">
        <f>VLOOKUP($A2412, TAB_JUROS_C[[DIAS_CORRIDOS]:[V_FUT_UTEIS]], J$5, FALSE)</f>
        <v>#N/A</v>
      </c>
      <c r="K2412" s="22" t="e">
        <f>VLOOKUP($A2412, TAB_CORRECAO_C[[DIAS_CORRIDOS]:[V_FUT_UTEIS]],K$5, FALSE)</f>
        <v>#N/A</v>
      </c>
      <c r="L2412" s="22" t="e">
        <f>VLOOKUP($A2412, TAB_AMORTIZACAO_C[[DIAS_CORRIDOS]:[V_FUT_UTEIS]], L$5, FALSE)</f>
        <v>#N/A</v>
      </c>
    </row>
    <row r="2413" spans="1:12" hidden="1">
      <c r="A2413" s="19">
        <f t="shared" si="194"/>
        <v>2407</v>
      </c>
      <c r="B2413" s="20">
        <f t="shared" si="190"/>
        <v>0</v>
      </c>
      <c r="C2413" s="21">
        <f t="shared" si="191"/>
        <v>0</v>
      </c>
      <c r="D2413" s="22" t="e">
        <f>VLOOKUP($A2413, TAB_JUROS_U[[Q_DIAS_U_PARC_TIR]:[V_FUT_U_JURS CENARIO]], D$5, FALSE)</f>
        <v>#N/A</v>
      </c>
      <c r="E2413" s="22" t="e">
        <f>VLOOKUP($A2413,TAB_CORRECAO_U[[Q_DIAS_U_PARC_TIR]:[V_FUT_U_CORC-02]],E$5, FALSE)</f>
        <v>#N/A</v>
      </c>
      <c r="F2413" s="22" t="e">
        <f>VLOOKUP($A2413,TAB_AMORTIZACAO_U[[Q_DIAS_U_PARC_TIR]:[V_FUT_U_PCPL-02]], F$5, FALSE)</f>
        <v>#N/A</v>
      </c>
      <c r="H2413" s="20">
        <f t="shared" si="192"/>
        <v>0</v>
      </c>
      <c r="I2413" s="21">
        <f t="shared" si="193"/>
        <v>0</v>
      </c>
      <c r="J2413" s="22" t="e">
        <f>VLOOKUP($A2413, TAB_JUROS_C[[DIAS_CORRIDOS]:[V_FUT_UTEIS]], J$5, FALSE)</f>
        <v>#N/A</v>
      </c>
      <c r="K2413" s="22" t="e">
        <f>VLOOKUP($A2413, TAB_CORRECAO_C[[DIAS_CORRIDOS]:[V_FUT_UTEIS]],K$5, FALSE)</f>
        <v>#N/A</v>
      </c>
      <c r="L2413" s="22" t="e">
        <f>VLOOKUP($A2413, TAB_AMORTIZACAO_C[[DIAS_CORRIDOS]:[V_FUT_UTEIS]], L$5, FALSE)</f>
        <v>#N/A</v>
      </c>
    </row>
    <row r="2414" spans="1:12" hidden="1">
      <c r="A2414" s="19">
        <f t="shared" si="194"/>
        <v>2408</v>
      </c>
      <c r="B2414" s="20">
        <f t="shared" si="190"/>
        <v>0</v>
      </c>
      <c r="C2414" s="21">
        <f t="shared" si="191"/>
        <v>0</v>
      </c>
      <c r="D2414" s="22" t="e">
        <f>VLOOKUP($A2414, TAB_JUROS_U[[Q_DIAS_U_PARC_TIR]:[V_FUT_U_JURS CENARIO]], D$5, FALSE)</f>
        <v>#N/A</v>
      </c>
      <c r="E2414" s="22" t="e">
        <f>VLOOKUP($A2414,TAB_CORRECAO_U[[Q_DIAS_U_PARC_TIR]:[V_FUT_U_CORC-02]],E$5, FALSE)</f>
        <v>#N/A</v>
      </c>
      <c r="F2414" s="22" t="e">
        <f>VLOOKUP($A2414,TAB_AMORTIZACAO_U[[Q_DIAS_U_PARC_TIR]:[V_FUT_U_PCPL-02]], F$5, FALSE)</f>
        <v>#N/A</v>
      </c>
      <c r="H2414" s="20">
        <f t="shared" si="192"/>
        <v>0</v>
      </c>
      <c r="I2414" s="21">
        <f t="shared" si="193"/>
        <v>0</v>
      </c>
      <c r="J2414" s="22" t="e">
        <f>VLOOKUP($A2414, TAB_JUROS_C[[DIAS_CORRIDOS]:[V_FUT_UTEIS]], J$5, FALSE)</f>
        <v>#N/A</v>
      </c>
      <c r="K2414" s="22" t="e">
        <f>VLOOKUP($A2414, TAB_CORRECAO_C[[DIAS_CORRIDOS]:[V_FUT_UTEIS]],K$5, FALSE)</f>
        <v>#N/A</v>
      </c>
      <c r="L2414" s="22" t="e">
        <f>VLOOKUP($A2414, TAB_AMORTIZACAO_C[[DIAS_CORRIDOS]:[V_FUT_UTEIS]], L$5, FALSE)</f>
        <v>#N/A</v>
      </c>
    </row>
    <row r="2415" spans="1:12" hidden="1">
      <c r="A2415" s="19">
        <f t="shared" si="194"/>
        <v>2409</v>
      </c>
      <c r="B2415" s="20">
        <f t="shared" si="190"/>
        <v>0</v>
      </c>
      <c r="C2415" s="21">
        <f t="shared" si="191"/>
        <v>0</v>
      </c>
      <c r="D2415" s="22" t="e">
        <f>VLOOKUP($A2415, TAB_JUROS_U[[Q_DIAS_U_PARC_TIR]:[V_FUT_U_JURS CENARIO]], D$5, FALSE)</f>
        <v>#N/A</v>
      </c>
      <c r="E2415" s="22" t="e">
        <f>VLOOKUP($A2415,TAB_CORRECAO_U[[Q_DIAS_U_PARC_TIR]:[V_FUT_U_CORC-02]],E$5, FALSE)</f>
        <v>#N/A</v>
      </c>
      <c r="F2415" s="22" t="e">
        <f>VLOOKUP($A2415,TAB_AMORTIZACAO_U[[Q_DIAS_U_PARC_TIR]:[V_FUT_U_PCPL-02]], F$5, FALSE)</f>
        <v>#N/A</v>
      </c>
      <c r="H2415" s="20">
        <f t="shared" si="192"/>
        <v>0</v>
      </c>
      <c r="I2415" s="21">
        <f t="shared" si="193"/>
        <v>0</v>
      </c>
      <c r="J2415" s="22" t="e">
        <f>VLOOKUP($A2415, TAB_JUROS_C[[DIAS_CORRIDOS]:[V_FUT_UTEIS]], J$5, FALSE)</f>
        <v>#N/A</v>
      </c>
      <c r="K2415" s="22" t="e">
        <f>VLOOKUP($A2415, TAB_CORRECAO_C[[DIAS_CORRIDOS]:[V_FUT_UTEIS]],K$5, FALSE)</f>
        <v>#N/A</v>
      </c>
      <c r="L2415" s="22" t="e">
        <f>VLOOKUP($A2415, TAB_AMORTIZACAO_C[[DIAS_CORRIDOS]:[V_FUT_UTEIS]], L$5, FALSE)</f>
        <v>#N/A</v>
      </c>
    </row>
    <row r="2416" spans="1:12" hidden="1">
      <c r="A2416" s="19">
        <f t="shared" si="194"/>
        <v>2410</v>
      </c>
      <c r="B2416" s="20">
        <f t="shared" si="190"/>
        <v>0</v>
      </c>
      <c r="C2416" s="21">
        <f t="shared" si="191"/>
        <v>0</v>
      </c>
      <c r="D2416" s="22" t="e">
        <f>VLOOKUP($A2416, TAB_JUROS_U[[Q_DIAS_U_PARC_TIR]:[V_FUT_U_JURS CENARIO]], D$5, FALSE)</f>
        <v>#N/A</v>
      </c>
      <c r="E2416" s="22" t="e">
        <f>VLOOKUP($A2416,TAB_CORRECAO_U[[Q_DIAS_U_PARC_TIR]:[V_FUT_U_CORC-02]],E$5, FALSE)</f>
        <v>#N/A</v>
      </c>
      <c r="F2416" s="22" t="e">
        <f>VLOOKUP($A2416,TAB_AMORTIZACAO_U[[Q_DIAS_U_PARC_TIR]:[V_FUT_U_PCPL-02]], F$5, FALSE)</f>
        <v>#N/A</v>
      </c>
      <c r="H2416" s="20">
        <f t="shared" si="192"/>
        <v>0</v>
      </c>
      <c r="I2416" s="21">
        <f t="shared" si="193"/>
        <v>0</v>
      </c>
      <c r="J2416" s="22" t="e">
        <f>VLOOKUP($A2416, TAB_JUROS_C[[DIAS_CORRIDOS]:[V_FUT_UTEIS]], J$5, FALSE)</f>
        <v>#N/A</v>
      </c>
      <c r="K2416" s="22" t="e">
        <f>VLOOKUP($A2416, TAB_CORRECAO_C[[DIAS_CORRIDOS]:[V_FUT_UTEIS]],K$5, FALSE)</f>
        <v>#N/A</v>
      </c>
      <c r="L2416" s="22" t="e">
        <f>VLOOKUP($A2416, TAB_AMORTIZACAO_C[[DIAS_CORRIDOS]:[V_FUT_UTEIS]], L$5, FALSE)</f>
        <v>#N/A</v>
      </c>
    </row>
    <row r="2417" spans="1:12" hidden="1">
      <c r="A2417" s="19">
        <f t="shared" si="194"/>
        <v>2411</v>
      </c>
      <c r="B2417" s="20">
        <f t="shared" si="190"/>
        <v>0</v>
      </c>
      <c r="C2417" s="21">
        <f t="shared" si="191"/>
        <v>0</v>
      </c>
      <c r="D2417" s="22" t="e">
        <f>VLOOKUP($A2417, TAB_JUROS_U[[Q_DIAS_U_PARC_TIR]:[V_FUT_U_JURS CENARIO]], D$5, FALSE)</f>
        <v>#N/A</v>
      </c>
      <c r="E2417" s="22" t="e">
        <f>VLOOKUP($A2417,TAB_CORRECAO_U[[Q_DIAS_U_PARC_TIR]:[V_FUT_U_CORC-02]],E$5, FALSE)</f>
        <v>#N/A</v>
      </c>
      <c r="F2417" s="22" t="e">
        <f>VLOOKUP($A2417,TAB_AMORTIZACAO_U[[Q_DIAS_U_PARC_TIR]:[V_FUT_U_PCPL-02]], F$5, FALSE)</f>
        <v>#N/A</v>
      </c>
      <c r="H2417" s="20">
        <f t="shared" si="192"/>
        <v>0</v>
      </c>
      <c r="I2417" s="21">
        <f t="shared" si="193"/>
        <v>0</v>
      </c>
      <c r="J2417" s="22" t="e">
        <f>VLOOKUP($A2417, TAB_JUROS_C[[DIAS_CORRIDOS]:[V_FUT_UTEIS]], J$5, FALSE)</f>
        <v>#N/A</v>
      </c>
      <c r="K2417" s="22" t="e">
        <f>VLOOKUP($A2417, TAB_CORRECAO_C[[DIAS_CORRIDOS]:[V_FUT_UTEIS]],K$5, FALSE)</f>
        <v>#N/A</v>
      </c>
      <c r="L2417" s="22" t="e">
        <f>VLOOKUP($A2417, TAB_AMORTIZACAO_C[[DIAS_CORRIDOS]:[V_FUT_UTEIS]], L$5, FALSE)</f>
        <v>#N/A</v>
      </c>
    </row>
    <row r="2418" spans="1:12" hidden="1">
      <c r="A2418" s="19">
        <f t="shared" si="194"/>
        <v>2412</v>
      </c>
      <c r="B2418" s="20">
        <f t="shared" si="190"/>
        <v>0</v>
      </c>
      <c r="C2418" s="21">
        <f t="shared" si="191"/>
        <v>0</v>
      </c>
      <c r="D2418" s="22" t="e">
        <f>VLOOKUP($A2418, TAB_JUROS_U[[Q_DIAS_U_PARC_TIR]:[V_FUT_U_JURS CENARIO]], D$5, FALSE)</f>
        <v>#N/A</v>
      </c>
      <c r="E2418" s="22" t="e">
        <f>VLOOKUP($A2418,TAB_CORRECAO_U[[Q_DIAS_U_PARC_TIR]:[V_FUT_U_CORC-02]],E$5, FALSE)</f>
        <v>#N/A</v>
      </c>
      <c r="F2418" s="22" t="e">
        <f>VLOOKUP($A2418,TAB_AMORTIZACAO_U[[Q_DIAS_U_PARC_TIR]:[V_FUT_U_PCPL-02]], F$5, FALSE)</f>
        <v>#N/A</v>
      </c>
      <c r="H2418" s="20">
        <f t="shared" si="192"/>
        <v>0</v>
      </c>
      <c r="I2418" s="21">
        <f t="shared" si="193"/>
        <v>0</v>
      </c>
      <c r="J2418" s="22" t="e">
        <f>VLOOKUP($A2418, TAB_JUROS_C[[DIAS_CORRIDOS]:[V_FUT_UTEIS]], J$5, FALSE)</f>
        <v>#N/A</v>
      </c>
      <c r="K2418" s="22" t="e">
        <f>VLOOKUP($A2418, TAB_CORRECAO_C[[DIAS_CORRIDOS]:[V_FUT_UTEIS]],K$5, FALSE)</f>
        <v>#N/A</v>
      </c>
      <c r="L2418" s="22" t="e">
        <f>VLOOKUP($A2418, TAB_AMORTIZACAO_C[[DIAS_CORRIDOS]:[V_FUT_UTEIS]], L$5, FALSE)</f>
        <v>#N/A</v>
      </c>
    </row>
    <row r="2419" spans="1:12" hidden="1">
      <c r="A2419" s="19">
        <f t="shared" si="194"/>
        <v>2413</v>
      </c>
      <c r="B2419" s="20">
        <f t="shared" si="190"/>
        <v>0</v>
      </c>
      <c r="C2419" s="21">
        <f t="shared" si="191"/>
        <v>0</v>
      </c>
      <c r="D2419" s="22" t="e">
        <f>VLOOKUP($A2419, TAB_JUROS_U[[Q_DIAS_U_PARC_TIR]:[V_FUT_U_JURS CENARIO]], D$5, FALSE)</f>
        <v>#N/A</v>
      </c>
      <c r="E2419" s="22" t="e">
        <f>VLOOKUP($A2419,TAB_CORRECAO_U[[Q_DIAS_U_PARC_TIR]:[V_FUT_U_CORC-02]],E$5, FALSE)</f>
        <v>#N/A</v>
      </c>
      <c r="F2419" s="22" t="e">
        <f>VLOOKUP($A2419,TAB_AMORTIZACAO_U[[Q_DIAS_U_PARC_TIR]:[V_FUT_U_PCPL-02]], F$5, FALSE)</f>
        <v>#N/A</v>
      </c>
      <c r="H2419" s="20">
        <f t="shared" si="192"/>
        <v>0</v>
      </c>
      <c r="I2419" s="21">
        <f t="shared" si="193"/>
        <v>0</v>
      </c>
      <c r="J2419" s="22" t="e">
        <f>VLOOKUP($A2419, TAB_JUROS_C[[DIAS_CORRIDOS]:[V_FUT_UTEIS]], J$5, FALSE)</f>
        <v>#N/A</v>
      </c>
      <c r="K2419" s="22" t="e">
        <f>VLOOKUP($A2419, TAB_CORRECAO_C[[DIAS_CORRIDOS]:[V_FUT_UTEIS]],K$5, FALSE)</f>
        <v>#N/A</v>
      </c>
      <c r="L2419" s="22" t="e">
        <f>VLOOKUP($A2419, TAB_AMORTIZACAO_C[[DIAS_CORRIDOS]:[V_FUT_UTEIS]], L$5, FALSE)</f>
        <v>#N/A</v>
      </c>
    </row>
    <row r="2420" spans="1:12" hidden="1">
      <c r="A2420" s="19">
        <f t="shared" si="194"/>
        <v>2414</v>
      </c>
      <c r="B2420" s="20">
        <f t="shared" si="190"/>
        <v>0</v>
      </c>
      <c r="C2420" s="21">
        <f t="shared" si="191"/>
        <v>0</v>
      </c>
      <c r="D2420" s="22" t="e">
        <f>VLOOKUP($A2420, TAB_JUROS_U[[Q_DIAS_U_PARC_TIR]:[V_FUT_U_JURS CENARIO]], D$5, FALSE)</f>
        <v>#N/A</v>
      </c>
      <c r="E2420" s="22" t="e">
        <f>VLOOKUP($A2420,TAB_CORRECAO_U[[Q_DIAS_U_PARC_TIR]:[V_FUT_U_CORC-02]],E$5, FALSE)</f>
        <v>#N/A</v>
      </c>
      <c r="F2420" s="22" t="e">
        <f>VLOOKUP($A2420,TAB_AMORTIZACAO_U[[Q_DIAS_U_PARC_TIR]:[V_FUT_U_PCPL-02]], F$5, FALSE)</f>
        <v>#N/A</v>
      </c>
      <c r="H2420" s="20">
        <f t="shared" si="192"/>
        <v>0</v>
      </c>
      <c r="I2420" s="21">
        <f t="shared" si="193"/>
        <v>0</v>
      </c>
      <c r="J2420" s="22" t="e">
        <f>VLOOKUP($A2420, TAB_JUROS_C[[DIAS_CORRIDOS]:[V_FUT_UTEIS]], J$5, FALSE)</f>
        <v>#N/A</v>
      </c>
      <c r="K2420" s="22" t="e">
        <f>VLOOKUP($A2420, TAB_CORRECAO_C[[DIAS_CORRIDOS]:[V_FUT_UTEIS]],K$5, FALSE)</f>
        <v>#N/A</v>
      </c>
      <c r="L2420" s="22" t="e">
        <f>VLOOKUP($A2420, TAB_AMORTIZACAO_C[[DIAS_CORRIDOS]:[V_FUT_UTEIS]], L$5, FALSE)</f>
        <v>#N/A</v>
      </c>
    </row>
    <row r="2421" spans="1:12" hidden="1">
      <c r="A2421" s="19">
        <f t="shared" si="194"/>
        <v>2415</v>
      </c>
      <c r="B2421" s="20">
        <f t="shared" si="190"/>
        <v>0</v>
      </c>
      <c r="C2421" s="21">
        <f t="shared" si="191"/>
        <v>0</v>
      </c>
      <c r="D2421" s="22" t="e">
        <f>VLOOKUP($A2421, TAB_JUROS_U[[Q_DIAS_U_PARC_TIR]:[V_FUT_U_JURS CENARIO]], D$5, FALSE)</f>
        <v>#N/A</v>
      </c>
      <c r="E2421" s="22" t="e">
        <f>VLOOKUP($A2421,TAB_CORRECAO_U[[Q_DIAS_U_PARC_TIR]:[V_FUT_U_CORC-02]],E$5, FALSE)</f>
        <v>#N/A</v>
      </c>
      <c r="F2421" s="22" t="e">
        <f>VLOOKUP($A2421,TAB_AMORTIZACAO_U[[Q_DIAS_U_PARC_TIR]:[V_FUT_U_PCPL-02]], F$5, FALSE)</f>
        <v>#N/A</v>
      </c>
      <c r="H2421" s="20">
        <f t="shared" si="192"/>
        <v>434.91874407838355</v>
      </c>
      <c r="I2421" s="21">
        <f t="shared" si="193"/>
        <v>434.91874407838355</v>
      </c>
      <c r="J2421" s="22">
        <f>VLOOKUP($A2421, TAB_JUROS_C[[DIAS_CORRIDOS]:[V_FUT_UTEIS]], J$5, FALSE)</f>
        <v>28.326487514405443</v>
      </c>
      <c r="K2421" s="22">
        <f>VLOOKUP($A2421, TAB_CORRECAO_C[[DIAS_CORRIDOS]:[V_FUT_UTEIS]],K$5, FALSE)</f>
        <v>171.13034438334208</v>
      </c>
      <c r="L2421" s="22">
        <f>VLOOKUP($A2421, TAB_AMORTIZACAO_C[[DIAS_CORRIDOS]:[V_FUT_UTEIS]], L$5, FALSE)</f>
        <v>235.46191218063603</v>
      </c>
    </row>
    <row r="2422" spans="1:12" hidden="1">
      <c r="A2422" s="19">
        <f t="shared" si="194"/>
        <v>2416</v>
      </c>
      <c r="B2422" s="20">
        <f t="shared" si="190"/>
        <v>0</v>
      </c>
      <c r="C2422" s="21">
        <f t="shared" si="191"/>
        <v>0</v>
      </c>
      <c r="D2422" s="22" t="e">
        <f>VLOOKUP($A2422, TAB_JUROS_U[[Q_DIAS_U_PARC_TIR]:[V_FUT_U_JURS CENARIO]], D$5, FALSE)</f>
        <v>#N/A</v>
      </c>
      <c r="E2422" s="22" t="e">
        <f>VLOOKUP($A2422,TAB_CORRECAO_U[[Q_DIAS_U_PARC_TIR]:[V_FUT_U_CORC-02]],E$5, FALSE)</f>
        <v>#N/A</v>
      </c>
      <c r="F2422" s="22" t="e">
        <f>VLOOKUP($A2422,TAB_AMORTIZACAO_U[[Q_DIAS_U_PARC_TIR]:[V_FUT_U_PCPL-02]], F$5, FALSE)</f>
        <v>#N/A</v>
      </c>
      <c r="H2422" s="20">
        <f t="shared" si="192"/>
        <v>0</v>
      </c>
      <c r="I2422" s="21">
        <f t="shared" si="193"/>
        <v>0</v>
      </c>
      <c r="J2422" s="22" t="e">
        <f>VLOOKUP($A2422, TAB_JUROS_C[[DIAS_CORRIDOS]:[V_FUT_UTEIS]], J$5, FALSE)</f>
        <v>#N/A</v>
      </c>
      <c r="K2422" s="22" t="e">
        <f>VLOOKUP($A2422, TAB_CORRECAO_C[[DIAS_CORRIDOS]:[V_FUT_UTEIS]],K$5, FALSE)</f>
        <v>#N/A</v>
      </c>
      <c r="L2422" s="22" t="e">
        <f>VLOOKUP($A2422, TAB_AMORTIZACAO_C[[DIAS_CORRIDOS]:[V_FUT_UTEIS]], L$5, FALSE)</f>
        <v>#N/A</v>
      </c>
    </row>
    <row r="2423" spans="1:12">
      <c r="A2423" s="19">
        <f t="shared" si="194"/>
        <v>2417</v>
      </c>
      <c r="B2423" s="20">
        <f t="shared" si="190"/>
        <v>186.26714832153073</v>
      </c>
      <c r="C2423" s="21">
        <f t="shared" si="191"/>
        <v>186.26714832153073</v>
      </c>
      <c r="D2423" s="22">
        <f>VLOOKUP($A2423, TAB_JUROS_U[[Q_DIAS_U_PARC_TIR]:[V_FUT_U_JURS CENARIO]], D$5, FALSE)</f>
        <v>8.2323433793209411</v>
      </c>
      <c r="E2423" s="22">
        <f>VLOOKUP($A2423,TAB_CORRECAO_U[[Q_DIAS_U_PARC_TIR]:[V_FUT_U_CORC-02]],E$5, FALSE)</f>
        <v>48.962150640472366</v>
      </c>
      <c r="F2423" s="22">
        <f>VLOOKUP($A2423,TAB_AMORTIZACAO_U[[Q_DIAS_U_PARC_TIR]:[V_FUT_U_PCPL-02]], F$5, FALSE)</f>
        <v>129.0726543017374</v>
      </c>
      <c r="H2423" s="20">
        <f t="shared" si="192"/>
        <v>0</v>
      </c>
      <c r="I2423" s="21">
        <f t="shared" si="193"/>
        <v>0</v>
      </c>
      <c r="J2423" s="22" t="e">
        <f>VLOOKUP($A2423, TAB_JUROS_C[[DIAS_CORRIDOS]:[V_FUT_UTEIS]], J$5, FALSE)</f>
        <v>#N/A</v>
      </c>
      <c r="K2423" s="22" t="e">
        <f>VLOOKUP($A2423, TAB_CORRECAO_C[[DIAS_CORRIDOS]:[V_FUT_UTEIS]],K$5, FALSE)</f>
        <v>#N/A</v>
      </c>
      <c r="L2423" s="22" t="e">
        <f>VLOOKUP($A2423, TAB_AMORTIZACAO_C[[DIAS_CORRIDOS]:[V_FUT_UTEIS]], L$5, FALSE)</f>
        <v>#N/A</v>
      </c>
    </row>
    <row r="2424" spans="1:12" hidden="1">
      <c r="A2424" s="19">
        <f t="shared" si="194"/>
        <v>2418</v>
      </c>
      <c r="B2424" s="20">
        <f t="shared" si="190"/>
        <v>0</v>
      </c>
      <c r="C2424" s="21">
        <f t="shared" si="191"/>
        <v>0</v>
      </c>
      <c r="D2424" s="22" t="e">
        <f>VLOOKUP($A2424, TAB_JUROS_U[[Q_DIAS_U_PARC_TIR]:[V_FUT_U_JURS CENARIO]], D$5, FALSE)</f>
        <v>#N/A</v>
      </c>
      <c r="E2424" s="22" t="e">
        <f>VLOOKUP($A2424,TAB_CORRECAO_U[[Q_DIAS_U_PARC_TIR]:[V_FUT_U_CORC-02]],E$5, FALSE)</f>
        <v>#N/A</v>
      </c>
      <c r="F2424" s="22" t="e">
        <f>VLOOKUP($A2424,TAB_AMORTIZACAO_U[[Q_DIAS_U_PARC_TIR]:[V_FUT_U_PCPL-02]], F$5, FALSE)</f>
        <v>#N/A</v>
      </c>
      <c r="H2424" s="20">
        <f t="shared" si="192"/>
        <v>0</v>
      </c>
      <c r="I2424" s="21">
        <f t="shared" si="193"/>
        <v>0</v>
      </c>
      <c r="J2424" s="22" t="e">
        <f>VLOOKUP($A2424, TAB_JUROS_C[[DIAS_CORRIDOS]:[V_FUT_UTEIS]], J$5, FALSE)</f>
        <v>#N/A</v>
      </c>
      <c r="K2424" s="22" t="e">
        <f>VLOOKUP($A2424, TAB_CORRECAO_C[[DIAS_CORRIDOS]:[V_FUT_UTEIS]],K$5, FALSE)</f>
        <v>#N/A</v>
      </c>
      <c r="L2424" s="22" t="e">
        <f>VLOOKUP($A2424, TAB_AMORTIZACAO_C[[DIAS_CORRIDOS]:[V_FUT_UTEIS]], L$5, FALSE)</f>
        <v>#N/A</v>
      </c>
    </row>
    <row r="2425" spans="1:12" hidden="1">
      <c r="A2425" s="19">
        <f t="shared" si="194"/>
        <v>2419</v>
      </c>
      <c r="B2425" s="20">
        <f t="shared" si="190"/>
        <v>0</v>
      </c>
      <c r="C2425" s="21">
        <f t="shared" si="191"/>
        <v>0</v>
      </c>
      <c r="D2425" s="22" t="e">
        <f>VLOOKUP($A2425, TAB_JUROS_U[[Q_DIAS_U_PARC_TIR]:[V_FUT_U_JURS CENARIO]], D$5, FALSE)</f>
        <v>#N/A</v>
      </c>
      <c r="E2425" s="22" t="e">
        <f>VLOOKUP($A2425,TAB_CORRECAO_U[[Q_DIAS_U_PARC_TIR]:[V_FUT_U_CORC-02]],E$5, FALSE)</f>
        <v>#N/A</v>
      </c>
      <c r="F2425" s="22" t="e">
        <f>VLOOKUP($A2425,TAB_AMORTIZACAO_U[[Q_DIAS_U_PARC_TIR]:[V_FUT_U_PCPL-02]], F$5, FALSE)</f>
        <v>#N/A</v>
      </c>
      <c r="H2425" s="20">
        <f t="shared" si="192"/>
        <v>0</v>
      </c>
      <c r="I2425" s="21">
        <f t="shared" si="193"/>
        <v>0</v>
      </c>
      <c r="J2425" s="22" t="e">
        <f>VLOOKUP($A2425, TAB_JUROS_C[[DIAS_CORRIDOS]:[V_FUT_UTEIS]], J$5, FALSE)</f>
        <v>#N/A</v>
      </c>
      <c r="K2425" s="22" t="e">
        <f>VLOOKUP($A2425, TAB_CORRECAO_C[[DIAS_CORRIDOS]:[V_FUT_UTEIS]],K$5, FALSE)</f>
        <v>#N/A</v>
      </c>
      <c r="L2425" s="22" t="e">
        <f>VLOOKUP($A2425, TAB_AMORTIZACAO_C[[DIAS_CORRIDOS]:[V_FUT_UTEIS]], L$5, FALSE)</f>
        <v>#N/A</v>
      </c>
    </row>
    <row r="2426" spans="1:12" hidden="1">
      <c r="A2426" s="19">
        <f t="shared" si="194"/>
        <v>2420</v>
      </c>
      <c r="B2426" s="20">
        <f t="shared" si="190"/>
        <v>0</v>
      </c>
      <c r="C2426" s="21">
        <f t="shared" si="191"/>
        <v>0</v>
      </c>
      <c r="D2426" s="22" t="e">
        <f>VLOOKUP($A2426, TAB_JUROS_U[[Q_DIAS_U_PARC_TIR]:[V_FUT_U_JURS CENARIO]], D$5, FALSE)</f>
        <v>#N/A</v>
      </c>
      <c r="E2426" s="22" t="e">
        <f>VLOOKUP($A2426,TAB_CORRECAO_U[[Q_DIAS_U_PARC_TIR]:[V_FUT_U_CORC-02]],E$5, FALSE)</f>
        <v>#N/A</v>
      </c>
      <c r="F2426" s="22" t="e">
        <f>VLOOKUP($A2426,TAB_AMORTIZACAO_U[[Q_DIAS_U_PARC_TIR]:[V_FUT_U_PCPL-02]], F$5, FALSE)</f>
        <v>#N/A</v>
      </c>
      <c r="H2426" s="20">
        <f t="shared" si="192"/>
        <v>0</v>
      </c>
      <c r="I2426" s="21">
        <f t="shared" si="193"/>
        <v>0</v>
      </c>
      <c r="J2426" s="22" t="e">
        <f>VLOOKUP($A2426, TAB_JUROS_C[[DIAS_CORRIDOS]:[V_FUT_UTEIS]], J$5, FALSE)</f>
        <v>#N/A</v>
      </c>
      <c r="K2426" s="22" t="e">
        <f>VLOOKUP($A2426, TAB_CORRECAO_C[[DIAS_CORRIDOS]:[V_FUT_UTEIS]],K$5, FALSE)</f>
        <v>#N/A</v>
      </c>
      <c r="L2426" s="22" t="e">
        <f>VLOOKUP($A2426, TAB_AMORTIZACAO_C[[DIAS_CORRIDOS]:[V_FUT_UTEIS]], L$5, FALSE)</f>
        <v>#N/A</v>
      </c>
    </row>
    <row r="2427" spans="1:12" hidden="1">
      <c r="A2427" s="19">
        <f t="shared" si="194"/>
        <v>2421</v>
      </c>
      <c r="B2427" s="20">
        <f t="shared" si="190"/>
        <v>0</v>
      </c>
      <c r="C2427" s="21">
        <f t="shared" si="191"/>
        <v>0</v>
      </c>
      <c r="D2427" s="22" t="e">
        <f>VLOOKUP($A2427, TAB_JUROS_U[[Q_DIAS_U_PARC_TIR]:[V_FUT_U_JURS CENARIO]], D$5, FALSE)</f>
        <v>#N/A</v>
      </c>
      <c r="E2427" s="22" t="e">
        <f>VLOOKUP($A2427,TAB_CORRECAO_U[[Q_DIAS_U_PARC_TIR]:[V_FUT_U_CORC-02]],E$5, FALSE)</f>
        <v>#N/A</v>
      </c>
      <c r="F2427" s="22" t="e">
        <f>VLOOKUP($A2427,TAB_AMORTIZACAO_U[[Q_DIAS_U_PARC_TIR]:[V_FUT_U_PCPL-02]], F$5, FALSE)</f>
        <v>#N/A</v>
      </c>
      <c r="H2427" s="20">
        <f t="shared" si="192"/>
        <v>0</v>
      </c>
      <c r="I2427" s="21">
        <f t="shared" si="193"/>
        <v>0</v>
      </c>
      <c r="J2427" s="22" t="e">
        <f>VLOOKUP($A2427, TAB_JUROS_C[[DIAS_CORRIDOS]:[V_FUT_UTEIS]], J$5, FALSE)</f>
        <v>#N/A</v>
      </c>
      <c r="K2427" s="22" t="e">
        <f>VLOOKUP($A2427, TAB_CORRECAO_C[[DIAS_CORRIDOS]:[V_FUT_UTEIS]],K$5, FALSE)</f>
        <v>#N/A</v>
      </c>
      <c r="L2427" s="22" t="e">
        <f>VLOOKUP($A2427, TAB_AMORTIZACAO_C[[DIAS_CORRIDOS]:[V_FUT_UTEIS]], L$5, FALSE)</f>
        <v>#N/A</v>
      </c>
    </row>
    <row r="2428" spans="1:12" hidden="1">
      <c r="A2428" s="19">
        <f t="shared" si="194"/>
        <v>2422</v>
      </c>
      <c r="B2428" s="20">
        <f t="shared" si="190"/>
        <v>0</v>
      </c>
      <c r="C2428" s="21">
        <f t="shared" si="191"/>
        <v>0</v>
      </c>
      <c r="D2428" s="22" t="e">
        <f>VLOOKUP($A2428, TAB_JUROS_U[[Q_DIAS_U_PARC_TIR]:[V_FUT_U_JURS CENARIO]], D$5, FALSE)</f>
        <v>#N/A</v>
      </c>
      <c r="E2428" s="22" t="e">
        <f>VLOOKUP($A2428,TAB_CORRECAO_U[[Q_DIAS_U_PARC_TIR]:[V_FUT_U_CORC-02]],E$5, FALSE)</f>
        <v>#N/A</v>
      </c>
      <c r="F2428" s="22" t="e">
        <f>VLOOKUP($A2428,TAB_AMORTIZACAO_U[[Q_DIAS_U_PARC_TIR]:[V_FUT_U_PCPL-02]], F$5, FALSE)</f>
        <v>#N/A</v>
      </c>
      <c r="H2428" s="20">
        <f t="shared" si="192"/>
        <v>0</v>
      </c>
      <c r="I2428" s="21">
        <f t="shared" si="193"/>
        <v>0</v>
      </c>
      <c r="J2428" s="22" t="e">
        <f>VLOOKUP($A2428, TAB_JUROS_C[[DIAS_CORRIDOS]:[V_FUT_UTEIS]], J$5, FALSE)</f>
        <v>#N/A</v>
      </c>
      <c r="K2428" s="22" t="e">
        <f>VLOOKUP($A2428, TAB_CORRECAO_C[[DIAS_CORRIDOS]:[V_FUT_UTEIS]],K$5, FALSE)</f>
        <v>#N/A</v>
      </c>
      <c r="L2428" s="22" t="e">
        <f>VLOOKUP($A2428, TAB_AMORTIZACAO_C[[DIAS_CORRIDOS]:[V_FUT_UTEIS]], L$5, FALSE)</f>
        <v>#N/A</v>
      </c>
    </row>
    <row r="2429" spans="1:12" hidden="1">
      <c r="A2429" s="19">
        <f t="shared" si="194"/>
        <v>2423</v>
      </c>
      <c r="B2429" s="20">
        <f t="shared" si="190"/>
        <v>0</v>
      </c>
      <c r="C2429" s="21">
        <f t="shared" si="191"/>
        <v>0</v>
      </c>
      <c r="D2429" s="22" t="e">
        <f>VLOOKUP($A2429, TAB_JUROS_U[[Q_DIAS_U_PARC_TIR]:[V_FUT_U_JURS CENARIO]], D$5, FALSE)</f>
        <v>#N/A</v>
      </c>
      <c r="E2429" s="22" t="e">
        <f>VLOOKUP($A2429,TAB_CORRECAO_U[[Q_DIAS_U_PARC_TIR]:[V_FUT_U_CORC-02]],E$5, FALSE)</f>
        <v>#N/A</v>
      </c>
      <c r="F2429" s="22" t="e">
        <f>VLOOKUP($A2429,TAB_AMORTIZACAO_U[[Q_DIAS_U_PARC_TIR]:[V_FUT_U_PCPL-02]], F$5, FALSE)</f>
        <v>#N/A</v>
      </c>
      <c r="H2429" s="20">
        <f t="shared" si="192"/>
        <v>0</v>
      </c>
      <c r="I2429" s="21">
        <f t="shared" si="193"/>
        <v>0</v>
      </c>
      <c r="J2429" s="22" t="e">
        <f>VLOOKUP($A2429, TAB_JUROS_C[[DIAS_CORRIDOS]:[V_FUT_UTEIS]], J$5, FALSE)</f>
        <v>#N/A</v>
      </c>
      <c r="K2429" s="22" t="e">
        <f>VLOOKUP($A2429, TAB_CORRECAO_C[[DIAS_CORRIDOS]:[V_FUT_UTEIS]],K$5, FALSE)</f>
        <v>#N/A</v>
      </c>
      <c r="L2429" s="22" t="e">
        <f>VLOOKUP($A2429, TAB_AMORTIZACAO_C[[DIAS_CORRIDOS]:[V_FUT_UTEIS]], L$5, FALSE)</f>
        <v>#N/A</v>
      </c>
    </row>
    <row r="2430" spans="1:12" hidden="1">
      <c r="A2430" s="19">
        <f t="shared" si="194"/>
        <v>2424</v>
      </c>
      <c r="B2430" s="20">
        <f t="shared" si="190"/>
        <v>0</v>
      </c>
      <c r="C2430" s="21">
        <f t="shared" si="191"/>
        <v>0</v>
      </c>
      <c r="D2430" s="22" t="e">
        <f>VLOOKUP($A2430, TAB_JUROS_U[[Q_DIAS_U_PARC_TIR]:[V_FUT_U_JURS CENARIO]], D$5, FALSE)</f>
        <v>#N/A</v>
      </c>
      <c r="E2430" s="22" t="e">
        <f>VLOOKUP($A2430,TAB_CORRECAO_U[[Q_DIAS_U_PARC_TIR]:[V_FUT_U_CORC-02]],E$5, FALSE)</f>
        <v>#N/A</v>
      </c>
      <c r="F2430" s="22" t="e">
        <f>VLOOKUP($A2430,TAB_AMORTIZACAO_U[[Q_DIAS_U_PARC_TIR]:[V_FUT_U_PCPL-02]], F$5, FALSE)</f>
        <v>#N/A</v>
      </c>
      <c r="H2430" s="20">
        <f t="shared" si="192"/>
        <v>0</v>
      </c>
      <c r="I2430" s="21">
        <f t="shared" si="193"/>
        <v>0</v>
      </c>
      <c r="J2430" s="22" t="e">
        <f>VLOOKUP($A2430, TAB_JUROS_C[[DIAS_CORRIDOS]:[V_FUT_UTEIS]], J$5, FALSE)</f>
        <v>#N/A</v>
      </c>
      <c r="K2430" s="22" t="e">
        <f>VLOOKUP($A2430, TAB_CORRECAO_C[[DIAS_CORRIDOS]:[V_FUT_UTEIS]],K$5, FALSE)</f>
        <v>#N/A</v>
      </c>
      <c r="L2430" s="22" t="e">
        <f>VLOOKUP($A2430, TAB_AMORTIZACAO_C[[DIAS_CORRIDOS]:[V_FUT_UTEIS]], L$5, FALSE)</f>
        <v>#N/A</v>
      </c>
    </row>
    <row r="2431" spans="1:12" hidden="1">
      <c r="A2431" s="19">
        <f t="shared" si="194"/>
        <v>2425</v>
      </c>
      <c r="B2431" s="20">
        <f t="shared" si="190"/>
        <v>0</v>
      </c>
      <c r="C2431" s="21">
        <f t="shared" si="191"/>
        <v>0</v>
      </c>
      <c r="D2431" s="22" t="e">
        <f>VLOOKUP($A2431, TAB_JUROS_U[[Q_DIAS_U_PARC_TIR]:[V_FUT_U_JURS CENARIO]], D$5, FALSE)</f>
        <v>#N/A</v>
      </c>
      <c r="E2431" s="22" t="e">
        <f>VLOOKUP($A2431,TAB_CORRECAO_U[[Q_DIAS_U_PARC_TIR]:[V_FUT_U_CORC-02]],E$5, FALSE)</f>
        <v>#N/A</v>
      </c>
      <c r="F2431" s="22" t="e">
        <f>VLOOKUP($A2431,TAB_AMORTIZACAO_U[[Q_DIAS_U_PARC_TIR]:[V_FUT_U_PCPL-02]], F$5, FALSE)</f>
        <v>#N/A</v>
      </c>
      <c r="H2431" s="20">
        <f t="shared" si="192"/>
        <v>0</v>
      </c>
      <c r="I2431" s="21">
        <f t="shared" si="193"/>
        <v>0</v>
      </c>
      <c r="J2431" s="22" t="e">
        <f>VLOOKUP($A2431, TAB_JUROS_C[[DIAS_CORRIDOS]:[V_FUT_UTEIS]], J$5, FALSE)</f>
        <v>#N/A</v>
      </c>
      <c r="K2431" s="22" t="e">
        <f>VLOOKUP($A2431, TAB_CORRECAO_C[[DIAS_CORRIDOS]:[V_FUT_UTEIS]],K$5, FALSE)</f>
        <v>#N/A</v>
      </c>
      <c r="L2431" s="22" t="e">
        <f>VLOOKUP($A2431, TAB_AMORTIZACAO_C[[DIAS_CORRIDOS]:[V_FUT_UTEIS]], L$5, FALSE)</f>
        <v>#N/A</v>
      </c>
    </row>
    <row r="2432" spans="1:12" hidden="1">
      <c r="A2432" s="19">
        <f t="shared" si="194"/>
        <v>2426</v>
      </c>
      <c r="B2432" s="20">
        <f t="shared" si="190"/>
        <v>0</v>
      </c>
      <c r="C2432" s="21">
        <f t="shared" si="191"/>
        <v>0</v>
      </c>
      <c r="D2432" s="22" t="e">
        <f>VLOOKUP($A2432, TAB_JUROS_U[[Q_DIAS_U_PARC_TIR]:[V_FUT_U_JURS CENARIO]], D$5, FALSE)</f>
        <v>#N/A</v>
      </c>
      <c r="E2432" s="22" t="e">
        <f>VLOOKUP($A2432,TAB_CORRECAO_U[[Q_DIAS_U_PARC_TIR]:[V_FUT_U_CORC-02]],E$5, FALSE)</f>
        <v>#N/A</v>
      </c>
      <c r="F2432" s="22" t="e">
        <f>VLOOKUP($A2432,TAB_AMORTIZACAO_U[[Q_DIAS_U_PARC_TIR]:[V_FUT_U_PCPL-02]], F$5, FALSE)</f>
        <v>#N/A</v>
      </c>
      <c r="H2432" s="20">
        <f t="shared" si="192"/>
        <v>0</v>
      </c>
      <c r="I2432" s="21">
        <f t="shared" si="193"/>
        <v>0</v>
      </c>
      <c r="J2432" s="22" t="e">
        <f>VLOOKUP($A2432, TAB_JUROS_C[[DIAS_CORRIDOS]:[V_FUT_UTEIS]], J$5, FALSE)</f>
        <v>#N/A</v>
      </c>
      <c r="K2432" s="22" t="e">
        <f>VLOOKUP($A2432, TAB_CORRECAO_C[[DIAS_CORRIDOS]:[V_FUT_UTEIS]],K$5, FALSE)</f>
        <v>#N/A</v>
      </c>
      <c r="L2432" s="22" t="e">
        <f>VLOOKUP($A2432, TAB_AMORTIZACAO_C[[DIAS_CORRIDOS]:[V_FUT_UTEIS]], L$5, FALSE)</f>
        <v>#N/A</v>
      </c>
    </row>
    <row r="2433" spans="1:12" hidden="1">
      <c r="A2433" s="19">
        <f t="shared" si="194"/>
        <v>2427</v>
      </c>
      <c r="B2433" s="20">
        <f t="shared" si="190"/>
        <v>0</v>
      </c>
      <c r="C2433" s="21">
        <f t="shared" si="191"/>
        <v>0</v>
      </c>
      <c r="D2433" s="22" t="e">
        <f>VLOOKUP($A2433, TAB_JUROS_U[[Q_DIAS_U_PARC_TIR]:[V_FUT_U_JURS CENARIO]], D$5, FALSE)</f>
        <v>#N/A</v>
      </c>
      <c r="E2433" s="22" t="e">
        <f>VLOOKUP($A2433,TAB_CORRECAO_U[[Q_DIAS_U_PARC_TIR]:[V_FUT_U_CORC-02]],E$5, FALSE)</f>
        <v>#N/A</v>
      </c>
      <c r="F2433" s="22" t="e">
        <f>VLOOKUP($A2433,TAB_AMORTIZACAO_U[[Q_DIAS_U_PARC_TIR]:[V_FUT_U_PCPL-02]], F$5, FALSE)</f>
        <v>#N/A</v>
      </c>
      <c r="H2433" s="20">
        <f t="shared" si="192"/>
        <v>0</v>
      </c>
      <c r="I2433" s="21">
        <f t="shared" si="193"/>
        <v>0</v>
      </c>
      <c r="J2433" s="22" t="e">
        <f>VLOOKUP($A2433, TAB_JUROS_C[[DIAS_CORRIDOS]:[V_FUT_UTEIS]], J$5, FALSE)</f>
        <v>#N/A</v>
      </c>
      <c r="K2433" s="22" t="e">
        <f>VLOOKUP($A2433, TAB_CORRECAO_C[[DIAS_CORRIDOS]:[V_FUT_UTEIS]],K$5, FALSE)</f>
        <v>#N/A</v>
      </c>
      <c r="L2433" s="22" t="e">
        <f>VLOOKUP($A2433, TAB_AMORTIZACAO_C[[DIAS_CORRIDOS]:[V_FUT_UTEIS]], L$5, FALSE)</f>
        <v>#N/A</v>
      </c>
    </row>
    <row r="2434" spans="1:12" hidden="1">
      <c r="A2434" s="19">
        <f t="shared" si="194"/>
        <v>2428</v>
      </c>
      <c r="B2434" s="20">
        <f t="shared" si="190"/>
        <v>0</v>
      </c>
      <c r="C2434" s="21">
        <f t="shared" si="191"/>
        <v>0</v>
      </c>
      <c r="D2434" s="22" t="e">
        <f>VLOOKUP($A2434, TAB_JUROS_U[[Q_DIAS_U_PARC_TIR]:[V_FUT_U_JURS CENARIO]], D$5, FALSE)</f>
        <v>#N/A</v>
      </c>
      <c r="E2434" s="22" t="e">
        <f>VLOOKUP($A2434,TAB_CORRECAO_U[[Q_DIAS_U_PARC_TIR]:[V_FUT_U_CORC-02]],E$5, FALSE)</f>
        <v>#N/A</v>
      </c>
      <c r="F2434" s="22" t="e">
        <f>VLOOKUP($A2434,TAB_AMORTIZACAO_U[[Q_DIAS_U_PARC_TIR]:[V_FUT_U_PCPL-02]], F$5, FALSE)</f>
        <v>#N/A</v>
      </c>
      <c r="H2434" s="20">
        <f t="shared" si="192"/>
        <v>0</v>
      </c>
      <c r="I2434" s="21">
        <f t="shared" si="193"/>
        <v>0</v>
      </c>
      <c r="J2434" s="22" t="e">
        <f>VLOOKUP($A2434, TAB_JUROS_C[[DIAS_CORRIDOS]:[V_FUT_UTEIS]], J$5, FALSE)</f>
        <v>#N/A</v>
      </c>
      <c r="K2434" s="22" t="e">
        <f>VLOOKUP($A2434, TAB_CORRECAO_C[[DIAS_CORRIDOS]:[V_FUT_UTEIS]],K$5, FALSE)</f>
        <v>#N/A</v>
      </c>
      <c r="L2434" s="22" t="e">
        <f>VLOOKUP($A2434, TAB_AMORTIZACAO_C[[DIAS_CORRIDOS]:[V_FUT_UTEIS]], L$5, FALSE)</f>
        <v>#N/A</v>
      </c>
    </row>
    <row r="2435" spans="1:12" hidden="1">
      <c r="A2435" s="19">
        <f t="shared" si="194"/>
        <v>2429</v>
      </c>
      <c r="B2435" s="20">
        <f t="shared" si="190"/>
        <v>0</v>
      </c>
      <c r="C2435" s="21">
        <f t="shared" si="191"/>
        <v>0</v>
      </c>
      <c r="D2435" s="22" t="e">
        <f>VLOOKUP($A2435, TAB_JUROS_U[[Q_DIAS_U_PARC_TIR]:[V_FUT_U_JURS CENARIO]], D$5, FALSE)</f>
        <v>#N/A</v>
      </c>
      <c r="E2435" s="22" t="e">
        <f>VLOOKUP($A2435,TAB_CORRECAO_U[[Q_DIAS_U_PARC_TIR]:[V_FUT_U_CORC-02]],E$5, FALSE)</f>
        <v>#N/A</v>
      </c>
      <c r="F2435" s="22" t="e">
        <f>VLOOKUP($A2435,TAB_AMORTIZACAO_U[[Q_DIAS_U_PARC_TIR]:[V_FUT_U_PCPL-02]], F$5, FALSE)</f>
        <v>#N/A</v>
      </c>
      <c r="H2435" s="20">
        <f t="shared" si="192"/>
        <v>0</v>
      </c>
      <c r="I2435" s="21">
        <f t="shared" si="193"/>
        <v>0</v>
      </c>
      <c r="J2435" s="22" t="e">
        <f>VLOOKUP($A2435, TAB_JUROS_C[[DIAS_CORRIDOS]:[V_FUT_UTEIS]], J$5, FALSE)</f>
        <v>#N/A</v>
      </c>
      <c r="K2435" s="22" t="e">
        <f>VLOOKUP($A2435, TAB_CORRECAO_C[[DIAS_CORRIDOS]:[V_FUT_UTEIS]],K$5, FALSE)</f>
        <v>#N/A</v>
      </c>
      <c r="L2435" s="22" t="e">
        <f>VLOOKUP($A2435, TAB_AMORTIZACAO_C[[DIAS_CORRIDOS]:[V_FUT_UTEIS]], L$5, FALSE)</f>
        <v>#N/A</v>
      </c>
    </row>
    <row r="2436" spans="1:12" hidden="1">
      <c r="A2436" s="19">
        <f t="shared" si="194"/>
        <v>2430</v>
      </c>
      <c r="B2436" s="20">
        <f t="shared" si="190"/>
        <v>0</v>
      </c>
      <c r="C2436" s="21">
        <f t="shared" si="191"/>
        <v>0</v>
      </c>
      <c r="D2436" s="22" t="e">
        <f>VLOOKUP($A2436, TAB_JUROS_U[[Q_DIAS_U_PARC_TIR]:[V_FUT_U_JURS CENARIO]], D$5, FALSE)</f>
        <v>#N/A</v>
      </c>
      <c r="E2436" s="22" t="e">
        <f>VLOOKUP($A2436,TAB_CORRECAO_U[[Q_DIAS_U_PARC_TIR]:[V_FUT_U_CORC-02]],E$5, FALSE)</f>
        <v>#N/A</v>
      </c>
      <c r="F2436" s="22" t="e">
        <f>VLOOKUP($A2436,TAB_AMORTIZACAO_U[[Q_DIAS_U_PARC_TIR]:[V_FUT_U_PCPL-02]], F$5, FALSE)</f>
        <v>#N/A</v>
      </c>
      <c r="H2436" s="20">
        <f t="shared" si="192"/>
        <v>0</v>
      </c>
      <c r="I2436" s="21">
        <f t="shared" si="193"/>
        <v>0</v>
      </c>
      <c r="J2436" s="22" t="e">
        <f>VLOOKUP($A2436, TAB_JUROS_C[[DIAS_CORRIDOS]:[V_FUT_UTEIS]], J$5, FALSE)</f>
        <v>#N/A</v>
      </c>
      <c r="K2436" s="22" t="e">
        <f>VLOOKUP($A2436, TAB_CORRECAO_C[[DIAS_CORRIDOS]:[V_FUT_UTEIS]],K$5, FALSE)</f>
        <v>#N/A</v>
      </c>
      <c r="L2436" s="22" t="e">
        <f>VLOOKUP($A2436, TAB_AMORTIZACAO_C[[DIAS_CORRIDOS]:[V_FUT_UTEIS]], L$5, FALSE)</f>
        <v>#N/A</v>
      </c>
    </row>
    <row r="2437" spans="1:12" hidden="1">
      <c r="A2437" s="19">
        <f t="shared" si="194"/>
        <v>2431</v>
      </c>
      <c r="B2437" s="20">
        <f t="shared" si="190"/>
        <v>0</v>
      </c>
      <c r="C2437" s="21">
        <f t="shared" si="191"/>
        <v>0</v>
      </c>
      <c r="D2437" s="22" t="e">
        <f>VLOOKUP($A2437, TAB_JUROS_U[[Q_DIAS_U_PARC_TIR]:[V_FUT_U_JURS CENARIO]], D$5, FALSE)</f>
        <v>#N/A</v>
      </c>
      <c r="E2437" s="22" t="e">
        <f>VLOOKUP($A2437,TAB_CORRECAO_U[[Q_DIAS_U_PARC_TIR]:[V_FUT_U_CORC-02]],E$5, FALSE)</f>
        <v>#N/A</v>
      </c>
      <c r="F2437" s="22" t="e">
        <f>VLOOKUP($A2437,TAB_AMORTIZACAO_U[[Q_DIAS_U_PARC_TIR]:[V_FUT_U_PCPL-02]], F$5, FALSE)</f>
        <v>#N/A</v>
      </c>
      <c r="H2437" s="20">
        <f t="shared" si="192"/>
        <v>0</v>
      </c>
      <c r="I2437" s="21">
        <f t="shared" si="193"/>
        <v>0</v>
      </c>
      <c r="J2437" s="22" t="e">
        <f>VLOOKUP($A2437, TAB_JUROS_C[[DIAS_CORRIDOS]:[V_FUT_UTEIS]], J$5, FALSE)</f>
        <v>#N/A</v>
      </c>
      <c r="K2437" s="22" t="e">
        <f>VLOOKUP($A2437, TAB_CORRECAO_C[[DIAS_CORRIDOS]:[V_FUT_UTEIS]],K$5, FALSE)</f>
        <v>#N/A</v>
      </c>
      <c r="L2437" s="22" t="e">
        <f>VLOOKUP($A2437, TAB_AMORTIZACAO_C[[DIAS_CORRIDOS]:[V_FUT_UTEIS]], L$5, FALSE)</f>
        <v>#N/A</v>
      </c>
    </row>
    <row r="2438" spans="1:12" hidden="1">
      <c r="A2438" s="19">
        <f t="shared" si="194"/>
        <v>2432</v>
      </c>
      <c r="B2438" s="20">
        <f t="shared" si="190"/>
        <v>0</v>
      </c>
      <c r="C2438" s="21">
        <f t="shared" si="191"/>
        <v>0</v>
      </c>
      <c r="D2438" s="22" t="e">
        <f>VLOOKUP($A2438, TAB_JUROS_U[[Q_DIAS_U_PARC_TIR]:[V_FUT_U_JURS CENARIO]], D$5, FALSE)</f>
        <v>#N/A</v>
      </c>
      <c r="E2438" s="22" t="e">
        <f>VLOOKUP($A2438,TAB_CORRECAO_U[[Q_DIAS_U_PARC_TIR]:[V_FUT_U_CORC-02]],E$5, FALSE)</f>
        <v>#N/A</v>
      </c>
      <c r="F2438" s="22" t="e">
        <f>VLOOKUP($A2438,TAB_AMORTIZACAO_U[[Q_DIAS_U_PARC_TIR]:[V_FUT_U_PCPL-02]], F$5, FALSE)</f>
        <v>#N/A</v>
      </c>
      <c r="H2438" s="20">
        <f t="shared" si="192"/>
        <v>0</v>
      </c>
      <c r="I2438" s="21">
        <f t="shared" si="193"/>
        <v>0</v>
      </c>
      <c r="J2438" s="22" t="e">
        <f>VLOOKUP($A2438, TAB_JUROS_C[[DIAS_CORRIDOS]:[V_FUT_UTEIS]], J$5, FALSE)</f>
        <v>#N/A</v>
      </c>
      <c r="K2438" s="22" t="e">
        <f>VLOOKUP($A2438, TAB_CORRECAO_C[[DIAS_CORRIDOS]:[V_FUT_UTEIS]],K$5, FALSE)</f>
        <v>#N/A</v>
      </c>
      <c r="L2438" s="22" t="e">
        <f>VLOOKUP($A2438, TAB_AMORTIZACAO_C[[DIAS_CORRIDOS]:[V_FUT_UTEIS]], L$5, FALSE)</f>
        <v>#N/A</v>
      </c>
    </row>
    <row r="2439" spans="1:12" hidden="1">
      <c r="A2439" s="19">
        <f t="shared" si="194"/>
        <v>2433</v>
      </c>
      <c r="B2439" s="20">
        <f t="shared" si="190"/>
        <v>0</v>
      </c>
      <c r="C2439" s="21">
        <f t="shared" si="191"/>
        <v>0</v>
      </c>
      <c r="D2439" s="22" t="e">
        <f>VLOOKUP($A2439, TAB_JUROS_U[[Q_DIAS_U_PARC_TIR]:[V_FUT_U_JURS CENARIO]], D$5, FALSE)</f>
        <v>#N/A</v>
      </c>
      <c r="E2439" s="22" t="e">
        <f>VLOOKUP($A2439,TAB_CORRECAO_U[[Q_DIAS_U_PARC_TIR]:[V_FUT_U_CORC-02]],E$5, FALSE)</f>
        <v>#N/A</v>
      </c>
      <c r="F2439" s="22" t="e">
        <f>VLOOKUP($A2439,TAB_AMORTIZACAO_U[[Q_DIAS_U_PARC_TIR]:[V_FUT_U_PCPL-02]], F$5, FALSE)</f>
        <v>#N/A</v>
      </c>
      <c r="H2439" s="20">
        <f t="shared" si="192"/>
        <v>0</v>
      </c>
      <c r="I2439" s="21">
        <f t="shared" si="193"/>
        <v>0</v>
      </c>
      <c r="J2439" s="22" t="e">
        <f>VLOOKUP($A2439, TAB_JUROS_C[[DIAS_CORRIDOS]:[V_FUT_UTEIS]], J$5, FALSE)</f>
        <v>#N/A</v>
      </c>
      <c r="K2439" s="22" t="e">
        <f>VLOOKUP($A2439, TAB_CORRECAO_C[[DIAS_CORRIDOS]:[V_FUT_UTEIS]],K$5, FALSE)</f>
        <v>#N/A</v>
      </c>
      <c r="L2439" s="22" t="e">
        <f>VLOOKUP($A2439, TAB_AMORTIZACAO_C[[DIAS_CORRIDOS]:[V_FUT_UTEIS]], L$5, FALSE)</f>
        <v>#N/A</v>
      </c>
    </row>
    <row r="2440" spans="1:12" hidden="1">
      <c r="A2440" s="19">
        <f t="shared" si="194"/>
        <v>2434</v>
      </c>
      <c r="B2440" s="20">
        <f t="shared" si="190"/>
        <v>0</v>
      </c>
      <c r="C2440" s="21">
        <f t="shared" si="191"/>
        <v>0</v>
      </c>
      <c r="D2440" s="22" t="e">
        <f>VLOOKUP($A2440, TAB_JUROS_U[[Q_DIAS_U_PARC_TIR]:[V_FUT_U_JURS CENARIO]], D$5, FALSE)</f>
        <v>#N/A</v>
      </c>
      <c r="E2440" s="22" t="e">
        <f>VLOOKUP($A2440,TAB_CORRECAO_U[[Q_DIAS_U_PARC_TIR]:[V_FUT_U_CORC-02]],E$5, FALSE)</f>
        <v>#N/A</v>
      </c>
      <c r="F2440" s="22" t="e">
        <f>VLOOKUP($A2440,TAB_AMORTIZACAO_U[[Q_DIAS_U_PARC_TIR]:[V_FUT_U_PCPL-02]], F$5, FALSE)</f>
        <v>#N/A</v>
      </c>
      <c r="H2440" s="20">
        <f t="shared" si="192"/>
        <v>0</v>
      </c>
      <c r="I2440" s="21">
        <f t="shared" si="193"/>
        <v>0</v>
      </c>
      <c r="J2440" s="22" t="e">
        <f>VLOOKUP($A2440, TAB_JUROS_C[[DIAS_CORRIDOS]:[V_FUT_UTEIS]], J$5, FALSE)</f>
        <v>#N/A</v>
      </c>
      <c r="K2440" s="22" t="e">
        <f>VLOOKUP($A2440, TAB_CORRECAO_C[[DIAS_CORRIDOS]:[V_FUT_UTEIS]],K$5, FALSE)</f>
        <v>#N/A</v>
      </c>
      <c r="L2440" s="22" t="e">
        <f>VLOOKUP($A2440, TAB_AMORTIZACAO_C[[DIAS_CORRIDOS]:[V_FUT_UTEIS]], L$5, FALSE)</f>
        <v>#N/A</v>
      </c>
    </row>
    <row r="2441" spans="1:12" hidden="1">
      <c r="A2441" s="19">
        <f t="shared" si="194"/>
        <v>2435</v>
      </c>
      <c r="B2441" s="20">
        <f t="shared" ref="B2441:B2504" si="195">IF(ISERROR(C2441), 0, C2441)</f>
        <v>0</v>
      </c>
      <c r="C2441" s="21">
        <f t="shared" ref="C2441:C2504" si="196">SUMIF(D2441:F2441, "&gt;0", D2441:F2441)</f>
        <v>0</v>
      </c>
      <c r="D2441" s="22" t="e">
        <f>VLOOKUP($A2441, TAB_JUROS_U[[Q_DIAS_U_PARC_TIR]:[V_FUT_U_JURS CENARIO]], D$5, FALSE)</f>
        <v>#N/A</v>
      </c>
      <c r="E2441" s="22" t="e">
        <f>VLOOKUP($A2441,TAB_CORRECAO_U[[Q_DIAS_U_PARC_TIR]:[V_FUT_U_CORC-02]],E$5, FALSE)</f>
        <v>#N/A</v>
      </c>
      <c r="F2441" s="22" t="e">
        <f>VLOOKUP($A2441,TAB_AMORTIZACAO_U[[Q_DIAS_U_PARC_TIR]:[V_FUT_U_PCPL-02]], F$5, FALSE)</f>
        <v>#N/A</v>
      </c>
      <c r="H2441" s="20">
        <f t="shared" ref="H2441:H2504" si="197">IF(ISERROR(I2441), 0, I2441)</f>
        <v>0</v>
      </c>
      <c r="I2441" s="21">
        <f t="shared" ref="I2441:I2504" si="198">SUMIF(J2441:L2441, "&gt;0", J2441:L2441)</f>
        <v>0</v>
      </c>
      <c r="J2441" s="22" t="e">
        <f>VLOOKUP($A2441, TAB_JUROS_C[[DIAS_CORRIDOS]:[V_FUT_UTEIS]], J$5, FALSE)</f>
        <v>#N/A</v>
      </c>
      <c r="K2441" s="22" t="e">
        <f>VLOOKUP($A2441, TAB_CORRECAO_C[[DIAS_CORRIDOS]:[V_FUT_UTEIS]],K$5, FALSE)</f>
        <v>#N/A</v>
      </c>
      <c r="L2441" s="22" t="e">
        <f>VLOOKUP($A2441, TAB_AMORTIZACAO_C[[DIAS_CORRIDOS]:[V_FUT_UTEIS]], L$5, FALSE)</f>
        <v>#N/A</v>
      </c>
    </row>
    <row r="2442" spans="1:12" hidden="1">
      <c r="A2442" s="19">
        <f t="shared" ref="A2442:A2505" si="199">A2441+1</f>
        <v>2436</v>
      </c>
      <c r="B2442" s="20">
        <f t="shared" si="195"/>
        <v>0</v>
      </c>
      <c r="C2442" s="21">
        <f t="shared" si="196"/>
        <v>0</v>
      </c>
      <c r="D2442" s="22" t="e">
        <f>VLOOKUP($A2442, TAB_JUROS_U[[Q_DIAS_U_PARC_TIR]:[V_FUT_U_JURS CENARIO]], D$5, FALSE)</f>
        <v>#N/A</v>
      </c>
      <c r="E2442" s="22" t="e">
        <f>VLOOKUP($A2442,TAB_CORRECAO_U[[Q_DIAS_U_PARC_TIR]:[V_FUT_U_CORC-02]],E$5, FALSE)</f>
        <v>#N/A</v>
      </c>
      <c r="F2442" s="22" t="e">
        <f>VLOOKUP($A2442,TAB_AMORTIZACAO_U[[Q_DIAS_U_PARC_TIR]:[V_FUT_U_PCPL-02]], F$5, FALSE)</f>
        <v>#N/A</v>
      </c>
      <c r="H2442" s="20">
        <f t="shared" si="197"/>
        <v>0</v>
      </c>
      <c r="I2442" s="21">
        <f t="shared" si="198"/>
        <v>0</v>
      </c>
      <c r="J2442" s="22" t="e">
        <f>VLOOKUP($A2442, TAB_JUROS_C[[DIAS_CORRIDOS]:[V_FUT_UTEIS]], J$5, FALSE)</f>
        <v>#N/A</v>
      </c>
      <c r="K2442" s="22" t="e">
        <f>VLOOKUP($A2442, TAB_CORRECAO_C[[DIAS_CORRIDOS]:[V_FUT_UTEIS]],K$5, FALSE)</f>
        <v>#N/A</v>
      </c>
      <c r="L2442" s="22" t="e">
        <f>VLOOKUP($A2442, TAB_AMORTIZACAO_C[[DIAS_CORRIDOS]:[V_FUT_UTEIS]], L$5, FALSE)</f>
        <v>#N/A</v>
      </c>
    </row>
    <row r="2443" spans="1:12" hidden="1">
      <c r="A2443" s="19">
        <f t="shared" si="199"/>
        <v>2437</v>
      </c>
      <c r="B2443" s="20">
        <f t="shared" si="195"/>
        <v>0</v>
      </c>
      <c r="C2443" s="21">
        <f t="shared" si="196"/>
        <v>0</v>
      </c>
      <c r="D2443" s="22" t="e">
        <f>VLOOKUP($A2443, TAB_JUROS_U[[Q_DIAS_U_PARC_TIR]:[V_FUT_U_JURS CENARIO]], D$5, FALSE)</f>
        <v>#N/A</v>
      </c>
      <c r="E2443" s="22" t="e">
        <f>VLOOKUP($A2443,TAB_CORRECAO_U[[Q_DIAS_U_PARC_TIR]:[V_FUT_U_CORC-02]],E$5, FALSE)</f>
        <v>#N/A</v>
      </c>
      <c r="F2443" s="22" t="e">
        <f>VLOOKUP($A2443,TAB_AMORTIZACAO_U[[Q_DIAS_U_PARC_TIR]:[V_FUT_U_PCPL-02]], F$5, FALSE)</f>
        <v>#N/A</v>
      </c>
      <c r="H2443" s="20">
        <f t="shared" si="197"/>
        <v>0</v>
      </c>
      <c r="I2443" s="21">
        <f t="shared" si="198"/>
        <v>0</v>
      </c>
      <c r="J2443" s="22" t="e">
        <f>VLOOKUP($A2443, TAB_JUROS_C[[DIAS_CORRIDOS]:[V_FUT_UTEIS]], J$5, FALSE)</f>
        <v>#N/A</v>
      </c>
      <c r="K2443" s="22" t="e">
        <f>VLOOKUP($A2443, TAB_CORRECAO_C[[DIAS_CORRIDOS]:[V_FUT_UTEIS]],K$5, FALSE)</f>
        <v>#N/A</v>
      </c>
      <c r="L2443" s="22" t="e">
        <f>VLOOKUP($A2443, TAB_AMORTIZACAO_C[[DIAS_CORRIDOS]:[V_FUT_UTEIS]], L$5, FALSE)</f>
        <v>#N/A</v>
      </c>
    </row>
    <row r="2444" spans="1:12">
      <c r="A2444" s="19">
        <f t="shared" si="199"/>
        <v>2438</v>
      </c>
      <c r="B2444" s="20">
        <f t="shared" si="195"/>
        <v>176.51703434312753</v>
      </c>
      <c r="C2444" s="21">
        <f t="shared" si="196"/>
        <v>176.51703434312753</v>
      </c>
      <c r="D2444" s="22">
        <f>VLOOKUP($A2444, TAB_JUROS_U[[Q_DIAS_U_PARC_TIR]:[V_FUT_U_JURS CENARIO]], D$5, FALSE)</f>
        <v>7.1494290183189166</v>
      </c>
      <c r="E2444" s="22">
        <f>VLOOKUP($A2444,TAB_CORRECAO_U[[Q_DIAS_U_PARC_TIR]:[V_FUT_U_CORC-02]],E$5, FALSE)</f>
        <v>42.550549055472992</v>
      </c>
      <c r="F2444" s="22">
        <f>VLOOKUP($A2444,TAB_AMORTIZACAO_U[[Q_DIAS_U_PARC_TIR]:[V_FUT_U_PCPL-02]], F$5, FALSE)</f>
        <v>126.81705626933561</v>
      </c>
      <c r="H2444" s="20">
        <f t="shared" si="197"/>
        <v>0</v>
      </c>
      <c r="I2444" s="21">
        <f t="shared" si="198"/>
        <v>0</v>
      </c>
      <c r="J2444" s="22" t="e">
        <f>VLOOKUP($A2444, TAB_JUROS_C[[DIAS_CORRIDOS]:[V_FUT_UTEIS]], J$5, FALSE)</f>
        <v>#N/A</v>
      </c>
      <c r="K2444" s="22" t="e">
        <f>VLOOKUP($A2444, TAB_CORRECAO_C[[DIAS_CORRIDOS]:[V_FUT_UTEIS]],K$5, FALSE)</f>
        <v>#N/A</v>
      </c>
      <c r="L2444" s="22" t="e">
        <f>VLOOKUP($A2444, TAB_AMORTIZACAO_C[[DIAS_CORRIDOS]:[V_FUT_UTEIS]], L$5, FALSE)</f>
        <v>#N/A</v>
      </c>
    </row>
    <row r="2445" spans="1:12" hidden="1">
      <c r="A2445" s="19">
        <f t="shared" si="199"/>
        <v>2439</v>
      </c>
      <c r="B2445" s="20">
        <f t="shared" si="195"/>
        <v>0</v>
      </c>
      <c r="C2445" s="21">
        <f t="shared" si="196"/>
        <v>0</v>
      </c>
      <c r="D2445" s="22" t="e">
        <f>VLOOKUP($A2445, TAB_JUROS_U[[Q_DIAS_U_PARC_TIR]:[V_FUT_U_JURS CENARIO]], D$5, FALSE)</f>
        <v>#N/A</v>
      </c>
      <c r="E2445" s="22" t="e">
        <f>VLOOKUP($A2445,TAB_CORRECAO_U[[Q_DIAS_U_PARC_TIR]:[V_FUT_U_CORC-02]],E$5, FALSE)</f>
        <v>#N/A</v>
      </c>
      <c r="F2445" s="22" t="e">
        <f>VLOOKUP($A2445,TAB_AMORTIZACAO_U[[Q_DIAS_U_PARC_TIR]:[V_FUT_U_PCPL-02]], F$5, FALSE)</f>
        <v>#N/A</v>
      </c>
      <c r="H2445" s="20">
        <f t="shared" si="197"/>
        <v>0</v>
      </c>
      <c r="I2445" s="21">
        <f t="shared" si="198"/>
        <v>0</v>
      </c>
      <c r="J2445" s="22" t="e">
        <f>VLOOKUP($A2445, TAB_JUROS_C[[DIAS_CORRIDOS]:[V_FUT_UTEIS]], J$5, FALSE)</f>
        <v>#N/A</v>
      </c>
      <c r="K2445" s="22" t="e">
        <f>VLOOKUP($A2445, TAB_CORRECAO_C[[DIAS_CORRIDOS]:[V_FUT_UTEIS]],K$5, FALSE)</f>
        <v>#N/A</v>
      </c>
      <c r="L2445" s="22" t="e">
        <f>VLOOKUP($A2445, TAB_AMORTIZACAO_C[[DIAS_CORRIDOS]:[V_FUT_UTEIS]], L$5, FALSE)</f>
        <v>#N/A</v>
      </c>
    </row>
    <row r="2446" spans="1:12" hidden="1">
      <c r="A2446" s="19">
        <f t="shared" si="199"/>
        <v>2440</v>
      </c>
      <c r="B2446" s="20">
        <f t="shared" si="195"/>
        <v>0</v>
      </c>
      <c r="C2446" s="21">
        <f t="shared" si="196"/>
        <v>0</v>
      </c>
      <c r="D2446" s="22" t="e">
        <f>VLOOKUP($A2446, TAB_JUROS_U[[Q_DIAS_U_PARC_TIR]:[V_FUT_U_JURS CENARIO]], D$5, FALSE)</f>
        <v>#N/A</v>
      </c>
      <c r="E2446" s="22" t="e">
        <f>VLOOKUP($A2446,TAB_CORRECAO_U[[Q_DIAS_U_PARC_TIR]:[V_FUT_U_CORC-02]],E$5, FALSE)</f>
        <v>#N/A</v>
      </c>
      <c r="F2446" s="22" t="e">
        <f>VLOOKUP($A2446,TAB_AMORTIZACAO_U[[Q_DIAS_U_PARC_TIR]:[V_FUT_U_PCPL-02]], F$5, FALSE)</f>
        <v>#N/A</v>
      </c>
      <c r="H2446" s="20">
        <f t="shared" si="197"/>
        <v>0</v>
      </c>
      <c r="I2446" s="21">
        <f t="shared" si="198"/>
        <v>0</v>
      </c>
      <c r="J2446" s="22" t="e">
        <f>VLOOKUP($A2446, TAB_JUROS_C[[DIAS_CORRIDOS]:[V_FUT_UTEIS]], J$5, FALSE)</f>
        <v>#N/A</v>
      </c>
      <c r="K2446" s="22" t="e">
        <f>VLOOKUP($A2446, TAB_CORRECAO_C[[DIAS_CORRIDOS]:[V_FUT_UTEIS]],K$5, FALSE)</f>
        <v>#N/A</v>
      </c>
      <c r="L2446" s="22" t="e">
        <f>VLOOKUP($A2446, TAB_AMORTIZACAO_C[[DIAS_CORRIDOS]:[V_FUT_UTEIS]], L$5, FALSE)</f>
        <v>#N/A</v>
      </c>
    </row>
    <row r="2447" spans="1:12" hidden="1">
      <c r="A2447" s="19">
        <f t="shared" si="199"/>
        <v>2441</v>
      </c>
      <c r="B2447" s="20">
        <f t="shared" si="195"/>
        <v>0</v>
      </c>
      <c r="C2447" s="21">
        <f t="shared" si="196"/>
        <v>0</v>
      </c>
      <c r="D2447" s="22" t="e">
        <f>VLOOKUP($A2447, TAB_JUROS_U[[Q_DIAS_U_PARC_TIR]:[V_FUT_U_JURS CENARIO]], D$5, FALSE)</f>
        <v>#N/A</v>
      </c>
      <c r="E2447" s="22" t="e">
        <f>VLOOKUP($A2447,TAB_CORRECAO_U[[Q_DIAS_U_PARC_TIR]:[V_FUT_U_CORC-02]],E$5, FALSE)</f>
        <v>#N/A</v>
      </c>
      <c r="F2447" s="22" t="e">
        <f>VLOOKUP($A2447,TAB_AMORTIZACAO_U[[Q_DIAS_U_PARC_TIR]:[V_FUT_U_PCPL-02]], F$5, FALSE)</f>
        <v>#N/A</v>
      </c>
      <c r="H2447" s="20">
        <f t="shared" si="197"/>
        <v>0</v>
      </c>
      <c r="I2447" s="21">
        <f t="shared" si="198"/>
        <v>0</v>
      </c>
      <c r="J2447" s="22" t="e">
        <f>VLOOKUP($A2447, TAB_JUROS_C[[DIAS_CORRIDOS]:[V_FUT_UTEIS]], J$5, FALSE)</f>
        <v>#N/A</v>
      </c>
      <c r="K2447" s="22" t="e">
        <f>VLOOKUP($A2447, TAB_CORRECAO_C[[DIAS_CORRIDOS]:[V_FUT_UTEIS]],K$5, FALSE)</f>
        <v>#N/A</v>
      </c>
      <c r="L2447" s="22" t="e">
        <f>VLOOKUP($A2447, TAB_AMORTIZACAO_C[[DIAS_CORRIDOS]:[V_FUT_UTEIS]], L$5, FALSE)</f>
        <v>#N/A</v>
      </c>
    </row>
    <row r="2448" spans="1:12" hidden="1">
      <c r="A2448" s="19">
        <f t="shared" si="199"/>
        <v>2442</v>
      </c>
      <c r="B2448" s="20">
        <f t="shared" si="195"/>
        <v>0</v>
      </c>
      <c r="C2448" s="21">
        <f t="shared" si="196"/>
        <v>0</v>
      </c>
      <c r="D2448" s="22" t="e">
        <f>VLOOKUP($A2448, TAB_JUROS_U[[Q_DIAS_U_PARC_TIR]:[V_FUT_U_JURS CENARIO]], D$5, FALSE)</f>
        <v>#N/A</v>
      </c>
      <c r="E2448" s="22" t="e">
        <f>VLOOKUP($A2448,TAB_CORRECAO_U[[Q_DIAS_U_PARC_TIR]:[V_FUT_U_CORC-02]],E$5, FALSE)</f>
        <v>#N/A</v>
      </c>
      <c r="F2448" s="22" t="e">
        <f>VLOOKUP($A2448,TAB_AMORTIZACAO_U[[Q_DIAS_U_PARC_TIR]:[V_FUT_U_PCPL-02]], F$5, FALSE)</f>
        <v>#N/A</v>
      </c>
      <c r="H2448" s="20">
        <f t="shared" si="197"/>
        <v>0</v>
      </c>
      <c r="I2448" s="21">
        <f t="shared" si="198"/>
        <v>0</v>
      </c>
      <c r="J2448" s="22" t="e">
        <f>VLOOKUP($A2448, TAB_JUROS_C[[DIAS_CORRIDOS]:[V_FUT_UTEIS]], J$5, FALSE)</f>
        <v>#N/A</v>
      </c>
      <c r="K2448" s="22" t="e">
        <f>VLOOKUP($A2448, TAB_CORRECAO_C[[DIAS_CORRIDOS]:[V_FUT_UTEIS]],K$5, FALSE)</f>
        <v>#N/A</v>
      </c>
      <c r="L2448" s="22" t="e">
        <f>VLOOKUP($A2448, TAB_AMORTIZACAO_C[[DIAS_CORRIDOS]:[V_FUT_UTEIS]], L$5, FALSE)</f>
        <v>#N/A</v>
      </c>
    </row>
    <row r="2449" spans="1:12" hidden="1">
      <c r="A2449" s="19">
        <f t="shared" si="199"/>
        <v>2443</v>
      </c>
      <c r="B2449" s="20">
        <f t="shared" si="195"/>
        <v>0</v>
      </c>
      <c r="C2449" s="21">
        <f t="shared" si="196"/>
        <v>0</v>
      </c>
      <c r="D2449" s="22" t="e">
        <f>VLOOKUP($A2449, TAB_JUROS_U[[Q_DIAS_U_PARC_TIR]:[V_FUT_U_JURS CENARIO]], D$5, FALSE)</f>
        <v>#N/A</v>
      </c>
      <c r="E2449" s="22" t="e">
        <f>VLOOKUP($A2449,TAB_CORRECAO_U[[Q_DIAS_U_PARC_TIR]:[V_FUT_U_CORC-02]],E$5, FALSE)</f>
        <v>#N/A</v>
      </c>
      <c r="F2449" s="22" t="e">
        <f>VLOOKUP($A2449,TAB_AMORTIZACAO_U[[Q_DIAS_U_PARC_TIR]:[V_FUT_U_PCPL-02]], F$5, FALSE)</f>
        <v>#N/A</v>
      </c>
      <c r="H2449" s="20">
        <f t="shared" si="197"/>
        <v>0</v>
      </c>
      <c r="I2449" s="21">
        <f t="shared" si="198"/>
        <v>0</v>
      </c>
      <c r="J2449" s="22" t="e">
        <f>VLOOKUP($A2449, TAB_JUROS_C[[DIAS_CORRIDOS]:[V_FUT_UTEIS]], J$5, FALSE)</f>
        <v>#N/A</v>
      </c>
      <c r="K2449" s="22" t="e">
        <f>VLOOKUP($A2449, TAB_CORRECAO_C[[DIAS_CORRIDOS]:[V_FUT_UTEIS]],K$5, FALSE)</f>
        <v>#N/A</v>
      </c>
      <c r="L2449" s="22" t="e">
        <f>VLOOKUP($A2449, TAB_AMORTIZACAO_C[[DIAS_CORRIDOS]:[V_FUT_UTEIS]], L$5, FALSE)</f>
        <v>#N/A</v>
      </c>
    </row>
    <row r="2450" spans="1:12" hidden="1">
      <c r="A2450" s="19">
        <f t="shared" si="199"/>
        <v>2444</v>
      </c>
      <c r="B2450" s="20">
        <f t="shared" si="195"/>
        <v>0</v>
      </c>
      <c r="C2450" s="21">
        <f t="shared" si="196"/>
        <v>0</v>
      </c>
      <c r="D2450" s="22" t="e">
        <f>VLOOKUP($A2450, TAB_JUROS_U[[Q_DIAS_U_PARC_TIR]:[V_FUT_U_JURS CENARIO]], D$5, FALSE)</f>
        <v>#N/A</v>
      </c>
      <c r="E2450" s="22" t="e">
        <f>VLOOKUP($A2450,TAB_CORRECAO_U[[Q_DIAS_U_PARC_TIR]:[V_FUT_U_CORC-02]],E$5, FALSE)</f>
        <v>#N/A</v>
      </c>
      <c r="F2450" s="22" t="e">
        <f>VLOOKUP($A2450,TAB_AMORTIZACAO_U[[Q_DIAS_U_PARC_TIR]:[V_FUT_U_PCPL-02]], F$5, FALSE)</f>
        <v>#N/A</v>
      </c>
      <c r="H2450" s="20">
        <f t="shared" si="197"/>
        <v>0</v>
      </c>
      <c r="I2450" s="21">
        <f t="shared" si="198"/>
        <v>0</v>
      </c>
      <c r="J2450" s="22" t="e">
        <f>VLOOKUP($A2450, TAB_JUROS_C[[DIAS_CORRIDOS]:[V_FUT_UTEIS]], J$5, FALSE)</f>
        <v>#N/A</v>
      </c>
      <c r="K2450" s="22" t="e">
        <f>VLOOKUP($A2450, TAB_CORRECAO_C[[DIAS_CORRIDOS]:[V_FUT_UTEIS]],K$5, FALSE)</f>
        <v>#N/A</v>
      </c>
      <c r="L2450" s="22" t="e">
        <f>VLOOKUP($A2450, TAB_AMORTIZACAO_C[[DIAS_CORRIDOS]:[V_FUT_UTEIS]], L$5, FALSE)</f>
        <v>#N/A</v>
      </c>
    </row>
    <row r="2451" spans="1:12" hidden="1">
      <c r="A2451" s="19">
        <f t="shared" si="199"/>
        <v>2445</v>
      </c>
      <c r="B2451" s="20">
        <f t="shared" si="195"/>
        <v>0</v>
      </c>
      <c r="C2451" s="21">
        <f t="shared" si="196"/>
        <v>0</v>
      </c>
      <c r="D2451" s="22" t="e">
        <f>VLOOKUP($A2451, TAB_JUROS_U[[Q_DIAS_U_PARC_TIR]:[V_FUT_U_JURS CENARIO]], D$5, FALSE)</f>
        <v>#N/A</v>
      </c>
      <c r="E2451" s="22" t="e">
        <f>VLOOKUP($A2451,TAB_CORRECAO_U[[Q_DIAS_U_PARC_TIR]:[V_FUT_U_CORC-02]],E$5, FALSE)</f>
        <v>#N/A</v>
      </c>
      <c r="F2451" s="22" t="e">
        <f>VLOOKUP($A2451,TAB_AMORTIZACAO_U[[Q_DIAS_U_PARC_TIR]:[V_FUT_U_PCPL-02]], F$5, FALSE)</f>
        <v>#N/A</v>
      </c>
      <c r="H2451" s="20">
        <f t="shared" si="197"/>
        <v>0</v>
      </c>
      <c r="I2451" s="21">
        <f t="shared" si="198"/>
        <v>0</v>
      </c>
      <c r="J2451" s="22" t="e">
        <f>VLOOKUP($A2451, TAB_JUROS_C[[DIAS_CORRIDOS]:[V_FUT_UTEIS]], J$5, FALSE)</f>
        <v>#N/A</v>
      </c>
      <c r="K2451" s="22" t="e">
        <f>VLOOKUP($A2451, TAB_CORRECAO_C[[DIAS_CORRIDOS]:[V_FUT_UTEIS]],K$5, FALSE)</f>
        <v>#N/A</v>
      </c>
      <c r="L2451" s="22" t="e">
        <f>VLOOKUP($A2451, TAB_AMORTIZACAO_C[[DIAS_CORRIDOS]:[V_FUT_UTEIS]], L$5, FALSE)</f>
        <v>#N/A</v>
      </c>
    </row>
    <row r="2452" spans="1:12" hidden="1">
      <c r="A2452" s="19">
        <f t="shared" si="199"/>
        <v>2446</v>
      </c>
      <c r="B2452" s="20">
        <f t="shared" si="195"/>
        <v>0</v>
      </c>
      <c r="C2452" s="21">
        <f t="shared" si="196"/>
        <v>0</v>
      </c>
      <c r="D2452" s="22" t="e">
        <f>VLOOKUP($A2452, TAB_JUROS_U[[Q_DIAS_U_PARC_TIR]:[V_FUT_U_JURS CENARIO]], D$5, FALSE)</f>
        <v>#N/A</v>
      </c>
      <c r="E2452" s="22" t="e">
        <f>VLOOKUP($A2452,TAB_CORRECAO_U[[Q_DIAS_U_PARC_TIR]:[V_FUT_U_CORC-02]],E$5, FALSE)</f>
        <v>#N/A</v>
      </c>
      <c r="F2452" s="22" t="e">
        <f>VLOOKUP($A2452,TAB_AMORTIZACAO_U[[Q_DIAS_U_PARC_TIR]:[V_FUT_U_PCPL-02]], F$5, FALSE)</f>
        <v>#N/A</v>
      </c>
      <c r="H2452" s="20">
        <f t="shared" si="197"/>
        <v>0</v>
      </c>
      <c r="I2452" s="21">
        <f t="shared" si="198"/>
        <v>0</v>
      </c>
      <c r="J2452" s="22" t="e">
        <f>VLOOKUP($A2452, TAB_JUROS_C[[DIAS_CORRIDOS]:[V_FUT_UTEIS]], J$5, FALSE)</f>
        <v>#N/A</v>
      </c>
      <c r="K2452" s="22" t="e">
        <f>VLOOKUP($A2452, TAB_CORRECAO_C[[DIAS_CORRIDOS]:[V_FUT_UTEIS]],K$5, FALSE)</f>
        <v>#N/A</v>
      </c>
      <c r="L2452" s="22" t="e">
        <f>VLOOKUP($A2452, TAB_AMORTIZACAO_C[[DIAS_CORRIDOS]:[V_FUT_UTEIS]], L$5, FALSE)</f>
        <v>#N/A</v>
      </c>
    </row>
    <row r="2453" spans="1:12" hidden="1">
      <c r="A2453" s="19">
        <f t="shared" si="199"/>
        <v>2447</v>
      </c>
      <c r="B2453" s="20">
        <f t="shared" si="195"/>
        <v>0</v>
      </c>
      <c r="C2453" s="21">
        <f t="shared" si="196"/>
        <v>0</v>
      </c>
      <c r="D2453" s="22" t="e">
        <f>VLOOKUP($A2453, TAB_JUROS_U[[Q_DIAS_U_PARC_TIR]:[V_FUT_U_JURS CENARIO]], D$5, FALSE)</f>
        <v>#N/A</v>
      </c>
      <c r="E2453" s="22" t="e">
        <f>VLOOKUP($A2453,TAB_CORRECAO_U[[Q_DIAS_U_PARC_TIR]:[V_FUT_U_CORC-02]],E$5, FALSE)</f>
        <v>#N/A</v>
      </c>
      <c r="F2453" s="22" t="e">
        <f>VLOOKUP($A2453,TAB_AMORTIZACAO_U[[Q_DIAS_U_PARC_TIR]:[V_FUT_U_PCPL-02]], F$5, FALSE)</f>
        <v>#N/A</v>
      </c>
      <c r="H2453" s="20">
        <f t="shared" si="197"/>
        <v>438.72816601087453</v>
      </c>
      <c r="I2453" s="21">
        <f t="shared" si="198"/>
        <v>438.72816601087453</v>
      </c>
      <c r="J2453" s="22">
        <f>VLOOKUP($A2453, TAB_JUROS_C[[DIAS_CORRIDOS]:[V_FUT_UTEIS]], J$5, FALSE)</f>
        <v>30.110414490946685</v>
      </c>
      <c r="K2453" s="22">
        <f>VLOOKUP($A2453, TAB_CORRECAO_C[[DIAS_CORRIDOS]:[V_FUT_UTEIS]],K$5, FALSE)</f>
        <v>181.78157674414493</v>
      </c>
      <c r="L2453" s="22">
        <f>VLOOKUP($A2453, TAB_AMORTIZACAO_C[[DIAS_CORRIDOS]:[V_FUT_UTEIS]], L$5, FALSE)</f>
        <v>226.83617477578292</v>
      </c>
    </row>
    <row r="2454" spans="1:12" hidden="1">
      <c r="A2454" s="19">
        <f t="shared" si="199"/>
        <v>2448</v>
      </c>
      <c r="B2454" s="20">
        <f t="shared" si="195"/>
        <v>0</v>
      </c>
      <c r="C2454" s="21">
        <f t="shared" si="196"/>
        <v>0</v>
      </c>
      <c r="D2454" s="22" t="e">
        <f>VLOOKUP($A2454, TAB_JUROS_U[[Q_DIAS_U_PARC_TIR]:[V_FUT_U_JURS CENARIO]], D$5, FALSE)</f>
        <v>#N/A</v>
      </c>
      <c r="E2454" s="22" t="e">
        <f>VLOOKUP($A2454,TAB_CORRECAO_U[[Q_DIAS_U_PARC_TIR]:[V_FUT_U_CORC-02]],E$5, FALSE)</f>
        <v>#N/A</v>
      </c>
      <c r="F2454" s="22" t="e">
        <f>VLOOKUP($A2454,TAB_AMORTIZACAO_U[[Q_DIAS_U_PARC_TIR]:[V_FUT_U_PCPL-02]], F$5, FALSE)</f>
        <v>#N/A</v>
      </c>
      <c r="H2454" s="20">
        <f t="shared" si="197"/>
        <v>0</v>
      </c>
      <c r="I2454" s="21">
        <f t="shared" si="198"/>
        <v>0</v>
      </c>
      <c r="J2454" s="22" t="e">
        <f>VLOOKUP($A2454, TAB_JUROS_C[[DIAS_CORRIDOS]:[V_FUT_UTEIS]], J$5, FALSE)</f>
        <v>#N/A</v>
      </c>
      <c r="K2454" s="22" t="e">
        <f>VLOOKUP($A2454, TAB_CORRECAO_C[[DIAS_CORRIDOS]:[V_FUT_UTEIS]],K$5, FALSE)</f>
        <v>#N/A</v>
      </c>
      <c r="L2454" s="22" t="e">
        <f>VLOOKUP($A2454, TAB_AMORTIZACAO_C[[DIAS_CORRIDOS]:[V_FUT_UTEIS]], L$5, FALSE)</f>
        <v>#N/A</v>
      </c>
    </row>
    <row r="2455" spans="1:12" hidden="1">
      <c r="A2455" s="19">
        <f t="shared" si="199"/>
        <v>2449</v>
      </c>
      <c r="B2455" s="20">
        <f t="shared" si="195"/>
        <v>0</v>
      </c>
      <c r="C2455" s="21">
        <f t="shared" si="196"/>
        <v>0</v>
      </c>
      <c r="D2455" s="22" t="e">
        <f>VLOOKUP($A2455, TAB_JUROS_U[[Q_DIAS_U_PARC_TIR]:[V_FUT_U_JURS CENARIO]], D$5, FALSE)</f>
        <v>#N/A</v>
      </c>
      <c r="E2455" s="22" t="e">
        <f>VLOOKUP($A2455,TAB_CORRECAO_U[[Q_DIAS_U_PARC_TIR]:[V_FUT_U_CORC-02]],E$5, FALSE)</f>
        <v>#N/A</v>
      </c>
      <c r="F2455" s="22" t="e">
        <f>VLOOKUP($A2455,TAB_AMORTIZACAO_U[[Q_DIAS_U_PARC_TIR]:[V_FUT_U_PCPL-02]], F$5, FALSE)</f>
        <v>#N/A</v>
      </c>
      <c r="H2455" s="20">
        <f t="shared" si="197"/>
        <v>0</v>
      </c>
      <c r="I2455" s="21">
        <f t="shared" si="198"/>
        <v>0</v>
      </c>
      <c r="J2455" s="22" t="e">
        <f>VLOOKUP($A2455, TAB_JUROS_C[[DIAS_CORRIDOS]:[V_FUT_UTEIS]], J$5, FALSE)</f>
        <v>#N/A</v>
      </c>
      <c r="K2455" s="22" t="e">
        <f>VLOOKUP($A2455, TAB_CORRECAO_C[[DIAS_CORRIDOS]:[V_FUT_UTEIS]],K$5, FALSE)</f>
        <v>#N/A</v>
      </c>
      <c r="L2455" s="22" t="e">
        <f>VLOOKUP($A2455, TAB_AMORTIZACAO_C[[DIAS_CORRIDOS]:[V_FUT_UTEIS]], L$5, FALSE)</f>
        <v>#N/A</v>
      </c>
    </row>
    <row r="2456" spans="1:12" hidden="1">
      <c r="A2456" s="19">
        <f t="shared" si="199"/>
        <v>2450</v>
      </c>
      <c r="B2456" s="20">
        <f t="shared" si="195"/>
        <v>0</v>
      </c>
      <c r="C2456" s="21">
        <f t="shared" si="196"/>
        <v>0</v>
      </c>
      <c r="D2456" s="22" t="e">
        <f>VLOOKUP($A2456, TAB_JUROS_U[[Q_DIAS_U_PARC_TIR]:[V_FUT_U_JURS CENARIO]], D$5, FALSE)</f>
        <v>#N/A</v>
      </c>
      <c r="E2456" s="22" t="e">
        <f>VLOOKUP($A2456,TAB_CORRECAO_U[[Q_DIAS_U_PARC_TIR]:[V_FUT_U_CORC-02]],E$5, FALSE)</f>
        <v>#N/A</v>
      </c>
      <c r="F2456" s="22" t="e">
        <f>VLOOKUP($A2456,TAB_AMORTIZACAO_U[[Q_DIAS_U_PARC_TIR]:[V_FUT_U_PCPL-02]], F$5, FALSE)</f>
        <v>#N/A</v>
      </c>
      <c r="H2456" s="20">
        <f t="shared" si="197"/>
        <v>0</v>
      </c>
      <c r="I2456" s="21">
        <f t="shared" si="198"/>
        <v>0</v>
      </c>
      <c r="J2456" s="22" t="e">
        <f>VLOOKUP($A2456, TAB_JUROS_C[[DIAS_CORRIDOS]:[V_FUT_UTEIS]], J$5, FALSE)</f>
        <v>#N/A</v>
      </c>
      <c r="K2456" s="22" t="e">
        <f>VLOOKUP($A2456, TAB_CORRECAO_C[[DIAS_CORRIDOS]:[V_FUT_UTEIS]],K$5, FALSE)</f>
        <v>#N/A</v>
      </c>
      <c r="L2456" s="22" t="e">
        <f>VLOOKUP($A2456, TAB_AMORTIZACAO_C[[DIAS_CORRIDOS]:[V_FUT_UTEIS]], L$5, FALSE)</f>
        <v>#N/A</v>
      </c>
    </row>
    <row r="2457" spans="1:12" hidden="1">
      <c r="A2457" s="19">
        <f t="shared" si="199"/>
        <v>2451</v>
      </c>
      <c r="B2457" s="20">
        <f t="shared" si="195"/>
        <v>0</v>
      </c>
      <c r="C2457" s="21">
        <f t="shared" si="196"/>
        <v>0</v>
      </c>
      <c r="D2457" s="22" t="e">
        <f>VLOOKUP($A2457, TAB_JUROS_U[[Q_DIAS_U_PARC_TIR]:[V_FUT_U_JURS CENARIO]], D$5, FALSE)</f>
        <v>#N/A</v>
      </c>
      <c r="E2457" s="22" t="e">
        <f>VLOOKUP($A2457,TAB_CORRECAO_U[[Q_DIAS_U_PARC_TIR]:[V_FUT_U_CORC-02]],E$5, FALSE)</f>
        <v>#N/A</v>
      </c>
      <c r="F2457" s="22" t="e">
        <f>VLOOKUP($A2457,TAB_AMORTIZACAO_U[[Q_DIAS_U_PARC_TIR]:[V_FUT_U_PCPL-02]], F$5, FALSE)</f>
        <v>#N/A</v>
      </c>
      <c r="H2457" s="20">
        <f t="shared" si="197"/>
        <v>0</v>
      </c>
      <c r="I2457" s="21">
        <f t="shared" si="198"/>
        <v>0</v>
      </c>
      <c r="J2457" s="22" t="e">
        <f>VLOOKUP($A2457, TAB_JUROS_C[[DIAS_CORRIDOS]:[V_FUT_UTEIS]], J$5, FALSE)</f>
        <v>#N/A</v>
      </c>
      <c r="K2457" s="22" t="e">
        <f>VLOOKUP($A2457, TAB_CORRECAO_C[[DIAS_CORRIDOS]:[V_FUT_UTEIS]],K$5, FALSE)</f>
        <v>#N/A</v>
      </c>
      <c r="L2457" s="22" t="e">
        <f>VLOOKUP($A2457, TAB_AMORTIZACAO_C[[DIAS_CORRIDOS]:[V_FUT_UTEIS]], L$5, FALSE)</f>
        <v>#N/A</v>
      </c>
    </row>
    <row r="2458" spans="1:12" hidden="1">
      <c r="A2458" s="19">
        <f t="shared" si="199"/>
        <v>2452</v>
      </c>
      <c r="B2458" s="20">
        <f t="shared" si="195"/>
        <v>0</v>
      </c>
      <c r="C2458" s="21">
        <f t="shared" si="196"/>
        <v>0</v>
      </c>
      <c r="D2458" s="22" t="e">
        <f>VLOOKUP($A2458, TAB_JUROS_U[[Q_DIAS_U_PARC_TIR]:[V_FUT_U_JURS CENARIO]], D$5, FALSE)</f>
        <v>#N/A</v>
      </c>
      <c r="E2458" s="22" t="e">
        <f>VLOOKUP($A2458,TAB_CORRECAO_U[[Q_DIAS_U_PARC_TIR]:[V_FUT_U_CORC-02]],E$5, FALSE)</f>
        <v>#N/A</v>
      </c>
      <c r="F2458" s="22" t="e">
        <f>VLOOKUP($A2458,TAB_AMORTIZACAO_U[[Q_DIAS_U_PARC_TIR]:[V_FUT_U_PCPL-02]], F$5, FALSE)</f>
        <v>#N/A</v>
      </c>
      <c r="H2458" s="20">
        <f t="shared" si="197"/>
        <v>0</v>
      </c>
      <c r="I2458" s="21">
        <f t="shared" si="198"/>
        <v>0</v>
      </c>
      <c r="J2458" s="22" t="e">
        <f>VLOOKUP($A2458, TAB_JUROS_C[[DIAS_CORRIDOS]:[V_FUT_UTEIS]], J$5, FALSE)</f>
        <v>#N/A</v>
      </c>
      <c r="K2458" s="22" t="e">
        <f>VLOOKUP($A2458, TAB_CORRECAO_C[[DIAS_CORRIDOS]:[V_FUT_UTEIS]],K$5, FALSE)</f>
        <v>#N/A</v>
      </c>
      <c r="L2458" s="22" t="e">
        <f>VLOOKUP($A2458, TAB_AMORTIZACAO_C[[DIAS_CORRIDOS]:[V_FUT_UTEIS]], L$5, FALSE)</f>
        <v>#N/A</v>
      </c>
    </row>
    <row r="2459" spans="1:12" hidden="1">
      <c r="A2459" s="19">
        <f t="shared" si="199"/>
        <v>2453</v>
      </c>
      <c r="B2459" s="20">
        <f t="shared" si="195"/>
        <v>0</v>
      </c>
      <c r="C2459" s="21">
        <f t="shared" si="196"/>
        <v>0</v>
      </c>
      <c r="D2459" s="22" t="e">
        <f>VLOOKUP($A2459, TAB_JUROS_U[[Q_DIAS_U_PARC_TIR]:[V_FUT_U_JURS CENARIO]], D$5, FALSE)</f>
        <v>#N/A</v>
      </c>
      <c r="E2459" s="22" t="e">
        <f>VLOOKUP($A2459,TAB_CORRECAO_U[[Q_DIAS_U_PARC_TIR]:[V_FUT_U_CORC-02]],E$5, FALSE)</f>
        <v>#N/A</v>
      </c>
      <c r="F2459" s="22" t="e">
        <f>VLOOKUP($A2459,TAB_AMORTIZACAO_U[[Q_DIAS_U_PARC_TIR]:[V_FUT_U_PCPL-02]], F$5, FALSE)</f>
        <v>#N/A</v>
      </c>
      <c r="H2459" s="20">
        <f t="shared" si="197"/>
        <v>0</v>
      </c>
      <c r="I2459" s="21">
        <f t="shared" si="198"/>
        <v>0</v>
      </c>
      <c r="J2459" s="22" t="e">
        <f>VLOOKUP($A2459, TAB_JUROS_C[[DIAS_CORRIDOS]:[V_FUT_UTEIS]], J$5, FALSE)</f>
        <v>#N/A</v>
      </c>
      <c r="K2459" s="22" t="e">
        <f>VLOOKUP($A2459, TAB_CORRECAO_C[[DIAS_CORRIDOS]:[V_FUT_UTEIS]],K$5, FALSE)</f>
        <v>#N/A</v>
      </c>
      <c r="L2459" s="22" t="e">
        <f>VLOOKUP($A2459, TAB_AMORTIZACAO_C[[DIAS_CORRIDOS]:[V_FUT_UTEIS]], L$5, FALSE)</f>
        <v>#N/A</v>
      </c>
    </row>
    <row r="2460" spans="1:12" hidden="1">
      <c r="A2460" s="19">
        <f t="shared" si="199"/>
        <v>2454</v>
      </c>
      <c r="B2460" s="20">
        <f t="shared" si="195"/>
        <v>0</v>
      </c>
      <c r="C2460" s="21">
        <f t="shared" si="196"/>
        <v>0</v>
      </c>
      <c r="D2460" s="22" t="e">
        <f>VLOOKUP($A2460, TAB_JUROS_U[[Q_DIAS_U_PARC_TIR]:[V_FUT_U_JURS CENARIO]], D$5, FALSE)</f>
        <v>#N/A</v>
      </c>
      <c r="E2460" s="22" t="e">
        <f>VLOOKUP($A2460,TAB_CORRECAO_U[[Q_DIAS_U_PARC_TIR]:[V_FUT_U_CORC-02]],E$5, FALSE)</f>
        <v>#N/A</v>
      </c>
      <c r="F2460" s="22" t="e">
        <f>VLOOKUP($A2460,TAB_AMORTIZACAO_U[[Q_DIAS_U_PARC_TIR]:[V_FUT_U_PCPL-02]], F$5, FALSE)</f>
        <v>#N/A</v>
      </c>
      <c r="H2460" s="20">
        <f t="shared" si="197"/>
        <v>0</v>
      </c>
      <c r="I2460" s="21">
        <f t="shared" si="198"/>
        <v>0</v>
      </c>
      <c r="J2460" s="22" t="e">
        <f>VLOOKUP($A2460, TAB_JUROS_C[[DIAS_CORRIDOS]:[V_FUT_UTEIS]], J$5, FALSE)</f>
        <v>#N/A</v>
      </c>
      <c r="K2460" s="22" t="e">
        <f>VLOOKUP($A2460, TAB_CORRECAO_C[[DIAS_CORRIDOS]:[V_FUT_UTEIS]],K$5, FALSE)</f>
        <v>#N/A</v>
      </c>
      <c r="L2460" s="22" t="e">
        <f>VLOOKUP($A2460, TAB_AMORTIZACAO_C[[DIAS_CORRIDOS]:[V_FUT_UTEIS]], L$5, FALSE)</f>
        <v>#N/A</v>
      </c>
    </row>
    <row r="2461" spans="1:12" hidden="1">
      <c r="A2461" s="19">
        <f t="shared" si="199"/>
        <v>2455</v>
      </c>
      <c r="B2461" s="20">
        <f t="shared" si="195"/>
        <v>0</v>
      </c>
      <c r="C2461" s="21">
        <f t="shared" si="196"/>
        <v>0</v>
      </c>
      <c r="D2461" s="22" t="e">
        <f>VLOOKUP($A2461, TAB_JUROS_U[[Q_DIAS_U_PARC_TIR]:[V_FUT_U_JURS CENARIO]], D$5, FALSE)</f>
        <v>#N/A</v>
      </c>
      <c r="E2461" s="22" t="e">
        <f>VLOOKUP($A2461,TAB_CORRECAO_U[[Q_DIAS_U_PARC_TIR]:[V_FUT_U_CORC-02]],E$5, FALSE)</f>
        <v>#N/A</v>
      </c>
      <c r="F2461" s="22" t="e">
        <f>VLOOKUP($A2461,TAB_AMORTIZACAO_U[[Q_DIAS_U_PARC_TIR]:[V_FUT_U_PCPL-02]], F$5, FALSE)</f>
        <v>#N/A</v>
      </c>
      <c r="H2461" s="20">
        <f t="shared" si="197"/>
        <v>0</v>
      </c>
      <c r="I2461" s="21">
        <f t="shared" si="198"/>
        <v>0</v>
      </c>
      <c r="J2461" s="22" t="e">
        <f>VLOOKUP($A2461, TAB_JUROS_C[[DIAS_CORRIDOS]:[V_FUT_UTEIS]], J$5, FALSE)</f>
        <v>#N/A</v>
      </c>
      <c r="K2461" s="22" t="e">
        <f>VLOOKUP($A2461, TAB_CORRECAO_C[[DIAS_CORRIDOS]:[V_FUT_UTEIS]],K$5, FALSE)</f>
        <v>#N/A</v>
      </c>
      <c r="L2461" s="22" t="e">
        <f>VLOOKUP($A2461, TAB_AMORTIZACAO_C[[DIAS_CORRIDOS]:[V_FUT_UTEIS]], L$5, FALSE)</f>
        <v>#N/A</v>
      </c>
    </row>
    <row r="2462" spans="1:12" hidden="1">
      <c r="A2462" s="19">
        <f t="shared" si="199"/>
        <v>2456</v>
      </c>
      <c r="B2462" s="20">
        <f t="shared" si="195"/>
        <v>0</v>
      </c>
      <c r="C2462" s="21">
        <f t="shared" si="196"/>
        <v>0</v>
      </c>
      <c r="D2462" s="22" t="e">
        <f>VLOOKUP($A2462, TAB_JUROS_U[[Q_DIAS_U_PARC_TIR]:[V_FUT_U_JURS CENARIO]], D$5, FALSE)</f>
        <v>#N/A</v>
      </c>
      <c r="E2462" s="22" t="e">
        <f>VLOOKUP($A2462,TAB_CORRECAO_U[[Q_DIAS_U_PARC_TIR]:[V_FUT_U_CORC-02]],E$5, FALSE)</f>
        <v>#N/A</v>
      </c>
      <c r="F2462" s="22" t="e">
        <f>VLOOKUP($A2462,TAB_AMORTIZACAO_U[[Q_DIAS_U_PARC_TIR]:[V_FUT_U_PCPL-02]], F$5, FALSE)</f>
        <v>#N/A</v>
      </c>
      <c r="H2462" s="20">
        <f t="shared" si="197"/>
        <v>0</v>
      </c>
      <c r="I2462" s="21">
        <f t="shared" si="198"/>
        <v>0</v>
      </c>
      <c r="J2462" s="22" t="e">
        <f>VLOOKUP($A2462, TAB_JUROS_C[[DIAS_CORRIDOS]:[V_FUT_UTEIS]], J$5, FALSE)</f>
        <v>#N/A</v>
      </c>
      <c r="K2462" s="22" t="e">
        <f>VLOOKUP($A2462, TAB_CORRECAO_C[[DIAS_CORRIDOS]:[V_FUT_UTEIS]],K$5, FALSE)</f>
        <v>#N/A</v>
      </c>
      <c r="L2462" s="22" t="e">
        <f>VLOOKUP($A2462, TAB_AMORTIZACAO_C[[DIAS_CORRIDOS]:[V_FUT_UTEIS]], L$5, FALSE)</f>
        <v>#N/A</v>
      </c>
    </row>
    <row r="2463" spans="1:12" hidden="1">
      <c r="A2463" s="19">
        <f t="shared" si="199"/>
        <v>2457</v>
      </c>
      <c r="B2463" s="20">
        <f t="shared" si="195"/>
        <v>0</v>
      </c>
      <c r="C2463" s="21">
        <f t="shared" si="196"/>
        <v>0</v>
      </c>
      <c r="D2463" s="22" t="e">
        <f>VLOOKUP($A2463, TAB_JUROS_U[[Q_DIAS_U_PARC_TIR]:[V_FUT_U_JURS CENARIO]], D$5, FALSE)</f>
        <v>#N/A</v>
      </c>
      <c r="E2463" s="22" t="e">
        <f>VLOOKUP($A2463,TAB_CORRECAO_U[[Q_DIAS_U_PARC_TIR]:[V_FUT_U_CORC-02]],E$5, FALSE)</f>
        <v>#N/A</v>
      </c>
      <c r="F2463" s="22" t="e">
        <f>VLOOKUP($A2463,TAB_AMORTIZACAO_U[[Q_DIAS_U_PARC_TIR]:[V_FUT_U_PCPL-02]], F$5, FALSE)</f>
        <v>#N/A</v>
      </c>
      <c r="H2463" s="20">
        <f t="shared" si="197"/>
        <v>0</v>
      </c>
      <c r="I2463" s="21">
        <f t="shared" si="198"/>
        <v>0</v>
      </c>
      <c r="J2463" s="22" t="e">
        <f>VLOOKUP($A2463, TAB_JUROS_C[[DIAS_CORRIDOS]:[V_FUT_UTEIS]], J$5, FALSE)</f>
        <v>#N/A</v>
      </c>
      <c r="K2463" s="22" t="e">
        <f>VLOOKUP($A2463, TAB_CORRECAO_C[[DIAS_CORRIDOS]:[V_FUT_UTEIS]],K$5, FALSE)</f>
        <v>#N/A</v>
      </c>
      <c r="L2463" s="22" t="e">
        <f>VLOOKUP($A2463, TAB_AMORTIZACAO_C[[DIAS_CORRIDOS]:[V_FUT_UTEIS]], L$5, FALSE)</f>
        <v>#N/A</v>
      </c>
    </row>
    <row r="2464" spans="1:12" hidden="1">
      <c r="A2464" s="19">
        <f t="shared" si="199"/>
        <v>2458</v>
      </c>
      <c r="B2464" s="20">
        <f t="shared" si="195"/>
        <v>0</v>
      </c>
      <c r="C2464" s="21">
        <f t="shared" si="196"/>
        <v>0</v>
      </c>
      <c r="D2464" s="22" t="e">
        <f>VLOOKUP($A2464, TAB_JUROS_U[[Q_DIAS_U_PARC_TIR]:[V_FUT_U_JURS CENARIO]], D$5, FALSE)</f>
        <v>#N/A</v>
      </c>
      <c r="E2464" s="22" t="e">
        <f>VLOOKUP($A2464,TAB_CORRECAO_U[[Q_DIAS_U_PARC_TIR]:[V_FUT_U_CORC-02]],E$5, FALSE)</f>
        <v>#N/A</v>
      </c>
      <c r="F2464" s="22" t="e">
        <f>VLOOKUP($A2464,TAB_AMORTIZACAO_U[[Q_DIAS_U_PARC_TIR]:[V_FUT_U_PCPL-02]], F$5, FALSE)</f>
        <v>#N/A</v>
      </c>
      <c r="H2464" s="20">
        <f t="shared" si="197"/>
        <v>0</v>
      </c>
      <c r="I2464" s="21">
        <f t="shared" si="198"/>
        <v>0</v>
      </c>
      <c r="J2464" s="22" t="e">
        <f>VLOOKUP($A2464, TAB_JUROS_C[[DIAS_CORRIDOS]:[V_FUT_UTEIS]], J$5, FALSE)</f>
        <v>#N/A</v>
      </c>
      <c r="K2464" s="22" t="e">
        <f>VLOOKUP($A2464, TAB_CORRECAO_C[[DIAS_CORRIDOS]:[V_FUT_UTEIS]],K$5, FALSE)</f>
        <v>#N/A</v>
      </c>
      <c r="L2464" s="22" t="e">
        <f>VLOOKUP($A2464, TAB_AMORTIZACAO_C[[DIAS_CORRIDOS]:[V_FUT_UTEIS]], L$5, FALSE)</f>
        <v>#N/A</v>
      </c>
    </row>
    <row r="2465" spans="1:12" hidden="1">
      <c r="A2465" s="19">
        <f t="shared" si="199"/>
        <v>2459</v>
      </c>
      <c r="B2465" s="20">
        <f t="shared" si="195"/>
        <v>0</v>
      </c>
      <c r="C2465" s="21">
        <f t="shared" si="196"/>
        <v>0</v>
      </c>
      <c r="D2465" s="22" t="e">
        <f>VLOOKUP($A2465, TAB_JUROS_U[[Q_DIAS_U_PARC_TIR]:[V_FUT_U_JURS CENARIO]], D$5, FALSE)</f>
        <v>#N/A</v>
      </c>
      <c r="E2465" s="22" t="e">
        <f>VLOOKUP($A2465,TAB_CORRECAO_U[[Q_DIAS_U_PARC_TIR]:[V_FUT_U_CORC-02]],E$5, FALSE)</f>
        <v>#N/A</v>
      </c>
      <c r="F2465" s="22" t="e">
        <f>VLOOKUP($A2465,TAB_AMORTIZACAO_U[[Q_DIAS_U_PARC_TIR]:[V_FUT_U_PCPL-02]], F$5, FALSE)</f>
        <v>#N/A</v>
      </c>
      <c r="H2465" s="20">
        <f t="shared" si="197"/>
        <v>0</v>
      </c>
      <c r="I2465" s="21">
        <f t="shared" si="198"/>
        <v>0</v>
      </c>
      <c r="J2465" s="22" t="e">
        <f>VLOOKUP($A2465, TAB_JUROS_C[[DIAS_CORRIDOS]:[V_FUT_UTEIS]], J$5, FALSE)</f>
        <v>#N/A</v>
      </c>
      <c r="K2465" s="22" t="e">
        <f>VLOOKUP($A2465, TAB_CORRECAO_C[[DIAS_CORRIDOS]:[V_FUT_UTEIS]],K$5, FALSE)</f>
        <v>#N/A</v>
      </c>
      <c r="L2465" s="22" t="e">
        <f>VLOOKUP($A2465, TAB_AMORTIZACAO_C[[DIAS_CORRIDOS]:[V_FUT_UTEIS]], L$5, FALSE)</f>
        <v>#N/A</v>
      </c>
    </row>
    <row r="2466" spans="1:12">
      <c r="A2466" s="19">
        <f t="shared" si="199"/>
        <v>2460</v>
      </c>
      <c r="B2466" s="20">
        <f t="shared" si="195"/>
        <v>172.96935149364776</v>
      </c>
      <c r="C2466" s="21">
        <f t="shared" si="196"/>
        <v>172.96935149364776</v>
      </c>
      <c r="D2466" s="22">
        <f>VLOOKUP($A2466, TAB_JUROS_U[[Q_DIAS_U_PARC_TIR]:[V_FUT_U_JURS CENARIO]], D$5, FALSE)</f>
        <v>7.1251532206376051</v>
      </c>
      <c r="E2466" s="22">
        <f>VLOOKUP($A2466,TAB_CORRECAO_U[[Q_DIAS_U_PARC_TIR]:[V_FUT_U_CORC-02]],E$5, FALSE)</f>
        <v>42.39159673890363</v>
      </c>
      <c r="F2466" s="22">
        <f>VLOOKUP($A2466,TAB_AMORTIZACAO_U[[Q_DIAS_U_PARC_TIR]:[V_FUT_U_PCPL-02]], F$5, FALSE)</f>
        <v>123.45260153410653</v>
      </c>
      <c r="H2466" s="20">
        <f t="shared" si="197"/>
        <v>0</v>
      </c>
      <c r="I2466" s="21">
        <f t="shared" si="198"/>
        <v>0</v>
      </c>
      <c r="J2466" s="22" t="e">
        <f>VLOOKUP($A2466, TAB_JUROS_C[[DIAS_CORRIDOS]:[V_FUT_UTEIS]], J$5, FALSE)</f>
        <v>#N/A</v>
      </c>
      <c r="K2466" s="22" t="e">
        <f>VLOOKUP($A2466, TAB_CORRECAO_C[[DIAS_CORRIDOS]:[V_FUT_UTEIS]],K$5, FALSE)</f>
        <v>#N/A</v>
      </c>
      <c r="L2466" s="22" t="e">
        <f>VLOOKUP($A2466, TAB_AMORTIZACAO_C[[DIAS_CORRIDOS]:[V_FUT_UTEIS]], L$5, FALSE)</f>
        <v>#N/A</v>
      </c>
    </row>
    <row r="2467" spans="1:12" hidden="1">
      <c r="A2467" s="19">
        <f t="shared" si="199"/>
        <v>2461</v>
      </c>
      <c r="B2467" s="20">
        <f t="shared" si="195"/>
        <v>0</v>
      </c>
      <c r="C2467" s="21">
        <f t="shared" si="196"/>
        <v>0</v>
      </c>
      <c r="D2467" s="22" t="e">
        <f>VLOOKUP($A2467, TAB_JUROS_U[[Q_DIAS_U_PARC_TIR]:[V_FUT_U_JURS CENARIO]], D$5, FALSE)</f>
        <v>#N/A</v>
      </c>
      <c r="E2467" s="22" t="e">
        <f>VLOOKUP($A2467,TAB_CORRECAO_U[[Q_DIAS_U_PARC_TIR]:[V_FUT_U_CORC-02]],E$5, FALSE)</f>
        <v>#N/A</v>
      </c>
      <c r="F2467" s="22" t="e">
        <f>VLOOKUP($A2467,TAB_AMORTIZACAO_U[[Q_DIAS_U_PARC_TIR]:[V_FUT_U_PCPL-02]], F$5, FALSE)</f>
        <v>#N/A</v>
      </c>
      <c r="H2467" s="20">
        <f t="shared" si="197"/>
        <v>0</v>
      </c>
      <c r="I2467" s="21">
        <f t="shared" si="198"/>
        <v>0</v>
      </c>
      <c r="J2467" s="22" t="e">
        <f>VLOOKUP($A2467, TAB_JUROS_C[[DIAS_CORRIDOS]:[V_FUT_UTEIS]], J$5, FALSE)</f>
        <v>#N/A</v>
      </c>
      <c r="K2467" s="22" t="e">
        <f>VLOOKUP($A2467, TAB_CORRECAO_C[[DIAS_CORRIDOS]:[V_FUT_UTEIS]],K$5, FALSE)</f>
        <v>#N/A</v>
      </c>
      <c r="L2467" s="22" t="e">
        <f>VLOOKUP($A2467, TAB_AMORTIZACAO_C[[DIAS_CORRIDOS]:[V_FUT_UTEIS]], L$5, FALSE)</f>
        <v>#N/A</v>
      </c>
    </row>
    <row r="2468" spans="1:12" hidden="1">
      <c r="A2468" s="19">
        <f t="shared" si="199"/>
        <v>2462</v>
      </c>
      <c r="B2468" s="20">
        <f t="shared" si="195"/>
        <v>0</v>
      </c>
      <c r="C2468" s="21">
        <f t="shared" si="196"/>
        <v>0</v>
      </c>
      <c r="D2468" s="22" t="e">
        <f>VLOOKUP($A2468, TAB_JUROS_U[[Q_DIAS_U_PARC_TIR]:[V_FUT_U_JURS CENARIO]], D$5, FALSE)</f>
        <v>#N/A</v>
      </c>
      <c r="E2468" s="22" t="e">
        <f>VLOOKUP($A2468,TAB_CORRECAO_U[[Q_DIAS_U_PARC_TIR]:[V_FUT_U_CORC-02]],E$5, FALSE)</f>
        <v>#N/A</v>
      </c>
      <c r="F2468" s="22" t="e">
        <f>VLOOKUP($A2468,TAB_AMORTIZACAO_U[[Q_DIAS_U_PARC_TIR]:[V_FUT_U_PCPL-02]], F$5, FALSE)</f>
        <v>#N/A</v>
      </c>
      <c r="H2468" s="20">
        <f t="shared" si="197"/>
        <v>0</v>
      </c>
      <c r="I2468" s="21">
        <f t="shared" si="198"/>
        <v>0</v>
      </c>
      <c r="J2468" s="22" t="e">
        <f>VLOOKUP($A2468, TAB_JUROS_C[[DIAS_CORRIDOS]:[V_FUT_UTEIS]], J$5, FALSE)</f>
        <v>#N/A</v>
      </c>
      <c r="K2468" s="22" t="e">
        <f>VLOOKUP($A2468, TAB_CORRECAO_C[[DIAS_CORRIDOS]:[V_FUT_UTEIS]],K$5, FALSE)</f>
        <v>#N/A</v>
      </c>
      <c r="L2468" s="22" t="e">
        <f>VLOOKUP($A2468, TAB_AMORTIZACAO_C[[DIAS_CORRIDOS]:[V_FUT_UTEIS]], L$5, FALSE)</f>
        <v>#N/A</v>
      </c>
    </row>
    <row r="2469" spans="1:12" hidden="1">
      <c r="A2469" s="19">
        <f t="shared" si="199"/>
        <v>2463</v>
      </c>
      <c r="B2469" s="20">
        <f t="shared" si="195"/>
        <v>0</v>
      </c>
      <c r="C2469" s="21">
        <f t="shared" si="196"/>
        <v>0</v>
      </c>
      <c r="D2469" s="22" t="e">
        <f>VLOOKUP($A2469, TAB_JUROS_U[[Q_DIAS_U_PARC_TIR]:[V_FUT_U_JURS CENARIO]], D$5, FALSE)</f>
        <v>#N/A</v>
      </c>
      <c r="E2469" s="22" t="e">
        <f>VLOOKUP($A2469,TAB_CORRECAO_U[[Q_DIAS_U_PARC_TIR]:[V_FUT_U_CORC-02]],E$5, FALSE)</f>
        <v>#N/A</v>
      </c>
      <c r="F2469" s="22" t="e">
        <f>VLOOKUP($A2469,TAB_AMORTIZACAO_U[[Q_DIAS_U_PARC_TIR]:[V_FUT_U_PCPL-02]], F$5, FALSE)</f>
        <v>#N/A</v>
      </c>
      <c r="H2469" s="20">
        <f t="shared" si="197"/>
        <v>0</v>
      </c>
      <c r="I2469" s="21">
        <f t="shared" si="198"/>
        <v>0</v>
      </c>
      <c r="J2469" s="22" t="e">
        <f>VLOOKUP($A2469, TAB_JUROS_C[[DIAS_CORRIDOS]:[V_FUT_UTEIS]], J$5, FALSE)</f>
        <v>#N/A</v>
      </c>
      <c r="K2469" s="22" t="e">
        <f>VLOOKUP($A2469, TAB_CORRECAO_C[[DIAS_CORRIDOS]:[V_FUT_UTEIS]],K$5, FALSE)</f>
        <v>#N/A</v>
      </c>
      <c r="L2469" s="22" t="e">
        <f>VLOOKUP($A2469, TAB_AMORTIZACAO_C[[DIAS_CORRIDOS]:[V_FUT_UTEIS]], L$5, FALSE)</f>
        <v>#N/A</v>
      </c>
    </row>
    <row r="2470" spans="1:12" hidden="1">
      <c r="A2470" s="19">
        <f t="shared" si="199"/>
        <v>2464</v>
      </c>
      <c r="B2470" s="20">
        <f t="shared" si="195"/>
        <v>0</v>
      </c>
      <c r="C2470" s="21">
        <f t="shared" si="196"/>
        <v>0</v>
      </c>
      <c r="D2470" s="22" t="e">
        <f>VLOOKUP($A2470, TAB_JUROS_U[[Q_DIAS_U_PARC_TIR]:[V_FUT_U_JURS CENARIO]], D$5, FALSE)</f>
        <v>#N/A</v>
      </c>
      <c r="E2470" s="22" t="e">
        <f>VLOOKUP($A2470,TAB_CORRECAO_U[[Q_DIAS_U_PARC_TIR]:[V_FUT_U_CORC-02]],E$5, FALSE)</f>
        <v>#N/A</v>
      </c>
      <c r="F2470" s="22" t="e">
        <f>VLOOKUP($A2470,TAB_AMORTIZACAO_U[[Q_DIAS_U_PARC_TIR]:[V_FUT_U_PCPL-02]], F$5, FALSE)</f>
        <v>#N/A</v>
      </c>
      <c r="H2470" s="20">
        <f t="shared" si="197"/>
        <v>0</v>
      </c>
      <c r="I2470" s="21">
        <f t="shared" si="198"/>
        <v>0</v>
      </c>
      <c r="J2470" s="22" t="e">
        <f>VLOOKUP($A2470, TAB_JUROS_C[[DIAS_CORRIDOS]:[V_FUT_UTEIS]], J$5, FALSE)</f>
        <v>#N/A</v>
      </c>
      <c r="K2470" s="22" t="e">
        <f>VLOOKUP($A2470, TAB_CORRECAO_C[[DIAS_CORRIDOS]:[V_FUT_UTEIS]],K$5, FALSE)</f>
        <v>#N/A</v>
      </c>
      <c r="L2470" s="22" t="e">
        <f>VLOOKUP($A2470, TAB_AMORTIZACAO_C[[DIAS_CORRIDOS]:[V_FUT_UTEIS]], L$5, FALSE)</f>
        <v>#N/A</v>
      </c>
    </row>
    <row r="2471" spans="1:12" hidden="1">
      <c r="A2471" s="19">
        <f t="shared" si="199"/>
        <v>2465</v>
      </c>
      <c r="B2471" s="20">
        <f t="shared" si="195"/>
        <v>0</v>
      </c>
      <c r="C2471" s="21">
        <f t="shared" si="196"/>
        <v>0</v>
      </c>
      <c r="D2471" s="22" t="e">
        <f>VLOOKUP($A2471, TAB_JUROS_U[[Q_DIAS_U_PARC_TIR]:[V_FUT_U_JURS CENARIO]], D$5, FALSE)</f>
        <v>#N/A</v>
      </c>
      <c r="E2471" s="22" t="e">
        <f>VLOOKUP($A2471,TAB_CORRECAO_U[[Q_DIAS_U_PARC_TIR]:[V_FUT_U_CORC-02]],E$5, FALSE)</f>
        <v>#N/A</v>
      </c>
      <c r="F2471" s="22" t="e">
        <f>VLOOKUP($A2471,TAB_AMORTIZACAO_U[[Q_DIAS_U_PARC_TIR]:[V_FUT_U_PCPL-02]], F$5, FALSE)</f>
        <v>#N/A</v>
      </c>
      <c r="H2471" s="20">
        <f t="shared" si="197"/>
        <v>0</v>
      </c>
      <c r="I2471" s="21">
        <f t="shared" si="198"/>
        <v>0</v>
      </c>
      <c r="J2471" s="22" t="e">
        <f>VLOOKUP($A2471, TAB_JUROS_C[[DIAS_CORRIDOS]:[V_FUT_UTEIS]], J$5, FALSE)</f>
        <v>#N/A</v>
      </c>
      <c r="K2471" s="22" t="e">
        <f>VLOOKUP($A2471, TAB_CORRECAO_C[[DIAS_CORRIDOS]:[V_FUT_UTEIS]],K$5, FALSE)</f>
        <v>#N/A</v>
      </c>
      <c r="L2471" s="22" t="e">
        <f>VLOOKUP($A2471, TAB_AMORTIZACAO_C[[DIAS_CORRIDOS]:[V_FUT_UTEIS]], L$5, FALSE)</f>
        <v>#N/A</v>
      </c>
    </row>
    <row r="2472" spans="1:12" hidden="1">
      <c r="A2472" s="19">
        <f t="shared" si="199"/>
        <v>2466</v>
      </c>
      <c r="B2472" s="20">
        <f t="shared" si="195"/>
        <v>0</v>
      </c>
      <c r="C2472" s="21">
        <f t="shared" si="196"/>
        <v>0</v>
      </c>
      <c r="D2472" s="22" t="e">
        <f>VLOOKUP($A2472, TAB_JUROS_U[[Q_DIAS_U_PARC_TIR]:[V_FUT_U_JURS CENARIO]], D$5, FALSE)</f>
        <v>#N/A</v>
      </c>
      <c r="E2472" s="22" t="e">
        <f>VLOOKUP($A2472,TAB_CORRECAO_U[[Q_DIAS_U_PARC_TIR]:[V_FUT_U_CORC-02]],E$5, FALSE)</f>
        <v>#N/A</v>
      </c>
      <c r="F2472" s="22" t="e">
        <f>VLOOKUP($A2472,TAB_AMORTIZACAO_U[[Q_DIAS_U_PARC_TIR]:[V_FUT_U_PCPL-02]], F$5, FALSE)</f>
        <v>#N/A</v>
      </c>
      <c r="H2472" s="20">
        <f t="shared" si="197"/>
        <v>0</v>
      </c>
      <c r="I2472" s="21">
        <f t="shared" si="198"/>
        <v>0</v>
      </c>
      <c r="J2472" s="22" t="e">
        <f>VLOOKUP($A2472, TAB_JUROS_C[[DIAS_CORRIDOS]:[V_FUT_UTEIS]], J$5, FALSE)</f>
        <v>#N/A</v>
      </c>
      <c r="K2472" s="22" t="e">
        <f>VLOOKUP($A2472, TAB_CORRECAO_C[[DIAS_CORRIDOS]:[V_FUT_UTEIS]],K$5, FALSE)</f>
        <v>#N/A</v>
      </c>
      <c r="L2472" s="22" t="e">
        <f>VLOOKUP($A2472, TAB_AMORTIZACAO_C[[DIAS_CORRIDOS]:[V_FUT_UTEIS]], L$5, FALSE)</f>
        <v>#N/A</v>
      </c>
    </row>
    <row r="2473" spans="1:12" hidden="1">
      <c r="A2473" s="19">
        <f t="shared" si="199"/>
        <v>2467</v>
      </c>
      <c r="B2473" s="20">
        <f t="shared" si="195"/>
        <v>0</v>
      </c>
      <c r="C2473" s="21">
        <f t="shared" si="196"/>
        <v>0</v>
      </c>
      <c r="D2473" s="22" t="e">
        <f>VLOOKUP($A2473, TAB_JUROS_U[[Q_DIAS_U_PARC_TIR]:[V_FUT_U_JURS CENARIO]], D$5, FALSE)</f>
        <v>#N/A</v>
      </c>
      <c r="E2473" s="22" t="e">
        <f>VLOOKUP($A2473,TAB_CORRECAO_U[[Q_DIAS_U_PARC_TIR]:[V_FUT_U_CORC-02]],E$5, FALSE)</f>
        <v>#N/A</v>
      </c>
      <c r="F2473" s="22" t="e">
        <f>VLOOKUP($A2473,TAB_AMORTIZACAO_U[[Q_DIAS_U_PARC_TIR]:[V_FUT_U_PCPL-02]], F$5, FALSE)</f>
        <v>#N/A</v>
      </c>
      <c r="H2473" s="20">
        <f t="shared" si="197"/>
        <v>0</v>
      </c>
      <c r="I2473" s="21">
        <f t="shared" si="198"/>
        <v>0</v>
      </c>
      <c r="J2473" s="22" t="e">
        <f>VLOOKUP($A2473, TAB_JUROS_C[[DIAS_CORRIDOS]:[V_FUT_UTEIS]], J$5, FALSE)</f>
        <v>#N/A</v>
      </c>
      <c r="K2473" s="22" t="e">
        <f>VLOOKUP($A2473, TAB_CORRECAO_C[[DIAS_CORRIDOS]:[V_FUT_UTEIS]],K$5, FALSE)</f>
        <v>#N/A</v>
      </c>
      <c r="L2473" s="22" t="e">
        <f>VLOOKUP($A2473, TAB_AMORTIZACAO_C[[DIAS_CORRIDOS]:[V_FUT_UTEIS]], L$5, FALSE)</f>
        <v>#N/A</v>
      </c>
    </row>
    <row r="2474" spans="1:12" hidden="1">
      <c r="A2474" s="19">
        <f t="shared" si="199"/>
        <v>2468</v>
      </c>
      <c r="B2474" s="20">
        <f t="shared" si="195"/>
        <v>0</v>
      </c>
      <c r="C2474" s="21">
        <f t="shared" si="196"/>
        <v>0</v>
      </c>
      <c r="D2474" s="22" t="e">
        <f>VLOOKUP($A2474, TAB_JUROS_U[[Q_DIAS_U_PARC_TIR]:[V_FUT_U_JURS CENARIO]], D$5, FALSE)</f>
        <v>#N/A</v>
      </c>
      <c r="E2474" s="22" t="e">
        <f>VLOOKUP($A2474,TAB_CORRECAO_U[[Q_DIAS_U_PARC_TIR]:[V_FUT_U_CORC-02]],E$5, FALSE)</f>
        <v>#N/A</v>
      </c>
      <c r="F2474" s="22" t="e">
        <f>VLOOKUP($A2474,TAB_AMORTIZACAO_U[[Q_DIAS_U_PARC_TIR]:[V_FUT_U_PCPL-02]], F$5, FALSE)</f>
        <v>#N/A</v>
      </c>
      <c r="H2474" s="20">
        <f t="shared" si="197"/>
        <v>0</v>
      </c>
      <c r="I2474" s="21">
        <f t="shared" si="198"/>
        <v>0</v>
      </c>
      <c r="J2474" s="22" t="e">
        <f>VLOOKUP($A2474, TAB_JUROS_C[[DIAS_CORRIDOS]:[V_FUT_UTEIS]], J$5, FALSE)</f>
        <v>#N/A</v>
      </c>
      <c r="K2474" s="22" t="e">
        <f>VLOOKUP($A2474, TAB_CORRECAO_C[[DIAS_CORRIDOS]:[V_FUT_UTEIS]],K$5, FALSE)</f>
        <v>#N/A</v>
      </c>
      <c r="L2474" s="22" t="e">
        <f>VLOOKUP($A2474, TAB_AMORTIZACAO_C[[DIAS_CORRIDOS]:[V_FUT_UTEIS]], L$5, FALSE)</f>
        <v>#N/A</v>
      </c>
    </row>
    <row r="2475" spans="1:12" hidden="1">
      <c r="A2475" s="19">
        <f t="shared" si="199"/>
        <v>2469</v>
      </c>
      <c r="B2475" s="20">
        <f t="shared" si="195"/>
        <v>0</v>
      </c>
      <c r="C2475" s="21">
        <f t="shared" si="196"/>
        <v>0</v>
      </c>
      <c r="D2475" s="22" t="e">
        <f>VLOOKUP($A2475, TAB_JUROS_U[[Q_DIAS_U_PARC_TIR]:[V_FUT_U_JURS CENARIO]], D$5, FALSE)</f>
        <v>#N/A</v>
      </c>
      <c r="E2475" s="22" t="e">
        <f>VLOOKUP($A2475,TAB_CORRECAO_U[[Q_DIAS_U_PARC_TIR]:[V_FUT_U_CORC-02]],E$5, FALSE)</f>
        <v>#N/A</v>
      </c>
      <c r="F2475" s="22" t="e">
        <f>VLOOKUP($A2475,TAB_AMORTIZACAO_U[[Q_DIAS_U_PARC_TIR]:[V_FUT_U_PCPL-02]], F$5, FALSE)</f>
        <v>#N/A</v>
      </c>
      <c r="H2475" s="20">
        <f t="shared" si="197"/>
        <v>0</v>
      </c>
      <c r="I2475" s="21">
        <f t="shared" si="198"/>
        <v>0</v>
      </c>
      <c r="J2475" s="22" t="e">
        <f>VLOOKUP($A2475, TAB_JUROS_C[[DIAS_CORRIDOS]:[V_FUT_UTEIS]], J$5, FALSE)</f>
        <v>#N/A</v>
      </c>
      <c r="K2475" s="22" t="e">
        <f>VLOOKUP($A2475, TAB_CORRECAO_C[[DIAS_CORRIDOS]:[V_FUT_UTEIS]],K$5, FALSE)</f>
        <v>#N/A</v>
      </c>
      <c r="L2475" s="22" t="e">
        <f>VLOOKUP($A2475, TAB_AMORTIZACAO_C[[DIAS_CORRIDOS]:[V_FUT_UTEIS]], L$5, FALSE)</f>
        <v>#N/A</v>
      </c>
    </row>
    <row r="2476" spans="1:12" hidden="1">
      <c r="A2476" s="19">
        <f t="shared" si="199"/>
        <v>2470</v>
      </c>
      <c r="B2476" s="20">
        <f t="shared" si="195"/>
        <v>0</v>
      </c>
      <c r="C2476" s="21">
        <f t="shared" si="196"/>
        <v>0</v>
      </c>
      <c r="D2476" s="22" t="e">
        <f>VLOOKUP($A2476, TAB_JUROS_U[[Q_DIAS_U_PARC_TIR]:[V_FUT_U_JURS CENARIO]], D$5, FALSE)</f>
        <v>#N/A</v>
      </c>
      <c r="E2476" s="22" t="e">
        <f>VLOOKUP($A2476,TAB_CORRECAO_U[[Q_DIAS_U_PARC_TIR]:[V_FUT_U_CORC-02]],E$5, FALSE)</f>
        <v>#N/A</v>
      </c>
      <c r="F2476" s="22" t="e">
        <f>VLOOKUP($A2476,TAB_AMORTIZACAO_U[[Q_DIAS_U_PARC_TIR]:[V_FUT_U_PCPL-02]], F$5, FALSE)</f>
        <v>#N/A</v>
      </c>
      <c r="H2476" s="20">
        <f t="shared" si="197"/>
        <v>0</v>
      </c>
      <c r="I2476" s="21">
        <f t="shared" si="198"/>
        <v>0</v>
      </c>
      <c r="J2476" s="22" t="e">
        <f>VLOOKUP($A2476, TAB_JUROS_C[[DIAS_CORRIDOS]:[V_FUT_UTEIS]], J$5, FALSE)</f>
        <v>#N/A</v>
      </c>
      <c r="K2476" s="22" t="e">
        <f>VLOOKUP($A2476, TAB_CORRECAO_C[[DIAS_CORRIDOS]:[V_FUT_UTEIS]],K$5, FALSE)</f>
        <v>#N/A</v>
      </c>
      <c r="L2476" s="22" t="e">
        <f>VLOOKUP($A2476, TAB_AMORTIZACAO_C[[DIAS_CORRIDOS]:[V_FUT_UTEIS]], L$5, FALSE)</f>
        <v>#N/A</v>
      </c>
    </row>
    <row r="2477" spans="1:12" hidden="1">
      <c r="A2477" s="19">
        <f t="shared" si="199"/>
        <v>2471</v>
      </c>
      <c r="B2477" s="20">
        <f t="shared" si="195"/>
        <v>0</v>
      </c>
      <c r="C2477" s="21">
        <f t="shared" si="196"/>
        <v>0</v>
      </c>
      <c r="D2477" s="22" t="e">
        <f>VLOOKUP($A2477, TAB_JUROS_U[[Q_DIAS_U_PARC_TIR]:[V_FUT_U_JURS CENARIO]], D$5, FALSE)</f>
        <v>#N/A</v>
      </c>
      <c r="E2477" s="22" t="e">
        <f>VLOOKUP($A2477,TAB_CORRECAO_U[[Q_DIAS_U_PARC_TIR]:[V_FUT_U_CORC-02]],E$5, FALSE)</f>
        <v>#N/A</v>
      </c>
      <c r="F2477" s="22" t="e">
        <f>VLOOKUP($A2477,TAB_AMORTIZACAO_U[[Q_DIAS_U_PARC_TIR]:[V_FUT_U_PCPL-02]], F$5, FALSE)</f>
        <v>#N/A</v>
      </c>
      <c r="H2477" s="20">
        <f t="shared" si="197"/>
        <v>0</v>
      </c>
      <c r="I2477" s="21">
        <f t="shared" si="198"/>
        <v>0</v>
      </c>
      <c r="J2477" s="22" t="e">
        <f>VLOOKUP($A2477, TAB_JUROS_C[[DIAS_CORRIDOS]:[V_FUT_UTEIS]], J$5, FALSE)</f>
        <v>#N/A</v>
      </c>
      <c r="K2477" s="22" t="e">
        <f>VLOOKUP($A2477, TAB_CORRECAO_C[[DIAS_CORRIDOS]:[V_FUT_UTEIS]],K$5, FALSE)</f>
        <v>#N/A</v>
      </c>
      <c r="L2477" s="22" t="e">
        <f>VLOOKUP($A2477, TAB_AMORTIZACAO_C[[DIAS_CORRIDOS]:[V_FUT_UTEIS]], L$5, FALSE)</f>
        <v>#N/A</v>
      </c>
    </row>
    <row r="2478" spans="1:12" hidden="1">
      <c r="A2478" s="19">
        <f t="shared" si="199"/>
        <v>2472</v>
      </c>
      <c r="B2478" s="20">
        <f t="shared" si="195"/>
        <v>0</v>
      </c>
      <c r="C2478" s="21">
        <f t="shared" si="196"/>
        <v>0</v>
      </c>
      <c r="D2478" s="22" t="e">
        <f>VLOOKUP($A2478, TAB_JUROS_U[[Q_DIAS_U_PARC_TIR]:[V_FUT_U_JURS CENARIO]], D$5, FALSE)</f>
        <v>#N/A</v>
      </c>
      <c r="E2478" s="22" t="e">
        <f>VLOOKUP($A2478,TAB_CORRECAO_U[[Q_DIAS_U_PARC_TIR]:[V_FUT_U_CORC-02]],E$5, FALSE)</f>
        <v>#N/A</v>
      </c>
      <c r="F2478" s="22" t="e">
        <f>VLOOKUP($A2478,TAB_AMORTIZACAO_U[[Q_DIAS_U_PARC_TIR]:[V_FUT_U_PCPL-02]], F$5, FALSE)</f>
        <v>#N/A</v>
      </c>
      <c r="H2478" s="20">
        <f t="shared" si="197"/>
        <v>0</v>
      </c>
      <c r="I2478" s="21">
        <f t="shared" si="198"/>
        <v>0</v>
      </c>
      <c r="J2478" s="22" t="e">
        <f>VLOOKUP($A2478, TAB_JUROS_C[[DIAS_CORRIDOS]:[V_FUT_UTEIS]], J$5, FALSE)</f>
        <v>#N/A</v>
      </c>
      <c r="K2478" s="22" t="e">
        <f>VLOOKUP($A2478, TAB_CORRECAO_C[[DIAS_CORRIDOS]:[V_FUT_UTEIS]],K$5, FALSE)</f>
        <v>#N/A</v>
      </c>
      <c r="L2478" s="22" t="e">
        <f>VLOOKUP($A2478, TAB_AMORTIZACAO_C[[DIAS_CORRIDOS]:[V_FUT_UTEIS]], L$5, FALSE)</f>
        <v>#N/A</v>
      </c>
    </row>
    <row r="2479" spans="1:12" hidden="1">
      <c r="A2479" s="19">
        <f t="shared" si="199"/>
        <v>2473</v>
      </c>
      <c r="B2479" s="20">
        <f t="shared" si="195"/>
        <v>0</v>
      </c>
      <c r="C2479" s="21">
        <f t="shared" si="196"/>
        <v>0</v>
      </c>
      <c r="D2479" s="22" t="e">
        <f>VLOOKUP($A2479, TAB_JUROS_U[[Q_DIAS_U_PARC_TIR]:[V_FUT_U_JURS CENARIO]], D$5, FALSE)</f>
        <v>#N/A</v>
      </c>
      <c r="E2479" s="22" t="e">
        <f>VLOOKUP($A2479,TAB_CORRECAO_U[[Q_DIAS_U_PARC_TIR]:[V_FUT_U_CORC-02]],E$5, FALSE)</f>
        <v>#N/A</v>
      </c>
      <c r="F2479" s="22" t="e">
        <f>VLOOKUP($A2479,TAB_AMORTIZACAO_U[[Q_DIAS_U_PARC_TIR]:[V_FUT_U_PCPL-02]], F$5, FALSE)</f>
        <v>#N/A</v>
      </c>
      <c r="H2479" s="20">
        <f t="shared" si="197"/>
        <v>0</v>
      </c>
      <c r="I2479" s="21">
        <f t="shared" si="198"/>
        <v>0</v>
      </c>
      <c r="J2479" s="22" t="e">
        <f>VLOOKUP($A2479, TAB_JUROS_C[[DIAS_CORRIDOS]:[V_FUT_UTEIS]], J$5, FALSE)</f>
        <v>#N/A</v>
      </c>
      <c r="K2479" s="22" t="e">
        <f>VLOOKUP($A2479, TAB_CORRECAO_C[[DIAS_CORRIDOS]:[V_FUT_UTEIS]],K$5, FALSE)</f>
        <v>#N/A</v>
      </c>
      <c r="L2479" s="22" t="e">
        <f>VLOOKUP($A2479, TAB_AMORTIZACAO_C[[DIAS_CORRIDOS]:[V_FUT_UTEIS]], L$5, FALSE)</f>
        <v>#N/A</v>
      </c>
    </row>
    <row r="2480" spans="1:12" hidden="1">
      <c r="A2480" s="19">
        <f t="shared" si="199"/>
        <v>2474</v>
      </c>
      <c r="B2480" s="20">
        <f t="shared" si="195"/>
        <v>0</v>
      </c>
      <c r="C2480" s="21">
        <f t="shared" si="196"/>
        <v>0</v>
      </c>
      <c r="D2480" s="22" t="e">
        <f>VLOOKUP($A2480, TAB_JUROS_U[[Q_DIAS_U_PARC_TIR]:[V_FUT_U_JURS CENARIO]], D$5, FALSE)</f>
        <v>#N/A</v>
      </c>
      <c r="E2480" s="22" t="e">
        <f>VLOOKUP($A2480,TAB_CORRECAO_U[[Q_DIAS_U_PARC_TIR]:[V_FUT_U_CORC-02]],E$5, FALSE)</f>
        <v>#N/A</v>
      </c>
      <c r="F2480" s="22" t="e">
        <f>VLOOKUP($A2480,TAB_AMORTIZACAO_U[[Q_DIAS_U_PARC_TIR]:[V_FUT_U_PCPL-02]], F$5, FALSE)</f>
        <v>#N/A</v>
      </c>
      <c r="H2480" s="20">
        <f t="shared" si="197"/>
        <v>0</v>
      </c>
      <c r="I2480" s="21">
        <f t="shared" si="198"/>
        <v>0</v>
      </c>
      <c r="J2480" s="22" t="e">
        <f>VLOOKUP($A2480, TAB_JUROS_C[[DIAS_CORRIDOS]:[V_FUT_UTEIS]], J$5, FALSE)</f>
        <v>#N/A</v>
      </c>
      <c r="K2480" s="22" t="e">
        <f>VLOOKUP($A2480, TAB_CORRECAO_C[[DIAS_CORRIDOS]:[V_FUT_UTEIS]],K$5, FALSE)</f>
        <v>#N/A</v>
      </c>
      <c r="L2480" s="22" t="e">
        <f>VLOOKUP($A2480, TAB_AMORTIZACAO_C[[DIAS_CORRIDOS]:[V_FUT_UTEIS]], L$5, FALSE)</f>
        <v>#N/A</v>
      </c>
    </row>
    <row r="2481" spans="1:12" hidden="1">
      <c r="A2481" s="19">
        <f t="shared" si="199"/>
        <v>2475</v>
      </c>
      <c r="B2481" s="20">
        <f t="shared" si="195"/>
        <v>0</v>
      </c>
      <c r="C2481" s="21">
        <f t="shared" si="196"/>
        <v>0</v>
      </c>
      <c r="D2481" s="22" t="e">
        <f>VLOOKUP($A2481, TAB_JUROS_U[[Q_DIAS_U_PARC_TIR]:[V_FUT_U_JURS CENARIO]], D$5, FALSE)</f>
        <v>#N/A</v>
      </c>
      <c r="E2481" s="22" t="e">
        <f>VLOOKUP($A2481,TAB_CORRECAO_U[[Q_DIAS_U_PARC_TIR]:[V_FUT_U_CORC-02]],E$5, FALSE)</f>
        <v>#N/A</v>
      </c>
      <c r="F2481" s="22" t="e">
        <f>VLOOKUP($A2481,TAB_AMORTIZACAO_U[[Q_DIAS_U_PARC_TIR]:[V_FUT_U_PCPL-02]], F$5, FALSE)</f>
        <v>#N/A</v>
      </c>
      <c r="H2481" s="20">
        <f t="shared" si="197"/>
        <v>0</v>
      </c>
      <c r="I2481" s="21">
        <f t="shared" si="198"/>
        <v>0</v>
      </c>
      <c r="J2481" s="22" t="e">
        <f>VLOOKUP($A2481, TAB_JUROS_C[[DIAS_CORRIDOS]:[V_FUT_UTEIS]], J$5, FALSE)</f>
        <v>#N/A</v>
      </c>
      <c r="K2481" s="22" t="e">
        <f>VLOOKUP($A2481, TAB_CORRECAO_C[[DIAS_CORRIDOS]:[V_FUT_UTEIS]],K$5, FALSE)</f>
        <v>#N/A</v>
      </c>
      <c r="L2481" s="22" t="e">
        <f>VLOOKUP($A2481, TAB_AMORTIZACAO_C[[DIAS_CORRIDOS]:[V_FUT_UTEIS]], L$5, FALSE)</f>
        <v>#N/A</v>
      </c>
    </row>
    <row r="2482" spans="1:12" hidden="1">
      <c r="A2482" s="19">
        <f t="shared" si="199"/>
        <v>2476</v>
      </c>
      <c r="B2482" s="20">
        <f t="shared" si="195"/>
        <v>0</v>
      </c>
      <c r="C2482" s="21">
        <f t="shared" si="196"/>
        <v>0</v>
      </c>
      <c r="D2482" s="22" t="e">
        <f>VLOOKUP($A2482, TAB_JUROS_U[[Q_DIAS_U_PARC_TIR]:[V_FUT_U_JURS CENARIO]], D$5, FALSE)</f>
        <v>#N/A</v>
      </c>
      <c r="E2482" s="22" t="e">
        <f>VLOOKUP($A2482,TAB_CORRECAO_U[[Q_DIAS_U_PARC_TIR]:[V_FUT_U_CORC-02]],E$5, FALSE)</f>
        <v>#N/A</v>
      </c>
      <c r="F2482" s="22" t="e">
        <f>VLOOKUP($A2482,TAB_AMORTIZACAO_U[[Q_DIAS_U_PARC_TIR]:[V_FUT_U_PCPL-02]], F$5, FALSE)</f>
        <v>#N/A</v>
      </c>
      <c r="H2482" s="20">
        <f t="shared" si="197"/>
        <v>0</v>
      </c>
      <c r="I2482" s="21">
        <f t="shared" si="198"/>
        <v>0</v>
      </c>
      <c r="J2482" s="22" t="e">
        <f>VLOOKUP($A2482, TAB_JUROS_C[[DIAS_CORRIDOS]:[V_FUT_UTEIS]], J$5, FALSE)</f>
        <v>#N/A</v>
      </c>
      <c r="K2482" s="22" t="e">
        <f>VLOOKUP($A2482, TAB_CORRECAO_C[[DIAS_CORRIDOS]:[V_FUT_UTEIS]],K$5, FALSE)</f>
        <v>#N/A</v>
      </c>
      <c r="L2482" s="22" t="e">
        <f>VLOOKUP($A2482, TAB_AMORTIZACAO_C[[DIAS_CORRIDOS]:[V_FUT_UTEIS]], L$5, FALSE)</f>
        <v>#N/A</v>
      </c>
    </row>
    <row r="2483" spans="1:12" hidden="1">
      <c r="A2483" s="19">
        <f t="shared" si="199"/>
        <v>2477</v>
      </c>
      <c r="B2483" s="20">
        <f t="shared" si="195"/>
        <v>0</v>
      </c>
      <c r="C2483" s="21">
        <f t="shared" si="196"/>
        <v>0</v>
      </c>
      <c r="D2483" s="22" t="e">
        <f>VLOOKUP($A2483, TAB_JUROS_U[[Q_DIAS_U_PARC_TIR]:[V_FUT_U_JURS CENARIO]], D$5, FALSE)</f>
        <v>#N/A</v>
      </c>
      <c r="E2483" s="22" t="e">
        <f>VLOOKUP($A2483,TAB_CORRECAO_U[[Q_DIAS_U_PARC_TIR]:[V_FUT_U_CORC-02]],E$5, FALSE)</f>
        <v>#N/A</v>
      </c>
      <c r="F2483" s="22" t="e">
        <f>VLOOKUP($A2483,TAB_AMORTIZACAO_U[[Q_DIAS_U_PARC_TIR]:[V_FUT_U_PCPL-02]], F$5, FALSE)</f>
        <v>#N/A</v>
      </c>
      <c r="H2483" s="20">
        <f t="shared" si="197"/>
        <v>0</v>
      </c>
      <c r="I2483" s="21">
        <f t="shared" si="198"/>
        <v>0</v>
      </c>
      <c r="J2483" s="22" t="e">
        <f>VLOOKUP($A2483, TAB_JUROS_C[[DIAS_CORRIDOS]:[V_FUT_UTEIS]], J$5, FALSE)</f>
        <v>#N/A</v>
      </c>
      <c r="K2483" s="22" t="e">
        <f>VLOOKUP($A2483, TAB_CORRECAO_C[[DIAS_CORRIDOS]:[V_FUT_UTEIS]],K$5, FALSE)</f>
        <v>#N/A</v>
      </c>
      <c r="L2483" s="22" t="e">
        <f>VLOOKUP($A2483, TAB_AMORTIZACAO_C[[DIAS_CORRIDOS]:[V_FUT_UTEIS]], L$5, FALSE)</f>
        <v>#N/A</v>
      </c>
    </row>
    <row r="2484" spans="1:12" hidden="1">
      <c r="A2484" s="19">
        <f t="shared" si="199"/>
        <v>2478</v>
      </c>
      <c r="B2484" s="20">
        <f t="shared" si="195"/>
        <v>0</v>
      </c>
      <c r="C2484" s="21">
        <f t="shared" si="196"/>
        <v>0</v>
      </c>
      <c r="D2484" s="22" t="e">
        <f>VLOOKUP($A2484, TAB_JUROS_U[[Q_DIAS_U_PARC_TIR]:[V_FUT_U_JURS CENARIO]], D$5, FALSE)</f>
        <v>#N/A</v>
      </c>
      <c r="E2484" s="22" t="e">
        <f>VLOOKUP($A2484,TAB_CORRECAO_U[[Q_DIAS_U_PARC_TIR]:[V_FUT_U_CORC-02]],E$5, FALSE)</f>
        <v>#N/A</v>
      </c>
      <c r="F2484" s="22" t="e">
        <f>VLOOKUP($A2484,TAB_AMORTIZACAO_U[[Q_DIAS_U_PARC_TIR]:[V_FUT_U_PCPL-02]], F$5, FALSE)</f>
        <v>#N/A</v>
      </c>
      <c r="H2484" s="20">
        <f t="shared" si="197"/>
        <v>0</v>
      </c>
      <c r="I2484" s="21">
        <f t="shared" si="198"/>
        <v>0</v>
      </c>
      <c r="J2484" s="22" t="e">
        <f>VLOOKUP($A2484, TAB_JUROS_C[[DIAS_CORRIDOS]:[V_FUT_UTEIS]], J$5, FALSE)</f>
        <v>#N/A</v>
      </c>
      <c r="K2484" s="22" t="e">
        <f>VLOOKUP($A2484, TAB_CORRECAO_C[[DIAS_CORRIDOS]:[V_FUT_UTEIS]],K$5, FALSE)</f>
        <v>#N/A</v>
      </c>
      <c r="L2484" s="22" t="e">
        <f>VLOOKUP($A2484, TAB_AMORTIZACAO_C[[DIAS_CORRIDOS]:[V_FUT_UTEIS]], L$5, FALSE)</f>
        <v>#N/A</v>
      </c>
    </row>
    <row r="2485" spans="1:12" hidden="1">
      <c r="A2485" s="19">
        <f t="shared" si="199"/>
        <v>2479</v>
      </c>
      <c r="B2485" s="20">
        <f t="shared" si="195"/>
        <v>0</v>
      </c>
      <c r="C2485" s="21">
        <f t="shared" si="196"/>
        <v>0</v>
      </c>
      <c r="D2485" s="22" t="e">
        <f>VLOOKUP($A2485, TAB_JUROS_U[[Q_DIAS_U_PARC_TIR]:[V_FUT_U_JURS CENARIO]], D$5, FALSE)</f>
        <v>#N/A</v>
      </c>
      <c r="E2485" s="22" t="e">
        <f>VLOOKUP($A2485,TAB_CORRECAO_U[[Q_DIAS_U_PARC_TIR]:[V_FUT_U_CORC-02]],E$5, FALSE)</f>
        <v>#N/A</v>
      </c>
      <c r="F2485" s="22" t="e">
        <f>VLOOKUP($A2485,TAB_AMORTIZACAO_U[[Q_DIAS_U_PARC_TIR]:[V_FUT_U_PCPL-02]], F$5, FALSE)</f>
        <v>#N/A</v>
      </c>
      <c r="H2485" s="20">
        <f t="shared" si="197"/>
        <v>419.34870690844275</v>
      </c>
      <c r="I2485" s="21">
        <f t="shared" si="198"/>
        <v>419.34870690844275</v>
      </c>
      <c r="J2485" s="22">
        <f>VLOOKUP($A2485, TAB_JUROS_C[[DIAS_CORRIDOS]:[V_FUT_UTEIS]], J$5, FALSE)</f>
        <v>26.664078495498202</v>
      </c>
      <c r="K2485" s="22">
        <f>VLOOKUP($A2485, TAB_CORRECAO_C[[DIAS_CORRIDOS]:[V_FUT_UTEIS]],K$5, FALSE)</f>
        <v>168.7077212546416</v>
      </c>
      <c r="L2485" s="22">
        <f>VLOOKUP($A2485, TAB_AMORTIZACAO_C[[DIAS_CORRIDOS]:[V_FUT_UTEIS]], L$5, FALSE)</f>
        <v>223.97690715830296</v>
      </c>
    </row>
    <row r="2486" spans="1:12" hidden="1">
      <c r="A2486" s="19">
        <f t="shared" si="199"/>
        <v>2480</v>
      </c>
      <c r="B2486" s="20">
        <f t="shared" si="195"/>
        <v>0</v>
      </c>
      <c r="C2486" s="21">
        <f t="shared" si="196"/>
        <v>0</v>
      </c>
      <c r="D2486" s="22" t="e">
        <f>VLOOKUP($A2486, TAB_JUROS_U[[Q_DIAS_U_PARC_TIR]:[V_FUT_U_JURS CENARIO]], D$5, FALSE)</f>
        <v>#N/A</v>
      </c>
      <c r="E2486" s="22" t="e">
        <f>VLOOKUP($A2486,TAB_CORRECAO_U[[Q_DIAS_U_PARC_TIR]:[V_FUT_U_CORC-02]],E$5, FALSE)</f>
        <v>#N/A</v>
      </c>
      <c r="F2486" s="22" t="e">
        <f>VLOOKUP($A2486,TAB_AMORTIZACAO_U[[Q_DIAS_U_PARC_TIR]:[V_FUT_U_PCPL-02]], F$5, FALSE)</f>
        <v>#N/A</v>
      </c>
      <c r="H2486" s="20">
        <f t="shared" si="197"/>
        <v>0</v>
      </c>
      <c r="I2486" s="21">
        <f t="shared" si="198"/>
        <v>0</v>
      </c>
      <c r="J2486" s="22" t="e">
        <f>VLOOKUP($A2486, TAB_JUROS_C[[DIAS_CORRIDOS]:[V_FUT_UTEIS]], J$5, FALSE)</f>
        <v>#N/A</v>
      </c>
      <c r="K2486" s="22" t="e">
        <f>VLOOKUP($A2486, TAB_CORRECAO_C[[DIAS_CORRIDOS]:[V_FUT_UTEIS]],K$5, FALSE)</f>
        <v>#N/A</v>
      </c>
      <c r="L2486" s="22" t="e">
        <f>VLOOKUP($A2486, TAB_AMORTIZACAO_C[[DIAS_CORRIDOS]:[V_FUT_UTEIS]], L$5, FALSE)</f>
        <v>#N/A</v>
      </c>
    </row>
    <row r="2487" spans="1:12" hidden="1">
      <c r="A2487" s="19">
        <f t="shared" si="199"/>
        <v>2481</v>
      </c>
      <c r="B2487" s="20">
        <f t="shared" si="195"/>
        <v>0</v>
      </c>
      <c r="C2487" s="21">
        <f t="shared" si="196"/>
        <v>0</v>
      </c>
      <c r="D2487" s="22" t="e">
        <f>VLOOKUP($A2487, TAB_JUROS_U[[Q_DIAS_U_PARC_TIR]:[V_FUT_U_JURS CENARIO]], D$5, FALSE)</f>
        <v>#N/A</v>
      </c>
      <c r="E2487" s="22" t="e">
        <f>VLOOKUP($A2487,TAB_CORRECAO_U[[Q_DIAS_U_PARC_TIR]:[V_FUT_U_CORC-02]],E$5, FALSE)</f>
        <v>#N/A</v>
      </c>
      <c r="F2487" s="22" t="e">
        <f>VLOOKUP($A2487,TAB_AMORTIZACAO_U[[Q_DIAS_U_PARC_TIR]:[V_FUT_U_PCPL-02]], F$5, FALSE)</f>
        <v>#N/A</v>
      </c>
      <c r="H2487" s="20">
        <f t="shared" si="197"/>
        <v>0</v>
      </c>
      <c r="I2487" s="21">
        <f t="shared" si="198"/>
        <v>0</v>
      </c>
      <c r="J2487" s="22" t="e">
        <f>VLOOKUP($A2487, TAB_JUROS_C[[DIAS_CORRIDOS]:[V_FUT_UTEIS]], J$5, FALSE)</f>
        <v>#N/A</v>
      </c>
      <c r="K2487" s="22" t="e">
        <f>VLOOKUP($A2487, TAB_CORRECAO_C[[DIAS_CORRIDOS]:[V_FUT_UTEIS]],K$5, FALSE)</f>
        <v>#N/A</v>
      </c>
      <c r="L2487" s="22" t="e">
        <f>VLOOKUP($A2487, TAB_AMORTIZACAO_C[[DIAS_CORRIDOS]:[V_FUT_UTEIS]], L$5, FALSE)</f>
        <v>#N/A</v>
      </c>
    </row>
    <row r="2488" spans="1:12" hidden="1">
      <c r="A2488" s="19">
        <f t="shared" si="199"/>
        <v>2482</v>
      </c>
      <c r="B2488" s="20">
        <f t="shared" si="195"/>
        <v>0</v>
      </c>
      <c r="C2488" s="21">
        <f t="shared" si="196"/>
        <v>0</v>
      </c>
      <c r="D2488" s="22" t="e">
        <f>VLOOKUP($A2488, TAB_JUROS_U[[Q_DIAS_U_PARC_TIR]:[V_FUT_U_JURS CENARIO]], D$5, FALSE)</f>
        <v>#N/A</v>
      </c>
      <c r="E2488" s="22" t="e">
        <f>VLOOKUP($A2488,TAB_CORRECAO_U[[Q_DIAS_U_PARC_TIR]:[V_FUT_U_CORC-02]],E$5, FALSE)</f>
        <v>#N/A</v>
      </c>
      <c r="F2488" s="22" t="e">
        <f>VLOOKUP($A2488,TAB_AMORTIZACAO_U[[Q_DIAS_U_PARC_TIR]:[V_FUT_U_PCPL-02]], F$5, FALSE)</f>
        <v>#N/A</v>
      </c>
      <c r="H2488" s="20">
        <f t="shared" si="197"/>
        <v>0</v>
      </c>
      <c r="I2488" s="21">
        <f t="shared" si="198"/>
        <v>0</v>
      </c>
      <c r="J2488" s="22" t="e">
        <f>VLOOKUP($A2488, TAB_JUROS_C[[DIAS_CORRIDOS]:[V_FUT_UTEIS]], J$5, FALSE)</f>
        <v>#N/A</v>
      </c>
      <c r="K2488" s="22" t="e">
        <f>VLOOKUP($A2488, TAB_CORRECAO_C[[DIAS_CORRIDOS]:[V_FUT_UTEIS]],K$5, FALSE)</f>
        <v>#N/A</v>
      </c>
      <c r="L2488" s="22" t="e">
        <f>VLOOKUP($A2488, TAB_AMORTIZACAO_C[[DIAS_CORRIDOS]:[V_FUT_UTEIS]], L$5, FALSE)</f>
        <v>#N/A</v>
      </c>
    </row>
    <row r="2489" spans="1:12">
      <c r="A2489" s="19">
        <f t="shared" si="199"/>
        <v>2483</v>
      </c>
      <c r="B2489" s="20">
        <f t="shared" si="195"/>
        <v>169.21115001353459</v>
      </c>
      <c r="C2489" s="21">
        <f t="shared" si="196"/>
        <v>169.21115001353459</v>
      </c>
      <c r="D2489" s="22">
        <f>VLOOKUP($A2489, TAB_JUROS_U[[Q_DIAS_U_PARC_TIR]:[V_FUT_U_JURS CENARIO]], D$5, FALSE)</f>
        <v>7.0756846879746593</v>
      </c>
      <c r="E2489" s="22">
        <f>VLOOKUP($A2489,TAB_CORRECAO_U[[Q_DIAS_U_PARC_TIR]:[V_FUT_U_CORC-02]],E$5, FALSE)</f>
        <v>42.082882554113738</v>
      </c>
      <c r="F2489" s="22">
        <f>VLOOKUP($A2489,TAB_AMORTIZACAO_U[[Q_DIAS_U_PARC_TIR]:[V_FUT_U_PCPL-02]], F$5, FALSE)</f>
        <v>120.0525827714462</v>
      </c>
      <c r="H2489" s="20">
        <f t="shared" si="197"/>
        <v>0</v>
      </c>
      <c r="I2489" s="21">
        <f t="shared" si="198"/>
        <v>0</v>
      </c>
      <c r="J2489" s="22" t="e">
        <f>VLOOKUP($A2489, TAB_JUROS_C[[DIAS_CORRIDOS]:[V_FUT_UTEIS]], J$5, FALSE)</f>
        <v>#N/A</v>
      </c>
      <c r="K2489" s="22" t="e">
        <f>VLOOKUP($A2489, TAB_CORRECAO_C[[DIAS_CORRIDOS]:[V_FUT_UTEIS]],K$5, FALSE)</f>
        <v>#N/A</v>
      </c>
      <c r="L2489" s="22" t="e">
        <f>VLOOKUP($A2489, TAB_AMORTIZACAO_C[[DIAS_CORRIDOS]:[V_FUT_UTEIS]], L$5, FALSE)</f>
        <v>#N/A</v>
      </c>
    </row>
    <row r="2490" spans="1:12" hidden="1">
      <c r="A2490" s="19">
        <f t="shared" si="199"/>
        <v>2484</v>
      </c>
      <c r="B2490" s="20">
        <f t="shared" si="195"/>
        <v>0</v>
      </c>
      <c r="C2490" s="21">
        <f t="shared" si="196"/>
        <v>0</v>
      </c>
      <c r="D2490" s="22" t="e">
        <f>VLOOKUP($A2490, TAB_JUROS_U[[Q_DIAS_U_PARC_TIR]:[V_FUT_U_JURS CENARIO]], D$5, FALSE)</f>
        <v>#N/A</v>
      </c>
      <c r="E2490" s="22" t="e">
        <f>VLOOKUP($A2490,TAB_CORRECAO_U[[Q_DIAS_U_PARC_TIR]:[V_FUT_U_CORC-02]],E$5, FALSE)</f>
        <v>#N/A</v>
      </c>
      <c r="F2490" s="22" t="e">
        <f>VLOOKUP($A2490,TAB_AMORTIZACAO_U[[Q_DIAS_U_PARC_TIR]:[V_FUT_U_PCPL-02]], F$5, FALSE)</f>
        <v>#N/A</v>
      </c>
      <c r="H2490" s="20">
        <f t="shared" si="197"/>
        <v>0</v>
      </c>
      <c r="I2490" s="21">
        <f t="shared" si="198"/>
        <v>0</v>
      </c>
      <c r="J2490" s="22" t="e">
        <f>VLOOKUP($A2490, TAB_JUROS_C[[DIAS_CORRIDOS]:[V_FUT_UTEIS]], J$5, FALSE)</f>
        <v>#N/A</v>
      </c>
      <c r="K2490" s="22" t="e">
        <f>VLOOKUP($A2490, TAB_CORRECAO_C[[DIAS_CORRIDOS]:[V_FUT_UTEIS]],K$5, FALSE)</f>
        <v>#N/A</v>
      </c>
      <c r="L2490" s="22" t="e">
        <f>VLOOKUP($A2490, TAB_AMORTIZACAO_C[[DIAS_CORRIDOS]:[V_FUT_UTEIS]], L$5, FALSE)</f>
        <v>#N/A</v>
      </c>
    </row>
    <row r="2491" spans="1:12" hidden="1">
      <c r="A2491" s="19">
        <f t="shared" si="199"/>
        <v>2485</v>
      </c>
      <c r="B2491" s="20">
        <f t="shared" si="195"/>
        <v>0</v>
      </c>
      <c r="C2491" s="21">
        <f t="shared" si="196"/>
        <v>0</v>
      </c>
      <c r="D2491" s="22" t="e">
        <f>VLOOKUP($A2491, TAB_JUROS_U[[Q_DIAS_U_PARC_TIR]:[V_FUT_U_JURS CENARIO]], D$5, FALSE)</f>
        <v>#N/A</v>
      </c>
      <c r="E2491" s="22" t="e">
        <f>VLOOKUP($A2491,TAB_CORRECAO_U[[Q_DIAS_U_PARC_TIR]:[V_FUT_U_CORC-02]],E$5, FALSE)</f>
        <v>#N/A</v>
      </c>
      <c r="F2491" s="22" t="e">
        <f>VLOOKUP($A2491,TAB_AMORTIZACAO_U[[Q_DIAS_U_PARC_TIR]:[V_FUT_U_PCPL-02]], F$5, FALSE)</f>
        <v>#N/A</v>
      </c>
      <c r="H2491" s="20">
        <f t="shared" si="197"/>
        <v>0</v>
      </c>
      <c r="I2491" s="21">
        <f t="shared" si="198"/>
        <v>0</v>
      </c>
      <c r="J2491" s="22" t="e">
        <f>VLOOKUP($A2491, TAB_JUROS_C[[DIAS_CORRIDOS]:[V_FUT_UTEIS]], J$5, FALSE)</f>
        <v>#N/A</v>
      </c>
      <c r="K2491" s="22" t="e">
        <f>VLOOKUP($A2491, TAB_CORRECAO_C[[DIAS_CORRIDOS]:[V_FUT_UTEIS]],K$5, FALSE)</f>
        <v>#N/A</v>
      </c>
      <c r="L2491" s="22" t="e">
        <f>VLOOKUP($A2491, TAB_AMORTIZACAO_C[[DIAS_CORRIDOS]:[V_FUT_UTEIS]], L$5, FALSE)</f>
        <v>#N/A</v>
      </c>
    </row>
    <row r="2492" spans="1:12" hidden="1">
      <c r="A2492" s="19">
        <f t="shared" si="199"/>
        <v>2486</v>
      </c>
      <c r="B2492" s="20">
        <f t="shared" si="195"/>
        <v>0</v>
      </c>
      <c r="C2492" s="21">
        <f t="shared" si="196"/>
        <v>0</v>
      </c>
      <c r="D2492" s="22" t="e">
        <f>VLOOKUP($A2492, TAB_JUROS_U[[Q_DIAS_U_PARC_TIR]:[V_FUT_U_JURS CENARIO]], D$5, FALSE)</f>
        <v>#N/A</v>
      </c>
      <c r="E2492" s="22" t="e">
        <f>VLOOKUP($A2492,TAB_CORRECAO_U[[Q_DIAS_U_PARC_TIR]:[V_FUT_U_CORC-02]],E$5, FALSE)</f>
        <v>#N/A</v>
      </c>
      <c r="F2492" s="22" t="e">
        <f>VLOOKUP($A2492,TAB_AMORTIZACAO_U[[Q_DIAS_U_PARC_TIR]:[V_FUT_U_PCPL-02]], F$5, FALSE)</f>
        <v>#N/A</v>
      </c>
      <c r="H2492" s="20">
        <f t="shared" si="197"/>
        <v>0</v>
      </c>
      <c r="I2492" s="21">
        <f t="shared" si="198"/>
        <v>0</v>
      </c>
      <c r="J2492" s="22" t="e">
        <f>VLOOKUP($A2492, TAB_JUROS_C[[DIAS_CORRIDOS]:[V_FUT_UTEIS]], J$5, FALSE)</f>
        <v>#N/A</v>
      </c>
      <c r="K2492" s="22" t="e">
        <f>VLOOKUP($A2492, TAB_CORRECAO_C[[DIAS_CORRIDOS]:[V_FUT_UTEIS]],K$5, FALSE)</f>
        <v>#N/A</v>
      </c>
      <c r="L2492" s="22" t="e">
        <f>VLOOKUP($A2492, TAB_AMORTIZACAO_C[[DIAS_CORRIDOS]:[V_FUT_UTEIS]], L$5, FALSE)</f>
        <v>#N/A</v>
      </c>
    </row>
    <row r="2493" spans="1:12" hidden="1">
      <c r="A2493" s="19">
        <f t="shared" si="199"/>
        <v>2487</v>
      </c>
      <c r="B2493" s="20">
        <f t="shared" si="195"/>
        <v>0</v>
      </c>
      <c r="C2493" s="21">
        <f t="shared" si="196"/>
        <v>0</v>
      </c>
      <c r="D2493" s="22" t="e">
        <f>VLOOKUP($A2493, TAB_JUROS_U[[Q_DIAS_U_PARC_TIR]:[V_FUT_U_JURS CENARIO]], D$5, FALSE)</f>
        <v>#N/A</v>
      </c>
      <c r="E2493" s="22" t="e">
        <f>VLOOKUP($A2493,TAB_CORRECAO_U[[Q_DIAS_U_PARC_TIR]:[V_FUT_U_CORC-02]],E$5, FALSE)</f>
        <v>#N/A</v>
      </c>
      <c r="F2493" s="22" t="e">
        <f>VLOOKUP($A2493,TAB_AMORTIZACAO_U[[Q_DIAS_U_PARC_TIR]:[V_FUT_U_PCPL-02]], F$5, FALSE)</f>
        <v>#N/A</v>
      </c>
      <c r="H2493" s="20">
        <f t="shared" si="197"/>
        <v>0</v>
      </c>
      <c r="I2493" s="21">
        <f t="shared" si="198"/>
        <v>0</v>
      </c>
      <c r="J2493" s="22" t="e">
        <f>VLOOKUP($A2493, TAB_JUROS_C[[DIAS_CORRIDOS]:[V_FUT_UTEIS]], J$5, FALSE)</f>
        <v>#N/A</v>
      </c>
      <c r="K2493" s="22" t="e">
        <f>VLOOKUP($A2493, TAB_CORRECAO_C[[DIAS_CORRIDOS]:[V_FUT_UTEIS]],K$5, FALSE)</f>
        <v>#N/A</v>
      </c>
      <c r="L2493" s="22" t="e">
        <f>VLOOKUP($A2493, TAB_AMORTIZACAO_C[[DIAS_CORRIDOS]:[V_FUT_UTEIS]], L$5, FALSE)</f>
        <v>#N/A</v>
      </c>
    </row>
    <row r="2494" spans="1:12" hidden="1">
      <c r="A2494" s="19">
        <f t="shared" si="199"/>
        <v>2488</v>
      </c>
      <c r="B2494" s="20">
        <f t="shared" si="195"/>
        <v>0</v>
      </c>
      <c r="C2494" s="21">
        <f t="shared" si="196"/>
        <v>0</v>
      </c>
      <c r="D2494" s="22" t="e">
        <f>VLOOKUP($A2494, TAB_JUROS_U[[Q_DIAS_U_PARC_TIR]:[V_FUT_U_JURS CENARIO]], D$5, FALSE)</f>
        <v>#N/A</v>
      </c>
      <c r="E2494" s="22" t="e">
        <f>VLOOKUP($A2494,TAB_CORRECAO_U[[Q_DIAS_U_PARC_TIR]:[V_FUT_U_CORC-02]],E$5, FALSE)</f>
        <v>#N/A</v>
      </c>
      <c r="F2494" s="22" t="e">
        <f>VLOOKUP($A2494,TAB_AMORTIZACAO_U[[Q_DIAS_U_PARC_TIR]:[V_FUT_U_PCPL-02]], F$5, FALSE)</f>
        <v>#N/A</v>
      </c>
      <c r="H2494" s="20">
        <f t="shared" si="197"/>
        <v>0</v>
      </c>
      <c r="I2494" s="21">
        <f t="shared" si="198"/>
        <v>0</v>
      </c>
      <c r="J2494" s="22" t="e">
        <f>VLOOKUP($A2494, TAB_JUROS_C[[DIAS_CORRIDOS]:[V_FUT_UTEIS]], J$5, FALSE)</f>
        <v>#N/A</v>
      </c>
      <c r="K2494" s="22" t="e">
        <f>VLOOKUP($A2494, TAB_CORRECAO_C[[DIAS_CORRIDOS]:[V_FUT_UTEIS]],K$5, FALSE)</f>
        <v>#N/A</v>
      </c>
      <c r="L2494" s="22" t="e">
        <f>VLOOKUP($A2494, TAB_AMORTIZACAO_C[[DIAS_CORRIDOS]:[V_FUT_UTEIS]], L$5, FALSE)</f>
        <v>#N/A</v>
      </c>
    </row>
    <row r="2495" spans="1:12" hidden="1">
      <c r="A2495" s="19">
        <f t="shared" si="199"/>
        <v>2489</v>
      </c>
      <c r="B2495" s="20">
        <f t="shared" si="195"/>
        <v>0</v>
      </c>
      <c r="C2495" s="21">
        <f t="shared" si="196"/>
        <v>0</v>
      </c>
      <c r="D2495" s="22" t="e">
        <f>VLOOKUP($A2495, TAB_JUROS_U[[Q_DIAS_U_PARC_TIR]:[V_FUT_U_JURS CENARIO]], D$5, FALSE)</f>
        <v>#N/A</v>
      </c>
      <c r="E2495" s="22" t="e">
        <f>VLOOKUP($A2495,TAB_CORRECAO_U[[Q_DIAS_U_PARC_TIR]:[V_FUT_U_CORC-02]],E$5, FALSE)</f>
        <v>#N/A</v>
      </c>
      <c r="F2495" s="22" t="e">
        <f>VLOOKUP($A2495,TAB_AMORTIZACAO_U[[Q_DIAS_U_PARC_TIR]:[V_FUT_U_PCPL-02]], F$5, FALSE)</f>
        <v>#N/A</v>
      </c>
      <c r="H2495" s="20">
        <f t="shared" si="197"/>
        <v>0</v>
      </c>
      <c r="I2495" s="21">
        <f t="shared" si="198"/>
        <v>0</v>
      </c>
      <c r="J2495" s="22" t="e">
        <f>VLOOKUP($A2495, TAB_JUROS_C[[DIAS_CORRIDOS]:[V_FUT_UTEIS]], J$5, FALSE)</f>
        <v>#N/A</v>
      </c>
      <c r="K2495" s="22" t="e">
        <f>VLOOKUP($A2495, TAB_CORRECAO_C[[DIAS_CORRIDOS]:[V_FUT_UTEIS]],K$5, FALSE)</f>
        <v>#N/A</v>
      </c>
      <c r="L2495" s="22" t="e">
        <f>VLOOKUP($A2495, TAB_AMORTIZACAO_C[[DIAS_CORRIDOS]:[V_FUT_UTEIS]], L$5, FALSE)</f>
        <v>#N/A</v>
      </c>
    </row>
    <row r="2496" spans="1:12" hidden="1">
      <c r="A2496" s="19">
        <f t="shared" si="199"/>
        <v>2490</v>
      </c>
      <c r="B2496" s="20">
        <f t="shared" si="195"/>
        <v>0</v>
      </c>
      <c r="C2496" s="21">
        <f t="shared" si="196"/>
        <v>0</v>
      </c>
      <c r="D2496" s="22" t="e">
        <f>VLOOKUP($A2496, TAB_JUROS_U[[Q_DIAS_U_PARC_TIR]:[V_FUT_U_JURS CENARIO]], D$5, FALSE)</f>
        <v>#N/A</v>
      </c>
      <c r="E2496" s="22" t="e">
        <f>VLOOKUP($A2496,TAB_CORRECAO_U[[Q_DIAS_U_PARC_TIR]:[V_FUT_U_CORC-02]],E$5, FALSE)</f>
        <v>#N/A</v>
      </c>
      <c r="F2496" s="22" t="e">
        <f>VLOOKUP($A2496,TAB_AMORTIZACAO_U[[Q_DIAS_U_PARC_TIR]:[V_FUT_U_PCPL-02]], F$5, FALSE)</f>
        <v>#N/A</v>
      </c>
      <c r="H2496" s="20">
        <f t="shared" si="197"/>
        <v>0</v>
      </c>
      <c r="I2496" s="21">
        <f t="shared" si="198"/>
        <v>0</v>
      </c>
      <c r="J2496" s="22" t="e">
        <f>VLOOKUP($A2496, TAB_JUROS_C[[DIAS_CORRIDOS]:[V_FUT_UTEIS]], J$5, FALSE)</f>
        <v>#N/A</v>
      </c>
      <c r="K2496" s="22" t="e">
        <f>VLOOKUP($A2496, TAB_CORRECAO_C[[DIAS_CORRIDOS]:[V_FUT_UTEIS]],K$5, FALSE)</f>
        <v>#N/A</v>
      </c>
      <c r="L2496" s="22" t="e">
        <f>VLOOKUP($A2496, TAB_AMORTIZACAO_C[[DIAS_CORRIDOS]:[V_FUT_UTEIS]], L$5, FALSE)</f>
        <v>#N/A</v>
      </c>
    </row>
    <row r="2497" spans="1:12" hidden="1">
      <c r="A2497" s="19">
        <f t="shared" si="199"/>
        <v>2491</v>
      </c>
      <c r="B2497" s="20">
        <f t="shared" si="195"/>
        <v>0</v>
      </c>
      <c r="C2497" s="21">
        <f t="shared" si="196"/>
        <v>0</v>
      </c>
      <c r="D2497" s="22" t="e">
        <f>VLOOKUP($A2497, TAB_JUROS_U[[Q_DIAS_U_PARC_TIR]:[V_FUT_U_JURS CENARIO]], D$5, FALSE)</f>
        <v>#N/A</v>
      </c>
      <c r="E2497" s="22" t="e">
        <f>VLOOKUP($A2497,TAB_CORRECAO_U[[Q_DIAS_U_PARC_TIR]:[V_FUT_U_CORC-02]],E$5, FALSE)</f>
        <v>#N/A</v>
      </c>
      <c r="F2497" s="22" t="e">
        <f>VLOOKUP($A2497,TAB_AMORTIZACAO_U[[Q_DIAS_U_PARC_TIR]:[V_FUT_U_PCPL-02]], F$5, FALSE)</f>
        <v>#N/A</v>
      </c>
      <c r="H2497" s="20">
        <f t="shared" si="197"/>
        <v>0</v>
      </c>
      <c r="I2497" s="21">
        <f t="shared" si="198"/>
        <v>0</v>
      </c>
      <c r="J2497" s="22" t="e">
        <f>VLOOKUP($A2497, TAB_JUROS_C[[DIAS_CORRIDOS]:[V_FUT_UTEIS]], J$5, FALSE)</f>
        <v>#N/A</v>
      </c>
      <c r="K2497" s="22" t="e">
        <f>VLOOKUP($A2497, TAB_CORRECAO_C[[DIAS_CORRIDOS]:[V_FUT_UTEIS]],K$5, FALSE)</f>
        <v>#N/A</v>
      </c>
      <c r="L2497" s="22" t="e">
        <f>VLOOKUP($A2497, TAB_AMORTIZACAO_C[[DIAS_CORRIDOS]:[V_FUT_UTEIS]], L$5, FALSE)</f>
        <v>#N/A</v>
      </c>
    </row>
    <row r="2498" spans="1:12" hidden="1">
      <c r="A2498" s="19">
        <f t="shared" si="199"/>
        <v>2492</v>
      </c>
      <c r="B2498" s="20">
        <f t="shared" si="195"/>
        <v>0</v>
      </c>
      <c r="C2498" s="21">
        <f t="shared" si="196"/>
        <v>0</v>
      </c>
      <c r="D2498" s="22" t="e">
        <f>VLOOKUP($A2498, TAB_JUROS_U[[Q_DIAS_U_PARC_TIR]:[V_FUT_U_JURS CENARIO]], D$5, FALSE)</f>
        <v>#N/A</v>
      </c>
      <c r="E2498" s="22" t="e">
        <f>VLOOKUP($A2498,TAB_CORRECAO_U[[Q_DIAS_U_PARC_TIR]:[V_FUT_U_CORC-02]],E$5, FALSE)</f>
        <v>#N/A</v>
      </c>
      <c r="F2498" s="22" t="e">
        <f>VLOOKUP($A2498,TAB_AMORTIZACAO_U[[Q_DIAS_U_PARC_TIR]:[V_FUT_U_PCPL-02]], F$5, FALSE)</f>
        <v>#N/A</v>
      </c>
      <c r="H2498" s="20">
        <f t="shared" si="197"/>
        <v>0</v>
      </c>
      <c r="I2498" s="21">
        <f t="shared" si="198"/>
        <v>0</v>
      </c>
      <c r="J2498" s="22" t="e">
        <f>VLOOKUP($A2498, TAB_JUROS_C[[DIAS_CORRIDOS]:[V_FUT_UTEIS]], J$5, FALSE)</f>
        <v>#N/A</v>
      </c>
      <c r="K2498" s="22" t="e">
        <f>VLOOKUP($A2498, TAB_CORRECAO_C[[DIAS_CORRIDOS]:[V_FUT_UTEIS]],K$5, FALSE)</f>
        <v>#N/A</v>
      </c>
      <c r="L2498" s="22" t="e">
        <f>VLOOKUP($A2498, TAB_AMORTIZACAO_C[[DIAS_CORRIDOS]:[V_FUT_UTEIS]], L$5, FALSE)</f>
        <v>#N/A</v>
      </c>
    </row>
    <row r="2499" spans="1:12" hidden="1">
      <c r="A2499" s="19">
        <f t="shared" si="199"/>
        <v>2493</v>
      </c>
      <c r="B2499" s="20">
        <f t="shared" si="195"/>
        <v>0</v>
      </c>
      <c r="C2499" s="21">
        <f t="shared" si="196"/>
        <v>0</v>
      </c>
      <c r="D2499" s="22" t="e">
        <f>VLOOKUP($A2499, TAB_JUROS_U[[Q_DIAS_U_PARC_TIR]:[V_FUT_U_JURS CENARIO]], D$5, FALSE)</f>
        <v>#N/A</v>
      </c>
      <c r="E2499" s="22" t="e">
        <f>VLOOKUP($A2499,TAB_CORRECAO_U[[Q_DIAS_U_PARC_TIR]:[V_FUT_U_CORC-02]],E$5, FALSE)</f>
        <v>#N/A</v>
      </c>
      <c r="F2499" s="22" t="e">
        <f>VLOOKUP($A2499,TAB_AMORTIZACAO_U[[Q_DIAS_U_PARC_TIR]:[V_FUT_U_PCPL-02]], F$5, FALSE)</f>
        <v>#N/A</v>
      </c>
      <c r="H2499" s="20">
        <f t="shared" si="197"/>
        <v>0</v>
      </c>
      <c r="I2499" s="21">
        <f t="shared" si="198"/>
        <v>0</v>
      </c>
      <c r="J2499" s="22" t="e">
        <f>VLOOKUP($A2499, TAB_JUROS_C[[DIAS_CORRIDOS]:[V_FUT_UTEIS]], J$5, FALSE)</f>
        <v>#N/A</v>
      </c>
      <c r="K2499" s="22" t="e">
        <f>VLOOKUP($A2499, TAB_CORRECAO_C[[DIAS_CORRIDOS]:[V_FUT_UTEIS]],K$5, FALSE)</f>
        <v>#N/A</v>
      </c>
      <c r="L2499" s="22" t="e">
        <f>VLOOKUP($A2499, TAB_AMORTIZACAO_C[[DIAS_CORRIDOS]:[V_FUT_UTEIS]], L$5, FALSE)</f>
        <v>#N/A</v>
      </c>
    </row>
    <row r="2500" spans="1:12" hidden="1">
      <c r="A2500" s="19">
        <f t="shared" si="199"/>
        <v>2494</v>
      </c>
      <c r="B2500" s="20">
        <f t="shared" si="195"/>
        <v>0</v>
      </c>
      <c r="C2500" s="21">
        <f t="shared" si="196"/>
        <v>0</v>
      </c>
      <c r="D2500" s="22" t="e">
        <f>VLOOKUP($A2500, TAB_JUROS_U[[Q_DIAS_U_PARC_TIR]:[V_FUT_U_JURS CENARIO]], D$5, FALSE)</f>
        <v>#N/A</v>
      </c>
      <c r="E2500" s="22" t="e">
        <f>VLOOKUP($A2500,TAB_CORRECAO_U[[Q_DIAS_U_PARC_TIR]:[V_FUT_U_CORC-02]],E$5, FALSE)</f>
        <v>#N/A</v>
      </c>
      <c r="F2500" s="22" t="e">
        <f>VLOOKUP($A2500,TAB_AMORTIZACAO_U[[Q_DIAS_U_PARC_TIR]:[V_FUT_U_PCPL-02]], F$5, FALSE)</f>
        <v>#N/A</v>
      </c>
      <c r="H2500" s="20">
        <f t="shared" si="197"/>
        <v>0</v>
      </c>
      <c r="I2500" s="21">
        <f t="shared" si="198"/>
        <v>0</v>
      </c>
      <c r="J2500" s="22" t="e">
        <f>VLOOKUP($A2500, TAB_JUROS_C[[DIAS_CORRIDOS]:[V_FUT_UTEIS]], J$5, FALSE)</f>
        <v>#N/A</v>
      </c>
      <c r="K2500" s="22" t="e">
        <f>VLOOKUP($A2500, TAB_CORRECAO_C[[DIAS_CORRIDOS]:[V_FUT_UTEIS]],K$5, FALSE)</f>
        <v>#N/A</v>
      </c>
      <c r="L2500" s="22" t="e">
        <f>VLOOKUP($A2500, TAB_AMORTIZACAO_C[[DIAS_CORRIDOS]:[V_FUT_UTEIS]], L$5, FALSE)</f>
        <v>#N/A</v>
      </c>
    </row>
    <row r="2501" spans="1:12" hidden="1">
      <c r="A2501" s="19">
        <f t="shared" si="199"/>
        <v>2495</v>
      </c>
      <c r="B2501" s="20">
        <f t="shared" si="195"/>
        <v>0</v>
      </c>
      <c r="C2501" s="21">
        <f t="shared" si="196"/>
        <v>0</v>
      </c>
      <c r="D2501" s="22" t="e">
        <f>VLOOKUP($A2501, TAB_JUROS_U[[Q_DIAS_U_PARC_TIR]:[V_FUT_U_JURS CENARIO]], D$5, FALSE)</f>
        <v>#N/A</v>
      </c>
      <c r="E2501" s="22" t="e">
        <f>VLOOKUP($A2501,TAB_CORRECAO_U[[Q_DIAS_U_PARC_TIR]:[V_FUT_U_CORC-02]],E$5, FALSE)</f>
        <v>#N/A</v>
      </c>
      <c r="F2501" s="22" t="e">
        <f>VLOOKUP($A2501,TAB_AMORTIZACAO_U[[Q_DIAS_U_PARC_TIR]:[V_FUT_U_PCPL-02]], F$5, FALSE)</f>
        <v>#N/A</v>
      </c>
      <c r="H2501" s="20">
        <f t="shared" si="197"/>
        <v>0</v>
      </c>
      <c r="I2501" s="21">
        <f t="shared" si="198"/>
        <v>0</v>
      </c>
      <c r="J2501" s="22" t="e">
        <f>VLOOKUP($A2501, TAB_JUROS_C[[DIAS_CORRIDOS]:[V_FUT_UTEIS]], J$5, FALSE)</f>
        <v>#N/A</v>
      </c>
      <c r="K2501" s="22" t="e">
        <f>VLOOKUP($A2501, TAB_CORRECAO_C[[DIAS_CORRIDOS]:[V_FUT_UTEIS]],K$5, FALSE)</f>
        <v>#N/A</v>
      </c>
      <c r="L2501" s="22" t="e">
        <f>VLOOKUP($A2501, TAB_AMORTIZACAO_C[[DIAS_CORRIDOS]:[V_FUT_UTEIS]], L$5, FALSE)</f>
        <v>#N/A</v>
      </c>
    </row>
    <row r="2502" spans="1:12" hidden="1">
      <c r="A2502" s="19">
        <f t="shared" si="199"/>
        <v>2496</v>
      </c>
      <c r="B2502" s="20">
        <f t="shared" si="195"/>
        <v>0</v>
      </c>
      <c r="C2502" s="21">
        <f t="shared" si="196"/>
        <v>0</v>
      </c>
      <c r="D2502" s="22" t="e">
        <f>VLOOKUP($A2502, TAB_JUROS_U[[Q_DIAS_U_PARC_TIR]:[V_FUT_U_JURS CENARIO]], D$5, FALSE)</f>
        <v>#N/A</v>
      </c>
      <c r="E2502" s="22" t="e">
        <f>VLOOKUP($A2502,TAB_CORRECAO_U[[Q_DIAS_U_PARC_TIR]:[V_FUT_U_CORC-02]],E$5, FALSE)</f>
        <v>#N/A</v>
      </c>
      <c r="F2502" s="22" t="e">
        <f>VLOOKUP($A2502,TAB_AMORTIZACAO_U[[Q_DIAS_U_PARC_TIR]:[V_FUT_U_PCPL-02]], F$5, FALSE)</f>
        <v>#N/A</v>
      </c>
      <c r="H2502" s="20">
        <f t="shared" si="197"/>
        <v>0</v>
      </c>
      <c r="I2502" s="21">
        <f t="shared" si="198"/>
        <v>0</v>
      </c>
      <c r="J2502" s="22" t="e">
        <f>VLOOKUP($A2502, TAB_JUROS_C[[DIAS_CORRIDOS]:[V_FUT_UTEIS]], J$5, FALSE)</f>
        <v>#N/A</v>
      </c>
      <c r="K2502" s="22" t="e">
        <f>VLOOKUP($A2502, TAB_CORRECAO_C[[DIAS_CORRIDOS]:[V_FUT_UTEIS]],K$5, FALSE)</f>
        <v>#N/A</v>
      </c>
      <c r="L2502" s="22" t="e">
        <f>VLOOKUP($A2502, TAB_AMORTIZACAO_C[[DIAS_CORRIDOS]:[V_FUT_UTEIS]], L$5, FALSE)</f>
        <v>#N/A</v>
      </c>
    </row>
    <row r="2503" spans="1:12" hidden="1">
      <c r="A2503" s="19">
        <f t="shared" si="199"/>
        <v>2497</v>
      </c>
      <c r="B2503" s="20">
        <f t="shared" si="195"/>
        <v>0</v>
      </c>
      <c r="C2503" s="21">
        <f t="shared" si="196"/>
        <v>0</v>
      </c>
      <c r="D2503" s="22" t="e">
        <f>VLOOKUP($A2503, TAB_JUROS_U[[Q_DIAS_U_PARC_TIR]:[V_FUT_U_JURS CENARIO]], D$5, FALSE)</f>
        <v>#N/A</v>
      </c>
      <c r="E2503" s="22" t="e">
        <f>VLOOKUP($A2503,TAB_CORRECAO_U[[Q_DIAS_U_PARC_TIR]:[V_FUT_U_CORC-02]],E$5, FALSE)</f>
        <v>#N/A</v>
      </c>
      <c r="F2503" s="22" t="e">
        <f>VLOOKUP($A2503,TAB_AMORTIZACAO_U[[Q_DIAS_U_PARC_TIR]:[V_FUT_U_PCPL-02]], F$5, FALSE)</f>
        <v>#N/A</v>
      </c>
      <c r="H2503" s="20">
        <f t="shared" si="197"/>
        <v>0</v>
      </c>
      <c r="I2503" s="21">
        <f t="shared" si="198"/>
        <v>0</v>
      </c>
      <c r="J2503" s="22" t="e">
        <f>VLOOKUP($A2503, TAB_JUROS_C[[DIAS_CORRIDOS]:[V_FUT_UTEIS]], J$5, FALSE)</f>
        <v>#N/A</v>
      </c>
      <c r="K2503" s="22" t="e">
        <f>VLOOKUP($A2503, TAB_CORRECAO_C[[DIAS_CORRIDOS]:[V_FUT_UTEIS]],K$5, FALSE)</f>
        <v>#N/A</v>
      </c>
      <c r="L2503" s="22" t="e">
        <f>VLOOKUP($A2503, TAB_AMORTIZACAO_C[[DIAS_CORRIDOS]:[V_FUT_UTEIS]], L$5, FALSE)</f>
        <v>#N/A</v>
      </c>
    </row>
    <row r="2504" spans="1:12" hidden="1">
      <c r="A2504" s="19">
        <f t="shared" si="199"/>
        <v>2498</v>
      </c>
      <c r="B2504" s="20">
        <f t="shared" si="195"/>
        <v>0</v>
      </c>
      <c r="C2504" s="21">
        <f t="shared" si="196"/>
        <v>0</v>
      </c>
      <c r="D2504" s="22" t="e">
        <f>VLOOKUP($A2504, TAB_JUROS_U[[Q_DIAS_U_PARC_TIR]:[V_FUT_U_JURS CENARIO]], D$5, FALSE)</f>
        <v>#N/A</v>
      </c>
      <c r="E2504" s="22" t="e">
        <f>VLOOKUP($A2504,TAB_CORRECAO_U[[Q_DIAS_U_PARC_TIR]:[V_FUT_U_CORC-02]],E$5, FALSE)</f>
        <v>#N/A</v>
      </c>
      <c r="F2504" s="22" t="e">
        <f>VLOOKUP($A2504,TAB_AMORTIZACAO_U[[Q_DIAS_U_PARC_TIR]:[V_FUT_U_PCPL-02]], F$5, FALSE)</f>
        <v>#N/A</v>
      </c>
      <c r="H2504" s="20">
        <f t="shared" si="197"/>
        <v>0</v>
      </c>
      <c r="I2504" s="21">
        <f t="shared" si="198"/>
        <v>0</v>
      </c>
      <c r="J2504" s="22" t="e">
        <f>VLOOKUP($A2504, TAB_JUROS_C[[DIAS_CORRIDOS]:[V_FUT_UTEIS]], J$5, FALSE)</f>
        <v>#N/A</v>
      </c>
      <c r="K2504" s="22" t="e">
        <f>VLOOKUP($A2504, TAB_CORRECAO_C[[DIAS_CORRIDOS]:[V_FUT_UTEIS]],K$5, FALSE)</f>
        <v>#N/A</v>
      </c>
      <c r="L2504" s="22" t="e">
        <f>VLOOKUP($A2504, TAB_AMORTIZACAO_C[[DIAS_CORRIDOS]:[V_FUT_UTEIS]], L$5, FALSE)</f>
        <v>#N/A</v>
      </c>
    </row>
    <row r="2505" spans="1:12" hidden="1">
      <c r="A2505" s="19">
        <f t="shared" si="199"/>
        <v>2499</v>
      </c>
      <c r="B2505" s="20">
        <f t="shared" ref="B2505:B2568" si="200">IF(ISERROR(C2505), 0, C2505)</f>
        <v>0</v>
      </c>
      <c r="C2505" s="21">
        <f t="shared" ref="C2505:C2568" si="201">SUMIF(D2505:F2505, "&gt;0", D2505:F2505)</f>
        <v>0</v>
      </c>
      <c r="D2505" s="22" t="e">
        <f>VLOOKUP($A2505, TAB_JUROS_U[[Q_DIAS_U_PARC_TIR]:[V_FUT_U_JURS CENARIO]], D$5, FALSE)</f>
        <v>#N/A</v>
      </c>
      <c r="E2505" s="22" t="e">
        <f>VLOOKUP($A2505,TAB_CORRECAO_U[[Q_DIAS_U_PARC_TIR]:[V_FUT_U_CORC-02]],E$5, FALSE)</f>
        <v>#N/A</v>
      </c>
      <c r="F2505" s="22" t="e">
        <f>VLOOKUP($A2505,TAB_AMORTIZACAO_U[[Q_DIAS_U_PARC_TIR]:[V_FUT_U_PCPL-02]], F$5, FALSE)</f>
        <v>#N/A</v>
      </c>
      <c r="H2505" s="20">
        <f t="shared" ref="H2505:H2568" si="202">IF(ISERROR(I2505), 0, I2505)</f>
        <v>0</v>
      </c>
      <c r="I2505" s="21">
        <f t="shared" ref="I2505:I2568" si="203">SUMIF(J2505:L2505, "&gt;0", J2505:L2505)</f>
        <v>0</v>
      </c>
      <c r="J2505" s="22" t="e">
        <f>VLOOKUP($A2505, TAB_JUROS_C[[DIAS_CORRIDOS]:[V_FUT_UTEIS]], J$5, FALSE)</f>
        <v>#N/A</v>
      </c>
      <c r="K2505" s="22" t="e">
        <f>VLOOKUP($A2505, TAB_CORRECAO_C[[DIAS_CORRIDOS]:[V_FUT_UTEIS]],K$5, FALSE)</f>
        <v>#N/A</v>
      </c>
      <c r="L2505" s="22" t="e">
        <f>VLOOKUP($A2505, TAB_AMORTIZACAO_C[[DIAS_CORRIDOS]:[V_FUT_UTEIS]], L$5, FALSE)</f>
        <v>#N/A</v>
      </c>
    </row>
    <row r="2506" spans="1:12" hidden="1">
      <c r="A2506" s="19">
        <f t="shared" ref="A2506:A2569" si="204">A2505+1</f>
        <v>2500</v>
      </c>
      <c r="B2506" s="20">
        <f t="shared" si="200"/>
        <v>0</v>
      </c>
      <c r="C2506" s="21">
        <f t="shared" si="201"/>
        <v>0</v>
      </c>
      <c r="D2506" s="22" t="e">
        <f>VLOOKUP($A2506, TAB_JUROS_U[[Q_DIAS_U_PARC_TIR]:[V_FUT_U_JURS CENARIO]], D$5, FALSE)</f>
        <v>#N/A</v>
      </c>
      <c r="E2506" s="22" t="e">
        <f>VLOOKUP($A2506,TAB_CORRECAO_U[[Q_DIAS_U_PARC_TIR]:[V_FUT_U_CORC-02]],E$5, FALSE)</f>
        <v>#N/A</v>
      </c>
      <c r="F2506" s="22" t="e">
        <f>VLOOKUP($A2506,TAB_AMORTIZACAO_U[[Q_DIAS_U_PARC_TIR]:[V_FUT_U_PCPL-02]], F$5, FALSE)</f>
        <v>#N/A</v>
      </c>
      <c r="H2506" s="20">
        <f t="shared" si="202"/>
        <v>0</v>
      </c>
      <c r="I2506" s="21">
        <f t="shared" si="203"/>
        <v>0</v>
      </c>
      <c r="J2506" s="22" t="e">
        <f>VLOOKUP($A2506, TAB_JUROS_C[[DIAS_CORRIDOS]:[V_FUT_UTEIS]], J$5, FALSE)</f>
        <v>#N/A</v>
      </c>
      <c r="K2506" s="22" t="e">
        <f>VLOOKUP($A2506, TAB_CORRECAO_C[[DIAS_CORRIDOS]:[V_FUT_UTEIS]],K$5, FALSE)</f>
        <v>#N/A</v>
      </c>
      <c r="L2506" s="22" t="e">
        <f>VLOOKUP($A2506, TAB_AMORTIZACAO_C[[DIAS_CORRIDOS]:[V_FUT_UTEIS]], L$5, FALSE)</f>
        <v>#N/A</v>
      </c>
    </row>
    <row r="2507" spans="1:12" hidden="1">
      <c r="A2507" s="19">
        <f t="shared" si="204"/>
        <v>2501</v>
      </c>
      <c r="B2507" s="20">
        <f t="shared" si="200"/>
        <v>0</v>
      </c>
      <c r="C2507" s="21">
        <f t="shared" si="201"/>
        <v>0</v>
      </c>
      <c r="D2507" s="22" t="e">
        <f>VLOOKUP($A2507, TAB_JUROS_U[[Q_DIAS_U_PARC_TIR]:[V_FUT_U_JURS CENARIO]], D$5, FALSE)</f>
        <v>#N/A</v>
      </c>
      <c r="E2507" s="22" t="e">
        <f>VLOOKUP($A2507,TAB_CORRECAO_U[[Q_DIAS_U_PARC_TIR]:[V_FUT_U_CORC-02]],E$5, FALSE)</f>
        <v>#N/A</v>
      </c>
      <c r="F2507" s="22" t="e">
        <f>VLOOKUP($A2507,TAB_AMORTIZACAO_U[[Q_DIAS_U_PARC_TIR]:[V_FUT_U_PCPL-02]], F$5, FALSE)</f>
        <v>#N/A</v>
      </c>
      <c r="H2507" s="20">
        <f t="shared" si="202"/>
        <v>0</v>
      </c>
      <c r="I2507" s="21">
        <f t="shared" si="203"/>
        <v>0</v>
      </c>
      <c r="J2507" s="22" t="e">
        <f>VLOOKUP($A2507, TAB_JUROS_C[[DIAS_CORRIDOS]:[V_FUT_UTEIS]], J$5, FALSE)</f>
        <v>#N/A</v>
      </c>
      <c r="K2507" s="22" t="e">
        <f>VLOOKUP($A2507, TAB_CORRECAO_C[[DIAS_CORRIDOS]:[V_FUT_UTEIS]],K$5, FALSE)</f>
        <v>#N/A</v>
      </c>
      <c r="L2507" s="22" t="e">
        <f>VLOOKUP($A2507, TAB_AMORTIZACAO_C[[DIAS_CORRIDOS]:[V_FUT_UTEIS]], L$5, FALSE)</f>
        <v>#N/A</v>
      </c>
    </row>
    <row r="2508" spans="1:12" hidden="1">
      <c r="A2508" s="19">
        <f t="shared" si="204"/>
        <v>2502</v>
      </c>
      <c r="B2508" s="20">
        <f t="shared" si="200"/>
        <v>0</v>
      </c>
      <c r="C2508" s="21">
        <f t="shared" si="201"/>
        <v>0</v>
      </c>
      <c r="D2508" s="22" t="e">
        <f>VLOOKUP($A2508, TAB_JUROS_U[[Q_DIAS_U_PARC_TIR]:[V_FUT_U_JURS CENARIO]], D$5, FALSE)</f>
        <v>#N/A</v>
      </c>
      <c r="E2508" s="22" t="e">
        <f>VLOOKUP($A2508,TAB_CORRECAO_U[[Q_DIAS_U_PARC_TIR]:[V_FUT_U_CORC-02]],E$5, FALSE)</f>
        <v>#N/A</v>
      </c>
      <c r="F2508" s="22" t="e">
        <f>VLOOKUP($A2508,TAB_AMORTIZACAO_U[[Q_DIAS_U_PARC_TIR]:[V_FUT_U_PCPL-02]], F$5, FALSE)</f>
        <v>#N/A</v>
      </c>
      <c r="H2508" s="20">
        <f t="shared" si="202"/>
        <v>0</v>
      </c>
      <c r="I2508" s="21">
        <f t="shared" si="203"/>
        <v>0</v>
      </c>
      <c r="J2508" s="22" t="e">
        <f>VLOOKUP($A2508, TAB_JUROS_C[[DIAS_CORRIDOS]:[V_FUT_UTEIS]], J$5, FALSE)</f>
        <v>#N/A</v>
      </c>
      <c r="K2508" s="22" t="e">
        <f>VLOOKUP($A2508, TAB_CORRECAO_C[[DIAS_CORRIDOS]:[V_FUT_UTEIS]],K$5, FALSE)</f>
        <v>#N/A</v>
      </c>
      <c r="L2508" s="22" t="e">
        <f>VLOOKUP($A2508, TAB_AMORTIZACAO_C[[DIAS_CORRIDOS]:[V_FUT_UTEIS]], L$5, FALSE)</f>
        <v>#N/A</v>
      </c>
    </row>
    <row r="2509" spans="1:12">
      <c r="A2509" s="19">
        <f t="shared" si="204"/>
        <v>2503</v>
      </c>
      <c r="B2509" s="20">
        <f t="shared" si="200"/>
        <v>158.90650710479167</v>
      </c>
      <c r="C2509" s="21">
        <f t="shared" si="201"/>
        <v>158.90650710479167</v>
      </c>
      <c r="D2509" s="22">
        <f>VLOOKUP($A2509, TAB_JUROS_U[[Q_DIAS_U_PARC_TIR]:[V_FUT_U_JURS CENARIO]], D$5, FALSE)</f>
        <v>5.8341172477562013</v>
      </c>
      <c r="E2509" s="22">
        <f>VLOOKUP($A2509,TAB_CORRECAO_U[[Q_DIAS_U_PARC_TIR]:[V_FUT_U_CORC-02]],E$5, FALSE)</f>
        <v>34.734221762532655</v>
      </c>
      <c r="F2509" s="22">
        <f>VLOOKUP($A2509,TAB_AMORTIZACAO_U[[Q_DIAS_U_PARC_TIR]:[V_FUT_U_PCPL-02]], F$5, FALSE)</f>
        <v>118.33816809450282</v>
      </c>
      <c r="H2509" s="20">
        <f t="shared" si="202"/>
        <v>0</v>
      </c>
      <c r="I2509" s="21">
        <f t="shared" si="203"/>
        <v>0</v>
      </c>
      <c r="J2509" s="22" t="e">
        <f>VLOOKUP($A2509, TAB_JUROS_C[[DIAS_CORRIDOS]:[V_FUT_UTEIS]], J$5, FALSE)</f>
        <v>#N/A</v>
      </c>
      <c r="K2509" s="22" t="e">
        <f>VLOOKUP($A2509, TAB_CORRECAO_C[[DIAS_CORRIDOS]:[V_FUT_UTEIS]],K$5, FALSE)</f>
        <v>#N/A</v>
      </c>
      <c r="L2509" s="22" t="e">
        <f>VLOOKUP($A2509, TAB_AMORTIZACAO_C[[DIAS_CORRIDOS]:[V_FUT_UTEIS]], L$5, FALSE)</f>
        <v>#N/A</v>
      </c>
    </row>
    <row r="2510" spans="1:12" hidden="1">
      <c r="A2510" s="19">
        <f t="shared" si="204"/>
        <v>2504</v>
      </c>
      <c r="B2510" s="20">
        <f t="shared" si="200"/>
        <v>0</v>
      </c>
      <c r="C2510" s="21">
        <f t="shared" si="201"/>
        <v>0</v>
      </c>
      <c r="D2510" s="22" t="e">
        <f>VLOOKUP($A2510, TAB_JUROS_U[[Q_DIAS_U_PARC_TIR]:[V_FUT_U_JURS CENARIO]], D$5, FALSE)</f>
        <v>#N/A</v>
      </c>
      <c r="E2510" s="22" t="e">
        <f>VLOOKUP($A2510,TAB_CORRECAO_U[[Q_DIAS_U_PARC_TIR]:[V_FUT_U_CORC-02]],E$5, FALSE)</f>
        <v>#N/A</v>
      </c>
      <c r="F2510" s="22" t="e">
        <f>VLOOKUP($A2510,TAB_AMORTIZACAO_U[[Q_DIAS_U_PARC_TIR]:[V_FUT_U_PCPL-02]], F$5, FALSE)</f>
        <v>#N/A</v>
      </c>
      <c r="H2510" s="20">
        <f t="shared" si="202"/>
        <v>0</v>
      </c>
      <c r="I2510" s="21">
        <f t="shared" si="203"/>
        <v>0</v>
      </c>
      <c r="J2510" s="22" t="e">
        <f>VLOOKUP($A2510, TAB_JUROS_C[[DIAS_CORRIDOS]:[V_FUT_UTEIS]], J$5, FALSE)</f>
        <v>#N/A</v>
      </c>
      <c r="K2510" s="22" t="e">
        <f>VLOOKUP($A2510, TAB_CORRECAO_C[[DIAS_CORRIDOS]:[V_FUT_UTEIS]],K$5, FALSE)</f>
        <v>#N/A</v>
      </c>
      <c r="L2510" s="22" t="e">
        <f>VLOOKUP($A2510, TAB_AMORTIZACAO_C[[DIAS_CORRIDOS]:[V_FUT_UTEIS]], L$5, FALSE)</f>
        <v>#N/A</v>
      </c>
    </row>
    <row r="2511" spans="1:12" hidden="1">
      <c r="A2511" s="19">
        <f t="shared" si="204"/>
        <v>2505</v>
      </c>
      <c r="B2511" s="20">
        <f t="shared" si="200"/>
        <v>0</v>
      </c>
      <c r="C2511" s="21">
        <f t="shared" si="201"/>
        <v>0</v>
      </c>
      <c r="D2511" s="22" t="e">
        <f>VLOOKUP($A2511, TAB_JUROS_U[[Q_DIAS_U_PARC_TIR]:[V_FUT_U_JURS CENARIO]], D$5, FALSE)</f>
        <v>#N/A</v>
      </c>
      <c r="E2511" s="22" t="e">
        <f>VLOOKUP($A2511,TAB_CORRECAO_U[[Q_DIAS_U_PARC_TIR]:[V_FUT_U_CORC-02]],E$5, FALSE)</f>
        <v>#N/A</v>
      </c>
      <c r="F2511" s="22" t="e">
        <f>VLOOKUP($A2511,TAB_AMORTIZACAO_U[[Q_DIAS_U_PARC_TIR]:[V_FUT_U_PCPL-02]], F$5, FALSE)</f>
        <v>#N/A</v>
      </c>
      <c r="H2511" s="20">
        <f t="shared" si="202"/>
        <v>0</v>
      </c>
      <c r="I2511" s="21">
        <f t="shared" si="203"/>
        <v>0</v>
      </c>
      <c r="J2511" s="22" t="e">
        <f>VLOOKUP($A2511, TAB_JUROS_C[[DIAS_CORRIDOS]:[V_FUT_UTEIS]], J$5, FALSE)</f>
        <v>#N/A</v>
      </c>
      <c r="K2511" s="22" t="e">
        <f>VLOOKUP($A2511, TAB_CORRECAO_C[[DIAS_CORRIDOS]:[V_FUT_UTEIS]],K$5, FALSE)</f>
        <v>#N/A</v>
      </c>
      <c r="L2511" s="22" t="e">
        <f>VLOOKUP($A2511, TAB_AMORTIZACAO_C[[DIAS_CORRIDOS]:[V_FUT_UTEIS]], L$5, FALSE)</f>
        <v>#N/A</v>
      </c>
    </row>
    <row r="2512" spans="1:12" hidden="1">
      <c r="A2512" s="19">
        <f t="shared" si="204"/>
        <v>2506</v>
      </c>
      <c r="B2512" s="20">
        <f t="shared" si="200"/>
        <v>0</v>
      </c>
      <c r="C2512" s="21">
        <f t="shared" si="201"/>
        <v>0</v>
      </c>
      <c r="D2512" s="22" t="e">
        <f>VLOOKUP($A2512, TAB_JUROS_U[[Q_DIAS_U_PARC_TIR]:[V_FUT_U_JURS CENARIO]], D$5, FALSE)</f>
        <v>#N/A</v>
      </c>
      <c r="E2512" s="22" t="e">
        <f>VLOOKUP($A2512,TAB_CORRECAO_U[[Q_DIAS_U_PARC_TIR]:[V_FUT_U_CORC-02]],E$5, FALSE)</f>
        <v>#N/A</v>
      </c>
      <c r="F2512" s="22" t="e">
        <f>VLOOKUP($A2512,TAB_AMORTIZACAO_U[[Q_DIAS_U_PARC_TIR]:[V_FUT_U_PCPL-02]], F$5, FALSE)</f>
        <v>#N/A</v>
      </c>
      <c r="H2512" s="20">
        <f t="shared" si="202"/>
        <v>0</v>
      </c>
      <c r="I2512" s="21">
        <f t="shared" si="203"/>
        <v>0</v>
      </c>
      <c r="J2512" s="22" t="e">
        <f>VLOOKUP($A2512, TAB_JUROS_C[[DIAS_CORRIDOS]:[V_FUT_UTEIS]], J$5, FALSE)</f>
        <v>#N/A</v>
      </c>
      <c r="K2512" s="22" t="e">
        <f>VLOOKUP($A2512, TAB_CORRECAO_C[[DIAS_CORRIDOS]:[V_FUT_UTEIS]],K$5, FALSE)</f>
        <v>#N/A</v>
      </c>
      <c r="L2512" s="22" t="e">
        <f>VLOOKUP($A2512, TAB_AMORTIZACAO_C[[DIAS_CORRIDOS]:[V_FUT_UTEIS]], L$5, FALSE)</f>
        <v>#N/A</v>
      </c>
    </row>
    <row r="2513" spans="1:12" hidden="1">
      <c r="A2513" s="19">
        <f t="shared" si="204"/>
        <v>2507</v>
      </c>
      <c r="B2513" s="20">
        <f t="shared" si="200"/>
        <v>0</v>
      </c>
      <c r="C2513" s="21">
        <f t="shared" si="201"/>
        <v>0</v>
      </c>
      <c r="D2513" s="22" t="e">
        <f>VLOOKUP($A2513, TAB_JUROS_U[[Q_DIAS_U_PARC_TIR]:[V_FUT_U_JURS CENARIO]], D$5, FALSE)</f>
        <v>#N/A</v>
      </c>
      <c r="E2513" s="22" t="e">
        <f>VLOOKUP($A2513,TAB_CORRECAO_U[[Q_DIAS_U_PARC_TIR]:[V_FUT_U_CORC-02]],E$5, FALSE)</f>
        <v>#N/A</v>
      </c>
      <c r="F2513" s="22" t="e">
        <f>VLOOKUP($A2513,TAB_AMORTIZACAO_U[[Q_DIAS_U_PARC_TIR]:[V_FUT_U_PCPL-02]], F$5, FALSE)</f>
        <v>#N/A</v>
      </c>
      <c r="H2513" s="20">
        <f t="shared" si="202"/>
        <v>0</v>
      </c>
      <c r="I2513" s="21">
        <f t="shared" si="203"/>
        <v>0</v>
      </c>
      <c r="J2513" s="22" t="e">
        <f>VLOOKUP($A2513, TAB_JUROS_C[[DIAS_CORRIDOS]:[V_FUT_UTEIS]], J$5, FALSE)</f>
        <v>#N/A</v>
      </c>
      <c r="K2513" s="22" t="e">
        <f>VLOOKUP($A2513, TAB_CORRECAO_C[[DIAS_CORRIDOS]:[V_FUT_UTEIS]],K$5, FALSE)</f>
        <v>#N/A</v>
      </c>
      <c r="L2513" s="22" t="e">
        <f>VLOOKUP($A2513, TAB_AMORTIZACAO_C[[DIAS_CORRIDOS]:[V_FUT_UTEIS]], L$5, FALSE)</f>
        <v>#N/A</v>
      </c>
    </row>
    <row r="2514" spans="1:12" hidden="1">
      <c r="A2514" s="19">
        <f t="shared" si="204"/>
        <v>2508</v>
      </c>
      <c r="B2514" s="20">
        <f t="shared" si="200"/>
        <v>0</v>
      </c>
      <c r="C2514" s="21">
        <f t="shared" si="201"/>
        <v>0</v>
      </c>
      <c r="D2514" s="22" t="e">
        <f>VLOOKUP($A2514, TAB_JUROS_U[[Q_DIAS_U_PARC_TIR]:[V_FUT_U_JURS CENARIO]], D$5, FALSE)</f>
        <v>#N/A</v>
      </c>
      <c r="E2514" s="22" t="e">
        <f>VLOOKUP($A2514,TAB_CORRECAO_U[[Q_DIAS_U_PARC_TIR]:[V_FUT_U_CORC-02]],E$5, FALSE)</f>
        <v>#N/A</v>
      </c>
      <c r="F2514" s="22" t="e">
        <f>VLOOKUP($A2514,TAB_AMORTIZACAO_U[[Q_DIAS_U_PARC_TIR]:[V_FUT_U_PCPL-02]], F$5, FALSE)</f>
        <v>#N/A</v>
      </c>
      <c r="H2514" s="20">
        <f t="shared" si="202"/>
        <v>0</v>
      </c>
      <c r="I2514" s="21">
        <f t="shared" si="203"/>
        <v>0</v>
      </c>
      <c r="J2514" s="22" t="e">
        <f>VLOOKUP($A2514, TAB_JUROS_C[[DIAS_CORRIDOS]:[V_FUT_UTEIS]], J$5, FALSE)</f>
        <v>#N/A</v>
      </c>
      <c r="K2514" s="22" t="e">
        <f>VLOOKUP($A2514, TAB_CORRECAO_C[[DIAS_CORRIDOS]:[V_FUT_UTEIS]],K$5, FALSE)</f>
        <v>#N/A</v>
      </c>
      <c r="L2514" s="22" t="e">
        <f>VLOOKUP($A2514, TAB_AMORTIZACAO_C[[DIAS_CORRIDOS]:[V_FUT_UTEIS]], L$5, FALSE)</f>
        <v>#N/A</v>
      </c>
    </row>
    <row r="2515" spans="1:12" hidden="1">
      <c r="A2515" s="19">
        <f t="shared" si="204"/>
        <v>2509</v>
      </c>
      <c r="B2515" s="20">
        <f t="shared" si="200"/>
        <v>0</v>
      </c>
      <c r="C2515" s="21">
        <f t="shared" si="201"/>
        <v>0</v>
      </c>
      <c r="D2515" s="22" t="e">
        <f>VLOOKUP($A2515, TAB_JUROS_U[[Q_DIAS_U_PARC_TIR]:[V_FUT_U_JURS CENARIO]], D$5, FALSE)</f>
        <v>#N/A</v>
      </c>
      <c r="E2515" s="22" t="e">
        <f>VLOOKUP($A2515,TAB_CORRECAO_U[[Q_DIAS_U_PARC_TIR]:[V_FUT_U_CORC-02]],E$5, FALSE)</f>
        <v>#N/A</v>
      </c>
      <c r="F2515" s="22" t="e">
        <f>VLOOKUP($A2515,TAB_AMORTIZACAO_U[[Q_DIAS_U_PARC_TIR]:[V_FUT_U_PCPL-02]], F$5, FALSE)</f>
        <v>#N/A</v>
      </c>
      <c r="H2515" s="20">
        <f t="shared" si="202"/>
        <v>393.56623326394953</v>
      </c>
      <c r="I2515" s="21">
        <f t="shared" si="203"/>
        <v>393.56623326394953</v>
      </c>
      <c r="J2515" s="22">
        <f>VLOOKUP($A2515, TAB_JUROS_C[[DIAS_CORRIDOS]:[V_FUT_UTEIS]], J$5, FALSE)</f>
        <v>24.623037748593273</v>
      </c>
      <c r="K2515" s="22">
        <f>VLOOKUP($A2515, TAB_CORRECAO_C[[DIAS_CORRIDOS]:[V_FUT_UTEIS]],K$5, FALSE)</f>
        <v>148.80796667774246</v>
      </c>
      <c r="L2515" s="22">
        <f>VLOOKUP($A2515, TAB_AMORTIZACAO_C[[DIAS_CORRIDOS]:[V_FUT_UTEIS]], L$5, FALSE)</f>
        <v>220.13522883761379</v>
      </c>
    </row>
    <row r="2516" spans="1:12" hidden="1">
      <c r="A2516" s="19">
        <f t="shared" si="204"/>
        <v>2510</v>
      </c>
      <c r="B2516" s="20">
        <f t="shared" si="200"/>
        <v>0</v>
      </c>
      <c r="C2516" s="21">
        <f t="shared" si="201"/>
        <v>0</v>
      </c>
      <c r="D2516" s="22" t="e">
        <f>VLOOKUP($A2516, TAB_JUROS_U[[Q_DIAS_U_PARC_TIR]:[V_FUT_U_JURS CENARIO]], D$5, FALSE)</f>
        <v>#N/A</v>
      </c>
      <c r="E2516" s="22" t="e">
        <f>VLOOKUP($A2516,TAB_CORRECAO_U[[Q_DIAS_U_PARC_TIR]:[V_FUT_U_CORC-02]],E$5, FALSE)</f>
        <v>#N/A</v>
      </c>
      <c r="F2516" s="22" t="e">
        <f>VLOOKUP($A2516,TAB_AMORTIZACAO_U[[Q_DIAS_U_PARC_TIR]:[V_FUT_U_PCPL-02]], F$5, FALSE)</f>
        <v>#N/A</v>
      </c>
      <c r="H2516" s="20">
        <f t="shared" si="202"/>
        <v>0</v>
      </c>
      <c r="I2516" s="21">
        <f t="shared" si="203"/>
        <v>0</v>
      </c>
      <c r="J2516" s="22" t="e">
        <f>VLOOKUP($A2516, TAB_JUROS_C[[DIAS_CORRIDOS]:[V_FUT_UTEIS]], J$5, FALSE)</f>
        <v>#N/A</v>
      </c>
      <c r="K2516" s="22" t="e">
        <f>VLOOKUP($A2516, TAB_CORRECAO_C[[DIAS_CORRIDOS]:[V_FUT_UTEIS]],K$5, FALSE)</f>
        <v>#N/A</v>
      </c>
      <c r="L2516" s="22" t="e">
        <f>VLOOKUP($A2516, TAB_AMORTIZACAO_C[[DIAS_CORRIDOS]:[V_FUT_UTEIS]], L$5, FALSE)</f>
        <v>#N/A</v>
      </c>
    </row>
    <row r="2517" spans="1:12" hidden="1">
      <c r="A2517" s="19">
        <f t="shared" si="204"/>
        <v>2511</v>
      </c>
      <c r="B2517" s="20">
        <f t="shared" si="200"/>
        <v>0</v>
      </c>
      <c r="C2517" s="21">
        <f t="shared" si="201"/>
        <v>0</v>
      </c>
      <c r="D2517" s="22" t="e">
        <f>VLOOKUP($A2517, TAB_JUROS_U[[Q_DIAS_U_PARC_TIR]:[V_FUT_U_JURS CENARIO]], D$5, FALSE)</f>
        <v>#N/A</v>
      </c>
      <c r="E2517" s="22" t="e">
        <f>VLOOKUP($A2517,TAB_CORRECAO_U[[Q_DIAS_U_PARC_TIR]:[V_FUT_U_CORC-02]],E$5, FALSE)</f>
        <v>#N/A</v>
      </c>
      <c r="F2517" s="22" t="e">
        <f>VLOOKUP($A2517,TAB_AMORTIZACAO_U[[Q_DIAS_U_PARC_TIR]:[V_FUT_U_PCPL-02]], F$5, FALSE)</f>
        <v>#N/A</v>
      </c>
      <c r="H2517" s="20">
        <f t="shared" si="202"/>
        <v>0</v>
      </c>
      <c r="I2517" s="21">
        <f t="shared" si="203"/>
        <v>0</v>
      </c>
      <c r="J2517" s="22" t="e">
        <f>VLOOKUP($A2517, TAB_JUROS_C[[DIAS_CORRIDOS]:[V_FUT_UTEIS]], J$5, FALSE)</f>
        <v>#N/A</v>
      </c>
      <c r="K2517" s="22" t="e">
        <f>VLOOKUP($A2517, TAB_CORRECAO_C[[DIAS_CORRIDOS]:[V_FUT_UTEIS]],K$5, FALSE)</f>
        <v>#N/A</v>
      </c>
      <c r="L2517" s="22" t="e">
        <f>VLOOKUP($A2517, TAB_AMORTIZACAO_C[[DIAS_CORRIDOS]:[V_FUT_UTEIS]], L$5, FALSE)</f>
        <v>#N/A</v>
      </c>
    </row>
    <row r="2518" spans="1:12" hidden="1">
      <c r="A2518" s="19">
        <f t="shared" si="204"/>
        <v>2512</v>
      </c>
      <c r="B2518" s="20">
        <f t="shared" si="200"/>
        <v>0</v>
      </c>
      <c r="C2518" s="21">
        <f t="shared" si="201"/>
        <v>0</v>
      </c>
      <c r="D2518" s="22" t="e">
        <f>VLOOKUP($A2518, TAB_JUROS_U[[Q_DIAS_U_PARC_TIR]:[V_FUT_U_JURS CENARIO]], D$5, FALSE)</f>
        <v>#N/A</v>
      </c>
      <c r="E2518" s="22" t="e">
        <f>VLOOKUP($A2518,TAB_CORRECAO_U[[Q_DIAS_U_PARC_TIR]:[V_FUT_U_CORC-02]],E$5, FALSE)</f>
        <v>#N/A</v>
      </c>
      <c r="F2518" s="22" t="e">
        <f>VLOOKUP($A2518,TAB_AMORTIZACAO_U[[Q_DIAS_U_PARC_TIR]:[V_FUT_U_PCPL-02]], F$5, FALSE)</f>
        <v>#N/A</v>
      </c>
      <c r="H2518" s="20">
        <f t="shared" si="202"/>
        <v>0</v>
      </c>
      <c r="I2518" s="21">
        <f t="shared" si="203"/>
        <v>0</v>
      </c>
      <c r="J2518" s="22" t="e">
        <f>VLOOKUP($A2518, TAB_JUROS_C[[DIAS_CORRIDOS]:[V_FUT_UTEIS]], J$5, FALSE)</f>
        <v>#N/A</v>
      </c>
      <c r="K2518" s="22" t="e">
        <f>VLOOKUP($A2518, TAB_CORRECAO_C[[DIAS_CORRIDOS]:[V_FUT_UTEIS]],K$5, FALSE)</f>
        <v>#N/A</v>
      </c>
      <c r="L2518" s="22" t="e">
        <f>VLOOKUP($A2518, TAB_AMORTIZACAO_C[[DIAS_CORRIDOS]:[V_FUT_UTEIS]], L$5, FALSE)</f>
        <v>#N/A</v>
      </c>
    </row>
    <row r="2519" spans="1:12" hidden="1">
      <c r="A2519" s="19">
        <f t="shared" si="204"/>
        <v>2513</v>
      </c>
      <c r="B2519" s="20">
        <f t="shared" si="200"/>
        <v>0</v>
      </c>
      <c r="C2519" s="21">
        <f t="shared" si="201"/>
        <v>0</v>
      </c>
      <c r="D2519" s="22" t="e">
        <f>VLOOKUP($A2519, TAB_JUROS_U[[Q_DIAS_U_PARC_TIR]:[V_FUT_U_JURS CENARIO]], D$5, FALSE)</f>
        <v>#N/A</v>
      </c>
      <c r="E2519" s="22" t="e">
        <f>VLOOKUP($A2519,TAB_CORRECAO_U[[Q_DIAS_U_PARC_TIR]:[V_FUT_U_CORC-02]],E$5, FALSE)</f>
        <v>#N/A</v>
      </c>
      <c r="F2519" s="22" t="e">
        <f>VLOOKUP($A2519,TAB_AMORTIZACAO_U[[Q_DIAS_U_PARC_TIR]:[V_FUT_U_PCPL-02]], F$5, FALSE)</f>
        <v>#N/A</v>
      </c>
      <c r="H2519" s="20">
        <f t="shared" si="202"/>
        <v>0</v>
      </c>
      <c r="I2519" s="21">
        <f t="shared" si="203"/>
        <v>0</v>
      </c>
      <c r="J2519" s="22" t="e">
        <f>VLOOKUP($A2519, TAB_JUROS_C[[DIAS_CORRIDOS]:[V_FUT_UTEIS]], J$5, FALSE)</f>
        <v>#N/A</v>
      </c>
      <c r="K2519" s="22" t="e">
        <f>VLOOKUP($A2519, TAB_CORRECAO_C[[DIAS_CORRIDOS]:[V_FUT_UTEIS]],K$5, FALSE)</f>
        <v>#N/A</v>
      </c>
      <c r="L2519" s="22" t="e">
        <f>VLOOKUP($A2519, TAB_AMORTIZACAO_C[[DIAS_CORRIDOS]:[V_FUT_UTEIS]], L$5, FALSE)</f>
        <v>#N/A</v>
      </c>
    </row>
    <row r="2520" spans="1:12" hidden="1">
      <c r="A2520" s="19">
        <f t="shared" si="204"/>
        <v>2514</v>
      </c>
      <c r="B2520" s="20">
        <f t="shared" si="200"/>
        <v>0</v>
      </c>
      <c r="C2520" s="21">
        <f t="shared" si="201"/>
        <v>0</v>
      </c>
      <c r="D2520" s="22" t="e">
        <f>VLOOKUP($A2520, TAB_JUROS_U[[Q_DIAS_U_PARC_TIR]:[V_FUT_U_JURS CENARIO]], D$5, FALSE)</f>
        <v>#N/A</v>
      </c>
      <c r="E2520" s="22" t="e">
        <f>VLOOKUP($A2520,TAB_CORRECAO_U[[Q_DIAS_U_PARC_TIR]:[V_FUT_U_CORC-02]],E$5, FALSE)</f>
        <v>#N/A</v>
      </c>
      <c r="F2520" s="22" t="e">
        <f>VLOOKUP($A2520,TAB_AMORTIZACAO_U[[Q_DIAS_U_PARC_TIR]:[V_FUT_U_PCPL-02]], F$5, FALSE)</f>
        <v>#N/A</v>
      </c>
      <c r="H2520" s="20">
        <f t="shared" si="202"/>
        <v>0</v>
      </c>
      <c r="I2520" s="21">
        <f t="shared" si="203"/>
        <v>0</v>
      </c>
      <c r="J2520" s="22" t="e">
        <f>VLOOKUP($A2520, TAB_JUROS_C[[DIAS_CORRIDOS]:[V_FUT_UTEIS]], J$5, FALSE)</f>
        <v>#N/A</v>
      </c>
      <c r="K2520" s="22" t="e">
        <f>VLOOKUP($A2520, TAB_CORRECAO_C[[DIAS_CORRIDOS]:[V_FUT_UTEIS]],K$5, FALSE)</f>
        <v>#N/A</v>
      </c>
      <c r="L2520" s="22" t="e">
        <f>VLOOKUP($A2520, TAB_AMORTIZACAO_C[[DIAS_CORRIDOS]:[V_FUT_UTEIS]], L$5, FALSE)</f>
        <v>#N/A</v>
      </c>
    </row>
    <row r="2521" spans="1:12" hidden="1">
      <c r="A2521" s="19">
        <f t="shared" si="204"/>
        <v>2515</v>
      </c>
      <c r="B2521" s="20">
        <f t="shared" si="200"/>
        <v>0</v>
      </c>
      <c r="C2521" s="21">
        <f t="shared" si="201"/>
        <v>0</v>
      </c>
      <c r="D2521" s="22" t="e">
        <f>VLOOKUP($A2521, TAB_JUROS_U[[Q_DIAS_U_PARC_TIR]:[V_FUT_U_JURS CENARIO]], D$5, FALSE)</f>
        <v>#N/A</v>
      </c>
      <c r="E2521" s="22" t="e">
        <f>VLOOKUP($A2521,TAB_CORRECAO_U[[Q_DIAS_U_PARC_TIR]:[V_FUT_U_CORC-02]],E$5, FALSE)</f>
        <v>#N/A</v>
      </c>
      <c r="F2521" s="22" t="e">
        <f>VLOOKUP($A2521,TAB_AMORTIZACAO_U[[Q_DIAS_U_PARC_TIR]:[V_FUT_U_PCPL-02]], F$5, FALSE)</f>
        <v>#N/A</v>
      </c>
      <c r="H2521" s="20">
        <f t="shared" si="202"/>
        <v>0</v>
      </c>
      <c r="I2521" s="21">
        <f t="shared" si="203"/>
        <v>0</v>
      </c>
      <c r="J2521" s="22" t="e">
        <f>VLOOKUP($A2521, TAB_JUROS_C[[DIAS_CORRIDOS]:[V_FUT_UTEIS]], J$5, FALSE)</f>
        <v>#N/A</v>
      </c>
      <c r="K2521" s="22" t="e">
        <f>VLOOKUP($A2521, TAB_CORRECAO_C[[DIAS_CORRIDOS]:[V_FUT_UTEIS]],K$5, FALSE)</f>
        <v>#N/A</v>
      </c>
      <c r="L2521" s="22" t="e">
        <f>VLOOKUP($A2521, TAB_AMORTIZACAO_C[[DIAS_CORRIDOS]:[V_FUT_UTEIS]], L$5, FALSE)</f>
        <v>#N/A</v>
      </c>
    </row>
    <row r="2522" spans="1:12" hidden="1">
      <c r="A2522" s="19">
        <f t="shared" si="204"/>
        <v>2516</v>
      </c>
      <c r="B2522" s="20">
        <f t="shared" si="200"/>
        <v>0</v>
      </c>
      <c r="C2522" s="21">
        <f t="shared" si="201"/>
        <v>0</v>
      </c>
      <c r="D2522" s="22" t="e">
        <f>VLOOKUP($A2522, TAB_JUROS_U[[Q_DIAS_U_PARC_TIR]:[V_FUT_U_JURS CENARIO]], D$5, FALSE)</f>
        <v>#N/A</v>
      </c>
      <c r="E2522" s="22" t="e">
        <f>VLOOKUP($A2522,TAB_CORRECAO_U[[Q_DIAS_U_PARC_TIR]:[V_FUT_U_CORC-02]],E$5, FALSE)</f>
        <v>#N/A</v>
      </c>
      <c r="F2522" s="22" t="e">
        <f>VLOOKUP($A2522,TAB_AMORTIZACAO_U[[Q_DIAS_U_PARC_TIR]:[V_FUT_U_PCPL-02]], F$5, FALSE)</f>
        <v>#N/A</v>
      </c>
      <c r="H2522" s="20">
        <f t="shared" si="202"/>
        <v>0</v>
      </c>
      <c r="I2522" s="21">
        <f t="shared" si="203"/>
        <v>0</v>
      </c>
      <c r="J2522" s="22" t="e">
        <f>VLOOKUP($A2522, TAB_JUROS_C[[DIAS_CORRIDOS]:[V_FUT_UTEIS]], J$5, FALSE)</f>
        <v>#N/A</v>
      </c>
      <c r="K2522" s="22" t="e">
        <f>VLOOKUP($A2522, TAB_CORRECAO_C[[DIAS_CORRIDOS]:[V_FUT_UTEIS]],K$5, FALSE)</f>
        <v>#N/A</v>
      </c>
      <c r="L2522" s="22" t="e">
        <f>VLOOKUP($A2522, TAB_AMORTIZACAO_C[[DIAS_CORRIDOS]:[V_FUT_UTEIS]], L$5, FALSE)</f>
        <v>#N/A</v>
      </c>
    </row>
    <row r="2523" spans="1:12" hidden="1">
      <c r="A2523" s="19">
        <f t="shared" si="204"/>
        <v>2517</v>
      </c>
      <c r="B2523" s="20">
        <f t="shared" si="200"/>
        <v>0</v>
      </c>
      <c r="C2523" s="21">
        <f t="shared" si="201"/>
        <v>0</v>
      </c>
      <c r="D2523" s="22" t="e">
        <f>VLOOKUP($A2523, TAB_JUROS_U[[Q_DIAS_U_PARC_TIR]:[V_FUT_U_JURS CENARIO]], D$5, FALSE)</f>
        <v>#N/A</v>
      </c>
      <c r="E2523" s="22" t="e">
        <f>VLOOKUP($A2523,TAB_CORRECAO_U[[Q_DIAS_U_PARC_TIR]:[V_FUT_U_CORC-02]],E$5, FALSE)</f>
        <v>#N/A</v>
      </c>
      <c r="F2523" s="22" t="e">
        <f>VLOOKUP($A2523,TAB_AMORTIZACAO_U[[Q_DIAS_U_PARC_TIR]:[V_FUT_U_PCPL-02]], F$5, FALSE)</f>
        <v>#N/A</v>
      </c>
      <c r="H2523" s="20">
        <f t="shared" si="202"/>
        <v>0</v>
      </c>
      <c r="I2523" s="21">
        <f t="shared" si="203"/>
        <v>0</v>
      </c>
      <c r="J2523" s="22" t="e">
        <f>VLOOKUP($A2523, TAB_JUROS_C[[DIAS_CORRIDOS]:[V_FUT_UTEIS]], J$5, FALSE)</f>
        <v>#N/A</v>
      </c>
      <c r="K2523" s="22" t="e">
        <f>VLOOKUP($A2523, TAB_CORRECAO_C[[DIAS_CORRIDOS]:[V_FUT_UTEIS]],K$5, FALSE)</f>
        <v>#N/A</v>
      </c>
      <c r="L2523" s="22" t="e">
        <f>VLOOKUP($A2523, TAB_AMORTIZACAO_C[[DIAS_CORRIDOS]:[V_FUT_UTEIS]], L$5, FALSE)</f>
        <v>#N/A</v>
      </c>
    </row>
    <row r="2524" spans="1:12" hidden="1">
      <c r="A2524" s="19">
        <f t="shared" si="204"/>
        <v>2518</v>
      </c>
      <c r="B2524" s="20">
        <f t="shared" si="200"/>
        <v>0</v>
      </c>
      <c r="C2524" s="21">
        <f t="shared" si="201"/>
        <v>0</v>
      </c>
      <c r="D2524" s="22" t="e">
        <f>VLOOKUP($A2524, TAB_JUROS_U[[Q_DIAS_U_PARC_TIR]:[V_FUT_U_JURS CENARIO]], D$5, FALSE)</f>
        <v>#N/A</v>
      </c>
      <c r="E2524" s="22" t="e">
        <f>VLOOKUP($A2524,TAB_CORRECAO_U[[Q_DIAS_U_PARC_TIR]:[V_FUT_U_CORC-02]],E$5, FALSE)</f>
        <v>#N/A</v>
      </c>
      <c r="F2524" s="22" t="e">
        <f>VLOOKUP($A2524,TAB_AMORTIZACAO_U[[Q_DIAS_U_PARC_TIR]:[V_FUT_U_PCPL-02]], F$5, FALSE)</f>
        <v>#N/A</v>
      </c>
      <c r="H2524" s="20">
        <f t="shared" si="202"/>
        <v>0</v>
      </c>
      <c r="I2524" s="21">
        <f t="shared" si="203"/>
        <v>0</v>
      </c>
      <c r="J2524" s="22" t="e">
        <f>VLOOKUP($A2524, TAB_JUROS_C[[DIAS_CORRIDOS]:[V_FUT_UTEIS]], J$5, FALSE)</f>
        <v>#N/A</v>
      </c>
      <c r="K2524" s="22" t="e">
        <f>VLOOKUP($A2524, TAB_CORRECAO_C[[DIAS_CORRIDOS]:[V_FUT_UTEIS]],K$5, FALSE)</f>
        <v>#N/A</v>
      </c>
      <c r="L2524" s="22" t="e">
        <f>VLOOKUP($A2524, TAB_AMORTIZACAO_C[[DIAS_CORRIDOS]:[V_FUT_UTEIS]], L$5, FALSE)</f>
        <v>#N/A</v>
      </c>
    </row>
    <row r="2525" spans="1:12" hidden="1">
      <c r="A2525" s="19">
        <f t="shared" si="204"/>
        <v>2519</v>
      </c>
      <c r="B2525" s="20">
        <f t="shared" si="200"/>
        <v>0</v>
      </c>
      <c r="C2525" s="21">
        <f t="shared" si="201"/>
        <v>0</v>
      </c>
      <c r="D2525" s="22" t="e">
        <f>VLOOKUP($A2525, TAB_JUROS_U[[Q_DIAS_U_PARC_TIR]:[V_FUT_U_JURS CENARIO]], D$5, FALSE)</f>
        <v>#N/A</v>
      </c>
      <c r="E2525" s="22" t="e">
        <f>VLOOKUP($A2525,TAB_CORRECAO_U[[Q_DIAS_U_PARC_TIR]:[V_FUT_U_CORC-02]],E$5, FALSE)</f>
        <v>#N/A</v>
      </c>
      <c r="F2525" s="22" t="e">
        <f>VLOOKUP($A2525,TAB_AMORTIZACAO_U[[Q_DIAS_U_PARC_TIR]:[V_FUT_U_PCPL-02]], F$5, FALSE)</f>
        <v>#N/A</v>
      </c>
      <c r="H2525" s="20">
        <f t="shared" si="202"/>
        <v>0</v>
      </c>
      <c r="I2525" s="21">
        <f t="shared" si="203"/>
        <v>0</v>
      </c>
      <c r="J2525" s="22" t="e">
        <f>VLOOKUP($A2525, TAB_JUROS_C[[DIAS_CORRIDOS]:[V_FUT_UTEIS]], J$5, FALSE)</f>
        <v>#N/A</v>
      </c>
      <c r="K2525" s="22" t="e">
        <f>VLOOKUP($A2525, TAB_CORRECAO_C[[DIAS_CORRIDOS]:[V_FUT_UTEIS]],K$5, FALSE)</f>
        <v>#N/A</v>
      </c>
      <c r="L2525" s="22" t="e">
        <f>VLOOKUP($A2525, TAB_AMORTIZACAO_C[[DIAS_CORRIDOS]:[V_FUT_UTEIS]], L$5, FALSE)</f>
        <v>#N/A</v>
      </c>
    </row>
    <row r="2526" spans="1:12" hidden="1">
      <c r="A2526" s="19">
        <f t="shared" si="204"/>
        <v>2520</v>
      </c>
      <c r="B2526" s="20">
        <f t="shared" si="200"/>
        <v>0</v>
      </c>
      <c r="C2526" s="21">
        <f t="shared" si="201"/>
        <v>0</v>
      </c>
      <c r="D2526" s="22" t="e">
        <f>VLOOKUP($A2526, TAB_JUROS_U[[Q_DIAS_U_PARC_TIR]:[V_FUT_U_JURS CENARIO]], D$5, FALSE)</f>
        <v>#N/A</v>
      </c>
      <c r="E2526" s="22" t="e">
        <f>VLOOKUP($A2526,TAB_CORRECAO_U[[Q_DIAS_U_PARC_TIR]:[V_FUT_U_CORC-02]],E$5, FALSE)</f>
        <v>#N/A</v>
      </c>
      <c r="F2526" s="22" t="e">
        <f>VLOOKUP($A2526,TAB_AMORTIZACAO_U[[Q_DIAS_U_PARC_TIR]:[V_FUT_U_PCPL-02]], F$5, FALSE)</f>
        <v>#N/A</v>
      </c>
      <c r="H2526" s="20">
        <f t="shared" si="202"/>
        <v>0</v>
      </c>
      <c r="I2526" s="21">
        <f t="shared" si="203"/>
        <v>0</v>
      </c>
      <c r="J2526" s="22" t="e">
        <f>VLOOKUP($A2526, TAB_JUROS_C[[DIAS_CORRIDOS]:[V_FUT_UTEIS]], J$5, FALSE)</f>
        <v>#N/A</v>
      </c>
      <c r="K2526" s="22" t="e">
        <f>VLOOKUP($A2526, TAB_CORRECAO_C[[DIAS_CORRIDOS]:[V_FUT_UTEIS]],K$5, FALSE)</f>
        <v>#N/A</v>
      </c>
      <c r="L2526" s="22" t="e">
        <f>VLOOKUP($A2526, TAB_AMORTIZACAO_C[[DIAS_CORRIDOS]:[V_FUT_UTEIS]], L$5, FALSE)</f>
        <v>#N/A</v>
      </c>
    </row>
    <row r="2527" spans="1:12" hidden="1">
      <c r="A2527" s="19">
        <f t="shared" si="204"/>
        <v>2521</v>
      </c>
      <c r="B2527" s="20">
        <f t="shared" si="200"/>
        <v>0</v>
      </c>
      <c r="C2527" s="21">
        <f t="shared" si="201"/>
        <v>0</v>
      </c>
      <c r="D2527" s="22" t="e">
        <f>VLOOKUP($A2527, TAB_JUROS_U[[Q_DIAS_U_PARC_TIR]:[V_FUT_U_JURS CENARIO]], D$5, FALSE)</f>
        <v>#N/A</v>
      </c>
      <c r="E2527" s="22" t="e">
        <f>VLOOKUP($A2527,TAB_CORRECAO_U[[Q_DIAS_U_PARC_TIR]:[V_FUT_U_CORC-02]],E$5, FALSE)</f>
        <v>#N/A</v>
      </c>
      <c r="F2527" s="22" t="e">
        <f>VLOOKUP($A2527,TAB_AMORTIZACAO_U[[Q_DIAS_U_PARC_TIR]:[V_FUT_U_PCPL-02]], F$5, FALSE)</f>
        <v>#N/A</v>
      </c>
      <c r="H2527" s="20">
        <f t="shared" si="202"/>
        <v>0</v>
      </c>
      <c r="I2527" s="21">
        <f t="shared" si="203"/>
        <v>0</v>
      </c>
      <c r="J2527" s="22" t="e">
        <f>VLOOKUP($A2527, TAB_JUROS_C[[DIAS_CORRIDOS]:[V_FUT_UTEIS]], J$5, FALSE)</f>
        <v>#N/A</v>
      </c>
      <c r="K2527" s="22" t="e">
        <f>VLOOKUP($A2527, TAB_CORRECAO_C[[DIAS_CORRIDOS]:[V_FUT_UTEIS]],K$5, FALSE)</f>
        <v>#N/A</v>
      </c>
      <c r="L2527" s="22" t="e">
        <f>VLOOKUP($A2527, TAB_AMORTIZACAO_C[[DIAS_CORRIDOS]:[V_FUT_UTEIS]], L$5, FALSE)</f>
        <v>#N/A</v>
      </c>
    </row>
    <row r="2528" spans="1:12" hidden="1">
      <c r="A2528" s="19">
        <f t="shared" si="204"/>
        <v>2522</v>
      </c>
      <c r="B2528" s="20">
        <f t="shared" si="200"/>
        <v>0</v>
      </c>
      <c r="C2528" s="21">
        <f t="shared" si="201"/>
        <v>0</v>
      </c>
      <c r="D2528" s="22" t="e">
        <f>VLOOKUP($A2528, TAB_JUROS_U[[Q_DIAS_U_PARC_TIR]:[V_FUT_U_JURS CENARIO]], D$5, FALSE)</f>
        <v>#N/A</v>
      </c>
      <c r="E2528" s="22" t="e">
        <f>VLOOKUP($A2528,TAB_CORRECAO_U[[Q_DIAS_U_PARC_TIR]:[V_FUT_U_CORC-02]],E$5, FALSE)</f>
        <v>#N/A</v>
      </c>
      <c r="F2528" s="22" t="e">
        <f>VLOOKUP($A2528,TAB_AMORTIZACAO_U[[Q_DIAS_U_PARC_TIR]:[V_FUT_U_PCPL-02]], F$5, FALSE)</f>
        <v>#N/A</v>
      </c>
      <c r="H2528" s="20">
        <f t="shared" si="202"/>
        <v>0</v>
      </c>
      <c r="I2528" s="21">
        <f t="shared" si="203"/>
        <v>0</v>
      </c>
      <c r="J2528" s="22" t="e">
        <f>VLOOKUP($A2528, TAB_JUROS_C[[DIAS_CORRIDOS]:[V_FUT_UTEIS]], J$5, FALSE)</f>
        <v>#N/A</v>
      </c>
      <c r="K2528" s="22" t="e">
        <f>VLOOKUP($A2528, TAB_CORRECAO_C[[DIAS_CORRIDOS]:[V_FUT_UTEIS]],K$5, FALSE)</f>
        <v>#N/A</v>
      </c>
      <c r="L2528" s="22" t="e">
        <f>VLOOKUP($A2528, TAB_AMORTIZACAO_C[[DIAS_CORRIDOS]:[V_FUT_UTEIS]], L$5, FALSE)</f>
        <v>#N/A</v>
      </c>
    </row>
    <row r="2529" spans="1:12" hidden="1">
      <c r="A2529" s="19">
        <f t="shared" si="204"/>
        <v>2523</v>
      </c>
      <c r="B2529" s="20">
        <f t="shared" si="200"/>
        <v>0</v>
      </c>
      <c r="C2529" s="21">
        <f t="shared" si="201"/>
        <v>0</v>
      </c>
      <c r="D2529" s="22" t="e">
        <f>VLOOKUP($A2529, TAB_JUROS_U[[Q_DIAS_U_PARC_TIR]:[V_FUT_U_JURS CENARIO]], D$5, FALSE)</f>
        <v>#N/A</v>
      </c>
      <c r="E2529" s="22" t="e">
        <f>VLOOKUP($A2529,TAB_CORRECAO_U[[Q_DIAS_U_PARC_TIR]:[V_FUT_U_CORC-02]],E$5, FALSE)</f>
        <v>#N/A</v>
      </c>
      <c r="F2529" s="22" t="e">
        <f>VLOOKUP($A2529,TAB_AMORTIZACAO_U[[Q_DIAS_U_PARC_TIR]:[V_FUT_U_PCPL-02]], F$5, FALSE)</f>
        <v>#N/A</v>
      </c>
      <c r="H2529" s="20">
        <f t="shared" si="202"/>
        <v>0</v>
      </c>
      <c r="I2529" s="21">
        <f t="shared" si="203"/>
        <v>0</v>
      </c>
      <c r="J2529" s="22" t="e">
        <f>VLOOKUP($A2529, TAB_JUROS_C[[DIAS_CORRIDOS]:[V_FUT_UTEIS]], J$5, FALSE)</f>
        <v>#N/A</v>
      </c>
      <c r="K2529" s="22" t="e">
        <f>VLOOKUP($A2529, TAB_CORRECAO_C[[DIAS_CORRIDOS]:[V_FUT_UTEIS]],K$5, FALSE)</f>
        <v>#N/A</v>
      </c>
      <c r="L2529" s="22" t="e">
        <f>VLOOKUP($A2529, TAB_AMORTIZACAO_C[[DIAS_CORRIDOS]:[V_FUT_UTEIS]], L$5, FALSE)</f>
        <v>#N/A</v>
      </c>
    </row>
    <row r="2530" spans="1:12" hidden="1">
      <c r="A2530" s="19">
        <f t="shared" si="204"/>
        <v>2524</v>
      </c>
      <c r="B2530" s="20">
        <f t="shared" si="200"/>
        <v>0</v>
      </c>
      <c r="C2530" s="21">
        <f t="shared" si="201"/>
        <v>0</v>
      </c>
      <c r="D2530" s="22" t="e">
        <f>VLOOKUP($A2530, TAB_JUROS_U[[Q_DIAS_U_PARC_TIR]:[V_FUT_U_JURS CENARIO]], D$5, FALSE)</f>
        <v>#N/A</v>
      </c>
      <c r="E2530" s="22" t="e">
        <f>VLOOKUP($A2530,TAB_CORRECAO_U[[Q_DIAS_U_PARC_TIR]:[V_FUT_U_CORC-02]],E$5, FALSE)</f>
        <v>#N/A</v>
      </c>
      <c r="F2530" s="22" t="e">
        <f>VLOOKUP($A2530,TAB_AMORTIZACAO_U[[Q_DIAS_U_PARC_TIR]:[V_FUT_U_PCPL-02]], F$5, FALSE)</f>
        <v>#N/A</v>
      </c>
      <c r="H2530" s="20">
        <f t="shared" si="202"/>
        <v>0</v>
      </c>
      <c r="I2530" s="21">
        <f t="shared" si="203"/>
        <v>0</v>
      </c>
      <c r="J2530" s="22" t="e">
        <f>VLOOKUP($A2530, TAB_JUROS_C[[DIAS_CORRIDOS]:[V_FUT_UTEIS]], J$5, FALSE)</f>
        <v>#N/A</v>
      </c>
      <c r="K2530" s="22" t="e">
        <f>VLOOKUP($A2530, TAB_CORRECAO_C[[DIAS_CORRIDOS]:[V_FUT_UTEIS]],K$5, FALSE)</f>
        <v>#N/A</v>
      </c>
      <c r="L2530" s="22" t="e">
        <f>VLOOKUP($A2530, TAB_AMORTIZACAO_C[[DIAS_CORRIDOS]:[V_FUT_UTEIS]], L$5, FALSE)</f>
        <v>#N/A</v>
      </c>
    </row>
    <row r="2531" spans="1:12">
      <c r="A2531" s="19">
        <f t="shared" si="204"/>
        <v>2525</v>
      </c>
      <c r="B2531" s="20">
        <f t="shared" si="200"/>
        <v>167.76238794966969</v>
      </c>
      <c r="C2531" s="21">
        <f t="shared" si="201"/>
        <v>167.76238794966969</v>
      </c>
      <c r="D2531" s="22">
        <f>VLOOKUP($A2531, TAB_JUROS_U[[Q_DIAS_U_PARC_TIR]:[V_FUT_U_JURS CENARIO]], D$5, FALSE)</f>
        <v>6.0879373308441886</v>
      </c>
      <c r="E2531" s="22">
        <f>VLOOKUP($A2531,TAB_CORRECAO_U[[Q_DIAS_U_PARC_TIR]:[V_FUT_U_CORC-02]],E$5, FALSE)</f>
        <v>36.590366432338634</v>
      </c>
      <c r="F2531" s="22">
        <f>VLOOKUP($A2531,TAB_AMORTIZACAO_U[[Q_DIAS_U_PARC_TIR]:[V_FUT_U_PCPL-02]], F$5, FALSE)</f>
        <v>125.08408418648685</v>
      </c>
      <c r="H2531" s="20">
        <f t="shared" si="202"/>
        <v>0</v>
      </c>
      <c r="I2531" s="21">
        <f t="shared" si="203"/>
        <v>0</v>
      </c>
      <c r="J2531" s="22" t="e">
        <f>VLOOKUP($A2531, TAB_JUROS_C[[DIAS_CORRIDOS]:[V_FUT_UTEIS]], J$5, FALSE)</f>
        <v>#N/A</v>
      </c>
      <c r="K2531" s="22" t="e">
        <f>VLOOKUP($A2531, TAB_CORRECAO_C[[DIAS_CORRIDOS]:[V_FUT_UTEIS]],K$5, FALSE)</f>
        <v>#N/A</v>
      </c>
      <c r="L2531" s="22" t="e">
        <f>VLOOKUP($A2531, TAB_AMORTIZACAO_C[[DIAS_CORRIDOS]:[V_FUT_UTEIS]], L$5, FALSE)</f>
        <v>#N/A</v>
      </c>
    </row>
    <row r="2532" spans="1:12" hidden="1">
      <c r="A2532" s="19">
        <f t="shared" si="204"/>
        <v>2526</v>
      </c>
      <c r="B2532" s="20">
        <f t="shared" si="200"/>
        <v>0</v>
      </c>
      <c r="C2532" s="21">
        <f t="shared" si="201"/>
        <v>0</v>
      </c>
      <c r="D2532" s="22" t="e">
        <f>VLOOKUP($A2532, TAB_JUROS_U[[Q_DIAS_U_PARC_TIR]:[V_FUT_U_JURS CENARIO]], D$5, FALSE)</f>
        <v>#N/A</v>
      </c>
      <c r="E2532" s="22" t="e">
        <f>VLOOKUP($A2532,TAB_CORRECAO_U[[Q_DIAS_U_PARC_TIR]:[V_FUT_U_CORC-02]],E$5, FALSE)</f>
        <v>#N/A</v>
      </c>
      <c r="F2532" s="22" t="e">
        <f>VLOOKUP($A2532,TAB_AMORTIZACAO_U[[Q_DIAS_U_PARC_TIR]:[V_FUT_U_PCPL-02]], F$5, FALSE)</f>
        <v>#N/A</v>
      </c>
      <c r="H2532" s="20">
        <f t="shared" si="202"/>
        <v>0</v>
      </c>
      <c r="I2532" s="21">
        <f t="shared" si="203"/>
        <v>0</v>
      </c>
      <c r="J2532" s="22" t="e">
        <f>VLOOKUP($A2532, TAB_JUROS_C[[DIAS_CORRIDOS]:[V_FUT_UTEIS]], J$5, FALSE)</f>
        <v>#N/A</v>
      </c>
      <c r="K2532" s="22" t="e">
        <f>VLOOKUP($A2532, TAB_CORRECAO_C[[DIAS_CORRIDOS]:[V_FUT_UTEIS]],K$5, FALSE)</f>
        <v>#N/A</v>
      </c>
      <c r="L2532" s="22" t="e">
        <f>VLOOKUP($A2532, TAB_AMORTIZACAO_C[[DIAS_CORRIDOS]:[V_FUT_UTEIS]], L$5, FALSE)</f>
        <v>#N/A</v>
      </c>
    </row>
    <row r="2533" spans="1:12" hidden="1">
      <c r="A2533" s="19">
        <f t="shared" si="204"/>
        <v>2527</v>
      </c>
      <c r="B2533" s="20">
        <f t="shared" si="200"/>
        <v>0</v>
      </c>
      <c r="C2533" s="21">
        <f t="shared" si="201"/>
        <v>0</v>
      </c>
      <c r="D2533" s="22" t="e">
        <f>VLOOKUP($A2533, TAB_JUROS_U[[Q_DIAS_U_PARC_TIR]:[V_FUT_U_JURS CENARIO]], D$5, FALSE)</f>
        <v>#N/A</v>
      </c>
      <c r="E2533" s="22" t="e">
        <f>VLOOKUP($A2533,TAB_CORRECAO_U[[Q_DIAS_U_PARC_TIR]:[V_FUT_U_CORC-02]],E$5, FALSE)</f>
        <v>#N/A</v>
      </c>
      <c r="F2533" s="22" t="e">
        <f>VLOOKUP($A2533,TAB_AMORTIZACAO_U[[Q_DIAS_U_PARC_TIR]:[V_FUT_U_PCPL-02]], F$5, FALSE)</f>
        <v>#N/A</v>
      </c>
      <c r="H2533" s="20">
        <f t="shared" si="202"/>
        <v>0</v>
      </c>
      <c r="I2533" s="21">
        <f t="shared" si="203"/>
        <v>0</v>
      </c>
      <c r="J2533" s="22" t="e">
        <f>VLOOKUP($A2533, TAB_JUROS_C[[DIAS_CORRIDOS]:[V_FUT_UTEIS]], J$5, FALSE)</f>
        <v>#N/A</v>
      </c>
      <c r="K2533" s="22" t="e">
        <f>VLOOKUP($A2533, TAB_CORRECAO_C[[DIAS_CORRIDOS]:[V_FUT_UTEIS]],K$5, FALSE)</f>
        <v>#N/A</v>
      </c>
      <c r="L2533" s="22" t="e">
        <f>VLOOKUP($A2533, TAB_AMORTIZACAO_C[[DIAS_CORRIDOS]:[V_FUT_UTEIS]], L$5, FALSE)</f>
        <v>#N/A</v>
      </c>
    </row>
    <row r="2534" spans="1:12" hidden="1">
      <c r="A2534" s="19">
        <f t="shared" si="204"/>
        <v>2528</v>
      </c>
      <c r="B2534" s="20">
        <f t="shared" si="200"/>
        <v>0</v>
      </c>
      <c r="C2534" s="21">
        <f t="shared" si="201"/>
        <v>0</v>
      </c>
      <c r="D2534" s="22" t="e">
        <f>VLOOKUP($A2534, TAB_JUROS_U[[Q_DIAS_U_PARC_TIR]:[V_FUT_U_JURS CENARIO]], D$5, FALSE)</f>
        <v>#N/A</v>
      </c>
      <c r="E2534" s="22" t="e">
        <f>VLOOKUP($A2534,TAB_CORRECAO_U[[Q_DIAS_U_PARC_TIR]:[V_FUT_U_CORC-02]],E$5, FALSE)</f>
        <v>#N/A</v>
      </c>
      <c r="F2534" s="22" t="e">
        <f>VLOOKUP($A2534,TAB_AMORTIZACAO_U[[Q_DIAS_U_PARC_TIR]:[V_FUT_U_PCPL-02]], F$5, FALSE)</f>
        <v>#N/A</v>
      </c>
      <c r="H2534" s="20">
        <f t="shared" si="202"/>
        <v>0</v>
      </c>
      <c r="I2534" s="21">
        <f t="shared" si="203"/>
        <v>0</v>
      </c>
      <c r="J2534" s="22" t="e">
        <f>VLOOKUP($A2534, TAB_JUROS_C[[DIAS_CORRIDOS]:[V_FUT_UTEIS]], J$5, FALSE)</f>
        <v>#N/A</v>
      </c>
      <c r="K2534" s="22" t="e">
        <f>VLOOKUP($A2534, TAB_CORRECAO_C[[DIAS_CORRIDOS]:[V_FUT_UTEIS]],K$5, FALSE)</f>
        <v>#N/A</v>
      </c>
      <c r="L2534" s="22" t="e">
        <f>VLOOKUP($A2534, TAB_AMORTIZACAO_C[[DIAS_CORRIDOS]:[V_FUT_UTEIS]], L$5, FALSE)</f>
        <v>#N/A</v>
      </c>
    </row>
    <row r="2535" spans="1:12" hidden="1">
      <c r="A2535" s="19">
        <f t="shared" si="204"/>
        <v>2529</v>
      </c>
      <c r="B2535" s="20">
        <f t="shared" si="200"/>
        <v>0</v>
      </c>
      <c r="C2535" s="21">
        <f t="shared" si="201"/>
        <v>0</v>
      </c>
      <c r="D2535" s="22" t="e">
        <f>VLOOKUP($A2535, TAB_JUROS_U[[Q_DIAS_U_PARC_TIR]:[V_FUT_U_JURS CENARIO]], D$5, FALSE)</f>
        <v>#N/A</v>
      </c>
      <c r="E2535" s="22" t="e">
        <f>VLOOKUP($A2535,TAB_CORRECAO_U[[Q_DIAS_U_PARC_TIR]:[V_FUT_U_CORC-02]],E$5, FALSE)</f>
        <v>#N/A</v>
      </c>
      <c r="F2535" s="22" t="e">
        <f>VLOOKUP($A2535,TAB_AMORTIZACAO_U[[Q_DIAS_U_PARC_TIR]:[V_FUT_U_PCPL-02]], F$5, FALSE)</f>
        <v>#N/A</v>
      </c>
      <c r="H2535" s="20">
        <f t="shared" si="202"/>
        <v>0</v>
      </c>
      <c r="I2535" s="21">
        <f t="shared" si="203"/>
        <v>0</v>
      </c>
      <c r="J2535" s="22" t="e">
        <f>VLOOKUP($A2535, TAB_JUROS_C[[DIAS_CORRIDOS]:[V_FUT_UTEIS]], J$5, FALSE)</f>
        <v>#N/A</v>
      </c>
      <c r="K2535" s="22" t="e">
        <f>VLOOKUP($A2535, TAB_CORRECAO_C[[DIAS_CORRIDOS]:[V_FUT_UTEIS]],K$5, FALSE)</f>
        <v>#N/A</v>
      </c>
      <c r="L2535" s="22" t="e">
        <f>VLOOKUP($A2535, TAB_AMORTIZACAO_C[[DIAS_CORRIDOS]:[V_FUT_UTEIS]], L$5, FALSE)</f>
        <v>#N/A</v>
      </c>
    </row>
    <row r="2536" spans="1:12" hidden="1">
      <c r="A2536" s="19">
        <f t="shared" si="204"/>
        <v>2530</v>
      </c>
      <c r="B2536" s="20">
        <f t="shared" si="200"/>
        <v>0</v>
      </c>
      <c r="C2536" s="21">
        <f t="shared" si="201"/>
        <v>0</v>
      </c>
      <c r="D2536" s="22" t="e">
        <f>VLOOKUP($A2536, TAB_JUROS_U[[Q_DIAS_U_PARC_TIR]:[V_FUT_U_JURS CENARIO]], D$5, FALSE)</f>
        <v>#N/A</v>
      </c>
      <c r="E2536" s="22" t="e">
        <f>VLOOKUP($A2536,TAB_CORRECAO_U[[Q_DIAS_U_PARC_TIR]:[V_FUT_U_CORC-02]],E$5, FALSE)</f>
        <v>#N/A</v>
      </c>
      <c r="F2536" s="22" t="e">
        <f>VLOOKUP($A2536,TAB_AMORTIZACAO_U[[Q_DIAS_U_PARC_TIR]:[V_FUT_U_PCPL-02]], F$5, FALSE)</f>
        <v>#N/A</v>
      </c>
      <c r="H2536" s="20">
        <f t="shared" si="202"/>
        <v>0</v>
      </c>
      <c r="I2536" s="21">
        <f t="shared" si="203"/>
        <v>0</v>
      </c>
      <c r="J2536" s="22" t="e">
        <f>VLOOKUP($A2536, TAB_JUROS_C[[DIAS_CORRIDOS]:[V_FUT_UTEIS]], J$5, FALSE)</f>
        <v>#N/A</v>
      </c>
      <c r="K2536" s="22" t="e">
        <f>VLOOKUP($A2536, TAB_CORRECAO_C[[DIAS_CORRIDOS]:[V_FUT_UTEIS]],K$5, FALSE)</f>
        <v>#N/A</v>
      </c>
      <c r="L2536" s="22" t="e">
        <f>VLOOKUP($A2536, TAB_AMORTIZACAO_C[[DIAS_CORRIDOS]:[V_FUT_UTEIS]], L$5, FALSE)</f>
        <v>#N/A</v>
      </c>
    </row>
    <row r="2537" spans="1:12" hidden="1">
      <c r="A2537" s="19">
        <f t="shared" si="204"/>
        <v>2531</v>
      </c>
      <c r="B2537" s="20">
        <f t="shared" si="200"/>
        <v>0</v>
      </c>
      <c r="C2537" s="21">
        <f t="shared" si="201"/>
        <v>0</v>
      </c>
      <c r="D2537" s="22" t="e">
        <f>VLOOKUP($A2537, TAB_JUROS_U[[Q_DIAS_U_PARC_TIR]:[V_FUT_U_JURS CENARIO]], D$5, FALSE)</f>
        <v>#N/A</v>
      </c>
      <c r="E2537" s="22" t="e">
        <f>VLOOKUP($A2537,TAB_CORRECAO_U[[Q_DIAS_U_PARC_TIR]:[V_FUT_U_CORC-02]],E$5, FALSE)</f>
        <v>#N/A</v>
      </c>
      <c r="F2537" s="22" t="e">
        <f>VLOOKUP($A2537,TAB_AMORTIZACAO_U[[Q_DIAS_U_PARC_TIR]:[V_FUT_U_PCPL-02]], F$5, FALSE)</f>
        <v>#N/A</v>
      </c>
      <c r="H2537" s="20">
        <f t="shared" si="202"/>
        <v>0</v>
      </c>
      <c r="I2537" s="21">
        <f t="shared" si="203"/>
        <v>0</v>
      </c>
      <c r="J2537" s="22" t="e">
        <f>VLOOKUP($A2537, TAB_JUROS_C[[DIAS_CORRIDOS]:[V_FUT_UTEIS]], J$5, FALSE)</f>
        <v>#N/A</v>
      </c>
      <c r="K2537" s="22" t="e">
        <f>VLOOKUP($A2537, TAB_CORRECAO_C[[DIAS_CORRIDOS]:[V_FUT_UTEIS]],K$5, FALSE)</f>
        <v>#N/A</v>
      </c>
      <c r="L2537" s="22" t="e">
        <f>VLOOKUP($A2537, TAB_AMORTIZACAO_C[[DIAS_CORRIDOS]:[V_FUT_UTEIS]], L$5, FALSE)</f>
        <v>#N/A</v>
      </c>
    </row>
    <row r="2538" spans="1:12" hidden="1">
      <c r="A2538" s="19">
        <f t="shared" si="204"/>
        <v>2532</v>
      </c>
      <c r="B2538" s="20">
        <f t="shared" si="200"/>
        <v>0</v>
      </c>
      <c r="C2538" s="21">
        <f t="shared" si="201"/>
        <v>0</v>
      </c>
      <c r="D2538" s="22" t="e">
        <f>VLOOKUP($A2538, TAB_JUROS_U[[Q_DIAS_U_PARC_TIR]:[V_FUT_U_JURS CENARIO]], D$5, FALSE)</f>
        <v>#N/A</v>
      </c>
      <c r="E2538" s="22" t="e">
        <f>VLOOKUP($A2538,TAB_CORRECAO_U[[Q_DIAS_U_PARC_TIR]:[V_FUT_U_CORC-02]],E$5, FALSE)</f>
        <v>#N/A</v>
      </c>
      <c r="F2538" s="22" t="e">
        <f>VLOOKUP($A2538,TAB_AMORTIZACAO_U[[Q_DIAS_U_PARC_TIR]:[V_FUT_U_PCPL-02]], F$5, FALSE)</f>
        <v>#N/A</v>
      </c>
      <c r="H2538" s="20">
        <f t="shared" si="202"/>
        <v>0</v>
      </c>
      <c r="I2538" s="21">
        <f t="shared" si="203"/>
        <v>0</v>
      </c>
      <c r="J2538" s="22" t="e">
        <f>VLOOKUP($A2538, TAB_JUROS_C[[DIAS_CORRIDOS]:[V_FUT_UTEIS]], J$5, FALSE)</f>
        <v>#N/A</v>
      </c>
      <c r="K2538" s="22" t="e">
        <f>VLOOKUP($A2538, TAB_CORRECAO_C[[DIAS_CORRIDOS]:[V_FUT_UTEIS]],K$5, FALSE)</f>
        <v>#N/A</v>
      </c>
      <c r="L2538" s="22" t="e">
        <f>VLOOKUP($A2538, TAB_AMORTIZACAO_C[[DIAS_CORRIDOS]:[V_FUT_UTEIS]], L$5, FALSE)</f>
        <v>#N/A</v>
      </c>
    </row>
    <row r="2539" spans="1:12" hidden="1">
      <c r="A2539" s="19">
        <f t="shared" si="204"/>
        <v>2533</v>
      </c>
      <c r="B2539" s="20">
        <f t="shared" si="200"/>
        <v>0</v>
      </c>
      <c r="C2539" s="21">
        <f t="shared" si="201"/>
        <v>0</v>
      </c>
      <c r="D2539" s="22" t="e">
        <f>VLOOKUP($A2539, TAB_JUROS_U[[Q_DIAS_U_PARC_TIR]:[V_FUT_U_JURS CENARIO]], D$5, FALSE)</f>
        <v>#N/A</v>
      </c>
      <c r="E2539" s="22" t="e">
        <f>VLOOKUP($A2539,TAB_CORRECAO_U[[Q_DIAS_U_PARC_TIR]:[V_FUT_U_CORC-02]],E$5, FALSE)</f>
        <v>#N/A</v>
      </c>
      <c r="F2539" s="22" t="e">
        <f>VLOOKUP($A2539,TAB_AMORTIZACAO_U[[Q_DIAS_U_PARC_TIR]:[V_FUT_U_PCPL-02]], F$5, FALSE)</f>
        <v>#N/A</v>
      </c>
      <c r="H2539" s="20">
        <f t="shared" si="202"/>
        <v>0</v>
      </c>
      <c r="I2539" s="21">
        <f t="shared" si="203"/>
        <v>0</v>
      </c>
      <c r="J2539" s="22" t="e">
        <f>VLOOKUP($A2539, TAB_JUROS_C[[DIAS_CORRIDOS]:[V_FUT_UTEIS]], J$5, FALSE)</f>
        <v>#N/A</v>
      </c>
      <c r="K2539" s="22" t="e">
        <f>VLOOKUP($A2539, TAB_CORRECAO_C[[DIAS_CORRIDOS]:[V_FUT_UTEIS]],K$5, FALSE)</f>
        <v>#N/A</v>
      </c>
      <c r="L2539" s="22" t="e">
        <f>VLOOKUP($A2539, TAB_AMORTIZACAO_C[[DIAS_CORRIDOS]:[V_FUT_UTEIS]], L$5, FALSE)</f>
        <v>#N/A</v>
      </c>
    </row>
    <row r="2540" spans="1:12" hidden="1">
      <c r="A2540" s="19">
        <f t="shared" si="204"/>
        <v>2534</v>
      </c>
      <c r="B2540" s="20">
        <f t="shared" si="200"/>
        <v>0</v>
      </c>
      <c r="C2540" s="21">
        <f t="shared" si="201"/>
        <v>0</v>
      </c>
      <c r="D2540" s="22" t="e">
        <f>VLOOKUP($A2540, TAB_JUROS_U[[Q_DIAS_U_PARC_TIR]:[V_FUT_U_JURS CENARIO]], D$5, FALSE)</f>
        <v>#N/A</v>
      </c>
      <c r="E2540" s="22" t="e">
        <f>VLOOKUP($A2540,TAB_CORRECAO_U[[Q_DIAS_U_PARC_TIR]:[V_FUT_U_CORC-02]],E$5, FALSE)</f>
        <v>#N/A</v>
      </c>
      <c r="F2540" s="22" t="e">
        <f>VLOOKUP($A2540,TAB_AMORTIZACAO_U[[Q_DIAS_U_PARC_TIR]:[V_FUT_U_PCPL-02]], F$5, FALSE)</f>
        <v>#N/A</v>
      </c>
      <c r="H2540" s="20">
        <f t="shared" si="202"/>
        <v>0</v>
      </c>
      <c r="I2540" s="21">
        <f t="shared" si="203"/>
        <v>0</v>
      </c>
      <c r="J2540" s="22" t="e">
        <f>VLOOKUP($A2540, TAB_JUROS_C[[DIAS_CORRIDOS]:[V_FUT_UTEIS]], J$5, FALSE)</f>
        <v>#N/A</v>
      </c>
      <c r="K2540" s="22" t="e">
        <f>VLOOKUP($A2540, TAB_CORRECAO_C[[DIAS_CORRIDOS]:[V_FUT_UTEIS]],K$5, FALSE)</f>
        <v>#N/A</v>
      </c>
      <c r="L2540" s="22" t="e">
        <f>VLOOKUP($A2540, TAB_AMORTIZACAO_C[[DIAS_CORRIDOS]:[V_FUT_UTEIS]], L$5, FALSE)</f>
        <v>#N/A</v>
      </c>
    </row>
    <row r="2541" spans="1:12" hidden="1">
      <c r="A2541" s="19">
        <f t="shared" si="204"/>
        <v>2535</v>
      </c>
      <c r="B2541" s="20">
        <f t="shared" si="200"/>
        <v>0</v>
      </c>
      <c r="C2541" s="21">
        <f t="shared" si="201"/>
        <v>0</v>
      </c>
      <c r="D2541" s="22" t="e">
        <f>VLOOKUP($A2541, TAB_JUROS_U[[Q_DIAS_U_PARC_TIR]:[V_FUT_U_JURS CENARIO]], D$5, FALSE)</f>
        <v>#N/A</v>
      </c>
      <c r="E2541" s="22" t="e">
        <f>VLOOKUP($A2541,TAB_CORRECAO_U[[Q_DIAS_U_PARC_TIR]:[V_FUT_U_CORC-02]],E$5, FALSE)</f>
        <v>#N/A</v>
      </c>
      <c r="F2541" s="22" t="e">
        <f>VLOOKUP($A2541,TAB_AMORTIZACAO_U[[Q_DIAS_U_PARC_TIR]:[V_FUT_U_PCPL-02]], F$5, FALSE)</f>
        <v>#N/A</v>
      </c>
      <c r="H2541" s="20">
        <f t="shared" si="202"/>
        <v>0</v>
      </c>
      <c r="I2541" s="21">
        <f t="shared" si="203"/>
        <v>0</v>
      </c>
      <c r="J2541" s="22" t="e">
        <f>VLOOKUP($A2541, TAB_JUROS_C[[DIAS_CORRIDOS]:[V_FUT_UTEIS]], J$5, FALSE)</f>
        <v>#N/A</v>
      </c>
      <c r="K2541" s="22" t="e">
        <f>VLOOKUP($A2541, TAB_CORRECAO_C[[DIAS_CORRIDOS]:[V_FUT_UTEIS]],K$5, FALSE)</f>
        <v>#N/A</v>
      </c>
      <c r="L2541" s="22" t="e">
        <f>VLOOKUP($A2541, TAB_AMORTIZACAO_C[[DIAS_CORRIDOS]:[V_FUT_UTEIS]], L$5, FALSE)</f>
        <v>#N/A</v>
      </c>
    </row>
    <row r="2542" spans="1:12" hidden="1">
      <c r="A2542" s="19">
        <f t="shared" si="204"/>
        <v>2536</v>
      </c>
      <c r="B2542" s="20">
        <f t="shared" si="200"/>
        <v>0</v>
      </c>
      <c r="C2542" s="21">
        <f t="shared" si="201"/>
        <v>0</v>
      </c>
      <c r="D2542" s="22" t="e">
        <f>VLOOKUP($A2542, TAB_JUROS_U[[Q_DIAS_U_PARC_TIR]:[V_FUT_U_JURS CENARIO]], D$5, FALSE)</f>
        <v>#N/A</v>
      </c>
      <c r="E2542" s="22" t="e">
        <f>VLOOKUP($A2542,TAB_CORRECAO_U[[Q_DIAS_U_PARC_TIR]:[V_FUT_U_CORC-02]],E$5, FALSE)</f>
        <v>#N/A</v>
      </c>
      <c r="F2542" s="22" t="e">
        <f>VLOOKUP($A2542,TAB_AMORTIZACAO_U[[Q_DIAS_U_PARC_TIR]:[V_FUT_U_PCPL-02]], F$5, FALSE)</f>
        <v>#N/A</v>
      </c>
      <c r="H2542" s="20">
        <f t="shared" si="202"/>
        <v>0</v>
      </c>
      <c r="I2542" s="21">
        <f t="shared" si="203"/>
        <v>0</v>
      </c>
      <c r="J2542" s="22" t="e">
        <f>VLOOKUP($A2542, TAB_JUROS_C[[DIAS_CORRIDOS]:[V_FUT_UTEIS]], J$5, FALSE)</f>
        <v>#N/A</v>
      </c>
      <c r="K2542" s="22" t="e">
        <f>VLOOKUP($A2542, TAB_CORRECAO_C[[DIAS_CORRIDOS]:[V_FUT_UTEIS]],K$5, FALSE)</f>
        <v>#N/A</v>
      </c>
      <c r="L2542" s="22" t="e">
        <f>VLOOKUP($A2542, TAB_AMORTIZACAO_C[[DIAS_CORRIDOS]:[V_FUT_UTEIS]], L$5, FALSE)</f>
        <v>#N/A</v>
      </c>
    </row>
    <row r="2543" spans="1:12" hidden="1">
      <c r="A2543" s="19">
        <f t="shared" si="204"/>
        <v>2537</v>
      </c>
      <c r="B2543" s="20">
        <f t="shared" si="200"/>
        <v>0</v>
      </c>
      <c r="C2543" s="21">
        <f t="shared" si="201"/>
        <v>0</v>
      </c>
      <c r="D2543" s="22" t="e">
        <f>VLOOKUP($A2543, TAB_JUROS_U[[Q_DIAS_U_PARC_TIR]:[V_FUT_U_JURS CENARIO]], D$5, FALSE)</f>
        <v>#N/A</v>
      </c>
      <c r="E2543" s="22" t="e">
        <f>VLOOKUP($A2543,TAB_CORRECAO_U[[Q_DIAS_U_PARC_TIR]:[V_FUT_U_CORC-02]],E$5, FALSE)</f>
        <v>#N/A</v>
      </c>
      <c r="F2543" s="22" t="e">
        <f>VLOOKUP($A2543,TAB_AMORTIZACAO_U[[Q_DIAS_U_PARC_TIR]:[V_FUT_U_PCPL-02]], F$5, FALSE)</f>
        <v>#N/A</v>
      </c>
      <c r="H2543" s="20">
        <f t="shared" si="202"/>
        <v>376.28137980887971</v>
      </c>
      <c r="I2543" s="21">
        <f t="shared" si="203"/>
        <v>376.28137980887971</v>
      </c>
      <c r="J2543" s="22">
        <f>VLOOKUP($A2543, TAB_JUROS_C[[DIAS_CORRIDOS]:[V_FUT_UTEIS]], J$5, FALSE)</f>
        <v>23.885498723134351</v>
      </c>
      <c r="K2543" s="22">
        <f>VLOOKUP($A2543, TAB_CORRECAO_C[[DIAS_CORRIDOS]:[V_FUT_UTEIS]],K$5, FALSE)</f>
        <v>137.1740013898447</v>
      </c>
      <c r="L2543" s="22">
        <f>VLOOKUP($A2543, TAB_AMORTIZACAO_C[[DIAS_CORRIDOS]:[V_FUT_UTEIS]], L$5, FALSE)</f>
        <v>215.22187969590067</v>
      </c>
    </row>
    <row r="2544" spans="1:12" hidden="1">
      <c r="A2544" s="19">
        <f t="shared" si="204"/>
        <v>2538</v>
      </c>
      <c r="B2544" s="20">
        <f t="shared" si="200"/>
        <v>0</v>
      </c>
      <c r="C2544" s="21">
        <f t="shared" si="201"/>
        <v>0</v>
      </c>
      <c r="D2544" s="22" t="e">
        <f>VLOOKUP($A2544, TAB_JUROS_U[[Q_DIAS_U_PARC_TIR]:[V_FUT_U_JURS CENARIO]], D$5, FALSE)</f>
        <v>#N/A</v>
      </c>
      <c r="E2544" s="22" t="e">
        <f>VLOOKUP($A2544,TAB_CORRECAO_U[[Q_DIAS_U_PARC_TIR]:[V_FUT_U_CORC-02]],E$5, FALSE)</f>
        <v>#N/A</v>
      </c>
      <c r="F2544" s="22" t="e">
        <f>VLOOKUP($A2544,TAB_AMORTIZACAO_U[[Q_DIAS_U_PARC_TIR]:[V_FUT_U_PCPL-02]], F$5, FALSE)</f>
        <v>#N/A</v>
      </c>
      <c r="H2544" s="20">
        <f t="shared" si="202"/>
        <v>0</v>
      </c>
      <c r="I2544" s="21">
        <f t="shared" si="203"/>
        <v>0</v>
      </c>
      <c r="J2544" s="22" t="e">
        <f>VLOOKUP($A2544, TAB_JUROS_C[[DIAS_CORRIDOS]:[V_FUT_UTEIS]], J$5, FALSE)</f>
        <v>#N/A</v>
      </c>
      <c r="K2544" s="22" t="e">
        <f>VLOOKUP($A2544, TAB_CORRECAO_C[[DIAS_CORRIDOS]:[V_FUT_UTEIS]],K$5, FALSE)</f>
        <v>#N/A</v>
      </c>
      <c r="L2544" s="22" t="e">
        <f>VLOOKUP($A2544, TAB_AMORTIZACAO_C[[DIAS_CORRIDOS]:[V_FUT_UTEIS]], L$5, FALSE)</f>
        <v>#N/A</v>
      </c>
    </row>
    <row r="2545" spans="1:12" hidden="1">
      <c r="A2545" s="19">
        <f t="shared" si="204"/>
        <v>2539</v>
      </c>
      <c r="B2545" s="20">
        <f t="shared" si="200"/>
        <v>0</v>
      </c>
      <c r="C2545" s="21">
        <f t="shared" si="201"/>
        <v>0</v>
      </c>
      <c r="D2545" s="22" t="e">
        <f>VLOOKUP($A2545, TAB_JUROS_U[[Q_DIAS_U_PARC_TIR]:[V_FUT_U_JURS CENARIO]], D$5, FALSE)</f>
        <v>#N/A</v>
      </c>
      <c r="E2545" s="22" t="e">
        <f>VLOOKUP($A2545,TAB_CORRECAO_U[[Q_DIAS_U_PARC_TIR]:[V_FUT_U_CORC-02]],E$5, FALSE)</f>
        <v>#N/A</v>
      </c>
      <c r="F2545" s="22" t="e">
        <f>VLOOKUP($A2545,TAB_AMORTIZACAO_U[[Q_DIAS_U_PARC_TIR]:[V_FUT_U_PCPL-02]], F$5, FALSE)</f>
        <v>#N/A</v>
      </c>
      <c r="H2545" s="20">
        <f t="shared" si="202"/>
        <v>0</v>
      </c>
      <c r="I2545" s="21">
        <f t="shared" si="203"/>
        <v>0</v>
      </c>
      <c r="J2545" s="22" t="e">
        <f>VLOOKUP($A2545, TAB_JUROS_C[[DIAS_CORRIDOS]:[V_FUT_UTEIS]], J$5, FALSE)</f>
        <v>#N/A</v>
      </c>
      <c r="K2545" s="22" t="e">
        <f>VLOOKUP($A2545, TAB_CORRECAO_C[[DIAS_CORRIDOS]:[V_FUT_UTEIS]],K$5, FALSE)</f>
        <v>#N/A</v>
      </c>
      <c r="L2545" s="22" t="e">
        <f>VLOOKUP($A2545, TAB_AMORTIZACAO_C[[DIAS_CORRIDOS]:[V_FUT_UTEIS]], L$5, FALSE)</f>
        <v>#N/A</v>
      </c>
    </row>
    <row r="2546" spans="1:12" hidden="1">
      <c r="A2546" s="19">
        <f t="shared" si="204"/>
        <v>2540</v>
      </c>
      <c r="B2546" s="20">
        <f t="shared" si="200"/>
        <v>0</v>
      </c>
      <c r="C2546" s="21">
        <f t="shared" si="201"/>
        <v>0</v>
      </c>
      <c r="D2546" s="22" t="e">
        <f>VLOOKUP($A2546, TAB_JUROS_U[[Q_DIAS_U_PARC_TIR]:[V_FUT_U_JURS CENARIO]], D$5, FALSE)</f>
        <v>#N/A</v>
      </c>
      <c r="E2546" s="22" t="e">
        <f>VLOOKUP($A2546,TAB_CORRECAO_U[[Q_DIAS_U_PARC_TIR]:[V_FUT_U_CORC-02]],E$5, FALSE)</f>
        <v>#N/A</v>
      </c>
      <c r="F2546" s="22" t="e">
        <f>VLOOKUP($A2546,TAB_AMORTIZACAO_U[[Q_DIAS_U_PARC_TIR]:[V_FUT_U_PCPL-02]], F$5, FALSE)</f>
        <v>#N/A</v>
      </c>
      <c r="H2546" s="20">
        <f t="shared" si="202"/>
        <v>0</v>
      </c>
      <c r="I2546" s="21">
        <f t="shared" si="203"/>
        <v>0</v>
      </c>
      <c r="J2546" s="22" t="e">
        <f>VLOOKUP($A2546, TAB_JUROS_C[[DIAS_CORRIDOS]:[V_FUT_UTEIS]], J$5, FALSE)</f>
        <v>#N/A</v>
      </c>
      <c r="K2546" s="22" t="e">
        <f>VLOOKUP($A2546, TAB_CORRECAO_C[[DIAS_CORRIDOS]:[V_FUT_UTEIS]],K$5, FALSE)</f>
        <v>#N/A</v>
      </c>
      <c r="L2546" s="22" t="e">
        <f>VLOOKUP($A2546, TAB_AMORTIZACAO_C[[DIAS_CORRIDOS]:[V_FUT_UTEIS]], L$5, FALSE)</f>
        <v>#N/A</v>
      </c>
    </row>
    <row r="2547" spans="1:12" hidden="1">
      <c r="A2547" s="19">
        <f t="shared" si="204"/>
        <v>2541</v>
      </c>
      <c r="B2547" s="20">
        <f t="shared" si="200"/>
        <v>0</v>
      </c>
      <c r="C2547" s="21">
        <f t="shared" si="201"/>
        <v>0</v>
      </c>
      <c r="D2547" s="22" t="e">
        <f>VLOOKUP($A2547, TAB_JUROS_U[[Q_DIAS_U_PARC_TIR]:[V_FUT_U_JURS CENARIO]], D$5, FALSE)</f>
        <v>#N/A</v>
      </c>
      <c r="E2547" s="22" t="e">
        <f>VLOOKUP($A2547,TAB_CORRECAO_U[[Q_DIAS_U_PARC_TIR]:[V_FUT_U_CORC-02]],E$5, FALSE)</f>
        <v>#N/A</v>
      </c>
      <c r="F2547" s="22" t="e">
        <f>VLOOKUP($A2547,TAB_AMORTIZACAO_U[[Q_DIAS_U_PARC_TIR]:[V_FUT_U_PCPL-02]], F$5, FALSE)</f>
        <v>#N/A</v>
      </c>
      <c r="H2547" s="20">
        <f t="shared" si="202"/>
        <v>0</v>
      </c>
      <c r="I2547" s="21">
        <f t="shared" si="203"/>
        <v>0</v>
      </c>
      <c r="J2547" s="22" t="e">
        <f>VLOOKUP($A2547, TAB_JUROS_C[[DIAS_CORRIDOS]:[V_FUT_UTEIS]], J$5, FALSE)</f>
        <v>#N/A</v>
      </c>
      <c r="K2547" s="22" t="e">
        <f>VLOOKUP($A2547, TAB_CORRECAO_C[[DIAS_CORRIDOS]:[V_FUT_UTEIS]],K$5, FALSE)</f>
        <v>#N/A</v>
      </c>
      <c r="L2547" s="22" t="e">
        <f>VLOOKUP($A2547, TAB_AMORTIZACAO_C[[DIAS_CORRIDOS]:[V_FUT_UTEIS]], L$5, FALSE)</f>
        <v>#N/A</v>
      </c>
    </row>
    <row r="2548" spans="1:12" hidden="1">
      <c r="A2548" s="19">
        <f t="shared" si="204"/>
        <v>2542</v>
      </c>
      <c r="B2548" s="20">
        <f t="shared" si="200"/>
        <v>0</v>
      </c>
      <c r="C2548" s="21">
        <f t="shared" si="201"/>
        <v>0</v>
      </c>
      <c r="D2548" s="22" t="e">
        <f>VLOOKUP($A2548, TAB_JUROS_U[[Q_DIAS_U_PARC_TIR]:[V_FUT_U_JURS CENARIO]], D$5, FALSE)</f>
        <v>#N/A</v>
      </c>
      <c r="E2548" s="22" t="e">
        <f>VLOOKUP($A2548,TAB_CORRECAO_U[[Q_DIAS_U_PARC_TIR]:[V_FUT_U_CORC-02]],E$5, FALSE)</f>
        <v>#N/A</v>
      </c>
      <c r="F2548" s="22" t="e">
        <f>VLOOKUP($A2548,TAB_AMORTIZACAO_U[[Q_DIAS_U_PARC_TIR]:[V_FUT_U_PCPL-02]], F$5, FALSE)</f>
        <v>#N/A</v>
      </c>
      <c r="H2548" s="20">
        <f t="shared" si="202"/>
        <v>0</v>
      </c>
      <c r="I2548" s="21">
        <f t="shared" si="203"/>
        <v>0</v>
      </c>
      <c r="J2548" s="22" t="e">
        <f>VLOOKUP($A2548, TAB_JUROS_C[[DIAS_CORRIDOS]:[V_FUT_UTEIS]], J$5, FALSE)</f>
        <v>#N/A</v>
      </c>
      <c r="K2548" s="22" t="e">
        <f>VLOOKUP($A2548, TAB_CORRECAO_C[[DIAS_CORRIDOS]:[V_FUT_UTEIS]],K$5, FALSE)</f>
        <v>#N/A</v>
      </c>
      <c r="L2548" s="22" t="e">
        <f>VLOOKUP($A2548, TAB_AMORTIZACAO_C[[DIAS_CORRIDOS]:[V_FUT_UTEIS]], L$5, FALSE)</f>
        <v>#N/A</v>
      </c>
    </row>
    <row r="2549" spans="1:12" hidden="1">
      <c r="A2549" s="19">
        <f t="shared" si="204"/>
        <v>2543</v>
      </c>
      <c r="B2549" s="20">
        <f t="shared" si="200"/>
        <v>0</v>
      </c>
      <c r="C2549" s="21">
        <f t="shared" si="201"/>
        <v>0</v>
      </c>
      <c r="D2549" s="22" t="e">
        <f>VLOOKUP($A2549, TAB_JUROS_U[[Q_DIAS_U_PARC_TIR]:[V_FUT_U_JURS CENARIO]], D$5, FALSE)</f>
        <v>#N/A</v>
      </c>
      <c r="E2549" s="22" t="e">
        <f>VLOOKUP($A2549,TAB_CORRECAO_U[[Q_DIAS_U_PARC_TIR]:[V_FUT_U_CORC-02]],E$5, FALSE)</f>
        <v>#N/A</v>
      </c>
      <c r="F2549" s="22" t="e">
        <f>VLOOKUP($A2549,TAB_AMORTIZACAO_U[[Q_DIAS_U_PARC_TIR]:[V_FUT_U_PCPL-02]], F$5, FALSE)</f>
        <v>#N/A</v>
      </c>
      <c r="H2549" s="20">
        <f t="shared" si="202"/>
        <v>0</v>
      </c>
      <c r="I2549" s="21">
        <f t="shared" si="203"/>
        <v>0</v>
      </c>
      <c r="J2549" s="22" t="e">
        <f>VLOOKUP($A2549, TAB_JUROS_C[[DIAS_CORRIDOS]:[V_FUT_UTEIS]], J$5, FALSE)</f>
        <v>#N/A</v>
      </c>
      <c r="K2549" s="22" t="e">
        <f>VLOOKUP($A2549, TAB_CORRECAO_C[[DIAS_CORRIDOS]:[V_FUT_UTEIS]],K$5, FALSE)</f>
        <v>#N/A</v>
      </c>
      <c r="L2549" s="22" t="e">
        <f>VLOOKUP($A2549, TAB_AMORTIZACAO_C[[DIAS_CORRIDOS]:[V_FUT_UTEIS]], L$5, FALSE)</f>
        <v>#N/A</v>
      </c>
    </row>
    <row r="2550" spans="1:12" hidden="1">
      <c r="A2550" s="19">
        <f t="shared" si="204"/>
        <v>2544</v>
      </c>
      <c r="B2550" s="20">
        <f t="shared" si="200"/>
        <v>0</v>
      </c>
      <c r="C2550" s="21">
        <f t="shared" si="201"/>
        <v>0</v>
      </c>
      <c r="D2550" s="22" t="e">
        <f>VLOOKUP($A2550, TAB_JUROS_U[[Q_DIAS_U_PARC_TIR]:[V_FUT_U_JURS CENARIO]], D$5, FALSE)</f>
        <v>#N/A</v>
      </c>
      <c r="E2550" s="22" t="e">
        <f>VLOOKUP($A2550,TAB_CORRECAO_U[[Q_DIAS_U_PARC_TIR]:[V_FUT_U_CORC-02]],E$5, FALSE)</f>
        <v>#N/A</v>
      </c>
      <c r="F2550" s="22" t="e">
        <f>VLOOKUP($A2550,TAB_AMORTIZACAO_U[[Q_DIAS_U_PARC_TIR]:[V_FUT_U_PCPL-02]], F$5, FALSE)</f>
        <v>#N/A</v>
      </c>
      <c r="H2550" s="20">
        <f t="shared" si="202"/>
        <v>0</v>
      </c>
      <c r="I2550" s="21">
        <f t="shared" si="203"/>
        <v>0</v>
      </c>
      <c r="J2550" s="22" t="e">
        <f>VLOOKUP($A2550, TAB_JUROS_C[[DIAS_CORRIDOS]:[V_FUT_UTEIS]], J$5, FALSE)</f>
        <v>#N/A</v>
      </c>
      <c r="K2550" s="22" t="e">
        <f>VLOOKUP($A2550, TAB_CORRECAO_C[[DIAS_CORRIDOS]:[V_FUT_UTEIS]],K$5, FALSE)</f>
        <v>#N/A</v>
      </c>
      <c r="L2550" s="22" t="e">
        <f>VLOOKUP($A2550, TAB_AMORTIZACAO_C[[DIAS_CORRIDOS]:[V_FUT_UTEIS]], L$5, FALSE)</f>
        <v>#N/A</v>
      </c>
    </row>
    <row r="2551" spans="1:12" hidden="1">
      <c r="A2551" s="19">
        <f t="shared" si="204"/>
        <v>2545</v>
      </c>
      <c r="B2551" s="20">
        <f t="shared" si="200"/>
        <v>0</v>
      </c>
      <c r="C2551" s="21">
        <f t="shared" si="201"/>
        <v>0</v>
      </c>
      <c r="D2551" s="22" t="e">
        <f>VLOOKUP($A2551, TAB_JUROS_U[[Q_DIAS_U_PARC_TIR]:[V_FUT_U_JURS CENARIO]], D$5, FALSE)</f>
        <v>#N/A</v>
      </c>
      <c r="E2551" s="22" t="e">
        <f>VLOOKUP($A2551,TAB_CORRECAO_U[[Q_DIAS_U_PARC_TIR]:[V_FUT_U_CORC-02]],E$5, FALSE)</f>
        <v>#N/A</v>
      </c>
      <c r="F2551" s="22" t="e">
        <f>VLOOKUP($A2551,TAB_AMORTIZACAO_U[[Q_DIAS_U_PARC_TIR]:[V_FUT_U_PCPL-02]], F$5, FALSE)</f>
        <v>#N/A</v>
      </c>
      <c r="H2551" s="20">
        <f t="shared" si="202"/>
        <v>0</v>
      </c>
      <c r="I2551" s="21">
        <f t="shared" si="203"/>
        <v>0</v>
      </c>
      <c r="J2551" s="22" t="e">
        <f>VLOOKUP($A2551, TAB_JUROS_C[[DIAS_CORRIDOS]:[V_FUT_UTEIS]], J$5, FALSE)</f>
        <v>#N/A</v>
      </c>
      <c r="K2551" s="22" t="e">
        <f>VLOOKUP($A2551, TAB_CORRECAO_C[[DIAS_CORRIDOS]:[V_FUT_UTEIS]],K$5, FALSE)</f>
        <v>#N/A</v>
      </c>
      <c r="L2551" s="22" t="e">
        <f>VLOOKUP($A2551, TAB_AMORTIZACAO_C[[DIAS_CORRIDOS]:[V_FUT_UTEIS]], L$5, FALSE)</f>
        <v>#N/A</v>
      </c>
    </row>
    <row r="2552" spans="1:12">
      <c r="A2552" s="19">
        <f t="shared" si="204"/>
        <v>2546</v>
      </c>
      <c r="B2552" s="20">
        <f t="shared" si="200"/>
        <v>162.01401254893761</v>
      </c>
      <c r="C2552" s="21">
        <f t="shared" si="201"/>
        <v>162.01401254893761</v>
      </c>
      <c r="D2552" s="22">
        <f>VLOOKUP($A2552, TAB_JUROS_U[[Q_DIAS_U_PARC_TIR]:[V_FUT_U_JURS CENARIO]], D$5, FALSE)</f>
        <v>5.4789921590263786</v>
      </c>
      <c r="E2552" s="22">
        <f>VLOOKUP($A2552,TAB_CORRECAO_U[[Q_DIAS_U_PARC_TIR]:[V_FUT_U_CORC-02]],E$5, FALSE)</f>
        <v>34.073592003710374</v>
      </c>
      <c r="F2552" s="22">
        <f>VLOOKUP($A2552,TAB_AMORTIZACAO_U[[Q_DIAS_U_PARC_TIR]:[V_FUT_U_PCPL-02]], F$5, FALSE)</f>
        <v>122.46142838620086</v>
      </c>
      <c r="H2552" s="20">
        <f t="shared" si="202"/>
        <v>0</v>
      </c>
      <c r="I2552" s="21">
        <f t="shared" si="203"/>
        <v>0</v>
      </c>
      <c r="J2552" s="22" t="e">
        <f>VLOOKUP($A2552, TAB_JUROS_C[[DIAS_CORRIDOS]:[V_FUT_UTEIS]], J$5, FALSE)</f>
        <v>#N/A</v>
      </c>
      <c r="K2552" s="22" t="e">
        <f>VLOOKUP($A2552, TAB_CORRECAO_C[[DIAS_CORRIDOS]:[V_FUT_UTEIS]],K$5, FALSE)</f>
        <v>#N/A</v>
      </c>
      <c r="L2552" s="22" t="e">
        <f>VLOOKUP($A2552, TAB_AMORTIZACAO_C[[DIAS_CORRIDOS]:[V_FUT_UTEIS]], L$5, FALSE)</f>
        <v>#N/A</v>
      </c>
    </row>
    <row r="2553" spans="1:12" hidden="1">
      <c r="A2553" s="19">
        <f t="shared" si="204"/>
        <v>2547</v>
      </c>
      <c r="B2553" s="20">
        <f t="shared" si="200"/>
        <v>0</v>
      </c>
      <c r="C2553" s="21">
        <f t="shared" si="201"/>
        <v>0</v>
      </c>
      <c r="D2553" s="22" t="e">
        <f>VLOOKUP($A2553, TAB_JUROS_U[[Q_DIAS_U_PARC_TIR]:[V_FUT_U_JURS CENARIO]], D$5, FALSE)</f>
        <v>#N/A</v>
      </c>
      <c r="E2553" s="22" t="e">
        <f>VLOOKUP($A2553,TAB_CORRECAO_U[[Q_DIAS_U_PARC_TIR]:[V_FUT_U_CORC-02]],E$5, FALSE)</f>
        <v>#N/A</v>
      </c>
      <c r="F2553" s="22" t="e">
        <f>VLOOKUP($A2553,TAB_AMORTIZACAO_U[[Q_DIAS_U_PARC_TIR]:[V_FUT_U_PCPL-02]], F$5, FALSE)</f>
        <v>#N/A</v>
      </c>
      <c r="H2553" s="20">
        <f t="shared" si="202"/>
        <v>0</v>
      </c>
      <c r="I2553" s="21">
        <f t="shared" si="203"/>
        <v>0</v>
      </c>
      <c r="J2553" s="22" t="e">
        <f>VLOOKUP($A2553, TAB_JUROS_C[[DIAS_CORRIDOS]:[V_FUT_UTEIS]], J$5, FALSE)</f>
        <v>#N/A</v>
      </c>
      <c r="K2553" s="22" t="e">
        <f>VLOOKUP($A2553, TAB_CORRECAO_C[[DIAS_CORRIDOS]:[V_FUT_UTEIS]],K$5, FALSE)</f>
        <v>#N/A</v>
      </c>
      <c r="L2553" s="22" t="e">
        <f>VLOOKUP($A2553, TAB_AMORTIZACAO_C[[DIAS_CORRIDOS]:[V_FUT_UTEIS]], L$5, FALSE)</f>
        <v>#N/A</v>
      </c>
    </row>
    <row r="2554" spans="1:12" hidden="1">
      <c r="A2554" s="19">
        <f t="shared" si="204"/>
        <v>2548</v>
      </c>
      <c r="B2554" s="20">
        <f t="shared" si="200"/>
        <v>0</v>
      </c>
      <c r="C2554" s="21">
        <f t="shared" si="201"/>
        <v>0</v>
      </c>
      <c r="D2554" s="22" t="e">
        <f>VLOOKUP($A2554, TAB_JUROS_U[[Q_DIAS_U_PARC_TIR]:[V_FUT_U_JURS CENARIO]], D$5, FALSE)</f>
        <v>#N/A</v>
      </c>
      <c r="E2554" s="22" t="e">
        <f>VLOOKUP($A2554,TAB_CORRECAO_U[[Q_DIAS_U_PARC_TIR]:[V_FUT_U_CORC-02]],E$5, FALSE)</f>
        <v>#N/A</v>
      </c>
      <c r="F2554" s="22" t="e">
        <f>VLOOKUP($A2554,TAB_AMORTIZACAO_U[[Q_DIAS_U_PARC_TIR]:[V_FUT_U_PCPL-02]], F$5, FALSE)</f>
        <v>#N/A</v>
      </c>
      <c r="H2554" s="20">
        <f t="shared" si="202"/>
        <v>0</v>
      </c>
      <c r="I2554" s="21">
        <f t="shared" si="203"/>
        <v>0</v>
      </c>
      <c r="J2554" s="22" t="e">
        <f>VLOOKUP($A2554, TAB_JUROS_C[[DIAS_CORRIDOS]:[V_FUT_UTEIS]], J$5, FALSE)</f>
        <v>#N/A</v>
      </c>
      <c r="K2554" s="22" t="e">
        <f>VLOOKUP($A2554, TAB_CORRECAO_C[[DIAS_CORRIDOS]:[V_FUT_UTEIS]],K$5, FALSE)</f>
        <v>#N/A</v>
      </c>
      <c r="L2554" s="22" t="e">
        <f>VLOOKUP($A2554, TAB_AMORTIZACAO_C[[DIAS_CORRIDOS]:[V_FUT_UTEIS]], L$5, FALSE)</f>
        <v>#N/A</v>
      </c>
    </row>
    <row r="2555" spans="1:12" hidden="1">
      <c r="A2555" s="19">
        <f t="shared" si="204"/>
        <v>2549</v>
      </c>
      <c r="B2555" s="20">
        <f t="shared" si="200"/>
        <v>0</v>
      </c>
      <c r="C2555" s="21">
        <f t="shared" si="201"/>
        <v>0</v>
      </c>
      <c r="D2555" s="22" t="e">
        <f>VLOOKUP($A2555, TAB_JUROS_U[[Q_DIAS_U_PARC_TIR]:[V_FUT_U_JURS CENARIO]], D$5, FALSE)</f>
        <v>#N/A</v>
      </c>
      <c r="E2555" s="22" t="e">
        <f>VLOOKUP($A2555,TAB_CORRECAO_U[[Q_DIAS_U_PARC_TIR]:[V_FUT_U_CORC-02]],E$5, FALSE)</f>
        <v>#N/A</v>
      </c>
      <c r="F2555" s="22" t="e">
        <f>VLOOKUP($A2555,TAB_AMORTIZACAO_U[[Q_DIAS_U_PARC_TIR]:[V_FUT_U_PCPL-02]], F$5, FALSE)</f>
        <v>#N/A</v>
      </c>
      <c r="H2555" s="20">
        <f t="shared" si="202"/>
        <v>0</v>
      </c>
      <c r="I2555" s="21">
        <f t="shared" si="203"/>
        <v>0</v>
      </c>
      <c r="J2555" s="22" t="e">
        <f>VLOOKUP($A2555, TAB_JUROS_C[[DIAS_CORRIDOS]:[V_FUT_UTEIS]], J$5, FALSE)</f>
        <v>#N/A</v>
      </c>
      <c r="K2555" s="22" t="e">
        <f>VLOOKUP($A2555, TAB_CORRECAO_C[[DIAS_CORRIDOS]:[V_FUT_UTEIS]],K$5, FALSE)</f>
        <v>#N/A</v>
      </c>
      <c r="L2555" s="22" t="e">
        <f>VLOOKUP($A2555, TAB_AMORTIZACAO_C[[DIAS_CORRIDOS]:[V_FUT_UTEIS]], L$5, FALSE)</f>
        <v>#N/A</v>
      </c>
    </row>
    <row r="2556" spans="1:12" hidden="1">
      <c r="A2556" s="19">
        <f t="shared" si="204"/>
        <v>2550</v>
      </c>
      <c r="B2556" s="20">
        <f t="shared" si="200"/>
        <v>0</v>
      </c>
      <c r="C2556" s="21">
        <f t="shared" si="201"/>
        <v>0</v>
      </c>
      <c r="D2556" s="22" t="e">
        <f>VLOOKUP($A2556, TAB_JUROS_U[[Q_DIAS_U_PARC_TIR]:[V_FUT_U_JURS CENARIO]], D$5, FALSE)</f>
        <v>#N/A</v>
      </c>
      <c r="E2556" s="22" t="e">
        <f>VLOOKUP($A2556,TAB_CORRECAO_U[[Q_DIAS_U_PARC_TIR]:[V_FUT_U_CORC-02]],E$5, FALSE)</f>
        <v>#N/A</v>
      </c>
      <c r="F2556" s="22" t="e">
        <f>VLOOKUP($A2556,TAB_AMORTIZACAO_U[[Q_DIAS_U_PARC_TIR]:[V_FUT_U_PCPL-02]], F$5, FALSE)</f>
        <v>#N/A</v>
      </c>
      <c r="H2556" s="20">
        <f t="shared" si="202"/>
        <v>0</v>
      </c>
      <c r="I2556" s="21">
        <f t="shared" si="203"/>
        <v>0</v>
      </c>
      <c r="J2556" s="22" t="e">
        <f>VLOOKUP($A2556, TAB_JUROS_C[[DIAS_CORRIDOS]:[V_FUT_UTEIS]], J$5, FALSE)</f>
        <v>#N/A</v>
      </c>
      <c r="K2556" s="22" t="e">
        <f>VLOOKUP($A2556, TAB_CORRECAO_C[[DIAS_CORRIDOS]:[V_FUT_UTEIS]],K$5, FALSE)</f>
        <v>#N/A</v>
      </c>
      <c r="L2556" s="22" t="e">
        <f>VLOOKUP($A2556, TAB_AMORTIZACAO_C[[DIAS_CORRIDOS]:[V_FUT_UTEIS]], L$5, FALSE)</f>
        <v>#N/A</v>
      </c>
    </row>
    <row r="2557" spans="1:12" hidden="1">
      <c r="A2557" s="19">
        <f t="shared" si="204"/>
        <v>2551</v>
      </c>
      <c r="B2557" s="20">
        <f t="shared" si="200"/>
        <v>0</v>
      </c>
      <c r="C2557" s="21">
        <f t="shared" si="201"/>
        <v>0</v>
      </c>
      <c r="D2557" s="22" t="e">
        <f>VLOOKUP($A2557, TAB_JUROS_U[[Q_DIAS_U_PARC_TIR]:[V_FUT_U_JURS CENARIO]], D$5, FALSE)</f>
        <v>#N/A</v>
      </c>
      <c r="E2557" s="22" t="e">
        <f>VLOOKUP($A2557,TAB_CORRECAO_U[[Q_DIAS_U_PARC_TIR]:[V_FUT_U_CORC-02]],E$5, FALSE)</f>
        <v>#N/A</v>
      </c>
      <c r="F2557" s="22" t="e">
        <f>VLOOKUP($A2557,TAB_AMORTIZACAO_U[[Q_DIAS_U_PARC_TIR]:[V_FUT_U_PCPL-02]], F$5, FALSE)</f>
        <v>#N/A</v>
      </c>
      <c r="H2557" s="20">
        <f t="shared" si="202"/>
        <v>0</v>
      </c>
      <c r="I2557" s="21">
        <f t="shared" si="203"/>
        <v>0</v>
      </c>
      <c r="J2557" s="22" t="e">
        <f>VLOOKUP($A2557, TAB_JUROS_C[[DIAS_CORRIDOS]:[V_FUT_UTEIS]], J$5, FALSE)</f>
        <v>#N/A</v>
      </c>
      <c r="K2557" s="22" t="e">
        <f>VLOOKUP($A2557, TAB_CORRECAO_C[[DIAS_CORRIDOS]:[V_FUT_UTEIS]],K$5, FALSE)</f>
        <v>#N/A</v>
      </c>
      <c r="L2557" s="22" t="e">
        <f>VLOOKUP($A2557, TAB_AMORTIZACAO_C[[DIAS_CORRIDOS]:[V_FUT_UTEIS]], L$5, FALSE)</f>
        <v>#N/A</v>
      </c>
    </row>
    <row r="2558" spans="1:12" hidden="1">
      <c r="A2558" s="19">
        <f t="shared" si="204"/>
        <v>2552</v>
      </c>
      <c r="B2558" s="20">
        <f t="shared" si="200"/>
        <v>0</v>
      </c>
      <c r="C2558" s="21">
        <f t="shared" si="201"/>
        <v>0</v>
      </c>
      <c r="D2558" s="22" t="e">
        <f>VLOOKUP($A2558, TAB_JUROS_U[[Q_DIAS_U_PARC_TIR]:[V_FUT_U_JURS CENARIO]], D$5, FALSE)</f>
        <v>#N/A</v>
      </c>
      <c r="E2558" s="22" t="e">
        <f>VLOOKUP($A2558,TAB_CORRECAO_U[[Q_DIAS_U_PARC_TIR]:[V_FUT_U_CORC-02]],E$5, FALSE)</f>
        <v>#N/A</v>
      </c>
      <c r="F2558" s="22" t="e">
        <f>VLOOKUP($A2558,TAB_AMORTIZACAO_U[[Q_DIAS_U_PARC_TIR]:[V_FUT_U_PCPL-02]], F$5, FALSE)</f>
        <v>#N/A</v>
      </c>
      <c r="H2558" s="20">
        <f t="shared" si="202"/>
        <v>0</v>
      </c>
      <c r="I2558" s="21">
        <f t="shared" si="203"/>
        <v>0</v>
      </c>
      <c r="J2558" s="22" t="e">
        <f>VLOOKUP($A2558, TAB_JUROS_C[[DIAS_CORRIDOS]:[V_FUT_UTEIS]], J$5, FALSE)</f>
        <v>#N/A</v>
      </c>
      <c r="K2558" s="22" t="e">
        <f>VLOOKUP($A2558, TAB_CORRECAO_C[[DIAS_CORRIDOS]:[V_FUT_UTEIS]],K$5, FALSE)</f>
        <v>#N/A</v>
      </c>
      <c r="L2558" s="22" t="e">
        <f>VLOOKUP($A2558, TAB_AMORTIZACAO_C[[DIAS_CORRIDOS]:[V_FUT_UTEIS]], L$5, FALSE)</f>
        <v>#N/A</v>
      </c>
    </row>
    <row r="2559" spans="1:12" hidden="1">
      <c r="A2559" s="19">
        <f t="shared" si="204"/>
        <v>2553</v>
      </c>
      <c r="B2559" s="20">
        <f t="shared" si="200"/>
        <v>0</v>
      </c>
      <c r="C2559" s="21">
        <f t="shared" si="201"/>
        <v>0</v>
      </c>
      <c r="D2559" s="22" t="e">
        <f>VLOOKUP($A2559, TAB_JUROS_U[[Q_DIAS_U_PARC_TIR]:[V_FUT_U_JURS CENARIO]], D$5, FALSE)</f>
        <v>#N/A</v>
      </c>
      <c r="E2559" s="22" t="e">
        <f>VLOOKUP($A2559,TAB_CORRECAO_U[[Q_DIAS_U_PARC_TIR]:[V_FUT_U_CORC-02]],E$5, FALSE)</f>
        <v>#N/A</v>
      </c>
      <c r="F2559" s="22" t="e">
        <f>VLOOKUP($A2559,TAB_AMORTIZACAO_U[[Q_DIAS_U_PARC_TIR]:[V_FUT_U_PCPL-02]], F$5, FALSE)</f>
        <v>#N/A</v>
      </c>
      <c r="H2559" s="20">
        <f t="shared" si="202"/>
        <v>0</v>
      </c>
      <c r="I2559" s="21">
        <f t="shared" si="203"/>
        <v>0</v>
      </c>
      <c r="J2559" s="22" t="e">
        <f>VLOOKUP($A2559, TAB_JUROS_C[[DIAS_CORRIDOS]:[V_FUT_UTEIS]], J$5, FALSE)</f>
        <v>#N/A</v>
      </c>
      <c r="K2559" s="22" t="e">
        <f>VLOOKUP($A2559, TAB_CORRECAO_C[[DIAS_CORRIDOS]:[V_FUT_UTEIS]],K$5, FALSE)</f>
        <v>#N/A</v>
      </c>
      <c r="L2559" s="22" t="e">
        <f>VLOOKUP($A2559, TAB_AMORTIZACAO_C[[DIAS_CORRIDOS]:[V_FUT_UTEIS]], L$5, FALSE)</f>
        <v>#N/A</v>
      </c>
    </row>
    <row r="2560" spans="1:12" hidden="1">
      <c r="A2560" s="19">
        <f t="shared" si="204"/>
        <v>2554</v>
      </c>
      <c r="B2560" s="20">
        <f t="shared" si="200"/>
        <v>0</v>
      </c>
      <c r="C2560" s="21">
        <f t="shared" si="201"/>
        <v>0</v>
      </c>
      <c r="D2560" s="22" t="e">
        <f>VLOOKUP($A2560, TAB_JUROS_U[[Q_DIAS_U_PARC_TIR]:[V_FUT_U_JURS CENARIO]], D$5, FALSE)</f>
        <v>#N/A</v>
      </c>
      <c r="E2560" s="22" t="e">
        <f>VLOOKUP($A2560,TAB_CORRECAO_U[[Q_DIAS_U_PARC_TIR]:[V_FUT_U_CORC-02]],E$5, FALSE)</f>
        <v>#N/A</v>
      </c>
      <c r="F2560" s="22" t="e">
        <f>VLOOKUP($A2560,TAB_AMORTIZACAO_U[[Q_DIAS_U_PARC_TIR]:[V_FUT_U_PCPL-02]], F$5, FALSE)</f>
        <v>#N/A</v>
      </c>
      <c r="H2560" s="20">
        <f t="shared" si="202"/>
        <v>0</v>
      </c>
      <c r="I2560" s="21">
        <f t="shared" si="203"/>
        <v>0</v>
      </c>
      <c r="J2560" s="22" t="e">
        <f>VLOOKUP($A2560, TAB_JUROS_C[[DIAS_CORRIDOS]:[V_FUT_UTEIS]], J$5, FALSE)</f>
        <v>#N/A</v>
      </c>
      <c r="K2560" s="22" t="e">
        <f>VLOOKUP($A2560, TAB_CORRECAO_C[[DIAS_CORRIDOS]:[V_FUT_UTEIS]],K$5, FALSE)</f>
        <v>#N/A</v>
      </c>
      <c r="L2560" s="22" t="e">
        <f>VLOOKUP($A2560, TAB_AMORTIZACAO_C[[DIAS_CORRIDOS]:[V_FUT_UTEIS]], L$5, FALSE)</f>
        <v>#N/A</v>
      </c>
    </row>
    <row r="2561" spans="1:12" hidden="1">
      <c r="A2561" s="19">
        <f t="shared" si="204"/>
        <v>2555</v>
      </c>
      <c r="B2561" s="20">
        <f t="shared" si="200"/>
        <v>0</v>
      </c>
      <c r="C2561" s="21">
        <f t="shared" si="201"/>
        <v>0</v>
      </c>
      <c r="D2561" s="22" t="e">
        <f>VLOOKUP($A2561, TAB_JUROS_U[[Q_DIAS_U_PARC_TIR]:[V_FUT_U_JURS CENARIO]], D$5, FALSE)</f>
        <v>#N/A</v>
      </c>
      <c r="E2561" s="22" t="e">
        <f>VLOOKUP($A2561,TAB_CORRECAO_U[[Q_DIAS_U_PARC_TIR]:[V_FUT_U_CORC-02]],E$5, FALSE)</f>
        <v>#N/A</v>
      </c>
      <c r="F2561" s="22" t="e">
        <f>VLOOKUP($A2561,TAB_AMORTIZACAO_U[[Q_DIAS_U_PARC_TIR]:[V_FUT_U_PCPL-02]], F$5, FALSE)</f>
        <v>#N/A</v>
      </c>
      <c r="H2561" s="20">
        <f t="shared" si="202"/>
        <v>0</v>
      </c>
      <c r="I2561" s="21">
        <f t="shared" si="203"/>
        <v>0</v>
      </c>
      <c r="J2561" s="22" t="e">
        <f>VLOOKUP($A2561, TAB_JUROS_C[[DIAS_CORRIDOS]:[V_FUT_UTEIS]], J$5, FALSE)</f>
        <v>#N/A</v>
      </c>
      <c r="K2561" s="22" t="e">
        <f>VLOOKUP($A2561, TAB_CORRECAO_C[[DIAS_CORRIDOS]:[V_FUT_UTEIS]],K$5, FALSE)</f>
        <v>#N/A</v>
      </c>
      <c r="L2561" s="22" t="e">
        <f>VLOOKUP($A2561, TAB_AMORTIZACAO_C[[DIAS_CORRIDOS]:[V_FUT_UTEIS]], L$5, FALSE)</f>
        <v>#N/A</v>
      </c>
    </row>
    <row r="2562" spans="1:12" hidden="1">
      <c r="A2562" s="19">
        <f t="shared" si="204"/>
        <v>2556</v>
      </c>
      <c r="B2562" s="20">
        <f t="shared" si="200"/>
        <v>0</v>
      </c>
      <c r="C2562" s="21">
        <f t="shared" si="201"/>
        <v>0</v>
      </c>
      <c r="D2562" s="22" t="e">
        <f>VLOOKUP($A2562, TAB_JUROS_U[[Q_DIAS_U_PARC_TIR]:[V_FUT_U_JURS CENARIO]], D$5, FALSE)</f>
        <v>#N/A</v>
      </c>
      <c r="E2562" s="22" t="e">
        <f>VLOOKUP($A2562,TAB_CORRECAO_U[[Q_DIAS_U_PARC_TIR]:[V_FUT_U_CORC-02]],E$5, FALSE)</f>
        <v>#N/A</v>
      </c>
      <c r="F2562" s="22" t="e">
        <f>VLOOKUP($A2562,TAB_AMORTIZACAO_U[[Q_DIAS_U_PARC_TIR]:[V_FUT_U_PCPL-02]], F$5, FALSE)</f>
        <v>#N/A</v>
      </c>
      <c r="H2562" s="20">
        <f t="shared" si="202"/>
        <v>0</v>
      </c>
      <c r="I2562" s="21">
        <f t="shared" si="203"/>
        <v>0</v>
      </c>
      <c r="J2562" s="22" t="e">
        <f>VLOOKUP($A2562, TAB_JUROS_C[[DIAS_CORRIDOS]:[V_FUT_UTEIS]], J$5, FALSE)</f>
        <v>#N/A</v>
      </c>
      <c r="K2562" s="22" t="e">
        <f>VLOOKUP($A2562, TAB_CORRECAO_C[[DIAS_CORRIDOS]:[V_FUT_UTEIS]],K$5, FALSE)</f>
        <v>#N/A</v>
      </c>
      <c r="L2562" s="22" t="e">
        <f>VLOOKUP($A2562, TAB_AMORTIZACAO_C[[DIAS_CORRIDOS]:[V_FUT_UTEIS]], L$5, FALSE)</f>
        <v>#N/A</v>
      </c>
    </row>
    <row r="2563" spans="1:12" hidden="1">
      <c r="A2563" s="19">
        <f t="shared" si="204"/>
        <v>2557</v>
      </c>
      <c r="B2563" s="20">
        <f t="shared" si="200"/>
        <v>0</v>
      </c>
      <c r="C2563" s="21">
        <f t="shared" si="201"/>
        <v>0</v>
      </c>
      <c r="D2563" s="22" t="e">
        <f>VLOOKUP($A2563, TAB_JUROS_U[[Q_DIAS_U_PARC_TIR]:[V_FUT_U_JURS CENARIO]], D$5, FALSE)</f>
        <v>#N/A</v>
      </c>
      <c r="E2563" s="22" t="e">
        <f>VLOOKUP($A2563,TAB_CORRECAO_U[[Q_DIAS_U_PARC_TIR]:[V_FUT_U_CORC-02]],E$5, FALSE)</f>
        <v>#N/A</v>
      </c>
      <c r="F2563" s="22" t="e">
        <f>VLOOKUP($A2563,TAB_AMORTIZACAO_U[[Q_DIAS_U_PARC_TIR]:[V_FUT_U_PCPL-02]], F$5, FALSE)</f>
        <v>#N/A</v>
      </c>
      <c r="H2563" s="20">
        <f t="shared" si="202"/>
        <v>0</v>
      </c>
      <c r="I2563" s="21">
        <f t="shared" si="203"/>
        <v>0</v>
      </c>
      <c r="J2563" s="22" t="e">
        <f>VLOOKUP($A2563, TAB_JUROS_C[[DIAS_CORRIDOS]:[V_FUT_UTEIS]], J$5, FALSE)</f>
        <v>#N/A</v>
      </c>
      <c r="K2563" s="22" t="e">
        <f>VLOOKUP($A2563, TAB_CORRECAO_C[[DIAS_CORRIDOS]:[V_FUT_UTEIS]],K$5, FALSE)</f>
        <v>#N/A</v>
      </c>
      <c r="L2563" s="22" t="e">
        <f>VLOOKUP($A2563, TAB_AMORTIZACAO_C[[DIAS_CORRIDOS]:[V_FUT_UTEIS]], L$5, FALSE)</f>
        <v>#N/A</v>
      </c>
    </row>
    <row r="2564" spans="1:12" hidden="1">
      <c r="A2564" s="19">
        <f t="shared" si="204"/>
        <v>2558</v>
      </c>
      <c r="B2564" s="20">
        <f t="shared" si="200"/>
        <v>0</v>
      </c>
      <c r="C2564" s="21">
        <f t="shared" si="201"/>
        <v>0</v>
      </c>
      <c r="D2564" s="22" t="e">
        <f>VLOOKUP($A2564, TAB_JUROS_U[[Q_DIAS_U_PARC_TIR]:[V_FUT_U_JURS CENARIO]], D$5, FALSE)</f>
        <v>#N/A</v>
      </c>
      <c r="E2564" s="22" t="e">
        <f>VLOOKUP($A2564,TAB_CORRECAO_U[[Q_DIAS_U_PARC_TIR]:[V_FUT_U_CORC-02]],E$5, FALSE)</f>
        <v>#N/A</v>
      </c>
      <c r="F2564" s="22" t="e">
        <f>VLOOKUP($A2564,TAB_AMORTIZACAO_U[[Q_DIAS_U_PARC_TIR]:[V_FUT_U_PCPL-02]], F$5, FALSE)</f>
        <v>#N/A</v>
      </c>
      <c r="H2564" s="20">
        <f t="shared" si="202"/>
        <v>0</v>
      </c>
      <c r="I2564" s="21">
        <f t="shared" si="203"/>
        <v>0</v>
      </c>
      <c r="J2564" s="22" t="e">
        <f>VLOOKUP($A2564, TAB_JUROS_C[[DIAS_CORRIDOS]:[V_FUT_UTEIS]], J$5, FALSE)</f>
        <v>#N/A</v>
      </c>
      <c r="K2564" s="22" t="e">
        <f>VLOOKUP($A2564, TAB_CORRECAO_C[[DIAS_CORRIDOS]:[V_FUT_UTEIS]],K$5, FALSE)</f>
        <v>#N/A</v>
      </c>
      <c r="L2564" s="22" t="e">
        <f>VLOOKUP($A2564, TAB_AMORTIZACAO_C[[DIAS_CORRIDOS]:[V_FUT_UTEIS]], L$5, FALSE)</f>
        <v>#N/A</v>
      </c>
    </row>
    <row r="2565" spans="1:12" hidden="1">
      <c r="A2565" s="19">
        <f t="shared" si="204"/>
        <v>2559</v>
      </c>
      <c r="B2565" s="20">
        <f t="shared" si="200"/>
        <v>0</v>
      </c>
      <c r="C2565" s="21">
        <f t="shared" si="201"/>
        <v>0</v>
      </c>
      <c r="D2565" s="22" t="e">
        <f>VLOOKUP($A2565, TAB_JUROS_U[[Q_DIAS_U_PARC_TIR]:[V_FUT_U_JURS CENARIO]], D$5, FALSE)</f>
        <v>#N/A</v>
      </c>
      <c r="E2565" s="22" t="e">
        <f>VLOOKUP($A2565,TAB_CORRECAO_U[[Q_DIAS_U_PARC_TIR]:[V_FUT_U_CORC-02]],E$5, FALSE)</f>
        <v>#N/A</v>
      </c>
      <c r="F2565" s="22" t="e">
        <f>VLOOKUP($A2565,TAB_AMORTIZACAO_U[[Q_DIAS_U_PARC_TIR]:[V_FUT_U_PCPL-02]], F$5, FALSE)</f>
        <v>#N/A</v>
      </c>
      <c r="H2565" s="20">
        <f t="shared" si="202"/>
        <v>0</v>
      </c>
      <c r="I2565" s="21">
        <f t="shared" si="203"/>
        <v>0</v>
      </c>
      <c r="J2565" s="22" t="e">
        <f>VLOOKUP($A2565, TAB_JUROS_C[[DIAS_CORRIDOS]:[V_FUT_UTEIS]], J$5, FALSE)</f>
        <v>#N/A</v>
      </c>
      <c r="K2565" s="22" t="e">
        <f>VLOOKUP($A2565, TAB_CORRECAO_C[[DIAS_CORRIDOS]:[V_FUT_UTEIS]],K$5, FALSE)</f>
        <v>#N/A</v>
      </c>
      <c r="L2565" s="22" t="e">
        <f>VLOOKUP($A2565, TAB_AMORTIZACAO_C[[DIAS_CORRIDOS]:[V_FUT_UTEIS]], L$5, FALSE)</f>
        <v>#N/A</v>
      </c>
    </row>
    <row r="2566" spans="1:12" hidden="1">
      <c r="A2566" s="19">
        <f t="shared" si="204"/>
        <v>2560</v>
      </c>
      <c r="B2566" s="20">
        <f t="shared" si="200"/>
        <v>0</v>
      </c>
      <c r="C2566" s="21">
        <f t="shared" si="201"/>
        <v>0</v>
      </c>
      <c r="D2566" s="22" t="e">
        <f>VLOOKUP($A2566, TAB_JUROS_U[[Q_DIAS_U_PARC_TIR]:[V_FUT_U_JURS CENARIO]], D$5, FALSE)</f>
        <v>#N/A</v>
      </c>
      <c r="E2566" s="22" t="e">
        <f>VLOOKUP($A2566,TAB_CORRECAO_U[[Q_DIAS_U_PARC_TIR]:[V_FUT_U_CORC-02]],E$5, FALSE)</f>
        <v>#N/A</v>
      </c>
      <c r="F2566" s="22" t="e">
        <f>VLOOKUP($A2566,TAB_AMORTIZACAO_U[[Q_DIAS_U_PARC_TIR]:[V_FUT_U_PCPL-02]], F$5, FALSE)</f>
        <v>#N/A</v>
      </c>
      <c r="H2566" s="20">
        <f t="shared" si="202"/>
        <v>0</v>
      </c>
      <c r="I2566" s="21">
        <f t="shared" si="203"/>
        <v>0</v>
      </c>
      <c r="J2566" s="22" t="e">
        <f>VLOOKUP($A2566, TAB_JUROS_C[[DIAS_CORRIDOS]:[V_FUT_UTEIS]], J$5, FALSE)</f>
        <v>#N/A</v>
      </c>
      <c r="K2566" s="22" t="e">
        <f>VLOOKUP($A2566, TAB_CORRECAO_C[[DIAS_CORRIDOS]:[V_FUT_UTEIS]],K$5, FALSE)</f>
        <v>#N/A</v>
      </c>
      <c r="L2566" s="22" t="e">
        <f>VLOOKUP($A2566, TAB_AMORTIZACAO_C[[DIAS_CORRIDOS]:[V_FUT_UTEIS]], L$5, FALSE)</f>
        <v>#N/A</v>
      </c>
    </row>
    <row r="2567" spans="1:12" hidden="1">
      <c r="A2567" s="19">
        <f t="shared" si="204"/>
        <v>2561</v>
      </c>
      <c r="B2567" s="20">
        <f t="shared" si="200"/>
        <v>0</v>
      </c>
      <c r="C2567" s="21">
        <f t="shared" si="201"/>
        <v>0</v>
      </c>
      <c r="D2567" s="22" t="e">
        <f>VLOOKUP($A2567, TAB_JUROS_U[[Q_DIAS_U_PARC_TIR]:[V_FUT_U_JURS CENARIO]], D$5, FALSE)</f>
        <v>#N/A</v>
      </c>
      <c r="E2567" s="22" t="e">
        <f>VLOOKUP($A2567,TAB_CORRECAO_U[[Q_DIAS_U_PARC_TIR]:[V_FUT_U_CORC-02]],E$5, FALSE)</f>
        <v>#N/A</v>
      </c>
      <c r="F2567" s="22" t="e">
        <f>VLOOKUP($A2567,TAB_AMORTIZACAO_U[[Q_DIAS_U_PARC_TIR]:[V_FUT_U_PCPL-02]], F$5, FALSE)</f>
        <v>#N/A</v>
      </c>
      <c r="H2567" s="20">
        <f t="shared" si="202"/>
        <v>0</v>
      </c>
      <c r="I2567" s="21">
        <f t="shared" si="203"/>
        <v>0</v>
      </c>
      <c r="J2567" s="22" t="e">
        <f>VLOOKUP($A2567, TAB_JUROS_C[[DIAS_CORRIDOS]:[V_FUT_UTEIS]], J$5, FALSE)</f>
        <v>#N/A</v>
      </c>
      <c r="K2567" s="22" t="e">
        <f>VLOOKUP($A2567, TAB_CORRECAO_C[[DIAS_CORRIDOS]:[V_FUT_UTEIS]],K$5, FALSE)</f>
        <v>#N/A</v>
      </c>
      <c r="L2567" s="22" t="e">
        <f>VLOOKUP($A2567, TAB_AMORTIZACAO_C[[DIAS_CORRIDOS]:[V_FUT_UTEIS]], L$5, FALSE)</f>
        <v>#N/A</v>
      </c>
    </row>
    <row r="2568" spans="1:12" hidden="1">
      <c r="A2568" s="19">
        <f t="shared" si="204"/>
        <v>2562</v>
      </c>
      <c r="B2568" s="20">
        <f t="shared" si="200"/>
        <v>0</v>
      </c>
      <c r="C2568" s="21">
        <f t="shared" si="201"/>
        <v>0</v>
      </c>
      <c r="D2568" s="22" t="e">
        <f>VLOOKUP($A2568, TAB_JUROS_U[[Q_DIAS_U_PARC_TIR]:[V_FUT_U_JURS CENARIO]], D$5, FALSE)</f>
        <v>#N/A</v>
      </c>
      <c r="E2568" s="22" t="e">
        <f>VLOOKUP($A2568,TAB_CORRECAO_U[[Q_DIAS_U_PARC_TIR]:[V_FUT_U_CORC-02]],E$5, FALSE)</f>
        <v>#N/A</v>
      </c>
      <c r="F2568" s="22" t="e">
        <f>VLOOKUP($A2568,TAB_AMORTIZACAO_U[[Q_DIAS_U_PARC_TIR]:[V_FUT_U_PCPL-02]], F$5, FALSE)</f>
        <v>#N/A</v>
      </c>
      <c r="H2568" s="20">
        <f t="shared" si="202"/>
        <v>0</v>
      </c>
      <c r="I2568" s="21">
        <f t="shared" si="203"/>
        <v>0</v>
      </c>
      <c r="J2568" s="22" t="e">
        <f>VLOOKUP($A2568, TAB_JUROS_C[[DIAS_CORRIDOS]:[V_FUT_UTEIS]], J$5, FALSE)</f>
        <v>#N/A</v>
      </c>
      <c r="K2568" s="22" t="e">
        <f>VLOOKUP($A2568, TAB_CORRECAO_C[[DIAS_CORRIDOS]:[V_FUT_UTEIS]],K$5, FALSE)</f>
        <v>#N/A</v>
      </c>
      <c r="L2568" s="22" t="e">
        <f>VLOOKUP($A2568, TAB_AMORTIZACAO_C[[DIAS_CORRIDOS]:[V_FUT_UTEIS]], L$5, FALSE)</f>
        <v>#N/A</v>
      </c>
    </row>
    <row r="2569" spans="1:12" hidden="1">
      <c r="A2569" s="19">
        <f t="shared" si="204"/>
        <v>2563</v>
      </c>
      <c r="B2569" s="20">
        <f t="shared" ref="B2569:B2632" si="205">IF(ISERROR(C2569), 0, C2569)</f>
        <v>0</v>
      </c>
      <c r="C2569" s="21">
        <f t="shared" ref="C2569:C2632" si="206">SUMIF(D2569:F2569, "&gt;0", D2569:F2569)</f>
        <v>0</v>
      </c>
      <c r="D2569" s="22" t="e">
        <f>VLOOKUP($A2569, TAB_JUROS_U[[Q_DIAS_U_PARC_TIR]:[V_FUT_U_JURS CENARIO]], D$5, FALSE)</f>
        <v>#N/A</v>
      </c>
      <c r="E2569" s="22" t="e">
        <f>VLOOKUP($A2569,TAB_CORRECAO_U[[Q_DIAS_U_PARC_TIR]:[V_FUT_U_CORC-02]],E$5, FALSE)</f>
        <v>#N/A</v>
      </c>
      <c r="F2569" s="22" t="e">
        <f>VLOOKUP($A2569,TAB_AMORTIZACAO_U[[Q_DIAS_U_PARC_TIR]:[V_FUT_U_PCPL-02]], F$5, FALSE)</f>
        <v>#N/A</v>
      </c>
      <c r="H2569" s="20">
        <f t="shared" ref="H2569:H2632" si="207">IF(ISERROR(I2569), 0, I2569)</f>
        <v>0</v>
      </c>
      <c r="I2569" s="21">
        <f t="shared" ref="I2569:I2632" si="208">SUMIF(J2569:L2569, "&gt;0", J2569:L2569)</f>
        <v>0</v>
      </c>
      <c r="J2569" s="22" t="e">
        <f>VLOOKUP($A2569, TAB_JUROS_C[[DIAS_CORRIDOS]:[V_FUT_UTEIS]], J$5, FALSE)</f>
        <v>#N/A</v>
      </c>
      <c r="K2569" s="22" t="e">
        <f>VLOOKUP($A2569, TAB_CORRECAO_C[[DIAS_CORRIDOS]:[V_FUT_UTEIS]],K$5, FALSE)</f>
        <v>#N/A</v>
      </c>
      <c r="L2569" s="22" t="e">
        <f>VLOOKUP($A2569, TAB_AMORTIZACAO_C[[DIAS_CORRIDOS]:[V_FUT_UTEIS]], L$5, FALSE)</f>
        <v>#N/A</v>
      </c>
    </row>
    <row r="2570" spans="1:12">
      <c r="A2570" s="19">
        <f t="shared" ref="A2570:A2633" si="209">A2569+1</f>
        <v>2564</v>
      </c>
      <c r="B2570" s="20">
        <f t="shared" si="205"/>
        <v>152.71360581069814</v>
      </c>
      <c r="C2570" s="21">
        <f t="shared" si="206"/>
        <v>152.71360581069814</v>
      </c>
      <c r="D2570" s="22">
        <f>VLOOKUP($A2570, TAB_JUROS_U[[Q_DIAS_U_PARC_TIR]:[V_FUT_U_JURS CENARIO]], D$5, FALSE)</f>
        <v>4.4200176748594737</v>
      </c>
      <c r="E2570" s="22">
        <f>VLOOKUP($A2570,TAB_CORRECAO_U[[Q_DIAS_U_PARC_TIR]:[V_FUT_U_CORC-02]],E$5, FALSE)</f>
        <v>27.517196960013926</v>
      </c>
      <c r="F2570" s="22">
        <f>VLOOKUP($A2570,TAB_AMORTIZACAO_U[[Q_DIAS_U_PARC_TIR]:[V_FUT_U_PCPL-02]], F$5, FALSE)</f>
        <v>120.77639117582473</v>
      </c>
      <c r="H2570" s="20">
        <f t="shared" si="207"/>
        <v>0</v>
      </c>
      <c r="I2570" s="21">
        <f t="shared" si="208"/>
        <v>0</v>
      </c>
      <c r="J2570" s="22" t="e">
        <f>VLOOKUP($A2570, TAB_JUROS_C[[DIAS_CORRIDOS]:[V_FUT_UTEIS]], J$5, FALSE)</f>
        <v>#N/A</v>
      </c>
      <c r="K2570" s="22" t="e">
        <f>VLOOKUP($A2570, TAB_CORRECAO_C[[DIAS_CORRIDOS]:[V_FUT_UTEIS]],K$5, FALSE)</f>
        <v>#N/A</v>
      </c>
      <c r="L2570" s="22" t="e">
        <f>VLOOKUP($A2570, TAB_AMORTIZACAO_C[[DIAS_CORRIDOS]:[V_FUT_UTEIS]], L$5, FALSE)</f>
        <v>#N/A</v>
      </c>
    </row>
    <row r="2571" spans="1:12" hidden="1">
      <c r="A2571" s="19">
        <f t="shared" si="209"/>
        <v>2565</v>
      </c>
      <c r="B2571" s="20">
        <f t="shared" si="205"/>
        <v>0</v>
      </c>
      <c r="C2571" s="21">
        <f t="shared" si="206"/>
        <v>0</v>
      </c>
      <c r="D2571" s="22" t="e">
        <f>VLOOKUP($A2571, TAB_JUROS_U[[Q_DIAS_U_PARC_TIR]:[V_FUT_U_JURS CENARIO]], D$5, FALSE)</f>
        <v>#N/A</v>
      </c>
      <c r="E2571" s="22" t="e">
        <f>VLOOKUP($A2571,TAB_CORRECAO_U[[Q_DIAS_U_PARC_TIR]:[V_FUT_U_CORC-02]],E$5, FALSE)</f>
        <v>#N/A</v>
      </c>
      <c r="F2571" s="22" t="e">
        <f>VLOOKUP($A2571,TAB_AMORTIZACAO_U[[Q_DIAS_U_PARC_TIR]:[V_FUT_U_PCPL-02]], F$5, FALSE)</f>
        <v>#N/A</v>
      </c>
      <c r="H2571" s="20">
        <f t="shared" si="207"/>
        <v>0</v>
      </c>
      <c r="I2571" s="21">
        <f t="shared" si="208"/>
        <v>0</v>
      </c>
      <c r="J2571" s="22" t="e">
        <f>VLOOKUP($A2571, TAB_JUROS_C[[DIAS_CORRIDOS]:[V_FUT_UTEIS]], J$5, FALSE)</f>
        <v>#N/A</v>
      </c>
      <c r="K2571" s="22" t="e">
        <f>VLOOKUP($A2571, TAB_CORRECAO_C[[DIAS_CORRIDOS]:[V_FUT_UTEIS]],K$5, FALSE)</f>
        <v>#N/A</v>
      </c>
      <c r="L2571" s="22" t="e">
        <f>VLOOKUP($A2571, TAB_AMORTIZACAO_C[[DIAS_CORRIDOS]:[V_FUT_UTEIS]], L$5, FALSE)</f>
        <v>#N/A</v>
      </c>
    </row>
    <row r="2572" spans="1:12" hidden="1">
      <c r="A2572" s="19">
        <f t="shared" si="209"/>
        <v>2566</v>
      </c>
      <c r="B2572" s="20">
        <f t="shared" si="205"/>
        <v>0</v>
      </c>
      <c r="C2572" s="21">
        <f t="shared" si="206"/>
        <v>0</v>
      </c>
      <c r="D2572" s="22" t="e">
        <f>VLOOKUP($A2572, TAB_JUROS_U[[Q_DIAS_U_PARC_TIR]:[V_FUT_U_JURS CENARIO]], D$5, FALSE)</f>
        <v>#N/A</v>
      </c>
      <c r="E2572" s="22" t="e">
        <f>VLOOKUP($A2572,TAB_CORRECAO_U[[Q_DIAS_U_PARC_TIR]:[V_FUT_U_CORC-02]],E$5, FALSE)</f>
        <v>#N/A</v>
      </c>
      <c r="F2572" s="22" t="e">
        <f>VLOOKUP($A2572,TAB_AMORTIZACAO_U[[Q_DIAS_U_PARC_TIR]:[V_FUT_U_PCPL-02]], F$5, FALSE)</f>
        <v>#N/A</v>
      </c>
      <c r="H2572" s="20">
        <f t="shared" si="207"/>
        <v>0</v>
      </c>
      <c r="I2572" s="21">
        <f t="shared" si="208"/>
        <v>0</v>
      </c>
      <c r="J2572" s="22" t="e">
        <f>VLOOKUP($A2572, TAB_JUROS_C[[DIAS_CORRIDOS]:[V_FUT_UTEIS]], J$5, FALSE)</f>
        <v>#N/A</v>
      </c>
      <c r="K2572" s="22" t="e">
        <f>VLOOKUP($A2572, TAB_CORRECAO_C[[DIAS_CORRIDOS]:[V_FUT_UTEIS]],K$5, FALSE)</f>
        <v>#N/A</v>
      </c>
      <c r="L2572" s="22" t="e">
        <f>VLOOKUP($A2572, TAB_AMORTIZACAO_C[[DIAS_CORRIDOS]:[V_FUT_UTEIS]], L$5, FALSE)</f>
        <v>#N/A</v>
      </c>
    </row>
    <row r="2573" spans="1:12" hidden="1">
      <c r="A2573" s="19">
        <f t="shared" si="209"/>
        <v>2567</v>
      </c>
      <c r="B2573" s="20">
        <f t="shared" si="205"/>
        <v>0</v>
      </c>
      <c r="C2573" s="21">
        <f t="shared" si="206"/>
        <v>0</v>
      </c>
      <c r="D2573" s="22" t="e">
        <f>VLOOKUP($A2573, TAB_JUROS_U[[Q_DIAS_U_PARC_TIR]:[V_FUT_U_JURS CENARIO]], D$5, FALSE)</f>
        <v>#N/A</v>
      </c>
      <c r="E2573" s="22" t="e">
        <f>VLOOKUP($A2573,TAB_CORRECAO_U[[Q_DIAS_U_PARC_TIR]:[V_FUT_U_CORC-02]],E$5, FALSE)</f>
        <v>#N/A</v>
      </c>
      <c r="F2573" s="22" t="e">
        <f>VLOOKUP($A2573,TAB_AMORTIZACAO_U[[Q_DIAS_U_PARC_TIR]:[V_FUT_U_PCPL-02]], F$5, FALSE)</f>
        <v>#N/A</v>
      </c>
      <c r="H2573" s="20">
        <f t="shared" si="207"/>
        <v>0</v>
      </c>
      <c r="I2573" s="21">
        <f t="shared" si="208"/>
        <v>0</v>
      </c>
      <c r="J2573" s="22" t="e">
        <f>VLOOKUP($A2573, TAB_JUROS_C[[DIAS_CORRIDOS]:[V_FUT_UTEIS]], J$5, FALSE)</f>
        <v>#N/A</v>
      </c>
      <c r="K2573" s="22" t="e">
        <f>VLOOKUP($A2573, TAB_CORRECAO_C[[DIAS_CORRIDOS]:[V_FUT_UTEIS]],K$5, FALSE)</f>
        <v>#N/A</v>
      </c>
      <c r="L2573" s="22" t="e">
        <f>VLOOKUP($A2573, TAB_AMORTIZACAO_C[[DIAS_CORRIDOS]:[V_FUT_UTEIS]], L$5, FALSE)</f>
        <v>#N/A</v>
      </c>
    </row>
    <row r="2574" spans="1:12" hidden="1">
      <c r="A2574" s="19">
        <f t="shared" si="209"/>
        <v>2568</v>
      </c>
      <c r="B2574" s="20">
        <f t="shared" si="205"/>
        <v>0</v>
      </c>
      <c r="C2574" s="21">
        <f t="shared" si="206"/>
        <v>0</v>
      </c>
      <c r="D2574" s="22" t="e">
        <f>VLOOKUP($A2574, TAB_JUROS_U[[Q_DIAS_U_PARC_TIR]:[V_FUT_U_JURS CENARIO]], D$5, FALSE)</f>
        <v>#N/A</v>
      </c>
      <c r="E2574" s="22" t="e">
        <f>VLOOKUP($A2574,TAB_CORRECAO_U[[Q_DIAS_U_PARC_TIR]:[V_FUT_U_CORC-02]],E$5, FALSE)</f>
        <v>#N/A</v>
      </c>
      <c r="F2574" s="22" t="e">
        <f>VLOOKUP($A2574,TAB_AMORTIZACAO_U[[Q_DIAS_U_PARC_TIR]:[V_FUT_U_PCPL-02]], F$5, FALSE)</f>
        <v>#N/A</v>
      </c>
      <c r="H2574" s="20">
        <f t="shared" si="207"/>
        <v>0</v>
      </c>
      <c r="I2574" s="21">
        <f t="shared" si="208"/>
        <v>0</v>
      </c>
      <c r="J2574" s="22" t="e">
        <f>VLOOKUP($A2574, TAB_JUROS_C[[DIAS_CORRIDOS]:[V_FUT_UTEIS]], J$5, FALSE)</f>
        <v>#N/A</v>
      </c>
      <c r="K2574" s="22" t="e">
        <f>VLOOKUP($A2574, TAB_CORRECAO_C[[DIAS_CORRIDOS]:[V_FUT_UTEIS]],K$5, FALSE)</f>
        <v>#N/A</v>
      </c>
      <c r="L2574" s="22" t="e">
        <f>VLOOKUP($A2574, TAB_AMORTIZACAO_C[[DIAS_CORRIDOS]:[V_FUT_UTEIS]], L$5, FALSE)</f>
        <v>#N/A</v>
      </c>
    </row>
    <row r="2575" spans="1:12" hidden="1">
      <c r="A2575" s="19">
        <f t="shared" si="209"/>
        <v>2569</v>
      </c>
      <c r="B2575" s="20">
        <f t="shared" si="205"/>
        <v>0</v>
      </c>
      <c r="C2575" s="21">
        <f t="shared" si="206"/>
        <v>0</v>
      </c>
      <c r="D2575" s="22" t="e">
        <f>VLOOKUP($A2575, TAB_JUROS_U[[Q_DIAS_U_PARC_TIR]:[V_FUT_U_JURS CENARIO]], D$5, FALSE)</f>
        <v>#N/A</v>
      </c>
      <c r="E2575" s="22" t="e">
        <f>VLOOKUP($A2575,TAB_CORRECAO_U[[Q_DIAS_U_PARC_TIR]:[V_FUT_U_CORC-02]],E$5, FALSE)</f>
        <v>#N/A</v>
      </c>
      <c r="F2575" s="22" t="e">
        <f>VLOOKUP($A2575,TAB_AMORTIZACAO_U[[Q_DIAS_U_PARC_TIR]:[V_FUT_U_PCPL-02]], F$5, FALSE)</f>
        <v>#N/A</v>
      </c>
      <c r="H2575" s="20">
        <f t="shared" si="207"/>
        <v>404.95649679591207</v>
      </c>
      <c r="I2575" s="21">
        <f t="shared" si="208"/>
        <v>404.95649679591207</v>
      </c>
      <c r="J2575" s="22">
        <f>VLOOKUP($A2575, TAB_JUROS_C[[DIAS_CORRIDOS]:[V_FUT_UTEIS]], J$5, FALSE)</f>
        <v>25.517411159325221</v>
      </c>
      <c r="K2575" s="22">
        <f>VLOOKUP($A2575, TAB_CORRECAO_C[[DIAS_CORRIDOS]:[V_FUT_UTEIS]],K$5, FALSE)</f>
        <v>154.78730554745781</v>
      </c>
      <c r="L2575" s="22">
        <f>VLOOKUP($A2575, TAB_AMORTIZACAO_C[[DIAS_CORRIDOS]:[V_FUT_UTEIS]], L$5, FALSE)</f>
        <v>224.65178008912903</v>
      </c>
    </row>
    <row r="2576" spans="1:12" hidden="1">
      <c r="A2576" s="19">
        <f t="shared" si="209"/>
        <v>2570</v>
      </c>
      <c r="B2576" s="20">
        <f t="shared" si="205"/>
        <v>0</v>
      </c>
      <c r="C2576" s="21">
        <f t="shared" si="206"/>
        <v>0</v>
      </c>
      <c r="D2576" s="22" t="e">
        <f>VLOOKUP($A2576, TAB_JUROS_U[[Q_DIAS_U_PARC_TIR]:[V_FUT_U_JURS CENARIO]], D$5, FALSE)</f>
        <v>#N/A</v>
      </c>
      <c r="E2576" s="22" t="e">
        <f>VLOOKUP($A2576,TAB_CORRECAO_U[[Q_DIAS_U_PARC_TIR]:[V_FUT_U_CORC-02]],E$5, FALSE)</f>
        <v>#N/A</v>
      </c>
      <c r="F2576" s="22" t="e">
        <f>VLOOKUP($A2576,TAB_AMORTIZACAO_U[[Q_DIAS_U_PARC_TIR]:[V_FUT_U_PCPL-02]], F$5, FALSE)</f>
        <v>#N/A</v>
      </c>
      <c r="H2576" s="20">
        <f t="shared" si="207"/>
        <v>0</v>
      </c>
      <c r="I2576" s="21">
        <f t="shared" si="208"/>
        <v>0</v>
      </c>
      <c r="J2576" s="22" t="e">
        <f>VLOOKUP($A2576, TAB_JUROS_C[[DIAS_CORRIDOS]:[V_FUT_UTEIS]], J$5, FALSE)</f>
        <v>#N/A</v>
      </c>
      <c r="K2576" s="22" t="e">
        <f>VLOOKUP($A2576, TAB_CORRECAO_C[[DIAS_CORRIDOS]:[V_FUT_UTEIS]],K$5, FALSE)</f>
        <v>#N/A</v>
      </c>
      <c r="L2576" s="22" t="e">
        <f>VLOOKUP($A2576, TAB_AMORTIZACAO_C[[DIAS_CORRIDOS]:[V_FUT_UTEIS]], L$5, FALSE)</f>
        <v>#N/A</v>
      </c>
    </row>
    <row r="2577" spans="1:12" hidden="1">
      <c r="A2577" s="19">
        <f t="shared" si="209"/>
        <v>2571</v>
      </c>
      <c r="B2577" s="20">
        <f t="shared" si="205"/>
        <v>0</v>
      </c>
      <c r="C2577" s="21">
        <f t="shared" si="206"/>
        <v>0</v>
      </c>
      <c r="D2577" s="22" t="e">
        <f>VLOOKUP($A2577, TAB_JUROS_U[[Q_DIAS_U_PARC_TIR]:[V_FUT_U_JURS CENARIO]], D$5, FALSE)</f>
        <v>#N/A</v>
      </c>
      <c r="E2577" s="22" t="e">
        <f>VLOOKUP($A2577,TAB_CORRECAO_U[[Q_DIAS_U_PARC_TIR]:[V_FUT_U_CORC-02]],E$5, FALSE)</f>
        <v>#N/A</v>
      </c>
      <c r="F2577" s="22" t="e">
        <f>VLOOKUP($A2577,TAB_AMORTIZACAO_U[[Q_DIAS_U_PARC_TIR]:[V_FUT_U_PCPL-02]], F$5, FALSE)</f>
        <v>#N/A</v>
      </c>
      <c r="H2577" s="20">
        <f t="shared" si="207"/>
        <v>0</v>
      </c>
      <c r="I2577" s="21">
        <f t="shared" si="208"/>
        <v>0</v>
      </c>
      <c r="J2577" s="22" t="e">
        <f>VLOOKUP($A2577, TAB_JUROS_C[[DIAS_CORRIDOS]:[V_FUT_UTEIS]], J$5, FALSE)</f>
        <v>#N/A</v>
      </c>
      <c r="K2577" s="22" t="e">
        <f>VLOOKUP($A2577, TAB_CORRECAO_C[[DIAS_CORRIDOS]:[V_FUT_UTEIS]],K$5, FALSE)</f>
        <v>#N/A</v>
      </c>
      <c r="L2577" s="22" t="e">
        <f>VLOOKUP($A2577, TAB_AMORTIZACAO_C[[DIAS_CORRIDOS]:[V_FUT_UTEIS]], L$5, FALSE)</f>
        <v>#N/A</v>
      </c>
    </row>
    <row r="2578" spans="1:12" hidden="1">
      <c r="A2578" s="19">
        <f t="shared" si="209"/>
        <v>2572</v>
      </c>
      <c r="B2578" s="20">
        <f t="shared" si="205"/>
        <v>0</v>
      </c>
      <c r="C2578" s="21">
        <f t="shared" si="206"/>
        <v>0</v>
      </c>
      <c r="D2578" s="22" t="e">
        <f>VLOOKUP($A2578, TAB_JUROS_U[[Q_DIAS_U_PARC_TIR]:[V_FUT_U_JURS CENARIO]], D$5, FALSE)</f>
        <v>#N/A</v>
      </c>
      <c r="E2578" s="22" t="e">
        <f>VLOOKUP($A2578,TAB_CORRECAO_U[[Q_DIAS_U_PARC_TIR]:[V_FUT_U_CORC-02]],E$5, FALSE)</f>
        <v>#N/A</v>
      </c>
      <c r="F2578" s="22" t="e">
        <f>VLOOKUP($A2578,TAB_AMORTIZACAO_U[[Q_DIAS_U_PARC_TIR]:[V_FUT_U_PCPL-02]], F$5, FALSE)</f>
        <v>#N/A</v>
      </c>
      <c r="H2578" s="20">
        <f t="shared" si="207"/>
        <v>0</v>
      </c>
      <c r="I2578" s="21">
        <f t="shared" si="208"/>
        <v>0</v>
      </c>
      <c r="J2578" s="22" t="e">
        <f>VLOOKUP($A2578, TAB_JUROS_C[[DIAS_CORRIDOS]:[V_FUT_UTEIS]], J$5, FALSE)</f>
        <v>#N/A</v>
      </c>
      <c r="K2578" s="22" t="e">
        <f>VLOOKUP($A2578, TAB_CORRECAO_C[[DIAS_CORRIDOS]:[V_FUT_UTEIS]],K$5, FALSE)</f>
        <v>#N/A</v>
      </c>
      <c r="L2578" s="22" t="e">
        <f>VLOOKUP($A2578, TAB_AMORTIZACAO_C[[DIAS_CORRIDOS]:[V_FUT_UTEIS]], L$5, FALSE)</f>
        <v>#N/A</v>
      </c>
    </row>
    <row r="2579" spans="1:12" hidden="1">
      <c r="A2579" s="19">
        <f t="shared" si="209"/>
        <v>2573</v>
      </c>
      <c r="B2579" s="20">
        <f t="shared" si="205"/>
        <v>0</v>
      </c>
      <c r="C2579" s="21">
        <f t="shared" si="206"/>
        <v>0</v>
      </c>
      <c r="D2579" s="22" t="e">
        <f>VLOOKUP($A2579, TAB_JUROS_U[[Q_DIAS_U_PARC_TIR]:[V_FUT_U_JURS CENARIO]], D$5, FALSE)</f>
        <v>#N/A</v>
      </c>
      <c r="E2579" s="22" t="e">
        <f>VLOOKUP($A2579,TAB_CORRECAO_U[[Q_DIAS_U_PARC_TIR]:[V_FUT_U_CORC-02]],E$5, FALSE)</f>
        <v>#N/A</v>
      </c>
      <c r="F2579" s="22" t="e">
        <f>VLOOKUP($A2579,TAB_AMORTIZACAO_U[[Q_DIAS_U_PARC_TIR]:[V_FUT_U_PCPL-02]], F$5, FALSE)</f>
        <v>#N/A</v>
      </c>
      <c r="H2579" s="20">
        <f t="shared" si="207"/>
        <v>0</v>
      </c>
      <c r="I2579" s="21">
        <f t="shared" si="208"/>
        <v>0</v>
      </c>
      <c r="J2579" s="22" t="e">
        <f>VLOOKUP($A2579, TAB_JUROS_C[[DIAS_CORRIDOS]:[V_FUT_UTEIS]], J$5, FALSE)</f>
        <v>#N/A</v>
      </c>
      <c r="K2579" s="22" t="e">
        <f>VLOOKUP($A2579, TAB_CORRECAO_C[[DIAS_CORRIDOS]:[V_FUT_UTEIS]],K$5, FALSE)</f>
        <v>#N/A</v>
      </c>
      <c r="L2579" s="22" t="e">
        <f>VLOOKUP($A2579, TAB_AMORTIZACAO_C[[DIAS_CORRIDOS]:[V_FUT_UTEIS]], L$5, FALSE)</f>
        <v>#N/A</v>
      </c>
    </row>
    <row r="2580" spans="1:12" hidden="1">
      <c r="A2580" s="19">
        <f t="shared" si="209"/>
        <v>2574</v>
      </c>
      <c r="B2580" s="20">
        <f t="shared" si="205"/>
        <v>0</v>
      </c>
      <c r="C2580" s="21">
        <f t="shared" si="206"/>
        <v>0</v>
      </c>
      <c r="D2580" s="22" t="e">
        <f>VLOOKUP($A2580, TAB_JUROS_U[[Q_DIAS_U_PARC_TIR]:[V_FUT_U_JURS CENARIO]], D$5, FALSE)</f>
        <v>#N/A</v>
      </c>
      <c r="E2580" s="22" t="e">
        <f>VLOOKUP($A2580,TAB_CORRECAO_U[[Q_DIAS_U_PARC_TIR]:[V_FUT_U_CORC-02]],E$5, FALSE)</f>
        <v>#N/A</v>
      </c>
      <c r="F2580" s="22" t="e">
        <f>VLOOKUP($A2580,TAB_AMORTIZACAO_U[[Q_DIAS_U_PARC_TIR]:[V_FUT_U_PCPL-02]], F$5, FALSE)</f>
        <v>#N/A</v>
      </c>
      <c r="H2580" s="20">
        <f t="shared" si="207"/>
        <v>0</v>
      </c>
      <c r="I2580" s="21">
        <f t="shared" si="208"/>
        <v>0</v>
      </c>
      <c r="J2580" s="22" t="e">
        <f>VLOOKUP($A2580, TAB_JUROS_C[[DIAS_CORRIDOS]:[V_FUT_UTEIS]], J$5, FALSE)</f>
        <v>#N/A</v>
      </c>
      <c r="K2580" s="22" t="e">
        <f>VLOOKUP($A2580, TAB_CORRECAO_C[[DIAS_CORRIDOS]:[V_FUT_UTEIS]],K$5, FALSE)</f>
        <v>#N/A</v>
      </c>
      <c r="L2580" s="22" t="e">
        <f>VLOOKUP($A2580, TAB_AMORTIZACAO_C[[DIAS_CORRIDOS]:[V_FUT_UTEIS]], L$5, FALSE)</f>
        <v>#N/A</v>
      </c>
    </row>
    <row r="2581" spans="1:12" hidden="1">
      <c r="A2581" s="19">
        <f t="shared" si="209"/>
        <v>2575</v>
      </c>
      <c r="B2581" s="20">
        <f t="shared" si="205"/>
        <v>0</v>
      </c>
      <c r="C2581" s="21">
        <f t="shared" si="206"/>
        <v>0</v>
      </c>
      <c r="D2581" s="22" t="e">
        <f>VLOOKUP($A2581, TAB_JUROS_U[[Q_DIAS_U_PARC_TIR]:[V_FUT_U_JURS CENARIO]], D$5, FALSE)</f>
        <v>#N/A</v>
      </c>
      <c r="E2581" s="22" t="e">
        <f>VLOOKUP($A2581,TAB_CORRECAO_U[[Q_DIAS_U_PARC_TIR]:[V_FUT_U_CORC-02]],E$5, FALSE)</f>
        <v>#N/A</v>
      </c>
      <c r="F2581" s="22" t="e">
        <f>VLOOKUP($A2581,TAB_AMORTIZACAO_U[[Q_DIAS_U_PARC_TIR]:[V_FUT_U_PCPL-02]], F$5, FALSE)</f>
        <v>#N/A</v>
      </c>
      <c r="H2581" s="20">
        <f t="shared" si="207"/>
        <v>0</v>
      </c>
      <c r="I2581" s="21">
        <f t="shared" si="208"/>
        <v>0</v>
      </c>
      <c r="J2581" s="22" t="e">
        <f>VLOOKUP($A2581, TAB_JUROS_C[[DIAS_CORRIDOS]:[V_FUT_UTEIS]], J$5, FALSE)</f>
        <v>#N/A</v>
      </c>
      <c r="K2581" s="22" t="e">
        <f>VLOOKUP($A2581, TAB_CORRECAO_C[[DIAS_CORRIDOS]:[V_FUT_UTEIS]],K$5, FALSE)</f>
        <v>#N/A</v>
      </c>
      <c r="L2581" s="22" t="e">
        <f>VLOOKUP($A2581, TAB_AMORTIZACAO_C[[DIAS_CORRIDOS]:[V_FUT_UTEIS]], L$5, FALSE)</f>
        <v>#N/A</v>
      </c>
    </row>
    <row r="2582" spans="1:12" hidden="1">
      <c r="A2582" s="19">
        <f t="shared" si="209"/>
        <v>2576</v>
      </c>
      <c r="B2582" s="20">
        <f t="shared" si="205"/>
        <v>0</v>
      </c>
      <c r="C2582" s="21">
        <f t="shared" si="206"/>
        <v>0</v>
      </c>
      <c r="D2582" s="22" t="e">
        <f>VLOOKUP($A2582, TAB_JUROS_U[[Q_DIAS_U_PARC_TIR]:[V_FUT_U_JURS CENARIO]], D$5, FALSE)</f>
        <v>#N/A</v>
      </c>
      <c r="E2582" s="22" t="e">
        <f>VLOOKUP($A2582,TAB_CORRECAO_U[[Q_DIAS_U_PARC_TIR]:[V_FUT_U_CORC-02]],E$5, FALSE)</f>
        <v>#N/A</v>
      </c>
      <c r="F2582" s="22" t="e">
        <f>VLOOKUP($A2582,TAB_AMORTIZACAO_U[[Q_DIAS_U_PARC_TIR]:[V_FUT_U_PCPL-02]], F$5, FALSE)</f>
        <v>#N/A</v>
      </c>
      <c r="H2582" s="20">
        <f t="shared" si="207"/>
        <v>0</v>
      </c>
      <c r="I2582" s="21">
        <f t="shared" si="208"/>
        <v>0</v>
      </c>
      <c r="J2582" s="22" t="e">
        <f>VLOOKUP($A2582, TAB_JUROS_C[[DIAS_CORRIDOS]:[V_FUT_UTEIS]], J$5, FALSE)</f>
        <v>#N/A</v>
      </c>
      <c r="K2582" s="22" t="e">
        <f>VLOOKUP($A2582, TAB_CORRECAO_C[[DIAS_CORRIDOS]:[V_FUT_UTEIS]],K$5, FALSE)</f>
        <v>#N/A</v>
      </c>
      <c r="L2582" s="22" t="e">
        <f>VLOOKUP($A2582, TAB_AMORTIZACAO_C[[DIAS_CORRIDOS]:[V_FUT_UTEIS]], L$5, FALSE)</f>
        <v>#N/A</v>
      </c>
    </row>
    <row r="2583" spans="1:12" hidden="1">
      <c r="A2583" s="19">
        <f t="shared" si="209"/>
        <v>2577</v>
      </c>
      <c r="B2583" s="20">
        <f t="shared" si="205"/>
        <v>0</v>
      </c>
      <c r="C2583" s="21">
        <f t="shared" si="206"/>
        <v>0</v>
      </c>
      <c r="D2583" s="22" t="e">
        <f>VLOOKUP($A2583, TAB_JUROS_U[[Q_DIAS_U_PARC_TIR]:[V_FUT_U_JURS CENARIO]], D$5, FALSE)</f>
        <v>#N/A</v>
      </c>
      <c r="E2583" s="22" t="e">
        <f>VLOOKUP($A2583,TAB_CORRECAO_U[[Q_DIAS_U_PARC_TIR]:[V_FUT_U_CORC-02]],E$5, FALSE)</f>
        <v>#N/A</v>
      </c>
      <c r="F2583" s="22" t="e">
        <f>VLOOKUP($A2583,TAB_AMORTIZACAO_U[[Q_DIAS_U_PARC_TIR]:[V_FUT_U_PCPL-02]], F$5, FALSE)</f>
        <v>#N/A</v>
      </c>
      <c r="H2583" s="20">
        <f t="shared" si="207"/>
        <v>0</v>
      </c>
      <c r="I2583" s="21">
        <f t="shared" si="208"/>
        <v>0</v>
      </c>
      <c r="J2583" s="22" t="e">
        <f>VLOOKUP($A2583, TAB_JUROS_C[[DIAS_CORRIDOS]:[V_FUT_UTEIS]], J$5, FALSE)</f>
        <v>#N/A</v>
      </c>
      <c r="K2583" s="22" t="e">
        <f>VLOOKUP($A2583, TAB_CORRECAO_C[[DIAS_CORRIDOS]:[V_FUT_UTEIS]],K$5, FALSE)</f>
        <v>#N/A</v>
      </c>
      <c r="L2583" s="22" t="e">
        <f>VLOOKUP($A2583, TAB_AMORTIZACAO_C[[DIAS_CORRIDOS]:[V_FUT_UTEIS]], L$5, FALSE)</f>
        <v>#N/A</v>
      </c>
    </row>
    <row r="2584" spans="1:12" hidden="1">
      <c r="A2584" s="19">
        <f t="shared" si="209"/>
        <v>2578</v>
      </c>
      <c r="B2584" s="20">
        <f t="shared" si="205"/>
        <v>0</v>
      </c>
      <c r="C2584" s="21">
        <f t="shared" si="206"/>
        <v>0</v>
      </c>
      <c r="D2584" s="22" t="e">
        <f>VLOOKUP($A2584, TAB_JUROS_U[[Q_DIAS_U_PARC_TIR]:[V_FUT_U_JURS CENARIO]], D$5, FALSE)</f>
        <v>#N/A</v>
      </c>
      <c r="E2584" s="22" t="e">
        <f>VLOOKUP($A2584,TAB_CORRECAO_U[[Q_DIAS_U_PARC_TIR]:[V_FUT_U_CORC-02]],E$5, FALSE)</f>
        <v>#N/A</v>
      </c>
      <c r="F2584" s="22" t="e">
        <f>VLOOKUP($A2584,TAB_AMORTIZACAO_U[[Q_DIAS_U_PARC_TIR]:[V_FUT_U_PCPL-02]], F$5, FALSE)</f>
        <v>#N/A</v>
      </c>
      <c r="H2584" s="20">
        <f t="shared" si="207"/>
        <v>0</v>
      </c>
      <c r="I2584" s="21">
        <f t="shared" si="208"/>
        <v>0</v>
      </c>
      <c r="J2584" s="22" t="e">
        <f>VLOOKUP($A2584, TAB_JUROS_C[[DIAS_CORRIDOS]:[V_FUT_UTEIS]], J$5, FALSE)</f>
        <v>#N/A</v>
      </c>
      <c r="K2584" s="22" t="e">
        <f>VLOOKUP($A2584, TAB_CORRECAO_C[[DIAS_CORRIDOS]:[V_FUT_UTEIS]],K$5, FALSE)</f>
        <v>#N/A</v>
      </c>
      <c r="L2584" s="22" t="e">
        <f>VLOOKUP($A2584, TAB_AMORTIZACAO_C[[DIAS_CORRIDOS]:[V_FUT_UTEIS]], L$5, FALSE)</f>
        <v>#N/A</v>
      </c>
    </row>
    <row r="2585" spans="1:12" hidden="1">
      <c r="A2585" s="19">
        <f t="shared" si="209"/>
        <v>2579</v>
      </c>
      <c r="B2585" s="20">
        <f t="shared" si="205"/>
        <v>0</v>
      </c>
      <c r="C2585" s="21">
        <f t="shared" si="206"/>
        <v>0</v>
      </c>
      <c r="D2585" s="22" t="e">
        <f>VLOOKUP($A2585, TAB_JUROS_U[[Q_DIAS_U_PARC_TIR]:[V_FUT_U_JURS CENARIO]], D$5, FALSE)</f>
        <v>#N/A</v>
      </c>
      <c r="E2585" s="22" t="e">
        <f>VLOOKUP($A2585,TAB_CORRECAO_U[[Q_DIAS_U_PARC_TIR]:[V_FUT_U_CORC-02]],E$5, FALSE)</f>
        <v>#N/A</v>
      </c>
      <c r="F2585" s="22" t="e">
        <f>VLOOKUP($A2585,TAB_AMORTIZACAO_U[[Q_DIAS_U_PARC_TIR]:[V_FUT_U_PCPL-02]], F$5, FALSE)</f>
        <v>#N/A</v>
      </c>
      <c r="H2585" s="20">
        <f t="shared" si="207"/>
        <v>0</v>
      </c>
      <c r="I2585" s="21">
        <f t="shared" si="208"/>
        <v>0</v>
      </c>
      <c r="J2585" s="22" t="e">
        <f>VLOOKUP($A2585, TAB_JUROS_C[[DIAS_CORRIDOS]:[V_FUT_UTEIS]], J$5, FALSE)</f>
        <v>#N/A</v>
      </c>
      <c r="K2585" s="22" t="e">
        <f>VLOOKUP($A2585, TAB_CORRECAO_C[[DIAS_CORRIDOS]:[V_FUT_UTEIS]],K$5, FALSE)</f>
        <v>#N/A</v>
      </c>
      <c r="L2585" s="22" t="e">
        <f>VLOOKUP($A2585, TAB_AMORTIZACAO_C[[DIAS_CORRIDOS]:[V_FUT_UTEIS]], L$5, FALSE)</f>
        <v>#N/A</v>
      </c>
    </row>
    <row r="2586" spans="1:12" hidden="1">
      <c r="A2586" s="19">
        <f t="shared" si="209"/>
        <v>2580</v>
      </c>
      <c r="B2586" s="20">
        <f t="shared" si="205"/>
        <v>0</v>
      </c>
      <c r="C2586" s="21">
        <f t="shared" si="206"/>
        <v>0</v>
      </c>
      <c r="D2586" s="22" t="e">
        <f>VLOOKUP($A2586, TAB_JUROS_U[[Q_DIAS_U_PARC_TIR]:[V_FUT_U_JURS CENARIO]], D$5, FALSE)</f>
        <v>#N/A</v>
      </c>
      <c r="E2586" s="22" t="e">
        <f>VLOOKUP($A2586,TAB_CORRECAO_U[[Q_DIAS_U_PARC_TIR]:[V_FUT_U_CORC-02]],E$5, FALSE)</f>
        <v>#N/A</v>
      </c>
      <c r="F2586" s="22" t="e">
        <f>VLOOKUP($A2586,TAB_AMORTIZACAO_U[[Q_DIAS_U_PARC_TIR]:[V_FUT_U_PCPL-02]], F$5, FALSE)</f>
        <v>#N/A</v>
      </c>
      <c r="H2586" s="20">
        <f t="shared" si="207"/>
        <v>0</v>
      </c>
      <c r="I2586" s="21">
        <f t="shared" si="208"/>
        <v>0</v>
      </c>
      <c r="J2586" s="22" t="e">
        <f>VLOOKUP($A2586, TAB_JUROS_C[[DIAS_CORRIDOS]:[V_FUT_UTEIS]], J$5, FALSE)</f>
        <v>#N/A</v>
      </c>
      <c r="K2586" s="22" t="e">
        <f>VLOOKUP($A2586, TAB_CORRECAO_C[[DIAS_CORRIDOS]:[V_FUT_UTEIS]],K$5, FALSE)</f>
        <v>#N/A</v>
      </c>
      <c r="L2586" s="22" t="e">
        <f>VLOOKUP($A2586, TAB_AMORTIZACAO_C[[DIAS_CORRIDOS]:[V_FUT_UTEIS]], L$5, FALSE)</f>
        <v>#N/A</v>
      </c>
    </row>
    <row r="2587" spans="1:12" hidden="1">
      <c r="A2587" s="19">
        <f t="shared" si="209"/>
        <v>2581</v>
      </c>
      <c r="B2587" s="20">
        <f t="shared" si="205"/>
        <v>0</v>
      </c>
      <c r="C2587" s="21">
        <f t="shared" si="206"/>
        <v>0</v>
      </c>
      <c r="D2587" s="22" t="e">
        <f>VLOOKUP($A2587, TAB_JUROS_U[[Q_DIAS_U_PARC_TIR]:[V_FUT_U_JURS CENARIO]], D$5, FALSE)</f>
        <v>#N/A</v>
      </c>
      <c r="E2587" s="22" t="e">
        <f>VLOOKUP($A2587,TAB_CORRECAO_U[[Q_DIAS_U_PARC_TIR]:[V_FUT_U_CORC-02]],E$5, FALSE)</f>
        <v>#N/A</v>
      </c>
      <c r="F2587" s="22" t="e">
        <f>VLOOKUP($A2587,TAB_AMORTIZACAO_U[[Q_DIAS_U_PARC_TIR]:[V_FUT_U_PCPL-02]], F$5, FALSE)</f>
        <v>#N/A</v>
      </c>
      <c r="H2587" s="20">
        <f t="shared" si="207"/>
        <v>0</v>
      </c>
      <c r="I2587" s="21">
        <f t="shared" si="208"/>
        <v>0</v>
      </c>
      <c r="J2587" s="22" t="e">
        <f>VLOOKUP($A2587, TAB_JUROS_C[[DIAS_CORRIDOS]:[V_FUT_UTEIS]], J$5, FALSE)</f>
        <v>#N/A</v>
      </c>
      <c r="K2587" s="22" t="e">
        <f>VLOOKUP($A2587, TAB_CORRECAO_C[[DIAS_CORRIDOS]:[V_FUT_UTEIS]],K$5, FALSE)</f>
        <v>#N/A</v>
      </c>
      <c r="L2587" s="22" t="e">
        <f>VLOOKUP($A2587, TAB_AMORTIZACAO_C[[DIAS_CORRIDOS]:[V_FUT_UTEIS]], L$5, FALSE)</f>
        <v>#N/A</v>
      </c>
    </row>
    <row r="2588" spans="1:12" hidden="1">
      <c r="A2588" s="19">
        <f t="shared" si="209"/>
        <v>2582</v>
      </c>
      <c r="B2588" s="20">
        <f t="shared" si="205"/>
        <v>0</v>
      </c>
      <c r="C2588" s="21">
        <f t="shared" si="206"/>
        <v>0</v>
      </c>
      <c r="D2588" s="22" t="e">
        <f>VLOOKUP($A2588, TAB_JUROS_U[[Q_DIAS_U_PARC_TIR]:[V_FUT_U_JURS CENARIO]], D$5, FALSE)</f>
        <v>#N/A</v>
      </c>
      <c r="E2588" s="22" t="e">
        <f>VLOOKUP($A2588,TAB_CORRECAO_U[[Q_DIAS_U_PARC_TIR]:[V_FUT_U_CORC-02]],E$5, FALSE)</f>
        <v>#N/A</v>
      </c>
      <c r="F2588" s="22" t="e">
        <f>VLOOKUP($A2588,TAB_AMORTIZACAO_U[[Q_DIAS_U_PARC_TIR]:[V_FUT_U_PCPL-02]], F$5, FALSE)</f>
        <v>#N/A</v>
      </c>
      <c r="H2588" s="20">
        <f t="shared" si="207"/>
        <v>0</v>
      </c>
      <c r="I2588" s="21">
        <f t="shared" si="208"/>
        <v>0</v>
      </c>
      <c r="J2588" s="22" t="e">
        <f>VLOOKUP($A2588, TAB_JUROS_C[[DIAS_CORRIDOS]:[V_FUT_UTEIS]], J$5, FALSE)</f>
        <v>#N/A</v>
      </c>
      <c r="K2588" s="22" t="e">
        <f>VLOOKUP($A2588, TAB_CORRECAO_C[[DIAS_CORRIDOS]:[V_FUT_UTEIS]],K$5, FALSE)</f>
        <v>#N/A</v>
      </c>
      <c r="L2588" s="22" t="e">
        <f>VLOOKUP($A2588, TAB_AMORTIZACAO_C[[DIAS_CORRIDOS]:[V_FUT_UTEIS]], L$5, FALSE)</f>
        <v>#N/A</v>
      </c>
    </row>
    <row r="2589" spans="1:12" hidden="1">
      <c r="A2589" s="19">
        <f t="shared" si="209"/>
        <v>2583</v>
      </c>
      <c r="B2589" s="20">
        <f t="shared" si="205"/>
        <v>0</v>
      </c>
      <c r="C2589" s="21">
        <f t="shared" si="206"/>
        <v>0</v>
      </c>
      <c r="D2589" s="22" t="e">
        <f>VLOOKUP($A2589, TAB_JUROS_U[[Q_DIAS_U_PARC_TIR]:[V_FUT_U_JURS CENARIO]], D$5, FALSE)</f>
        <v>#N/A</v>
      </c>
      <c r="E2589" s="22" t="e">
        <f>VLOOKUP($A2589,TAB_CORRECAO_U[[Q_DIAS_U_PARC_TIR]:[V_FUT_U_CORC-02]],E$5, FALSE)</f>
        <v>#N/A</v>
      </c>
      <c r="F2589" s="22" t="e">
        <f>VLOOKUP($A2589,TAB_AMORTIZACAO_U[[Q_DIAS_U_PARC_TIR]:[V_FUT_U_PCPL-02]], F$5, FALSE)</f>
        <v>#N/A</v>
      </c>
      <c r="H2589" s="20">
        <f t="shared" si="207"/>
        <v>0</v>
      </c>
      <c r="I2589" s="21">
        <f t="shared" si="208"/>
        <v>0</v>
      </c>
      <c r="J2589" s="22" t="e">
        <f>VLOOKUP($A2589, TAB_JUROS_C[[DIAS_CORRIDOS]:[V_FUT_UTEIS]], J$5, FALSE)</f>
        <v>#N/A</v>
      </c>
      <c r="K2589" s="22" t="e">
        <f>VLOOKUP($A2589, TAB_CORRECAO_C[[DIAS_CORRIDOS]:[V_FUT_UTEIS]],K$5, FALSE)</f>
        <v>#N/A</v>
      </c>
      <c r="L2589" s="22" t="e">
        <f>VLOOKUP($A2589, TAB_AMORTIZACAO_C[[DIAS_CORRIDOS]:[V_FUT_UTEIS]], L$5, FALSE)</f>
        <v>#N/A</v>
      </c>
    </row>
    <row r="2590" spans="1:12" hidden="1">
      <c r="A2590" s="19">
        <f t="shared" si="209"/>
        <v>2584</v>
      </c>
      <c r="B2590" s="20">
        <f t="shared" si="205"/>
        <v>0</v>
      </c>
      <c r="C2590" s="21">
        <f t="shared" si="206"/>
        <v>0</v>
      </c>
      <c r="D2590" s="22" t="e">
        <f>VLOOKUP($A2590, TAB_JUROS_U[[Q_DIAS_U_PARC_TIR]:[V_FUT_U_JURS CENARIO]], D$5, FALSE)</f>
        <v>#N/A</v>
      </c>
      <c r="E2590" s="22" t="e">
        <f>VLOOKUP($A2590,TAB_CORRECAO_U[[Q_DIAS_U_PARC_TIR]:[V_FUT_U_CORC-02]],E$5, FALSE)</f>
        <v>#N/A</v>
      </c>
      <c r="F2590" s="22" t="e">
        <f>VLOOKUP($A2590,TAB_AMORTIZACAO_U[[Q_DIAS_U_PARC_TIR]:[V_FUT_U_PCPL-02]], F$5, FALSE)</f>
        <v>#N/A</v>
      </c>
      <c r="H2590" s="20">
        <f t="shared" si="207"/>
        <v>0</v>
      </c>
      <c r="I2590" s="21">
        <f t="shared" si="208"/>
        <v>0</v>
      </c>
      <c r="J2590" s="22" t="e">
        <f>VLOOKUP($A2590, TAB_JUROS_C[[DIAS_CORRIDOS]:[V_FUT_UTEIS]], J$5, FALSE)</f>
        <v>#N/A</v>
      </c>
      <c r="K2590" s="22" t="e">
        <f>VLOOKUP($A2590, TAB_CORRECAO_C[[DIAS_CORRIDOS]:[V_FUT_UTEIS]],K$5, FALSE)</f>
        <v>#N/A</v>
      </c>
      <c r="L2590" s="22" t="e">
        <f>VLOOKUP($A2590, TAB_AMORTIZACAO_C[[DIAS_CORRIDOS]:[V_FUT_UTEIS]], L$5, FALSE)</f>
        <v>#N/A</v>
      </c>
    </row>
    <row r="2591" spans="1:12" hidden="1">
      <c r="A2591" s="19">
        <f t="shared" si="209"/>
        <v>2585</v>
      </c>
      <c r="B2591" s="20">
        <f t="shared" si="205"/>
        <v>0</v>
      </c>
      <c r="C2591" s="21">
        <f t="shared" si="206"/>
        <v>0</v>
      </c>
      <c r="D2591" s="22" t="e">
        <f>VLOOKUP($A2591, TAB_JUROS_U[[Q_DIAS_U_PARC_TIR]:[V_FUT_U_JURS CENARIO]], D$5, FALSE)</f>
        <v>#N/A</v>
      </c>
      <c r="E2591" s="22" t="e">
        <f>VLOOKUP($A2591,TAB_CORRECAO_U[[Q_DIAS_U_PARC_TIR]:[V_FUT_U_CORC-02]],E$5, FALSE)</f>
        <v>#N/A</v>
      </c>
      <c r="F2591" s="22" t="e">
        <f>VLOOKUP($A2591,TAB_AMORTIZACAO_U[[Q_DIAS_U_PARC_TIR]:[V_FUT_U_PCPL-02]], F$5, FALSE)</f>
        <v>#N/A</v>
      </c>
      <c r="H2591" s="20">
        <f t="shared" si="207"/>
        <v>0</v>
      </c>
      <c r="I2591" s="21">
        <f t="shared" si="208"/>
        <v>0</v>
      </c>
      <c r="J2591" s="22" t="e">
        <f>VLOOKUP($A2591, TAB_JUROS_C[[DIAS_CORRIDOS]:[V_FUT_UTEIS]], J$5, FALSE)</f>
        <v>#N/A</v>
      </c>
      <c r="K2591" s="22" t="e">
        <f>VLOOKUP($A2591, TAB_CORRECAO_C[[DIAS_CORRIDOS]:[V_FUT_UTEIS]],K$5, FALSE)</f>
        <v>#N/A</v>
      </c>
      <c r="L2591" s="22" t="e">
        <f>VLOOKUP($A2591, TAB_AMORTIZACAO_C[[DIAS_CORRIDOS]:[V_FUT_UTEIS]], L$5, FALSE)</f>
        <v>#N/A</v>
      </c>
    </row>
    <row r="2592" spans="1:12">
      <c r="A2592" s="19">
        <f t="shared" si="209"/>
        <v>2586</v>
      </c>
      <c r="B2592" s="20">
        <f t="shared" si="205"/>
        <v>153.55187796621752</v>
      </c>
      <c r="C2592" s="21">
        <f t="shared" si="206"/>
        <v>153.55187796621752</v>
      </c>
      <c r="D2592" s="22">
        <f>VLOOKUP($A2592, TAB_JUROS_U[[Q_DIAS_U_PARC_TIR]:[V_FUT_U_JURS CENARIO]], D$5, FALSE)</f>
        <v>5.0843455994928721</v>
      </c>
      <c r="E2592" s="22">
        <f>VLOOKUP($A2592,TAB_CORRECAO_U[[Q_DIAS_U_PARC_TIR]:[V_FUT_U_CORC-02]],E$5, FALSE)</f>
        <v>31.608072394027236</v>
      </c>
      <c r="F2592" s="22">
        <f>VLOOKUP($A2592,TAB_AMORTIZACAO_U[[Q_DIAS_U_PARC_TIR]:[V_FUT_U_PCPL-02]], F$5, FALSE)</f>
        <v>116.85945997269741</v>
      </c>
      <c r="H2592" s="20">
        <f t="shared" si="207"/>
        <v>0</v>
      </c>
      <c r="I2592" s="21">
        <f t="shared" si="208"/>
        <v>0</v>
      </c>
      <c r="J2592" s="22" t="e">
        <f>VLOOKUP($A2592, TAB_JUROS_C[[DIAS_CORRIDOS]:[V_FUT_UTEIS]], J$5, FALSE)</f>
        <v>#N/A</v>
      </c>
      <c r="K2592" s="22" t="e">
        <f>VLOOKUP($A2592, TAB_CORRECAO_C[[DIAS_CORRIDOS]:[V_FUT_UTEIS]],K$5, FALSE)</f>
        <v>#N/A</v>
      </c>
      <c r="L2592" s="22" t="e">
        <f>VLOOKUP($A2592, TAB_AMORTIZACAO_C[[DIAS_CORRIDOS]:[V_FUT_UTEIS]], L$5, FALSE)</f>
        <v>#N/A</v>
      </c>
    </row>
    <row r="2593" spans="1:12" hidden="1">
      <c r="A2593" s="19">
        <f t="shared" si="209"/>
        <v>2587</v>
      </c>
      <c r="B2593" s="20">
        <f t="shared" si="205"/>
        <v>0</v>
      </c>
      <c r="C2593" s="21">
        <f t="shared" si="206"/>
        <v>0</v>
      </c>
      <c r="D2593" s="22" t="e">
        <f>VLOOKUP($A2593, TAB_JUROS_U[[Q_DIAS_U_PARC_TIR]:[V_FUT_U_JURS CENARIO]], D$5, FALSE)</f>
        <v>#N/A</v>
      </c>
      <c r="E2593" s="22" t="e">
        <f>VLOOKUP($A2593,TAB_CORRECAO_U[[Q_DIAS_U_PARC_TIR]:[V_FUT_U_CORC-02]],E$5, FALSE)</f>
        <v>#N/A</v>
      </c>
      <c r="F2593" s="22" t="e">
        <f>VLOOKUP($A2593,TAB_AMORTIZACAO_U[[Q_DIAS_U_PARC_TIR]:[V_FUT_U_PCPL-02]], F$5, FALSE)</f>
        <v>#N/A</v>
      </c>
      <c r="H2593" s="20">
        <f t="shared" si="207"/>
        <v>0</v>
      </c>
      <c r="I2593" s="21">
        <f t="shared" si="208"/>
        <v>0</v>
      </c>
      <c r="J2593" s="22" t="e">
        <f>VLOOKUP($A2593, TAB_JUROS_C[[DIAS_CORRIDOS]:[V_FUT_UTEIS]], J$5, FALSE)</f>
        <v>#N/A</v>
      </c>
      <c r="K2593" s="22" t="e">
        <f>VLOOKUP($A2593, TAB_CORRECAO_C[[DIAS_CORRIDOS]:[V_FUT_UTEIS]],K$5, FALSE)</f>
        <v>#N/A</v>
      </c>
      <c r="L2593" s="22" t="e">
        <f>VLOOKUP($A2593, TAB_AMORTIZACAO_C[[DIAS_CORRIDOS]:[V_FUT_UTEIS]], L$5, FALSE)</f>
        <v>#N/A</v>
      </c>
    </row>
    <row r="2594" spans="1:12" hidden="1">
      <c r="A2594" s="19">
        <f t="shared" si="209"/>
        <v>2588</v>
      </c>
      <c r="B2594" s="20">
        <f t="shared" si="205"/>
        <v>0</v>
      </c>
      <c r="C2594" s="21">
        <f t="shared" si="206"/>
        <v>0</v>
      </c>
      <c r="D2594" s="22" t="e">
        <f>VLOOKUP($A2594, TAB_JUROS_U[[Q_DIAS_U_PARC_TIR]:[V_FUT_U_JURS CENARIO]], D$5, FALSE)</f>
        <v>#N/A</v>
      </c>
      <c r="E2594" s="22" t="e">
        <f>VLOOKUP($A2594,TAB_CORRECAO_U[[Q_DIAS_U_PARC_TIR]:[V_FUT_U_CORC-02]],E$5, FALSE)</f>
        <v>#N/A</v>
      </c>
      <c r="F2594" s="22" t="e">
        <f>VLOOKUP($A2594,TAB_AMORTIZACAO_U[[Q_DIAS_U_PARC_TIR]:[V_FUT_U_PCPL-02]], F$5, FALSE)</f>
        <v>#N/A</v>
      </c>
      <c r="H2594" s="20">
        <f t="shared" si="207"/>
        <v>0</v>
      </c>
      <c r="I2594" s="21">
        <f t="shared" si="208"/>
        <v>0</v>
      </c>
      <c r="J2594" s="22" t="e">
        <f>VLOOKUP($A2594, TAB_JUROS_C[[DIAS_CORRIDOS]:[V_FUT_UTEIS]], J$5, FALSE)</f>
        <v>#N/A</v>
      </c>
      <c r="K2594" s="22" t="e">
        <f>VLOOKUP($A2594, TAB_CORRECAO_C[[DIAS_CORRIDOS]:[V_FUT_UTEIS]],K$5, FALSE)</f>
        <v>#N/A</v>
      </c>
      <c r="L2594" s="22" t="e">
        <f>VLOOKUP($A2594, TAB_AMORTIZACAO_C[[DIAS_CORRIDOS]:[V_FUT_UTEIS]], L$5, FALSE)</f>
        <v>#N/A</v>
      </c>
    </row>
    <row r="2595" spans="1:12" hidden="1">
      <c r="A2595" s="19">
        <f t="shared" si="209"/>
        <v>2589</v>
      </c>
      <c r="B2595" s="20">
        <f t="shared" si="205"/>
        <v>0</v>
      </c>
      <c r="C2595" s="21">
        <f t="shared" si="206"/>
        <v>0</v>
      </c>
      <c r="D2595" s="22" t="e">
        <f>VLOOKUP($A2595, TAB_JUROS_U[[Q_DIAS_U_PARC_TIR]:[V_FUT_U_JURS CENARIO]], D$5, FALSE)</f>
        <v>#N/A</v>
      </c>
      <c r="E2595" s="22" t="e">
        <f>VLOOKUP($A2595,TAB_CORRECAO_U[[Q_DIAS_U_PARC_TIR]:[V_FUT_U_CORC-02]],E$5, FALSE)</f>
        <v>#N/A</v>
      </c>
      <c r="F2595" s="22" t="e">
        <f>VLOOKUP($A2595,TAB_AMORTIZACAO_U[[Q_DIAS_U_PARC_TIR]:[V_FUT_U_PCPL-02]], F$5, FALSE)</f>
        <v>#N/A</v>
      </c>
      <c r="H2595" s="20">
        <f t="shared" si="207"/>
        <v>0</v>
      </c>
      <c r="I2595" s="21">
        <f t="shared" si="208"/>
        <v>0</v>
      </c>
      <c r="J2595" s="22" t="e">
        <f>VLOOKUP($A2595, TAB_JUROS_C[[DIAS_CORRIDOS]:[V_FUT_UTEIS]], J$5, FALSE)</f>
        <v>#N/A</v>
      </c>
      <c r="K2595" s="22" t="e">
        <f>VLOOKUP($A2595, TAB_CORRECAO_C[[DIAS_CORRIDOS]:[V_FUT_UTEIS]],K$5, FALSE)</f>
        <v>#N/A</v>
      </c>
      <c r="L2595" s="22" t="e">
        <f>VLOOKUP($A2595, TAB_AMORTIZACAO_C[[DIAS_CORRIDOS]:[V_FUT_UTEIS]], L$5, FALSE)</f>
        <v>#N/A</v>
      </c>
    </row>
    <row r="2596" spans="1:12" hidden="1">
      <c r="A2596" s="19">
        <f t="shared" si="209"/>
        <v>2590</v>
      </c>
      <c r="B2596" s="20">
        <f t="shared" si="205"/>
        <v>0</v>
      </c>
      <c r="C2596" s="21">
        <f t="shared" si="206"/>
        <v>0</v>
      </c>
      <c r="D2596" s="22" t="e">
        <f>VLOOKUP($A2596, TAB_JUROS_U[[Q_DIAS_U_PARC_TIR]:[V_FUT_U_JURS CENARIO]], D$5, FALSE)</f>
        <v>#N/A</v>
      </c>
      <c r="E2596" s="22" t="e">
        <f>VLOOKUP($A2596,TAB_CORRECAO_U[[Q_DIAS_U_PARC_TIR]:[V_FUT_U_CORC-02]],E$5, FALSE)</f>
        <v>#N/A</v>
      </c>
      <c r="F2596" s="22" t="e">
        <f>VLOOKUP($A2596,TAB_AMORTIZACAO_U[[Q_DIAS_U_PARC_TIR]:[V_FUT_U_PCPL-02]], F$5, FALSE)</f>
        <v>#N/A</v>
      </c>
      <c r="H2596" s="20">
        <f t="shared" si="207"/>
        <v>0</v>
      </c>
      <c r="I2596" s="21">
        <f t="shared" si="208"/>
        <v>0</v>
      </c>
      <c r="J2596" s="22" t="e">
        <f>VLOOKUP($A2596, TAB_JUROS_C[[DIAS_CORRIDOS]:[V_FUT_UTEIS]], J$5, FALSE)</f>
        <v>#N/A</v>
      </c>
      <c r="K2596" s="22" t="e">
        <f>VLOOKUP($A2596, TAB_CORRECAO_C[[DIAS_CORRIDOS]:[V_FUT_UTEIS]],K$5, FALSE)</f>
        <v>#N/A</v>
      </c>
      <c r="L2596" s="22" t="e">
        <f>VLOOKUP($A2596, TAB_AMORTIZACAO_C[[DIAS_CORRIDOS]:[V_FUT_UTEIS]], L$5, FALSE)</f>
        <v>#N/A</v>
      </c>
    </row>
    <row r="2597" spans="1:12" hidden="1">
      <c r="A2597" s="19">
        <f t="shared" si="209"/>
        <v>2591</v>
      </c>
      <c r="B2597" s="20">
        <f t="shared" si="205"/>
        <v>0</v>
      </c>
      <c r="C2597" s="21">
        <f t="shared" si="206"/>
        <v>0</v>
      </c>
      <c r="D2597" s="22" t="e">
        <f>VLOOKUP($A2597, TAB_JUROS_U[[Q_DIAS_U_PARC_TIR]:[V_FUT_U_JURS CENARIO]], D$5, FALSE)</f>
        <v>#N/A</v>
      </c>
      <c r="E2597" s="22" t="e">
        <f>VLOOKUP($A2597,TAB_CORRECAO_U[[Q_DIAS_U_PARC_TIR]:[V_FUT_U_CORC-02]],E$5, FALSE)</f>
        <v>#N/A</v>
      </c>
      <c r="F2597" s="22" t="e">
        <f>VLOOKUP($A2597,TAB_AMORTIZACAO_U[[Q_DIAS_U_PARC_TIR]:[V_FUT_U_PCPL-02]], F$5, FALSE)</f>
        <v>#N/A</v>
      </c>
      <c r="H2597" s="20">
        <f t="shared" si="207"/>
        <v>0</v>
      </c>
      <c r="I2597" s="21">
        <f t="shared" si="208"/>
        <v>0</v>
      </c>
      <c r="J2597" s="22" t="e">
        <f>VLOOKUP($A2597, TAB_JUROS_C[[DIAS_CORRIDOS]:[V_FUT_UTEIS]], J$5, FALSE)</f>
        <v>#N/A</v>
      </c>
      <c r="K2597" s="22" t="e">
        <f>VLOOKUP($A2597, TAB_CORRECAO_C[[DIAS_CORRIDOS]:[V_FUT_UTEIS]],K$5, FALSE)</f>
        <v>#N/A</v>
      </c>
      <c r="L2597" s="22" t="e">
        <f>VLOOKUP($A2597, TAB_AMORTIZACAO_C[[DIAS_CORRIDOS]:[V_FUT_UTEIS]], L$5, FALSE)</f>
        <v>#N/A</v>
      </c>
    </row>
    <row r="2598" spans="1:12" hidden="1">
      <c r="A2598" s="19">
        <f t="shared" si="209"/>
        <v>2592</v>
      </c>
      <c r="B2598" s="20">
        <f t="shared" si="205"/>
        <v>0</v>
      </c>
      <c r="C2598" s="21">
        <f t="shared" si="206"/>
        <v>0</v>
      </c>
      <c r="D2598" s="22" t="e">
        <f>VLOOKUP($A2598, TAB_JUROS_U[[Q_DIAS_U_PARC_TIR]:[V_FUT_U_JURS CENARIO]], D$5, FALSE)</f>
        <v>#N/A</v>
      </c>
      <c r="E2598" s="22" t="e">
        <f>VLOOKUP($A2598,TAB_CORRECAO_U[[Q_DIAS_U_PARC_TIR]:[V_FUT_U_CORC-02]],E$5, FALSE)</f>
        <v>#N/A</v>
      </c>
      <c r="F2598" s="22" t="e">
        <f>VLOOKUP($A2598,TAB_AMORTIZACAO_U[[Q_DIAS_U_PARC_TIR]:[V_FUT_U_PCPL-02]], F$5, FALSE)</f>
        <v>#N/A</v>
      </c>
      <c r="H2598" s="20">
        <f t="shared" si="207"/>
        <v>0</v>
      </c>
      <c r="I2598" s="21">
        <f t="shared" si="208"/>
        <v>0</v>
      </c>
      <c r="J2598" s="22" t="e">
        <f>VLOOKUP($A2598, TAB_JUROS_C[[DIAS_CORRIDOS]:[V_FUT_UTEIS]], J$5, FALSE)</f>
        <v>#N/A</v>
      </c>
      <c r="K2598" s="22" t="e">
        <f>VLOOKUP($A2598, TAB_CORRECAO_C[[DIAS_CORRIDOS]:[V_FUT_UTEIS]],K$5, FALSE)</f>
        <v>#N/A</v>
      </c>
      <c r="L2598" s="22" t="e">
        <f>VLOOKUP($A2598, TAB_AMORTIZACAO_C[[DIAS_CORRIDOS]:[V_FUT_UTEIS]], L$5, FALSE)</f>
        <v>#N/A</v>
      </c>
    </row>
    <row r="2599" spans="1:12" hidden="1">
      <c r="A2599" s="19">
        <f t="shared" si="209"/>
        <v>2593</v>
      </c>
      <c r="B2599" s="20">
        <f t="shared" si="205"/>
        <v>0</v>
      </c>
      <c r="C2599" s="21">
        <f t="shared" si="206"/>
        <v>0</v>
      </c>
      <c r="D2599" s="22" t="e">
        <f>VLOOKUP($A2599, TAB_JUROS_U[[Q_DIAS_U_PARC_TIR]:[V_FUT_U_JURS CENARIO]], D$5, FALSE)</f>
        <v>#N/A</v>
      </c>
      <c r="E2599" s="22" t="e">
        <f>VLOOKUP($A2599,TAB_CORRECAO_U[[Q_DIAS_U_PARC_TIR]:[V_FUT_U_CORC-02]],E$5, FALSE)</f>
        <v>#N/A</v>
      </c>
      <c r="F2599" s="22" t="e">
        <f>VLOOKUP($A2599,TAB_AMORTIZACAO_U[[Q_DIAS_U_PARC_TIR]:[V_FUT_U_PCPL-02]], F$5, FALSE)</f>
        <v>#N/A</v>
      </c>
      <c r="H2599" s="20">
        <f t="shared" si="207"/>
        <v>0</v>
      </c>
      <c r="I2599" s="21">
        <f t="shared" si="208"/>
        <v>0</v>
      </c>
      <c r="J2599" s="22" t="e">
        <f>VLOOKUP($A2599, TAB_JUROS_C[[DIAS_CORRIDOS]:[V_FUT_UTEIS]], J$5, FALSE)</f>
        <v>#N/A</v>
      </c>
      <c r="K2599" s="22" t="e">
        <f>VLOOKUP($A2599, TAB_CORRECAO_C[[DIAS_CORRIDOS]:[V_FUT_UTEIS]],K$5, FALSE)</f>
        <v>#N/A</v>
      </c>
      <c r="L2599" s="22" t="e">
        <f>VLOOKUP($A2599, TAB_AMORTIZACAO_C[[DIAS_CORRIDOS]:[V_FUT_UTEIS]], L$5, FALSE)</f>
        <v>#N/A</v>
      </c>
    </row>
    <row r="2600" spans="1:12" hidden="1">
      <c r="A2600" s="19">
        <f t="shared" si="209"/>
        <v>2594</v>
      </c>
      <c r="B2600" s="20">
        <f t="shared" si="205"/>
        <v>0</v>
      </c>
      <c r="C2600" s="21">
        <f t="shared" si="206"/>
        <v>0</v>
      </c>
      <c r="D2600" s="22" t="e">
        <f>VLOOKUP($A2600, TAB_JUROS_U[[Q_DIAS_U_PARC_TIR]:[V_FUT_U_JURS CENARIO]], D$5, FALSE)</f>
        <v>#N/A</v>
      </c>
      <c r="E2600" s="22" t="e">
        <f>VLOOKUP($A2600,TAB_CORRECAO_U[[Q_DIAS_U_PARC_TIR]:[V_FUT_U_CORC-02]],E$5, FALSE)</f>
        <v>#N/A</v>
      </c>
      <c r="F2600" s="22" t="e">
        <f>VLOOKUP($A2600,TAB_AMORTIZACAO_U[[Q_DIAS_U_PARC_TIR]:[V_FUT_U_PCPL-02]], F$5, FALSE)</f>
        <v>#N/A</v>
      </c>
      <c r="H2600" s="20">
        <f t="shared" si="207"/>
        <v>0</v>
      </c>
      <c r="I2600" s="21">
        <f t="shared" si="208"/>
        <v>0</v>
      </c>
      <c r="J2600" s="22" t="e">
        <f>VLOOKUP($A2600, TAB_JUROS_C[[DIAS_CORRIDOS]:[V_FUT_UTEIS]], J$5, FALSE)</f>
        <v>#N/A</v>
      </c>
      <c r="K2600" s="22" t="e">
        <f>VLOOKUP($A2600, TAB_CORRECAO_C[[DIAS_CORRIDOS]:[V_FUT_UTEIS]],K$5, FALSE)</f>
        <v>#N/A</v>
      </c>
      <c r="L2600" s="22" t="e">
        <f>VLOOKUP($A2600, TAB_AMORTIZACAO_C[[DIAS_CORRIDOS]:[V_FUT_UTEIS]], L$5, FALSE)</f>
        <v>#N/A</v>
      </c>
    </row>
    <row r="2601" spans="1:12" hidden="1">
      <c r="A2601" s="19">
        <f t="shared" si="209"/>
        <v>2595</v>
      </c>
      <c r="B2601" s="20">
        <f t="shared" si="205"/>
        <v>0</v>
      </c>
      <c r="C2601" s="21">
        <f t="shared" si="206"/>
        <v>0</v>
      </c>
      <c r="D2601" s="22" t="e">
        <f>VLOOKUP($A2601, TAB_JUROS_U[[Q_DIAS_U_PARC_TIR]:[V_FUT_U_JURS CENARIO]], D$5, FALSE)</f>
        <v>#N/A</v>
      </c>
      <c r="E2601" s="22" t="e">
        <f>VLOOKUP($A2601,TAB_CORRECAO_U[[Q_DIAS_U_PARC_TIR]:[V_FUT_U_CORC-02]],E$5, FALSE)</f>
        <v>#N/A</v>
      </c>
      <c r="F2601" s="22" t="e">
        <f>VLOOKUP($A2601,TAB_AMORTIZACAO_U[[Q_DIAS_U_PARC_TIR]:[V_FUT_U_PCPL-02]], F$5, FALSE)</f>
        <v>#N/A</v>
      </c>
      <c r="H2601" s="20">
        <f t="shared" si="207"/>
        <v>0</v>
      </c>
      <c r="I2601" s="21">
        <f t="shared" si="208"/>
        <v>0</v>
      </c>
      <c r="J2601" s="22" t="e">
        <f>VLOOKUP($A2601, TAB_JUROS_C[[DIAS_CORRIDOS]:[V_FUT_UTEIS]], J$5, FALSE)</f>
        <v>#N/A</v>
      </c>
      <c r="K2601" s="22" t="e">
        <f>VLOOKUP($A2601, TAB_CORRECAO_C[[DIAS_CORRIDOS]:[V_FUT_UTEIS]],K$5, FALSE)</f>
        <v>#N/A</v>
      </c>
      <c r="L2601" s="22" t="e">
        <f>VLOOKUP($A2601, TAB_AMORTIZACAO_C[[DIAS_CORRIDOS]:[V_FUT_UTEIS]], L$5, FALSE)</f>
        <v>#N/A</v>
      </c>
    </row>
    <row r="2602" spans="1:12" hidden="1">
      <c r="A2602" s="19">
        <f t="shared" si="209"/>
        <v>2596</v>
      </c>
      <c r="B2602" s="20">
        <f t="shared" si="205"/>
        <v>0</v>
      </c>
      <c r="C2602" s="21">
        <f t="shared" si="206"/>
        <v>0</v>
      </c>
      <c r="D2602" s="22" t="e">
        <f>VLOOKUP($A2602, TAB_JUROS_U[[Q_DIAS_U_PARC_TIR]:[V_FUT_U_JURS CENARIO]], D$5, FALSE)</f>
        <v>#N/A</v>
      </c>
      <c r="E2602" s="22" t="e">
        <f>VLOOKUP($A2602,TAB_CORRECAO_U[[Q_DIAS_U_PARC_TIR]:[V_FUT_U_CORC-02]],E$5, FALSE)</f>
        <v>#N/A</v>
      </c>
      <c r="F2602" s="22" t="e">
        <f>VLOOKUP($A2602,TAB_AMORTIZACAO_U[[Q_DIAS_U_PARC_TIR]:[V_FUT_U_PCPL-02]], F$5, FALSE)</f>
        <v>#N/A</v>
      </c>
      <c r="H2602" s="20">
        <f t="shared" si="207"/>
        <v>0</v>
      </c>
      <c r="I2602" s="21">
        <f t="shared" si="208"/>
        <v>0</v>
      </c>
      <c r="J2602" s="22" t="e">
        <f>VLOOKUP($A2602, TAB_JUROS_C[[DIAS_CORRIDOS]:[V_FUT_UTEIS]], J$5, FALSE)</f>
        <v>#N/A</v>
      </c>
      <c r="K2602" s="22" t="e">
        <f>VLOOKUP($A2602, TAB_CORRECAO_C[[DIAS_CORRIDOS]:[V_FUT_UTEIS]],K$5, FALSE)</f>
        <v>#N/A</v>
      </c>
      <c r="L2602" s="22" t="e">
        <f>VLOOKUP($A2602, TAB_AMORTIZACAO_C[[DIAS_CORRIDOS]:[V_FUT_UTEIS]], L$5, FALSE)</f>
        <v>#N/A</v>
      </c>
    </row>
    <row r="2603" spans="1:12" hidden="1">
      <c r="A2603" s="19">
        <f t="shared" si="209"/>
        <v>2597</v>
      </c>
      <c r="B2603" s="20">
        <f t="shared" si="205"/>
        <v>0</v>
      </c>
      <c r="C2603" s="21">
        <f t="shared" si="206"/>
        <v>0</v>
      </c>
      <c r="D2603" s="22" t="e">
        <f>VLOOKUP($A2603, TAB_JUROS_U[[Q_DIAS_U_PARC_TIR]:[V_FUT_U_JURS CENARIO]], D$5, FALSE)</f>
        <v>#N/A</v>
      </c>
      <c r="E2603" s="22" t="e">
        <f>VLOOKUP($A2603,TAB_CORRECAO_U[[Q_DIAS_U_PARC_TIR]:[V_FUT_U_CORC-02]],E$5, FALSE)</f>
        <v>#N/A</v>
      </c>
      <c r="F2603" s="22" t="e">
        <f>VLOOKUP($A2603,TAB_AMORTIZACAO_U[[Q_DIAS_U_PARC_TIR]:[V_FUT_U_PCPL-02]], F$5, FALSE)</f>
        <v>#N/A</v>
      </c>
      <c r="H2603" s="20">
        <f t="shared" si="207"/>
        <v>0</v>
      </c>
      <c r="I2603" s="21">
        <f t="shared" si="208"/>
        <v>0</v>
      </c>
      <c r="J2603" s="22" t="e">
        <f>VLOOKUP($A2603, TAB_JUROS_C[[DIAS_CORRIDOS]:[V_FUT_UTEIS]], J$5, FALSE)</f>
        <v>#N/A</v>
      </c>
      <c r="K2603" s="22" t="e">
        <f>VLOOKUP($A2603, TAB_CORRECAO_C[[DIAS_CORRIDOS]:[V_FUT_UTEIS]],K$5, FALSE)</f>
        <v>#N/A</v>
      </c>
      <c r="L2603" s="22" t="e">
        <f>VLOOKUP($A2603, TAB_AMORTIZACAO_C[[DIAS_CORRIDOS]:[V_FUT_UTEIS]], L$5, FALSE)</f>
        <v>#N/A</v>
      </c>
    </row>
    <row r="2604" spans="1:12" hidden="1">
      <c r="A2604" s="19">
        <f t="shared" si="209"/>
        <v>2598</v>
      </c>
      <c r="B2604" s="20">
        <f t="shared" si="205"/>
        <v>0</v>
      </c>
      <c r="C2604" s="21">
        <f t="shared" si="206"/>
        <v>0</v>
      </c>
      <c r="D2604" s="22" t="e">
        <f>VLOOKUP($A2604, TAB_JUROS_U[[Q_DIAS_U_PARC_TIR]:[V_FUT_U_JURS CENARIO]], D$5, FALSE)</f>
        <v>#N/A</v>
      </c>
      <c r="E2604" s="22" t="e">
        <f>VLOOKUP($A2604,TAB_CORRECAO_U[[Q_DIAS_U_PARC_TIR]:[V_FUT_U_CORC-02]],E$5, FALSE)</f>
        <v>#N/A</v>
      </c>
      <c r="F2604" s="22" t="e">
        <f>VLOOKUP($A2604,TAB_AMORTIZACAO_U[[Q_DIAS_U_PARC_TIR]:[V_FUT_U_PCPL-02]], F$5, FALSE)</f>
        <v>#N/A</v>
      </c>
      <c r="H2604" s="20">
        <f t="shared" si="207"/>
        <v>0</v>
      </c>
      <c r="I2604" s="21">
        <f t="shared" si="208"/>
        <v>0</v>
      </c>
      <c r="J2604" s="22" t="e">
        <f>VLOOKUP($A2604, TAB_JUROS_C[[DIAS_CORRIDOS]:[V_FUT_UTEIS]], J$5, FALSE)</f>
        <v>#N/A</v>
      </c>
      <c r="K2604" s="22" t="e">
        <f>VLOOKUP($A2604, TAB_CORRECAO_C[[DIAS_CORRIDOS]:[V_FUT_UTEIS]],K$5, FALSE)</f>
        <v>#N/A</v>
      </c>
      <c r="L2604" s="22" t="e">
        <f>VLOOKUP($A2604, TAB_AMORTIZACAO_C[[DIAS_CORRIDOS]:[V_FUT_UTEIS]], L$5, FALSE)</f>
        <v>#N/A</v>
      </c>
    </row>
    <row r="2605" spans="1:12" hidden="1">
      <c r="A2605" s="19">
        <f t="shared" si="209"/>
        <v>2599</v>
      </c>
      <c r="B2605" s="20">
        <f t="shared" si="205"/>
        <v>0</v>
      </c>
      <c r="C2605" s="21">
        <f t="shared" si="206"/>
        <v>0</v>
      </c>
      <c r="D2605" s="22" t="e">
        <f>VLOOKUP($A2605, TAB_JUROS_U[[Q_DIAS_U_PARC_TIR]:[V_FUT_U_JURS CENARIO]], D$5, FALSE)</f>
        <v>#N/A</v>
      </c>
      <c r="E2605" s="22" t="e">
        <f>VLOOKUP($A2605,TAB_CORRECAO_U[[Q_DIAS_U_PARC_TIR]:[V_FUT_U_CORC-02]],E$5, FALSE)</f>
        <v>#N/A</v>
      </c>
      <c r="F2605" s="22" t="e">
        <f>VLOOKUP($A2605,TAB_AMORTIZACAO_U[[Q_DIAS_U_PARC_TIR]:[V_FUT_U_PCPL-02]], F$5, FALSE)</f>
        <v>#N/A</v>
      </c>
      <c r="H2605" s="20">
        <f t="shared" si="207"/>
        <v>395.8504644527203</v>
      </c>
      <c r="I2605" s="21">
        <f t="shared" si="208"/>
        <v>395.8504644527203</v>
      </c>
      <c r="J2605" s="22">
        <f>VLOOKUP($A2605, TAB_JUROS_C[[DIAS_CORRIDOS]:[V_FUT_UTEIS]], J$5, FALSE)</f>
        <v>24.704026313350468</v>
      </c>
      <c r="K2605" s="22">
        <f>VLOOKUP($A2605, TAB_CORRECAO_C[[DIAS_CORRIDOS]:[V_FUT_UTEIS]],K$5, FALSE)</f>
        <v>152.09478978749647</v>
      </c>
      <c r="L2605" s="22">
        <f>VLOOKUP($A2605, TAB_AMORTIZACAO_C[[DIAS_CORRIDOS]:[V_FUT_UTEIS]], L$5, FALSE)</f>
        <v>219.05164835187338</v>
      </c>
    </row>
    <row r="2606" spans="1:12" hidden="1">
      <c r="A2606" s="19">
        <f t="shared" si="209"/>
        <v>2600</v>
      </c>
      <c r="B2606" s="20">
        <f t="shared" si="205"/>
        <v>0</v>
      </c>
      <c r="C2606" s="21">
        <f t="shared" si="206"/>
        <v>0</v>
      </c>
      <c r="D2606" s="22" t="e">
        <f>VLOOKUP($A2606, TAB_JUROS_U[[Q_DIAS_U_PARC_TIR]:[V_FUT_U_JURS CENARIO]], D$5, FALSE)</f>
        <v>#N/A</v>
      </c>
      <c r="E2606" s="22" t="e">
        <f>VLOOKUP($A2606,TAB_CORRECAO_U[[Q_DIAS_U_PARC_TIR]:[V_FUT_U_CORC-02]],E$5, FALSE)</f>
        <v>#N/A</v>
      </c>
      <c r="F2606" s="22" t="e">
        <f>VLOOKUP($A2606,TAB_AMORTIZACAO_U[[Q_DIAS_U_PARC_TIR]:[V_FUT_U_PCPL-02]], F$5, FALSE)</f>
        <v>#N/A</v>
      </c>
      <c r="H2606" s="20">
        <f t="shared" si="207"/>
        <v>0</v>
      </c>
      <c r="I2606" s="21">
        <f t="shared" si="208"/>
        <v>0</v>
      </c>
      <c r="J2606" s="22" t="e">
        <f>VLOOKUP($A2606, TAB_JUROS_C[[DIAS_CORRIDOS]:[V_FUT_UTEIS]], J$5, FALSE)</f>
        <v>#N/A</v>
      </c>
      <c r="K2606" s="22" t="e">
        <f>VLOOKUP($A2606, TAB_CORRECAO_C[[DIAS_CORRIDOS]:[V_FUT_UTEIS]],K$5, FALSE)</f>
        <v>#N/A</v>
      </c>
      <c r="L2606" s="22" t="e">
        <f>VLOOKUP($A2606, TAB_AMORTIZACAO_C[[DIAS_CORRIDOS]:[V_FUT_UTEIS]], L$5, FALSE)</f>
        <v>#N/A</v>
      </c>
    </row>
    <row r="2607" spans="1:12" hidden="1">
      <c r="A2607" s="19">
        <f t="shared" si="209"/>
        <v>2601</v>
      </c>
      <c r="B2607" s="20">
        <f t="shared" si="205"/>
        <v>0</v>
      </c>
      <c r="C2607" s="21">
        <f t="shared" si="206"/>
        <v>0</v>
      </c>
      <c r="D2607" s="22" t="e">
        <f>VLOOKUP($A2607, TAB_JUROS_U[[Q_DIAS_U_PARC_TIR]:[V_FUT_U_JURS CENARIO]], D$5, FALSE)</f>
        <v>#N/A</v>
      </c>
      <c r="E2607" s="22" t="e">
        <f>VLOOKUP($A2607,TAB_CORRECAO_U[[Q_DIAS_U_PARC_TIR]:[V_FUT_U_CORC-02]],E$5, FALSE)</f>
        <v>#N/A</v>
      </c>
      <c r="F2607" s="22" t="e">
        <f>VLOOKUP($A2607,TAB_AMORTIZACAO_U[[Q_DIAS_U_PARC_TIR]:[V_FUT_U_PCPL-02]], F$5, FALSE)</f>
        <v>#N/A</v>
      </c>
      <c r="H2607" s="20">
        <f t="shared" si="207"/>
        <v>0</v>
      </c>
      <c r="I2607" s="21">
        <f t="shared" si="208"/>
        <v>0</v>
      </c>
      <c r="J2607" s="22" t="e">
        <f>VLOOKUP($A2607, TAB_JUROS_C[[DIAS_CORRIDOS]:[V_FUT_UTEIS]], J$5, FALSE)</f>
        <v>#N/A</v>
      </c>
      <c r="K2607" s="22" t="e">
        <f>VLOOKUP($A2607, TAB_CORRECAO_C[[DIAS_CORRIDOS]:[V_FUT_UTEIS]],K$5, FALSE)</f>
        <v>#N/A</v>
      </c>
      <c r="L2607" s="22" t="e">
        <f>VLOOKUP($A2607, TAB_AMORTIZACAO_C[[DIAS_CORRIDOS]:[V_FUT_UTEIS]], L$5, FALSE)</f>
        <v>#N/A</v>
      </c>
    </row>
    <row r="2608" spans="1:12" hidden="1">
      <c r="A2608" s="19">
        <f t="shared" si="209"/>
        <v>2602</v>
      </c>
      <c r="B2608" s="20">
        <f t="shared" si="205"/>
        <v>0</v>
      </c>
      <c r="C2608" s="21">
        <f t="shared" si="206"/>
        <v>0</v>
      </c>
      <c r="D2608" s="22" t="e">
        <f>VLOOKUP($A2608, TAB_JUROS_U[[Q_DIAS_U_PARC_TIR]:[V_FUT_U_JURS CENARIO]], D$5, FALSE)</f>
        <v>#N/A</v>
      </c>
      <c r="E2608" s="22" t="e">
        <f>VLOOKUP($A2608,TAB_CORRECAO_U[[Q_DIAS_U_PARC_TIR]:[V_FUT_U_CORC-02]],E$5, FALSE)</f>
        <v>#N/A</v>
      </c>
      <c r="F2608" s="22" t="e">
        <f>VLOOKUP($A2608,TAB_AMORTIZACAO_U[[Q_DIAS_U_PARC_TIR]:[V_FUT_U_PCPL-02]], F$5, FALSE)</f>
        <v>#N/A</v>
      </c>
      <c r="H2608" s="20">
        <f t="shared" si="207"/>
        <v>0</v>
      </c>
      <c r="I2608" s="21">
        <f t="shared" si="208"/>
        <v>0</v>
      </c>
      <c r="J2608" s="22" t="e">
        <f>VLOOKUP($A2608, TAB_JUROS_C[[DIAS_CORRIDOS]:[V_FUT_UTEIS]], J$5, FALSE)</f>
        <v>#N/A</v>
      </c>
      <c r="K2608" s="22" t="e">
        <f>VLOOKUP($A2608, TAB_CORRECAO_C[[DIAS_CORRIDOS]:[V_FUT_UTEIS]],K$5, FALSE)</f>
        <v>#N/A</v>
      </c>
      <c r="L2608" s="22" t="e">
        <f>VLOOKUP($A2608, TAB_AMORTIZACAO_C[[DIAS_CORRIDOS]:[V_FUT_UTEIS]], L$5, FALSE)</f>
        <v>#N/A</v>
      </c>
    </row>
    <row r="2609" spans="1:12" hidden="1">
      <c r="A2609" s="19">
        <f t="shared" si="209"/>
        <v>2603</v>
      </c>
      <c r="B2609" s="20">
        <f t="shared" si="205"/>
        <v>0</v>
      </c>
      <c r="C2609" s="21">
        <f t="shared" si="206"/>
        <v>0</v>
      </c>
      <c r="D2609" s="22" t="e">
        <f>VLOOKUP($A2609, TAB_JUROS_U[[Q_DIAS_U_PARC_TIR]:[V_FUT_U_JURS CENARIO]], D$5, FALSE)</f>
        <v>#N/A</v>
      </c>
      <c r="E2609" s="22" t="e">
        <f>VLOOKUP($A2609,TAB_CORRECAO_U[[Q_DIAS_U_PARC_TIR]:[V_FUT_U_CORC-02]],E$5, FALSE)</f>
        <v>#N/A</v>
      </c>
      <c r="F2609" s="22" t="e">
        <f>VLOOKUP($A2609,TAB_AMORTIZACAO_U[[Q_DIAS_U_PARC_TIR]:[V_FUT_U_PCPL-02]], F$5, FALSE)</f>
        <v>#N/A</v>
      </c>
      <c r="H2609" s="20">
        <f t="shared" si="207"/>
        <v>0</v>
      </c>
      <c r="I2609" s="21">
        <f t="shared" si="208"/>
        <v>0</v>
      </c>
      <c r="J2609" s="22" t="e">
        <f>VLOOKUP($A2609, TAB_JUROS_C[[DIAS_CORRIDOS]:[V_FUT_UTEIS]], J$5, FALSE)</f>
        <v>#N/A</v>
      </c>
      <c r="K2609" s="22" t="e">
        <f>VLOOKUP($A2609, TAB_CORRECAO_C[[DIAS_CORRIDOS]:[V_FUT_UTEIS]],K$5, FALSE)</f>
        <v>#N/A</v>
      </c>
      <c r="L2609" s="22" t="e">
        <f>VLOOKUP($A2609, TAB_AMORTIZACAO_C[[DIAS_CORRIDOS]:[V_FUT_UTEIS]], L$5, FALSE)</f>
        <v>#N/A</v>
      </c>
    </row>
    <row r="2610" spans="1:12" hidden="1">
      <c r="A2610" s="19">
        <f t="shared" si="209"/>
        <v>2604</v>
      </c>
      <c r="B2610" s="20">
        <f t="shared" si="205"/>
        <v>0</v>
      </c>
      <c r="C2610" s="21">
        <f t="shared" si="206"/>
        <v>0</v>
      </c>
      <c r="D2610" s="22" t="e">
        <f>VLOOKUP($A2610, TAB_JUROS_U[[Q_DIAS_U_PARC_TIR]:[V_FUT_U_JURS CENARIO]], D$5, FALSE)</f>
        <v>#N/A</v>
      </c>
      <c r="E2610" s="22" t="e">
        <f>VLOOKUP($A2610,TAB_CORRECAO_U[[Q_DIAS_U_PARC_TIR]:[V_FUT_U_CORC-02]],E$5, FALSE)</f>
        <v>#N/A</v>
      </c>
      <c r="F2610" s="22" t="e">
        <f>VLOOKUP($A2610,TAB_AMORTIZACAO_U[[Q_DIAS_U_PARC_TIR]:[V_FUT_U_PCPL-02]], F$5, FALSE)</f>
        <v>#N/A</v>
      </c>
      <c r="H2610" s="20">
        <f t="shared" si="207"/>
        <v>0</v>
      </c>
      <c r="I2610" s="21">
        <f t="shared" si="208"/>
        <v>0</v>
      </c>
      <c r="J2610" s="22" t="e">
        <f>VLOOKUP($A2610, TAB_JUROS_C[[DIAS_CORRIDOS]:[V_FUT_UTEIS]], J$5, FALSE)</f>
        <v>#N/A</v>
      </c>
      <c r="K2610" s="22" t="e">
        <f>VLOOKUP($A2610, TAB_CORRECAO_C[[DIAS_CORRIDOS]:[V_FUT_UTEIS]],K$5, FALSE)</f>
        <v>#N/A</v>
      </c>
      <c r="L2610" s="22" t="e">
        <f>VLOOKUP($A2610, TAB_AMORTIZACAO_C[[DIAS_CORRIDOS]:[V_FUT_UTEIS]], L$5, FALSE)</f>
        <v>#N/A</v>
      </c>
    </row>
    <row r="2611" spans="1:12" hidden="1">
      <c r="A2611" s="19">
        <f t="shared" si="209"/>
        <v>2605</v>
      </c>
      <c r="B2611" s="20">
        <f t="shared" si="205"/>
        <v>0</v>
      </c>
      <c r="C2611" s="21">
        <f t="shared" si="206"/>
        <v>0</v>
      </c>
      <c r="D2611" s="22" t="e">
        <f>VLOOKUP($A2611, TAB_JUROS_U[[Q_DIAS_U_PARC_TIR]:[V_FUT_U_JURS CENARIO]], D$5, FALSE)</f>
        <v>#N/A</v>
      </c>
      <c r="E2611" s="22" t="e">
        <f>VLOOKUP($A2611,TAB_CORRECAO_U[[Q_DIAS_U_PARC_TIR]:[V_FUT_U_CORC-02]],E$5, FALSE)</f>
        <v>#N/A</v>
      </c>
      <c r="F2611" s="22" t="e">
        <f>VLOOKUP($A2611,TAB_AMORTIZACAO_U[[Q_DIAS_U_PARC_TIR]:[V_FUT_U_PCPL-02]], F$5, FALSE)</f>
        <v>#N/A</v>
      </c>
      <c r="H2611" s="20">
        <f t="shared" si="207"/>
        <v>0</v>
      </c>
      <c r="I2611" s="21">
        <f t="shared" si="208"/>
        <v>0</v>
      </c>
      <c r="J2611" s="22" t="e">
        <f>VLOOKUP($A2611, TAB_JUROS_C[[DIAS_CORRIDOS]:[V_FUT_UTEIS]], J$5, FALSE)</f>
        <v>#N/A</v>
      </c>
      <c r="K2611" s="22" t="e">
        <f>VLOOKUP($A2611, TAB_CORRECAO_C[[DIAS_CORRIDOS]:[V_FUT_UTEIS]],K$5, FALSE)</f>
        <v>#N/A</v>
      </c>
      <c r="L2611" s="22" t="e">
        <f>VLOOKUP($A2611, TAB_AMORTIZACAO_C[[DIAS_CORRIDOS]:[V_FUT_UTEIS]], L$5, FALSE)</f>
        <v>#N/A</v>
      </c>
    </row>
    <row r="2612" spans="1:12">
      <c r="A2612" s="19">
        <f t="shared" si="209"/>
        <v>2606</v>
      </c>
      <c r="B2612" s="20">
        <f t="shared" si="205"/>
        <v>145.98077575808452</v>
      </c>
      <c r="C2612" s="21">
        <f t="shared" si="206"/>
        <v>145.98077575808452</v>
      </c>
      <c r="D2612" s="22">
        <f>VLOOKUP($A2612, TAB_JUROS_U[[Q_DIAS_U_PARC_TIR]:[V_FUT_U_JURS CENARIO]], D$5, FALSE)</f>
        <v>4.3312558654926976</v>
      </c>
      <c r="E2612" s="22">
        <f>VLOOKUP($A2612,TAB_CORRECAO_U[[Q_DIAS_U_PARC_TIR]:[V_FUT_U_CORC-02]],E$5, FALSE)</f>
        <v>26.945464078809838</v>
      </c>
      <c r="F2612" s="22">
        <f>VLOOKUP($A2612,TAB_AMORTIZACAO_U[[Q_DIAS_U_PARC_TIR]:[V_FUT_U_PCPL-02]], F$5, FALSE)</f>
        <v>114.70405581378199</v>
      </c>
      <c r="H2612" s="20">
        <f t="shared" si="207"/>
        <v>0</v>
      </c>
      <c r="I2612" s="21">
        <f t="shared" si="208"/>
        <v>0</v>
      </c>
      <c r="J2612" s="22" t="e">
        <f>VLOOKUP($A2612, TAB_JUROS_C[[DIAS_CORRIDOS]:[V_FUT_UTEIS]], J$5, FALSE)</f>
        <v>#N/A</v>
      </c>
      <c r="K2612" s="22" t="e">
        <f>VLOOKUP($A2612, TAB_CORRECAO_C[[DIAS_CORRIDOS]:[V_FUT_UTEIS]],K$5, FALSE)</f>
        <v>#N/A</v>
      </c>
      <c r="L2612" s="22" t="e">
        <f>VLOOKUP($A2612, TAB_AMORTIZACAO_C[[DIAS_CORRIDOS]:[V_FUT_UTEIS]], L$5, FALSE)</f>
        <v>#N/A</v>
      </c>
    </row>
    <row r="2613" spans="1:12" hidden="1">
      <c r="A2613" s="19">
        <f t="shared" si="209"/>
        <v>2607</v>
      </c>
      <c r="B2613" s="20">
        <f t="shared" si="205"/>
        <v>0</v>
      </c>
      <c r="C2613" s="21">
        <f t="shared" si="206"/>
        <v>0</v>
      </c>
      <c r="D2613" s="22" t="e">
        <f>VLOOKUP($A2613, TAB_JUROS_U[[Q_DIAS_U_PARC_TIR]:[V_FUT_U_JURS CENARIO]], D$5, FALSE)</f>
        <v>#N/A</v>
      </c>
      <c r="E2613" s="22" t="e">
        <f>VLOOKUP($A2613,TAB_CORRECAO_U[[Q_DIAS_U_PARC_TIR]:[V_FUT_U_CORC-02]],E$5, FALSE)</f>
        <v>#N/A</v>
      </c>
      <c r="F2613" s="22" t="e">
        <f>VLOOKUP($A2613,TAB_AMORTIZACAO_U[[Q_DIAS_U_PARC_TIR]:[V_FUT_U_PCPL-02]], F$5, FALSE)</f>
        <v>#N/A</v>
      </c>
      <c r="H2613" s="20">
        <f t="shared" si="207"/>
        <v>0</v>
      </c>
      <c r="I2613" s="21">
        <f t="shared" si="208"/>
        <v>0</v>
      </c>
      <c r="J2613" s="22" t="e">
        <f>VLOOKUP($A2613, TAB_JUROS_C[[DIAS_CORRIDOS]:[V_FUT_UTEIS]], J$5, FALSE)</f>
        <v>#N/A</v>
      </c>
      <c r="K2613" s="22" t="e">
        <f>VLOOKUP($A2613, TAB_CORRECAO_C[[DIAS_CORRIDOS]:[V_FUT_UTEIS]],K$5, FALSE)</f>
        <v>#N/A</v>
      </c>
      <c r="L2613" s="22" t="e">
        <f>VLOOKUP($A2613, TAB_AMORTIZACAO_C[[DIAS_CORRIDOS]:[V_FUT_UTEIS]], L$5, FALSE)</f>
        <v>#N/A</v>
      </c>
    </row>
    <row r="2614" spans="1:12" hidden="1">
      <c r="A2614" s="19">
        <f t="shared" si="209"/>
        <v>2608</v>
      </c>
      <c r="B2614" s="20">
        <f t="shared" si="205"/>
        <v>0</v>
      </c>
      <c r="C2614" s="21">
        <f t="shared" si="206"/>
        <v>0</v>
      </c>
      <c r="D2614" s="22" t="e">
        <f>VLOOKUP($A2614, TAB_JUROS_U[[Q_DIAS_U_PARC_TIR]:[V_FUT_U_JURS CENARIO]], D$5, FALSE)</f>
        <v>#N/A</v>
      </c>
      <c r="E2614" s="22" t="e">
        <f>VLOOKUP($A2614,TAB_CORRECAO_U[[Q_DIAS_U_PARC_TIR]:[V_FUT_U_CORC-02]],E$5, FALSE)</f>
        <v>#N/A</v>
      </c>
      <c r="F2614" s="22" t="e">
        <f>VLOOKUP($A2614,TAB_AMORTIZACAO_U[[Q_DIAS_U_PARC_TIR]:[V_FUT_U_PCPL-02]], F$5, FALSE)</f>
        <v>#N/A</v>
      </c>
      <c r="H2614" s="20">
        <f t="shared" si="207"/>
        <v>0</v>
      </c>
      <c r="I2614" s="21">
        <f t="shared" si="208"/>
        <v>0</v>
      </c>
      <c r="J2614" s="22" t="e">
        <f>VLOOKUP($A2614, TAB_JUROS_C[[DIAS_CORRIDOS]:[V_FUT_UTEIS]], J$5, FALSE)</f>
        <v>#N/A</v>
      </c>
      <c r="K2614" s="22" t="e">
        <f>VLOOKUP($A2614, TAB_CORRECAO_C[[DIAS_CORRIDOS]:[V_FUT_UTEIS]],K$5, FALSE)</f>
        <v>#N/A</v>
      </c>
      <c r="L2614" s="22" t="e">
        <f>VLOOKUP($A2614, TAB_AMORTIZACAO_C[[DIAS_CORRIDOS]:[V_FUT_UTEIS]], L$5, FALSE)</f>
        <v>#N/A</v>
      </c>
    </row>
    <row r="2615" spans="1:12" hidden="1">
      <c r="A2615" s="19">
        <f t="shared" si="209"/>
        <v>2609</v>
      </c>
      <c r="B2615" s="20">
        <f t="shared" si="205"/>
        <v>0</v>
      </c>
      <c r="C2615" s="21">
        <f t="shared" si="206"/>
        <v>0</v>
      </c>
      <c r="D2615" s="22" t="e">
        <f>VLOOKUP($A2615, TAB_JUROS_U[[Q_DIAS_U_PARC_TIR]:[V_FUT_U_JURS CENARIO]], D$5, FALSE)</f>
        <v>#N/A</v>
      </c>
      <c r="E2615" s="22" t="e">
        <f>VLOOKUP($A2615,TAB_CORRECAO_U[[Q_DIAS_U_PARC_TIR]:[V_FUT_U_CORC-02]],E$5, FALSE)</f>
        <v>#N/A</v>
      </c>
      <c r="F2615" s="22" t="e">
        <f>VLOOKUP($A2615,TAB_AMORTIZACAO_U[[Q_DIAS_U_PARC_TIR]:[V_FUT_U_PCPL-02]], F$5, FALSE)</f>
        <v>#N/A</v>
      </c>
      <c r="H2615" s="20">
        <f t="shared" si="207"/>
        <v>0</v>
      </c>
      <c r="I2615" s="21">
        <f t="shared" si="208"/>
        <v>0</v>
      </c>
      <c r="J2615" s="22" t="e">
        <f>VLOOKUP($A2615, TAB_JUROS_C[[DIAS_CORRIDOS]:[V_FUT_UTEIS]], J$5, FALSE)</f>
        <v>#N/A</v>
      </c>
      <c r="K2615" s="22" t="e">
        <f>VLOOKUP($A2615, TAB_CORRECAO_C[[DIAS_CORRIDOS]:[V_FUT_UTEIS]],K$5, FALSE)</f>
        <v>#N/A</v>
      </c>
      <c r="L2615" s="22" t="e">
        <f>VLOOKUP($A2615, TAB_AMORTIZACAO_C[[DIAS_CORRIDOS]:[V_FUT_UTEIS]], L$5, FALSE)</f>
        <v>#N/A</v>
      </c>
    </row>
    <row r="2616" spans="1:12" hidden="1">
      <c r="A2616" s="19">
        <f t="shared" si="209"/>
        <v>2610</v>
      </c>
      <c r="B2616" s="20">
        <f t="shared" si="205"/>
        <v>0</v>
      </c>
      <c r="C2616" s="21">
        <f t="shared" si="206"/>
        <v>0</v>
      </c>
      <c r="D2616" s="22" t="e">
        <f>VLOOKUP($A2616, TAB_JUROS_U[[Q_DIAS_U_PARC_TIR]:[V_FUT_U_JURS CENARIO]], D$5, FALSE)</f>
        <v>#N/A</v>
      </c>
      <c r="E2616" s="22" t="e">
        <f>VLOOKUP($A2616,TAB_CORRECAO_U[[Q_DIAS_U_PARC_TIR]:[V_FUT_U_CORC-02]],E$5, FALSE)</f>
        <v>#N/A</v>
      </c>
      <c r="F2616" s="22" t="e">
        <f>VLOOKUP($A2616,TAB_AMORTIZACAO_U[[Q_DIAS_U_PARC_TIR]:[V_FUT_U_PCPL-02]], F$5, FALSE)</f>
        <v>#N/A</v>
      </c>
      <c r="H2616" s="20">
        <f t="shared" si="207"/>
        <v>0</v>
      </c>
      <c r="I2616" s="21">
        <f t="shared" si="208"/>
        <v>0</v>
      </c>
      <c r="J2616" s="22" t="e">
        <f>VLOOKUP($A2616, TAB_JUROS_C[[DIAS_CORRIDOS]:[V_FUT_UTEIS]], J$5, FALSE)</f>
        <v>#N/A</v>
      </c>
      <c r="K2616" s="22" t="e">
        <f>VLOOKUP($A2616, TAB_CORRECAO_C[[DIAS_CORRIDOS]:[V_FUT_UTEIS]],K$5, FALSE)</f>
        <v>#N/A</v>
      </c>
      <c r="L2616" s="22" t="e">
        <f>VLOOKUP($A2616, TAB_AMORTIZACAO_C[[DIAS_CORRIDOS]:[V_FUT_UTEIS]], L$5, FALSE)</f>
        <v>#N/A</v>
      </c>
    </row>
    <row r="2617" spans="1:12" hidden="1">
      <c r="A2617" s="19">
        <f t="shared" si="209"/>
        <v>2611</v>
      </c>
      <c r="B2617" s="20">
        <f t="shared" si="205"/>
        <v>0</v>
      </c>
      <c r="C2617" s="21">
        <f t="shared" si="206"/>
        <v>0</v>
      </c>
      <c r="D2617" s="22" t="e">
        <f>VLOOKUP($A2617, TAB_JUROS_U[[Q_DIAS_U_PARC_TIR]:[V_FUT_U_JURS CENARIO]], D$5, FALSE)</f>
        <v>#N/A</v>
      </c>
      <c r="E2617" s="22" t="e">
        <f>VLOOKUP($A2617,TAB_CORRECAO_U[[Q_DIAS_U_PARC_TIR]:[V_FUT_U_CORC-02]],E$5, FALSE)</f>
        <v>#N/A</v>
      </c>
      <c r="F2617" s="22" t="e">
        <f>VLOOKUP($A2617,TAB_AMORTIZACAO_U[[Q_DIAS_U_PARC_TIR]:[V_FUT_U_PCPL-02]], F$5, FALSE)</f>
        <v>#N/A</v>
      </c>
      <c r="H2617" s="20">
        <f t="shared" si="207"/>
        <v>0</v>
      </c>
      <c r="I2617" s="21">
        <f t="shared" si="208"/>
        <v>0</v>
      </c>
      <c r="J2617" s="22" t="e">
        <f>VLOOKUP($A2617, TAB_JUROS_C[[DIAS_CORRIDOS]:[V_FUT_UTEIS]], J$5, FALSE)</f>
        <v>#N/A</v>
      </c>
      <c r="K2617" s="22" t="e">
        <f>VLOOKUP($A2617, TAB_CORRECAO_C[[DIAS_CORRIDOS]:[V_FUT_UTEIS]],K$5, FALSE)</f>
        <v>#N/A</v>
      </c>
      <c r="L2617" s="22" t="e">
        <f>VLOOKUP($A2617, TAB_AMORTIZACAO_C[[DIAS_CORRIDOS]:[V_FUT_UTEIS]], L$5, FALSE)</f>
        <v>#N/A</v>
      </c>
    </row>
    <row r="2618" spans="1:12" hidden="1">
      <c r="A2618" s="19">
        <f t="shared" si="209"/>
        <v>2612</v>
      </c>
      <c r="B2618" s="20">
        <f t="shared" si="205"/>
        <v>0</v>
      </c>
      <c r="C2618" s="21">
        <f t="shared" si="206"/>
        <v>0</v>
      </c>
      <c r="D2618" s="22" t="e">
        <f>VLOOKUP($A2618, TAB_JUROS_U[[Q_DIAS_U_PARC_TIR]:[V_FUT_U_JURS CENARIO]], D$5, FALSE)</f>
        <v>#N/A</v>
      </c>
      <c r="E2618" s="22" t="e">
        <f>VLOOKUP($A2618,TAB_CORRECAO_U[[Q_DIAS_U_PARC_TIR]:[V_FUT_U_CORC-02]],E$5, FALSE)</f>
        <v>#N/A</v>
      </c>
      <c r="F2618" s="22" t="e">
        <f>VLOOKUP($A2618,TAB_AMORTIZACAO_U[[Q_DIAS_U_PARC_TIR]:[V_FUT_U_PCPL-02]], F$5, FALSE)</f>
        <v>#N/A</v>
      </c>
      <c r="H2618" s="20">
        <f t="shared" si="207"/>
        <v>0</v>
      </c>
      <c r="I2618" s="21">
        <f t="shared" si="208"/>
        <v>0</v>
      </c>
      <c r="J2618" s="22" t="e">
        <f>VLOOKUP($A2618, TAB_JUROS_C[[DIAS_CORRIDOS]:[V_FUT_UTEIS]], J$5, FALSE)</f>
        <v>#N/A</v>
      </c>
      <c r="K2618" s="22" t="e">
        <f>VLOOKUP($A2618, TAB_CORRECAO_C[[DIAS_CORRIDOS]:[V_FUT_UTEIS]],K$5, FALSE)</f>
        <v>#N/A</v>
      </c>
      <c r="L2618" s="22" t="e">
        <f>VLOOKUP($A2618, TAB_AMORTIZACAO_C[[DIAS_CORRIDOS]:[V_FUT_UTEIS]], L$5, FALSE)</f>
        <v>#N/A</v>
      </c>
    </row>
    <row r="2619" spans="1:12" hidden="1">
      <c r="A2619" s="19">
        <f t="shared" si="209"/>
        <v>2613</v>
      </c>
      <c r="B2619" s="20">
        <f t="shared" si="205"/>
        <v>0</v>
      </c>
      <c r="C2619" s="21">
        <f t="shared" si="206"/>
        <v>0</v>
      </c>
      <c r="D2619" s="22" t="e">
        <f>VLOOKUP($A2619, TAB_JUROS_U[[Q_DIAS_U_PARC_TIR]:[V_FUT_U_JURS CENARIO]], D$5, FALSE)</f>
        <v>#N/A</v>
      </c>
      <c r="E2619" s="22" t="e">
        <f>VLOOKUP($A2619,TAB_CORRECAO_U[[Q_DIAS_U_PARC_TIR]:[V_FUT_U_CORC-02]],E$5, FALSE)</f>
        <v>#N/A</v>
      </c>
      <c r="F2619" s="22" t="e">
        <f>VLOOKUP($A2619,TAB_AMORTIZACAO_U[[Q_DIAS_U_PARC_TIR]:[V_FUT_U_PCPL-02]], F$5, FALSE)</f>
        <v>#N/A</v>
      </c>
      <c r="H2619" s="20">
        <f t="shared" si="207"/>
        <v>0</v>
      </c>
      <c r="I2619" s="21">
        <f t="shared" si="208"/>
        <v>0</v>
      </c>
      <c r="J2619" s="22" t="e">
        <f>VLOOKUP($A2619, TAB_JUROS_C[[DIAS_CORRIDOS]:[V_FUT_UTEIS]], J$5, FALSE)</f>
        <v>#N/A</v>
      </c>
      <c r="K2619" s="22" t="e">
        <f>VLOOKUP($A2619, TAB_CORRECAO_C[[DIAS_CORRIDOS]:[V_FUT_UTEIS]],K$5, FALSE)</f>
        <v>#N/A</v>
      </c>
      <c r="L2619" s="22" t="e">
        <f>VLOOKUP($A2619, TAB_AMORTIZACAO_C[[DIAS_CORRIDOS]:[V_FUT_UTEIS]], L$5, FALSE)</f>
        <v>#N/A</v>
      </c>
    </row>
    <row r="2620" spans="1:12" hidden="1">
      <c r="A2620" s="19">
        <f t="shared" si="209"/>
        <v>2614</v>
      </c>
      <c r="B2620" s="20">
        <f t="shared" si="205"/>
        <v>0</v>
      </c>
      <c r="C2620" s="21">
        <f t="shared" si="206"/>
        <v>0</v>
      </c>
      <c r="D2620" s="22" t="e">
        <f>VLOOKUP($A2620, TAB_JUROS_U[[Q_DIAS_U_PARC_TIR]:[V_FUT_U_JURS CENARIO]], D$5, FALSE)</f>
        <v>#N/A</v>
      </c>
      <c r="E2620" s="22" t="e">
        <f>VLOOKUP($A2620,TAB_CORRECAO_U[[Q_DIAS_U_PARC_TIR]:[V_FUT_U_CORC-02]],E$5, FALSE)</f>
        <v>#N/A</v>
      </c>
      <c r="F2620" s="22" t="e">
        <f>VLOOKUP($A2620,TAB_AMORTIZACAO_U[[Q_DIAS_U_PARC_TIR]:[V_FUT_U_PCPL-02]], F$5, FALSE)</f>
        <v>#N/A</v>
      </c>
      <c r="H2620" s="20">
        <f t="shared" si="207"/>
        <v>0</v>
      </c>
      <c r="I2620" s="21">
        <f t="shared" si="208"/>
        <v>0</v>
      </c>
      <c r="J2620" s="22" t="e">
        <f>VLOOKUP($A2620, TAB_JUROS_C[[DIAS_CORRIDOS]:[V_FUT_UTEIS]], J$5, FALSE)</f>
        <v>#N/A</v>
      </c>
      <c r="K2620" s="22" t="e">
        <f>VLOOKUP($A2620, TAB_CORRECAO_C[[DIAS_CORRIDOS]:[V_FUT_UTEIS]],K$5, FALSE)</f>
        <v>#N/A</v>
      </c>
      <c r="L2620" s="22" t="e">
        <f>VLOOKUP($A2620, TAB_AMORTIZACAO_C[[DIAS_CORRIDOS]:[V_FUT_UTEIS]], L$5, FALSE)</f>
        <v>#N/A</v>
      </c>
    </row>
    <row r="2621" spans="1:12" hidden="1">
      <c r="A2621" s="19">
        <f t="shared" si="209"/>
        <v>2615</v>
      </c>
      <c r="B2621" s="20">
        <f t="shared" si="205"/>
        <v>0</v>
      </c>
      <c r="C2621" s="21">
        <f t="shared" si="206"/>
        <v>0</v>
      </c>
      <c r="D2621" s="22" t="e">
        <f>VLOOKUP($A2621, TAB_JUROS_U[[Q_DIAS_U_PARC_TIR]:[V_FUT_U_JURS CENARIO]], D$5, FALSE)</f>
        <v>#N/A</v>
      </c>
      <c r="E2621" s="22" t="e">
        <f>VLOOKUP($A2621,TAB_CORRECAO_U[[Q_DIAS_U_PARC_TIR]:[V_FUT_U_CORC-02]],E$5, FALSE)</f>
        <v>#N/A</v>
      </c>
      <c r="F2621" s="22" t="e">
        <f>VLOOKUP($A2621,TAB_AMORTIZACAO_U[[Q_DIAS_U_PARC_TIR]:[V_FUT_U_PCPL-02]], F$5, FALSE)</f>
        <v>#N/A</v>
      </c>
      <c r="H2621" s="20">
        <f t="shared" si="207"/>
        <v>0</v>
      </c>
      <c r="I2621" s="21">
        <f t="shared" si="208"/>
        <v>0</v>
      </c>
      <c r="J2621" s="22" t="e">
        <f>VLOOKUP($A2621, TAB_JUROS_C[[DIAS_CORRIDOS]:[V_FUT_UTEIS]], J$5, FALSE)</f>
        <v>#N/A</v>
      </c>
      <c r="K2621" s="22" t="e">
        <f>VLOOKUP($A2621, TAB_CORRECAO_C[[DIAS_CORRIDOS]:[V_FUT_UTEIS]],K$5, FALSE)</f>
        <v>#N/A</v>
      </c>
      <c r="L2621" s="22" t="e">
        <f>VLOOKUP($A2621, TAB_AMORTIZACAO_C[[DIAS_CORRIDOS]:[V_FUT_UTEIS]], L$5, FALSE)</f>
        <v>#N/A</v>
      </c>
    </row>
    <row r="2622" spans="1:12" hidden="1">
      <c r="A2622" s="19">
        <f t="shared" si="209"/>
        <v>2616</v>
      </c>
      <c r="B2622" s="20">
        <f t="shared" si="205"/>
        <v>0</v>
      </c>
      <c r="C2622" s="21">
        <f t="shared" si="206"/>
        <v>0</v>
      </c>
      <c r="D2622" s="22" t="e">
        <f>VLOOKUP($A2622, TAB_JUROS_U[[Q_DIAS_U_PARC_TIR]:[V_FUT_U_JURS CENARIO]], D$5, FALSE)</f>
        <v>#N/A</v>
      </c>
      <c r="E2622" s="22" t="e">
        <f>VLOOKUP($A2622,TAB_CORRECAO_U[[Q_DIAS_U_PARC_TIR]:[V_FUT_U_CORC-02]],E$5, FALSE)</f>
        <v>#N/A</v>
      </c>
      <c r="F2622" s="22" t="e">
        <f>VLOOKUP($A2622,TAB_AMORTIZACAO_U[[Q_DIAS_U_PARC_TIR]:[V_FUT_U_PCPL-02]], F$5, FALSE)</f>
        <v>#N/A</v>
      </c>
      <c r="H2622" s="20">
        <f t="shared" si="207"/>
        <v>0</v>
      </c>
      <c r="I2622" s="21">
        <f t="shared" si="208"/>
        <v>0</v>
      </c>
      <c r="J2622" s="22" t="e">
        <f>VLOOKUP($A2622, TAB_JUROS_C[[DIAS_CORRIDOS]:[V_FUT_UTEIS]], J$5, FALSE)</f>
        <v>#N/A</v>
      </c>
      <c r="K2622" s="22" t="e">
        <f>VLOOKUP($A2622, TAB_CORRECAO_C[[DIAS_CORRIDOS]:[V_FUT_UTEIS]],K$5, FALSE)</f>
        <v>#N/A</v>
      </c>
      <c r="L2622" s="22" t="e">
        <f>VLOOKUP($A2622, TAB_AMORTIZACAO_C[[DIAS_CORRIDOS]:[V_FUT_UTEIS]], L$5, FALSE)</f>
        <v>#N/A</v>
      </c>
    </row>
    <row r="2623" spans="1:12" hidden="1">
      <c r="A2623" s="19">
        <f t="shared" si="209"/>
        <v>2617</v>
      </c>
      <c r="B2623" s="20">
        <f t="shared" si="205"/>
        <v>0</v>
      </c>
      <c r="C2623" s="21">
        <f t="shared" si="206"/>
        <v>0</v>
      </c>
      <c r="D2623" s="22" t="e">
        <f>VLOOKUP($A2623, TAB_JUROS_U[[Q_DIAS_U_PARC_TIR]:[V_FUT_U_JURS CENARIO]], D$5, FALSE)</f>
        <v>#N/A</v>
      </c>
      <c r="E2623" s="22" t="e">
        <f>VLOOKUP($A2623,TAB_CORRECAO_U[[Q_DIAS_U_PARC_TIR]:[V_FUT_U_CORC-02]],E$5, FALSE)</f>
        <v>#N/A</v>
      </c>
      <c r="F2623" s="22" t="e">
        <f>VLOOKUP($A2623,TAB_AMORTIZACAO_U[[Q_DIAS_U_PARC_TIR]:[V_FUT_U_PCPL-02]], F$5, FALSE)</f>
        <v>#N/A</v>
      </c>
      <c r="H2623" s="20">
        <f t="shared" si="207"/>
        <v>0</v>
      </c>
      <c r="I2623" s="21">
        <f t="shared" si="208"/>
        <v>0</v>
      </c>
      <c r="J2623" s="22" t="e">
        <f>VLOOKUP($A2623, TAB_JUROS_C[[DIAS_CORRIDOS]:[V_FUT_UTEIS]], J$5, FALSE)</f>
        <v>#N/A</v>
      </c>
      <c r="K2623" s="22" t="e">
        <f>VLOOKUP($A2623, TAB_CORRECAO_C[[DIAS_CORRIDOS]:[V_FUT_UTEIS]],K$5, FALSE)</f>
        <v>#N/A</v>
      </c>
      <c r="L2623" s="22" t="e">
        <f>VLOOKUP($A2623, TAB_AMORTIZACAO_C[[DIAS_CORRIDOS]:[V_FUT_UTEIS]], L$5, FALSE)</f>
        <v>#N/A</v>
      </c>
    </row>
    <row r="2624" spans="1:12" hidden="1">
      <c r="A2624" s="19">
        <f t="shared" si="209"/>
        <v>2618</v>
      </c>
      <c r="B2624" s="20">
        <f t="shared" si="205"/>
        <v>0</v>
      </c>
      <c r="C2624" s="21">
        <f t="shared" si="206"/>
        <v>0</v>
      </c>
      <c r="D2624" s="22" t="e">
        <f>VLOOKUP($A2624, TAB_JUROS_U[[Q_DIAS_U_PARC_TIR]:[V_FUT_U_JURS CENARIO]], D$5, FALSE)</f>
        <v>#N/A</v>
      </c>
      <c r="E2624" s="22" t="e">
        <f>VLOOKUP($A2624,TAB_CORRECAO_U[[Q_DIAS_U_PARC_TIR]:[V_FUT_U_CORC-02]],E$5, FALSE)</f>
        <v>#N/A</v>
      </c>
      <c r="F2624" s="22" t="e">
        <f>VLOOKUP($A2624,TAB_AMORTIZACAO_U[[Q_DIAS_U_PARC_TIR]:[V_FUT_U_PCPL-02]], F$5, FALSE)</f>
        <v>#N/A</v>
      </c>
      <c r="H2624" s="20">
        <f t="shared" si="207"/>
        <v>0</v>
      </c>
      <c r="I2624" s="21">
        <f t="shared" si="208"/>
        <v>0</v>
      </c>
      <c r="J2624" s="22" t="e">
        <f>VLOOKUP($A2624, TAB_JUROS_C[[DIAS_CORRIDOS]:[V_FUT_UTEIS]], J$5, FALSE)</f>
        <v>#N/A</v>
      </c>
      <c r="K2624" s="22" t="e">
        <f>VLOOKUP($A2624, TAB_CORRECAO_C[[DIAS_CORRIDOS]:[V_FUT_UTEIS]],K$5, FALSE)</f>
        <v>#N/A</v>
      </c>
      <c r="L2624" s="22" t="e">
        <f>VLOOKUP($A2624, TAB_AMORTIZACAO_C[[DIAS_CORRIDOS]:[V_FUT_UTEIS]], L$5, FALSE)</f>
        <v>#N/A</v>
      </c>
    </row>
    <row r="2625" spans="1:12" hidden="1">
      <c r="A2625" s="19">
        <f t="shared" si="209"/>
        <v>2619</v>
      </c>
      <c r="B2625" s="20">
        <f t="shared" si="205"/>
        <v>0</v>
      </c>
      <c r="C2625" s="21">
        <f t="shared" si="206"/>
        <v>0</v>
      </c>
      <c r="D2625" s="22" t="e">
        <f>VLOOKUP($A2625, TAB_JUROS_U[[Q_DIAS_U_PARC_TIR]:[V_FUT_U_JURS CENARIO]], D$5, FALSE)</f>
        <v>#N/A</v>
      </c>
      <c r="E2625" s="22" t="e">
        <f>VLOOKUP($A2625,TAB_CORRECAO_U[[Q_DIAS_U_PARC_TIR]:[V_FUT_U_CORC-02]],E$5, FALSE)</f>
        <v>#N/A</v>
      </c>
      <c r="F2625" s="22" t="e">
        <f>VLOOKUP($A2625,TAB_AMORTIZACAO_U[[Q_DIAS_U_PARC_TIR]:[V_FUT_U_PCPL-02]], F$5, FALSE)</f>
        <v>#N/A</v>
      </c>
      <c r="H2625" s="20">
        <f t="shared" si="207"/>
        <v>0</v>
      </c>
      <c r="I2625" s="21">
        <f t="shared" si="208"/>
        <v>0</v>
      </c>
      <c r="J2625" s="22" t="e">
        <f>VLOOKUP($A2625, TAB_JUROS_C[[DIAS_CORRIDOS]:[V_FUT_UTEIS]], J$5, FALSE)</f>
        <v>#N/A</v>
      </c>
      <c r="K2625" s="22" t="e">
        <f>VLOOKUP($A2625, TAB_CORRECAO_C[[DIAS_CORRIDOS]:[V_FUT_UTEIS]],K$5, FALSE)</f>
        <v>#N/A</v>
      </c>
      <c r="L2625" s="22" t="e">
        <f>VLOOKUP($A2625, TAB_AMORTIZACAO_C[[DIAS_CORRIDOS]:[V_FUT_UTEIS]], L$5, FALSE)</f>
        <v>#N/A</v>
      </c>
    </row>
    <row r="2626" spans="1:12" hidden="1">
      <c r="A2626" s="19">
        <f t="shared" si="209"/>
        <v>2620</v>
      </c>
      <c r="B2626" s="20">
        <f t="shared" si="205"/>
        <v>0</v>
      </c>
      <c r="C2626" s="21">
        <f t="shared" si="206"/>
        <v>0</v>
      </c>
      <c r="D2626" s="22" t="e">
        <f>VLOOKUP($A2626, TAB_JUROS_U[[Q_DIAS_U_PARC_TIR]:[V_FUT_U_JURS CENARIO]], D$5, FALSE)</f>
        <v>#N/A</v>
      </c>
      <c r="E2626" s="22" t="e">
        <f>VLOOKUP($A2626,TAB_CORRECAO_U[[Q_DIAS_U_PARC_TIR]:[V_FUT_U_CORC-02]],E$5, FALSE)</f>
        <v>#N/A</v>
      </c>
      <c r="F2626" s="22" t="e">
        <f>VLOOKUP($A2626,TAB_AMORTIZACAO_U[[Q_DIAS_U_PARC_TIR]:[V_FUT_U_PCPL-02]], F$5, FALSE)</f>
        <v>#N/A</v>
      </c>
      <c r="H2626" s="20">
        <f t="shared" si="207"/>
        <v>0</v>
      </c>
      <c r="I2626" s="21">
        <f t="shared" si="208"/>
        <v>0</v>
      </c>
      <c r="J2626" s="22" t="e">
        <f>VLOOKUP($A2626, TAB_JUROS_C[[DIAS_CORRIDOS]:[V_FUT_UTEIS]], J$5, FALSE)</f>
        <v>#N/A</v>
      </c>
      <c r="K2626" s="22" t="e">
        <f>VLOOKUP($A2626, TAB_CORRECAO_C[[DIAS_CORRIDOS]:[V_FUT_UTEIS]],K$5, FALSE)</f>
        <v>#N/A</v>
      </c>
      <c r="L2626" s="22" t="e">
        <f>VLOOKUP($A2626, TAB_AMORTIZACAO_C[[DIAS_CORRIDOS]:[V_FUT_UTEIS]], L$5, FALSE)</f>
        <v>#N/A</v>
      </c>
    </row>
    <row r="2627" spans="1:12" hidden="1">
      <c r="A2627" s="19">
        <f t="shared" si="209"/>
        <v>2621</v>
      </c>
      <c r="B2627" s="20">
        <f t="shared" si="205"/>
        <v>0</v>
      </c>
      <c r="C2627" s="21">
        <f t="shared" si="206"/>
        <v>0</v>
      </c>
      <c r="D2627" s="22" t="e">
        <f>VLOOKUP($A2627, TAB_JUROS_U[[Q_DIAS_U_PARC_TIR]:[V_FUT_U_JURS CENARIO]], D$5, FALSE)</f>
        <v>#N/A</v>
      </c>
      <c r="E2627" s="22" t="e">
        <f>VLOOKUP($A2627,TAB_CORRECAO_U[[Q_DIAS_U_PARC_TIR]:[V_FUT_U_CORC-02]],E$5, FALSE)</f>
        <v>#N/A</v>
      </c>
      <c r="F2627" s="22" t="e">
        <f>VLOOKUP($A2627,TAB_AMORTIZACAO_U[[Q_DIAS_U_PARC_TIR]:[V_FUT_U_PCPL-02]], F$5, FALSE)</f>
        <v>#N/A</v>
      </c>
      <c r="H2627" s="20">
        <f t="shared" si="207"/>
        <v>0</v>
      </c>
      <c r="I2627" s="21">
        <f t="shared" si="208"/>
        <v>0</v>
      </c>
      <c r="J2627" s="22" t="e">
        <f>VLOOKUP($A2627, TAB_JUROS_C[[DIAS_CORRIDOS]:[V_FUT_UTEIS]], J$5, FALSE)</f>
        <v>#N/A</v>
      </c>
      <c r="K2627" s="22" t="e">
        <f>VLOOKUP($A2627, TAB_CORRECAO_C[[DIAS_CORRIDOS]:[V_FUT_UTEIS]],K$5, FALSE)</f>
        <v>#N/A</v>
      </c>
      <c r="L2627" s="22" t="e">
        <f>VLOOKUP($A2627, TAB_AMORTIZACAO_C[[DIAS_CORRIDOS]:[V_FUT_UTEIS]], L$5, FALSE)</f>
        <v>#N/A</v>
      </c>
    </row>
    <row r="2628" spans="1:12" hidden="1">
      <c r="A2628" s="19">
        <f t="shared" si="209"/>
        <v>2622</v>
      </c>
      <c r="B2628" s="20">
        <f t="shared" si="205"/>
        <v>0</v>
      </c>
      <c r="C2628" s="21">
        <f t="shared" si="206"/>
        <v>0</v>
      </c>
      <c r="D2628" s="22" t="e">
        <f>VLOOKUP($A2628, TAB_JUROS_U[[Q_DIAS_U_PARC_TIR]:[V_FUT_U_JURS CENARIO]], D$5, FALSE)</f>
        <v>#N/A</v>
      </c>
      <c r="E2628" s="22" t="e">
        <f>VLOOKUP($A2628,TAB_CORRECAO_U[[Q_DIAS_U_PARC_TIR]:[V_FUT_U_CORC-02]],E$5, FALSE)</f>
        <v>#N/A</v>
      </c>
      <c r="F2628" s="22" t="e">
        <f>VLOOKUP($A2628,TAB_AMORTIZACAO_U[[Q_DIAS_U_PARC_TIR]:[V_FUT_U_PCPL-02]], F$5, FALSE)</f>
        <v>#N/A</v>
      </c>
      <c r="H2628" s="20">
        <f t="shared" si="207"/>
        <v>0</v>
      </c>
      <c r="I2628" s="21">
        <f t="shared" si="208"/>
        <v>0</v>
      </c>
      <c r="J2628" s="22" t="e">
        <f>VLOOKUP($A2628, TAB_JUROS_C[[DIAS_CORRIDOS]:[V_FUT_UTEIS]], J$5, FALSE)</f>
        <v>#N/A</v>
      </c>
      <c r="K2628" s="22" t="e">
        <f>VLOOKUP($A2628, TAB_CORRECAO_C[[DIAS_CORRIDOS]:[V_FUT_UTEIS]],K$5, FALSE)</f>
        <v>#N/A</v>
      </c>
      <c r="L2628" s="22" t="e">
        <f>VLOOKUP($A2628, TAB_AMORTIZACAO_C[[DIAS_CORRIDOS]:[V_FUT_UTEIS]], L$5, FALSE)</f>
        <v>#N/A</v>
      </c>
    </row>
    <row r="2629" spans="1:12" hidden="1">
      <c r="A2629" s="19">
        <f t="shared" si="209"/>
        <v>2623</v>
      </c>
      <c r="B2629" s="20">
        <f t="shared" si="205"/>
        <v>0</v>
      </c>
      <c r="C2629" s="21">
        <f t="shared" si="206"/>
        <v>0</v>
      </c>
      <c r="D2629" s="22" t="e">
        <f>VLOOKUP($A2629, TAB_JUROS_U[[Q_DIAS_U_PARC_TIR]:[V_FUT_U_JURS CENARIO]], D$5, FALSE)</f>
        <v>#N/A</v>
      </c>
      <c r="E2629" s="22" t="e">
        <f>VLOOKUP($A2629,TAB_CORRECAO_U[[Q_DIAS_U_PARC_TIR]:[V_FUT_U_CORC-02]],E$5, FALSE)</f>
        <v>#N/A</v>
      </c>
      <c r="F2629" s="22" t="e">
        <f>VLOOKUP($A2629,TAB_AMORTIZACAO_U[[Q_DIAS_U_PARC_TIR]:[V_FUT_U_PCPL-02]], F$5, FALSE)</f>
        <v>#N/A</v>
      </c>
      <c r="H2629" s="20">
        <f t="shared" si="207"/>
        <v>0</v>
      </c>
      <c r="I2629" s="21">
        <f t="shared" si="208"/>
        <v>0</v>
      </c>
      <c r="J2629" s="22" t="e">
        <f>VLOOKUP($A2629, TAB_JUROS_C[[DIAS_CORRIDOS]:[V_FUT_UTEIS]], J$5, FALSE)</f>
        <v>#N/A</v>
      </c>
      <c r="K2629" s="22" t="e">
        <f>VLOOKUP($A2629, TAB_CORRECAO_C[[DIAS_CORRIDOS]:[V_FUT_UTEIS]],K$5, FALSE)</f>
        <v>#N/A</v>
      </c>
      <c r="L2629" s="22" t="e">
        <f>VLOOKUP($A2629, TAB_AMORTIZACAO_C[[DIAS_CORRIDOS]:[V_FUT_UTEIS]], L$5, FALSE)</f>
        <v>#N/A</v>
      </c>
    </row>
    <row r="2630" spans="1:12" hidden="1">
      <c r="A2630" s="19">
        <f t="shared" si="209"/>
        <v>2624</v>
      </c>
      <c r="B2630" s="20">
        <f t="shared" si="205"/>
        <v>0</v>
      </c>
      <c r="C2630" s="21">
        <f t="shared" si="206"/>
        <v>0</v>
      </c>
      <c r="D2630" s="22" t="e">
        <f>VLOOKUP($A2630, TAB_JUROS_U[[Q_DIAS_U_PARC_TIR]:[V_FUT_U_JURS CENARIO]], D$5, FALSE)</f>
        <v>#N/A</v>
      </c>
      <c r="E2630" s="22" t="e">
        <f>VLOOKUP($A2630,TAB_CORRECAO_U[[Q_DIAS_U_PARC_TIR]:[V_FUT_U_CORC-02]],E$5, FALSE)</f>
        <v>#N/A</v>
      </c>
      <c r="F2630" s="22" t="e">
        <f>VLOOKUP($A2630,TAB_AMORTIZACAO_U[[Q_DIAS_U_PARC_TIR]:[V_FUT_U_PCPL-02]], F$5, FALSE)</f>
        <v>#N/A</v>
      </c>
      <c r="H2630" s="20">
        <f t="shared" si="207"/>
        <v>0</v>
      </c>
      <c r="I2630" s="21">
        <f t="shared" si="208"/>
        <v>0</v>
      </c>
      <c r="J2630" s="22" t="e">
        <f>VLOOKUP($A2630, TAB_JUROS_C[[DIAS_CORRIDOS]:[V_FUT_UTEIS]], J$5, FALSE)</f>
        <v>#N/A</v>
      </c>
      <c r="K2630" s="22" t="e">
        <f>VLOOKUP($A2630, TAB_CORRECAO_C[[DIAS_CORRIDOS]:[V_FUT_UTEIS]],K$5, FALSE)</f>
        <v>#N/A</v>
      </c>
      <c r="L2630" s="22" t="e">
        <f>VLOOKUP($A2630, TAB_AMORTIZACAO_C[[DIAS_CORRIDOS]:[V_FUT_UTEIS]], L$5, FALSE)</f>
        <v>#N/A</v>
      </c>
    </row>
    <row r="2631" spans="1:12" hidden="1">
      <c r="A2631" s="19">
        <f t="shared" si="209"/>
        <v>2625</v>
      </c>
      <c r="B2631" s="20">
        <f t="shared" si="205"/>
        <v>0</v>
      </c>
      <c r="C2631" s="21">
        <f t="shared" si="206"/>
        <v>0</v>
      </c>
      <c r="D2631" s="22" t="e">
        <f>VLOOKUP($A2631, TAB_JUROS_U[[Q_DIAS_U_PARC_TIR]:[V_FUT_U_JURS CENARIO]], D$5, FALSE)</f>
        <v>#N/A</v>
      </c>
      <c r="E2631" s="22" t="e">
        <f>VLOOKUP($A2631,TAB_CORRECAO_U[[Q_DIAS_U_PARC_TIR]:[V_FUT_U_CORC-02]],E$5, FALSE)</f>
        <v>#N/A</v>
      </c>
      <c r="F2631" s="22" t="e">
        <f>VLOOKUP($A2631,TAB_AMORTIZACAO_U[[Q_DIAS_U_PARC_TIR]:[V_FUT_U_PCPL-02]], F$5, FALSE)</f>
        <v>#N/A</v>
      </c>
      <c r="H2631" s="20">
        <f t="shared" si="207"/>
        <v>0</v>
      </c>
      <c r="I2631" s="21">
        <f t="shared" si="208"/>
        <v>0</v>
      </c>
      <c r="J2631" s="22" t="e">
        <f>VLOOKUP($A2631, TAB_JUROS_C[[DIAS_CORRIDOS]:[V_FUT_UTEIS]], J$5, FALSE)</f>
        <v>#N/A</v>
      </c>
      <c r="K2631" s="22" t="e">
        <f>VLOOKUP($A2631, TAB_CORRECAO_C[[DIAS_CORRIDOS]:[V_FUT_UTEIS]],K$5, FALSE)</f>
        <v>#N/A</v>
      </c>
      <c r="L2631" s="22" t="e">
        <f>VLOOKUP($A2631, TAB_AMORTIZACAO_C[[DIAS_CORRIDOS]:[V_FUT_UTEIS]], L$5, FALSE)</f>
        <v>#N/A</v>
      </c>
    </row>
    <row r="2632" spans="1:12">
      <c r="A2632" s="19">
        <f t="shared" si="209"/>
        <v>2626</v>
      </c>
      <c r="B2632" s="20">
        <f t="shared" si="205"/>
        <v>141.4562363989867</v>
      </c>
      <c r="C2632" s="21">
        <f t="shared" si="206"/>
        <v>141.4562363989867</v>
      </c>
      <c r="D2632" s="22">
        <f>VLOOKUP($A2632, TAB_JUROS_U[[Q_DIAS_U_PARC_TIR]:[V_FUT_U_JURS CENARIO]], D$5, FALSE)</f>
        <v>4.0541854180389212</v>
      </c>
      <c r="E2632" s="22">
        <f>VLOOKUP($A2632,TAB_CORRECAO_U[[Q_DIAS_U_PARC_TIR]:[V_FUT_U_CORC-02]],E$5, FALSE)</f>
        <v>25.221762681105357</v>
      </c>
      <c r="F2632" s="22">
        <f>VLOOKUP($A2632,TAB_AMORTIZACAO_U[[Q_DIAS_U_PARC_TIR]:[V_FUT_U_PCPL-02]], F$5, FALSE)</f>
        <v>112.18028829984243</v>
      </c>
      <c r="H2632" s="20">
        <f t="shared" si="207"/>
        <v>0</v>
      </c>
      <c r="I2632" s="21">
        <f t="shared" si="208"/>
        <v>0</v>
      </c>
      <c r="J2632" s="22" t="e">
        <f>VLOOKUP($A2632, TAB_JUROS_C[[DIAS_CORRIDOS]:[V_FUT_UTEIS]], J$5, FALSE)</f>
        <v>#N/A</v>
      </c>
      <c r="K2632" s="22" t="e">
        <f>VLOOKUP($A2632, TAB_CORRECAO_C[[DIAS_CORRIDOS]:[V_FUT_UTEIS]],K$5, FALSE)</f>
        <v>#N/A</v>
      </c>
      <c r="L2632" s="22" t="e">
        <f>VLOOKUP($A2632, TAB_AMORTIZACAO_C[[DIAS_CORRIDOS]:[V_FUT_UTEIS]], L$5, FALSE)</f>
        <v>#N/A</v>
      </c>
    </row>
    <row r="2633" spans="1:12" hidden="1">
      <c r="A2633" s="19">
        <f t="shared" si="209"/>
        <v>2627</v>
      </c>
      <c r="B2633" s="20">
        <f t="shared" ref="B2633:B2696" si="210">IF(ISERROR(C2633), 0, C2633)</f>
        <v>0</v>
      </c>
      <c r="C2633" s="21">
        <f t="shared" ref="C2633:C2696" si="211">SUMIF(D2633:F2633, "&gt;0", D2633:F2633)</f>
        <v>0</v>
      </c>
      <c r="D2633" s="22" t="e">
        <f>VLOOKUP($A2633, TAB_JUROS_U[[Q_DIAS_U_PARC_TIR]:[V_FUT_U_JURS CENARIO]], D$5, FALSE)</f>
        <v>#N/A</v>
      </c>
      <c r="E2633" s="22" t="e">
        <f>VLOOKUP($A2633,TAB_CORRECAO_U[[Q_DIAS_U_PARC_TIR]:[V_FUT_U_CORC-02]],E$5, FALSE)</f>
        <v>#N/A</v>
      </c>
      <c r="F2633" s="22" t="e">
        <f>VLOOKUP($A2633,TAB_AMORTIZACAO_U[[Q_DIAS_U_PARC_TIR]:[V_FUT_U_PCPL-02]], F$5, FALSE)</f>
        <v>#N/A</v>
      </c>
      <c r="H2633" s="20">
        <f t="shared" ref="H2633:H2696" si="212">IF(ISERROR(I2633), 0, I2633)</f>
        <v>359.09924625351624</v>
      </c>
      <c r="I2633" s="21">
        <f t="shared" ref="I2633:I2696" si="213">SUMIF(J2633:L2633, "&gt;0", J2633:L2633)</f>
        <v>359.09924625351624</v>
      </c>
      <c r="J2633" s="22">
        <f>VLOOKUP($A2633, TAB_JUROS_C[[DIAS_CORRIDOS]:[V_FUT_UTEIS]], J$5, FALSE)</f>
        <v>19.556694452362194</v>
      </c>
      <c r="K2633" s="22">
        <f>VLOOKUP($A2633, TAB_CORRECAO_C[[DIAS_CORRIDOS]:[V_FUT_UTEIS]],K$5, FALSE)</f>
        <v>120.57417900632473</v>
      </c>
      <c r="L2633" s="22">
        <f>VLOOKUP($A2633, TAB_AMORTIZACAO_C[[DIAS_CORRIDOS]:[V_FUT_UTEIS]], L$5, FALSE)</f>
        <v>218.96837279482932</v>
      </c>
    </row>
    <row r="2634" spans="1:12" hidden="1">
      <c r="A2634" s="19">
        <f t="shared" ref="A2634:A2697" si="214">A2633+1</f>
        <v>2628</v>
      </c>
      <c r="B2634" s="20">
        <f t="shared" si="210"/>
        <v>0</v>
      </c>
      <c r="C2634" s="21">
        <f t="shared" si="211"/>
        <v>0</v>
      </c>
      <c r="D2634" s="22" t="e">
        <f>VLOOKUP($A2634, TAB_JUROS_U[[Q_DIAS_U_PARC_TIR]:[V_FUT_U_JURS CENARIO]], D$5, FALSE)</f>
        <v>#N/A</v>
      </c>
      <c r="E2634" s="22" t="e">
        <f>VLOOKUP($A2634,TAB_CORRECAO_U[[Q_DIAS_U_PARC_TIR]:[V_FUT_U_CORC-02]],E$5, FALSE)</f>
        <v>#N/A</v>
      </c>
      <c r="F2634" s="22" t="e">
        <f>VLOOKUP($A2634,TAB_AMORTIZACAO_U[[Q_DIAS_U_PARC_TIR]:[V_FUT_U_PCPL-02]], F$5, FALSE)</f>
        <v>#N/A</v>
      </c>
      <c r="H2634" s="20">
        <f t="shared" si="212"/>
        <v>0</v>
      </c>
      <c r="I2634" s="21">
        <f t="shared" si="213"/>
        <v>0</v>
      </c>
      <c r="J2634" s="22" t="e">
        <f>VLOOKUP($A2634, TAB_JUROS_C[[DIAS_CORRIDOS]:[V_FUT_UTEIS]], J$5, FALSE)</f>
        <v>#N/A</v>
      </c>
      <c r="K2634" s="22" t="e">
        <f>VLOOKUP($A2634, TAB_CORRECAO_C[[DIAS_CORRIDOS]:[V_FUT_UTEIS]],K$5, FALSE)</f>
        <v>#N/A</v>
      </c>
      <c r="L2634" s="22" t="e">
        <f>VLOOKUP($A2634, TAB_AMORTIZACAO_C[[DIAS_CORRIDOS]:[V_FUT_UTEIS]], L$5, FALSE)</f>
        <v>#N/A</v>
      </c>
    </row>
    <row r="2635" spans="1:12" hidden="1">
      <c r="A2635" s="19">
        <f t="shared" si="214"/>
        <v>2629</v>
      </c>
      <c r="B2635" s="20">
        <f t="shared" si="210"/>
        <v>0</v>
      </c>
      <c r="C2635" s="21">
        <f t="shared" si="211"/>
        <v>0</v>
      </c>
      <c r="D2635" s="22" t="e">
        <f>VLOOKUP($A2635, TAB_JUROS_U[[Q_DIAS_U_PARC_TIR]:[V_FUT_U_JURS CENARIO]], D$5, FALSE)</f>
        <v>#N/A</v>
      </c>
      <c r="E2635" s="22" t="e">
        <f>VLOOKUP($A2635,TAB_CORRECAO_U[[Q_DIAS_U_PARC_TIR]:[V_FUT_U_CORC-02]],E$5, FALSE)</f>
        <v>#N/A</v>
      </c>
      <c r="F2635" s="22" t="e">
        <f>VLOOKUP($A2635,TAB_AMORTIZACAO_U[[Q_DIAS_U_PARC_TIR]:[V_FUT_U_PCPL-02]], F$5, FALSE)</f>
        <v>#N/A</v>
      </c>
      <c r="H2635" s="20">
        <f t="shared" si="212"/>
        <v>0</v>
      </c>
      <c r="I2635" s="21">
        <f t="shared" si="213"/>
        <v>0</v>
      </c>
      <c r="J2635" s="22" t="e">
        <f>VLOOKUP($A2635, TAB_JUROS_C[[DIAS_CORRIDOS]:[V_FUT_UTEIS]], J$5, FALSE)</f>
        <v>#N/A</v>
      </c>
      <c r="K2635" s="22" t="e">
        <f>VLOOKUP($A2635, TAB_CORRECAO_C[[DIAS_CORRIDOS]:[V_FUT_UTEIS]],K$5, FALSE)</f>
        <v>#N/A</v>
      </c>
      <c r="L2635" s="22" t="e">
        <f>VLOOKUP($A2635, TAB_AMORTIZACAO_C[[DIAS_CORRIDOS]:[V_FUT_UTEIS]], L$5, FALSE)</f>
        <v>#N/A</v>
      </c>
    </row>
    <row r="2636" spans="1:12" hidden="1">
      <c r="A2636" s="19">
        <f t="shared" si="214"/>
        <v>2630</v>
      </c>
      <c r="B2636" s="20">
        <f t="shared" si="210"/>
        <v>0</v>
      </c>
      <c r="C2636" s="21">
        <f t="shared" si="211"/>
        <v>0</v>
      </c>
      <c r="D2636" s="22" t="e">
        <f>VLOOKUP($A2636, TAB_JUROS_U[[Q_DIAS_U_PARC_TIR]:[V_FUT_U_JURS CENARIO]], D$5, FALSE)</f>
        <v>#N/A</v>
      </c>
      <c r="E2636" s="22" t="e">
        <f>VLOOKUP($A2636,TAB_CORRECAO_U[[Q_DIAS_U_PARC_TIR]:[V_FUT_U_CORC-02]],E$5, FALSE)</f>
        <v>#N/A</v>
      </c>
      <c r="F2636" s="22" t="e">
        <f>VLOOKUP($A2636,TAB_AMORTIZACAO_U[[Q_DIAS_U_PARC_TIR]:[V_FUT_U_PCPL-02]], F$5, FALSE)</f>
        <v>#N/A</v>
      </c>
      <c r="H2636" s="20">
        <f t="shared" si="212"/>
        <v>0</v>
      </c>
      <c r="I2636" s="21">
        <f t="shared" si="213"/>
        <v>0</v>
      </c>
      <c r="J2636" s="22" t="e">
        <f>VLOOKUP($A2636, TAB_JUROS_C[[DIAS_CORRIDOS]:[V_FUT_UTEIS]], J$5, FALSE)</f>
        <v>#N/A</v>
      </c>
      <c r="K2636" s="22" t="e">
        <f>VLOOKUP($A2636, TAB_CORRECAO_C[[DIAS_CORRIDOS]:[V_FUT_UTEIS]],K$5, FALSE)</f>
        <v>#N/A</v>
      </c>
      <c r="L2636" s="22" t="e">
        <f>VLOOKUP($A2636, TAB_AMORTIZACAO_C[[DIAS_CORRIDOS]:[V_FUT_UTEIS]], L$5, FALSE)</f>
        <v>#N/A</v>
      </c>
    </row>
    <row r="2637" spans="1:12" hidden="1">
      <c r="A2637" s="19">
        <f t="shared" si="214"/>
        <v>2631</v>
      </c>
      <c r="B2637" s="20">
        <f t="shared" si="210"/>
        <v>0</v>
      </c>
      <c r="C2637" s="21">
        <f t="shared" si="211"/>
        <v>0</v>
      </c>
      <c r="D2637" s="22" t="e">
        <f>VLOOKUP($A2637, TAB_JUROS_U[[Q_DIAS_U_PARC_TIR]:[V_FUT_U_JURS CENARIO]], D$5, FALSE)</f>
        <v>#N/A</v>
      </c>
      <c r="E2637" s="22" t="e">
        <f>VLOOKUP($A2637,TAB_CORRECAO_U[[Q_DIAS_U_PARC_TIR]:[V_FUT_U_CORC-02]],E$5, FALSE)</f>
        <v>#N/A</v>
      </c>
      <c r="F2637" s="22" t="e">
        <f>VLOOKUP($A2637,TAB_AMORTIZACAO_U[[Q_DIAS_U_PARC_TIR]:[V_FUT_U_PCPL-02]], F$5, FALSE)</f>
        <v>#N/A</v>
      </c>
      <c r="H2637" s="20">
        <f t="shared" si="212"/>
        <v>0</v>
      </c>
      <c r="I2637" s="21">
        <f t="shared" si="213"/>
        <v>0</v>
      </c>
      <c r="J2637" s="22" t="e">
        <f>VLOOKUP($A2637, TAB_JUROS_C[[DIAS_CORRIDOS]:[V_FUT_UTEIS]], J$5, FALSE)</f>
        <v>#N/A</v>
      </c>
      <c r="K2637" s="22" t="e">
        <f>VLOOKUP($A2637, TAB_CORRECAO_C[[DIAS_CORRIDOS]:[V_FUT_UTEIS]],K$5, FALSE)</f>
        <v>#N/A</v>
      </c>
      <c r="L2637" s="22" t="e">
        <f>VLOOKUP($A2637, TAB_AMORTIZACAO_C[[DIAS_CORRIDOS]:[V_FUT_UTEIS]], L$5, FALSE)</f>
        <v>#N/A</v>
      </c>
    </row>
    <row r="2638" spans="1:12" hidden="1">
      <c r="A2638" s="19">
        <f t="shared" si="214"/>
        <v>2632</v>
      </c>
      <c r="B2638" s="20">
        <f t="shared" si="210"/>
        <v>0</v>
      </c>
      <c r="C2638" s="21">
        <f t="shared" si="211"/>
        <v>0</v>
      </c>
      <c r="D2638" s="22" t="e">
        <f>VLOOKUP($A2638, TAB_JUROS_U[[Q_DIAS_U_PARC_TIR]:[V_FUT_U_JURS CENARIO]], D$5, FALSE)</f>
        <v>#N/A</v>
      </c>
      <c r="E2638" s="22" t="e">
        <f>VLOOKUP($A2638,TAB_CORRECAO_U[[Q_DIAS_U_PARC_TIR]:[V_FUT_U_CORC-02]],E$5, FALSE)</f>
        <v>#N/A</v>
      </c>
      <c r="F2638" s="22" t="e">
        <f>VLOOKUP($A2638,TAB_AMORTIZACAO_U[[Q_DIAS_U_PARC_TIR]:[V_FUT_U_PCPL-02]], F$5, FALSE)</f>
        <v>#N/A</v>
      </c>
      <c r="H2638" s="20">
        <f t="shared" si="212"/>
        <v>0</v>
      </c>
      <c r="I2638" s="21">
        <f t="shared" si="213"/>
        <v>0</v>
      </c>
      <c r="J2638" s="22" t="e">
        <f>VLOOKUP($A2638, TAB_JUROS_C[[DIAS_CORRIDOS]:[V_FUT_UTEIS]], J$5, FALSE)</f>
        <v>#N/A</v>
      </c>
      <c r="K2638" s="22" t="e">
        <f>VLOOKUP($A2638, TAB_CORRECAO_C[[DIAS_CORRIDOS]:[V_FUT_UTEIS]],K$5, FALSE)</f>
        <v>#N/A</v>
      </c>
      <c r="L2638" s="22" t="e">
        <f>VLOOKUP($A2638, TAB_AMORTIZACAO_C[[DIAS_CORRIDOS]:[V_FUT_UTEIS]], L$5, FALSE)</f>
        <v>#N/A</v>
      </c>
    </row>
    <row r="2639" spans="1:12" hidden="1">
      <c r="A2639" s="19">
        <f t="shared" si="214"/>
        <v>2633</v>
      </c>
      <c r="B2639" s="20">
        <f t="shared" si="210"/>
        <v>0</v>
      </c>
      <c r="C2639" s="21">
        <f t="shared" si="211"/>
        <v>0</v>
      </c>
      <c r="D2639" s="22" t="e">
        <f>VLOOKUP($A2639, TAB_JUROS_U[[Q_DIAS_U_PARC_TIR]:[V_FUT_U_JURS CENARIO]], D$5, FALSE)</f>
        <v>#N/A</v>
      </c>
      <c r="E2639" s="22" t="e">
        <f>VLOOKUP($A2639,TAB_CORRECAO_U[[Q_DIAS_U_PARC_TIR]:[V_FUT_U_CORC-02]],E$5, FALSE)</f>
        <v>#N/A</v>
      </c>
      <c r="F2639" s="22" t="e">
        <f>VLOOKUP($A2639,TAB_AMORTIZACAO_U[[Q_DIAS_U_PARC_TIR]:[V_FUT_U_PCPL-02]], F$5, FALSE)</f>
        <v>#N/A</v>
      </c>
      <c r="H2639" s="20">
        <f t="shared" si="212"/>
        <v>0</v>
      </c>
      <c r="I2639" s="21">
        <f t="shared" si="213"/>
        <v>0</v>
      </c>
      <c r="J2639" s="22" t="e">
        <f>VLOOKUP($A2639, TAB_JUROS_C[[DIAS_CORRIDOS]:[V_FUT_UTEIS]], J$5, FALSE)</f>
        <v>#N/A</v>
      </c>
      <c r="K2639" s="22" t="e">
        <f>VLOOKUP($A2639, TAB_CORRECAO_C[[DIAS_CORRIDOS]:[V_FUT_UTEIS]],K$5, FALSE)</f>
        <v>#N/A</v>
      </c>
      <c r="L2639" s="22" t="e">
        <f>VLOOKUP($A2639, TAB_AMORTIZACAO_C[[DIAS_CORRIDOS]:[V_FUT_UTEIS]], L$5, FALSE)</f>
        <v>#N/A</v>
      </c>
    </row>
    <row r="2640" spans="1:12" hidden="1">
      <c r="A2640" s="19">
        <f t="shared" si="214"/>
        <v>2634</v>
      </c>
      <c r="B2640" s="20">
        <f t="shared" si="210"/>
        <v>0</v>
      </c>
      <c r="C2640" s="21">
        <f t="shared" si="211"/>
        <v>0</v>
      </c>
      <c r="D2640" s="22" t="e">
        <f>VLOOKUP($A2640, TAB_JUROS_U[[Q_DIAS_U_PARC_TIR]:[V_FUT_U_JURS CENARIO]], D$5, FALSE)</f>
        <v>#N/A</v>
      </c>
      <c r="E2640" s="22" t="e">
        <f>VLOOKUP($A2640,TAB_CORRECAO_U[[Q_DIAS_U_PARC_TIR]:[V_FUT_U_CORC-02]],E$5, FALSE)</f>
        <v>#N/A</v>
      </c>
      <c r="F2640" s="22" t="e">
        <f>VLOOKUP($A2640,TAB_AMORTIZACAO_U[[Q_DIAS_U_PARC_TIR]:[V_FUT_U_PCPL-02]], F$5, FALSE)</f>
        <v>#N/A</v>
      </c>
      <c r="H2640" s="20">
        <f t="shared" si="212"/>
        <v>0</v>
      </c>
      <c r="I2640" s="21">
        <f t="shared" si="213"/>
        <v>0</v>
      </c>
      <c r="J2640" s="22" t="e">
        <f>VLOOKUP($A2640, TAB_JUROS_C[[DIAS_CORRIDOS]:[V_FUT_UTEIS]], J$5, FALSE)</f>
        <v>#N/A</v>
      </c>
      <c r="K2640" s="22" t="e">
        <f>VLOOKUP($A2640, TAB_CORRECAO_C[[DIAS_CORRIDOS]:[V_FUT_UTEIS]],K$5, FALSE)</f>
        <v>#N/A</v>
      </c>
      <c r="L2640" s="22" t="e">
        <f>VLOOKUP($A2640, TAB_AMORTIZACAO_C[[DIAS_CORRIDOS]:[V_FUT_UTEIS]], L$5, FALSE)</f>
        <v>#N/A</v>
      </c>
    </row>
    <row r="2641" spans="1:12" hidden="1">
      <c r="A2641" s="19">
        <f t="shared" si="214"/>
        <v>2635</v>
      </c>
      <c r="B2641" s="20">
        <f t="shared" si="210"/>
        <v>0</v>
      </c>
      <c r="C2641" s="21">
        <f t="shared" si="211"/>
        <v>0</v>
      </c>
      <c r="D2641" s="22" t="e">
        <f>VLOOKUP($A2641, TAB_JUROS_U[[Q_DIAS_U_PARC_TIR]:[V_FUT_U_JURS CENARIO]], D$5, FALSE)</f>
        <v>#N/A</v>
      </c>
      <c r="E2641" s="22" t="e">
        <f>VLOOKUP($A2641,TAB_CORRECAO_U[[Q_DIAS_U_PARC_TIR]:[V_FUT_U_CORC-02]],E$5, FALSE)</f>
        <v>#N/A</v>
      </c>
      <c r="F2641" s="22" t="e">
        <f>VLOOKUP($A2641,TAB_AMORTIZACAO_U[[Q_DIAS_U_PARC_TIR]:[V_FUT_U_PCPL-02]], F$5, FALSE)</f>
        <v>#N/A</v>
      </c>
      <c r="H2641" s="20">
        <f t="shared" si="212"/>
        <v>0</v>
      </c>
      <c r="I2641" s="21">
        <f t="shared" si="213"/>
        <v>0</v>
      </c>
      <c r="J2641" s="22" t="e">
        <f>VLOOKUP($A2641, TAB_JUROS_C[[DIAS_CORRIDOS]:[V_FUT_UTEIS]], J$5, FALSE)</f>
        <v>#N/A</v>
      </c>
      <c r="K2641" s="22" t="e">
        <f>VLOOKUP($A2641, TAB_CORRECAO_C[[DIAS_CORRIDOS]:[V_FUT_UTEIS]],K$5, FALSE)</f>
        <v>#N/A</v>
      </c>
      <c r="L2641" s="22" t="e">
        <f>VLOOKUP($A2641, TAB_AMORTIZACAO_C[[DIAS_CORRIDOS]:[V_FUT_UTEIS]], L$5, FALSE)</f>
        <v>#N/A</v>
      </c>
    </row>
    <row r="2642" spans="1:12" hidden="1">
      <c r="A2642" s="19">
        <f t="shared" si="214"/>
        <v>2636</v>
      </c>
      <c r="B2642" s="20">
        <f t="shared" si="210"/>
        <v>0</v>
      </c>
      <c r="C2642" s="21">
        <f t="shared" si="211"/>
        <v>0</v>
      </c>
      <c r="D2642" s="22" t="e">
        <f>VLOOKUP($A2642, TAB_JUROS_U[[Q_DIAS_U_PARC_TIR]:[V_FUT_U_JURS CENARIO]], D$5, FALSE)</f>
        <v>#N/A</v>
      </c>
      <c r="E2642" s="22" t="e">
        <f>VLOOKUP($A2642,TAB_CORRECAO_U[[Q_DIAS_U_PARC_TIR]:[V_FUT_U_CORC-02]],E$5, FALSE)</f>
        <v>#N/A</v>
      </c>
      <c r="F2642" s="22" t="e">
        <f>VLOOKUP($A2642,TAB_AMORTIZACAO_U[[Q_DIAS_U_PARC_TIR]:[V_FUT_U_PCPL-02]], F$5, FALSE)</f>
        <v>#N/A</v>
      </c>
      <c r="H2642" s="20">
        <f t="shared" si="212"/>
        <v>0</v>
      </c>
      <c r="I2642" s="21">
        <f t="shared" si="213"/>
        <v>0</v>
      </c>
      <c r="J2642" s="22" t="e">
        <f>VLOOKUP($A2642, TAB_JUROS_C[[DIAS_CORRIDOS]:[V_FUT_UTEIS]], J$5, FALSE)</f>
        <v>#N/A</v>
      </c>
      <c r="K2642" s="22" t="e">
        <f>VLOOKUP($A2642, TAB_CORRECAO_C[[DIAS_CORRIDOS]:[V_FUT_UTEIS]],K$5, FALSE)</f>
        <v>#N/A</v>
      </c>
      <c r="L2642" s="22" t="e">
        <f>VLOOKUP($A2642, TAB_AMORTIZACAO_C[[DIAS_CORRIDOS]:[V_FUT_UTEIS]], L$5, FALSE)</f>
        <v>#N/A</v>
      </c>
    </row>
    <row r="2643" spans="1:12" hidden="1">
      <c r="A2643" s="19">
        <f t="shared" si="214"/>
        <v>2637</v>
      </c>
      <c r="B2643" s="20">
        <f t="shared" si="210"/>
        <v>0</v>
      </c>
      <c r="C2643" s="21">
        <f t="shared" si="211"/>
        <v>0</v>
      </c>
      <c r="D2643" s="22" t="e">
        <f>VLOOKUP($A2643, TAB_JUROS_U[[Q_DIAS_U_PARC_TIR]:[V_FUT_U_JURS CENARIO]], D$5, FALSE)</f>
        <v>#N/A</v>
      </c>
      <c r="E2643" s="22" t="e">
        <f>VLOOKUP($A2643,TAB_CORRECAO_U[[Q_DIAS_U_PARC_TIR]:[V_FUT_U_CORC-02]],E$5, FALSE)</f>
        <v>#N/A</v>
      </c>
      <c r="F2643" s="22" t="e">
        <f>VLOOKUP($A2643,TAB_AMORTIZACAO_U[[Q_DIAS_U_PARC_TIR]:[V_FUT_U_PCPL-02]], F$5, FALSE)</f>
        <v>#N/A</v>
      </c>
      <c r="H2643" s="20">
        <f t="shared" si="212"/>
        <v>0</v>
      </c>
      <c r="I2643" s="21">
        <f t="shared" si="213"/>
        <v>0</v>
      </c>
      <c r="J2643" s="22" t="e">
        <f>VLOOKUP($A2643, TAB_JUROS_C[[DIAS_CORRIDOS]:[V_FUT_UTEIS]], J$5, FALSE)</f>
        <v>#N/A</v>
      </c>
      <c r="K2643" s="22" t="e">
        <f>VLOOKUP($A2643, TAB_CORRECAO_C[[DIAS_CORRIDOS]:[V_FUT_UTEIS]],K$5, FALSE)</f>
        <v>#N/A</v>
      </c>
      <c r="L2643" s="22" t="e">
        <f>VLOOKUP($A2643, TAB_AMORTIZACAO_C[[DIAS_CORRIDOS]:[V_FUT_UTEIS]], L$5, FALSE)</f>
        <v>#N/A</v>
      </c>
    </row>
    <row r="2644" spans="1:12" hidden="1">
      <c r="A2644" s="19">
        <f t="shared" si="214"/>
        <v>2638</v>
      </c>
      <c r="B2644" s="20">
        <f t="shared" si="210"/>
        <v>0</v>
      </c>
      <c r="C2644" s="21">
        <f t="shared" si="211"/>
        <v>0</v>
      </c>
      <c r="D2644" s="22" t="e">
        <f>VLOOKUP($A2644, TAB_JUROS_U[[Q_DIAS_U_PARC_TIR]:[V_FUT_U_JURS CENARIO]], D$5, FALSE)</f>
        <v>#N/A</v>
      </c>
      <c r="E2644" s="22" t="e">
        <f>VLOOKUP($A2644,TAB_CORRECAO_U[[Q_DIAS_U_PARC_TIR]:[V_FUT_U_CORC-02]],E$5, FALSE)</f>
        <v>#N/A</v>
      </c>
      <c r="F2644" s="22" t="e">
        <f>VLOOKUP($A2644,TAB_AMORTIZACAO_U[[Q_DIAS_U_PARC_TIR]:[V_FUT_U_PCPL-02]], F$5, FALSE)</f>
        <v>#N/A</v>
      </c>
      <c r="H2644" s="20">
        <f t="shared" si="212"/>
        <v>0</v>
      </c>
      <c r="I2644" s="21">
        <f t="shared" si="213"/>
        <v>0</v>
      </c>
      <c r="J2644" s="22" t="e">
        <f>VLOOKUP($A2644, TAB_JUROS_C[[DIAS_CORRIDOS]:[V_FUT_UTEIS]], J$5, FALSE)</f>
        <v>#N/A</v>
      </c>
      <c r="K2644" s="22" t="e">
        <f>VLOOKUP($A2644, TAB_CORRECAO_C[[DIAS_CORRIDOS]:[V_FUT_UTEIS]],K$5, FALSE)</f>
        <v>#N/A</v>
      </c>
      <c r="L2644" s="22" t="e">
        <f>VLOOKUP($A2644, TAB_AMORTIZACAO_C[[DIAS_CORRIDOS]:[V_FUT_UTEIS]], L$5, FALSE)</f>
        <v>#N/A</v>
      </c>
    </row>
    <row r="2645" spans="1:12" hidden="1">
      <c r="A2645" s="19">
        <f t="shared" si="214"/>
        <v>2639</v>
      </c>
      <c r="B2645" s="20">
        <f t="shared" si="210"/>
        <v>0</v>
      </c>
      <c r="C2645" s="21">
        <f t="shared" si="211"/>
        <v>0</v>
      </c>
      <c r="D2645" s="22" t="e">
        <f>VLOOKUP($A2645, TAB_JUROS_U[[Q_DIAS_U_PARC_TIR]:[V_FUT_U_JURS CENARIO]], D$5, FALSE)</f>
        <v>#N/A</v>
      </c>
      <c r="E2645" s="22" t="e">
        <f>VLOOKUP($A2645,TAB_CORRECAO_U[[Q_DIAS_U_PARC_TIR]:[V_FUT_U_CORC-02]],E$5, FALSE)</f>
        <v>#N/A</v>
      </c>
      <c r="F2645" s="22" t="e">
        <f>VLOOKUP($A2645,TAB_AMORTIZACAO_U[[Q_DIAS_U_PARC_TIR]:[V_FUT_U_PCPL-02]], F$5, FALSE)</f>
        <v>#N/A</v>
      </c>
      <c r="H2645" s="20">
        <f t="shared" si="212"/>
        <v>0</v>
      </c>
      <c r="I2645" s="21">
        <f t="shared" si="213"/>
        <v>0</v>
      </c>
      <c r="J2645" s="22" t="e">
        <f>VLOOKUP($A2645, TAB_JUROS_C[[DIAS_CORRIDOS]:[V_FUT_UTEIS]], J$5, FALSE)</f>
        <v>#N/A</v>
      </c>
      <c r="K2645" s="22" t="e">
        <f>VLOOKUP($A2645, TAB_CORRECAO_C[[DIAS_CORRIDOS]:[V_FUT_UTEIS]],K$5, FALSE)</f>
        <v>#N/A</v>
      </c>
      <c r="L2645" s="22" t="e">
        <f>VLOOKUP($A2645, TAB_AMORTIZACAO_C[[DIAS_CORRIDOS]:[V_FUT_UTEIS]], L$5, FALSE)</f>
        <v>#N/A</v>
      </c>
    </row>
    <row r="2646" spans="1:12" hidden="1">
      <c r="A2646" s="19">
        <f t="shared" si="214"/>
        <v>2640</v>
      </c>
      <c r="B2646" s="20">
        <f t="shared" si="210"/>
        <v>0</v>
      </c>
      <c r="C2646" s="21">
        <f t="shared" si="211"/>
        <v>0</v>
      </c>
      <c r="D2646" s="22" t="e">
        <f>VLOOKUP($A2646, TAB_JUROS_U[[Q_DIAS_U_PARC_TIR]:[V_FUT_U_JURS CENARIO]], D$5, FALSE)</f>
        <v>#N/A</v>
      </c>
      <c r="E2646" s="22" t="e">
        <f>VLOOKUP($A2646,TAB_CORRECAO_U[[Q_DIAS_U_PARC_TIR]:[V_FUT_U_CORC-02]],E$5, FALSE)</f>
        <v>#N/A</v>
      </c>
      <c r="F2646" s="22" t="e">
        <f>VLOOKUP($A2646,TAB_AMORTIZACAO_U[[Q_DIAS_U_PARC_TIR]:[V_FUT_U_PCPL-02]], F$5, FALSE)</f>
        <v>#N/A</v>
      </c>
      <c r="H2646" s="20">
        <f t="shared" si="212"/>
        <v>0</v>
      </c>
      <c r="I2646" s="21">
        <f t="shared" si="213"/>
        <v>0</v>
      </c>
      <c r="J2646" s="22" t="e">
        <f>VLOOKUP($A2646, TAB_JUROS_C[[DIAS_CORRIDOS]:[V_FUT_UTEIS]], J$5, FALSE)</f>
        <v>#N/A</v>
      </c>
      <c r="K2646" s="22" t="e">
        <f>VLOOKUP($A2646, TAB_CORRECAO_C[[DIAS_CORRIDOS]:[V_FUT_UTEIS]],K$5, FALSE)</f>
        <v>#N/A</v>
      </c>
      <c r="L2646" s="22" t="e">
        <f>VLOOKUP($A2646, TAB_AMORTIZACAO_C[[DIAS_CORRIDOS]:[V_FUT_UTEIS]], L$5, FALSE)</f>
        <v>#N/A</v>
      </c>
    </row>
    <row r="2647" spans="1:12" hidden="1">
      <c r="A2647" s="19">
        <f t="shared" si="214"/>
        <v>2641</v>
      </c>
      <c r="B2647" s="20">
        <f t="shared" si="210"/>
        <v>0</v>
      </c>
      <c r="C2647" s="21">
        <f t="shared" si="211"/>
        <v>0</v>
      </c>
      <c r="D2647" s="22" t="e">
        <f>VLOOKUP($A2647, TAB_JUROS_U[[Q_DIAS_U_PARC_TIR]:[V_FUT_U_JURS CENARIO]], D$5, FALSE)</f>
        <v>#N/A</v>
      </c>
      <c r="E2647" s="22" t="e">
        <f>VLOOKUP($A2647,TAB_CORRECAO_U[[Q_DIAS_U_PARC_TIR]:[V_FUT_U_CORC-02]],E$5, FALSE)</f>
        <v>#N/A</v>
      </c>
      <c r="F2647" s="22" t="e">
        <f>VLOOKUP($A2647,TAB_AMORTIZACAO_U[[Q_DIAS_U_PARC_TIR]:[V_FUT_U_PCPL-02]], F$5, FALSE)</f>
        <v>#N/A</v>
      </c>
      <c r="H2647" s="20">
        <f t="shared" si="212"/>
        <v>0</v>
      </c>
      <c r="I2647" s="21">
        <f t="shared" si="213"/>
        <v>0</v>
      </c>
      <c r="J2647" s="22" t="e">
        <f>VLOOKUP($A2647, TAB_JUROS_C[[DIAS_CORRIDOS]:[V_FUT_UTEIS]], J$5, FALSE)</f>
        <v>#N/A</v>
      </c>
      <c r="K2647" s="22" t="e">
        <f>VLOOKUP($A2647, TAB_CORRECAO_C[[DIAS_CORRIDOS]:[V_FUT_UTEIS]],K$5, FALSE)</f>
        <v>#N/A</v>
      </c>
      <c r="L2647" s="22" t="e">
        <f>VLOOKUP($A2647, TAB_AMORTIZACAO_C[[DIAS_CORRIDOS]:[V_FUT_UTEIS]], L$5, FALSE)</f>
        <v>#N/A</v>
      </c>
    </row>
    <row r="2648" spans="1:12" hidden="1">
      <c r="A2648" s="19">
        <f t="shared" si="214"/>
        <v>2642</v>
      </c>
      <c r="B2648" s="20">
        <f t="shared" si="210"/>
        <v>0</v>
      </c>
      <c r="C2648" s="21">
        <f t="shared" si="211"/>
        <v>0</v>
      </c>
      <c r="D2648" s="22" t="e">
        <f>VLOOKUP($A2648, TAB_JUROS_U[[Q_DIAS_U_PARC_TIR]:[V_FUT_U_JURS CENARIO]], D$5, FALSE)</f>
        <v>#N/A</v>
      </c>
      <c r="E2648" s="22" t="e">
        <f>VLOOKUP($A2648,TAB_CORRECAO_U[[Q_DIAS_U_PARC_TIR]:[V_FUT_U_CORC-02]],E$5, FALSE)</f>
        <v>#N/A</v>
      </c>
      <c r="F2648" s="22" t="e">
        <f>VLOOKUP($A2648,TAB_AMORTIZACAO_U[[Q_DIAS_U_PARC_TIR]:[V_FUT_U_PCPL-02]], F$5, FALSE)</f>
        <v>#N/A</v>
      </c>
      <c r="H2648" s="20">
        <f t="shared" si="212"/>
        <v>0</v>
      </c>
      <c r="I2648" s="21">
        <f t="shared" si="213"/>
        <v>0</v>
      </c>
      <c r="J2648" s="22" t="e">
        <f>VLOOKUP($A2648, TAB_JUROS_C[[DIAS_CORRIDOS]:[V_FUT_UTEIS]], J$5, FALSE)</f>
        <v>#N/A</v>
      </c>
      <c r="K2648" s="22" t="e">
        <f>VLOOKUP($A2648, TAB_CORRECAO_C[[DIAS_CORRIDOS]:[V_FUT_UTEIS]],K$5, FALSE)</f>
        <v>#N/A</v>
      </c>
      <c r="L2648" s="22" t="e">
        <f>VLOOKUP($A2648, TAB_AMORTIZACAO_C[[DIAS_CORRIDOS]:[V_FUT_UTEIS]], L$5, FALSE)</f>
        <v>#N/A</v>
      </c>
    </row>
    <row r="2649" spans="1:12" hidden="1">
      <c r="A2649" s="19">
        <f t="shared" si="214"/>
        <v>2643</v>
      </c>
      <c r="B2649" s="20">
        <f t="shared" si="210"/>
        <v>0</v>
      </c>
      <c r="C2649" s="21">
        <f t="shared" si="211"/>
        <v>0</v>
      </c>
      <c r="D2649" s="22" t="e">
        <f>VLOOKUP($A2649, TAB_JUROS_U[[Q_DIAS_U_PARC_TIR]:[V_FUT_U_JURS CENARIO]], D$5, FALSE)</f>
        <v>#N/A</v>
      </c>
      <c r="E2649" s="22" t="e">
        <f>VLOOKUP($A2649,TAB_CORRECAO_U[[Q_DIAS_U_PARC_TIR]:[V_FUT_U_CORC-02]],E$5, FALSE)</f>
        <v>#N/A</v>
      </c>
      <c r="F2649" s="22" t="e">
        <f>VLOOKUP($A2649,TAB_AMORTIZACAO_U[[Q_DIAS_U_PARC_TIR]:[V_FUT_U_PCPL-02]], F$5, FALSE)</f>
        <v>#N/A</v>
      </c>
      <c r="H2649" s="20">
        <f t="shared" si="212"/>
        <v>0</v>
      </c>
      <c r="I2649" s="21">
        <f t="shared" si="213"/>
        <v>0</v>
      </c>
      <c r="J2649" s="22" t="e">
        <f>VLOOKUP($A2649, TAB_JUROS_C[[DIAS_CORRIDOS]:[V_FUT_UTEIS]], J$5, FALSE)</f>
        <v>#N/A</v>
      </c>
      <c r="K2649" s="22" t="e">
        <f>VLOOKUP($A2649, TAB_CORRECAO_C[[DIAS_CORRIDOS]:[V_FUT_UTEIS]],K$5, FALSE)</f>
        <v>#N/A</v>
      </c>
      <c r="L2649" s="22" t="e">
        <f>VLOOKUP($A2649, TAB_AMORTIZACAO_C[[DIAS_CORRIDOS]:[V_FUT_UTEIS]], L$5, FALSE)</f>
        <v>#N/A</v>
      </c>
    </row>
    <row r="2650" spans="1:12" hidden="1">
      <c r="A2650" s="19">
        <f t="shared" si="214"/>
        <v>2644</v>
      </c>
      <c r="B2650" s="20">
        <f t="shared" si="210"/>
        <v>0</v>
      </c>
      <c r="C2650" s="21">
        <f t="shared" si="211"/>
        <v>0</v>
      </c>
      <c r="D2650" s="22" t="e">
        <f>VLOOKUP($A2650, TAB_JUROS_U[[Q_DIAS_U_PARC_TIR]:[V_FUT_U_JURS CENARIO]], D$5, FALSE)</f>
        <v>#N/A</v>
      </c>
      <c r="E2650" s="22" t="e">
        <f>VLOOKUP($A2650,TAB_CORRECAO_U[[Q_DIAS_U_PARC_TIR]:[V_FUT_U_CORC-02]],E$5, FALSE)</f>
        <v>#N/A</v>
      </c>
      <c r="F2650" s="22" t="e">
        <f>VLOOKUP($A2650,TAB_AMORTIZACAO_U[[Q_DIAS_U_PARC_TIR]:[V_FUT_U_PCPL-02]], F$5, FALSE)</f>
        <v>#N/A</v>
      </c>
      <c r="H2650" s="20">
        <f t="shared" si="212"/>
        <v>0</v>
      </c>
      <c r="I2650" s="21">
        <f t="shared" si="213"/>
        <v>0</v>
      </c>
      <c r="J2650" s="22" t="e">
        <f>VLOOKUP($A2650, TAB_JUROS_C[[DIAS_CORRIDOS]:[V_FUT_UTEIS]], J$5, FALSE)</f>
        <v>#N/A</v>
      </c>
      <c r="K2650" s="22" t="e">
        <f>VLOOKUP($A2650, TAB_CORRECAO_C[[DIAS_CORRIDOS]:[V_FUT_UTEIS]],K$5, FALSE)</f>
        <v>#N/A</v>
      </c>
      <c r="L2650" s="22" t="e">
        <f>VLOOKUP($A2650, TAB_AMORTIZACAO_C[[DIAS_CORRIDOS]:[V_FUT_UTEIS]], L$5, FALSE)</f>
        <v>#N/A</v>
      </c>
    </row>
    <row r="2651" spans="1:12" hidden="1">
      <c r="A2651" s="19">
        <f t="shared" si="214"/>
        <v>2645</v>
      </c>
      <c r="B2651" s="20">
        <f t="shared" si="210"/>
        <v>0</v>
      </c>
      <c r="C2651" s="21">
        <f t="shared" si="211"/>
        <v>0</v>
      </c>
      <c r="D2651" s="22" t="e">
        <f>VLOOKUP($A2651, TAB_JUROS_U[[Q_DIAS_U_PARC_TIR]:[V_FUT_U_JURS CENARIO]], D$5, FALSE)</f>
        <v>#N/A</v>
      </c>
      <c r="E2651" s="22" t="e">
        <f>VLOOKUP($A2651,TAB_CORRECAO_U[[Q_DIAS_U_PARC_TIR]:[V_FUT_U_CORC-02]],E$5, FALSE)</f>
        <v>#N/A</v>
      </c>
      <c r="F2651" s="22" t="e">
        <f>VLOOKUP($A2651,TAB_AMORTIZACAO_U[[Q_DIAS_U_PARC_TIR]:[V_FUT_U_PCPL-02]], F$5, FALSE)</f>
        <v>#N/A</v>
      </c>
      <c r="H2651" s="20">
        <f t="shared" si="212"/>
        <v>0</v>
      </c>
      <c r="I2651" s="21">
        <f t="shared" si="213"/>
        <v>0</v>
      </c>
      <c r="J2651" s="22" t="e">
        <f>VLOOKUP($A2651, TAB_JUROS_C[[DIAS_CORRIDOS]:[V_FUT_UTEIS]], J$5, FALSE)</f>
        <v>#N/A</v>
      </c>
      <c r="K2651" s="22" t="e">
        <f>VLOOKUP($A2651, TAB_CORRECAO_C[[DIAS_CORRIDOS]:[V_FUT_UTEIS]],K$5, FALSE)</f>
        <v>#N/A</v>
      </c>
      <c r="L2651" s="22" t="e">
        <f>VLOOKUP($A2651, TAB_AMORTIZACAO_C[[DIAS_CORRIDOS]:[V_FUT_UTEIS]], L$5, FALSE)</f>
        <v>#N/A</v>
      </c>
    </row>
    <row r="2652" spans="1:12" hidden="1">
      <c r="A2652" s="19">
        <f t="shared" si="214"/>
        <v>2646</v>
      </c>
      <c r="B2652" s="20">
        <f t="shared" si="210"/>
        <v>0</v>
      </c>
      <c r="C2652" s="21">
        <f t="shared" si="211"/>
        <v>0</v>
      </c>
      <c r="D2652" s="22" t="e">
        <f>VLOOKUP($A2652, TAB_JUROS_U[[Q_DIAS_U_PARC_TIR]:[V_FUT_U_JURS CENARIO]], D$5, FALSE)</f>
        <v>#N/A</v>
      </c>
      <c r="E2652" s="22" t="e">
        <f>VLOOKUP($A2652,TAB_CORRECAO_U[[Q_DIAS_U_PARC_TIR]:[V_FUT_U_CORC-02]],E$5, FALSE)</f>
        <v>#N/A</v>
      </c>
      <c r="F2652" s="22" t="e">
        <f>VLOOKUP($A2652,TAB_AMORTIZACAO_U[[Q_DIAS_U_PARC_TIR]:[V_FUT_U_PCPL-02]], F$5, FALSE)</f>
        <v>#N/A</v>
      </c>
      <c r="H2652" s="20">
        <f t="shared" si="212"/>
        <v>0</v>
      </c>
      <c r="I2652" s="21">
        <f t="shared" si="213"/>
        <v>0</v>
      </c>
      <c r="J2652" s="22" t="e">
        <f>VLOOKUP($A2652, TAB_JUROS_C[[DIAS_CORRIDOS]:[V_FUT_UTEIS]], J$5, FALSE)</f>
        <v>#N/A</v>
      </c>
      <c r="K2652" s="22" t="e">
        <f>VLOOKUP($A2652, TAB_CORRECAO_C[[DIAS_CORRIDOS]:[V_FUT_UTEIS]],K$5, FALSE)</f>
        <v>#N/A</v>
      </c>
      <c r="L2652" s="22" t="e">
        <f>VLOOKUP($A2652, TAB_AMORTIZACAO_C[[DIAS_CORRIDOS]:[V_FUT_UTEIS]], L$5, FALSE)</f>
        <v>#N/A</v>
      </c>
    </row>
    <row r="2653" spans="1:12">
      <c r="A2653" s="19">
        <f t="shared" si="214"/>
        <v>2647</v>
      </c>
      <c r="B2653" s="20">
        <f t="shared" si="210"/>
        <v>138.10144198149439</v>
      </c>
      <c r="C2653" s="21">
        <f t="shared" si="211"/>
        <v>138.10144198149439</v>
      </c>
      <c r="D2653" s="22">
        <f>VLOOKUP($A2653, TAB_JUROS_U[[Q_DIAS_U_PARC_TIR]:[V_FUT_U_JURS CENARIO]], D$5, FALSE)</f>
        <v>3.9748727567126187</v>
      </c>
      <c r="E2653" s="22">
        <f>VLOOKUP($A2653,TAB_CORRECAO_U[[Q_DIAS_U_PARC_TIR]:[V_FUT_U_CORC-02]],E$5, FALSE)</f>
        <v>24.719544881217129</v>
      </c>
      <c r="F2653" s="22">
        <f>VLOOKUP($A2653,TAB_AMORTIZACAO_U[[Q_DIAS_U_PARC_TIR]:[V_FUT_U_PCPL-02]], F$5, FALSE)</f>
        <v>109.40702434356464</v>
      </c>
      <c r="H2653" s="20">
        <f t="shared" si="212"/>
        <v>0</v>
      </c>
      <c r="I2653" s="21">
        <f t="shared" si="213"/>
        <v>0</v>
      </c>
      <c r="J2653" s="22" t="e">
        <f>VLOOKUP($A2653, TAB_JUROS_C[[DIAS_CORRIDOS]:[V_FUT_UTEIS]], J$5, FALSE)</f>
        <v>#N/A</v>
      </c>
      <c r="K2653" s="22" t="e">
        <f>VLOOKUP($A2653, TAB_CORRECAO_C[[DIAS_CORRIDOS]:[V_FUT_UTEIS]],K$5, FALSE)</f>
        <v>#N/A</v>
      </c>
      <c r="L2653" s="22" t="e">
        <f>VLOOKUP($A2653, TAB_AMORTIZACAO_C[[DIAS_CORRIDOS]:[V_FUT_UTEIS]], L$5, FALSE)</f>
        <v>#N/A</v>
      </c>
    </row>
    <row r="2654" spans="1:12" hidden="1">
      <c r="A2654" s="19">
        <f t="shared" si="214"/>
        <v>2648</v>
      </c>
      <c r="B2654" s="20">
        <f t="shared" si="210"/>
        <v>0</v>
      </c>
      <c r="C2654" s="21">
        <f t="shared" si="211"/>
        <v>0</v>
      </c>
      <c r="D2654" s="22" t="e">
        <f>VLOOKUP($A2654, TAB_JUROS_U[[Q_DIAS_U_PARC_TIR]:[V_FUT_U_JURS CENARIO]], D$5, FALSE)</f>
        <v>#N/A</v>
      </c>
      <c r="E2654" s="22" t="e">
        <f>VLOOKUP($A2654,TAB_CORRECAO_U[[Q_DIAS_U_PARC_TIR]:[V_FUT_U_CORC-02]],E$5, FALSE)</f>
        <v>#N/A</v>
      </c>
      <c r="F2654" s="22" t="e">
        <f>VLOOKUP($A2654,TAB_AMORTIZACAO_U[[Q_DIAS_U_PARC_TIR]:[V_FUT_U_PCPL-02]], F$5, FALSE)</f>
        <v>#N/A</v>
      </c>
      <c r="H2654" s="20">
        <f t="shared" si="212"/>
        <v>0</v>
      </c>
      <c r="I2654" s="21">
        <f t="shared" si="213"/>
        <v>0</v>
      </c>
      <c r="J2654" s="22" t="e">
        <f>VLOOKUP($A2654, TAB_JUROS_C[[DIAS_CORRIDOS]:[V_FUT_UTEIS]], J$5, FALSE)</f>
        <v>#N/A</v>
      </c>
      <c r="K2654" s="22" t="e">
        <f>VLOOKUP($A2654, TAB_CORRECAO_C[[DIAS_CORRIDOS]:[V_FUT_UTEIS]],K$5, FALSE)</f>
        <v>#N/A</v>
      </c>
      <c r="L2654" s="22" t="e">
        <f>VLOOKUP($A2654, TAB_AMORTIZACAO_C[[DIAS_CORRIDOS]:[V_FUT_UTEIS]], L$5, FALSE)</f>
        <v>#N/A</v>
      </c>
    </row>
    <row r="2655" spans="1:12" hidden="1">
      <c r="A2655" s="19">
        <f t="shared" si="214"/>
        <v>2649</v>
      </c>
      <c r="B2655" s="20">
        <f t="shared" si="210"/>
        <v>0</v>
      </c>
      <c r="C2655" s="21">
        <f t="shared" si="211"/>
        <v>0</v>
      </c>
      <c r="D2655" s="22" t="e">
        <f>VLOOKUP($A2655, TAB_JUROS_U[[Q_DIAS_U_PARC_TIR]:[V_FUT_U_JURS CENARIO]], D$5, FALSE)</f>
        <v>#N/A</v>
      </c>
      <c r="E2655" s="22" t="e">
        <f>VLOOKUP($A2655,TAB_CORRECAO_U[[Q_DIAS_U_PARC_TIR]:[V_FUT_U_CORC-02]],E$5, FALSE)</f>
        <v>#N/A</v>
      </c>
      <c r="F2655" s="22" t="e">
        <f>VLOOKUP($A2655,TAB_AMORTIZACAO_U[[Q_DIAS_U_PARC_TIR]:[V_FUT_U_PCPL-02]], F$5, FALSE)</f>
        <v>#N/A</v>
      </c>
      <c r="H2655" s="20">
        <f t="shared" si="212"/>
        <v>0</v>
      </c>
      <c r="I2655" s="21">
        <f t="shared" si="213"/>
        <v>0</v>
      </c>
      <c r="J2655" s="22" t="e">
        <f>VLOOKUP($A2655, TAB_JUROS_C[[DIAS_CORRIDOS]:[V_FUT_UTEIS]], J$5, FALSE)</f>
        <v>#N/A</v>
      </c>
      <c r="K2655" s="22" t="e">
        <f>VLOOKUP($A2655, TAB_CORRECAO_C[[DIAS_CORRIDOS]:[V_FUT_UTEIS]],K$5, FALSE)</f>
        <v>#N/A</v>
      </c>
      <c r="L2655" s="22" t="e">
        <f>VLOOKUP($A2655, TAB_AMORTIZACAO_C[[DIAS_CORRIDOS]:[V_FUT_UTEIS]], L$5, FALSE)</f>
        <v>#N/A</v>
      </c>
    </row>
    <row r="2656" spans="1:12" hidden="1">
      <c r="A2656" s="19">
        <f t="shared" si="214"/>
        <v>2650</v>
      </c>
      <c r="B2656" s="20">
        <f t="shared" si="210"/>
        <v>0</v>
      </c>
      <c r="C2656" s="21">
        <f t="shared" si="211"/>
        <v>0</v>
      </c>
      <c r="D2656" s="22" t="e">
        <f>VLOOKUP($A2656, TAB_JUROS_U[[Q_DIAS_U_PARC_TIR]:[V_FUT_U_JURS CENARIO]], D$5, FALSE)</f>
        <v>#N/A</v>
      </c>
      <c r="E2656" s="22" t="e">
        <f>VLOOKUP($A2656,TAB_CORRECAO_U[[Q_DIAS_U_PARC_TIR]:[V_FUT_U_CORC-02]],E$5, FALSE)</f>
        <v>#N/A</v>
      </c>
      <c r="F2656" s="22" t="e">
        <f>VLOOKUP($A2656,TAB_AMORTIZACAO_U[[Q_DIAS_U_PARC_TIR]:[V_FUT_U_PCPL-02]], F$5, FALSE)</f>
        <v>#N/A</v>
      </c>
      <c r="H2656" s="20">
        <f t="shared" si="212"/>
        <v>0</v>
      </c>
      <c r="I2656" s="21">
        <f t="shared" si="213"/>
        <v>0</v>
      </c>
      <c r="J2656" s="22" t="e">
        <f>VLOOKUP($A2656, TAB_JUROS_C[[DIAS_CORRIDOS]:[V_FUT_UTEIS]], J$5, FALSE)</f>
        <v>#N/A</v>
      </c>
      <c r="K2656" s="22" t="e">
        <f>VLOOKUP($A2656, TAB_CORRECAO_C[[DIAS_CORRIDOS]:[V_FUT_UTEIS]],K$5, FALSE)</f>
        <v>#N/A</v>
      </c>
      <c r="L2656" s="22" t="e">
        <f>VLOOKUP($A2656, TAB_AMORTIZACAO_C[[DIAS_CORRIDOS]:[V_FUT_UTEIS]], L$5, FALSE)</f>
        <v>#N/A</v>
      </c>
    </row>
    <row r="2657" spans="1:12" hidden="1">
      <c r="A2657" s="19">
        <f t="shared" si="214"/>
        <v>2651</v>
      </c>
      <c r="B2657" s="20">
        <f t="shared" si="210"/>
        <v>0</v>
      </c>
      <c r="C2657" s="21">
        <f t="shared" si="211"/>
        <v>0</v>
      </c>
      <c r="D2657" s="22" t="e">
        <f>VLOOKUP($A2657, TAB_JUROS_U[[Q_DIAS_U_PARC_TIR]:[V_FUT_U_JURS CENARIO]], D$5, FALSE)</f>
        <v>#N/A</v>
      </c>
      <c r="E2657" s="22" t="e">
        <f>VLOOKUP($A2657,TAB_CORRECAO_U[[Q_DIAS_U_PARC_TIR]:[V_FUT_U_CORC-02]],E$5, FALSE)</f>
        <v>#N/A</v>
      </c>
      <c r="F2657" s="22" t="e">
        <f>VLOOKUP($A2657,TAB_AMORTIZACAO_U[[Q_DIAS_U_PARC_TIR]:[V_FUT_U_PCPL-02]], F$5, FALSE)</f>
        <v>#N/A</v>
      </c>
      <c r="H2657" s="20">
        <f t="shared" si="212"/>
        <v>0</v>
      </c>
      <c r="I2657" s="21">
        <f t="shared" si="213"/>
        <v>0</v>
      </c>
      <c r="J2657" s="22" t="e">
        <f>VLOOKUP($A2657, TAB_JUROS_C[[DIAS_CORRIDOS]:[V_FUT_UTEIS]], J$5, FALSE)</f>
        <v>#N/A</v>
      </c>
      <c r="K2657" s="22" t="e">
        <f>VLOOKUP($A2657, TAB_CORRECAO_C[[DIAS_CORRIDOS]:[V_FUT_UTEIS]],K$5, FALSE)</f>
        <v>#N/A</v>
      </c>
      <c r="L2657" s="22" t="e">
        <f>VLOOKUP($A2657, TAB_AMORTIZACAO_C[[DIAS_CORRIDOS]:[V_FUT_UTEIS]], L$5, FALSE)</f>
        <v>#N/A</v>
      </c>
    </row>
    <row r="2658" spans="1:12" hidden="1">
      <c r="A2658" s="19">
        <f t="shared" si="214"/>
        <v>2652</v>
      </c>
      <c r="B2658" s="20">
        <f t="shared" si="210"/>
        <v>0</v>
      </c>
      <c r="C2658" s="21">
        <f t="shared" si="211"/>
        <v>0</v>
      </c>
      <c r="D2658" s="22" t="e">
        <f>VLOOKUP($A2658, TAB_JUROS_U[[Q_DIAS_U_PARC_TIR]:[V_FUT_U_JURS CENARIO]], D$5, FALSE)</f>
        <v>#N/A</v>
      </c>
      <c r="E2658" s="22" t="e">
        <f>VLOOKUP($A2658,TAB_CORRECAO_U[[Q_DIAS_U_PARC_TIR]:[V_FUT_U_CORC-02]],E$5, FALSE)</f>
        <v>#N/A</v>
      </c>
      <c r="F2658" s="22" t="e">
        <f>VLOOKUP($A2658,TAB_AMORTIZACAO_U[[Q_DIAS_U_PARC_TIR]:[V_FUT_U_PCPL-02]], F$5, FALSE)</f>
        <v>#N/A</v>
      </c>
      <c r="H2658" s="20">
        <f t="shared" si="212"/>
        <v>0</v>
      </c>
      <c r="I2658" s="21">
        <f t="shared" si="213"/>
        <v>0</v>
      </c>
      <c r="J2658" s="22" t="e">
        <f>VLOOKUP($A2658, TAB_JUROS_C[[DIAS_CORRIDOS]:[V_FUT_UTEIS]], J$5, FALSE)</f>
        <v>#N/A</v>
      </c>
      <c r="K2658" s="22" t="e">
        <f>VLOOKUP($A2658, TAB_CORRECAO_C[[DIAS_CORRIDOS]:[V_FUT_UTEIS]],K$5, FALSE)</f>
        <v>#N/A</v>
      </c>
      <c r="L2658" s="22" t="e">
        <f>VLOOKUP($A2658, TAB_AMORTIZACAO_C[[DIAS_CORRIDOS]:[V_FUT_UTEIS]], L$5, FALSE)</f>
        <v>#N/A</v>
      </c>
    </row>
    <row r="2659" spans="1:12" hidden="1">
      <c r="A2659" s="19">
        <f t="shared" si="214"/>
        <v>2653</v>
      </c>
      <c r="B2659" s="20">
        <f t="shared" si="210"/>
        <v>0</v>
      </c>
      <c r="C2659" s="21">
        <f t="shared" si="211"/>
        <v>0</v>
      </c>
      <c r="D2659" s="22" t="e">
        <f>VLOOKUP($A2659, TAB_JUROS_U[[Q_DIAS_U_PARC_TIR]:[V_FUT_U_JURS CENARIO]], D$5, FALSE)</f>
        <v>#N/A</v>
      </c>
      <c r="E2659" s="22" t="e">
        <f>VLOOKUP($A2659,TAB_CORRECAO_U[[Q_DIAS_U_PARC_TIR]:[V_FUT_U_CORC-02]],E$5, FALSE)</f>
        <v>#N/A</v>
      </c>
      <c r="F2659" s="22" t="e">
        <f>VLOOKUP($A2659,TAB_AMORTIZACAO_U[[Q_DIAS_U_PARC_TIR]:[V_FUT_U_PCPL-02]], F$5, FALSE)</f>
        <v>#N/A</v>
      </c>
      <c r="H2659" s="20">
        <f t="shared" si="212"/>
        <v>0</v>
      </c>
      <c r="I2659" s="21">
        <f t="shared" si="213"/>
        <v>0</v>
      </c>
      <c r="J2659" s="22" t="e">
        <f>VLOOKUP($A2659, TAB_JUROS_C[[DIAS_CORRIDOS]:[V_FUT_UTEIS]], J$5, FALSE)</f>
        <v>#N/A</v>
      </c>
      <c r="K2659" s="22" t="e">
        <f>VLOOKUP($A2659, TAB_CORRECAO_C[[DIAS_CORRIDOS]:[V_FUT_UTEIS]],K$5, FALSE)</f>
        <v>#N/A</v>
      </c>
      <c r="L2659" s="22" t="e">
        <f>VLOOKUP($A2659, TAB_AMORTIZACAO_C[[DIAS_CORRIDOS]:[V_FUT_UTEIS]], L$5, FALSE)</f>
        <v>#N/A</v>
      </c>
    </row>
    <row r="2660" spans="1:12" hidden="1">
      <c r="A2660" s="19">
        <f t="shared" si="214"/>
        <v>2654</v>
      </c>
      <c r="B2660" s="20">
        <f t="shared" si="210"/>
        <v>0</v>
      </c>
      <c r="C2660" s="21">
        <f t="shared" si="211"/>
        <v>0</v>
      </c>
      <c r="D2660" s="22" t="e">
        <f>VLOOKUP($A2660, TAB_JUROS_U[[Q_DIAS_U_PARC_TIR]:[V_FUT_U_JURS CENARIO]], D$5, FALSE)</f>
        <v>#N/A</v>
      </c>
      <c r="E2660" s="22" t="e">
        <f>VLOOKUP($A2660,TAB_CORRECAO_U[[Q_DIAS_U_PARC_TIR]:[V_FUT_U_CORC-02]],E$5, FALSE)</f>
        <v>#N/A</v>
      </c>
      <c r="F2660" s="22" t="e">
        <f>VLOOKUP($A2660,TAB_AMORTIZACAO_U[[Q_DIAS_U_PARC_TIR]:[V_FUT_U_PCPL-02]], F$5, FALSE)</f>
        <v>#N/A</v>
      </c>
      <c r="H2660" s="20">
        <f t="shared" si="212"/>
        <v>0</v>
      </c>
      <c r="I2660" s="21">
        <f t="shared" si="213"/>
        <v>0</v>
      </c>
      <c r="J2660" s="22" t="e">
        <f>VLOOKUP($A2660, TAB_JUROS_C[[DIAS_CORRIDOS]:[V_FUT_UTEIS]], J$5, FALSE)</f>
        <v>#N/A</v>
      </c>
      <c r="K2660" s="22" t="e">
        <f>VLOOKUP($A2660, TAB_CORRECAO_C[[DIAS_CORRIDOS]:[V_FUT_UTEIS]],K$5, FALSE)</f>
        <v>#N/A</v>
      </c>
      <c r="L2660" s="22" t="e">
        <f>VLOOKUP($A2660, TAB_AMORTIZACAO_C[[DIAS_CORRIDOS]:[V_FUT_UTEIS]], L$5, FALSE)</f>
        <v>#N/A</v>
      </c>
    </row>
    <row r="2661" spans="1:12" hidden="1">
      <c r="A2661" s="19">
        <f t="shared" si="214"/>
        <v>2655</v>
      </c>
      <c r="B2661" s="20">
        <f t="shared" si="210"/>
        <v>0</v>
      </c>
      <c r="C2661" s="21">
        <f t="shared" si="211"/>
        <v>0</v>
      </c>
      <c r="D2661" s="22" t="e">
        <f>VLOOKUP($A2661, TAB_JUROS_U[[Q_DIAS_U_PARC_TIR]:[V_FUT_U_JURS CENARIO]], D$5, FALSE)</f>
        <v>#N/A</v>
      </c>
      <c r="E2661" s="22" t="e">
        <f>VLOOKUP($A2661,TAB_CORRECAO_U[[Q_DIAS_U_PARC_TIR]:[V_FUT_U_CORC-02]],E$5, FALSE)</f>
        <v>#N/A</v>
      </c>
      <c r="F2661" s="22" t="e">
        <f>VLOOKUP($A2661,TAB_AMORTIZACAO_U[[Q_DIAS_U_PARC_TIR]:[V_FUT_U_PCPL-02]], F$5, FALSE)</f>
        <v>#N/A</v>
      </c>
      <c r="H2661" s="20">
        <f t="shared" si="212"/>
        <v>0</v>
      </c>
      <c r="I2661" s="21">
        <f t="shared" si="213"/>
        <v>0</v>
      </c>
      <c r="J2661" s="22" t="e">
        <f>VLOOKUP($A2661, TAB_JUROS_C[[DIAS_CORRIDOS]:[V_FUT_UTEIS]], J$5, FALSE)</f>
        <v>#N/A</v>
      </c>
      <c r="K2661" s="22" t="e">
        <f>VLOOKUP($A2661, TAB_CORRECAO_C[[DIAS_CORRIDOS]:[V_FUT_UTEIS]],K$5, FALSE)</f>
        <v>#N/A</v>
      </c>
      <c r="L2661" s="22" t="e">
        <f>VLOOKUP($A2661, TAB_AMORTIZACAO_C[[DIAS_CORRIDOS]:[V_FUT_UTEIS]], L$5, FALSE)</f>
        <v>#N/A</v>
      </c>
    </row>
    <row r="2662" spans="1:12" hidden="1">
      <c r="A2662" s="19">
        <f t="shared" si="214"/>
        <v>2656</v>
      </c>
      <c r="B2662" s="20">
        <f t="shared" si="210"/>
        <v>0</v>
      </c>
      <c r="C2662" s="21">
        <f t="shared" si="211"/>
        <v>0</v>
      </c>
      <c r="D2662" s="22" t="e">
        <f>VLOOKUP($A2662, TAB_JUROS_U[[Q_DIAS_U_PARC_TIR]:[V_FUT_U_JURS CENARIO]], D$5, FALSE)</f>
        <v>#N/A</v>
      </c>
      <c r="E2662" s="22" t="e">
        <f>VLOOKUP($A2662,TAB_CORRECAO_U[[Q_DIAS_U_PARC_TIR]:[V_FUT_U_CORC-02]],E$5, FALSE)</f>
        <v>#N/A</v>
      </c>
      <c r="F2662" s="22" t="e">
        <f>VLOOKUP($A2662,TAB_AMORTIZACAO_U[[Q_DIAS_U_PARC_TIR]:[V_FUT_U_PCPL-02]], F$5, FALSE)</f>
        <v>#N/A</v>
      </c>
      <c r="H2662" s="20">
        <f t="shared" si="212"/>
        <v>0</v>
      </c>
      <c r="I2662" s="21">
        <f t="shared" si="213"/>
        <v>0</v>
      </c>
      <c r="J2662" s="22" t="e">
        <f>VLOOKUP($A2662, TAB_JUROS_C[[DIAS_CORRIDOS]:[V_FUT_UTEIS]], J$5, FALSE)</f>
        <v>#N/A</v>
      </c>
      <c r="K2662" s="22" t="e">
        <f>VLOOKUP($A2662, TAB_CORRECAO_C[[DIAS_CORRIDOS]:[V_FUT_UTEIS]],K$5, FALSE)</f>
        <v>#N/A</v>
      </c>
      <c r="L2662" s="22" t="e">
        <f>VLOOKUP($A2662, TAB_AMORTIZACAO_C[[DIAS_CORRIDOS]:[V_FUT_UTEIS]], L$5, FALSE)</f>
        <v>#N/A</v>
      </c>
    </row>
    <row r="2663" spans="1:12" hidden="1">
      <c r="A2663" s="19">
        <f t="shared" si="214"/>
        <v>2657</v>
      </c>
      <c r="B2663" s="20">
        <f t="shared" si="210"/>
        <v>0</v>
      </c>
      <c r="C2663" s="21">
        <f t="shared" si="211"/>
        <v>0</v>
      </c>
      <c r="D2663" s="22" t="e">
        <f>VLOOKUP($A2663, TAB_JUROS_U[[Q_DIAS_U_PARC_TIR]:[V_FUT_U_JURS CENARIO]], D$5, FALSE)</f>
        <v>#N/A</v>
      </c>
      <c r="E2663" s="22" t="e">
        <f>VLOOKUP($A2663,TAB_CORRECAO_U[[Q_DIAS_U_PARC_TIR]:[V_FUT_U_CORC-02]],E$5, FALSE)</f>
        <v>#N/A</v>
      </c>
      <c r="F2663" s="22" t="e">
        <f>VLOOKUP($A2663,TAB_AMORTIZACAO_U[[Q_DIAS_U_PARC_TIR]:[V_FUT_U_PCPL-02]], F$5, FALSE)</f>
        <v>#N/A</v>
      </c>
      <c r="H2663" s="20">
        <f t="shared" si="212"/>
        <v>0</v>
      </c>
      <c r="I2663" s="21">
        <f t="shared" si="213"/>
        <v>0</v>
      </c>
      <c r="J2663" s="22" t="e">
        <f>VLOOKUP($A2663, TAB_JUROS_C[[DIAS_CORRIDOS]:[V_FUT_UTEIS]], J$5, FALSE)</f>
        <v>#N/A</v>
      </c>
      <c r="K2663" s="22" t="e">
        <f>VLOOKUP($A2663, TAB_CORRECAO_C[[DIAS_CORRIDOS]:[V_FUT_UTEIS]],K$5, FALSE)</f>
        <v>#N/A</v>
      </c>
      <c r="L2663" s="22" t="e">
        <f>VLOOKUP($A2663, TAB_AMORTIZACAO_C[[DIAS_CORRIDOS]:[V_FUT_UTEIS]], L$5, FALSE)</f>
        <v>#N/A</v>
      </c>
    </row>
    <row r="2664" spans="1:12" hidden="1">
      <c r="A2664" s="19">
        <f t="shared" si="214"/>
        <v>2658</v>
      </c>
      <c r="B2664" s="20">
        <f t="shared" si="210"/>
        <v>0</v>
      </c>
      <c r="C2664" s="21">
        <f t="shared" si="211"/>
        <v>0</v>
      </c>
      <c r="D2664" s="22" t="e">
        <f>VLOOKUP($A2664, TAB_JUROS_U[[Q_DIAS_U_PARC_TIR]:[V_FUT_U_JURS CENARIO]], D$5, FALSE)</f>
        <v>#N/A</v>
      </c>
      <c r="E2664" s="22" t="e">
        <f>VLOOKUP($A2664,TAB_CORRECAO_U[[Q_DIAS_U_PARC_TIR]:[V_FUT_U_CORC-02]],E$5, FALSE)</f>
        <v>#N/A</v>
      </c>
      <c r="F2664" s="22" t="e">
        <f>VLOOKUP($A2664,TAB_AMORTIZACAO_U[[Q_DIAS_U_PARC_TIR]:[V_FUT_U_PCPL-02]], F$5, FALSE)</f>
        <v>#N/A</v>
      </c>
      <c r="H2664" s="20">
        <f t="shared" si="212"/>
        <v>0</v>
      </c>
      <c r="I2664" s="21">
        <f t="shared" si="213"/>
        <v>0</v>
      </c>
      <c r="J2664" s="22" t="e">
        <f>VLOOKUP($A2664, TAB_JUROS_C[[DIAS_CORRIDOS]:[V_FUT_UTEIS]], J$5, FALSE)</f>
        <v>#N/A</v>
      </c>
      <c r="K2664" s="22" t="e">
        <f>VLOOKUP($A2664, TAB_CORRECAO_C[[DIAS_CORRIDOS]:[V_FUT_UTEIS]],K$5, FALSE)</f>
        <v>#N/A</v>
      </c>
      <c r="L2664" s="22" t="e">
        <f>VLOOKUP($A2664, TAB_AMORTIZACAO_C[[DIAS_CORRIDOS]:[V_FUT_UTEIS]], L$5, FALSE)</f>
        <v>#N/A</v>
      </c>
    </row>
    <row r="2665" spans="1:12" hidden="1">
      <c r="A2665" s="19">
        <f t="shared" si="214"/>
        <v>2659</v>
      </c>
      <c r="B2665" s="20">
        <f t="shared" si="210"/>
        <v>0</v>
      </c>
      <c r="C2665" s="21">
        <f t="shared" si="211"/>
        <v>0</v>
      </c>
      <c r="D2665" s="22" t="e">
        <f>VLOOKUP($A2665, TAB_JUROS_U[[Q_DIAS_U_PARC_TIR]:[V_FUT_U_JURS CENARIO]], D$5, FALSE)</f>
        <v>#N/A</v>
      </c>
      <c r="E2665" s="22" t="e">
        <f>VLOOKUP($A2665,TAB_CORRECAO_U[[Q_DIAS_U_PARC_TIR]:[V_FUT_U_CORC-02]],E$5, FALSE)</f>
        <v>#N/A</v>
      </c>
      <c r="F2665" s="22" t="e">
        <f>VLOOKUP($A2665,TAB_AMORTIZACAO_U[[Q_DIAS_U_PARC_TIR]:[V_FUT_U_PCPL-02]], F$5, FALSE)</f>
        <v>#N/A</v>
      </c>
      <c r="H2665" s="20">
        <f t="shared" si="212"/>
        <v>0</v>
      </c>
      <c r="I2665" s="21">
        <f t="shared" si="213"/>
        <v>0</v>
      </c>
      <c r="J2665" s="22" t="e">
        <f>VLOOKUP($A2665, TAB_JUROS_C[[DIAS_CORRIDOS]:[V_FUT_UTEIS]], J$5, FALSE)</f>
        <v>#N/A</v>
      </c>
      <c r="K2665" s="22" t="e">
        <f>VLOOKUP($A2665, TAB_CORRECAO_C[[DIAS_CORRIDOS]:[V_FUT_UTEIS]],K$5, FALSE)</f>
        <v>#N/A</v>
      </c>
      <c r="L2665" s="22" t="e">
        <f>VLOOKUP($A2665, TAB_AMORTIZACAO_C[[DIAS_CORRIDOS]:[V_FUT_UTEIS]], L$5, FALSE)</f>
        <v>#N/A</v>
      </c>
    </row>
    <row r="2666" spans="1:12" hidden="1">
      <c r="A2666" s="19">
        <f t="shared" si="214"/>
        <v>2660</v>
      </c>
      <c r="B2666" s="20">
        <f t="shared" si="210"/>
        <v>0</v>
      </c>
      <c r="C2666" s="21">
        <f t="shared" si="211"/>
        <v>0</v>
      </c>
      <c r="D2666" s="22" t="e">
        <f>VLOOKUP($A2666, TAB_JUROS_U[[Q_DIAS_U_PARC_TIR]:[V_FUT_U_JURS CENARIO]], D$5, FALSE)</f>
        <v>#N/A</v>
      </c>
      <c r="E2666" s="22" t="e">
        <f>VLOOKUP($A2666,TAB_CORRECAO_U[[Q_DIAS_U_PARC_TIR]:[V_FUT_U_CORC-02]],E$5, FALSE)</f>
        <v>#N/A</v>
      </c>
      <c r="F2666" s="22" t="e">
        <f>VLOOKUP($A2666,TAB_AMORTIZACAO_U[[Q_DIAS_U_PARC_TIR]:[V_FUT_U_PCPL-02]], F$5, FALSE)</f>
        <v>#N/A</v>
      </c>
      <c r="H2666" s="20">
        <f t="shared" si="212"/>
        <v>0</v>
      </c>
      <c r="I2666" s="21">
        <f t="shared" si="213"/>
        <v>0</v>
      </c>
      <c r="J2666" s="22" t="e">
        <f>VLOOKUP($A2666, TAB_JUROS_C[[DIAS_CORRIDOS]:[V_FUT_UTEIS]], J$5, FALSE)</f>
        <v>#N/A</v>
      </c>
      <c r="K2666" s="22" t="e">
        <f>VLOOKUP($A2666, TAB_CORRECAO_C[[DIAS_CORRIDOS]:[V_FUT_UTEIS]],K$5, FALSE)</f>
        <v>#N/A</v>
      </c>
      <c r="L2666" s="22" t="e">
        <f>VLOOKUP($A2666, TAB_AMORTIZACAO_C[[DIAS_CORRIDOS]:[V_FUT_UTEIS]], L$5, FALSE)</f>
        <v>#N/A</v>
      </c>
    </row>
    <row r="2667" spans="1:12" hidden="1">
      <c r="A2667" s="19">
        <f t="shared" si="214"/>
        <v>2661</v>
      </c>
      <c r="B2667" s="20">
        <f t="shared" si="210"/>
        <v>0</v>
      </c>
      <c r="C2667" s="21">
        <f t="shared" si="211"/>
        <v>0</v>
      </c>
      <c r="D2667" s="22" t="e">
        <f>VLOOKUP($A2667, TAB_JUROS_U[[Q_DIAS_U_PARC_TIR]:[V_FUT_U_JURS CENARIO]], D$5, FALSE)</f>
        <v>#N/A</v>
      </c>
      <c r="E2667" s="22" t="e">
        <f>VLOOKUP($A2667,TAB_CORRECAO_U[[Q_DIAS_U_PARC_TIR]:[V_FUT_U_CORC-02]],E$5, FALSE)</f>
        <v>#N/A</v>
      </c>
      <c r="F2667" s="22" t="e">
        <f>VLOOKUP($A2667,TAB_AMORTIZACAO_U[[Q_DIAS_U_PARC_TIR]:[V_FUT_U_PCPL-02]], F$5, FALSE)</f>
        <v>#N/A</v>
      </c>
      <c r="H2667" s="20">
        <f t="shared" si="212"/>
        <v>381.42707798655073</v>
      </c>
      <c r="I2667" s="21">
        <f t="shared" si="213"/>
        <v>381.42707798655073</v>
      </c>
      <c r="J2667" s="22">
        <f>VLOOKUP($A2667, TAB_JUROS_C[[DIAS_CORRIDOS]:[V_FUT_UTEIS]], J$5, FALSE)</f>
        <v>24.234742951806965</v>
      </c>
      <c r="K2667" s="22">
        <f>VLOOKUP($A2667, TAB_CORRECAO_C[[DIAS_CORRIDOS]:[V_FUT_UTEIS]],K$5, FALSE)</f>
        <v>149.15306606951424</v>
      </c>
      <c r="L2667" s="22">
        <f>VLOOKUP($A2667, TAB_AMORTIZACAO_C[[DIAS_CORRIDOS]:[V_FUT_UTEIS]], L$5, FALSE)</f>
        <v>208.03926896522952</v>
      </c>
    </row>
    <row r="2668" spans="1:12" hidden="1">
      <c r="A2668" s="19">
        <f t="shared" si="214"/>
        <v>2662</v>
      </c>
      <c r="B2668" s="20">
        <f t="shared" si="210"/>
        <v>0</v>
      </c>
      <c r="C2668" s="21">
        <f t="shared" si="211"/>
        <v>0</v>
      </c>
      <c r="D2668" s="22" t="e">
        <f>VLOOKUP($A2668, TAB_JUROS_U[[Q_DIAS_U_PARC_TIR]:[V_FUT_U_JURS CENARIO]], D$5, FALSE)</f>
        <v>#N/A</v>
      </c>
      <c r="E2668" s="22" t="e">
        <f>VLOOKUP($A2668,TAB_CORRECAO_U[[Q_DIAS_U_PARC_TIR]:[V_FUT_U_CORC-02]],E$5, FALSE)</f>
        <v>#N/A</v>
      </c>
      <c r="F2668" s="22" t="e">
        <f>VLOOKUP($A2668,TAB_AMORTIZACAO_U[[Q_DIAS_U_PARC_TIR]:[V_FUT_U_PCPL-02]], F$5, FALSE)</f>
        <v>#N/A</v>
      </c>
      <c r="H2668" s="20">
        <f t="shared" si="212"/>
        <v>0</v>
      </c>
      <c r="I2668" s="21">
        <f t="shared" si="213"/>
        <v>0</v>
      </c>
      <c r="J2668" s="22" t="e">
        <f>VLOOKUP($A2668, TAB_JUROS_C[[DIAS_CORRIDOS]:[V_FUT_UTEIS]], J$5, FALSE)</f>
        <v>#N/A</v>
      </c>
      <c r="K2668" s="22" t="e">
        <f>VLOOKUP($A2668, TAB_CORRECAO_C[[DIAS_CORRIDOS]:[V_FUT_UTEIS]],K$5, FALSE)</f>
        <v>#N/A</v>
      </c>
      <c r="L2668" s="22" t="e">
        <f>VLOOKUP($A2668, TAB_AMORTIZACAO_C[[DIAS_CORRIDOS]:[V_FUT_UTEIS]], L$5, FALSE)</f>
        <v>#N/A</v>
      </c>
    </row>
    <row r="2669" spans="1:12" hidden="1">
      <c r="A2669" s="19">
        <f t="shared" si="214"/>
        <v>2663</v>
      </c>
      <c r="B2669" s="20">
        <f t="shared" si="210"/>
        <v>0</v>
      </c>
      <c r="C2669" s="21">
        <f t="shared" si="211"/>
        <v>0</v>
      </c>
      <c r="D2669" s="22" t="e">
        <f>VLOOKUP($A2669, TAB_JUROS_U[[Q_DIAS_U_PARC_TIR]:[V_FUT_U_JURS CENARIO]], D$5, FALSE)</f>
        <v>#N/A</v>
      </c>
      <c r="E2669" s="22" t="e">
        <f>VLOOKUP($A2669,TAB_CORRECAO_U[[Q_DIAS_U_PARC_TIR]:[V_FUT_U_CORC-02]],E$5, FALSE)</f>
        <v>#N/A</v>
      </c>
      <c r="F2669" s="22" t="e">
        <f>VLOOKUP($A2669,TAB_AMORTIZACAO_U[[Q_DIAS_U_PARC_TIR]:[V_FUT_U_PCPL-02]], F$5, FALSE)</f>
        <v>#N/A</v>
      </c>
      <c r="H2669" s="20">
        <f t="shared" si="212"/>
        <v>0</v>
      </c>
      <c r="I2669" s="21">
        <f t="shared" si="213"/>
        <v>0</v>
      </c>
      <c r="J2669" s="22" t="e">
        <f>VLOOKUP($A2669, TAB_JUROS_C[[DIAS_CORRIDOS]:[V_FUT_UTEIS]], J$5, FALSE)</f>
        <v>#N/A</v>
      </c>
      <c r="K2669" s="22" t="e">
        <f>VLOOKUP($A2669, TAB_CORRECAO_C[[DIAS_CORRIDOS]:[V_FUT_UTEIS]],K$5, FALSE)</f>
        <v>#N/A</v>
      </c>
      <c r="L2669" s="22" t="e">
        <f>VLOOKUP($A2669, TAB_AMORTIZACAO_C[[DIAS_CORRIDOS]:[V_FUT_UTEIS]], L$5, FALSE)</f>
        <v>#N/A</v>
      </c>
    </row>
    <row r="2670" spans="1:12" hidden="1">
      <c r="A2670" s="19">
        <f t="shared" si="214"/>
        <v>2664</v>
      </c>
      <c r="B2670" s="20">
        <f t="shared" si="210"/>
        <v>0</v>
      </c>
      <c r="C2670" s="21">
        <f t="shared" si="211"/>
        <v>0</v>
      </c>
      <c r="D2670" s="22" t="e">
        <f>VLOOKUP($A2670, TAB_JUROS_U[[Q_DIAS_U_PARC_TIR]:[V_FUT_U_JURS CENARIO]], D$5, FALSE)</f>
        <v>#N/A</v>
      </c>
      <c r="E2670" s="22" t="e">
        <f>VLOOKUP($A2670,TAB_CORRECAO_U[[Q_DIAS_U_PARC_TIR]:[V_FUT_U_CORC-02]],E$5, FALSE)</f>
        <v>#N/A</v>
      </c>
      <c r="F2670" s="22" t="e">
        <f>VLOOKUP($A2670,TAB_AMORTIZACAO_U[[Q_DIAS_U_PARC_TIR]:[V_FUT_U_PCPL-02]], F$5, FALSE)</f>
        <v>#N/A</v>
      </c>
      <c r="H2670" s="20">
        <f t="shared" si="212"/>
        <v>0</v>
      </c>
      <c r="I2670" s="21">
        <f t="shared" si="213"/>
        <v>0</v>
      </c>
      <c r="J2670" s="22" t="e">
        <f>VLOOKUP($A2670, TAB_JUROS_C[[DIAS_CORRIDOS]:[V_FUT_UTEIS]], J$5, FALSE)</f>
        <v>#N/A</v>
      </c>
      <c r="K2670" s="22" t="e">
        <f>VLOOKUP($A2670, TAB_CORRECAO_C[[DIAS_CORRIDOS]:[V_FUT_UTEIS]],K$5, FALSE)</f>
        <v>#N/A</v>
      </c>
      <c r="L2670" s="22" t="e">
        <f>VLOOKUP($A2670, TAB_AMORTIZACAO_C[[DIAS_CORRIDOS]:[V_FUT_UTEIS]], L$5, FALSE)</f>
        <v>#N/A</v>
      </c>
    </row>
    <row r="2671" spans="1:12" hidden="1">
      <c r="A2671" s="19">
        <f t="shared" si="214"/>
        <v>2665</v>
      </c>
      <c r="B2671" s="20">
        <f t="shared" si="210"/>
        <v>0</v>
      </c>
      <c r="C2671" s="21">
        <f t="shared" si="211"/>
        <v>0</v>
      </c>
      <c r="D2671" s="22" t="e">
        <f>VLOOKUP($A2671, TAB_JUROS_U[[Q_DIAS_U_PARC_TIR]:[V_FUT_U_JURS CENARIO]], D$5, FALSE)</f>
        <v>#N/A</v>
      </c>
      <c r="E2671" s="22" t="e">
        <f>VLOOKUP($A2671,TAB_CORRECAO_U[[Q_DIAS_U_PARC_TIR]:[V_FUT_U_CORC-02]],E$5, FALSE)</f>
        <v>#N/A</v>
      </c>
      <c r="F2671" s="22" t="e">
        <f>VLOOKUP($A2671,TAB_AMORTIZACAO_U[[Q_DIAS_U_PARC_TIR]:[V_FUT_U_PCPL-02]], F$5, FALSE)</f>
        <v>#N/A</v>
      </c>
      <c r="H2671" s="20">
        <f t="shared" si="212"/>
        <v>0</v>
      </c>
      <c r="I2671" s="21">
        <f t="shared" si="213"/>
        <v>0</v>
      </c>
      <c r="J2671" s="22" t="e">
        <f>VLOOKUP($A2671, TAB_JUROS_C[[DIAS_CORRIDOS]:[V_FUT_UTEIS]], J$5, FALSE)</f>
        <v>#N/A</v>
      </c>
      <c r="K2671" s="22" t="e">
        <f>VLOOKUP($A2671, TAB_CORRECAO_C[[DIAS_CORRIDOS]:[V_FUT_UTEIS]],K$5, FALSE)</f>
        <v>#N/A</v>
      </c>
      <c r="L2671" s="22" t="e">
        <f>VLOOKUP($A2671, TAB_AMORTIZACAO_C[[DIAS_CORRIDOS]:[V_FUT_UTEIS]], L$5, FALSE)</f>
        <v>#N/A</v>
      </c>
    </row>
    <row r="2672" spans="1:12" hidden="1">
      <c r="A2672" s="19">
        <f t="shared" si="214"/>
        <v>2666</v>
      </c>
      <c r="B2672" s="20">
        <f t="shared" si="210"/>
        <v>0</v>
      </c>
      <c r="C2672" s="21">
        <f t="shared" si="211"/>
        <v>0</v>
      </c>
      <c r="D2672" s="22" t="e">
        <f>VLOOKUP($A2672, TAB_JUROS_U[[Q_DIAS_U_PARC_TIR]:[V_FUT_U_JURS CENARIO]], D$5, FALSE)</f>
        <v>#N/A</v>
      </c>
      <c r="E2672" s="22" t="e">
        <f>VLOOKUP($A2672,TAB_CORRECAO_U[[Q_DIAS_U_PARC_TIR]:[V_FUT_U_CORC-02]],E$5, FALSE)</f>
        <v>#N/A</v>
      </c>
      <c r="F2672" s="22" t="e">
        <f>VLOOKUP($A2672,TAB_AMORTIZACAO_U[[Q_DIAS_U_PARC_TIR]:[V_FUT_U_PCPL-02]], F$5, FALSE)</f>
        <v>#N/A</v>
      </c>
      <c r="H2672" s="20">
        <f t="shared" si="212"/>
        <v>0</v>
      </c>
      <c r="I2672" s="21">
        <f t="shared" si="213"/>
        <v>0</v>
      </c>
      <c r="J2672" s="22" t="e">
        <f>VLOOKUP($A2672, TAB_JUROS_C[[DIAS_CORRIDOS]:[V_FUT_UTEIS]], J$5, FALSE)</f>
        <v>#N/A</v>
      </c>
      <c r="K2672" s="22" t="e">
        <f>VLOOKUP($A2672, TAB_CORRECAO_C[[DIAS_CORRIDOS]:[V_FUT_UTEIS]],K$5, FALSE)</f>
        <v>#N/A</v>
      </c>
      <c r="L2672" s="22" t="e">
        <f>VLOOKUP($A2672, TAB_AMORTIZACAO_C[[DIAS_CORRIDOS]:[V_FUT_UTEIS]], L$5, FALSE)</f>
        <v>#N/A</v>
      </c>
    </row>
    <row r="2673" spans="1:12" hidden="1">
      <c r="A2673" s="19">
        <f t="shared" si="214"/>
        <v>2667</v>
      </c>
      <c r="B2673" s="20">
        <f t="shared" si="210"/>
        <v>0</v>
      </c>
      <c r="C2673" s="21">
        <f t="shared" si="211"/>
        <v>0</v>
      </c>
      <c r="D2673" s="22" t="e">
        <f>VLOOKUP($A2673, TAB_JUROS_U[[Q_DIAS_U_PARC_TIR]:[V_FUT_U_JURS CENARIO]], D$5, FALSE)</f>
        <v>#N/A</v>
      </c>
      <c r="E2673" s="22" t="e">
        <f>VLOOKUP($A2673,TAB_CORRECAO_U[[Q_DIAS_U_PARC_TIR]:[V_FUT_U_CORC-02]],E$5, FALSE)</f>
        <v>#N/A</v>
      </c>
      <c r="F2673" s="22" t="e">
        <f>VLOOKUP($A2673,TAB_AMORTIZACAO_U[[Q_DIAS_U_PARC_TIR]:[V_FUT_U_PCPL-02]], F$5, FALSE)</f>
        <v>#N/A</v>
      </c>
      <c r="H2673" s="20">
        <f t="shared" si="212"/>
        <v>0</v>
      </c>
      <c r="I2673" s="21">
        <f t="shared" si="213"/>
        <v>0</v>
      </c>
      <c r="J2673" s="22" t="e">
        <f>VLOOKUP($A2673, TAB_JUROS_C[[DIAS_CORRIDOS]:[V_FUT_UTEIS]], J$5, FALSE)</f>
        <v>#N/A</v>
      </c>
      <c r="K2673" s="22" t="e">
        <f>VLOOKUP($A2673, TAB_CORRECAO_C[[DIAS_CORRIDOS]:[V_FUT_UTEIS]],K$5, FALSE)</f>
        <v>#N/A</v>
      </c>
      <c r="L2673" s="22" t="e">
        <f>VLOOKUP($A2673, TAB_AMORTIZACAO_C[[DIAS_CORRIDOS]:[V_FUT_UTEIS]], L$5, FALSE)</f>
        <v>#N/A</v>
      </c>
    </row>
    <row r="2674" spans="1:12" hidden="1">
      <c r="A2674" s="19">
        <f t="shared" si="214"/>
        <v>2668</v>
      </c>
      <c r="B2674" s="20">
        <f t="shared" si="210"/>
        <v>0</v>
      </c>
      <c r="C2674" s="21">
        <f t="shared" si="211"/>
        <v>0</v>
      </c>
      <c r="D2674" s="22" t="e">
        <f>VLOOKUP($A2674, TAB_JUROS_U[[Q_DIAS_U_PARC_TIR]:[V_FUT_U_JURS CENARIO]], D$5, FALSE)</f>
        <v>#N/A</v>
      </c>
      <c r="E2674" s="22" t="e">
        <f>VLOOKUP($A2674,TAB_CORRECAO_U[[Q_DIAS_U_PARC_TIR]:[V_FUT_U_CORC-02]],E$5, FALSE)</f>
        <v>#N/A</v>
      </c>
      <c r="F2674" s="22" t="e">
        <f>VLOOKUP($A2674,TAB_AMORTIZACAO_U[[Q_DIAS_U_PARC_TIR]:[V_FUT_U_PCPL-02]], F$5, FALSE)</f>
        <v>#N/A</v>
      </c>
      <c r="H2674" s="20">
        <f t="shared" si="212"/>
        <v>0</v>
      </c>
      <c r="I2674" s="21">
        <f t="shared" si="213"/>
        <v>0</v>
      </c>
      <c r="J2674" s="22" t="e">
        <f>VLOOKUP($A2674, TAB_JUROS_C[[DIAS_CORRIDOS]:[V_FUT_UTEIS]], J$5, FALSE)</f>
        <v>#N/A</v>
      </c>
      <c r="K2674" s="22" t="e">
        <f>VLOOKUP($A2674, TAB_CORRECAO_C[[DIAS_CORRIDOS]:[V_FUT_UTEIS]],K$5, FALSE)</f>
        <v>#N/A</v>
      </c>
      <c r="L2674" s="22" t="e">
        <f>VLOOKUP($A2674, TAB_AMORTIZACAO_C[[DIAS_CORRIDOS]:[V_FUT_UTEIS]], L$5, FALSE)</f>
        <v>#N/A</v>
      </c>
    </row>
    <row r="2675" spans="1:12" hidden="1">
      <c r="A2675" s="19">
        <f t="shared" si="214"/>
        <v>2669</v>
      </c>
      <c r="B2675" s="20">
        <f t="shared" si="210"/>
        <v>0</v>
      </c>
      <c r="C2675" s="21">
        <f t="shared" si="211"/>
        <v>0</v>
      </c>
      <c r="D2675" s="22" t="e">
        <f>VLOOKUP($A2675, TAB_JUROS_U[[Q_DIAS_U_PARC_TIR]:[V_FUT_U_JURS CENARIO]], D$5, FALSE)</f>
        <v>#N/A</v>
      </c>
      <c r="E2675" s="22" t="e">
        <f>VLOOKUP($A2675,TAB_CORRECAO_U[[Q_DIAS_U_PARC_TIR]:[V_FUT_U_CORC-02]],E$5, FALSE)</f>
        <v>#N/A</v>
      </c>
      <c r="F2675" s="22" t="e">
        <f>VLOOKUP($A2675,TAB_AMORTIZACAO_U[[Q_DIAS_U_PARC_TIR]:[V_FUT_U_PCPL-02]], F$5, FALSE)</f>
        <v>#N/A</v>
      </c>
      <c r="H2675" s="20">
        <f t="shared" si="212"/>
        <v>0</v>
      </c>
      <c r="I2675" s="21">
        <f t="shared" si="213"/>
        <v>0</v>
      </c>
      <c r="J2675" s="22" t="e">
        <f>VLOOKUP($A2675, TAB_JUROS_C[[DIAS_CORRIDOS]:[V_FUT_UTEIS]], J$5, FALSE)</f>
        <v>#N/A</v>
      </c>
      <c r="K2675" s="22" t="e">
        <f>VLOOKUP($A2675, TAB_CORRECAO_C[[DIAS_CORRIDOS]:[V_FUT_UTEIS]],K$5, FALSE)</f>
        <v>#N/A</v>
      </c>
      <c r="L2675" s="22" t="e">
        <f>VLOOKUP($A2675, TAB_AMORTIZACAO_C[[DIAS_CORRIDOS]:[V_FUT_UTEIS]], L$5, FALSE)</f>
        <v>#N/A</v>
      </c>
    </row>
    <row r="2676" spans="1:12">
      <c r="A2676" s="19">
        <f t="shared" si="214"/>
        <v>2670</v>
      </c>
      <c r="B2676" s="20">
        <f t="shared" si="210"/>
        <v>135.52018204370225</v>
      </c>
      <c r="C2676" s="21">
        <f t="shared" si="211"/>
        <v>135.52018204370225</v>
      </c>
      <c r="D2676" s="22">
        <f>VLOOKUP($A2676, TAB_JUROS_U[[Q_DIAS_U_PARC_TIR]:[V_FUT_U_JURS CENARIO]], D$5, FALSE)</f>
        <v>4.0521175505055451</v>
      </c>
      <c r="E2676" s="22">
        <f>VLOOKUP($A2676,TAB_CORRECAO_U[[Q_DIAS_U_PARC_TIR]:[V_FUT_U_CORC-02]],E$5, FALSE)</f>
        <v>25.182041950752652</v>
      </c>
      <c r="F2676" s="22">
        <f>VLOOKUP($A2676,TAB_AMORTIZACAO_U[[Q_DIAS_U_PARC_TIR]:[V_FUT_U_PCPL-02]], F$5, FALSE)</f>
        <v>106.28602254244404</v>
      </c>
      <c r="H2676" s="20">
        <f t="shared" si="212"/>
        <v>0</v>
      </c>
      <c r="I2676" s="21">
        <f t="shared" si="213"/>
        <v>0</v>
      </c>
      <c r="J2676" s="22" t="e">
        <f>VLOOKUP($A2676, TAB_JUROS_C[[DIAS_CORRIDOS]:[V_FUT_UTEIS]], J$5, FALSE)</f>
        <v>#N/A</v>
      </c>
      <c r="K2676" s="22" t="e">
        <f>VLOOKUP($A2676, TAB_CORRECAO_C[[DIAS_CORRIDOS]:[V_FUT_UTEIS]],K$5, FALSE)</f>
        <v>#N/A</v>
      </c>
      <c r="L2676" s="22" t="e">
        <f>VLOOKUP($A2676, TAB_AMORTIZACAO_C[[DIAS_CORRIDOS]:[V_FUT_UTEIS]], L$5, FALSE)</f>
        <v>#N/A</v>
      </c>
    </row>
    <row r="2677" spans="1:12" hidden="1">
      <c r="A2677" s="19">
        <f t="shared" si="214"/>
        <v>2671</v>
      </c>
      <c r="B2677" s="20">
        <f t="shared" si="210"/>
        <v>0</v>
      </c>
      <c r="C2677" s="21">
        <f t="shared" si="211"/>
        <v>0</v>
      </c>
      <c r="D2677" s="22" t="e">
        <f>VLOOKUP($A2677, TAB_JUROS_U[[Q_DIAS_U_PARC_TIR]:[V_FUT_U_JURS CENARIO]], D$5, FALSE)</f>
        <v>#N/A</v>
      </c>
      <c r="E2677" s="22" t="e">
        <f>VLOOKUP($A2677,TAB_CORRECAO_U[[Q_DIAS_U_PARC_TIR]:[V_FUT_U_CORC-02]],E$5, FALSE)</f>
        <v>#N/A</v>
      </c>
      <c r="F2677" s="22" t="e">
        <f>VLOOKUP($A2677,TAB_AMORTIZACAO_U[[Q_DIAS_U_PARC_TIR]:[V_FUT_U_PCPL-02]], F$5, FALSE)</f>
        <v>#N/A</v>
      </c>
      <c r="H2677" s="20">
        <f t="shared" si="212"/>
        <v>0</v>
      </c>
      <c r="I2677" s="21">
        <f t="shared" si="213"/>
        <v>0</v>
      </c>
      <c r="J2677" s="22" t="e">
        <f>VLOOKUP($A2677, TAB_JUROS_C[[DIAS_CORRIDOS]:[V_FUT_UTEIS]], J$5, FALSE)</f>
        <v>#N/A</v>
      </c>
      <c r="K2677" s="22" t="e">
        <f>VLOOKUP($A2677, TAB_CORRECAO_C[[DIAS_CORRIDOS]:[V_FUT_UTEIS]],K$5, FALSE)</f>
        <v>#N/A</v>
      </c>
      <c r="L2677" s="22" t="e">
        <f>VLOOKUP($A2677, TAB_AMORTIZACAO_C[[DIAS_CORRIDOS]:[V_FUT_UTEIS]], L$5, FALSE)</f>
        <v>#N/A</v>
      </c>
    </row>
    <row r="2678" spans="1:12" hidden="1">
      <c r="A2678" s="19">
        <f t="shared" si="214"/>
        <v>2672</v>
      </c>
      <c r="B2678" s="20">
        <f t="shared" si="210"/>
        <v>0</v>
      </c>
      <c r="C2678" s="21">
        <f t="shared" si="211"/>
        <v>0</v>
      </c>
      <c r="D2678" s="22" t="e">
        <f>VLOOKUP($A2678, TAB_JUROS_U[[Q_DIAS_U_PARC_TIR]:[V_FUT_U_JURS CENARIO]], D$5, FALSE)</f>
        <v>#N/A</v>
      </c>
      <c r="E2678" s="22" t="e">
        <f>VLOOKUP($A2678,TAB_CORRECAO_U[[Q_DIAS_U_PARC_TIR]:[V_FUT_U_CORC-02]],E$5, FALSE)</f>
        <v>#N/A</v>
      </c>
      <c r="F2678" s="22" t="e">
        <f>VLOOKUP($A2678,TAB_AMORTIZACAO_U[[Q_DIAS_U_PARC_TIR]:[V_FUT_U_PCPL-02]], F$5, FALSE)</f>
        <v>#N/A</v>
      </c>
      <c r="H2678" s="20">
        <f t="shared" si="212"/>
        <v>0</v>
      </c>
      <c r="I2678" s="21">
        <f t="shared" si="213"/>
        <v>0</v>
      </c>
      <c r="J2678" s="22" t="e">
        <f>VLOOKUP($A2678, TAB_JUROS_C[[DIAS_CORRIDOS]:[V_FUT_UTEIS]], J$5, FALSE)</f>
        <v>#N/A</v>
      </c>
      <c r="K2678" s="22" t="e">
        <f>VLOOKUP($A2678, TAB_CORRECAO_C[[DIAS_CORRIDOS]:[V_FUT_UTEIS]],K$5, FALSE)</f>
        <v>#N/A</v>
      </c>
      <c r="L2678" s="22" t="e">
        <f>VLOOKUP($A2678, TAB_AMORTIZACAO_C[[DIAS_CORRIDOS]:[V_FUT_UTEIS]], L$5, FALSE)</f>
        <v>#N/A</v>
      </c>
    </row>
    <row r="2679" spans="1:12" hidden="1">
      <c r="A2679" s="19">
        <f t="shared" si="214"/>
        <v>2673</v>
      </c>
      <c r="B2679" s="20">
        <f t="shared" si="210"/>
        <v>0</v>
      </c>
      <c r="C2679" s="21">
        <f t="shared" si="211"/>
        <v>0</v>
      </c>
      <c r="D2679" s="22" t="e">
        <f>VLOOKUP($A2679, TAB_JUROS_U[[Q_DIAS_U_PARC_TIR]:[V_FUT_U_JURS CENARIO]], D$5, FALSE)</f>
        <v>#N/A</v>
      </c>
      <c r="E2679" s="22" t="e">
        <f>VLOOKUP($A2679,TAB_CORRECAO_U[[Q_DIAS_U_PARC_TIR]:[V_FUT_U_CORC-02]],E$5, FALSE)</f>
        <v>#N/A</v>
      </c>
      <c r="F2679" s="22" t="e">
        <f>VLOOKUP($A2679,TAB_AMORTIZACAO_U[[Q_DIAS_U_PARC_TIR]:[V_FUT_U_PCPL-02]], F$5, FALSE)</f>
        <v>#N/A</v>
      </c>
      <c r="H2679" s="20">
        <f t="shared" si="212"/>
        <v>0</v>
      </c>
      <c r="I2679" s="21">
        <f t="shared" si="213"/>
        <v>0</v>
      </c>
      <c r="J2679" s="22" t="e">
        <f>VLOOKUP($A2679, TAB_JUROS_C[[DIAS_CORRIDOS]:[V_FUT_UTEIS]], J$5, FALSE)</f>
        <v>#N/A</v>
      </c>
      <c r="K2679" s="22" t="e">
        <f>VLOOKUP($A2679, TAB_CORRECAO_C[[DIAS_CORRIDOS]:[V_FUT_UTEIS]],K$5, FALSE)</f>
        <v>#N/A</v>
      </c>
      <c r="L2679" s="22" t="e">
        <f>VLOOKUP($A2679, TAB_AMORTIZACAO_C[[DIAS_CORRIDOS]:[V_FUT_UTEIS]], L$5, FALSE)</f>
        <v>#N/A</v>
      </c>
    </row>
    <row r="2680" spans="1:12" hidden="1">
      <c r="A2680" s="19">
        <f t="shared" si="214"/>
        <v>2674</v>
      </c>
      <c r="B2680" s="20">
        <f t="shared" si="210"/>
        <v>0</v>
      </c>
      <c r="C2680" s="21">
        <f t="shared" si="211"/>
        <v>0</v>
      </c>
      <c r="D2680" s="22" t="e">
        <f>VLOOKUP($A2680, TAB_JUROS_U[[Q_DIAS_U_PARC_TIR]:[V_FUT_U_JURS CENARIO]], D$5, FALSE)</f>
        <v>#N/A</v>
      </c>
      <c r="E2680" s="22" t="e">
        <f>VLOOKUP($A2680,TAB_CORRECAO_U[[Q_DIAS_U_PARC_TIR]:[V_FUT_U_CORC-02]],E$5, FALSE)</f>
        <v>#N/A</v>
      </c>
      <c r="F2680" s="22" t="e">
        <f>VLOOKUP($A2680,TAB_AMORTIZACAO_U[[Q_DIAS_U_PARC_TIR]:[V_FUT_U_PCPL-02]], F$5, FALSE)</f>
        <v>#N/A</v>
      </c>
      <c r="H2680" s="20">
        <f t="shared" si="212"/>
        <v>0</v>
      </c>
      <c r="I2680" s="21">
        <f t="shared" si="213"/>
        <v>0</v>
      </c>
      <c r="J2680" s="22" t="e">
        <f>VLOOKUP($A2680, TAB_JUROS_C[[DIAS_CORRIDOS]:[V_FUT_UTEIS]], J$5, FALSE)</f>
        <v>#N/A</v>
      </c>
      <c r="K2680" s="22" t="e">
        <f>VLOOKUP($A2680, TAB_CORRECAO_C[[DIAS_CORRIDOS]:[V_FUT_UTEIS]],K$5, FALSE)</f>
        <v>#N/A</v>
      </c>
      <c r="L2680" s="22" t="e">
        <f>VLOOKUP($A2680, TAB_AMORTIZACAO_C[[DIAS_CORRIDOS]:[V_FUT_UTEIS]], L$5, FALSE)</f>
        <v>#N/A</v>
      </c>
    </row>
    <row r="2681" spans="1:12" hidden="1">
      <c r="A2681" s="19">
        <f t="shared" si="214"/>
        <v>2675</v>
      </c>
      <c r="B2681" s="20">
        <f t="shared" si="210"/>
        <v>0</v>
      </c>
      <c r="C2681" s="21">
        <f t="shared" si="211"/>
        <v>0</v>
      </c>
      <c r="D2681" s="22" t="e">
        <f>VLOOKUP($A2681, TAB_JUROS_U[[Q_DIAS_U_PARC_TIR]:[V_FUT_U_JURS CENARIO]], D$5, FALSE)</f>
        <v>#N/A</v>
      </c>
      <c r="E2681" s="22" t="e">
        <f>VLOOKUP($A2681,TAB_CORRECAO_U[[Q_DIAS_U_PARC_TIR]:[V_FUT_U_CORC-02]],E$5, FALSE)</f>
        <v>#N/A</v>
      </c>
      <c r="F2681" s="22" t="e">
        <f>VLOOKUP($A2681,TAB_AMORTIZACAO_U[[Q_DIAS_U_PARC_TIR]:[V_FUT_U_PCPL-02]], F$5, FALSE)</f>
        <v>#N/A</v>
      </c>
      <c r="H2681" s="20">
        <f t="shared" si="212"/>
        <v>0</v>
      </c>
      <c r="I2681" s="21">
        <f t="shared" si="213"/>
        <v>0</v>
      </c>
      <c r="J2681" s="22" t="e">
        <f>VLOOKUP($A2681, TAB_JUROS_C[[DIAS_CORRIDOS]:[V_FUT_UTEIS]], J$5, FALSE)</f>
        <v>#N/A</v>
      </c>
      <c r="K2681" s="22" t="e">
        <f>VLOOKUP($A2681, TAB_CORRECAO_C[[DIAS_CORRIDOS]:[V_FUT_UTEIS]],K$5, FALSE)</f>
        <v>#N/A</v>
      </c>
      <c r="L2681" s="22" t="e">
        <f>VLOOKUP($A2681, TAB_AMORTIZACAO_C[[DIAS_CORRIDOS]:[V_FUT_UTEIS]], L$5, FALSE)</f>
        <v>#N/A</v>
      </c>
    </row>
    <row r="2682" spans="1:12" hidden="1">
      <c r="A2682" s="19">
        <f t="shared" si="214"/>
        <v>2676</v>
      </c>
      <c r="B2682" s="20">
        <f t="shared" si="210"/>
        <v>0</v>
      </c>
      <c r="C2682" s="21">
        <f t="shared" si="211"/>
        <v>0</v>
      </c>
      <c r="D2682" s="22" t="e">
        <f>VLOOKUP($A2682, TAB_JUROS_U[[Q_DIAS_U_PARC_TIR]:[V_FUT_U_JURS CENARIO]], D$5, FALSE)</f>
        <v>#N/A</v>
      </c>
      <c r="E2682" s="22" t="e">
        <f>VLOOKUP($A2682,TAB_CORRECAO_U[[Q_DIAS_U_PARC_TIR]:[V_FUT_U_CORC-02]],E$5, FALSE)</f>
        <v>#N/A</v>
      </c>
      <c r="F2682" s="22" t="e">
        <f>VLOOKUP($A2682,TAB_AMORTIZACAO_U[[Q_DIAS_U_PARC_TIR]:[V_FUT_U_PCPL-02]], F$5, FALSE)</f>
        <v>#N/A</v>
      </c>
      <c r="H2682" s="20">
        <f t="shared" si="212"/>
        <v>0</v>
      </c>
      <c r="I2682" s="21">
        <f t="shared" si="213"/>
        <v>0</v>
      </c>
      <c r="J2682" s="22" t="e">
        <f>VLOOKUP($A2682, TAB_JUROS_C[[DIAS_CORRIDOS]:[V_FUT_UTEIS]], J$5, FALSE)</f>
        <v>#N/A</v>
      </c>
      <c r="K2682" s="22" t="e">
        <f>VLOOKUP($A2682, TAB_CORRECAO_C[[DIAS_CORRIDOS]:[V_FUT_UTEIS]],K$5, FALSE)</f>
        <v>#N/A</v>
      </c>
      <c r="L2682" s="22" t="e">
        <f>VLOOKUP($A2682, TAB_AMORTIZACAO_C[[DIAS_CORRIDOS]:[V_FUT_UTEIS]], L$5, FALSE)</f>
        <v>#N/A</v>
      </c>
    </row>
    <row r="2683" spans="1:12" hidden="1">
      <c r="A2683" s="19">
        <f t="shared" si="214"/>
        <v>2677</v>
      </c>
      <c r="B2683" s="20">
        <f t="shared" si="210"/>
        <v>0</v>
      </c>
      <c r="C2683" s="21">
        <f t="shared" si="211"/>
        <v>0</v>
      </c>
      <c r="D2683" s="22" t="e">
        <f>VLOOKUP($A2683, TAB_JUROS_U[[Q_DIAS_U_PARC_TIR]:[V_FUT_U_JURS CENARIO]], D$5, FALSE)</f>
        <v>#N/A</v>
      </c>
      <c r="E2683" s="22" t="e">
        <f>VLOOKUP($A2683,TAB_CORRECAO_U[[Q_DIAS_U_PARC_TIR]:[V_FUT_U_CORC-02]],E$5, FALSE)</f>
        <v>#N/A</v>
      </c>
      <c r="F2683" s="22" t="e">
        <f>VLOOKUP($A2683,TAB_AMORTIZACAO_U[[Q_DIAS_U_PARC_TIR]:[V_FUT_U_PCPL-02]], F$5, FALSE)</f>
        <v>#N/A</v>
      </c>
      <c r="H2683" s="20">
        <f t="shared" si="212"/>
        <v>0</v>
      </c>
      <c r="I2683" s="21">
        <f t="shared" si="213"/>
        <v>0</v>
      </c>
      <c r="J2683" s="22" t="e">
        <f>VLOOKUP($A2683, TAB_JUROS_C[[DIAS_CORRIDOS]:[V_FUT_UTEIS]], J$5, FALSE)</f>
        <v>#N/A</v>
      </c>
      <c r="K2683" s="22" t="e">
        <f>VLOOKUP($A2683, TAB_CORRECAO_C[[DIAS_CORRIDOS]:[V_FUT_UTEIS]],K$5, FALSE)</f>
        <v>#N/A</v>
      </c>
      <c r="L2683" s="22" t="e">
        <f>VLOOKUP($A2683, TAB_AMORTIZACAO_C[[DIAS_CORRIDOS]:[V_FUT_UTEIS]], L$5, FALSE)</f>
        <v>#N/A</v>
      </c>
    </row>
    <row r="2684" spans="1:12" hidden="1">
      <c r="A2684" s="19">
        <f t="shared" si="214"/>
        <v>2678</v>
      </c>
      <c r="B2684" s="20">
        <f t="shared" si="210"/>
        <v>0</v>
      </c>
      <c r="C2684" s="21">
        <f t="shared" si="211"/>
        <v>0</v>
      </c>
      <c r="D2684" s="22" t="e">
        <f>VLOOKUP($A2684, TAB_JUROS_U[[Q_DIAS_U_PARC_TIR]:[V_FUT_U_JURS CENARIO]], D$5, FALSE)</f>
        <v>#N/A</v>
      </c>
      <c r="E2684" s="22" t="e">
        <f>VLOOKUP($A2684,TAB_CORRECAO_U[[Q_DIAS_U_PARC_TIR]:[V_FUT_U_CORC-02]],E$5, FALSE)</f>
        <v>#N/A</v>
      </c>
      <c r="F2684" s="22" t="e">
        <f>VLOOKUP($A2684,TAB_AMORTIZACAO_U[[Q_DIAS_U_PARC_TIR]:[V_FUT_U_PCPL-02]], F$5, FALSE)</f>
        <v>#N/A</v>
      </c>
      <c r="H2684" s="20">
        <f t="shared" si="212"/>
        <v>0</v>
      </c>
      <c r="I2684" s="21">
        <f t="shared" si="213"/>
        <v>0</v>
      </c>
      <c r="J2684" s="22" t="e">
        <f>VLOOKUP($A2684, TAB_JUROS_C[[DIAS_CORRIDOS]:[V_FUT_UTEIS]], J$5, FALSE)</f>
        <v>#N/A</v>
      </c>
      <c r="K2684" s="22" t="e">
        <f>VLOOKUP($A2684, TAB_CORRECAO_C[[DIAS_CORRIDOS]:[V_FUT_UTEIS]],K$5, FALSE)</f>
        <v>#N/A</v>
      </c>
      <c r="L2684" s="22" t="e">
        <f>VLOOKUP($A2684, TAB_AMORTIZACAO_C[[DIAS_CORRIDOS]:[V_FUT_UTEIS]], L$5, FALSE)</f>
        <v>#N/A</v>
      </c>
    </row>
    <row r="2685" spans="1:12" hidden="1">
      <c r="A2685" s="19">
        <f t="shared" si="214"/>
        <v>2679</v>
      </c>
      <c r="B2685" s="20">
        <f t="shared" si="210"/>
        <v>0</v>
      </c>
      <c r="C2685" s="21">
        <f t="shared" si="211"/>
        <v>0</v>
      </c>
      <c r="D2685" s="22" t="e">
        <f>VLOOKUP($A2685, TAB_JUROS_U[[Q_DIAS_U_PARC_TIR]:[V_FUT_U_JURS CENARIO]], D$5, FALSE)</f>
        <v>#N/A</v>
      </c>
      <c r="E2685" s="22" t="e">
        <f>VLOOKUP($A2685,TAB_CORRECAO_U[[Q_DIAS_U_PARC_TIR]:[V_FUT_U_CORC-02]],E$5, FALSE)</f>
        <v>#N/A</v>
      </c>
      <c r="F2685" s="22" t="e">
        <f>VLOOKUP($A2685,TAB_AMORTIZACAO_U[[Q_DIAS_U_PARC_TIR]:[V_FUT_U_PCPL-02]], F$5, FALSE)</f>
        <v>#N/A</v>
      </c>
      <c r="H2685" s="20">
        <f t="shared" si="212"/>
        <v>0</v>
      </c>
      <c r="I2685" s="21">
        <f t="shared" si="213"/>
        <v>0</v>
      </c>
      <c r="J2685" s="22" t="e">
        <f>VLOOKUP($A2685, TAB_JUROS_C[[DIAS_CORRIDOS]:[V_FUT_UTEIS]], J$5, FALSE)</f>
        <v>#N/A</v>
      </c>
      <c r="K2685" s="22" t="e">
        <f>VLOOKUP($A2685, TAB_CORRECAO_C[[DIAS_CORRIDOS]:[V_FUT_UTEIS]],K$5, FALSE)</f>
        <v>#N/A</v>
      </c>
      <c r="L2685" s="22" t="e">
        <f>VLOOKUP($A2685, TAB_AMORTIZACAO_C[[DIAS_CORRIDOS]:[V_FUT_UTEIS]], L$5, FALSE)</f>
        <v>#N/A</v>
      </c>
    </row>
    <row r="2686" spans="1:12" hidden="1">
      <c r="A2686" s="19">
        <f t="shared" si="214"/>
        <v>2680</v>
      </c>
      <c r="B2686" s="20">
        <f t="shared" si="210"/>
        <v>0</v>
      </c>
      <c r="C2686" s="21">
        <f t="shared" si="211"/>
        <v>0</v>
      </c>
      <c r="D2686" s="22" t="e">
        <f>VLOOKUP($A2686, TAB_JUROS_U[[Q_DIAS_U_PARC_TIR]:[V_FUT_U_JURS CENARIO]], D$5, FALSE)</f>
        <v>#N/A</v>
      </c>
      <c r="E2686" s="22" t="e">
        <f>VLOOKUP($A2686,TAB_CORRECAO_U[[Q_DIAS_U_PARC_TIR]:[V_FUT_U_CORC-02]],E$5, FALSE)</f>
        <v>#N/A</v>
      </c>
      <c r="F2686" s="22" t="e">
        <f>VLOOKUP($A2686,TAB_AMORTIZACAO_U[[Q_DIAS_U_PARC_TIR]:[V_FUT_U_PCPL-02]], F$5, FALSE)</f>
        <v>#N/A</v>
      </c>
      <c r="H2686" s="20">
        <f t="shared" si="212"/>
        <v>0</v>
      </c>
      <c r="I2686" s="21">
        <f t="shared" si="213"/>
        <v>0</v>
      </c>
      <c r="J2686" s="22" t="e">
        <f>VLOOKUP($A2686, TAB_JUROS_C[[DIAS_CORRIDOS]:[V_FUT_UTEIS]], J$5, FALSE)</f>
        <v>#N/A</v>
      </c>
      <c r="K2686" s="22" t="e">
        <f>VLOOKUP($A2686, TAB_CORRECAO_C[[DIAS_CORRIDOS]:[V_FUT_UTEIS]],K$5, FALSE)</f>
        <v>#N/A</v>
      </c>
      <c r="L2686" s="22" t="e">
        <f>VLOOKUP($A2686, TAB_AMORTIZACAO_C[[DIAS_CORRIDOS]:[V_FUT_UTEIS]], L$5, FALSE)</f>
        <v>#N/A</v>
      </c>
    </row>
    <row r="2687" spans="1:12" hidden="1">
      <c r="A2687" s="19">
        <f t="shared" si="214"/>
        <v>2681</v>
      </c>
      <c r="B2687" s="20">
        <f t="shared" si="210"/>
        <v>0</v>
      </c>
      <c r="C2687" s="21">
        <f t="shared" si="211"/>
        <v>0</v>
      </c>
      <c r="D2687" s="22" t="e">
        <f>VLOOKUP($A2687, TAB_JUROS_U[[Q_DIAS_U_PARC_TIR]:[V_FUT_U_JURS CENARIO]], D$5, FALSE)</f>
        <v>#N/A</v>
      </c>
      <c r="E2687" s="22" t="e">
        <f>VLOOKUP($A2687,TAB_CORRECAO_U[[Q_DIAS_U_PARC_TIR]:[V_FUT_U_CORC-02]],E$5, FALSE)</f>
        <v>#N/A</v>
      </c>
      <c r="F2687" s="22" t="e">
        <f>VLOOKUP($A2687,TAB_AMORTIZACAO_U[[Q_DIAS_U_PARC_TIR]:[V_FUT_U_PCPL-02]], F$5, FALSE)</f>
        <v>#N/A</v>
      </c>
      <c r="H2687" s="20">
        <f t="shared" si="212"/>
        <v>0</v>
      </c>
      <c r="I2687" s="21">
        <f t="shared" si="213"/>
        <v>0</v>
      </c>
      <c r="J2687" s="22" t="e">
        <f>VLOOKUP($A2687, TAB_JUROS_C[[DIAS_CORRIDOS]:[V_FUT_UTEIS]], J$5, FALSE)</f>
        <v>#N/A</v>
      </c>
      <c r="K2687" s="22" t="e">
        <f>VLOOKUP($A2687, TAB_CORRECAO_C[[DIAS_CORRIDOS]:[V_FUT_UTEIS]],K$5, FALSE)</f>
        <v>#N/A</v>
      </c>
      <c r="L2687" s="22" t="e">
        <f>VLOOKUP($A2687, TAB_AMORTIZACAO_C[[DIAS_CORRIDOS]:[V_FUT_UTEIS]], L$5, FALSE)</f>
        <v>#N/A</v>
      </c>
    </row>
    <row r="2688" spans="1:12" hidden="1">
      <c r="A2688" s="19">
        <f t="shared" si="214"/>
        <v>2682</v>
      </c>
      <c r="B2688" s="20">
        <f t="shared" si="210"/>
        <v>0</v>
      </c>
      <c r="C2688" s="21">
        <f t="shared" si="211"/>
        <v>0</v>
      </c>
      <c r="D2688" s="22" t="e">
        <f>VLOOKUP($A2688, TAB_JUROS_U[[Q_DIAS_U_PARC_TIR]:[V_FUT_U_JURS CENARIO]], D$5, FALSE)</f>
        <v>#N/A</v>
      </c>
      <c r="E2688" s="22" t="e">
        <f>VLOOKUP($A2688,TAB_CORRECAO_U[[Q_DIAS_U_PARC_TIR]:[V_FUT_U_CORC-02]],E$5, FALSE)</f>
        <v>#N/A</v>
      </c>
      <c r="F2688" s="22" t="e">
        <f>VLOOKUP($A2688,TAB_AMORTIZACAO_U[[Q_DIAS_U_PARC_TIR]:[V_FUT_U_PCPL-02]], F$5, FALSE)</f>
        <v>#N/A</v>
      </c>
      <c r="H2688" s="20">
        <f t="shared" si="212"/>
        <v>0</v>
      </c>
      <c r="I2688" s="21">
        <f t="shared" si="213"/>
        <v>0</v>
      </c>
      <c r="J2688" s="22" t="e">
        <f>VLOOKUP($A2688, TAB_JUROS_C[[DIAS_CORRIDOS]:[V_FUT_UTEIS]], J$5, FALSE)</f>
        <v>#N/A</v>
      </c>
      <c r="K2688" s="22" t="e">
        <f>VLOOKUP($A2688, TAB_CORRECAO_C[[DIAS_CORRIDOS]:[V_FUT_UTEIS]],K$5, FALSE)</f>
        <v>#N/A</v>
      </c>
      <c r="L2688" s="22" t="e">
        <f>VLOOKUP($A2688, TAB_AMORTIZACAO_C[[DIAS_CORRIDOS]:[V_FUT_UTEIS]], L$5, FALSE)</f>
        <v>#N/A</v>
      </c>
    </row>
    <row r="2689" spans="1:12" hidden="1">
      <c r="A2689" s="19">
        <f t="shared" si="214"/>
        <v>2683</v>
      </c>
      <c r="B2689" s="20">
        <f t="shared" si="210"/>
        <v>0</v>
      </c>
      <c r="C2689" s="21">
        <f t="shared" si="211"/>
        <v>0</v>
      </c>
      <c r="D2689" s="22" t="e">
        <f>VLOOKUP($A2689, TAB_JUROS_U[[Q_DIAS_U_PARC_TIR]:[V_FUT_U_JURS CENARIO]], D$5, FALSE)</f>
        <v>#N/A</v>
      </c>
      <c r="E2689" s="22" t="e">
        <f>VLOOKUP($A2689,TAB_CORRECAO_U[[Q_DIAS_U_PARC_TIR]:[V_FUT_U_CORC-02]],E$5, FALSE)</f>
        <v>#N/A</v>
      </c>
      <c r="F2689" s="22" t="e">
        <f>VLOOKUP($A2689,TAB_AMORTIZACAO_U[[Q_DIAS_U_PARC_TIR]:[V_FUT_U_PCPL-02]], F$5, FALSE)</f>
        <v>#N/A</v>
      </c>
      <c r="H2689" s="20">
        <f t="shared" si="212"/>
        <v>0</v>
      </c>
      <c r="I2689" s="21">
        <f t="shared" si="213"/>
        <v>0</v>
      </c>
      <c r="J2689" s="22" t="e">
        <f>VLOOKUP($A2689, TAB_JUROS_C[[DIAS_CORRIDOS]:[V_FUT_UTEIS]], J$5, FALSE)</f>
        <v>#N/A</v>
      </c>
      <c r="K2689" s="22" t="e">
        <f>VLOOKUP($A2689, TAB_CORRECAO_C[[DIAS_CORRIDOS]:[V_FUT_UTEIS]],K$5, FALSE)</f>
        <v>#N/A</v>
      </c>
      <c r="L2689" s="22" t="e">
        <f>VLOOKUP($A2689, TAB_AMORTIZACAO_C[[DIAS_CORRIDOS]:[V_FUT_UTEIS]], L$5, FALSE)</f>
        <v>#N/A</v>
      </c>
    </row>
    <row r="2690" spans="1:12" hidden="1">
      <c r="A2690" s="19">
        <f t="shared" si="214"/>
        <v>2684</v>
      </c>
      <c r="B2690" s="20">
        <f t="shared" si="210"/>
        <v>0</v>
      </c>
      <c r="C2690" s="21">
        <f t="shared" si="211"/>
        <v>0</v>
      </c>
      <c r="D2690" s="22" t="e">
        <f>VLOOKUP($A2690, TAB_JUROS_U[[Q_DIAS_U_PARC_TIR]:[V_FUT_U_JURS CENARIO]], D$5, FALSE)</f>
        <v>#N/A</v>
      </c>
      <c r="E2690" s="22" t="e">
        <f>VLOOKUP($A2690,TAB_CORRECAO_U[[Q_DIAS_U_PARC_TIR]:[V_FUT_U_CORC-02]],E$5, FALSE)</f>
        <v>#N/A</v>
      </c>
      <c r="F2690" s="22" t="e">
        <f>VLOOKUP($A2690,TAB_AMORTIZACAO_U[[Q_DIAS_U_PARC_TIR]:[V_FUT_U_PCPL-02]], F$5, FALSE)</f>
        <v>#N/A</v>
      </c>
      <c r="H2690" s="20">
        <f t="shared" si="212"/>
        <v>0</v>
      </c>
      <c r="I2690" s="21">
        <f t="shared" si="213"/>
        <v>0</v>
      </c>
      <c r="J2690" s="22" t="e">
        <f>VLOOKUP($A2690, TAB_JUROS_C[[DIAS_CORRIDOS]:[V_FUT_UTEIS]], J$5, FALSE)</f>
        <v>#N/A</v>
      </c>
      <c r="K2690" s="22" t="e">
        <f>VLOOKUP($A2690, TAB_CORRECAO_C[[DIAS_CORRIDOS]:[V_FUT_UTEIS]],K$5, FALSE)</f>
        <v>#N/A</v>
      </c>
      <c r="L2690" s="22" t="e">
        <f>VLOOKUP($A2690, TAB_AMORTIZACAO_C[[DIAS_CORRIDOS]:[V_FUT_UTEIS]], L$5, FALSE)</f>
        <v>#N/A</v>
      </c>
    </row>
    <row r="2691" spans="1:12" hidden="1">
      <c r="A2691" s="19">
        <f t="shared" si="214"/>
        <v>2685</v>
      </c>
      <c r="B2691" s="20">
        <f t="shared" si="210"/>
        <v>0</v>
      </c>
      <c r="C2691" s="21">
        <f t="shared" si="211"/>
        <v>0</v>
      </c>
      <c r="D2691" s="22" t="e">
        <f>VLOOKUP($A2691, TAB_JUROS_U[[Q_DIAS_U_PARC_TIR]:[V_FUT_U_JURS CENARIO]], D$5, FALSE)</f>
        <v>#N/A</v>
      </c>
      <c r="E2691" s="22" t="e">
        <f>VLOOKUP($A2691,TAB_CORRECAO_U[[Q_DIAS_U_PARC_TIR]:[V_FUT_U_CORC-02]],E$5, FALSE)</f>
        <v>#N/A</v>
      </c>
      <c r="F2691" s="22" t="e">
        <f>VLOOKUP($A2691,TAB_AMORTIZACAO_U[[Q_DIAS_U_PARC_TIR]:[V_FUT_U_PCPL-02]], F$5, FALSE)</f>
        <v>#N/A</v>
      </c>
      <c r="H2691" s="20">
        <f t="shared" si="212"/>
        <v>0</v>
      </c>
      <c r="I2691" s="21">
        <f t="shared" si="213"/>
        <v>0</v>
      </c>
      <c r="J2691" s="22" t="e">
        <f>VLOOKUP($A2691, TAB_JUROS_C[[DIAS_CORRIDOS]:[V_FUT_UTEIS]], J$5, FALSE)</f>
        <v>#N/A</v>
      </c>
      <c r="K2691" s="22" t="e">
        <f>VLOOKUP($A2691, TAB_CORRECAO_C[[DIAS_CORRIDOS]:[V_FUT_UTEIS]],K$5, FALSE)</f>
        <v>#N/A</v>
      </c>
      <c r="L2691" s="22" t="e">
        <f>VLOOKUP($A2691, TAB_AMORTIZACAO_C[[DIAS_CORRIDOS]:[V_FUT_UTEIS]], L$5, FALSE)</f>
        <v>#N/A</v>
      </c>
    </row>
    <row r="2692" spans="1:12" hidden="1">
      <c r="A2692" s="19">
        <f t="shared" si="214"/>
        <v>2686</v>
      </c>
      <c r="B2692" s="20">
        <f t="shared" si="210"/>
        <v>0</v>
      </c>
      <c r="C2692" s="21">
        <f t="shared" si="211"/>
        <v>0</v>
      </c>
      <c r="D2692" s="22" t="e">
        <f>VLOOKUP($A2692, TAB_JUROS_U[[Q_DIAS_U_PARC_TIR]:[V_FUT_U_JURS CENARIO]], D$5, FALSE)</f>
        <v>#N/A</v>
      </c>
      <c r="E2692" s="22" t="e">
        <f>VLOOKUP($A2692,TAB_CORRECAO_U[[Q_DIAS_U_PARC_TIR]:[V_FUT_U_CORC-02]],E$5, FALSE)</f>
        <v>#N/A</v>
      </c>
      <c r="F2692" s="22" t="e">
        <f>VLOOKUP($A2692,TAB_AMORTIZACAO_U[[Q_DIAS_U_PARC_TIR]:[V_FUT_U_PCPL-02]], F$5, FALSE)</f>
        <v>#N/A</v>
      </c>
      <c r="H2692" s="20">
        <f t="shared" si="212"/>
        <v>0</v>
      </c>
      <c r="I2692" s="21">
        <f t="shared" si="213"/>
        <v>0</v>
      </c>
      <c r="J2692" s="22" t="e">
        <f>VLOOKUP($A2692, TAB_JUROS_C[[DIAS_CORRIDOS]:[V_FUT_UTEIS]], J$5, FALSE)</f>
        <v>#N/A</v>
      </c>
      <c r="K2692" s="22" t="e">
        <f>VLOOKUP($A2692, TAB_CORRECAO_C[[DIAS_CORRIDOS]:[V_FUT_UTEIS]],K$5, FALSE)</f>
        <v>#N/A</v>
      </c>
      <c r="L2692" s="22" t="e">
        <f>VLOOKUP($A2692, TAB_AMORTIZACAO_C[[DIAS_CORRIDOS]:[V_FUT_UTEIS]], L$5, FALSE)</f>
        <v>#N/A</v>
      </c>
    </row>
    <row r="2693" spans="1:12" hidden="1">
      <c r="A2693" s="19">
        <f t="shared" si="214"/>
        <v>2687</v>
      </c>
      <c r="B2693" s="20">
        <f t="shared" si="210"/>
        <v>0</v>
      </c>
      <c r="C2693" s="21">
        <f t="shared" si="211"/>
        <v>0</v>
      </c>
      <c r="D2693" s="22" t="e">
        <f>VLOOKUP($A2693, TAB_JUROS_U[[Q_DIAS_U_PARC_TIR]:[V_FUT_U_JURS CENARIO]], D$5, FALSE)</f>
        <v>#N/A</v>
      </c>
      <c r="E2693" s="22" t="e">
        <f>VLOOKUP($A2693,TAB_CORRECAO_U[[Q_DIAS_U_PARC_TIR]:[V_FUT_U_CORC-02]],E$5, FALSE)</f>
        <v>#N/A</v>
      </c>
      <c r="F2693" s="22" t="e">
        <f>VLOOKUP($A2693,TAB_AMORTIZACAO_U[[Q_DIAS_U_PARC_TIR]:[V_FUT_U_PCPL-02]], F$5, FALSE)</f>
        <v>#N/A</v>
      </c>
      <c r="H2693" s="20">
        <f t="shared" si="212"/>
        <v>0</v>
      </c>
      <c r="I2693" s="21">
        <f t="shared" si="213"/>
        <v>0</v>
      </c>
      <c r="J2693" s="22" t="e">
        <f>VLOOKUP($A2693, TAB_JUROS_C[[DIAS_CORRIDOS]:[V_FUT_UTEIS]], J$5, FALSE)</f>
        <v>#N/A</v>
      </c>
      <c r="K2693" s="22" t="e">
        <f>VLOOKUP($A2693, TAB_CORRECAO_C[[DIAS_CORRIDOS]:[V_FUT_UTEIS]],K$5, FALSE)</f>
        <v>#N/A</v>
      </c>
      <c r="L2693" s="22" t="e">
        <f>VLOOKUP($A2693, TAB_AMORTIZACAO_C[[DIAS_CORRIDOS]:[V_FUT_UTEIS]], L$5, FALSE)</f>
        <v>#N/A</v>
      </c>
    </row>
    <row r="2694" spans="1:12" hidden="1">
      <c r="A2694" s="19">
        <f t="shared" si="214"/>
        <v>2688</v>
      </c>
      <c r="B2694" s="20">
        <f t="shared" si="210"/>
        <v>0</v>
      </c>
      <c r="C2694" s="21">
        <f t="shared" si="211"/>
        <v>0</v>
      </c>
      <c r="D2694" s="22" t="e">
        <f>VLOOKUP($A2694, TAB_JUROS_U[[Q_DIAS_U_PARC_TIR]:[V_FUT_U_JURS CENARIO]], D$5, FALSE)</f>
        <v>#N/A</v>
      </c>
      <c r="E2694" s="22" t="e">
        <f>VLOOKUP($A2694,TAB_CORRECAO_U[[Q_DIAS_U_PARC_TIR]:[V_FUT_U_CORC-02]],E$5, FALSE)</f>
        <v>#N/A</v>
      </c>
      <c r="F2694" s="22" t="e">
        <f>VLOOKUP($A2694,TAB_AMORTIZACAO_U[[Q_DIAS_U_PARC_TIR]:[V_FUT_U_PCPL-02]], F$5, FALSE)</f>
        <v>#N/A</v>
      </c>
      <c r="H2694" s="20">
        <f t="shared" si="212"/>
        <v>0</v>
      </c>
      <c r="I2694" s="21">
        <f t="shared" si="213"/>
        <v>0</v>
      </c>
      <c r="J2694" s="22" t="e">
        <f>VLOOKUP($A2694, TAB_JUROS_C[[DIAS_CORRIDOS]:[V_FUT_UTEIS]], J$5, FALSE)</f>
        <v>#N/A</v>
      </c>
      <c r="K2694" s="22" t="e">
        <f>VLOOKUP($A2694, TAB_CORRECAO_C[[DIAS_CORRIDOS]:[V_FUT_UTEIS]],K$5, FALSE)</f>
        <v>#N/A</v>
      </c>
      <c r="L2694" s="22" t="e">
        <f>VLOOKUP($A2694, TAB_AMORTIZACAO_C[[DIAS_CORRIDOS]:[V_FUT_UTEIS]], L$5, FALSE)</f>
        <v>#N/A</v>
      </c>
    </row>
    <row r="2695" spans="1:12" hidden="1">
      <c r="A2695" s="19">
        <f t="shared" si="214"/>
        <v>2689</v>
      </c>
      <c r="B2695" s="20">
        <f t="shared" si="210"/>
        <v>0</v>
      </c>
      <c r="C2695" s="21">
        <f t="shared" si="211"/>
        <v>0</v>
      </c>
      <c r="D2695" s="22" t="e">
        <f>VLOOKUP($A2695, TAB_JUROS_U[[Q_DIAS_U_PARC_TIR]:[V_FUT_U_JURS CENARIO]], D$5, FALSE)</f>
        <v>#N/A</v>
      </c>
      <c r="E2695" s="22" t="e">
        <f>VLOOKUP($A2695,TAB_CORRECAO_U[[Q_DIAS_U_PARC_TIR]:[V_FUT_U_CORC-02]],E$5, FALSE)</f>
        <v>#N/A</v>
      </c>
      <c r="F2695" s="22" t="e">
        <f>VLOOKUP($A2695,TAB_AMORTIZACAO_U[[Q_DIAS_U_PARC_TIR]:[V_FUT_U_PCPL-02]], F$5, FALSE)</f>
        <v>#N/A</v>
      </c>
      <c r="H2695" s="20">
        <f t="shared" si="212"/>
        <v>340.30293057127039</v>
      </c>
      <c r="I2695" s="21">
        <f t="shared" si="213"/>
        <v>340.30293057127039</v>
      </c>
      <c r="J2695" s="22">
        <f>VLOOKUP($A2695, TAB_JUROS_C[[DIAS_CORRIDOS]:[V_FUT_UTEIS]], J$5, FALSE)</f>
        <v>18.334428890907152</v>
      </c>
      <c r="K2695" s="22">
        <f>VLOOKUP($A2695, TAB_CORRECAO_C[[DIAS_CORRIDOS]:[V_FUT_UTEIS]],K$5, FALSE)</f>
        <v>113.03846447342492</v>
      </c>
      <c r="L2695" s="22">
        <f>VLOOKUP($A2695, TAB_AMORTIZACAO_C[[DIAS_CORRIDOS]:[V_FUT_UTEIS]], L$5, FALSE)</f>
        <v>208.93003720693835</v>
      </c>
    </row>
    <row r="2696" spans="1:12" hidden="1">
      <c r="A2696" s="19">
        <f t="shared" si="214"/>
        <v>2690</v>
      </c>
      <c r="B2696" s="20">
        <f t="shared" si="210"/>
        <v>0</v>
      </c>
      <c r="C2696" s="21">
        <f t="shared" si="211"/>
        <v>0</v>
      </c>
      <c r="D2696" s="22" t="e">
        <f>VLOOKUP($A2696, TAB_JUROS_U[[Q_DIAS_U_PARC_TIR]:[V_FUT_U_JURS CENARIO]], D$5, FALSE)</f>
        <v>#N/A</v>
      </c>
      <c r="E2696" s="22" t="e">
        <f>VLOOKUP($A2696,TAB_CORRECAO_U[[Q_DIAS_U_PARC_TIR]:[V_FUT_U_CORC-02]],E$5, FALSE)</f>
        <v>#N/A</v>
      </c>
      <c r="F2696" s="22" t="e">
        <f>VLOOKUP($A2696,TAB_AMORTIZACAO_U[[Q_DIAS_U_PARC_TIR]:[V_FUT_U_PCPL-02]], F$5, FALSE)</f>
        <v>#N/A</v>
      </c>
      <c r="H2696" s="20">
        <f t="shared" si="212"/>
        <v>0</v>
      </c>
      <c r="I2696" s="21">
        <f t="shared" si="213"/>
        <v>0</v>
      </c>
      <c r="J2696" s="22" t="e">
        <f>VLOOKUP($A2696, TAB_JUROS_C[[DIAS_CORRIDOS]:[V_FUT_UTEIS]], J$5, FALSE)</f>
        <v>#N/A</v>
      </c>
      <c r="K2696" s="22" t="e">
        <f>VLOOKUP($A2696, TAB_CORRECAO_C[[DIAS_CORRIDOS]:[V_FUT_UTEIS]],K$5, FALSE)</f>
        <v>#N/A</v>
      </c>
      <c r="L2696" s="22" t="e">
        <f>VLOOKUP($A2696, TAB_AMORTIZACAO_C[[DIAS_CORRIDOS]:[V_FUT_UTEIS]], L$5, FALSE)</f>
        <v>#N/A</v>
      </c>
    </row>
    <row r="2697" spans="1:12">
      <c r="A2697" s="19">
        <f t="shared" si="214"/>
        <v>2691</v>
      </c>
      <c r="B2697" s="20">
        <f t="shared" ref="B2697:B2760" si="215">IF(ISERROR(C2697), 0, C2697)</f>
        <v>128.93838349843719</v>
      </c>
      <c r="C2697" s="21">
        <f t="shared" ref="C2697:C2760" si="216">SUMIF(D2697:F2697, "&gt;0", D2697:F2697)</f>
        <v>128.93838349843719</v>
      </c>
      <c r="D2697" s="22">
        <f>VLOOKUP($A2697, TAB_JUROS_U[[Q_DIAS_U_PARC_TIR]:[V_FUT_U_JURS CENARIO]], D$5, FALSE)</f>
        <v>3.4293013724494186</v>
      </c>
      <c r="E2697" s="22">
        <f>VLOOKUP($A2697,TAB_CORRECAO_U[[Q_DIAS_U_PARC_TIR]:[V_FUT_U_CORC-02]],E$5, FALSE)</f>
        <v>21.326662355247766</v>
      </c>
      <c r="F2697" s="22">
        <f>VLOOKUP($A2697,TAB_AMORTIZACAO_U[[Q_DIAS_U_PARC_TIR]:[V_FUT_U_PCPL-02]], F$5, FALSE)</f>
        <v>104.18241977074001</v>
      </c>
      <c r="H2697" s="20">
        <f t="shared" ref="H2697:H2760" si="217">IF(ISERROR(I2697), 0, I2697)</f>
        <v>0</v>
      </c>
      <c r="I2697" s="21">
        <f t="shared" ref="I2697:I2760" si="218">SUMIF(J2697:L2697, "&gt;0", J2697:L2697)</f>
        <v>0</v>
      </c>
      <c r="J2697" s="22" t="e">
        <f>VLOOKUP($A2697, TAB_JUROS_C[[DIAS_CORRIDOS]:[V_FUT_UTEIS]], J$5, FALSE)</f>
        <v>#N/A</v>
      </c>
      <c r="K2697" s="22" t="e">
        <f>VLOOKUP($A2697, TAB_CORRECAO_C[[DIAS_CORRIDOS]:[V_FUT_UTEIS]],K$5, FALSE)</f>
        <v>#N/A</v>
      </c>
      <c r="L2697" s="22" t="e">
        <f>VLOOKUP($A2697, TAB_AMORTIZACAO_C[[DIAS_CORRIDOS]:[V_FUT_UTEIS]], L$5, FALSE)</f>
        <v>#N/A</v>
      </c>
    </row>
    <row r="2698" spans="1:12" hidden="1">
      <c r="A2698" s="19">
        <f t="shared" ref="A2698:A2761" si="219">A2697+1</f>
        <v>2692</v>
      </c>
      <c r="B2698" s="20">
        <f t="shared" si="215"/>
        <v>0</v>
      </c>
      <c r="C2698" s="21">
        <f t="shared" si="216"/>
        <v>0</v>
      </c>
      <c r="D2698" s="22" t="e">
        <f>VLOOKUP($A2698, TAB_JUROS_U[[Q_DIAS_U_PARC_TIR]:[V_FUT_U_JURS CENARIO]], D$5, FALSE)</f>
        <v>#N/A</v>
      </c>
      <c r="E2698" s="22" t="e">
        <f>VLOOKUP($A2698,TAB_CORRECAO_U[[Q_DIAS_U_PARC_TIR]:[V_FUT_U_CORC-02]],E$5, FALSE)</f>
        <v>#N/A</v>
      </c>
      <c r="F2698" s="22" t="e">
        <f>VLOOKUP($A2698,TAB_AMORTIZACAO_U[[Q_DIAS_U_PARC_TIR]:[V_FUT_U_PCPL-02]], F$5, FALSE)</f>
        <v>#N/A</v>
      </c>
      <c r="H2698" s="20">
        <f t="shared" si="217"/>
        <v>0</v>
      </c>
      <c r="I2698" s="21">
        <f t="shared" si="218"/>
        <v>0</v>
      </c>
      <c r="J2698" s="22" t="e">
        <f>VLOOKUP($A2698, TAB_JUROS_C[[DIAS_CORRIDOS]:[V_FUT_UTEIS]], J$5, FALSE)</f>
        <v>#N/A</v>
      </c>
      <c r="K2698" s="22" t="e">
        <f>VLOOKUP($A2698, TAB_CORRECAO_C[[DIAS_CORRIDOS]:[V_FUT_UTEIS]],K$5, FALSE)</f>
        <v>#N/A</v>
      </c>
      <c r="L2698" s="22" t="e">
        <f>VLOOKUP($A2698, TAB_AMORTIZACAO_C[[DIAS_CORRIDOS]:[V_FUT_UTEIS]], L$5, FALSE)</f>
        <v>#N/A</v>
      </c>
    </row>
    <row r="2699" spans="1:12" hidden="1">
      <c r="A2699" s="19">
        <f t="shared" si="219"/>
        <v>2693</v>
      </c>
      <c r="B2699" s="20">
        <f t="shared" si="215"/>
        <v>0</v>
      </c>
      <c r="C2699" s="21">
        <f t="shared" si="216"/>
        <v>0</v>
      </c>
      <c r="D2699" s="22" t="e">
        <f>VLOOKUP($A2699, TAB_JUROS_U[[Q_DIAS_U_PARC_TIR]:[V_FUT_U_JURS CENARIO]], D$5, FALSE)</f>
        <v>#N/A</v>
      </c>
      <c r="E2699" s="22" t="e">
        <f>VLOOKUP($A2699,TAB_CORRECAO_U[[Q_DIAS_U_PARC_TIR]:[V_FUT_U_CORC-02]],E$5, FALSE)</f>
        <v>#N/A</v>
      </c>
      <c r="F2699" s="22" t="e">
        <f>VLOOKUP($A2699,TAB_AMORTIZACAO_U[[Q_DIAS_U_PARC_TIR]:[V_FUT_U_PCPL-02]], F$5, FALSE)</f>
        <v>#N/A</v>
      </c>
      <c r="H2699" s="20">
        <f t="shared" si="217"/>
        <v>0</v>
      </c>
      <c r="I2699" s="21">
        <f t="shared" si="218"/>
        <v>0</v>
      </c>
      <c r="J2699" s="22" t="e">
        <f>VLOOKUP($A2699, TAB_JUROS_C[[DIAS_CORRIDOS]:[V_FUT_UTEIS]], J$5, FALSE)</f>
        <v>#N/A</v>
      </c>
      <c r="K2699" s="22" t="e">
        <f>VLOOKUP($A2699, TAB_CORRECAO_C[[DIAS_CORRIDOS]:[V_FUT_UTEIS]],K$5, FALSE)</f>
        <v>#N/A</v>
      </c>
      <c r="L2699" s="22" t="e">
        <f>VLOOKUP($A2699, TAB_AMORTIZACAO_C[[DIAS_CORRIDOS]:[V_FUT_UTEIS]], L$5, FALSE)</f>
        <v>#N/A</v>
      </c>
    </row>
    <row r="2700" spans="1:12" hidden="1">
      <c r="A2700" s="19">
        <f t="shared" si="219"/>
        <v>2694</v>
      </c>
      <c r="B2700" s="20">
        <f t="shared" si="215"/>
        <v>0</v>
      </c>
      <c r="C2700" s="21">
        <f t="shared" si="216"/>
        <v>0</v>
      </c>
      <c r="D2700" s="22" t="e">
        <f>VLOOKUP($A2700, TAB_JUROS_U[[Q_DIAS_U_PARC_TIR]:[V_FUT_U_JURS CENARIO]], D$5, FALSE)</f>
        <v>#N/A</v>
      </c>
      <c r="E2700" s="22" t="e">
        <f>VLOOKUP($A2700,TAB_CORRECAO_U[[Q_DIAS_U_PARC_TIR]:[V_FUT_U_CORC-02]],E$5, FALSE)</f>
        <v>#N/A</v>
      </c>
      <c r="F2700" s="22" t="e">
        <f>VLOOKUP($A2700,TAB_AMORTIZACAO_U[[Q_DIAS_U_PARC_TIR]:[V_FUT_U_PCPL-02]], F$5, FALSE)</f>
        <v>#N/A</v>
      </c>
      <c r="H2700" s="20">
        <f t="shared" si="217"/>
        <v>0</v>
      </c>
      <c r="I2700" s="21">
        <f t="shared" si="218"/>
        <v>0</v>
      </c>
      <c r="J2700" s="22" t="e">
        <f>VLOOKUP($A2700, TAB_JUROS_C[[DIAS_CORRIDOS]:[V_FUT_UTEIS]], J$5, FALSE)</f>
        <v>#N/A</v>
      </c>
      <c r="K2700" s="22" t="e">
        <f>VLOOKUP($A2700, TAB_CORRECAO_C[[DIAS_CORRIDOS]:[V_FUT_UTEIS]],K$5, FALSE)</f>
        <v>#N/A</v>
      </c>
      <c r="L2700" s="22" t="e">
        <f>VLOOKUP($A2700, TAB_AMORTIZACAO_C[[DIAS_CORRIDOS]:[V_FUT_UTEIS]], L$5, FALSE)</f>
        <v>#N/A</v>
      </c>
    </row>
    <row r="2701" spans="1:12" hidden="1">
      <c r="A2701" s="19">
        <f t="shared" si="219"/>
        <v>2695</v>
      </c>
      <c r="B2701" s="20">
        <f t="shared" si="215"/>
        <v>0</v>
      </c>
      <c r="C2701" s="21">
        <f t="shared" si="216"/>
        <v>0</v>
      </c>
      <c r="D2701" s="22" t="e">
        <f>VLOOKUP($A2701, TAB_JUROS_U[[Q_DIAS_U_PARC_TIR]:[V_FUT_U_JURS CENARIO]], D$5, FALSE)</f>
        <v>#N/A</v>
      </c>
      <c r="E2701" s="22" t="e">
        <f>VLOOKUP($A2701,TAB_CORRECAO_U[[Q_DIAS_U_PARC_TIR]:[V_FUT_U_CORC-02]],E$5, FALSE)</f>
        <v>#N/A</v>
      </c>
      <c r="F2701" s="22" t="e">
        <f>VLOOKUP($A2701,TAB_AMORTIZACAO_U[[Q_DIAS_U_PARC_TIR]:[V_FUT_U_PCPL-02]], F$5, FALSE)</f>
        <v>#N/A</v>
      </c>
      <c r="H2701" s="20">
        <f t="shared" si="217"/>
        <v>0</v>
      </c>
      <c r="I2701" s="21">
        <f t="shared" si="218"/>
        <v>0</v>
      </c>
      <c r="J2701" s="22" t="e">
        <f>VLOOKUP($A2701, TAB_JUROS_C[[DIAS_CORRIDOS]:[V_FUT_UTEIS]], J$5, FALSE)</f>
        <v>#N/A</v>
      </c>
      <c r="K2701" s="22" t="e">
        <f>VLOOKUP($A2701, TAB_CORRECAO_C[[DIAS_CORRIDOS]:[V_FUT_UTEIS]],K$5, FALSE)</f>
        <v>#N/A</v>
      </c>
      <c r="L2701" s="22" t="e">
        <f>VLOOKUP($A2701, TAB_AMORTIZACAO_C[[DIAS_CORRIDOS]:[V_FUT_UTEIS]], L$5, FALSE)</f>
        <v>#N/A</v>
      </c>
    </row>
    <row r="2702" spans="1:12" hidden="1">
      <c r="A2702" s="19">
        <f t="shared" si="219"/>
        <v>2696</v>
      </c>
      <c r="B2702" s="20">
        <f t="shared" si="215"/>
        <v>0</v>
      </c>
      <c r="C2702" s="21">
        <f t="shared" si="216"/>
        <v>0</v>
      </c>
      <c r="D2702" s="22" t="e">
        <f>VLOOKUP($A2702, TAB_JUROS_U[[Q_DIAS_U_PARC_TIR]:[V_FUT_U_JURS CENARIO]], D$5, FALSE)</f>
        <v>#N/A</v>
      </c>
      <c r="E2702" s="22" t="e">
        <f>VLOOKUP($A2702,TAB_CORRECAO_U[[Q_DIAS_U_PARC_TIR]:[V_FUT_U_CORC-02]],E$5, FALSE)</f>
        <v>#N/A</v>
      </c>
      <c r="F2702" s="22" t="e">
        <f>VLOOKUP($A2702,TAB_AMORTIZACAO_U[[Q_DIAS_U_PARC_TIR]:[V_FUT_U_PCPL-02]], F$5, FALSE)</f>
        <v>#N/A</v>
      </c>
      <c r="H2702" s="20">
        <f t="shared" si="217"/>
        <v>0</v>
      </c>
      <c r="I2702" s="21">
        <f t="shared" si="218"/>
        <v>0</v>
      </c>
      <c r="J2702" s="22" t="e">
        <f>VLOOKUP($A2702, TAB_JUROS_C[[DIAS_CORRIDOS]:[V_FUT_UTEIS]], J$5, FALSE)</f>
        <v>#N/A</v>
      </c>
      <c r="K2702" s="22" t="e">
        <f>VLOOKUP($A2702, TAB_CORRECAO_C[[DIAS_CORRIDOS]:[V_FUT_UTEIS]],K$5, FALSE)</f>
        <v>#N/A</v>
      </c>
      <c r="L2702" s="22" t="e">
        <f>VLOOKUP($A2702, TAB_AMORTIZACAO_C[[DIAS_CORRIDOS]:[V_FUT_UTEIS]], L$5, FALSE)</f>
        <v>#N/A</v>
      </c>
    </row>
    <row r="2703" spans="1:12" hidden="1">
      <c r="A2703" s="19">
        <f t="shared" si="219"/>
        <v>2697</v>
      </c>
      <c r="B2703" s="20">
        <f t="shared" si="215"/>
        <v>0</v>
      </c>
      <c r="C2703" s="21">
        <f t="shared" si="216"/>
        <v>0</v>
      </c>
      <c r="D2703" s="22" t="e">
        <f>VLOOKUP($A2703, TAB_JUROS_U[[Q_DIAS_U_PARC_TIR]:[V_FUT_U_JURS CENARIO]], D$5, FALSE)</f>
        <v>#N/A</v>
      </c>
      <c r="E2703" s="22" t="e">
        <f>VLOOKUP($A2703,TAB_CORRECAO_U[[Q_DIAS_U_PARC_TIR]:[V_FUT_U_CORC-02]],E$5, FALSE)</f>
        <v>#N/A</v>
      </c>
      <c r="F2703" s="22" t="e">
        <f>VLOOKUP($A2703,TAB_AMORTIZACAO_U[[Q_DIAS_U_PARC_TIR]:[V_FUT_U_PCPL-02]], F$5, FALSE)</f>
        <v>#N/A</v>
      </c>
      <c r="H2703" s="20">
        <f t="shared" si="217"/>
        <v>0</v>
      </c>
      <c r="I2703" s="21">
        <f t="shared" si="218"/>
        <v>0</v>
      </c>
      <c r="J2703" s="22" t="e">
        <f>VLOOKUP($A2703, TAB_JUROS_C[[DIAS_CORRIDOS]:[V_FUT_UTEIS]], J$5, FALSE)</f>
        <v>#N/A</v>
      </c>
      <c r="K2703" s="22" t="e">
        <f>VLOOKUP($A2703, TAB_CORRECAO_C[[DIAS_CORRIDOS]:[V_FUT_UTEIS]],K$5, FALSE)</f>
        <v>#N/A</v>
      </c>
      <c r="L2703" s="22" t="e">
        <f>VLOOKUP($A2703, TAB_AMORTIZACAO_C[[DIAS_CORRIDOS]:[V_FUT_UTEIS]], L$5, FALSE)</f>
        <v>#N/A</v>
      </c>
    </row>
    <row r="2704" spans="1:12" hidden="1">
      <c r="A2704" s="19">
        <f t="shared" si="219"/>
        <v>2698</v>
      </c>
      <c r="B2704" s="20">
        <f t="shared" si="215"/>
        <v>0</v>
      </c>
      <c r="C2704" s="21">
        <f t="shared" si="216"/>
        <v>0</v>
      </c>
      <c r="D2704" s="22" t="e">
        <f>VLOOKUP($A2704, TAB_JUROS_U[[Q_DIAS_U_PARC_TIR]:[V_FUT_U_JURS CENARIO]], D$5, FALSE)</f>
        <v>#N/A</v>
      </c>
      <c r="E2704" s="22" t="e">
        <f>VLOOKUP($A2704,TAB_CORRECAO_U[[Q_DIAS_U_PARC_TIR]:[V_FUT_U_CORC-02]],E$5, FALSE)</f>
        <v>#N/A</v>
      </c>
      <c r="F2704" s="22" t="e">
        <f>VLOOKUP($A2704,TAB_AMORTIZACAO_U[[Q_DIAS_U_PARC_TIR]:[V_FUT_U_PCPL-02]], F$5, FALSE)</f>
        <v>#N/A</v>
      </c>
      <c r="H2704" s="20">
        <f t="shared" si="217"/>
        <v>0</v>
      </c>
      <c r="I2704" s="21">
        <f t="shared" si="218"/>
        <v>0</v>
      </c>
      <c r="J2704" s="22" t="e">
        <f>VLOOKUP($A2704, TAB_JUROS_C[[DIAS_CORRIDOS]:[V_FUT_UTEIS]], J$5, FALSE)</f>
        <v>#N/A</v>
      </c>
      <c r="K2704" s="22" t="e">
        <f>VLOOKUP($A2704, TAB_CORRECAO_C[[DIAS_CORRIDOS]:[V_FUT_UTEIS]],K$5, FALSE)</f>
        <v>#N/A</v>
      </c>
      <c r="L2704" s="22" t="e">
        <f>VLOOKUP($A2704, TAB_AMORTIZACAO_C[[DIAS_CORRIDOS]:[V_FUT_UTEIS]], L$5, FALSE)</f>
        <v>#N/A</v>
      </c>
    </row>
    <row r="2705" spans="1:12" hidden="1">
      <c r="A2705" s="19">
        <f t="shared" si="219"/>
        <v>2699</v>
      </c>
      <c r="B2705" s="20">
        <f t="shared" si="215"/>
        <v>0</v>
      </c>
      <c r="C2705" s="21">
        <f t="shared" si="216"/>
        <v>0</v>
      </c>
      <c r="D2705" s="22" t="e">
        <f>VLOOKUP($A2705, TAB_JUROS_U[[Q_DIAS_U_PARC_TIR]:[V_FUT_U_JURS CENARIO]], D$5, FALSE)</f>
        <v>#N/A</v>
      </c>
      <c r="E2705" s="22" t="e">
        <f>VLOOKUP($A2705,TAB_CORRECAO_U[[Q_DIAS_U_PARC_TIR]:[V_FUT_U_CORC-02]],E$5, FALSE)</f>
        <v>#N/A</v>
      </c>
      <c r="F2705" s="22" t="e">
        <f>VLOOKUP($A2705,TAB_AMORTIZACAO_U[[Q_DIAS_U_PARC_TIR]:[V_FUT_U_PCPL-02]], F$5, FALSE)</f>
        <v>#N/A</v>
      </c>
      <c r="H2705" s="20">
        <f t="shared" si="217"/>
        <v>0</v>
      </c>
      <c r="I2705" s="21">
        <f t="shared" si="218"/>
        <v>0</v>
      </c>
      <c r="J2705" s="22" t="e">
        <f>VLOOKUP($A2705, TAB_JUROS_C[[DIAS_CORRIDOS]:[V_FUT_UTEIS]], J$5, FALSE)</f>
        <v>#N/A</v>
      </c>
      <c r="K2705" s="22" t="e">
        <f>VLOOKUP($A2705, TAB_CORRECAO_C[[DIAS_CORRIDOS]:[V_FUT_UTEIS]],K$5, FALSE)</f>
        <v>#N/A</v>
      </c>
      <c r="L2705" s="22" t="e">
        <f>VLOOKUP($A2705, TAB_AMORTIZACAO_C[[DIAS_CORRIDOS]:[V_FUT_UTEIS]], L$5, FALSE)</f>
        <v>#N/A</v>
      </c>
    </row>
    <row r="2706" spans="1:12" hidden="1">
      <c r="A2706" s="19">
        <f t="shared" si="219"/>
        <v>2700</v>
      </c>
      <c r="B2706" s="20">
        <f t="shared" si="215"/>
        <v>0</v>
      </c>
      <c r="C2706" s="21">
        <f t="shared" si="216"/>
        <v>0</v>
      </c>
      <c r="D2706" s="22" t="e">
        <f>VLOOKUP($A2706, TAB_JUROS_U[[Q_DIAS_U_PARC_TIR]:[V_FUT_U_JURS CENARIO]], D$5, FALSE)</f>
        <v>#N/A</v>
      </c>
      <c r="E2706" s="22" t="e">
        <f>VLOOKUP($A2706,TAB_CORRECAO_U[[Q_DIAS_U_PARC_TIR]:[V_FUT_U_CORC-02]],E$5, FALSE)</f>
        <v>#N/A</v>
      </c>
      <c r="F2706" s="22" t="e">
        <f>VLOOKUP($A2706,TAB_AMORTIZACAO_U[[Q_DIAS_U_PARC_TIR]:[V_FUT_U_PCPL-02]], F$5, FALSE)</f>
        <v>#N/A</v>
      </c>
      <c r="H2706" s="20">
        <f t="shared" si="217"/>
        <v>0</v>
      </c>
      <c r="I2706" s="21">
        <f t="shared" si="218"/>
        <v>0</v>
      </c>
      <c r="J2706" s="22" t="e">
        <f>VLOOKUP($A2706, TAB_JUROS_C[[DIAS_CORRIDOS]:[V_FUT_UTEIS]], J$5, FALSE)</f>
        <v>#N/A</v>
      </c>
      <c r="K2706" s="22" t="e">
        <f>VLOOKUP($A2706, TAB_CORRECAO_C[[DIAS_CORRIDOS]:[V_FUT_UTEIS]],K$5, FALSE)</f>
        <v>#N/A</v>
      </c>
      <c r="L2706" s="22" t="e">
        <f>VLOOKUP($A2706, TAB_AMORTIZACAO_C[[DIAS_CORRIDOS]:[V_FUT_UTEIS]], L$5, FALSE)</f>
        <v>#N/A</v>
      </c>
    </row>
    <row r="2707" spans="1:12" hidden="1">
      <c r="A2707" s="19">
        <f t="shared" si="219"/>
        <v>2701</v>
      </c>
      <c r="B2707" s="20">
        <f t="shared" si="215"/>
        <v>0</v>
      </c>
      <c r="C2707" s="21">
        <f t="shared" si="216"/>
        <v>0</v>
      </c>
      <c r="D2707" s="22" t="e">
        <f>VLOOKUP($A2707, TAB_JUROS_U[[Q_DIAS_U_PARC_TIR]:[V_FUT_U_JURS CENARIO]], D$5, FALSE)</f>
        <v>#N/A</v>
      </c>
      <c r="E2707" s="22" t="e">
        <f>VLOOKUP($A2707,TAB_CORRECAO_U[[Q_DIAS_U_PARC_TIR]:[V_FUT_U_CORC-02]],E$5, FALSE)</f>
        <v>#N/A</v>
      </c>
      <c r="F2707" s="22" t="e">
        <f>VLOOKUP($A2707,TAB_AMORTIZACAO_U[[Q_DIAS_U_PARC_TIR]:[V_FUT_U_PCPL-02]], F$5, FALSE)</f>
        <v>#N/A</v>
      </c>
      <c r="H2707" s="20">
        <f t="shared" si="217"/>
        <v>0</v>
      </c>
      <c r="I2707" s="21">
        <f t="shared" si="218"/>
        <v>0</v>
      </c>
      <c r="J2707" s="22" t="e">
        <f>VLOOKUP($A2707, TAB_JUROS_C[[DIAS_CORRIDOS]:[V_FUT_UTEIS]], J$5, FALSE)</f>
        <v>#N/A</v>
      </c>
      <c r="K2707" s="22" t="e">
        <f>VLOOKUP($A2707, TAB_CORRECAO_C[[DIAS_CORRIDOS]:[V_FUT_UTEIS]],K$5, FALSE)</f>
        <v>#N/A</v>
      </c>
      <c r="L2707" s="22" t="e">
        <f>VLOOKUP($A2707, TAB_AMORTIZACAO_C[[DIAS_CORRIDOS]:[V_FUT_UTEIS]], L$5, FALSE)</f>
        <v>#N/A</v>
      </c>
    </row>
    <row r="2708" spans="1:12" hidden="1">
      <c r="A2708" s="19">
        <f t="shared" si="219"/>
        <v>2702</v>
      </c>
      <c r="B2708" s="20">
        <f t="shared" si="215"/>
        <v>0</v>
      </c>
      <c r="C2708" s="21">
        <f t="shared" si="216"/>
        <v>0</v>
      </c>
      <c r="D2708" s="22" t="e">
        <f>VLOOKUP($A2708, TAB_JUROS_U[[Q_DIAS_U_PARC_TIR]:[V_FUT_U_JURS CENARIO]], D$5, FALSE)</f>
        <v>#N/A</v>
      </c>
      <c r="E2708" s="22" t="e">
        <f>VLOOKUP($A2708,TAB_CORRECAO_U[[Q_DIAS_U_PARC_TIR]:[V_FUT_U_CORC-02]],E$5, FALSE)</f>
        <v>#N/A</v>
      </c>
      <c r="F2708" s="22" t="e">
        <f>VLOOKUP($A2708,TAB_AMORTIZACAO_U[[Q_DIAS_U_PARC_TIR]:[V_FUT_U_PCPL-02]], F$5, FALSE)</f>
        <v>#N/A</v>
      </c>
      <c r="H2708" s="20">
        <f t="shared" si="217"/>
        <v>0</v>
      </c>
      <c r="I2708" s="21">
        <f t="shared" si="218"/>
        <v>0</v>
      </c>
      <c r="J2708" s="22" t="e">
        <f>VLOOKUP($A2708, TAB_JUROS_C[[DIAS_CORRIDOS]:[V_FUT_UTEIS]], J$5, FALSE)</f>
        <v>#N/A</v>
      </c>
      <c r="K2708" s="22" t="e">
        <f>VLOOKUP($A2708, TAB_CORRECAO_C[[DIAS_CORRIDOS]:[V_FUT_UTEIS]],K$5, FALSE)</f>
        <v>#N/A</v>
      </c>
      <c r="L2708" s="22" t="e">
        <f>VLOOKUP($A2708, TAB_AMORTIZACAO_C[[DIAS_CORRIDOS]:[V_FUT_UTEIS]], L$5, FALSE)</f>
        <v>#N/A</v>
      </c>
    </row>
    <row r="2709" spans="1:12" hidden="1">
      <c r="A2709" s="19">
        <f t="shared" si="219"/>
        <v>2703</v>
      </c>
      <c r="B2709" s="20">
        <f t="shared" si="215"/>
        <v>0</v>
      </c>
      <c r="C2709" s="21">
        <f t="shared" si="216"/>
        <v>0</v>
      </c>
      <c r="D2709" s="22" t="e">
        <f>VLOOKUP($A2709, TAB_JUROS_U[[Q_DIAS_U_PARC_TIR]:[V_FUT_U_JURS CENARIO]], D$5, FALSE)</f>
        <v>#N/A</v>
      </c>
      <c r="E2709" s="22" t="e">
        <f>VLOOKUP($A2709,TAB_CORRECAO_U[[Q_DIAS_U_PARC_TIR]:[V_FUT_U_CORC-02]],E$5, FALSE)</f>
        <v>#N/A</v>
      </c>
      <c r="F2709" s="22" t="e">
        <f>VLOOKUP($A2709,TAB_AMORTIZACAO_U[[Q_DIAS_U_PARC_TIR]:[V_FUT_U_PCPL-02]], F$5, FALSE)</f>
        <v>#N/A</v>
      </c>
      <c r="H2709" s="20">
        <f t="shared" si="217"/>
        <v>0</v>
      </c>
      <c r="I2709" s="21">
        <f t="shared" si="218"/>
        <v>0</v>
      </c>
      <c r="J2709" s="22" t="e">
        <f>VLOOKUP($A2709, TAB_JUROS_C[[DIAS_CORRIDOS]:[V_FUT_UTEIS]], J$5, FALSE)</f>
        <v>#N/A</v>
      </c>
      <c r="K2709" s="22" t="e">
        <f>VLOOKUP($A2709, TAB_CORRECAO_C[[DIAS_CORRIDOS]:[V_FUT_UTEIS]],K$5, FALSE)</f>
        <v>#N/A</v>
      </c>
      <c r="L2709" s="22" t="e">
        <f>VLOOKUP($A2709, TAB_AMORTIZACAO_C[[DIAS_CORRIDOS]:[V_FUT_UTEIS]], L$5, FALSE)</f>
        <v>#N/A</v>
      </c>
    </row>
    <row r="2710" spans="1:12" hidden="1">
      <c r="A2710" s="19">
        <f t="shared" si="219"/>
        <v>2704</v>
      </c>
      <c r="B2710" s="20">
        <f t="shared" si="215"/>
        <v>0</v>
      </c>
      <c r="C2710" s="21">
        <f t="shared" si="216"/>
        <v>0</v>
      </c>
      <c r="D2710" s="22" t="e">
        <f>VLOOKUP($A2710, TAB_JUROS_U[[Q_DIAS_U_PARC_TIR]:[V_FUT_U_JURS CENARIO]], D$5, FALSE)</f>
        <v>#N/A</v>
      </c>
      <c r="E2710" s="22" t="e">
        <f>VLOOKUP($A2710,TAB_CORRECAO_U[[Q_DIAS_U_PARC_TIR]:[V_FUT_U_CORC-02]],E$5, FALSE)</f>
        <v>#N/A</v>
      </c>
      <c r="F2710" s="22" t="e">
        <f>VLOOKUP($A2710,TAB_AMORTIZACAO_U[[Q_DIAS_U_PARC_TIR]:[V_FUT_U_PCPL-02]], F$5, FALSE)</f>
        <v>#N/A</v>
      </c>
      <c r="H2710" s="20">
        <f t="shared" si="217"/>
        <v>0</v>
      </c>
      <c r="I2710" s="21">
        <f t="shared" si="218"/>
        <v>0</v>
      </c>
      <c r="J2710" s="22" t="e">
        <f>VLOOKUP($A2710, TAB_JUROS_C[[DIAS_CORRIDOS]:[V_FUT_UTEIS]], J$5, FALSE)</f>
        <v>#N/A</v>
      </c>
      <c r="K2710" s="22" t="e">
        <f>VLOOKUP($A2710, TAB_CORRECAO_C[[DIAS_CORRIDOS]:[V_FUT_UTEIS]],K$5, FALSE)</f>
        <v>#N/A</v>
      </c>
      <c r="L2710" s="22" t="e">
        <f>VLOOKUP($A2710, TAB_AMORTIZACAO_C[[DIAS_CORRIDOS]:[V_FUT_UTEIS]], L$5, FALSE)</f>
        <v>#N/A</v>
      </c>
    </row>
    <row r="2711" spans="1:12" hidden="1">
      <c r="A2711" s="19">
        <f t="shared" si="219"/>
        <v>2705</v>
      </c>
      <c r="B2711" s="20">
        <f t="shared" si="215"/>
        <v>0</v>
      </c>
      <c r="C2711" s="21">
        <f t="shared" si="216"/>
        <v>0</v>
      </c>
      <c r="D2711" s="22" t="e">
        <f>VLOOKUP($A2711, TAB_JUROS_U[[Q_DIAS_U_PARC_TIR]:[V_FUT_U_JURS CENARIO]], D$5, FALSE)</f>
        <v>#N/A</v>
      </c>
      <c r="E2711" s="22" t="e">
        <f>VLOOKUP($A2711,TAB_CORRECAO_U[[Q_DIAS_U_PARC_TIR]:[V_FUT_U_CORC-02]],E$5, FALSE)</f>
        <v>#N/A</v>
      </c>
      <c r="F2711" s="22" t="e">
        <f>VLOOKUP($A2711,TAB_AMORTIZACAO_U[[Q_DIAS_U_PARC_TIR]:[V_FUT_U_PCPL-02]], F$5, FALSE)</f>
        <v>#N/A</v>
      </c>
      <c r="H2711" s="20">
        <f t="shared" si="217"/>
        <v>0</v>
      </c>
      <c r="I2711" s="21">
        <f t="shared" si="218"/>
        <v>0</v>
      </c>
      <c r="J2711" s="22" t="e">
        <f>VLOOKUP($A2711, TAB_JUROS_C[[DIAS_CORRIDOS]:[V_FUT_UTEIS]], J$5, FALSE)</f>
        <v>#N/A</v>
      </c>
      <c r="K2711" s="22" t="e">
        <f>VLOOKUP($A2711, TAB_CORRECAO_C[[DIAS_CORRIDOS]:[V_FUT_UTEIS]],K$5, FALSE)</f>
        <v>#N/A</v>
      </c>
      <c r="L2711" s="22" t="e">
        <f>VLOOKUP($A2711, TAB_AMORTIZACAO_C[[DIAS_CORRIDOS]:[V_FUT_UTEIS]], L$5, FALSE)</f>
        <v>#N/A</v>
      </c>
    </row>
    <row r="2712" spans="1:12" hidden="1">
      <c r="A2712" s="19">
        <f t="shared" si="219"/>
        <v>2706</v>
      </c>
      <c r="B2712" s="20">
        <f t="shared" si="215"/>
        <v>0</v>
      </c>
      <c r="C2712" s="21">
        <f t="shared" si="216"/>
        <v>0</v>
      </c>
      <c r="D2712" s="22" t="e">
        <f>VLOOKUP($A2712, TAB_JUROS_U[[Q_DIAS_U_PARC_TIR]:[V_FUT_U_JURS CENARIO]], D$5, FALSE)</f>
        <v>#N/A</v>
      </c>
      <c r="E2712" s="22" t="e">
        <f>VLOOKUP($A2712,TAB_CORRECAO_U[[Q_DIAS_U_PARC_TIR]:[V_FUT_U_CORC-02]],E$5, FALSE)</f>
        <v>#N/A</v>
      </c>
      <c r="F2712" s="22" t="e">
        <f>VLOOKUP($A2712,TAB_AMORTIZACAO_U[[Q_DIAS_U_PARC_TIR]:[V_FUT_U_PCPL-02]], F$5, FALSE)</f>
        <v>#N/A</v>
      </c>
      <c r="H2712" s="20">
        <f t="shared" si="217"/>
        <v>0</v>
      </c>
      <c r="I2712" s="21">
        <f t="shared" si="218"/>
        <v>0</v>
      </c>
      <c r="J2712" s="22" t="e">
        <f>VLOOKUP($A2712, TAB_JUROS_C[[DIAS_CORRIDOS]:[V_FUT_UTEIS]], J$5, FALSE)</f>
        <v>#N/A</v>
      </c>
      <c r="K2712" s="22" t="e">
        <f>VLOOKUP($A2712, TAB_CORRECAO_C[[DIAS_CORRIDOS]:[V_FUT_UTEIS]],K$5, FALSE)</f>
        <v>#N/A</v>
      </c>
      <c r="L2712" s="22" t="e">
        <f>VLOOKUP($A2712, TAB_AMORTIZACAO_C[[DIAS_CORRIDOS]:[V_FUT_UTEIS]], L$5, FALSE)</f>
        <v>#N/A</v>
      </c>
    </row>
    <row r="2713" spans="1:12" hidden="1">
      <c r="A2713" s="19">
        <f t="shared" si="219"/>
        <v>2707</v>
      </c>
      <c r="B2713" s="20">
        <f t="shared" si="215"/>
        <v>0</v>
      </c>
      <c r="C2713" s="21">
        <f t="shared" si="216"/>
        <v>0</v>
      </c>
      <c r="D2713" s="22" t="e">
        <f>VLOOKUP($A2713, TAB_JUROS_U[[Q_DIAS_U_PARC_TIR]:[V_FUT_U_JURS CENARIO]], D$5, FALSE)</f>
        <v>#N/A</v>
      </c>
      <c r="E2713" s="22" t="e">
        <f>VLOOKUP($A2713,TAB_CORRECAO_U[[Q_DIAS_U_PARC_TIR]:[V_FUT_U_CORC-02]],E$5, FALSE)</f>
        <v>#N/A</v>
      </c>
      <c r="F2713" s="22" t="e">
        <f>VLOOKUP($A2713,TAB_AMORTIZACAO_U[[Q_DIAS_U_PARC_TIR]:[V_FUT_U_PCPL-02]], F$5, FALSE)</f>
        <v>#N/A</v>
      </c>
      <c r="H2713" s="20">
        <f t="shared" si="217"/>
        <v>0</v>
      </c>
      <c r="I2713" s="21">
        <f t="shared" si="218"/>
        <v>0</v>
      </c>
      <c r="J2713" s="22" t="e">
        <f>VLOOKUP($A2713, TAB_JUROS_C[[DIAS_CORRIDOS]:[V_FUT_UTEIS]], J$5, FALSE)</f>
        <v>#N/A</v>
      </c>
      <c r="K2713" s="22" t="e">
        <f>VLOOKUP($A2713, TAB_CORRECAO_C[[DIAS_CORRIDOS]:[V_FUT_UTEIS]],K$5, FALSE)</f>
        <v>#N/A</v>
      </c>
      <c r="L2713" s="22" t="e">
        <f>VLOOKUP($A2713, TAB_AMORTIZACAO_C[[DIAS_CORRIDOS]:[V_FUT_UTEIS]], L$5, FALSE)</f>
        <v>#N/A</v>
      </c>
    </row>
    <row r="2714" spans="1:12" hidden="1">
      <c r="A2714" s="19">
        <f t="shared" si="219"/>
        <v>2708</v>
      </c>
      <c r="B2714" s="20">
        <f t="shared" si="215"/>
        <v>0</v>
      </c>
      <c r="C2714" s="21">
        <f t="shared" si="216"/>
        <v>0</v>
      </c>
      <c r="D2714" s="22" t="e">
        <f>VLOOKUP($A2714, TAB_JUROS_U[[Q_DIAS_U_PARC_TIR]:[V_FUT_U_JURS CENARIO]], D$5, FALSE)</f>
        <v>#N/A</v>
      </c>
      <c r="E2714" s="22" t="e">
        <f>VLOOKUP($A2714,TAB_CORRECAO_U[[Q_DIAS_U_PARC_TIR]:[V_FUT_U_CORC-02]],E$5, FALSE)</f>
        <v>#N/A</v>
      </c>
      <c r="F2714" s="22" t="e">
        <f>VLOOKUP($A2714,TAB_AMORTIZACAO_U[[Q_DIAS_U_PARC_TIR]:[V_FUT_U_PCPL-02]], F$5, FALSE)</f>
        <v>#N/A</v>
      </c>
      <c r="H2714" s="20">
        <f t="shared" si="217"/>
        <v>0</v>
      </c>
      <c r="I2714" s="21">
        <f t="shared" si="218"/>
        <v>0</v>
      </c>
      <c r="J2714" s="22" t="e">
        <f>VLOOKUP($A2714, TAB_JUROS_C[[DIAS_CORRIDOS]:[V_FUT_UTEIS]], J$5, FALSE)</f>
        <v>#N/A</v>
      </c>
      <c r="K2714" s="22" t="e">
        <f>VLOOKUP($A2714, TAB_CORRECAO_C[[DIAS_CORRIDOS]:[V_FUT_UTEIS]],K$5, FALSE)</f>
        <v>#N/A</v>
      </c>
      <c r="L2714" s="22" t="e">
        <f>VLOOKUP($A2714, TAB_AMORTIZACAO_C[[DIAS_CORRIDOS]:[V_FUT_UTEIS]], L$5, FALSE)</f>
        <v>#N/A</v>
      </c>
    </row>
    <row r="2715" spans="1:12" hidden="1">
      <c r="A2715" s="19">
        <f t="shared" si="219"/>
        <v>2709</v>
      </c>
      <c r="B2715" s="20">
        <f t="shared" si="215"/>
        <v>0</v>
      </c>
      <c r="C2715" s="21">
        <f t="shared" si="216"/>
        <v>0</v>
      </c>
      <c r="D2715" s="22" t="e">
        <f>VLOOKUP($A2715, TAB_JUROS_U[[Q_DIAS_U_PARC_TIR]:[V_FUT_U_JURS CENARIO]], D$5, FALSE)</f>
        <v>#N/A</v>
      </c>
      <c r="E2715" s="22" t="e">
        <f>VLOOKUP($A2715,TAB_CORRECAO_U[[Q_DIAS_U_PARC_TIR]:[V_FUT_U_CORC-02]],E$5, FALSE)</f>
        <v>#N/A</v>
      </c>
      <c r="F2715" s="22" t="e">
        <f>VLOOKUP($A2715,TAB_AMORTIZACAO_U[[Q_DIAS_U_PARC_TIR]:[V_FUT_U_PCPL-02]], F$5, FALSE)</f>
        <v>#N/A</v>
      </c>
      <c r="H2715" s="20">
        <f t="shared" si="217"/>
        <v>0</v>
      </c>
      <c r="I2715" s="21">
        <f t="shared" si="218"/>
        <v>0</v>
      </c>
      <c r="J2715" s="22" t="e">
        <f>VLOOKUP($A2715, TAB_JUROS_C[[DIAS_CORRIDOS]:[V_FUT_UTEIS]], J$5, FALSE)</f>
        <v>#N/A</v>
      </c>
      <c r="K2715" s="22" t="e">
        <f>VLOOKUP($A2715, TAB_CORRECAO_C[[DIAS_CORRIDOS]:[V_FUT_UTEIS]],K$5, FALSE)</f>
        <v>#N/A</v>
      </c>
      <c r="L2715" s="22" t="e">
        <f>VLOOKUP($A2715, TAB_AMORTIZACAO_C[[DIAS_CORRIDOS]:[V_FUT_UTEIS]], L$5, FALSE)</f>
        <v>#N/A</v>
      </c>
    </row>
    <row r="2716" spans="1:12" hidden="1">
      <c r="A2716" s="19">
        <f t="shared" si="219"/>
        <v>2710</v>
      </c>
      <c r="B2716" s="20">
        <f t="shared" si="215"/>
        <v>0</v>
      </c>
      <c r="C2716" s="21">
        <f t="shared" si="216"/>
        <v>0</v>
      </c>
      <c r="D2716" s="22" t="e">
        <f>VLOOKUP($A2716, TAB_JUROS_U[[Q_DIAS_U_PARC_TIR]:[V_FUT_U_JURS CENARIO]], D$5, FALSE)</f>
        <v>#N/A</v>
      </c>
      <c r="E2716" s="22" t="e">
        <f>VLOOKUP($A2716,TAB_CORRECAO_U[[Q_DIAS_U_PARC_TIR]:[V_FUT_U_CORC-02]],E$5, FALSE)</f>
        <v>#N/A</v>
      </c>
      <c r="F2716" s="22" t="e">
        <f>VLOOKUP($A2716,TAB_AMORTIZACAO_U[[Q_DIAS_U_PARC_TIR]:[V_FUT_U_PCPL-02]], F$5, FALSE)</f>
        <v>#N/A</v>
      </c>
      <c r="H2716" s="20">
        <f t="shared" si="217"/>
        <v>0</v>
      </c>
      <c r="I2716" s="21">
        <f t="shared" si="218"/>
        <v>0</v>
      </c>
      <c r="J2716" s="22" t="e">
        <f>VLOOKUP($A2716, TAB_JUROS_C[[DIAS_CORRIDOS]:[V_FUT_UTEIS]], J$5, FALSE)</f>
        <v>#N/A</v>
      </c>
      <c r="K2716" s="22" t="e">
        <f>VLOOKUP($A2716, TAB_CORRECAO_C[[DIAS_CORRIDOS]:[V_FUT_UTEIS]],K$5, FALSE)</f>
        <v>#N/A</v>
      </c>
      <c r="L2716" s="22" t="e">
        <f>VLOOKUP($A2716, TAB_AMORTIZACAO_C[[DIAS_CORRIDOS]:[V_FUT_UTEIS]], L$5, FALSE)</f>
        <v>#N/A</v>
      </c>
    </row>
    <row r="2717" spans="1:12" hidden="1">
      <c r="A2717" s="19">
        <f t="shared" si="219"/>
        <v>2711</v>
      </c>
      <c r="B2717" s="20">
        <f t="shared" si="215"/>
        <v>0</v>
      </c>
      <c r="C2717" s="21">
        <f t="shared" si="216"/>
        <v>0</v>
      </c>
      <c r="D2717" s="22" t="e">
        <f>VLOOKUP($A2717, TAB_JUROS_U[[Q_DIAS_U_PARC_TIR]:[V_FUT_U_JURS CENARIO]], D$5, FALSE)</f>
        <v>#N/A</v>
      </c>
      <c r="E2717" s="22" t="e">
        <f>VLOOKUP($A2717,TAB_CORRECAO_U[[Q_DIAS_U_PARC_TIR]:[V_FUT_U_CORC-02]],E$5, FALSE)</f>
        <v>#N/A</v>
      </c>
      <c r="F2717" s="22" t="e">
        <f>VLOOKUP($A2717,TAB_AMORTIZACAO_U[[Q_DIAS_U_PARC_TIR]:[V_FUT_U_PCPL-02]], F$5, FALSE)</f>
        <v>#N/A</v>
      </c>
      <c r="H2717" s="20">
        <f t="shared" si="217"/>
        <v>0</v>
      </c>
      <c r="I2717" s="21">
        <f t="shared" si="218"/>
        <v>0</v>
      </c>
      <c r="J2717" s="22" t="e">
        <f>VLOOKUP($A2717, TAB_JUROS_C[[DIAS_CORRIDOS]:[V_FUT_UTEIS]], J$5, FALSE)</f>
        <v>#N/A</v>
      </c>
      <c r="K2717" s="22" t="e">
        <f>VLOOKUP($A2717, TAB_CORRECAO_C[[DIAS_CORRIDOS]:[V_FUT_UTEIS]],K$5, FALSE)</f>
        <v>#N/A</v>
      </c>
      <c r="L2717" s="22" t="e">
        <f>VLOOKUP($A2717, TAB_AMORTIZACAO_C[[DIAS_CORRIDOS]:[V_FUT_UTEIS]], L$5, FALSE)</f>
        <v>#N/A</v>
      </c>
    </row>
    <row r="2718" spans="1:12">
      <c r="A2718" s="19">
        <f t="shared" si="219"/>
        <v>2712</v>
      </c>
      <c r="B2718" s="20">
        <f t="shared" si="215"/>
        <v>125.63159712443225</v>
      </c>
      <c r="C2718" s="21">
        <f t="shared" si="216"/>
        <v>125.63159712443225</v>
      </c>
      <c r="D2718" s="22">
        <f>VLOOKUP($A2718, TAB_JUROS_U[[Q_DIAS_U_PARC_TIR]:[V_FUT_U_JURS CENARIO]], D$5, FALSE)</f>
        <v>3.1733414544991381</v>
      </c>
      <c r="E2718" s="22">
        <f>VLOOKUP($A2718,TAB_CORRECAO_U[[Q_DIAS_U_PARC_TIR]:[V_FUT_U_CORC-02]],E$5, FALSE)</f>
        <v>20.668284178767355</v>
      </c>
      <c r="F2718" s="22">
        <f>VLOOKUP($A2718,TAB_AMORTIZACAO_U[[Q_DIAS_U_PARC_TIR]:[V_FUT_U_PCPL-02]], F$5, FALSE)</f>
        <v>101.78997149116576</v>
      </c>
      <c r="H2718" s="20">
        <f t="shared" si="217"/>
        <v>0</v>
      </c>
      <c r="I2718" s="21">
        <f t="shared" si="218"/>
        <v>0</v>
      </c>
      <c r="J2718" s="22" t="e">
        <f>VLOOKUP($A2718, TAB_JUROS_C[[DIAS_CORRIDOS]:[V_FUT_UTEIS]], J$5, FALSE)</f>
        <v>#N/A</v>
      </c>
      <c r="K2718" s="22" t="e">
        <f>VLOOKUP($A2718, TAB_CORRECAO_C[[DIAS_CORRIDOS]:[V_FUT_UTEIS]],K$5, FALSE)</f>
        <v>#N/A</v>
      </c>
      <c r="L2718" s="22" t="e">
        <f>VLOOKUP($A2718, TAB_AMORTIZACAO_C[[DIAS_CORRIDOS]:[V_FUT_UTEIS]], L$5, FALSE)</f>
        <v>#N/A</v>
      </c>
    </row>
    <row r="2719" spans="1:12" hidden="1">
      <c r="A2719" s="19">
        <f t="shared" si="219"/>
        <v>2713</v>
      </c>
      <c r="B2719" s="20">
        <f t="shared" si="215"/>
        <v>0</v>
      </c>
      <c r="C2719" s="21">
        <f t="shared" si="216"/>
        <v>0</v>
      </c>
      <c r="D2719" s="22" t="e">
        <f>VLOOKUP($A2719, TAB_JUROS_U[[Q_DIAS_U_PARC_TIR]:[V_FUT_U_JURS CENARIO]], D$5, FALSE)</f>
        <v>#N/A</v>
      </c>
      <c r="E2719" s="22" t="e">
        <f>VLOOKUP($A2719,TAB_CORRECAO_U[[Q_DIAS_U_PARC_TIR]:[V_FUT_U_CORC-02]],E$5, FALSE)</f>
        <v>#N/A</v>
      </c>
      <c r="F2719" s="22" t="e">
        <f>VLOOKUP($A2719,TAB_AMORTIZACAO_U[[Q_DIAS_U_PARC_TIR]:[V_FUT_U_PCPL-02]], F$5, FALSE)</f>
        <v>#N/A</v>
      </c>
      <c r="H2719" s="20">
        <f t="shared" si="217"/>
        <v>0</v>
      </c>
      <c r="I2719" s="21">
        <f t="shared" si="218"/>
        <v>0</v>
      </c>
      <c r="J2719" s="22" t="e">
        <f>VLOOKUP($A2719, TAB_JUROS_C[[DIAS_CORRIDOS]:[V_FUT_UTEIS]], J$5, FALSE)</f>
        <v>#N/A</v>
      </c>
      <c r="K2719" s="22" t="e">
        <f>VLOOKUP($A2719, TAB_CORRECAO_C[[DIAS_CORRIDOS]:[V_FUT_UTEIS]],K$5, FALSE)</f>
        <v>#N/A</v>
      </c>
      <c r="L2719" s="22" t="e">
        <f>VLOOKUP($A2719, TAB_AMORTIZACAO_C[[DIAS_CORRIDOS]:[V_FUT_UTEIS]], L$5, FALSE)</f>
        <v>#N/A</v>
      </c>
    </row>
    <row r="2720" spans="1:12" hidden="1">
      <c r="A2720" s="19">
        <f t="shared" si="219"/>
        <v>2714</v>
      </c>
      <c r="B2720" s="20">
        <f t="shared" si="215"/>
        <v>0</v>
      </c>
      <c r="C2720" s="21">
        <f t="shared" si="216"/>
        <v>0</v>
      </c>
      <c r="D2720" s="22" t="e">
        <f>VLOOKUP($A2720, TAB_JUROS_U[[Q_DIAS_U_PARC_TIR]:[V_FUT_U_JURS CENARIO]], D$5, FALSE)</f>
        <v>#N/A</v>
      </c>
      <c r="E2720" s="22" t="e">
        <f>VLOOKUP($A2720,TAB_CORRECAO_U[[Q_DIAS_U_PARC_TIR]:[V_FUT_U_CORC-02]],E$5, FALSE)</f>
        <v>#N/A</v>
      </c>
      <c r="F2720" s="22" t="e">
        <f>VLOOKUP($A2720,TAB_AMORTIZACAO_U[[Q_DIAS_U_PARC_TIR]:[V_FUT_U_PCPL-02]], F$5, FALSE)</f>
        <v>#N/A</v>
      </c>
      <c r="H2720" s="20">
        <f t="shared" si="217"/>
        <v>0</v>
      </c>
      <c r="I2720" s="21">
        <f t="shared" si="218"/>
        <v>0</v>
      </c>
      <c r="J2720" s="22" t="e">
        <f>VLOOKUP($A2720, TAB_JUROS_C[[DIAS_CORRIDOS]:[V_FUT_UTEIS]], J$5, FALSE)</f>
        <v>#N/A</v>
      </c>
      <c r="K2720" s="22" t="e">
        <f>VLOOKUP($A2720, TAB_CORRECAO_C[[DIAS_CORRIDOS]:[V_FUT_UTEIS]],K$5, FALSE)</f>
        <v>#N/A</v>
      </c>
      <c r="L2720" s="22" t="e">
        <f>VLOOKUP($A2720, TAB_AMORTIZACAO_C[[DIAS_CORRIDOS]:[V_FUT_UTEIS]], L$5, FALSE)</f>
        <v>#N/A</v>
      </c>
    </row>
    <row r="2721" spans="1:12" hidden="1">
      <c r="A2721" s="19">
        <f t="shared" si="219"/>
        <v>2715</v>
      </c>
      <c r="B2721" s="20">
        <f t="shared" si="215"/>
        <v>0</v>
      </c>
      <c r="C2721" s="21">
        <f t="shared" si="216"/>
        <v>0</v>
      </c>
      <c r="D2721" s="22" t="e">
        <f>VLOOKUP($A2721, TAB_JUROS_U[[Q_DIAS_U_PARC_TIR]:[V_FUT_U_JURS CENARIO]], D$5, FALSE)</f>
        <v>#N/A</v>
      </c>
      <c r="E2721" s="22" t="e">
        <f>VLOOKUP($A2721,TAB_CORRECAO_U[[Q_DIAS_U_PARC_TIR]:[V_FUT_U_CORC-02]],E$5, FALSE)</f>
        <v>#N/A</v>
      </c>
      <c r="F2721" s="22" t="e">
        <f>VLOOKUP($A2721,TAB_AMORTIZACAO_U[[Q_DIAS_U_PARC_TIR]:[V_FUT_U_PCPL-02]], F$5, FALSE)</f>
        <v>#N/A</v>
      </c>
      <c r="H2721" s="20">
        <f t="shared" si="217"/>
        <v>0</v>
      </c>
      <c r="I2721" s="21">
        <f t="shared" si="218"/>
        <v>0</v>
      </c>
      <c r="J2721" s="22" t="e">
        <f>VLOOKUP($A2721, TAB_JUROS_C[[DIAS_CORRIDOS]:[V_FUT_UTEIS]], J$5, FALSE)</f>
        <v>#N/A</v>
      </c>
      <c r="K2721" s="22" t="e">
        <f>VLOOKUP($A2721, TAB_CORRECAO_C[[DIAS_CORRIDOS]:[V_FUT_UTEIS]],K$5, FALSE)</f>
        <v>#N/A</v>
      </c>
      <c r="L2721" s="22" t="e">
        <f>VLOOKUP($A2721, TAB_AMORTIZACAO_C[[DIAS_CORRIDOS]:[V_FUT_UTEIS]], L$5, FALSE)</f>
        <v>#N/A</v>
      </c>
    </row>
    <row r="2722" spans="1:12" hidden="1">
      <c r="A2722" s="19">
        <f t="shared" si="219"/>
        <v>2716</v>
      </c>
      <c r="B2722" s="20">
        <f t="shared" si="215"/>
        <v>0</v>
      </c>
      <c r="C2722" s="21">
        <f t="shared" si="216"/>
        <v>0</v>
      </c>
      <c r="D2722" s="22" t="e">
        <f>VLOOKUP($A2722, TAB_JUROS_U[[Q_DIAS_U_PARC_TIR]:[V_FUT_U_JURS CENARIO]], D$5, FALSE)</f>
        <v>#N/A</v>
      </c>
      <c r="E2722" s="22" t="e">
        <f>VLOOKUP($A2722,TAB_CORRECAO_U[[Q_DIAS_U_PARC_TIR]:[V_FUT_U_CORC-02]],E$5, FALSE)</f>
        <v>#N/A</v>
      </c>
      <c r="F2722" s="22" t="e">
        <f>VLOOKUP($A2722,TAB_AMORTIZACAO_U[[Q_DIAS_U_PARC_TIR]:[V_FUT_U_PCPL-02]], F$5, FALSE)</f>
        <v>#N/A</v>
      </c>
      <c r="H2722" s="20">
        <f t="shared" si="217"/>
        <v>0</v>
      </c>
      <c r="I2722" s="21">
        <f t="shared" si="218"/>
        <v>0</v>
      </c>
      <c r="J2722" s="22" t="e">
        <f>VLOOKUP($A2722, TAB_JUROS_C[[DIAS_CORRIDOS]:[V_FUT_UTEIS]], J$5, FALSE)</f>
        <v>#N/A</v>
      </c>
      <c r="K2722" s="22" t="e">
        <f>VLOOKUP($A2722, TAB_CORRECAO_C[[DIAS_CORRIDOS]:[V_FUT_UTEIS]],K$5, FALSE)</f>
        <v>#N/A</v>
      </c>
      <c r="L2722" s="22" t="e">
        <f>VLOOKUP($A2722, TAB_AMORTIZACAO_C[[DIAS_CORRIDOS]:[V_FUT_UTEIS]], L$5, FALSE)</f>
        <v>#N/A</v>
      </c>
    </row>
    <row r="2723" spans="1:12" hidden="1">
      <c r="A2723" s="19">
        <f t="shared" si="219"/>
        <v>2717</v>
      </c>
      <c r="B2723" s="20">
        <f t="shared" si="215"/>
        <v>0</v>
      </c>
      <c r="C2723" s="21">
        <f t="shared" si="216"/>
        <v>0</v>
      </c>
      <c r="D2723" s="22" t="e">
        <f>VLOOKUP($A2723, TAB_JUROS_U[[Q_DIAS_U_PARC_TIR]:[V_FUT_U_JURS CENARIO]], D$5, FALSE)</f>
        <v>#N/A</v>
      </c>
      <c r="E2723" s="22" t="e">
        <f>VLOOKUP($A2723,TAB_CORRECAO_U[[Q_DIAS_U_PARC_TIR]:[V_FUT_U_CORC-02]],E$5, FALSE)</f>
        <v>#N/A</v>
      </c>
      <c r="F2723" s="22" t="e">
        <f>VLOOKUP($A2723,TAB_AMORTIZACAO_U[[Q_DIAS_U_PARC_TIR]:[V_FUT_U_PCPL-02]], F$5, FALSE)</f>
        <v>#N/A</v>
      </c>
      <c r="H2723" s="20">
        <f t="shared" si="217"/>
        <v>0</v>
      </c>
      <c r="I2723" s="21">
        <f t="shared" si="218"/>
        <v>0</v>
      </c>
      <c r="J2723" s="22" t="e">
        <f>VLOOKUP($A2723, TAB_JUROS_C[[DIAS_CORRIDOS]:[V_FUT_UTEIS]], J$5, FALSE)</f>
        <v>#N/A</v>
      </c>
      <c r="K2723" s="22" t="e">
        <f>VLOOKUP($A2723, TAB_CORRECAO_C[[DIAS_CORRIDOS]:[V_FUT_UTEIS]],K$5, FALSE)</f>
        <v>#N/A</v>
      </c>
      <c r="L2723" s="22" t="e">
        <f>VLOOKUP($A2723, TAB_AMORTIZACAO_C[[DIAS_CORRIDOS]:[V_FUT_UTEIS]], L$5, FALSE)</f>
        <v>#N/A</v>
      </c>
    </row>
    <row r="2724" spans="1:12" hidden="1">
      <c r="A2724" s="19">
        <f t="shared" si="219"/>
        <v>2718</v>
      </c>
      <c r="B2724" s="20">
        <f t="shared" si="215"/>
        <v>0</v>
      </c>
      <c r="C2724" s="21">
        <f t="shared" si="216"/>
        <v>0</v>
      </c>
      <c r="D2724" s="22" t="e">
        <f>VLOOKUP($A2724, TAB_JUROS_U[[Q_DIAS_U_PARC_TIR]:[V_FUT_U_JURS CENARIO]], D$5, FALSE)</f>
        <v>#N/A</v>
      </c>
      <c r="E2724" s="22" t="e">
        <f>VLOOKUP($A2724,TAB_CORRECAO_U[[Q_DIAS_U_PARC_TIR]:[V_FUT_U_CORC-02]],E$5, FALSE)</f>
        <v>#N/A</v>
      </c>
      <c r="F2724" s="22" t="e">
        <f>VLOOKUP($A2724,TAB_AMORTIZACAO_U[[Q_DIAS_U_PARC_TIR]:[V_FUT_U_PCPL-02]], F$5, FALSE)</f>
        <v>#N/A</v>
      </c>
      <c r="H2724" s="20">
        <f t="shared" si="217"/>
        <v>0</v>
      </c>
      <c r="I2724" s="21">
        <f t="shared" si="218"/>
        <v>0</v>
      </c>
      <c r="J2724" s="22" t="e">
        <f>VLOOKUP($A2724, TAB_JUROS_C[[DIAS_CORRIDOS]:[V_FUT_UTEIS]], J$5, FALSE)</f>
        <v>#N/A</v>
      </c>
      <c r="K2724" s="22" t="e">
        <f>VLOOKUP($A2724, TAB_CORRECAO_C[[DIAS_CORRIDOS]:[V_FUT_UTEIS]],K$5, FALSE)</f>
        <v>#N/A</v>
      </c>
      <c r="L2724" s="22" t="e">
        <f>VLOOKUP($A2724, TAB_AMORTIZACAO_C[[DIAS_CORRIDOS]:[V_FUT_UTEIS]], L$5, FALSE)</f>
        <v>#N/A</v>
      </c>
    </row>
    <row r="2725" spans="1:12" hidden="1">
      <c r="A2725" s="19">
        <f t="shared" si="219"/>
        <v>2719</v>
      </c>
      <c r="B2725" s="20">
        <f t="shared" si="215"/>
        <v>0</v>
      </c>
      <c r="C2725" s="21">
        <f t="shared" si="216"/>
        <v>0</v>
      </c>
      <c r="D2725" s="22" t="e">
        <f>VLOOKUP($A2725, TAB_JUROS_U[[Q_DIAS_U_PARC_TIR]:[V_FUT_U_JURS CENARIO]], D$5, FALSE)</f>
        <v>#N/A</v>
      </c>
      <c r="E2725" s="22" t="e">
        <f>VLOOKUP($A2725,TAB_CORRECAO_U[[Q_DIAS_U_PARC_TIR]:[V_FUT_U_CORC-02]],E$5, FALSE)</f>
        <v>#N/A</v>
      </c>
      <c r="F2725" s="22" t="e">
        <f>VLOOKUP($A2725,TAB_AMORTIZACAO_U[[Q_DIAS_U_PARC_TIR]:[V_FUT_U_PCPL-02]], F$5, FALSE)</f>
        <v>#N/A</v>
      </c>
      <c r="H2725" s="20">
        <f t="shared" si="217"/>
        <v>0</v>
      </c>
      <c r="I2725" s="21">
        <f t="shared" si="218"/>
        <v>0</v>
      </c>
      <c r="J2725" s="22" t="e">
        <f>VLOOKUP($A2725, TAB_JUROS_C[[DIAS_CORRIDOS]:[V_FUT_UTEIS]], J$5, FALSE)</f>
        <v>#N/A</v>
      </c>
      <c r="K2725" s="22" t="e">
        <f>VLOOKUP($A2725, TAB_CORRECAO_C[[DIAS_CORRIDOS]:[V_FUT_UTEIS]],K$5, FALSE)</f>
        <v>#N/A</v>
      </c>
      <c r="L2725" s="22" t="e">
        <f>VLOOKUP($A2725, TAB_AMORTIZACAO_C[[DIAS_CORRIDOS]:[V_FUT_UTEIS]], L$5, FALSE)</f>
        <v>#N/A</v>
      </c>
    </row>
    <row r="2726" spans="1:12" hidden="1">
      <c r="A2726" s="19">
        <f t="shared" si="219"/>
        <v>2720</v>
      </c>
      <c r="B2726" s="20">
        <f t="shared" si="215"/>
        <v>0</v>
      </c>
      <c r="C2726" s="21">
        <f t="shared" si="216"/>
        <v>0</v>
      </c>
      <c r="D2726" s="22" t="e">
        <f>VLOOKUP($A2726, TAB_JUROS_U[[Q_DIAS_U_PARC_TIR]:[V_FUT_U_JURS CENARIO]], D$5, FALSE)</f>
        <v>#N/A</v>
      </c>
      <c r="E2726" s="22" t="e">
        <f>VLOOKUP($A2726,TAB_CORRECAO_U[[Q_DIAS_U_PARC_TIR]:[V_FUT_U_CORC-02]],E$5, FALSE)</f>
        <v>#N/A</v>
      </c>
      <c r="F2726" s="22" t="e">
        <f>VLOOKUP($A2726,TAB_AMORTIZACAO_U[[Q_DIAS_U_PARC_TIR]:[V_FUT_U_PCPL-02]], F$5, FALSE)</f>
        <v>#N/A</v>
      </c>
      <c r="H2726" s="20">
        <f t="shared" si="217"/>
        <v>355.27733411170379</v>
      </c>
      <c r="I2726" s="21">
        <f t="shared" si="218"/>
        <v>355.27733411170379</v>
      </c>
      <c r="J2726" s="22">
        <f>VLOOKUP($A2726, TAB_JUROS_C[[DIAS_CORRIDOS]:[V_FUT_UTEIS]], J$5, FALSE)</f>
        <v>21.723181046738375</v>
      </c>
      <c r="K2726" s="22">
        <f>VLOOKUP($A2726, TAB_CORRECAO_C[[DIAS_CORRIDOS]:[V_FUT_UTEIS]],K$5, FALSE)</f>
        <v>133.74267874034257</v>
      </c>
      <c r="L2726" s="22">
        <f>VLOOKUP($A2726, TAB_AMORTIZACAO_C[[DIAS_CORRIDOS]:[V_FUT_UTEIS]], L$5, FALSE)</f>
        <v>199.81147432462285</v>
      </c>
    </row>
    <row r="2727" spans="1:12" hidden="1">
      <c r="A2727" s="19">
        <f t="shared" si="219"/>
        <v>2721</v>
      </c>
      <c r="B2727" s="20">
        <f t="shared" si="215"/>
        <v>0</v>
      </c>
      <c r="C2727" s="21">
        <f t="shared" si="216"/>
        <v>0</v>
      </c>
      <c r="D2727" s="22" t="e">
        <f>VLOOKUP($A2727, TAB_JUROS_U[[Q_DIAS_U_PARC_TIR]:[V_FUT_U_JURS CENARIO]], D$5, FALSE)</f>
        <v>#N/A</v>
      </c>
      <c r="E2727" s="22" t="e">
        <f>VLOOKUP($A2727,TAB_CORRECAO_U[[Q_DIAS_U_PARC_TIR]:[V_FUT_U_CORC-02]],E$5, FALSE)</f>
        <v>#N/A</v>
      </c>
      <c r="F2727" s="22" t="e">
        <f>VLOOKUP($A2727,TAB_AMORTIZACAO_U[[Q_DIAS_U_PARC_TIR]:[V_FUT_U_PCPL-02]], F$5, FALSE)</f>
        <v>#N/A</v>
      </c>
      <c r="H2727" s="20">
        <f t="shared" si="217"/>
        <v>0</v>
      </c>
      <c r="I2727" s="21">
        <f t="shared" si="218"/>
        <v>0</v>
      </c>
      <c r="J2727" s="22" t="e">
        <f>VLOOKUP($A2727, TAB_JUROS_C[[DIAS_CORRIDOS]:[V_FUT_UTEIS]], J$5, FALSE)</f>
        <v>#N/A</v>
      </c>
      <c r="K2727" s="22" t="e">
        <f>VLOOKUP($A2727, TAB_CORRECAO_C[[DIAS_CORRIDOS]:[V_FUT_UTEIS]],K$5, FALSE)</f>
        <v>#N/A</v>
      </c>
      <c r="L2727" s="22" t="e">
        <f>VLOOKUP($A2727, TAB_AMORTIZACAO_C[[DIAS_CORRIDOS]:[V_FUT_UTEIS]], L$5, FALSE)</f>
        <v>#N/A</v>
      </c>
    </row>
    <row r="2728" spans="1:12" hidden="1">
      <c r="A2728" s="19">
        <f t="shared" si="219"/>
        <v>2722</v>
      </c>
      <c r="B2728" s="20">
        <f t="shared" si="215"/>
        <v>0</v>
      </c>
      <c r="C2728" s="21">
        <f t="shared" si="216"/>
        <v>0</v>
      </c>
      <c r="D2728" s="22" t="e">
        <f>VLOOKUP($A2728, TAB_JUROS_U[[Q_DIAS_U_PARC_TIR]:[V_FUT_U_JURS CENARIO]], D$5, FALSE)</f>
        <v>#N/A</v>
      </c>
      <c r="E2728" s="22" t="e">
        <f>VLOOKUP($A2728,TAB_CORRECAO_U[[Q_DIAS_U_PARC_TIR]:[V_FUT_U_CORC-02]],E$5, FALSE)</f>
        <v>#N/A</v>
      </c>
      <c r="F2728" s="22" t="e">
        <f>VLOOKUP($A2728,TAB_AMORTIZACAO_U[[Q_DIAS_U_PARC_TIR]:[V_FUT_U_PCPL-02]], F$5, FALSE)</f>
        <v>#N/A</v>
      </c>
      <c r="H2728" s="20">
        <f t="shared" si="217"/>
        <v>0</v>
      </c>
      <c r="I2728" s="21">
        <f t="shared" si="218"/>
        <v>0</v>
      </c>
      <c r="J2728" s="22" t="e">
        <f>VLOOKUP($A2728, TAB_JUROS_C[[DIAS_CORRIDOS]:[V_FUT_UTEIS]], J$5, FALSE)</f>
        <v>#N/A</v>
      </c>
      <c r="K2728" s="22" t="e">
        <f>VLOOKUP($A2728, TAB_CORRECAO_C[[DIAS_CORRIDOS]:[V_FUT_UTEIS]],K$5, FALSE)</f>
        <v>#N/A</v>
      </c>
      <c r="L2728" s="22" t="e">
        <f>VLOOKUP($A2728, TAB_AMORTIZACAO_C[[DIAS_CORRIDOS]:[V_FUT_UTEIS]], L$5, FALSE)</f>
        <v>#N/A</v>
      </c>
    </row>
    <row r="2729" spans="1:12" hidden="1">
      <c r="A2729" s="19">
        <f t="shared" si="219"/>
        <v>2723</v>
      </c>
      <c r="B2729" s="20">
        <f t="shared" si="215"/>
        <v>0</v>
      </c>
      <c r="C2729" s="21">
        <f t="shared" si="216"/>
        <v>0</v>
      </c>
      <c r="D2729" s="22" t="e">
        <f>VLOOKUP($A2729, TAB_JUROS_U[[Q_DIAS_U_PARC_TIR]:[V_FUT_U_JURS CENARIO]], D$5, FALSE)</f>
        <v>#N/A</v>
      </c>
      <c r="E2729" s="22" t="e">
        <f>VLOOKUP($A2729,TAB_CORRECAO_U[[Q_DIAS_U_PARC_TIR]:[V_FUT_U_CORC-02]],E$5, FALSE)</f>
        <v>#N/A</v>
      </c>
      <c r="F2729" s="22" t="e">
        <f>VLOOKUP($A2729,TAB_AMORTIZACAO_U[[Q_DIAS_U_PARC_TIR]:[V_FUT_U_PCPL-02]], F$5, FALSE)</f>
        <v>#N/A</v>
      </c>
      <c r="H2729" s="20">
        <f t="shared" si="217"/>
        <v>0</v>
      </c>
      <c r="I2729" s="21">
        <f t="shared" si="218"/>
        <v>0</v>
      </c>
      <c r="J2729" s="22" t="e">
        <f>VLOOKUP($A2729, TAB_JUROS_C[[DIAS_CORRIDOS]:[V_FUT_UTEIS]], J$5, FALSE)</f>
        <v>#N/A</v>
      </c>
      <c r="K2729" s="22" t="e">
        <f>VLOOKUP($A2729, TAB_CORRECAO_C[[DIAS_CORRIDOS]:[V_FUT_UTEIS]],K$5, FALSE)</f>
        <v>#N/A</v>
      </c>
      <c r="L2729" s="22" t="e">
        <f>VLOOKUP($A2729, TAB_AMORTIZACAO_C[[DIAS_CORRIDOS]:[V_FUT_UTEIS]], L$5, FALSE)</f>
        <v>#N/A</v>
      </c>
    </row>
    <row r="2730" spans="1:12" hidden="1">
      <c r="A2730" s="19">
        <f t="shared" si="219"/>
        <v>2724</v>
      </c>
      <c r="B2730" s="20">
        <f t="shared" si="215"/>
        <v>0</v>
      </c>
      <c r="C2730" s="21">
        <f t="shared" si="216"/>
        <v>0</v>
      </c>
      <c r="D2730" s="22" t="e">
        <f>VLOOKUP($A2730, TAB_JUROS_U[[Q_DIAS_U_PARC_TIR]:[V_FUT_U_JURS CENARIO]], D$5, FALSE)</f>
        <v>#N/A</v>
      </c>
      <c r="E2730" s="22" t="e">
        <f>VLOOKUP($A2730,TAB_CORRECAO_U[[Q_DIAS_U_PARC_TIR]:[V_FUT_U_CORC-02]],E$5, FALSE)</f>
        <v>#N/A</v>
      </c>
      <c r="F2730" s="22" t="e">
        <f>VLOOKUP($A2730,TAB_AMORTIZACAO_U[[Q_DIAS_U_PARC_TIR]:[V_FUT_U_PCPL-02]], F$5, FALSE)</f>
        <v>#N/A</v>
      </c>
      <c r="H2730" s="20">
        <f t="shared" si="217"/>
        <v>0</v>
      </c>
      <c r="I2730" s="21">
        <f t="shared" si="218"/>
        <v>0</v>
      </c>
      <c r="J2730" s="22" t="e">
        <f>VLOOKUP($A2730, TAB_JUROS_C[[DIAS_CORRIDOS]:[V_FUT_UTEIS]], J$5, FALSE)</f>
        <v>#N/A</v>
      </c>
      <c r="K2730" s="22" t="e">
        <f>VLOOKUP($A2730, TAB_CORRECAO_C[[DIAS_CORRIDOS]:[V_FUT_UTEIS]],K$5, FALSE)</f>
        <v>#N/A</v>
      </c>
      <c r="L2730" s="22" t="e">
        <f>VLOOKUP($A2730, TAB_AMORTIZACAO_C[[DIAS_CORRIDOS]:[V_FUT_UTEIS]], L$5, FALSE)</f>
        <v>#N/A</v>
      </c>
    </row>
    <row r="2731" spans="1:12" hidden="1">
      <c r="A2731" s="19">
        <f t="shared" si="219"/>
        <v>2725</v>
      </c>
      <c r="B2731" s="20">
        <f t="shared" si="215"/>
        <v>0</v>
      </c>
      <c r="C2731" s="21">
        <f t="shared" si="216"/>
        <v>0</v>
      </c>
      <c r="D2731" s="22" t="e">
        <f>VLOOKUP($A2731, TAB_JUROS_U[[Q_DIAS_U_PARC_TIR]:[V_FUT_U_JURS CENARIO]], D$5, FALSE)</f>
        <v>#N/A</v>
      </c>
      <c r="E2731" s="22" t="e">
        <f>VLOOKUP($A2731,TAB_CORRECAO_U[[Q_DIAS_U_PARC_TIR]:[V_FUT_U_CORC-02]],E$5, FALSE)</f>
        <v>#N/A</v>
      </c>
      <c r="F2731" s="22" t="e">
        <f>VLOOKUP($A2731,TAB_AMORTIZACAO_U[[Q_DIAS_U_PARC_TIR]:[V_FUT_U_PCPL-02]], F$5, FALSE)</f>
        <v>#N/A</v>
      </c>
      <c r="H2731" s="20">
        <f t="shared" si="217"/>
        <v>0</v>
      </c>
      <c r="I2731" s="21">
        <f t="shared" si="218"/>
        <v>0</v>
      </c>
      <c r="J2731" s="22" t="e">
        <f>VLOOKUP($A2731, TAB_JUROS_C[[DIAS_CORRIDOS]:[V_FUT_UTEIS]], J$5, FALSE)</f>
        <v>#N/A</v>
      </c>
      <c r="K2731" s="22" t="e">
        <f>VLOOKUP($A2731, TAB_CORRECAO_C[[DIAS_CORRIDOS]:[V_FUT_UTEIS]],K$5, FALSE)</f>
        <v>#N/A</v>
      </c>
      <c r="L2731" s="22" t="e">
        <f>VLOOKUP($A2731, TAB_AMORTIZACAO_C[[DIAS_CORRIDOS]:[V_FUT_UTEIS]], L$5, FALSE)</f>
        <v>#N/A</v>
      </c>
    </row>
    <row r="2732" spans="1:12" hidden="1">
      <c r="A2732" s="19">
        <f t="shared" si="219"/>
        <v>2726</v>
      </c>
      <c r="B2732" s="20">
        <f t="shared" si="215"/>
        <v>0</v>
      </c>
      <c r="C2732" s="21">
        <f t="shared" si="216"/>
        <v>0</v>
      </c>
      <c r="D2732" s="22" t="e">
        <f>VLOOKUP($A2732, TAB_JUROS_U[[Q_DIAS_U_PARC_TIR]:[V_FUT_U_JURS CENARIO]], D$5, FALSE)</f>
        <v>#N/A</v>
      </c>
      <c r="E2732" s="22" t="e">
        <f>VLOOKUP($A2732,TAB_CORRECAO_U[[Q_DIAS_U_PARC_TIR]:[V_FUT_U_CORC-02]],E$5, FALSE)</f>
        <v>#N/A</v>
      </c>
      <c r="F2732" s="22" t="e">
        <f>VLOOKUP($A2732,TAB_AMORTIZACAO_U[[Q_DIAS_U_PARC_TIR]:[V_FUT_U_PCPL-02]], F$5, FALSE)</f>
        <v>#N/A</v>
      </c>
      <c r="H2732" s="20">
        <f t="shared" si="217"/>
        <v>0</v>
      </c>
      <c r="I2732" s="21">
        <f t="shared" si="218"/>
        <v>0</v>
      </c>
      <c r="J2732" s="22" t="e">
        <f>VLOOKUP($A2732, TAB_JUROS_C[[DIAS_CORRIDOS]:[V_FUT_UTEIS]], J$5, FALSE)</f>
        <v>#N/A</v>
      </c>
      <c r="K2732" s="22" t="e">
        <f>VLOOKUP($A2732, TAB_CORRECAO_C[[DIAS_CORRIDOS]:[V_FUT_UTEIS]],K$5, FALSE)</f>
        <v>#N/A</v>
      </c>
      <c r="L2732" s="22" t="e">
        <f>VLOOKUP($A2732, TAB_AMORTIZACAO_C[[DIAS_CORRIDOS]:[V_FUT_UTEIS]], L$5, FALSE)</f>
        <v>#N/A</v>
      </c>
    </row>
    <row r="2733" spans="1:12" hidden="1">
      <c r="A2733" s="19">
        <f t="shared" si="219"/>
        <v>2727</v>
      </c>
      <c r="B2733" s="20">
        <f t="shared" si="215"/>
        <v>0</v>
      </c>
      <c r="C2733" s="21">
        <f t="shared" si="216"/>
        <v>0</v>
      </c>
      <c r="D2733" s="22" t="e">
        <f>VLOOKUP($A2733, TAB_JUROS_U[[Q_DIAS_U_PARC_TIR]:[V_FUT_U_JURS CENARIO]], D$5, FALSE)</f>
        <v>#N/A</v>
      </c>
      <c r="E2733" s="22" t="e">
        <f>VLOOKUP($A2733,TAB_CORRECAO_U[[Q_DIAS_U_PARC_TIR]:[V_FUT_U_CORC-02]],E$5, FALSE)</f>
        <v>#N/A</v>
      </c>
      <c r="F2733" s="22" t="e">
        <f>VLOOKUP($A2733,TAB_AMORTIZACAO_U[[Q_DIAS_U_PARC_TIR]:[V_FUT_U_PCPL-02]], F$5, FALSE)</f>
        <v>#N/A</v>
      </c>
      <c r="H2733" s="20">
        <f t="shared" si="217"/>
        <v>0</v>
      </c>
      <c r="I2733" s="21">
        <f t="shared" si="218"/>
        <v>0</v>
      </c>
      <c r="J2733" s="22" t="e">
        <f>VLOOKUP($A2733, TAB_JUROS_C[[DIAS_CORRIDOS]:[V_FUT_UTEIS]], J$5, FALSE)</f>
        <v>#N/A</v>
      </c>
      <c r="K2733" s="22" t="e">
        <f>VLOOKUP($A2733, TAB_CORRECAO_C[[DIAS_CORRIDOS]:[V_FUT_UTEIS]],K$5, FALSE)</f>
        <v>#N/A</v>
      </c>
      <c r="L2733" s="22" t="e">
        <f>VLOOKUP($A2733, TAB_AMORTIZACAO_C[[DIAS_CORRIDOS]:[V_FUT_UTEIS]], L$5, FALSE)</f>
        <v>#N/A</v>
      </c>
    </row>
    <row r="2734" spans="1:12" hidden="1">
      <c r="A2734" s="19">
        <f t="shared" si="219"/>
        <v>2728</v>
      </c>
      <c r="B2734" s="20">
        <f t="shared" si="215"/>
        <v>0</v>
      </c>
      <c r="C2734" s="21">
        <f t="shared" si="216"/>
        <v>0</v>
      </c>
      <c r="D2734" s="22" t="e">
        <f>VLOOKUP($A2734, TAB_JUROS_U[[Q_DIAS_U_PARC_TIR]:[V_FUT_U_JURS CENARIO]], D$5, FALSE)</f>
        <v>#N/A</v>
      </c>
      <c r="E2734" s="22" t="e">
        <f>VLOOKUP($A2734,TAB_CORRECAO_U[[Q_DIAS_U_PARC_TIR]:[V_FUT_U_CORC-02]],E$5, FALSE)</f>
        <v>#N/A</v>
      </c>
      <c r="F2734" s="22" t="e">
        <f>VLOOKUP($A2734,TAB_AMORTIZACAO_U[[Q_DIAS_U_PARC_TIR]:[V_FUT_U_PCPL-02]], F$5, FALSE)</f>
        <v>#N/A</v>
      </c>
      <c r="H2734" s="20">
        <f t="shared" si="217"/>
        <v>0</v>
      </c>
      <c r="I2734" s="21">
        <f t="shared" si="218"/>
        <v>0</v>
      </c>
      <c r="J2734" s="22" t="e">
        <f>VLOOKUP($A2734, TAB_JUROS_C[[DIAS_CORRIDOS]:[V_FUT_UTEIS]], J$5, FALSE)</f>
        <v>#N/A</v>
      </c>
      <c r="K2734" s="22" t="e">
        <f>VLOOKUP($A2734, TAB_CORRECAO_C[[DIAS_CORRIDOS]:[V_FUT_UTEIS]],K$5, FALSE)</f>
        <v>#N/A</v>
      </c>
      <c r="L2734" s="22" t="e">
        <f>VLOOKUP($A2734, TAB_AMORTIZACAO_C[[DIAS_CORRIDOS]:[V_FUT_UTEIS]], L$5, FALSE)</f>
        <v>#N/A</v>
      </c>
    </row>
    <row r="2735" spans="1:12" hidden="1">
      <c r="A2735" s="19">
        <f t="shared" si="219"/>
        <v>2729</v>
      </c>
      <c r="B2735" s="20">
        <f t="shared" si="215"/>
        <v>0</v>
      </c>
      <c r="C2735" s="21">
        <f t="shared" si="216"/>
        <v>0</v>
      </c>
      <c r="D2735" s="22" t="e">
        <f>VLOOKUP($A2735, TAB_JUROS_U[[Q_DIAS_U_PARC_TIR]:[V_FUT_U_JURS CENARIO]], D$5, FALSE)</f>
        <v>#N/A</v>
      </c>
      <c r="E2735" s="22" t="e">
        <f>VLOOKUP($A2735,TAB_CORRECAO_U[[Q_DIAS_U_PARC_TIR]:[V_FUT_U_CORC-02]],E$5, FALSE)</f>
        <v>#N/A</v>
      </c>
      <c r="F2735" s="22" t="e">
        <f>VLOOKUP($A2735,TAB_AMORTIZACAO_U[[Q_DIAS_U_PARC_TIR]:[V_FUT_U_PCPL-02]], F$5, FALSE)</f>
        <v>#N/A</v>
      </c>
      <c r="H2735" s="20">
        <f t="shared" si="217"/>
        <v>0</v>
      </c>
      <c r="I2735" s="21">
        <f t="shared" si="218"/>
        <v>0</v>
      </c>
      <c r="J2735" s="22" t="e">
        <f>VLOOKUP($A2735, TAB_JUROS_C[[DIAS_CORRIDOS]:[V_FUT_UTEIS]], J$5, FALSE)</f>
        <v>#N/A</v>
      </c>
      <c r="K2735" s="22" t="e">
        <f>VLOOKUP($A2735, TAB_CORRECAO_C[[DIAS_CORRIDOS]:[V_FUT_UTEIS]],K$5, FALSE)</f>
        <v>#N/A</v>
      </c>
      <c r="L2735" s="22" t="e">
        <f>VLOOKUP($A2735, TAB_AMORTIZACAO_C[[DIAS_CORRIDOS]:[V_FUT_UTEIS]], L$5, FALSE)</f>
        <v>#N/A</v>
      </c>
    </row>
    <row r="2736" spans="1:12" hidden="1">
      <c r="A2736" s="19">
        <f t="shared" si="219"/>
        <v>2730</v>
      </c>
      <c r="B2736" s="20">
        <f t="shared" si="215"/>
        <v>0</v>
      </c>
      <c r="C2736" s="21">
        <f t="shared" si="216"/>
        <v>0</v>
      </c>
      <c r="D2736" s="22" t="e">
        <f>VLOOKUP($A2736, TAB_JUROS_U[[Q_DIAS_U_PARC_TIR]:[V_FUT_U_JURS CENARIO]], D$5, FALSE)</f>
        <v>#N/A</v>
      </c>
      <c r="E2736" s="22" t="e">
        <f>VLOOKUP($A2736,TAB_CORRECAO_U[[Q_DIAS_U_PARC_TIR]:[V_FUT_U_CORC-02]],E$5, FALSE)</f>
        <v>#N/A</v>
      </c>
      <c r="F2736" s="22" t="e">
        <f>VLOOKUP($A2736,TAB_AMORTIZACAO_U[[Q_DIAS_U_PARC_TIR]:[V_FUT_U_PCPL-02]], F$5, FALSE)</f>
        <v>#N/A</v>
      </c>
      <c r="H2736" s="20">
        <f t="shared" si="217"/>
        <v>0</v>
      </c>
      <c r="I2736" s="21">
        <f t="shared" si="218"/>
        <v>0</v>
      </c>
      <c r="J2736" s="22" t="e">
        <f>VLOOKUP($A2736, TAB_JUROS_C[[DIAS_CORRIDOS]:[V_FUT_UTEIS]], J$5, FALSE)</f>
        <v>#N/A</v>
      </c>
      <c r="K2736" s="22" t="e">
        <f>VLOOKUP($A2736, TAB_CORRECAO_C[[DIAS_CORRIDOS]:[V_FUT_UTEIS]],K$5, FALSE)</f>
        <v>#N/A</v>
      </c>
      <c r="L2736" s="22" t="e">
        <f>VLOOKUP($A2736, TAB_AMORTIZACAO_C[[DIAS_CORRIDOS]:[V_FUT_UTEIS]], L$5, FALSE)</f>
        <v>#N/A</v>
      </c>
    </row>
    <row r="2737" spans="1:12" hidden="1">
      <c r="A2737" s="19">
        <f t="shared" si="219"/>
        <v>2731</v>
      </c>
      <c r="B2737" s="20">
        <f t="shared" si="215"/>
        <v>0</v>
      </c>
      <c r="C2737" s="21">
        <f t="shared" si="216"/>
        <v>0</v>
      </c>
      <c r="D2737" s="22" t="e">
        <f>VLOOKUP($A2737, TAB_JUROS_U[[Q_DIAS_U_PARC_TIR]:[V_FUT_U_JURS CENARIO]], D$5, FALSE)</f>
        <v>#N/A</v>
      </c>
      <c r="E2737" s="22" t="e">
        <f>VLOOKUP($A2737,TAB_CORRECAO_U[[Q_DIAS_U_PARC_TIR]:[V_FUT_U_CORC-02]],E$5, FALSE)</f>
        <v>#N/A</v>
      </c>
      <c r="F2737" s="22" t="e">
        <f>VLOOKUP($A2737,TAB_AMORTIZACAO_U[[Q_DIAS_U_PARC_TIR]:[V_FUT_U_PCPL-02]], F$5, FALSE)</f>
        <v>#N/A</v>
      </c>
      <c r="H2737" s="20">
        <f t="shared" si="217"/>
        <v>0</v>
      </c>
      <c r="I2737" s="21">
        <f t="shared" si="218"/>
        <v>0</v>
      </c>
      <c r="J2737" s="22" t="e">
        <f>VLOOKUP($A2737, TAB_JUROS_C[[DIAS_CORRIDOS]:[V_FUT_UTEIS]], J$5, FALSE)</f>
        <v>#N/A</v>
      </c>
      <c r="K2737" s="22" t="e">
        <f>VLOOKUP($A2737, TAB_CORRECAO_C[[DIAS_CORRIDOS]:[V_FUT_UTEIS]],K$5, FALSE)</f>
        <v>#N/A</v>
      </c>
      <c r="L2737" s="22" t="e">
        <f>VLOOKUP($A2737, TAB_AMORTIZACAO_C[[DIAS_CORRIDOS]:[V_FUT_UTEIS]], L$5, FALSE)</f>
        <v>#N/A</v>
      </c>
    </row>
    <row r="2738" spans="1:12" hidden="1">
      <c r="A2738" s="19">
        <f t="shared" si="219"/>
        <v>2732</v>
      </c>
      <c r="B2738" s="20">
        <f t="shared" si="215"/>
        <v>0</v>
      </c>
      <c r="C2738" s="21">
        <f t="shared" si="216"/>
        <v>0</v>
      </c>
      <c r="D2738" s="22" t="e">
        <f>VLOOKUP($A2738, TAB_JUROS_U[[Q_DIAS_U_PARC_TIR]:[V_FUT_U_JURS CENARIO]], D$5, FALSE)</f>
        <v>#N/A</v>
      </c>
      <c r="E2738" s="22" t="e">
        <f>VLOOKUP($A2738,TAB_CORRECAO_U[[Q_DIAS_U_PARC_TIR]:[V_FUT_U_CORC-02]],E$5, FALSE)</f>
        <v>#N/A</v>
      </c>
      <c r="F2738" s="22" t="e">
        <f>VLOOKUP($A2738,TAB_AMORTIZACAO_U[[Q_DIAS_U_PARC_TIR]:[V_FUT_U_PCPL-02]], F$5, FALSE)</f>
        <v>#N/A</v>
      </c>
      <c r="H2738" s="20">
        <f t="shared" si="217"/>
        <v>0</v>
      </c>
      <c r="I2738" s="21">
        <f t="shared" si="218"/>
        <v>0</v>
      </c>
      <c r="J2738" s="22" t="e">
        <f>VLOOKUP($A2738, TAB_JUROS_C[[DIAS_CORRIDOS]:[V_FUT_UTEIS]], J$5, FALSE)</f>
        <v>#N/A</v>
      </c>
      <c r="K2738" s="22" t="e">
        <f>VLOOKUP($A2738, TAB_CORRECAO_C[[DIAS_CORRIDOS]:[V_FUT_UTEIS]],K$5, FALSE)</f>
        <v>#N/A</v>
      </c>
      <c r="L2738" s="22" t="e">
        <f>VLOOKUP($A2738, TAB_AMORTIZACAO_C[[DIAS_CORRIDOS]:[V_FUT_UTEIS]], L$5, FALSE)</f>
        <v>#N/A</v>
      </c>
    </row>
    <row r="2739" spans="1:12">
      <c r="A2739" s="19">
        <f t="shared" si="219"/>
        <v>2733</v>
      </c>
      <c r="B2739" s="20">
        <f t="shared" si="215"/>
        <v>119.67547442115091</v>
      </c>
      <c r="C2739" s="21">
        <f t="shared" si="216"/>
        <v>119.67547442115091</v>
      </c>
      <c r="D2739" s="22">
        <f>VLOOKUP($A2739, TAB_JUROS_U[[Q_DIAS_U_PARC_TIR]:[V_FUT_U_JURS CENARIO]], D$5, FALSE)</f>
        <v>2.9198990994188545</v>
      </c>
      <c r="E2739" s="22">
        <f>VLOOKUP($A2739,TAB_CORRECAO_U[[Q_DIAS_U_PARC_TIR]:[V_FUT_U_CORC-02]],E$5, FALSE)</f>
        <v>17.299322226597237</v>
      </c>
      <c r="F2739" s="22">
        <f>VLOOKUP($A2739,TAB_AMORTIZACAO_U[[Q_DIAS_U_PARC_TIR]:[V_FUT_U_PCPL-02]], F$5, FALSE)</f>
        <v>99.456253095134826</v>
      </c>
      <c r="H2739" s="20">
        <f t="shared" si="217"/>
        <v>0</v>
      </c>
      <c r="I2739" s="21">
        <f t="shared" si="218"/>
        <v>0</v>
      </c>
      <c r="J2739" s="22" t="e">
        <f>VLOOKUP($A2739, TAB_JUROS_C[[DIAS_CORRIDOS]:[V_FUT_UTEIS]], J$5, FALSE)</f>
        <v>#N/A</v>
      </c>
      <c r="K2739" s="22" t="e">
        <f>VLOOKUP($A2739, TAB_CORRECAO_C[[DIAS_CORRIDOS]:[V_FUT_UTEIS]],K$5, FALSE)</f>
        <v>#N/A</v>
      </c>
      <c r="L2739" s="22" t="e">
        <f>VLOOKUP($A2739, TAB_AMORTIZACAO_C[[DIAS_CORRIDOS]:[V_FUT_UTEIS]], L$5, FALSE)</f>
        <v>#N/A</v>
      </c>
    </row>
    <row r="2740" spans="1:12" hidden="1">
      <c r="A2740" s="19">
        <f t="shared" si="219"/>
        <v>2734</v>
      </c>
      <c r="B2740" s="20">
        <f t="shared" si="215"/>
        <v>0</v>
      </c>
      <c r="C2740" s="21">
        <f t="shared" si="216"/>
        <v>0</v>
      </c>
      <c r="D2740" s="22" t="e">
        <f>VLOOKUP($A2740, TAB_JUROS_U[[Q_DIAS_U_PARC_TIR]:[V_FUT_U_JURS CENARIO]], D$5, FALSE)</f>
        <v>#N/A</v>
      </c>
      <c r="E2740" s="22" t="e">
        <f>VLOOKUP($A2740,TAB_CORRECAO_U[[Q_DIAS_U_PARC_TIR]:[V_FUT_U_CORC-02]],E$5, FALSE)</f>
        <v>#N/A</v>
      </c>
      <c r="F2740" s="22" t="e">
        <f>VLOOKUP($A2740,TAB_AMORTIZACAO_U[[Q_DIAS_U_PARC_TIR]:[V_FUT_U_PCPL-02]], F$5, FALSE)</f>
        <v>#N/A</v>
      </c>
      <c r="H2740" s="20">
        <f t="shared" si="217"/>
        <v>0</v>
      </c>
      <c r="I2740" s="21">
        <f t="shared" si="218"/>
        <v>0</v>
      </c>
      <c r="J2740" s="22" t="e">
        <f>VLOOKUP($A2740, TAB_JUROS_C[[DIAS_CORRIDOS]:[V_FUT_UTEIS]], J$5, FALSE)</f>
        <v>#N/A</v>
      </c>
      <c r="K2740" s="22" t="e">
        <f>VLOOKUP($A2740, TAB_CORRECAO_C[[DIAS_CORRIDOS]:[V_FUT_UTEIS]],K$5, FALSE)</f>
        <v>#N/A</v>
      </c>
      <c r="L2740" s="22" t="e">
        <f>VLOOKUP($A2740, TAB_AMORTIZACAO_C[[DIAS_CORRIDOS]:[V_FUT_UTEIS]], L$5, FALSE)</f>
        <v>#N/A</v>
      </c>
    </row>
    <row r="2741" spans="1:12" hidden="1">
      <c r="A2741" s="19">
        <f t="shared" si="219"/>
        <v>2735</v>
      </c>
      <c r="B2741" s="20">
        <f t="shared" si="215"/>
        <v>0</v>
      </c>
      <c r="C2741" s="21">
        <f t="shared" si="216"/>
        <v>0</v>
      </c>
      <c r="D2741" s="22" t="e">
        <f>VLOOKUP($A2741, TAB_JUROS_U[[Q_DIAS_U_PARC_TIR]:[V_FUT_U_JURS CENARIO]], D$5, FALSE)</f>
        <v>#N/A</v>
      </c>
      <c r="E2741" s="22" t="e">
        <f>VLOOKUP($A2741,TAB_CORRECAO_U[[Q_DIAS_U_PARC_TIR]:[V_FUT_U_CORC-02]],E$5, FALSE)</f>
        <v>#N/A</v>
      </c>
      <c r="F2741" s="22" t="e">
        <f>VLOOKUP($A2741,TAB_AMORTIZACAO_U[[Q_DIAS_U_PARC_TIR]:[V_FUT_U_PCPL-02]], F$5, FALSE)</f>
        <v>#N/A</v>
      </c>
      <c r="H2741" s="20">
        <f t="shared" si="217"/>
        <v>0</v>
      </c>
      <c r="I2741" s="21">
        <f t="shared" si="218"/>
        <v>0</v>
      </c>
      <c r="J2741" s="22" t="e">
        <f>VLOOKUP($A2741, TAB_JUROS_C[[DIAS_CORRIDOS]:[V_FUT_UTEIS]], J$5, FALSE)</f>
        <v>#N/A</v>
      </c>
      <c r="K2741" s="22" t="e">
        <f>VLOOKUP($A2741, TAB_CORRECAO_C[[DIAS_CORRIDOS]:[V_FUT_UTEIS]],K$5, FALSE)</f>
        <v>#N/A</v>
      </c>
      <c r="L2741" s="22" t="e">
        <f>VLOOKUP($A2741, TAB_AMORTIZACAO_C[[DIAS_CORRIDOS]:[V_FUT_UTEIS]], L$5, FALSE)</f>
        <v>#N/A</v>
      </c>
    </row>
    <row r="2742" spans="1:12" hidden="1">
      <c r="A2742" s="19">
        <f t="shared" si="219"/>
        <v>2736</v>
      </c>
      <c r="B2742" s="20">
        <f t="shared" si="215"/>
        <v>0</v>
      </c>
      <c r="C2742" s="21">
        <f t="shared" si="216"/>
        <v>0</v>
      </c>
      <c r="D2742" s="22" t="e">
        <f>VLOOKUP($A2742, TAB_JUROS_U[[Q_DIAS_U_PARC_TIR]:[V_FUT_U_JURS CENARIO]], D$5, FALSE)</f>
        <v>#N/A</v>
      </c>
      <c r="E2742" s="22" t="e">
        <f>VLOOKUP($A2742,TAB_CORRECAO_U[[Q_DIAS_U_PARC_TIR]:[V_FUT_U_CORC-02]],E$5, FALSE)</f>
        <v>#N/A</v>
      </c>
      <c r="F2742" s="22" t="e">
        <f>VLOOKUP($A2742,TAB_AMORTIZACAO_U[[Q_DIAS_U_PARC_TIR]:[V_FUT_U_PCPL-02]], F$5, FALSE)</f>
        <v>#N/A</v>
      </c>
      <c r="H2742" s="20">
        <f t="shared" si="217"/>
        <v>0</v>
      </c>
      <c r="I2742" s="21">
        <f t="shared" si="218"/>
        <v>0</v>
      </c>
      <c r="J2742" s="22" t="e">
        <f>VLOOKUP($A2742, TAB_JUROS_C[[DIAS_CORRIDOS]:[V_FUT_UTEIS]], J$5, FALSE)</f>
        <v>#N/A</v>
      </c>
      <c r="K2742" s="22" t="e">
        <f>VLOOKUP($A2742, TAB_CORRECAO_C[[DIAS_CORRIDOS]:[V_FUT_UTEIS]],K$5, FALSE)</f>
        <v>#N/A</v>
      </c>
      <c r="L2742" s="22" t="e">
        <f>VLOOKUP($A2742, TAB_AMORTIZACAO_C[[DIAS_CORRIDOS]:[V_FUT_UTEIS]], L$5, FALSE)</f>
        <v>#N/A</v>
      </c>
    </row>
    <row r="2743" spans="1:12" hidden="1">
      <c r="A2743" s="19">
        <f t="shared" si="219"/>
        <v>2737</v>
      </c>
      <c r="B2743" s="20">
        <f t="shared" si="215"/>
        <v>0</v>
      </c>
      <c r="C2743" s="21">
        <f t="shared" si="216"/>
        <v>0</v>
      </c>
      <c r="D2743" s="22" t="e">
        <f>VLOOKUP($A2743, TAB_JUROS_U[[Q_DIAS_U_PARC_TIR]:[V_FUT_U_JURS CENARIO]], D$5, FALSE)</f>
        <v>#N/A</v>
      </c>
      <c r="E2743" s="22" t="e">
        <f>VLOOKUP($A2743,TAB_CORRECAO_U[[Q_DIAS_U_PARC_TIR]:[V_FUT_U_CORC-02]],E$5, FALSE)</f>
        <v>#N/A</v>
      </c>
      <c r="F2743" s="22" t="e">
        <f>VLOOKUP($A2743,TAB_AMORTIZACAO_U[[Q_DIAS_U_PARC_TIR]:[V_FUT_U_PCPL-02]], F$5, FALSE)</f>
        <v>#N/A</v>
      </c>
      <c r="H2743" s="20">
        <f t="shared" si="217"/>
        <v>0</v>
      </c>
      <c r="I2743" s="21">
        <f t="shared" si="218"/>
        <v>0</v>
      </c>
      <c r="J2743" s="22" t="e">
        <f>VLOOKUP($A2743, TAB_JUROS_C[[DIAS_CORRIDOS]:[V_FUT_UTEIS]], J$5, FALSE)</f>
        <v>#N/A</v>
      </c>
      <c r="K2743" s="22" t="e">
        <f>VLOOKUP($A2743, TAB_CORRECAO_C[[DIAS_CORRIDOS]:[V_FUT_UTEIS]],K$5, FALSE)</f>
        <v>#N/A</v>
      </c>
      <c r="L2743" s="22" t="e">
        <f>VLOOKUP($A2743, TAB_AMORTIZACAO_C[[DIAS_CORRIDOS]:[V_FUT_UTEIS]], L$5, FALSE)</f>
        <v>#N/A</v>
      </c>
    </row>
    <row r="2744" spans="1:12" hidden="1">
      <c r="A2744" s="19">
        <f t="shared" si="219"/>
        <v>2738</v>
      </c>
      <c r="B2744" s="20">
        <f t="shared" si="215"/>
        <v>0</v>
      </c>
      <c r="C2744" s="21">
        <f t="shared" si="216"/>
        <v>0</v>
      </c>
      <c r="D2744" s="22" t="e">
        <f>VLOOKUP($A2744, TAB_JUROS_U[[Q_DIAS_U_PARC_TIR]:[V_FUT_U_JURS CENARIO]], D$5, FALSE)</f>
        <v>#N/A</v>
      </c>
      <c r="E2744" s="22" t="e">
        <f>VLOOKUP($A2744,TAB_CORRECAO_U[[Q_DIAS_U_PARC_TIR]:[V_FUT_U_CORC-02]],E$5, FALSE)</f>
        <v>#N/A</v>
      </c>
      <c r="F2744" s="22" t="e">
        <f>VLOOKUP($A2744,TAB_AMORTIZACAO_U[[Q_DIAS_U_PARC_TIR]:[V_FUT_U_PCPL-02]], F$5, FALSE)</f>
        <v>#N/A</v>
      </c>
      <c r="H2744" s="20">
        <f t="shared" si="217"/>
        <v>0</v>
      </c>
      <c r="I2744" s="21">
        <f t="shared" si="218"/>
        <v>0</v>
      </c>
      <c r="J2744" s="22" t="e">
        <f>VLOOKUP($A2744, TAB_JUROS_C[[DIAS_CORRIDOS]:[V_FUT_UTEIS]], J$5, FALSE)</f>
        <v>#N/A</v>
      </c>
      <c r="K2744" s="22" t="e">
        <f>VLOOKUP($A2744, TAB_CORRECAO_C[[DIAS_CORRIDOS]:[V_FUT_UTEIS]],K$5, FALSE)</f>
        <v>#N/A</v>
      </c>
      <c r="L2744" s="22" t="e">
        <f>VLOOKUP($A2744, TAB_AMORTIZACAO_C[[DIAS_CORRIDOS]:[V_FUT_UTEIS]], L$5, FALSE)</f>
        <v>#N/A</v>
      </c>
    </row>
    <row r="2745" spans="1:12" hidden="1">
      <c r="A2745" s="19">
        <f t="shared" si="219"/>
        <v>2739</v>
      </c>
      <c r="B2745" s="20">
        <f t="shared" si="215"/>
        <v>0</v>
      </c>
      <c r="C2745" s="21">
        <f t="shared" si="216"/>
        <v>0</v>
      </c>
      <c r="D2745" s="22" t="e">
        <f>VLOOKUP($A2745, TAB_JUROS_U[[Q_DIAS_U_PARC_TIR]:[V_FUT_U_JURS CENARIO]], D$5, FALSE)</f>
        <v>#N/A</v>
      </c>
      <c r="E2745" s="22" t="e">
        <f>VLOOKUP($A2745,TAB_CORRECAO_U[[Q_DIAS_U_PARC_TIR]:[V_FUT_U_CORC-02]],E$5, FALSE)</f>
        <v>#N/A</v>
      </c>
      <c r="F2745" s="22" t="e">
        <f>VLOOKUP($A2745,TAB_AMORTIZACAO_U[[Q_DIAS_U_PARC_TIR]:[V_FUT_U_PCPL-02]], F$5, FALSE)</f>
        <v>#N/A</v>
      </c>
      <c r="H2745" s="20">
        <f t="shared" si="217"/>
        <v>0</v>
      </c>
      <c r="I2745" s="21">
        <f t="shared" si="218"/>
        <v>0</v>
      </c>
      <c r="J2745" s="22" t="e">
        <f>VLOOKUP($A2745, TAB_JUROS_C[[DIAS_CORRIDOS]:[V_FUT_UTEIS]], J$5, FALSE)</f>
        <v>#N/A</v>
      </c>
      <c r="K2745" s="22" t="e">
        <f>VLOOKUP($A2745, TAB_CORRECAO_C[[DIAS_CORRIDOS]:[V_FUT_UTEIS]],K$5, FALSE)</f>
        <v>#N/A</v>
      </c>
      <c r="L2745" s="22" t="e">
        <f>VLOOKUP($A2745, TAB_AMORTIZACAO_C[[DIAS_CORRIDOS]:[V_FUT_UTEIS]], L$5, FALSE)</f>
        <v>#N/A</v>
      </c>
    </row>
    <row r="2746" spans="1:12" hidden="1">
      <c r="A2746" s="19">
        <f t="shared" si="219"/>
        <v>2740</v>
      </c>
      <c r="B2746" s="20">
        <f t="shared" si="215"/>
        <v>0</v>
      </c>
      <c r="C2746" s="21">
        <f t="shared" si="216"/>
        <v>0</v>
      </c>
      <c r="D2746" s="22" t="e">
        <f>VLOOKUP($A2746, TAB_JUROS_U[[Q_DIAS_U_PARC_TIR]:[V_FUT_U_JURS CENARIO]], D$5, FALSE)</f>
        <v>#N/A</v>
      </c>
      <c r="E2746" s="22" t="e">
        <f>VLOOKUP($A2746,TAB_CORRECAO_U[[Q_DIAS_U_PARC_TIR]:[V_FUT_U_CORC-02]],E$5, FALSE)</f>
        <v>#N/A</v>
      </c>
      <c r="F2746" s="22" t="e">
        <f>VLOOKUP($A2746,TAB_AMORTIZACAO_U[[Q_DIAS_U_PARC_TIR]:[V_FUT_U_PCPL-02]], F$5, FALSE)</f>
        <v>#N/A</v>
      </c>
      <c r="H2746" s="20">
        <f t="shared" si="217"/>
        <v>0</v>
      </c>
      <c r="I2746" s="21">
        <f t="shared" si="218"/>
        <v>0</v>
      </c>
      <c r="J2746" s="22" t="e">
        <f>VLOOKUP($A2746, TAB_JUROS_C[[DIAS_CORRIDOS]:[V_FUT_UTEIS]], J$5, FALSE)</f>
        <v>#N/A</v>
      </c>
      <c r="K2746" s="22" t="e">
        <f>VLOOKUP($A2746, TAB_CORRECAO_C[[DIAS_CORRIDOS]:[V_FUT_UTEIS]],K$5, FALSE)</f>
        <v>#N/A</v>
      </c>
      <c r="L2746" s="22" t="e">
        <f>VLOOKUP($A2746, TAB_AMORTIZACAO_C[[DIAS_CORRIDOS]:[V_FUT_UTEIS]], L$5, FALSE)</f>
        <v>#N/A</v>
      </c>
    </row>
    <row r="2747" spans="1:12" hidden="1">
      <c r="A2747" s="19">
        <f t="shared" si="219"/>
        <v>2741</v>
      </c>
      <c r="B2747" s="20">
        <f t="shared" si="215"/>
        <v>0</v>
      </c>
      <c r="C2747" s="21">
        <f t="shared" si="216"/>
        <v>0</v>
      </c>
      <c r="D2747" s="22" t="e">
        <f>VLOOKUP($A2747, TAB_JUROS_U[[Q_DIAS_U_PARC_TIR]:[V_FUT_U_JURS CENARIO]], D$5, FALSE)</f>
        <v>#N/A</v>
      </c>
      <c r="E2747" s="22" t="e">
        <f>VLOOKUP($A2747,TAB_CORRECAO_U[[Q_DIAS_U_PARC_TIR]:[V_FUT_U_CORC-02]],E$5, FALSE)</f>
        <v>#N/A</v>
      </c>
      <c r="F2747" s="22" t="e">
        <f>VLOOKUP($A2747,TAB_AMORTIZACAO_U[[Q_DIAS_U_PARC_TIR]:[V_FUT_U_PCPL-02]], F$5, FALSE)</f>
        <v>#N/A</v>
      </c>
      <c r="H2747" s="20">
        <f t="shared" si="217"/>
        <v>0</v>
      </c>
      <c r="I2747" s="21">
        <f t="shared" si="218"/>
        <v>0</v>
      </c>
      <c r="J2747" s="22" t="e">
        <f>VLOOKUP($A2747, TAB_JUROS_C[[DIAS_CORRIDOS]:[V_FUT_UTEIS]], J$5, FALSE)</f>
        <v>#N/A</v>
      </c>
      <c r="K2747" s="22" t="e">
        <f>VLOOKUP($A2747, TAB_CORRECAO_C[[DIAS_CORRIDOS]:[V_FUT_UTEIS]],K$5, FALSE)</f>
        <v>#N/A</v>
      </c>
      <c r="L2747" s="22" t="e">
        <f>VLOOKUP($A2747, TAB_AMORTIZACAO_C[[DIAS_CORRIDOS]:[V_FUT_UTEIS]], L$5, FALSE)</f>
        <v>#N/A</v>
      </c>
    </row>
    <row r="2748" spans="1:12" hidden="1">
      <c r="A2748" s="19">
        <f t="shared" si="219"/>
        <v>2742</v>
      </c>
      <c r="B2748" s="20">
        <f t="shared" si="215"/>
        <v>0</v>
      </c>
      <c r="C2748" s="21">
        <f t="shared" si="216"/>
        <v>0</v>
      </c>
      <c r="D2748" s="22" t="e">
        <f>VLOOKUP($A2748, TAB_JUROS_U[[Q_DIAS_U_PARC_TIR]:[V_FUT_U_JURS CENARIO]], D$5, FALSE)</f>
        <v>#N/A</v>
      </c>
      <c r="E2748" s="22" t="e">
        <f>VLOOKUP($A2748,TAB_CORRECAO_U[[Q_DIAS_U_PARC_TIR]:[V_FUT_U_CORC-02]],E$5, FALSE)</f>
        <v>#N/A</v>
      </c>
      <c r="F2748" s="22" t="e">
        <f>VLOOKUP($A2748,TAB_AMORTIZACAO_U[[Q_DIAS_U_PARC_TIR]:[V_FUT_U_PCPL-02]], F$5, FALSE)</f>
        <v>#N/A</v>
      </c>
      <c r="H2748" s="20">
        <f t="shared" si="217"/>
        <v>0</v>
      </c>
      <c r="I2748" s="21">
        <f t="shared" si="218"/>
        <v>0</v>
      </c>
      <c r="J2748" s="22" t="e">
        <f>VLOOKUP($A2748, TAB_JUROS_C[[DIAS_CORRIDOS]:[V_FUT_UTEIS]], J$5, FALSE)</f>
        <v>#N/A</v>
      </c>
      <c r="K2748" s="22" t="e">
        <f>VLOOKUP($A2748, TAB_CORRECAO_C[[DIAS_CORRIDOS]:[V_FUT_UTEIS]],K$5, FALSE)</f>
        <v>#N/A</v>
      </c>
      <c r="L2748" s="22" t="e">
        <f>VLOOKUP($A2748, TAB_AMORTIZACAO_C[[DIAS_CORRIDOS]:[V_FUT_UTEIS]], L$5, FALSE)</f>
        <v>#N/A</v>
      </c>
    </row>
    <row r="2749" spans="1:12" hidden="1">
      <c r="A2749" s="19">
        <f t="shared" si="219"/>
        <v>2743</v>
      </c>
      <c r="B2749" s="20">
        <f t="shared" si="215"/>
        <v>0</v>
      </c>
      <c r="C2749" s="21">
        <f t="shared" si="216"/>
        <v>0</v>
      </c>
      <c r="D2749" s="22" t="e">
        <f>VLOOKUP($A2749, TAB_JUROS_U[[Q_DIAS_U_PARC_TIR]:[V_FUT_U_JURS CENARIO]], D$5, FALSE)</f>
        <v>#N/A</v>
      </c>
      <c r="E2749" s="22" t="e">
        <f>VLOOKUP($A2749,TAB_CORRECAO_U[[Q_DIAS_U_PARC_TIR]:[V_FUT_U_CORC-02]],E$5, FALSE)</f>
        <v>#N/A</v>
      </c>
      <c r="F2749" s="22" t="e">
        <f>VLOOKUP($A2749,TAB_AMORTIZACAO_U[[Q_DIAS_U_PARC_TIR]:[V_FUT_U_PCPL-02]], F$5, FALSE)</f>
        <v>#N/A</v>
      </c>
      <c r="H2749" s="20">
        <f t="shared" si="217"/>
        <v>0</v>
      </c>
      <c r="I2749" s="21">
        <f t="shared" si="218"/>
        <v>0</v>
      </c>
      <c r="J2749" s="22" t="e">
        <f>VLOOKUP($A2749, TAB_JUROS_C[[DIAS_CORRIDOS]:[V_FUT_UTEIS]], J$5, FALSE)</f>
        <v>#N/A</v>
      </c>
      <c r="K2749" s="22" t="e">
        <f>VLOOKUP($A2749, TAB_CORRECAO_C[[DIAS_CORRIDOS]:[V_FUT_UTEIS]],K$5, FALSE)</f>
        <v>#N/A</v>
      </c>
      <c r="L2749" s="22" t="e">
        <f>VLOOKUP($A2749, TAB_AMORTIZACAO_C[[DIAS_CORRIDOS]:[V_FUT_UTEIS]], L$5, FALSE)</f>
        <v>#N/A</v>
      </c>
    </row>
    <row r="2750" spans="1:12" hidden="1">
      <c r="A2750" s="19">
        <f t="shared" si="219"/>
        <v>2744</v>
      </c>
      <c r="B2750" s="20">
        <f t="shared" si="215"/>
        <v>0</v>
      </c>
      <c r="C2750" s="21">
        <f t="shared" si="216"/>
        <v>0</v>
      </c>
      <c r="D2750" s="22" t="e">
        <f>VLOOKUP($A2750, TAB_JUROS_U[[Q_DIAS_U_PARC_TIR]:[V_FUT_U_JURS CENARIO]], D$5, FALSE)</f>
        <v>#N/A</v>
      </c>
      <c r="E2750" s="22" t="e">
        <f>VLOOKUP($A2750,TAB_CORRECAO_U[[Q_DIAS_U_PARC_TIR]:[V_FUT_U_CORC-02]],E$5, FALSE)</f>
        <v>#N/A</v>
      </c>
      <c r="F2750" s="22" t="e">
        <f>VLOOKUP($A2750,TAB_AMORTIZACAO_U[[Q_DIAS_U_PARC_TIR]:[V_FUT_U_PCPL-02]], F$5, FALSE)</f>
        <v>#N/A</v>
      </c>
      <c r="H2750" s="20">
        <f t="shared" si="217"/>
        <v>0</v>
      </c>
      <c r="I2750" s="21">
        <f t="shared" si="218"/>
        <v>0</v>
      </c>
      <c r="J2750" s="22" t="e">
        <f>VLOOKUP($A2750, TAB_JUROS_C[[DIAS_CORRIDOS]:[V_FUT_UTEIS]], J$5, FALSE)</f>
        <v>#N/A</v>
      </c>
      <c r="K2750" s="22" t="e">
        <f>VLOOKUP($A2750, TAB_CORRECAO_C[[DIAS_CORRIDOS]:[V_FUT_UTEIS]],K$5, FALSE)</f>
        <v>#N/A</v>
      </c>
      <c r="L2750" s="22" t="e">
        <f>VLOOKUP($A2750, TAB_AMORTIZACAO_C[[DIAS_CORRIDOS]:[V_FUT_UTEIS]], L$5, FALSE)</f>
        <v>#N/A</v>
      </c>
    </row>
    <row r="2751" spans="1:12" hidden="1">
      <c r="A2751" s="19">
        <f t="shared" si="219"/>
        <v>2745</v>
      </c>
      <c r="B2751" s="20">
        <f t="shared" si="215"/>
        <v>0</v>
      </c>
      <c r="C2751" s="21">
        <f t="shared" si="216"/>
        <v>0</v>
      </c>
      <c r="D2751" s="22" t="e">
        <f>VLOOKUP($A2751, TAB_JUROS_U[[Q_DIAS_U_PARC_TIR]:[V_FUT_U_JURS CENARIO]], D$5, FALSE)</f>
        <v>#N/A</v>
      </c>
      <c r="E2751" s="22" t="e">
        <f>VLOOKUP($A2751,TAB_CORRECAO_U[[Q_DIAS_U_PARC_TIR]:[V_FUT_U_CORC-02]],E$5, FALSE)</f>
        <v>#N/A</v>
      </c>
      <c r="F2751" s="22" t="e">
        <f>VLOOKUP($A2751,TAB_AMORTIZACAO_U[[Q_DIAS_U_PARC_TIR]:[V_FUT_U_PCPL-02]], F$5, FALSE)</f>
        <v>#N/A</v>
      </c>
      <c r="H2751" s="20">
        <f t="shared" si="217"/>
        <v>0</v>
      </c>
      <c r="I2751" s="21">
        <f t="shared" si="218"/>
        <v>0</v>
      </c>
      <c r="J2751" s="22" t="e">
        <f>VLOOKUP($A2751, TAB_JUROS_C[[DIAS_CORRIDOS]:[V_FUT_UTEIS]], J$5, FALSE)</f>
        <v>#N/A</v>
      </c>
      <c r="K2751" s="22" t="e">
        <f>VLOOKUP($A2751, TAB_CORRECAO_C[[DIAS_CORRIDOS]:[V_FUT_UTEIS]],K$5, FALSE)</f>
        <v>#N/A</v>
      </c>
      <c r="L2751" s="22" t="e">
        <f>VLOOKUP($A2751, TAB_AMORTIZACAO_C[[DIAS_CORRIDOS]:[V_FUT_UTEIS]], L$5, FALSE)</f>
        <v>#N/A</v>
      </c>
    </row>
    <row r="2752" spans="1:12" hidden="1">
      <c r="A2752" s="19">
        <f t="shared" si="219"/>
        <v>2746</v>
      </c>
      <c r="B2752" s="20">
        <f t="shared" si="215"/>
        <v>0</v>
      </c>
      <c r="C2752" s="21">
        <f t="shared" si="216"/>
        <v>0</v>
      </c>
      <c r="D2752" s="22" t="e">
        <f>VLOOKUP($A2752, TAB_JUROS_U[[Q_DIAS_U_PARC_TIR]:[V_FUT_U_JURS CENARIO]], D$5, FALSE)</f>
        <v>#N/A</v>
      </c>
      <c r="E2752" s="22" t="e">
        <f>VLOOKUP($A2752,TAB_CORRECAO_U[[Q_DIAS_U_PARC_TIR]:[V_FUT_U_CORC-02]],E$5, FALSE)</f>
        <v>#N/A</v>
      </c>
      <c r="F2752" s="22" t="e">
        <f>VLOOKUP($A2752,TAB_AMORTIZACAO_U[[Q_DIAS_U_PARC_TIR]:[V_FUT_U_PCPL-02]], F$5, FALSE)</f>
        <v>#N/A</v>
      </c>
      <c r="H2752" s="20">
        <f t="shared" si="217"/>
        <v>0</v>
      </c>
      <c r="I2752" s="21">
        <f t="shared" si="218"/>
        <v>0</v>
      </c>
      <c r="J2752" s="22" t="e">
        <f>VLOOKUP($A2752, TAB_JUROS_C[[DIAS_CORRIDOS]:[V_FUT_UTEIS]], J$5, FALSE)</f>
        <v>#N/A</v>
      </c>
      <c r="K2752" s="22" t="e">
        <f>VLOOKUP($A2752, TAB_CORRECAO_C[[DIAS_CORRIDOS]:[V_FUT_UTEIS]],K$5, FALSE)</f>
        <v>#N/A</v>
      </c>
      <c r="L2752" s="22" t="e">
        <f>VLOOKUP($A2752, TAB_AMORTIZACAO_C[[DIAS_CORRIDOS]:[V_FUT_UTEIS]], L$5, FALSE)</f>
        <v>#N/A</v>
      </c>
    </row>
    <row r="2753" spans="1:12" hidden="1">
      <c r="A2753" s="19">
        <f t="shared" si="219"/>
        <v>2747</v>
      </c>
      <c r="B2753" s="20">
        <f t="shared" si="215"/>
        <v>0</v>
      </c>
      <c r="C2753" s="21">
        <f t="shared" si="216"/>
        <v>0</v>
      </c>
      <c r="D2753" s="22" t="e">
        <f>VLOOKUP($A2753, TAB_JUROS_U[[Q_DIAS_U_PARC_TIR]:[V_FUT_U_JURS CENARIO]], D$5, FALSE)</f>
        <v>#N/A</v>
      </c>
      <c r="E2753" s="22" t="e">
        <f>VLOOKUP($A2753,TAB_CORRECAO_U[[Q_DIAS_U_PARC_TIR]:[V_FUT_U_CORC-02]],E$5, FALSE)</f>
        <v>#N/A</v>
      </c>
      <c r="F2753" s="22" t="e">
        <f>VLOOKUP($A2753,TAB_AMORTIZACAO_U[[Q_DIAS_U_PARC_TIR]:[V_FUT_U_PCPL-02]], F$5, FALSE)</f>
        <v>#N/A</v>
      </c>
      <c r="H2753" s="20">
        <f t="shared" si="217"/>
        <v>0</v>
      </c>
      <c r="I2753" s="21">
        <f t="shared" si="218"/>
        <v>0</v>
      </c>
      <c r="J2753" s="22" t="e">
        <f>VLOOKUP($A2753, TAB_JUROS_C[[DIAS_CORRIDOS]:[V_FUT_UTEIS]], J$5, FALSE)</f>
        <v>#N/A</v>
      </c>
      <c r="K2753" s="22" t="e">
        <f>VLOOKUP($A2753, TAB_CORRECAO_C[[DIAS_CORRIDOS]:[V_FUT_UTEIS]],K$5, FALSE)</f>
        <v>#N/A</v>
      </c>
      <c r="L2753" s="22" t="e">
        <f>VLOOKUP($A2753, TAB_AMORTIZACAO_C[[DIAS_CORRIDOS]:[V_FUT_UTEIS]], L$5, FALSE)</f>
        <v>#N/A</v>
      </c>
    </row>
    <row r="2754" spans="1:12" hidden="1">
      <c r="A2754" s="19">
        <f t="shared" si="219"/>
        <v>2748</v>
      </c>
      <c r="B2754" s="20">
        <f t="shared" si="215"/>
        <v>0</v>
      </c>
      <c r="C2754" s="21">
        <f t="shared" si="216"/>
        <v>0</v>
      </c>
      <c r="D2754" s="22" t="e">
        <f>VLOOKUP($A2754, TAB_JUROS_U[[Q_DIAS_U_PARC_TIR]:[V_FUT_U_JURS CENARIO]], D$5, FALSE)</f>
        <v>#N/A</v>
      </c>
      <c r="E2754" s="22" t="e">
        <f>VLOOKUP($A2754,TAB_CORRECAO_U[[Q_DIAS_U_PARC_TIR]:[V_FUT_U_CORC-02]],E$5, FALSE)</f>
        <v>#N/A</v>
      </c>
      <c r="F2754" s="22" t="e">
        <f>VLOOKUP($A2754,TAB_AMORTIZACAO_U[[Q_DIAS_U_PARC_TIR]:[V_FUT_U_PCPL-02]], F$5, FALSE)</f>
        <v>#N/A</v>
      </c>
      <c r="H2754" s="20">
        <f t="shared" si="217"/>
        <v>0</v>
      </c>
      <c r="I2754" s="21">
        <f t="shared" si="218"/>
        <v>0</v>
      </c>
      <c r="J2754" s="22" t="e">
        <f>VLOOKUP($A2754, TAB_JUROS_C[[DIAS_CORRIDOS]:[V_FUT_UTEIS]], J$5, FALSE)</f>
        <v>#N/A</v>
      </c>
      <c r="K2754" s="22" t="e">
        <f>VLOOKUP($A2754, TAB_CORRECAO_C[[DIAS_CORRIDOS]:[V_FUT_UTEIS]],K$5, FALSE)</f>
        <v>#N/A</v>
      </c>
      <c r="L2754" s="22" t="e">
        <f>VLOOKUP($A2754, TAB_AMORTIZACAO_C[[DIAS_CORRIDOS]:[V_FUT_UTEIS]], L$5, FALSE)</f>
        <v>#N/A</v>
      </c>
    </row>
    <row r="2755" spans="1:12" hidden="1">
      <c r="A2755" s="19">
        <f t="shared" si="219"/>
        <v>2749</v>
      </c>
      <c r="B2755" s="20">
        <f t="shared" si="215"/>
        <v>0</v>
      </c>
      <c r="C2755" s="21">
        <f t="shared" si="216"/>
        <v>0</v>
      </c>
      <c r="D2755" s="22" t="e">
        <f>VLOOKUP($A2755, TAB_JUROS_U[[Q_DIAS_U_PARC_TIR]:[V_FUT_U_JURS CENARIO]], D$5, FALSE)</f>
        <v>#N/A</v>
      </c>
      <c r="E2755" s="22" t="e">
        <f>VLOOKUP($A2755,TAB_CORRECAO_U[[Q_DIAS_U_PARC_TIR]:[V_FUT_U_CORC-02]],E$5, FALSE)</f>
        <v>#N/A</v>
      </c>
      <c r="F2755" s="22" t="e">
        <f>VLOOKUP($A2755,TAB_AMORTIZACAO_U[[Q_DIAS_U_PARC_TIR]:[V_FUT_U_PCPL-02]], F$5, FALSE)</f>
        <v>#N/A</v>
      </c>
      <c r="H2755" s="20">
        <f t="shared" si="217"/>
        <v>0</v>
      </c>
      <c r="I2755" s="21">
        <f t="shared" si="218"/>
        <v>0</v>
      </c>
      <c r="J2755" s="22" t="e">
        <f>VLOOKUP($A2755, TAB_JUROS_C[[DIAS_CORRIDOS]:[V_FUT_UTEIS]], J$5, FALSE)</f>
        <v>#N/A</v>
      </c>
      <c r="K2755" s="22" t="e">
        <f>VLOOKUP($A2755, TAB_CORRECAO_C[[DIAS_CORRIDOS]:[V_FUT_UTEIS]],K$5, FALSE)</f>
        <v>#N/A</v>
      </c>
      <c r="L2755" s="22" t="e">
        <f>VLOOKUP($A2755, TAB_AMORTIZACAO_C[[DIAS_CORRIDOS]:[V_FUT_UTEIS]], L$5, FALSE)</f>
        <v>#N/A</v>
      </c>
    </row>
    <row r="2756" spans="1:12" hidden="1">
      <c r="A2756" s="19">
        <f t="shared" si="219"/>
        <v>2750</v>
      </c>
      <c r="B2756" s="20">
        <f t="shared" si="215"/>
        <v>0</v>
      </c>
      <c r="C2756" s="21">
        <f t="shared" si="216"/>
        <v>0</v>
      </c>
      <c r="D2756" s="22" t="e">
        <f>VLOOKUP($A2756, TAB_JUROS_U[[Q_DIAS_U_PARC_TIR]:[V_FUT_U_JURS CENARIO]], D$5, FALSE)</f>
        <v>#N/A</v>
      </c>
      <c r="E2756" s="22" t="e">
        <f>VLOOKUP($A2756,TAB_CORRECAO_U[[Q_DIAS_U_PARC_TIR]:[V_FUT_U_CORC-02]],E$5, FALSE)</f>
        <v>#N/A</v>
      </c>
      <c r="F2756" s="22" t="e">
        <f>VLOOKUP($A2756,TAB_AMORTIZACAO_U[[Q_DIAS_U_PARC_TIR]:[V_FUT_U_PCPL-02]], F$5, FALSE)</f>
        <v>#N/A</v>
      </c>
      <c r="H2756" s="20">
        <f t="shared" si="217"/>
        <v>0</v>
      </c>
      <c r="I2756" s="21">
        <f t="shared" si="218"/>
        <v>0</v>
      </c>
      <c r="J2756" s="22" t="e">
        <f>VLOOKUP($A2756, TAB_JUROS_C[[DIAS_CORRIDOS]:[V_FUT_UTEIS]], J$5, FALSE)</f>
        <v>#N/A</v>
      </c>
      <c r="K2756" s="22" t="e">
        <f>VLOOKUP($A2756, TAB_CORRECAO_C[[DIAS_CORRIDOS]:[V_FUT_UTEIS]],K$5, FALSE)</f>
        <v>#N/A</v>
      </c>
      <c r="L2756" s="22" t="e">
        <f>VLOOKUP($A2756, TAB_AMORTIZACAO_C[[DIAS_CORRIDOS]:[V_FUT_UTEIS]], L$5, FALSE)</f>
        <v>#N/A</v>
      </c>
    </row>
    <row r="2757" spans="1:12" hidden="1">
      <c r="A2757" s="19">
        <f t="shared" si="219"/>
        <v>2751</v>
      </c>
      <c r="B2757" s="20">
        <f t="shared" si="215"/>
        <v>0</v>
      </c>
      <c r="C2757" s="21">
        <f t="shared" si="216"/>
        <v>0</v>
      </c>
      <c r="D2757" s="22" t="e">
        <f>VLOOKUP($A2757, TAB_JUROS_U[[Q_DIAS_U_PARC_TIR]:[V_FUT_U_JURS CENARIO]], D$5, FALSE)</f>
        <v>#N/A</v>
      </c>
      <c r="E2757" s="22" t="e">
        <f>VLOOKUP($A2757,TAB_CORRECAO_U[[Q_DIAS_U_PARC_TIR]:[V_FUT_U_CORC-02]],E$5, FALSE)</f>
        <v>#N/A</v>
      </c>
      <c r="F2757" s="22" t="e">
        <f>VLOOKUP($A2757,TAB_AMORTIZACAO_U[[Q_DIAS_U_PARC_TIR]:[V_FUT_U_PCPL-02]], F$5, FALSE)</f>
        <v>#N/A</v>
      </c>
      <c r="H2757" s="20">
        <f t="shared" si="217"/>
        <v>339.5887327709155</v>
      </c>
      <c r="I2757" s="21">
        <f t="shared" si="218"/>
        <v>339.5887327709155</v>
      </c>
      <c r="J2757" s="22">
        <f>VLOOKUP($A2757, TAB_JUROS_C[[DIAS_CORRIDOS]:[V_FUT_UTEIS]], J$5, FALSE)</f>
        <v>20.051844643175027</v>
      </c>
      <c r="K2757" s="22">
        <f>VLOOKUP($A2757, TAB_CORRECAO_C[[DIAS_CORRIDOS]:[V_FUT_UTEIS]],K$5, FALSE)</f>
        <v>123.49762416120144</v>
      </c>
      <c r="L2757" s="22">
        <f>VLOOKUP($A2757, TAB_AMORTIZACAO_C[[DIAS_CORRIDOS]:[V_FUT_UTEIS]], L$5, FALSE)</f>
        <v>196.03926396653904</v>
      </c>
    </row>
    <row r="2758" spans="1:12" hidden="1">
      <c r="A2758" s="19">
        <f t="shared" si="219"/>
        <v>2752</v>
      </c>
      <c r="B2758" s="20">
        <f t="shared" si="215"/>
        <v>0</v>
      </c>
      <c r="C2758" s="21">
        <f t="shared" si="216"/>
        <v>0</v>
      </c>
      <c r="D2758" s="22" t="e">
        <f>VLOOKUP($A2758, TAB_JUROS_U[[Q_DIAS_U_PARC_TIR]:[V_FUT_U_JURS CENARIO]], D$5, FALSE)</f>
        <v>#N/A</v>
      </c>
      <c r="E2758" s="22" t="e">
        <f>VLOOKUP($A2758,TAB_CORRECAO_U[[Q_DIAS_U_PARC_TIR]:[V_FUT_U_CORC-02]],E$5, FALSE)</f>
        <v>#N/A</v>
      </c>
      <c r="F2758" s="22" t="e">
        <f>VLOOKUP($A2758,TAB_AMORTIZACAO_U[[Q_DIAS_U_PARC_TIR]:[V_FUT_U_PCPL-02]], F$5, FALSE)</f>
        <v>#N/A</v>
      </c>
      <c r="H2758" s="20">
        <f t="shared" si="217"/>
        <v>0</v>
      </c>
      <c r="I2758" s="21">
        <f t="shared" si="218"/>
        <v>0</v>
      </c>
      <c r="J2758" s="22" t="e">
        <f>VLOOKUP($A2758, TAB_JUROS_C[[DIAS_CORRIDOS]:[V_FUT_UTEIS]], J$5, FALSE)</f>
        <v>#N/A</v>
      </c>
      <c r="K2758" s="22" t="e">
        <f>VLOOKUP($A2758, TAB_CORRECAO_C[[DIAS_CORRIDOS]:[V_FUT_UTEIS]],K$5, FALSE)</f>
        <v>#N/A</v>
      </c>
      <c r="L2758" s="22" t="e">
        <f>VLOOKUP($A2758, TAB_AMORTIZACAO_C[[DIAS_CORRIDOS]:[V_FUT_UTEIS]], L$5, FALSE)</f>
        <v>#N/A</v>
      </c>
    </row>
    <row r="2759" spans="1:12">
      <c r="A2759" s="19">
        <f t="shared" si="219"/>
        <v>2753</v>
      </c>
      <c r="B2759" s="20">
        <f t="shared" si="215"/>
        <v>115.84908012567048</v>
      </c>
      <c r="C2759" s="21">
        <f t="shared" si="216"/>
        <v>115.84908012567048</v>
      </c>
      <c r="D2759" s="22">
        <f>VLOOKUP($A2759, TAB_JUROS_U[[Q_DIAS_U_PARC_TIR]:[V_FUT_U_JURS CENARIO]], D$5, FALSE)</f>
        <v>2.552191585830093</v>
      </c>
      <c r="E2759" s="22">
        <f>VLOOKUP($A2759,TAB_CORRECAO_U[[Q_DIAS_U_PARC_TIR]:[V_FUT_U_CORC-02]],E$5, FALSE)</f>
        <v>15.877608904641017</v>
      </c>
      <c r="F2759" s="22">
        <f>VLOOKUP($A2759,TAB_AMORTIZACAO_U[[Q_DIAS_U_PARC_TIR]:[V_FUT_U_PCPL-02]], F$5, FALSE)</f>
        <v>97.419279635199374</v>
      </c>
      <c r="H2759" s="20">
        <f t="shared" si="217"/>
        <v>0</v>
      </c>
      <c r="I2759" s="21">
        <f t="shared" si="218"/>
        <v>0</v>
      </c>
      <c r="J2759" s="22" t="e">
        <f>VLOOKUP($A2759, TAB_JUROS_C[[DIAS_CORRIDOS]:[V_FUT_UTEIS]], J$5, FALSE)</f>
        <v>#N/A</v>
      </c>
      <c r="K2759" s="22" t="e">
        <f>VLOOKUP($A2759, TAB_CORRECAO_C[[DIAS_CORRIDOS]:[V_FUT_UTEIS]],K$5, FALSE)</f>
        <v>#N/A</v>
      </c>
      <c r="L2759" s="22" t="e">
        <f>VLOOKUP($A2759, TAB_AMORTIZACAO_C[[DIAS_CORRIDOS]:[V_FUT_UTEIS]], L$5, FALSE)</f>
        <v>#N/A</v>
      </c>
    </row>
    <row r="2760" spans="1:12" hidden="1">
      <c r="A2760" s="19">
        <f t="shared" si="219"/>
        <v>2754</v>
      </c>
      <c r="B2760" s="20">
        <f t="shared" si="215"/>
        <v>0</v>
      </c>
      <c r="C2760" s="21">
        <f t="shared" si="216"/>
        <v>0</v>
      </c>
      <c r="D2760" s="22" t="e">
        <f>VLOOKUP($A2760, TAB_JUROS_U[[Q_DIAS_U_PARC_TIR]:[V_FUT_U_JURS CENARIO]], D$5, FALSE)</f>
        <v>#N/A</v>
      </c>
      <c r="E2760" s="22" t="e">
        <f>VLOOKUP($A2760,TAB_CORRECAO_U[[Q_DIAS_U_PARC_TIR]:[V_FUT_U_CORC-02]],E$5, FALSE)</f>
        <v>#N/A</v>
      </c>
      <c r="F2760" s="22" t="e">
        <f>VLOOKUP($A2760,TAB_AMORTIZACAO_U[[Q_DIAS_U_PARC_TIR]:[V_FUT_U_PCPL-02]], F$5, FALSE)</f>
        <v>#N/A</v>
      </c>
      <c r="H2760" s="20">
        <f t="shared" si="217"/>
        <v>0</v>
      </c>
      <c r="I2760" s="21">
        <f t="shared" si="218"/>
        <v>0</v>
      </c>
      <c r="J2760" s="22" t="e">
        <f>VLOOKUP($A2760, TAB_JUROS_C[[DIAS_CORRIDOS]:[V_FUT_UTEIS]], J$5, FALSE)</f>
        <v>#N/A</v>
      </c>
      <c r="K2760" s="22" t="e">
        <f>VLOOKUP($A2760, TAB_CORRECAO_C[[DIAS_CORRIDOS]:[V_FUT_UTEIS]],K$5, FALSE)</f>
        <v>#N/A</v>
      </c>
      <c r="L2760" s="22" t="e">
        <f>VLOOKUP($A2760, TAB_AMORTIZACAO_C[[DIAS_CORRIDOS]:[V_FUT_UTEIS]], L$5, FALSE)</f>
        <v>#N/A</v>
      </c>
    </row>
    <row r="2761" spans="1:12" hidden="1">
      <c r="A2761" s="19">
        <f t="shared" si="219"/>
        <v>2755</v>
      </c>
      <c r="B2761" s="20">
        <f t="shared" ref="B2761:B2824" si="220">IF(ISERROR(C2761), 0, C2761)</f>
        <v>0</v>
      </c>
      <c r="C2761" s="21">
        <f t="shared" ref="C2761:C2824" si="221">SUMIF(D2761:F2761, "&gt;0", D2761:F2761)</f>
        <v>0</v>
      </c>
      <c r="D2761" s="22" t="e">
        <f>VLOOKUP($A2761, TAB_JUROS_U[[Q_DIAS_U_PARC_TIR]:[V_FUT_U_JURS CENARIO]], D$5, FALSE)</f>
        <v>#N/A</v>
      </c>
      <c r="E2761" s="22" t="e">
        <f>VLOOKUP($A2761,TAB_CORRECAO_U[[Q_DIAS_U_PARC_TIR]:[V_FUT_U_CORC-02]],E$5, FALSE)</f>
        <v>#N/A</v>
      </c>
      <c r="F2761" s="22" t="e">
        <f>VLOOKUP($A2761,TAB_AMORTIZACAO_U[[Q_DIAS_U_PARC_TIR]:[V_FUT_U_PCPL-02]], F$5, FALSE)</f>
        <v>#N/A</v>
      </c>
      <c r="H2761" s="20">
        <f t="shared" ref="H2761:H2824" si="222">IF(ISERROR(I2761), 0, I2761)</f>
        <v>0</v>
      </c>
      <c r="I2761" s="21">
        <f t="shared" ref="I2761:I2824" si="223">SUMIF(J2761:L2761, "&gt;0", J2761:L2761)</f>
        <v>0</v>
      </c>
      <c r="J2761" s="22" t="e">
        <f>VLOOKUP($A2761, TAB_JUROS_C[[DIAS_CORRIDOS]:[V_FUT_UTEIS]], J$5, FALSE)</f>
        <v>#N/A</v>
      </c>
      <c r="K2761" s="22" t="e">
        <f>VLOOKUP($A2761, TAB_CORRECAO_C[[DIAS_CORRIDOS]:[V_FUT_UTEIS]],K$5, FALSE)</f>
        <v>#N/A</v>
      </c>
      <c r="L2761" s="22" t="e">
        <f>VLOOKUP($A2761, TAB_AMORTIZACAO_C[[DIAS_CORRIDOS]:[V_FUT_UTEIS]], L$5, FALSE)</f>
        <v>#N/A</v>
      </c>
    </row>
    <row r="2762" spans="1:12" hidden="1">
      <c r="A2762" s="19">
        <f t="shared" ref="A2762:A2825" si="224">A2761+1</f>
        <v>2756</v>
      </c>
      <c r="B2762" s="20">
        <f t="shared" si="220"/>
        <v>0</v>
      </c>
      <c r="C2762" s="21">
        <f t="shared" si="221"/>
        <v>0</v>
      </c>
      <c r="D2762" s="22" t="e">
        <f>VLOOKUP($A2762, TAB_JUROS_U[[Q_DIAS_U_PARC_TIR]:[V_FUT_U_JURS CENARIO]], D$5, FALSE)</f>
        <v>#N/A</v>
      </c>
      <c r="E2762" s="22" t="e">
        <f>VLOOKUP($A2762,TAB_CORRECAO_U[[Q_DIAS_U_PARC_TIR]:[V_FUT_U_CORC-02]],E$5, FALSE)</f>
        <v>#N/A</v>
      </c>
      <c r="F2762" s="22" t="e">
        <f>VLOOKUP($A2762,TAB_AMORTIZACAO_U[[Q_DIAS_U_PARC_TIR]:[V_FUT_U_PCPL-02]], F$5, FALSE)</f>
        <v>#N/A</v>
      </c>
      <c r="H2762" s="20">
        <f t="shared" si="222"/>
        <v>0</v>
      </c>
      <c r="I2762" s="21">
        <f t="shared" si="223"/>
        <v>0</v>
      </c>
      <c r="J2762" s="22" t="e">
        <f>VLOOKUP($A2762, TAB_JUROS_C[[DIAS_CORRIDOS]:[V_FUT_UTEIS]], J$5, FALSE)</f>
        <v>#N/A</v>
      </c>
      <c r="K2762" s="22" t="e">
        <f>VLOOKUP($A2762, TAB_CORRECAO_C[[DIAS_CORRIDOS]:[V_FUT_UTEIS]],K$5, FALSE)</f>
        <v>#N/A</v>
      </c>
      <c r="L2762" s="22" t="e">
        <f>VLOOKUP($A2762, TAB_AMORTIZACAO_C[[DIAS_CORRIDOS]:[V_FUT_UTEIS]], L$5, FALSE)</f>
        <v>#N/A</v>
      </c>
    </row>
    <row r="2763" spans="1:12" hidden="1">
      <c r="A2763" s="19">
        <f t="shared" si="224"/>
        <v>2757</v>
      </c>
      <c r="B2763" s="20">
        <f t="shared" si="220"/>
        <v>0</v>
      </c>
      <c r="C2763" s="21">
        <f t="shared" si="221"/>
        <v>0</v>
      </c>
      <c r="D2763" s="22" t="e">
        <f>VLOOKUP($A2763, TAB_JUROS_U[[Q_DIAS_U_PARC_TIR]:[V_FUT_U_JURS CENARIO]], D$5, FALSE)</f>
        <v>#N/A</v>
      </c>
      <c r="E2763" s="22" t="e">
        <f>VLOOKUP($A2763,TAB_CORRECAO_U[[Q_DIAS_U_PARC_TIR]:[V_FUT_U_CORC-02]],E$5, FALSE)</f>
        <v>#N/A</v>
      </c>
      <c r="F2763" s="22" t="e">
        <f>VLOOKUP($A2763,TAB_AMORTIZACAO_U[[Q_DIAS_U_PARC_TIR]:[V_FUT_U_PCPL-02]], F$5, FALSE)</f>
        <v>#N/A</v>
      </c>
      <c r="H2763" s="20">
        <f t="shared" si="222"/>
        <v>0</v>
      </c>
      <c r="I2763" s="21">
        <f t="shared" si="223"/>
        <v>0</v>
      </c>
      <c r="J2763" s="22" t="e">
        <f>VLOOKUP($A2763, TAB_JUROS_C[[DIAS_CORRIDOS]:[V_FUT_UTEIS]], J$5, FALSE)</f>
        <v>#N/A</v>
      </c>
      <c r="K2763" s="22" t="e">
        <f>VLOOKUP($A2763, TAB_CORRECAO_C[[DIAS_CORRIDOS]:[V_FUT_UTEIS]],K$5, FALSE)</f>
        <v>#N/A</v>
      </c>
      <c r="L2763" s="22" t="e">
        <f>VLOOKUP($A2763, TAB_AMORTIZACAO_C[[DIAS_CORRIDOS]:[V_FUT_UTEIS]], L$5, FALSE)</f>
        <v>#N/A</v>
      </c>
    </row>
    <row r="2764" spans="1:12" hidden="1">
      <c r="A2764" s="19">
        <f t="shared" si="224"/>
        <v>2758</v>
      </c>
      <c r="B2764" s="20">
        <f t="shared" si="220"/>
        <v>0</v>
      </c>
      <c r="C2764" s="21">
        <f t="shared" si="221"/>
        <v>0</v>
      </c>
      <c r="D2764" s="22" t="e">
        <f>VLOOKUP($A2764, TAB_JUROS_U[[Q_DIAS_U_PARC_TIR]:[V_FUT_U_JURS CENARIO]], D$5, FALSE)</f>
        <v>#N/A</v>
      </c>
      <c r="E2764" s="22" t="e">
        <f>VLOOKUP($A2764,TAB_CORRECAO_U[[Q_DIAS_U_PARC_TIR]:[V_FUT_U_CORC-02]],E$5, FALSE)</f>
        <v>#N/A</v>
      </c>
      <c r="F2764" s="22" t="e">
        <f>VLOOKUP($A2764,TAB_AMORTIZACAO_U[[Q_DIAS_U_PARC_TIR]:[V_FUT_U_PCPL-02]], F$5, FALSE)</f>
        <v>#N/A</v>
      </c>
      <c r="H2764" s="20">
        <f t="shared" si="222"/>
        <v>0</v>
      </c>
      <c r="I2764" s="21">
        <f t="shared" si="223"/>
        <v>0</v>
      </c>
      <c r="J2764" s="22" t="e">
        <f>VLOOKUP($A2764, TAB_JUROS_C[[DIAS_CORRIDOS]:[V_FUT_UTEIS]], J$5, FALSE)</f>
        <v>#N/A</v>
      </c>
      <c r="K2764" s="22" t="e">
        <f>VLOOKUP($A2764, TAB_CORRECAO_C[[DIAS_CORRIDOS]:[V_FUT_UTEIS]],K$5, FALSE)</f>
        <v>#N/A</v>
      </c>
      <c r="L2764" s="22" t="e">
        <f>VLOOKUP($A2764, TAB_AMORTIZACAO_C[[DIAS_CORRIDOS]:[V_FUT_UTEIS]], L$5, FALSE)</f>
        <v>#N/A</v>
      </c>
    </row>
    <row r="2765" spans="1:12" hidden="1">
      <c r="A2765" s="19">
        <f t="shared" si="224"/>
        <v>2759</v>
      </c>
      <c r="B2765" s="20">
        <f t="shared" si="220"/>
        <v>0</v>
      </c>
      <c r="C2765" s="21">
        <f t="shared" si="221"/>
        <v>0</v>
      </c>
      <c r="D2765" s="22" t="e">
        <f>VLOOKUP($A2765, TAB_JUROS_U[[Q_DIAS_U_PARC_TIR]:[V_FUT_U_JURS CENARIO]], D$5, FALSE)</f>
        <v>#N/A</v>
      </c>
      <c r="E2765" s="22" t="e">
        <f>VLOOKUP($A2765,TAB_CORRECAO_U[[Q_DIAS_U_PARC_TIR]:[V_FUT_U_CORC-02]],E$5, FALSE)</f>
        <v>#N/A</v>
      </c>
      <c r="F2765" s="22" t="e">
        <f>VLOOKUP($A2765,TAB_AMORTIZACAO_U[[Q_DIAS_U_PARC_TIR]:[V_FUT_U_PCPL-02]], F$5, FALSE)</f>
        <v>#N/A</v>
      </c>
      <c r="H2765" s="20">
        <f t="shared" si="222"/>
        <v>0</v>
      </c>
      <c r="I2765" s="21">
        <f t="shared" si="223"/>
        <v>0</v>
      </c>
      <c r="J2765" s="22" t="e">
        <f>VLOOKUP($A2765, TAB_JUROS_C[[DIAS_CORRIDOS]:[V_FUT_UTEIS]], J$5, FALSE)</f>
        <v>#N/A</v>
      </c>
      <c r="K2765" s="22" t="e">
        <f>VLOOKUP($A2765, TAB_CORRECAO_C[[DIAS_CORRIDOS]:[V_FUT_UTEIS]],K$5, FALSE)</f>
        <v>#N/A</v>
      </c>
      <c r="L2765" s="22" t="e">
        <f>VLOOKUP($A2765, TAB_AMORTIZACAO_C[[DIAS_CORRIDOS]:[V_FUT_UTEIS]], L$5, FALSE)</f>
        <v>#N/A</v>
      </c>
    </row>
    <row r="2766" spans="1:12" hidden="1">
      <c r="A2766" s="19">
        <f t="shared" si="224"/>
        <v>2760</v>
      </c>
      <c r="B2766" s="20">
        <f t="shared" si="220"/>
        <v>0</v>
      </c>
      <c r="C2766" s="21">
        <f t="shared" si="221"/>
        <v>0</v>
      </c>
      <c r="D2766" s="22" t="e">
        <f>VLOOKUP($A2766, TAB_JUROS_U[[Q_DIAS_U_PARC_TIR]:[V_FUT_U_JURS CENARIO]], D$5, FALSE)</f>
        <v>#N/A</v>
      </c>
      <c r="E2766" s="22" t="e">
        <f>VLOOKUP($A2766,TAB_CORRECAO_U[[Q_DIAS_U_PARC_TIR]:[V_FUT_U_CORC-02]],E$5, FALSE)</f>
        <v>#N/A</v>
      </c>
      <c r="F2766" s="22" t="e">
        <f>VLOOKUP($A2766,TAB_AMORTIZACAO_U[[Q_DIAS_U_PARC_TIR]:[V_FUT_U_PCPL-02]], F$5, FALSE)</f>
        <v>#N/A</v>
      </c>
      <c r="H2766" s="20">
        <f t="shared" si="222"/>
        <v>0</v>
      </c>
      <c r="I2766" s="21">
        <f t="shared" si="223"/>
        <v>0</v>
      </c>
      <c r="J2766" s="22" t="e">
        <f>VLOOKUP($A2766, TAB_JUROS_C[[DIAS_CORRIDOS]:[V_FUT_UTEIS]], J$5, FALSE)</f>
        <v>#N/A</v>
      </c>
      <c r="K2766" s="22" t="e">
        <f>VLOOKUP($A2766, TAB_CORRECAO_C[[DIAS_CORRIDOS]:[V_FUT_UTEIS]],K$5, FALSE)</f>
        <v>#N/A</v>
      </c>
      <c r="L2766" s="22" t="e">
        <f>VLOOKUP($A2766, TAB_AMORTIZACAO_C[[DIAS_CORRIDOS]:[V_FUT_UTEIS]], L$5, FALSE)</f>
        <v>#N/A</v>
      </c>
    </row>
    <row r="2767" spans="1:12" hidden="1">
      <c r="A2767" s="19">
        <f t="shared" si="224"/>
        <v>2761</v>
      </c>
      <c r="B2767" s="20">
        <f t="shared" si="220"/>
        <v>0</v>
      </c>
      <c r="C2767" s="21">
        <f t="shared" si="221"/>
        <v>0</v>
      </c>
      <c r="D2767" s="22" t="e">
        <f>VLOOKUP($A2767, TAB_JUROS_U[[Q_DIAS_U_PARC_TIR]:[V_FUT_U_JURS CENARIO]], D$5, FALSE)</f>
        <v>#N/A</v>
      </c>
      <c r="E2767" s="22" t="e">
        <f>VLOOKUP($A2767,TAB_CORRECAO_U[[Q_DIAS_U_PARC_TIR]:[V_FUT_U_CORC-02]],E$5, FALSE)</f>
        <v>#N/A</v>
      </c>
      <c r="F2767" s="22" t="e">
        <f>VLOOKUP($A2767,TAB_AMORTIZACAO_U[[Q_DIAS_U_PARC_TIR]:[V_FUT_U_PCPL-02]], F$5, FALSE)</f>
        <v>#N/A</v>
      </c>
      <c r="H2767" s="20">
        <f t="shared" si="222"/>
        <v>0</v>
      </c>
      <c r="I2767" s="21">
        <f t="shared" si="223"/>
        <v>0</v>
      </c>
      <c r="J2767" s="22" t="e">
        <f>VLOOKUP($A2767, TAB_JUROS_C[[DIAS_CORRIDOS]:[V_FUT_UTEIS]], J$5, FALSE)</f>
        <v>#N/A</v>
      </c>
      <c r="K2767" s="22" t="e">
        <f>VLOOKUP($A2767, TAB_CORRECAO_C[[DIAS_CORRIDOS]:[V_FUT_UTEIS]],K$5, FALSE)</f>
        <v>#N/A</v>
      </c>
      <c r="L2767" s="22" t="e">
        <f>VLOOKUP($A2767, TAB_AMORTIZACAO_C[[DIAS_CORRIDOS]:[V_FUT_UTEIS]], L$5, FALSE)</f>
        <v>#N/A</v>
      </c>
    </row>
    <row r="2768" spans="1:12" hidden="1">
      <c r="A2768" s="19">
        <f t="shared" si="224"/>
        <v>2762</v>
      </c>
      <c r="B2768" s="20">
        <f t="shared" si="220"/>
        <v>0</v>
      </c>
      <c r="C2768" s="21">
        <f t="shared" si="221"/>
        <v>0</v>
      </c>
      <c r="D2768" s="22" t="e">
        <f>VLOOKUP($A2768, TAB_JUROS_U[[Q_DIAS_U_PARC_TIR]:[V_FUT_U_JURS CENARIO]], D$5, FALSE)</f>
        <v>#N/A</v>
      </c>
      <c r="E2768" s="22" t="e">
        <f>VLOOKUP($A2768,TAB_CORRECAO_U[[Q_DIAS_U_PARC_TIR]:[V_FUT_U_CORC-02]],E$5, FALSE)</f>
        <v>#N/A</v>
      </c>
      <c r="F2768" s="22" t="e">
        <f>VLOOKUP($A2768,TAB_AMORTIZACAO_U[[Q_DIAS_U_PARC_TIR]:[V_FUT_U_PCPL-02]], F$5, FALSE)</f>
        <v>#N/A</v>
      </c>
      <c r="H2768" s="20">
        <f t="shared" si="222"/>
        <v>0</v>
      </c>
      <c r="I2768" s="21">
        <f t="shared" si="223"/>
        <v>0</v>
      </c>
      <c r="J2768" s="22" t="e">
        <f>VLOOKUP($A2768, TAB_JUROS_C[[DIAS_CORRIDOS]:[V_FUT_UTEIS]], J$5, FALSE)</f>
        <v>#N/A</v>
      </c>
      <c r="K2768" s="22" t="e">
        <f>VLOOKUP($A2768, TAB_CORRECAO_C[[DIAS_CORRIDOS]:[V_FUT_UTEIS]],K$5, FALSE)</f>
        <v>#N/A</v>
      </c>
      <c r="L2768" s="22" t="e">
        <f>VLOOKUP($A2768, TAB_AMORTIZACAO_C[[DIAS_CORRIDOS]:[V_FUT_UTEIS]], L$5, FALSE)</f>
        <v>#N/A</v>
      </c>
    </row>
    <row r="2769" spans="1:12" hidden="1">
      <c r="A2769" s="19">
        <f t="shared" si="224"/>
        <v>2763</v>
      </c>
      <c r="B2769" s="20">
        <f t="shared" si="220"/>
        <v>0</v>
      </c>
      <c r="C2769" s="21">
        <f t="shared" si="221"/>
        <v>0</v>
      </c>
      <c r="D2769" s="22" t="e">
        <f>VLOOKUP($A2769, TAB_JUROS_U[[Q_DIAS_U_PARC_TIR]:[V_FUT_U_JURS CENARIO]], D$5, FALSE)</f>
        <v>#N/A</v>
      </c>
      <c r="E2769" s="22" t="e">
        <f>VLOOKUP($A2769,TAB_CORRECAO_U[[Q_DIAS_U_PARC_TIR]:[V_FUT_U_CORC-02]],E$5, FALSE)</f>
        <v>#N/A</v>
      </c>
      <c r="F2769" s="22" t="e">
        <f>VLOOKUP($A2769,TAB_AMORTIZACAO_U[[Q_DIAS_U_PARC_TIR]:[V_FUT_U_PCPL-02]], F$5, FALSE)</f>
        <v>#N/A</v>
      </c>
      <c r="H2769" s="20">
        <f t="shared" si="222"/>
        <v>0</v>
      </c>
      <c r="I2769" s="21">
        <f t="shared" si="223"/>
        <v>0</v>
      </c>
      <c r="J2769" s="22" t="e">
        <f>VLOOKUP($A2769, TAB_JUROS_C[[DIAS_CORRIDOS]:[V_FUT_UTEIS]], J$5, FALSE)</f>
        <v>#N/A</v>
      </c>
      <c r="K2769" s="22" t="e">
        <f>VLOOKUP($A2769, TAB_CORRECAO_C[[DIAS_CORRIDOS]:[V_FUT_UTEIS]],K$5, FALSE)</f>
        <v>#N/A</v>
      </c>
      <c r="L2769" s="22" t="e">
        <f>VLOOKUP($A2769, TAB_AMORTIZACAO_C[[DIAS_CORRIDOS]:[V_FUT_UTEIS]], L$5, FALSE)</f>
        <v>#N/A</v>
      </c>
    </row>
    <row r="2770" spans="1:12" hidden="1">
      <c r="A2770" s="19">
        <f t="shared" si="224"/>
        <v>2764</v>
      </c>
      <c r="B2770" s="20">
        <f t="shared" si="220"/>
        <v>0</v>
      </c>
      <c r="C2770" s="21">
        <f t="shared" si="221"/>
        <v>0</v>
      </c>
      <c r="D2770" s="22" t="e">
        <f>VLOOKUP($A2770, TAB_JUROS_U[[Q_DIAS_U_PARC_TIR]:[V_FUT_U_JURS CENARIO]], D$5, FALSE)</f>
        <v>#N/A</v>
      </c>
      <c r="E2770" s="22" t="e">
        <f>VLOOKUP($A2770,TAB_CORRECAO_U[[Q_DIAS_U_PARC_TIR]:[V_FUT_U_CORC-02]],E$5, FALSE)</f>
        <v>#N/A</v>
      </c>
      <c r="F2770" s="22" t="e">
        <f>VLOOKUP($A2770,TAB_AMORTIZACAO_U[[Q_DIAS_U_PARC_TIR]:[V_FUT_U_PCPL-02]], F$5, FALSE)</f>
        <v>#N/A</v>
      </c>
      <c r="H2770" s="20">
        <f t="shared" si="222"/>
        <v>0</v>
      </c>
      <c r="I2770" s="21">
        <f t="shared" si="223"/>
        <v>0</v>
      </c>
      <c r="J2770" s="22" t="e">
        <f>VLOOKUP($A2770, TAB_JUROS_C[[DIAS_CORRIDOS]:[V_FUT_UTEIS]], J$5, FALSE)</f>
        <v>#N/A</v>
      </c>
      <c r="K2770" s="22" t="e">
        <f>VLOOKUP($A2770, TAB_CORRECAO_C[[DIAS_CORRIDOS]:[V_FUT_UTEIS]],K$5, FALSE)</f>
        <v>#N/A</v>
      </c>
      <c r="L2770" s="22" t="e">
        <f>VLOOKUP($A2770, TAB_AMORTIZACAO_C[[DIAS_CORRIDOS]:[V_FUT_UTEIS]], L$5, FALSE)</f>
        <v>#N/A</v>
      </c>
    </row>
    <row r="2771" spans="1:12" hidden="1">
      <c r="A2771" s="19">
        <f t="shared" si="224"/>
        <v>2765</v>
      </c>
      <c r="B2771" s="20">
        <f t="shared" si="220"/>
        <v>0</v>
      </c>
      <c r="C2771" s="21">
        <f t="shared" si="221"/>
        <v>0</v>
      </c>
      <c r="D2771" s="22" t="e">
        <f>VLOOKUP($A2771, TAB_JUROS_U[[Q_DIAS_U_PARC_TIR]:[V_FUT_U_JURS CENARIO]], D$5, FALSE)</f>
        <v>#N/A</v>
      </c>
      <c r="E2771" s="22" t="e">
        <f>VLOOKUP($A2771,TAB_CORRECAO_U[[Q_DIAS_U_PARC_TIR]:[V_FUT_U_CORC-02]],E$5, FALSE)</f>
        <v>#N/A</v>
      </c>
      <c r="F2771" s="22" t="e">
        <f>VLOOKUP($A2771,TAB_AMORTIZACAO_U[[Q_DIAS_U_PARC_TIR]:[V_FUT_U_PCPL-02]], F$5, FALSE)</f>
        <v>#N/A</v>
      </c>
      <c r="H2771" s="20">
        <f t="shared" si="222"/>
        <v>0</v>
      </c>
      <c r="I2771" s="21">
        <f t="shared" si="223"/>
        <v>0</v>
      </c>
      <c r="J2771" s="22" t="e">
        <f>VLOOKUP($A2771, TAB_JUROS_C[[DIAS_CORRIDOS]:[V_FUT_UTEIS]], J$5, FALSE)</f>
        <v>#N/A</v>
      </c>
      <c r="K2771" s="22" t="e">
        <f>VLOOKUP($A2771, TAB_CORRECAO_C[[DIAS_CORRIDOS]:[V_FUT_UTEIS]],K$5, FALSE)</f>
        <v>#N/A</v>
      </c>
      <c r="L2771" s="22" t="e">
        <f>VLOOKUP($A2771, TAB_AMORTIZACAO_C[[DIAS_CORRIDOS]:[V_FUT_UTEIS]], L$5, FALSE)</f>
        <v>#N/A</v>
      </c>
    </row>
    <row r="2772" spans="1:12" hidden="1">
      <c r="A2772" s="19">
        <f t="shared" si="224"/>
        <v>2766</v>
      </c>
      <c r="B2772" s="20">
        <f t="shared" si="220"/>
        <v>0</v>
      </c>
      <c r="C2772" s="21">
        <f t="shared" si="221"/>
        <v>0</v>
      </c>
      <c r="D2772" s="22" t="e">
        <f>VLOOKUP($A2772, TAB_JUROS_U[[Q_DIAS_U_PARC_TIR]:[V_FUT_U_JURS CENARIO]], D$5, FALSE)</f>
        <v>#N/A</v>
      </c>
      <c r="E2772" s="22" t="e">
        <f>VLOOKUP($A2772,TAB_CORRECAO_U[[Q_DIAS_U_PARC_TIR]:[V_FUT_U_CORC-02]],E$5, FALSE)</f>
        <v>#N/A</v>
      </c>
      <c r="F2772" s="22" t="e">
        <f>VLOOKUP($A2772,TAB_AMORTIZACAO_U[[Q_DIAS_U_PARC_TIR]:[V_FUT_U_PCPL-02]], F$5, FALSE)</f>
        <v>#N/A</v>
      </c>
      <c r="H2772" s="20">
        <f t="shared" si="222"/>
        <v>0</v>
      </c>
      <c r="I2772" s="21">
        <f t="shared" si="223"/>
        <v>0</v>
      </c>
      <c r="J2772" s="22" t="e">
        <f>VLOOKUP($A2772, TAB_JUROS_C[[DIAS_CORRIDOS]:[V_FUT_UTEIS]], J$5, FALSE)</f>
        <v>#N/A</v>
      </c>
      <c r="K2772" s="22" t="e">
        <f>VLOOKUP($A2772, TAB_CORRECAO_C[[DIAS_CORRIDOS]:[V_FUT_UTEIS]],K$5, FALSE)</f>
        <v>#N/A</v>
      </c>
      <c r="L2772" s="22" t="e">
        <f>VLOOKUP($A2772, TAB_AMORTIZACAO_C[[DIAS_CORRIDOS]:[V_FUT_UTEIS]], L$5, FALSE)</f>
        <v>#N/A</v>
      </c>
    </row>
    <row r="2773" spans="1:12" hidden="1">
      <c r="A2773" s="19">
        <f t="shared" si="224"/>
        <v>2767</v>
      </c>
      <c r="B2773" s="20">
        <f t="shared" si="220"/>
        <v>0</v>
      </c>
      <c r="C2773" s="21">
        <f t="shared" si="221"/>
        <v>0</v>
      </c>
      <c r="D2773" s="22" t="e">
        <f>VLOOKUP($A2773, TAB_JUROS_U[[Q_DIAS_U_PARC_TIR]:[V_FUT_U_JURS CENARIO]], D$5, FALSE)</f>
        <v>#N/A</v>
      </c>
      <c r="E2773" s="22" t="e">
        <f>VLOOKUP($A2773,TAB_CORRECAO_U[[Q_DIAS_U_PARC_TIR]:[V_FUT_U_CORC-02]],E$5, FALSE)</f>
        <v>#N/A</v>
      </c>
      <c r="F2773" s="22" t="e">
        <f>VLOOKUP($A2773,TAB_AMORTIZACAO_U[[Q_DIAS_U_PARC_TIR]:[V_FUT_U_PCPL-02]], F$5, FALSE)</f>
        <v>#N/A</v>
      </c>
      <c r="H2773" s="20">
        <f t="shared" si="222"/>
        <v>0</v>
      </c>
      <c r="I2773" s="21">
        <f t="shared" si="223"/>
        <v>0</v>
      </c>
      <c r="J2773" s="22" t="e">
        <f>VLOOKUP($A2773, TAB_JUROS_C[[DIAS_CORRIDOS]:[V_FUT_UTEIS]], J$5, FALSE)</f>
        <v>#N/A</v>
      </c>
      <c r="K2773" s="22" t="e">
        <f>VLOOKUP($A2773, TAB_CORRECAO_C[[DIAS_CORRIDOS]:[V_FUT_UTEIS]],K$5, FALSE)</f>
        <v>#N/A</v>
      </c>
      <c r="L2773" s="22" t="e">
        <f>VLOOKUP($A2773, TAB_AMORTIZACAO_C[[DIAS_CORRIDOS]:[V_FUT_UTEIS]], L$5, FALSE)</f>
        <v>#N/A</v>
      </c>
    </row>
    <row r="2774" spans="1:12" hidden="1">
      <c r="A2774" s="19">
        <f t="shared" si="224"/>
        <v>2768</v>
      </c>
      <c r="B2774" s="20">
        <f t="shared" si="220"/>
        <v>0</v>
      </c>
      <c r="C2774" s="21">
        <f t="shared" si="221"/>
        <v>0</v>
      </c>
      <c r="D2774" s="22" t="e">
        <f>VLOOKUP($A2774, TAB_JUROS_U[[Q_DIAS_U_PARC_TIR]:[V_FUT_U_JURS CENARIO]], D$5, FALSE)</f>
        <v>#N/A</v>
      </c>
      <c r="E2774" s="22" t="e">
        <f>VLOOKUP($A2774,TAB_CORRECAO_U[[Q_DIAS_U_PARC_TIR]:[V_FUT_U_CORC-02]],E$5, FALSE)</f>
        <v>#N/A</v>
      </c>
      <c r="F2774" s="22" t="e">
        <f>VLOOKUP($A2774,TAB_AMORTIZACAO_U[[Q_DIAS_U_PARC_TIR]:[V_FUT_U_PCPL-02]], F$5, FALSE)</f>
        <v>#N/A</v>
      </c>
      <c r="H2774" s="20">
        <f t="shared" si="222"/>
        <v>0</v>
      </c>
      <c r="I2774" s="21">
        <f t="shared" si="223"/>
        <v>0</v>
      </c>
      <c r="J2774" s="22" t="e">
        <f>VLOOKUP($A2774, TAB_JUROS_C[[DIAS_CORRIDOS]:[V_FUT_UTEIS]], J$5, FALSE)</f>
        <v>#N/A</v>
      </c>
      <c r="K2774" s="22" t="e">
        <f>VLOOKUP($A2774, TAB_CORRECAO_C[[DIAS_CORRIDOS]:[V_FUT_UTEIS]],K$5, FALSE)</f>
        <v>#N/A</v>
      </c>
      <c r="L2774" s="22" t="e">
        <f>VLOOKUP($A2774, TAB_AMORTIZACAO_C[[DIAS_CORRIDOS]:[V_FUT_UTEIS]], L$5, FALSE)</f>
        <v>#N/A</v>
      </c>
    </row>
    <row r="2775" spans="1:12" hidden="1">
      <c r="A2775" s="19">
        <f t="shared" si="224"/>
        <v>2769</v>
      </c>
      <c r="B2775" s="20">
        <f t="shared" si="220"/>
        <v>0</v>
      </c>
      <c r="C2775" s="21">
        <f t="shared" si="221"/>
        <v>0</v>
      </c>
      <c r="D2775" s="22" t="e">
        <f>VLOOKUP($A2775, TAB_JUROS_U[[Q_DIAS_U_PARC_TIR]:[V_FUT_U_JURS CENARIO]], D$5, FALSE)</f>
        <v>#N/A</v>
      </c>
      <c r="E2775" s="22" t="e">
        <f>VLOOKUP($A2775,TAB_CORRECAO_U[[Q_DIAS_U_PARC_TIR]:[V_FUT_U_CORC-02]],E$5, FALSE)</f>
        <v>#N/A</v>
      </c>
      <c r="F2775" s="22" t="e">
        <f>VLOOKUP($A2775,TAB_AMORTIZACAO_U[[Q_DIAS_U_PARC_TIR]:[V_FUT_U_PCPL-02]], F$5, FALSE)</f>
        <v>#N/A</v>
      </c>
      <c r="H2775" s="20">
        <f t="shared" si="222"/>
        <v>0</v>
      </c>
      <c r="I2775" s="21">
        <f t="shared" si="223"/>
        <v>0</v>
      </c>
      <c r="J2775" s="22" t="e">
        <f>VLOOKUP($A2775, TAB_JUROS_C[[DIAS_CORRIDOS]:[V_FUT_UTEIS]], J$5, FALSE)</f>
        <v>#N/A</v>
      </c>
      <c r="K2775" s="22" t="e">
        <f>VLOOKUP($A2775, TAB_CORRECAO_C[[DIAS_CORRIDOS]:[V_FUT_UTEIS]],K$5, FALSE)</f>
        <v>#N/A</v>
      </c>
      <c r="L2775" s="22" t="e">
        <f>VLOOKUP($A2775, TAB_AMORTIZACAO_C[[DIAS_CORRIDOS]:[V_FUT_UTEIS]], L$5, FALSE)</f>
        <v>#N/A</v>
      </c>
    </row>
    <row r="2776" spans="1:12" hidden="1">
      <c r="A2776" s="19">
        <f t="shared" si="224"/>
        <v>2770</v>
      </c>
      <c r="B2776" s="20">
        <f t="shared" si="220"/>
        <v>0</v>
      </c>
      <c r="C2776" s="21">
        <f t="shared" si="221"/>
        <v>0</v>
      </c>
      <c r="D2776" s="22" t="e">
        <f>VLOOKUP($A2776, TAB_JUROS_U[[Q_DIAS_U_PARC_TIR]:[V_FUT_U_JURS CENARIO]], D$5, FALSE)</f>
        <v>#N/A</v>
      </c>
      <c r="E2776" s="22" t="e">
        <f>VLOOKUP($A2776,TAB_CORRECAO_U[[Q_DIAS_U_PARC_TIR]:[V_FUT_U_CORC-02]],E$5, FALSE)</f>
        <v>#N/A</v>
      </c>
      <c r="F2776" s="22" t="e">
        <f>VLOOKUP($A2776,TAB_AMORTIZACAO_U[[Q_DIAS_U_PARC_TIR]:[V_FUT_U_PCPL-02]], F$5, FALSE)</f>
        <v>#N/A</v>
      </c>
      <c r="H2776" s="20">
        <f t="shared" si="222"/>
        <v>0</v>
      </c>
      <c r="I2776" s="21">
        <f t="shared" si="223"/>
        <v>0</v>
      </c>
      <c r="J2776" s="22" t="e">
        <f>VLOOKUP($A2776, TAB_JUROS_C[[DIAS_CORRIDOS]:[V_FUT_UTEIS]], J$5, FALSE)</f>
        <v>#N/A</v>
      </c>
      <c r="K2776" s="22" t="e">
        <f>VLOOKUP($A2776, TAB_CORRECAO_C[[DIAS_CORRIDOS]:[V_FUT_UTEIS]],K$5, FALSE)</f>
        <v>#N/A</v>
      </c>
      <c r="L2776" s="22" t="e">
        <f>VLOOKUP($A2776, TAB_AMORTIZACAO_C[[DIAS_CORRIDOS]:[V_FUT_UTEIS]], L$5, FALSE)</f>
        <v>#N/A</v>
      </c>
    </row>
    <row r="2777" spans="1:12" hidden="1">
      <c r="A2777" s="19">
        <f t="shared" si="224"/>
        <v>2771</v>
      </c>
      <c r="B2777" s="20">
        <f t="shared" si="220"/>
        <v>0</v>
      </c>
      <c r="C2777" s="21">
        <f t="shared" si="221"/>
        <v>0</v>
      </c>
      <c r="D2777" s="22" t="e">
        <f>VLOOKUP($A2777, TAB_JUROS_U[[Q_DIAS_U_PARC_TIR]:[V_FUT_U_JURS CENARIO]], D$5, FALSE)</f>
        <v>#N/A</v>
      </c>
      <c r="E2777" s="22" t="e">
        <f>VLOOKUP($A2777,TAB_CORRECAO_U[[Q_DIAS_U_PARC_TIR]:[V_FUT_U_CORC-02]],E$5, FALSE)</f>
        <v>#N/A</v>
      </c>
      <c r="F2777" s="22" t="e">
        <f>VLOOKUP($A2777,TAB_AMORTIZACAO_U[[Q_DIAS_U_PARC_TIR]:[V_FUT_U_PCPL-02]], F$5, FALSE)</f>
        <v>#N/A</v>
      </c>
      <c r="H2777" s="20">
        <f t="shared" si="222"/>
        <v>0</v>
      </c>
      <c r="I2777" s="21">
        <f t="shared" si="223"/>
        <v>0</v>
      </c>
      <c r="J2777" s="22" t="e">
        <f>VLOOKUP($A2777, TAB_JUROS_C[[DIAS_CORRIDOS]:[V_FUT_UTEIS]], J$5, FALSE)</f>
        <v>#N/A</v>
      </c>
      <c r="K2777" s="22" t="e">
        <f>VLOOKUP($A2777, TAB_CORRECAO_C[[DIAS_CORRIDOS]:[V_FUT_UTEIS]],K$5, FALSE)</f>
        <v>#N/A</v>
      </c>
      <c r="L2777" s="22" t="e">
        <f>VLOOKUP($A2777, TAB_AMORTIZACAO_C[[DIAS_CORRIDOS]:[V_FUT_UTEIS]], L$5, FALSE)</f>
        <v>#N/A</v>
      </c>
    </row>
    <row r="2778" spans="1:12" hidden="1">
      <c r="A2778" s="19">
        <f t="shared" si="224"/>
        <v>2772</v>
      </c>
      <c r="B2778" s="20">
        <f t="shared" si="220"/>
        <v>0</v>
      </c>
      <c r="C2778" s="21">
        <f t="shared" si="221"/>
        <v>0</v>
      </c>
      <c r="D2778" s="22" t="e">
        <f>VLOOKUP($A2778, TAB_JUROS_U[[Q_DIAS_U_PARC_TIR]:[V_FUT_U_JURS CENARIO]], D$5, FALSE)</f>
        <v>#N/A</v>
      </c>
      <c r="E2778" s="22" t="e">
        <f>VLOOKUP($A2778,TAB_CORRECAO_U[[Q_DIAS_U_PARC_TIR]:[V_FUT_U_CORC-02]],E$5, FALSE)</f>
        <v>#N/A</v>
      </c>
      <c r="F2778" s="22" t="e">
        <f>VLOOKUP($A2778,TAB_AMORTIZACAO_U[[Q_DIAS_U_PARC_TIR]:[V_FUT_U_PCPL-02]], F$5, FALSE)</f>
        <v>#N/A</v>
      </c>
      <c r="H2778" s="20">
        <f t="shared" si="222"/>
        <v>0</v>
      </c>
      <c r="I2778" s="21">
        <f t="shared" si="223"/>
        <v>0</v>
      </c>
      <c r="J2778" s="22" t="e">
        <f>VLOOKUP($A2778, TAB_JUROS_C[[DIAS_CORRIDOS]:[V_FUT_UTEIS]], J$5, FALSE)</f>
        <v>#N/A</v>
      </c>
      <c r="K2778" s="22" t="e">
        <f>VLOOKUP($A2778, TAB_CORRECAO_C[[DIAS_CORRIDOS]:[V_FUT_UTEIS]],K$5, FALSE)</f>
        <v>#N/A</v>
      </c>
      <c r="L2778" s="22" t="e">
        <f>VLOOKUP($A2778, TAB_AMORTIZACAO_C[[DIAS_CORRIDOS]:[V_FUT_UTEIS]], L$5, FALSE)</f>
        <v>#N/A</v>
      </c>
    </row>
    <row r="2779" spans="1:12" hidden="1">
      <c r="A2779" s="19">
        <f t="shared" si="224"/>
        <v>2773</v>
      </c>
      <c r="B2779" s="20">
        <f t="shared" si="220"/>
        <v>0</v>
      </c>
      <c r="C2779" s="21">
        <f t="shared" si="221"/>
        <v>0</v>
      </c>
      <c r="D2779" s="22" t="e">
        <f>VLOOKUP($A2779, TAB_JUROS_U[[Q_DIAS_U_PARC_TIR]:[V_FUT_U_JURS CENARIO]], D$5, FALSE)</f>
        <v>#N/A</v>
      </c>
      <c r="E2779" s="22" t="e">
        <f>VLOOKUP($A2779,TAB_CORRECAO_U[[Q_DIAS_U_PARC_TIR]:[V_FUT_U_CORC-02]],E$5, FALSE)</f>
        <v>#N/A</v>
      </c>
      <c r="F2779" s="22" t="e">
        <f>VLOOKUP($A2779,TAB_AMORTIZACAO_U[[Q_DIAS_U_PARC_TIR]:[V_FUT_U_PCPL-02]], F$5, FALSE)</f>
        <v>#N/A</v>
      </c>
      <c r="H2779" s="20">
        <f t="shared" si="222"/>
        <v>0</v>
      </c>
      <c r="I2779" s="21">
        <f t="shared" si="223"/>
        <v>0</v>
      </c>
      <c r="J2779" s="22" t="e">
        <f>VLOOKUP($A2779, TAB_JUROS_C[[DIAS_CORRIDOS]:[V_FUT_UTEIS]], J$5, FALSE)</f>
        <v>#N/A</v>
      </c>
      <c r="K2779" s="22" t="e">
        <f>VLOOKUP($A2779, TAB_CORRECAO_C[[DIAS_CORRIDOS]:[V_FUT_UTEIS]],K$5, FALSE)</f>
        <v>#N/A</v>
      </c>
      <c r="L2779" s="22" t="e">
        <f>VLOOKUP($A2779, TAB_AMORTIZACAO_C[[DIAS_CORRIDOS]:[V_FUT_UTEIS]], L$5, FALSE)</f>
        <v>#N/A</v>
      </c>
    </row>
    <row r="2780" spans="1:12" hidden="1">
      <c r="A2780" s="19">
        <f t="shared" si="224"/>
        <v>2774</v>
      </c>
      <c r="B2780" s="20">
        <f t="shared" si="220"/>
        <v>0</v>
      </c>
      <c r="C2780" s="21">
        <f t="shared" si="221"/>
        <v>0</v>
      </c>
      <c r="D2780" s="22" t="e">
        <f>VLOOKUP($A2780, TAB_JUROS_U[[Q_DIAS_U_PARC_TIR]:[V_FUT_U_JURS CENARIO]], D$5, FALSE)</f>
        <v>#N/A</v>
      </c>
      <c r="E2780" s="22" t="e">
        <f>VLOOKUP($A2780,TAB_CORRECAO_U[[Q_DIAS_U_PARC_TIR]:[V_FUT_U_CORC-02]],E$5, FALSE)</f>
        <v>#N/A</v>
      </c>
      <c r="F2780" s="22" t="e">
        <f>VLOOKUP($A2780,TAB_AMORTIZACAO_U[[Q_DIAS_U_PARC_TIR]:[V_FUT_U_PCPL-02]], F$5, FALSE)</f>
        <v>#N/A</v>
      </c>
      <c r="H2780" s="20">
        <f t="shared" si="222"/>
        <v>0</v>
      </c>
      <c r="I2780" s="21">
        <f t="shared" si="223"/>
        <v>0</v>
      </c>
      <c r="J2780" s="22" t="e">
        <f>VLOOKUP($A2780, TAB_JUROS_C[[DIAS_CORRIDOS]:[V_FUT_UTEIS]], J$5, FALSE)</f>
        <v>#N/A</v>
      </c>
      <c r="K2780" s="22" t="e">
        <f>VLOOKUP($A2780, TAB_CORRECAO_C[[DIAS_CORRIDOS]:[V_FUT_UTEIS]],K$5, FALSE)</f>
        <v>#N/A</v>
      </c>
      <c r="L2780" s="22" t="e">
        <f>VLOOKUP($A2780, TAB_AMORTIZACAO_C[[DIAS_CORRIDOS]:[V_FUT_UTEIS]], L$5, FALSE)</f>
        <v>#N/A</v>
      </c>
    </row>
    <row r="2781" spans="1:12">
      <c r="A2781" s="19">
        <f t="shared" si="224"/>
        <v>2775</v>
      </c>
      <c r="B2781" s="20">
        <f t="shared" si="220"/>
        <v>121.57382331805726</v>
      </c>
      <c r="C2781" s="21">
        <f t="shared" si="221"/>
        <v>121.57382331805726</v>
      </c>
      <c r="D2781" s="22">
        <f>VLOOKUP($A2781, TAB_JUROS_U[[Q_DIAS_U_PARC_TIR]:[V_FUT_U_JURS CENARIO]], D$5, FALSE)</f>
        <v>2.5635821729146926</v>
      </c>
      <c r="E2781" s="22">
        <f>VLOOKUP($A2781,TAB_CORRECAO_U[[Q_DIAS_U_PARC_TIR]:[V_FUT_U_CORC-02]],E$5, FALSE)</f>
        <v>15.8768303585427</v>
      </c>
      <c r="F2781" s="22">
        <f>VLOOKUP($A2781,TAB_AMORTIZACAO_U[[Q_DIAS_U_PARC_TIR]:[V_FUT_U_PCPL-02]], F$5, FALSE)</f>
        <v>103.13341078659988</v>
      </c>
      <c r="H2781" s="20">
        <f t="shared" si="222"/>
        <v>0</v>
      </c>
      <c r="I2781" s="21">
        <f t="shared" si="223"/>
        <v>0</v>
      </c>
      <c r="J2781" s="22" t="e">
        <f>VLOOKUP($A2781, TAB_JUROS_C[[DIAS_CORRIDOS]:[V_FUT_UTEIS]], J$5, FALSE)</f>
        <v>#N/A</v>
      </c>
      <c r="K2781" s="22" t="e">
        <f>VLOOKUP($A2781, TAB_CORRECAO_C[[DIAS_CORRIDOS]:[V_FUT_UTEIS]],K$5, FALSE)</f>
        <v>#N/A</v>
      </c>
      <c r="L2781" s="22" t="e">
        <f>VLOOKUP($A2781, TAB_AMORTIZACAO_C[[DIAS_CORRIDOS]:[V_FUT_UTEIS]], L$5, FALSE)</f>
        <v>#N/A</v>
      </c>
    </row>
    <row r="2782" spans="1:12" hidden="1">
      <c r="A2782" s="19">
        <f t="shared" si="224"/>
        <v>2776</v>
      </c>
      <c r="B2782" s="20">
        <f t="shared" si="220"/>
        <v>0</v>
      </c>
      <c r="C2782" s="21">
        <f t="shared" si="221"/>
        <v>0</v>
      </c>
      <c r="D2782" s="22" t="e">
        <f>VLOOKUP($A2782, TAB_JUROS_U[[Q_DIAS_U_PARC_TIR]:[V_FUT_U_JURS CENARIO]], D$5, FALSE)</f>
        <v>#N/A</v>
      </c>
      <c r="E2782" s="22" t="e">
        <f>VLOOKUP($A2782,TAB_CORRECAO_U[[Q_DIAS_U_PARC_TIR]:[V_FUT_U_CORC-02]],E$5, FALSE)</f>
        <v>#N/A</v>
      </c>
      <c r="F2782" s="22" t="e">
        <f>VLOOKUP($A2782,TAB_AMORTIZACAO_U[[Q_DIAS_U_PARC_TIR]:[V_FUT_U_PCPL-02]], F$5, FALSE)</f>
        <v>#N/A</v>
      </c>
      <c r="H2782" s="20">
        <f t="shared" si="222"/>
        <v>0</v>
      </c>
      <c r="I2782" s="21">
        <f t="shared" si="223"/>
        <v>0</v>
      </c>
      <c r="J2782" s="22" t="e">
        <f>VLOOKUP($A2782, TAB_JUROS_C[[DIAS_CORRIDOS]:[V_FUT_UTEIS]], J$5, FALSE)</f>
        <v>#N/A</v>
      </c>
      <c r="K2782" s="22" t="e">
        <f>VLOOKUP($A2782, TAB_CORRECAO_C[[DIAS_CORRIDOS]:[V_FUT_UTEIS]],K$5, FALSE)</f>
        <v>#N/A</v>
      </c>
      <c r="L2782" s="22" t="e">
        <f>VLOOKUP($A2782, TAB_AMORTIZACAO_C[[DIAS_CORRIDOS]:[V_FUT_UTEIS]], L$5, FALSE)</f>
        <v>#N/A</v>
      </c>
    </row>
    <row r="2783" spans="1:12" hidden="1">
      <c r="A2783" s="19">
        <f t="shared" si="224"/>
        <v>2777</v>
      </c>
      <c r="B2783" s="20">
        <f t="shared" si="220"/>
        <v>0</v>
      </c>
      <c r="C2783" s="21">
        <f t="shared" si="221"/>
        <v>0</v>
      </c>
      <c r="D2783" s="22" t="e">
        <f>VLOOKUP($A2783, TAB_JUROS_U[[Q_DIAS_U_PARC_TIR]:[V_FUT_U_JURS CENARIO]], D$5, FALSE)</f>
        <v>#N/A</v>
      </c>
      <c r="E2783" s="22" t="e">
        <f>VLOOKUP($A2783,TAB_CORRECAO_U[[Q_DIAS_U_PARC_TIR]:[V_FUT_U_CORC-02]],E$5, FALSE)</f>
        <v>#N/A</v>
      </c>
      <c r="F2783" s="22" t="e">
        <f>VLOOKUP($A2783,TAB_AMORTIZACAO_U[[Q_DIAS_U_PARC_TIR]:[V_FUT_U_PCPL-02]], F$5, FALSE)</f>
        <v>#N/A</v>
      </c>
      <c r="H2783" s="20">
        <f t="shared" si="222"/>
        <v>0</v>
      </c>
      <c r="I2783" s="21">
        <f t="shared" si="223"/>
        <v>0</v>
      </c>
      <c r="J2783" s="22" t="e">
        <f>VLOOKUP($A2783, TAB_JUROS_C[[DIAS_CORRIDOS]:[V_FUT_UTEIS]], J$5, FALSE)</f>
        <v>#N/A</v>
      </c>
      <c r="K2783" s="22" t="e">
        <f>VLOOKUP($A2783, TAB_CORRECAO_C[[DIAS_CORRIDOS]:[V_FUT_UTEIS]],K$5, FALSE)</f>
        <v>#N/A</v>
      </c>
      <c r="L2783" s="22" t="e">
        <f>VLOOKUP($A2783, TAB_AMORTIZACAO_C[[DIAS_CORRIDOS]:[V_FUT_UTEIS]], L$5, FALSE)</f>
        <v>#N/A</v>
      </c>
    </row>
    <row r="2784" spans="1:12" hidden="1">
      <c r="A2784" s="19">
        <f t="shared" si="224"/>
        <v>2778</v>
      </c>
      <c r="B2784" s="20">
        <f t="shared" si="220"/>
        <v>0</v>
      </c>
      <c r="C2784" s="21">
        <f t="shared" si="221"/>
        <v>0</v>
      </c>
      <c r="D2784" s="22" t="e">
        <f>VLOOKUP($A2784, TAB_JUROS_U[[Q_DIAS_U_PARC_TIR]:[V_FUT_U_JURS CENARIO]], D$5, FALSE)</f>
        <v>#N/A</v>
      </c>
      <c r="E2784" s="22" t="e">
        <f>VLOOKUP($A2784,TAB_CORRECAO_U[[Q_DIAS_U_PARC_TIR]:[V_FUT_U_CORC-02]],E$5, FALSE)</f>
        <v>#N/A</v>
      </c>
      <c r="F2784" s="22" t="e">
        <f>VLOOKUP($A2784,TAB_AMORTIZACAO_U[[Q_DIAS_U_PARC_TIR]:[V_FUT_U_PCPL-02]], F$5, FALSE)</f>
        <v>#N/A</v>
      </c>
      <c r="H2784" s="20">
        <f t="shared" si="222"/>
        <v>0</v>
      </c>
      <c r="I2784" s="21">
        <f t="shared" si="223"/>
        <v>0</v>
      </c>
      <c r="J2784" s="22" t="e">
        <f>VLOOKUP($A2784, TAB_JUROS_C[[DIAS_CORRIDOS]:[V_FUT_UTEIS]], J$5, FALSE)</f>
        <v>#N/A</v>
      </c>
      <c r="K2784" s="22" t="e">
        <f>VLOOKUP($A2784, TAB_CORRECAO_C[[DIAS_CORRIDOS]:[V_FUT_UTEIS]],K$5, FALSE)</f>
        <v>#N/A</v>
      </c>
      <c r="L2784" s="22" t="e">
        <f>VLOOKUP($A2784, TAB_AMORTIZACAO_C[[DIAS_CORRIDOS]:[V_FUT_UTEIS]], L$5, FALSE)</f>
        <v>#N/A</v>
      </c>
    </row>
    <row r="2785" spans="1:12" hidden="1">
      <c r="A2785" s="19">
        <f t="shared" si="224"/>
        <v>2779</v>
      </c>
      <c r="B2785" s="20">
        <f t="shared" si="220"/>
        <v>0</v>
      </c>
      <c r="C2785" s="21">
        <f t="shared" si="221"/>
        <v>0</v>
      </c>
      <c r="D2785" s="22" t="e">
        <f>VLOOKUP($A2785, TAB_JUROS_U[[Q_DIAS_U_PARC_TIR]:[V_FUT_U_JURS CENARIO]], D$5, FALSE)</f>
        <v>#N/A</v>
      </c>
      <c r="E2785" s="22" t="e">
        <f>VLOOKUP($A2785,TAB_CORRECAO_U[[Q_DIAS_U_PARC_TIR]:[V_FUT_U_CORC-02]],E$5, FALSE)</f>
        <v>#N/A</v>
      </c>
      <c r="F2785" s="22" t="e">
        <f>VLOOKUP($A2785,TAB_AMORTIZACAO_U[[Q_DIAS_U_PARC_TIR]:[V_FUT_U_PCPL-02]], F$5, FALSE)</f>
        <v>#N/A</v>
      </c>
      <c r="H2785" s="20">
        <f t="shared" si="222"/>
        <v>0</v>
      </c>
      <c r="I2785" s="21">
        <f t="shared" si="223"/>
        <v>0</v>
      </c>
      <c r="J2785" s="22" t="e">
        <f>VLOOKUP($A2785, TAB_JUROS_C[[DIAS_CORRIDOS]:[V_FUT_UTEIS]], J$5, FALSE)</f>
        <v>#N/A</v>
      </c>
      <c r="K2785" s="22" t="e">
        <f>VLOOKUP($A2785, TAB_CORRECAO_C[[DIAS_CORRIDOS]:[V_FUT_UTEIS]],K$5, FALSE)</f>
        <v>#N/A</v>
      </c>
      <c r="L2785" s="22" t="e">
        <f>VLOOKUP($A2785, TAB_AMORTIZACAO_C[[DIAS_CORRIDOS]:[V_FUT_UTEIS]], L$5, FALSE)</f>
        <v>#N/A</v>
      </c>
    </row>
    <row r="2786" spans="1:12" hidden="1">
      <c r="A2786" s="19">
        <f t="shared" si="224"/>
        <v>2780</v>
      </c>
      <c r="B2786" s="20">
        <f t="shared" si="220"/>
        <v>0</v>
      </c>
      <c r="C2786" s="21">
        <f t="shared" si="221"/>
        <v>0</v>
      </c>
      <c r="D2786" s="22" t="e">
        <f>VLOOKUP($A2786, TAB_JUROS_U[[Q_DIAS_U_PARC_TIR]:[V_FUT_U_JURS CENARIO]], D$5, FALSE)</f>
        <v>#N/A</v>
      </c>
      <c r="E2786" s="22" t="e">
        <f>VLOOKUP($A2786,TAB_CORRECAO_U[[Q_DIAS_U_PARC_TIR]:[V_FUT_U_CORC-02]],E$5, FALSE)</f>
        <v>#N/A</v>
      </c>
      <c r="F2786" s="22" t="e">
        <f>VLOOKUP($A2786,TAB_AMORTIZACAO_U[[Q_DIAS_U_PARC_TIR]:[V_FUT_U_PCPL-02]], F$5, FALSE)</f>
        <v>#N/A</v>
      </c>
      <c r="H2786" s="20">
        <f t="shared" si="222"/>
        <v>330.27219778402849</v>
      </c>
      <c r="I2786" s="21">
        <f t="shared" si="223"/>
        <v>330.27219778402849</v>
      </c>
      <c r="J2786" s="22">
        <f>VLOOKUP($A2786, TAB_JUROS_C[[DIAS_CORRIDOS]:[V_FUT_UTEIS]], J$5, FALSE)</f>
        <v>19.39772675340468</v>
      </c>
      <c r="K2786" s="22">
        <f>VLOOKUP($A2786, TAB_CORRECAO_C[[DIAS_CORRIDOS]:[V_FUT_UTEIS]],K$5, FALSE)</f>
        <v>119.47309797260249</v>
      </c>
      <c r="L2786" s="22">
        <f>VLOOKUP($A2786, TAB_AMORTIZACAO_C[[DIAS_CORRIDOS]:[V_FUT_UTEIS]], L$5, FALSE)</f>
        <v>191.40137305802133</v>
      </c>
    </row>
    <row r="2787" spans="1:12" hidden="1">
      <c r="A2787" s="19">
        <f t="shared" si="224"/>
        <v>2781</v>
      </c>
      <c r="B2787" s="20">
        <f t="shared" si="220"/>
        <v>0</v>
      </c>
      <c r="C2787" s="21">
        <f t="shared" si="221"/>
        <v>0</v>
      </c>
      <c r="D2787" s="22" t="e">
        <f>VLOOKUP($A2787, TAB_JUROS_U[[Q_DIAS_U_PARC_TIR]:[V_FUT_U_JURS CENARIO]], D$5, FALSE)</f>
        <v>#N/A</v>
      </c>
      <c r="E2787" s="22" t="e">
        <f>VLOOKUP($A2787,TAB_CORRECAO_U[[Q_DIAS_U_PARC_TIR]:[V_FUT_U_CORC-02]],E$5, FALSE)</f>
        <v>#N/A</v>
      </c>
      <c r="F2787" s="22" t="e">
        <f>VLOOKUP($A2787,TAB_AMORTIZACAO_U[[Q_DIAS_U_PARC_TIR]:[V_FUT_U_PCPL-02]], F$5, FALSE)</f>
        <v>#N/A</v>
      </c>
      <c r="H2787" s="20">
        <f t="shared" si="222"/>
        <v>0</v>
      </c>
      <c r="I2787" s="21">
        <f t="shared" si="223"/>
        <v>0</v>
      </c>
      <c r="J2787" s="22" t="e">
        <f>VLOOKUP($A2787, TAB_JUROS_C[[DIAS_CORRIDOS]:[V_FUT_UTEIS]], J$5, FALSE)</f>
        <v>#N/A</v>
      </c>
      <c r="K2787" s="22" t="e">
        <f>VLOOKUP($A2787, TAB_CORRECAO_C[[DIAS_CORRIDOS]:[V_FUT_UTEIS]],K$5, FALSE)</f>
        <v>#N/A</v>
      </c>
      <c r="L2787" s="22" t="e">
        <f>VLOOKUP($A2787, TAB_AMORTIZACAO_C[[DIAS_CORRIDOS]:[V_FUT_UTEIS]], L$5, FALSE)</f>
        <v>#N/A</v>
      </c>
    </row>
    <row r="2788" spans="1:12" hidden="1">
      <c r="A2788" s="19">
        <f t="shared" si="224"/>
        <v>2782</v>
      </c>
      <c r="B2788" s="20">
        <f t="shared" si="220"/>
        <v>0</v>
      </c>
      <c r="C2788" s="21">
        <f t="shared" si="221"/>
        <v>0</v>
      </c>
      <c r="D2788" s="22" t="e">
        <f>VLOOKUP($A2788, TAB_JUROS_U[[Q_DIAS_U_PARC_TIR]:[V_FUT_U_JURS CENARIO]], D$5, FALSE)</f>
        <v>#N/A</v>
      </c>
      <c r="E2788" s="22" t="e">
        <f>VLOOKUP($A2788,TAB_CORRECAO_U[[Q_DIAS_U_PARC_TIR]:[V_FUT_U_CORC-02]],E$5, FALSE)</f>
        <v>#N/A</v>
      </c>
      <c r="F2788" s="22" t="e">
        <f>VLOOKUP($A2788,TAB_AMORTIZACAO_U[[Q_DIAS_U_PARC_TIR]:[V_FUT_U_PCPL-02]], F$5, FALSE)</f>
        <v>#N/A</v>
      </c>
      <c r="H2788" s="20">
        <f t="shared" si="222"/>
        <v>0</v>
      </c>
      <c r="I2788" s="21">
        <f t="shared" si="223"/>
        <v>0</v>
      </c>
      <c r="J2788" s="22" t="e">
        <f>VLOOKUP($A2788, TAB_JUROS_C[[DIAS_CORRIDOS]:[V_FUT_UTEIS]], J$5, FALSE)</f>
        <v>#N/A</v>
      </c>
      <c r="K2788" s="22" t="e">
        <f>VLOOKUP($A2788, TAB_CORRECAO_C[[DIAS_CORRIDOS]:[V_FUT_UTEIS]],K$5, FALSE)</f>
        <v>#N/A</v>
      </c>
      <c r="L2788" s="22" t="e">
        <f>VLOOKUP($A2788, TAB_AMORTIZACAO_C[[DIAS_CORRIDOS]:[V_FUT_UTEIS]], L$5, FALSE)</f>
        <v>#N/A</v>
      </c>
    </row>
    <row r="2789" spans="1:12" hidden="1">
      <c r="A2789" s="19">
        <f t="shared" si="224"/>
        <v>2783</v>
      </c>
      <c r="B2789" s="20">
        <f t="shared" si="220"/>
        <v>0</v>
      </c>
      <c r="C2789" s="21">
        <f t="shared" si="221"/>
        <v>0</v>
      </c>
      <c r="D2789" s="22" t="e">
        <f>VLOOKUP($A2789, TAB_JUROS_U[[Q_DIAS_U_PARC_TIR]:[V_FUT_U_JURS CENARIO]], D$5, FALSE)</f>
        <v>#N/A</v>
      </c>
      <c r="E2789" s="22" t="e">
        <f>VLOOKUP($A2789,TAB_CORRECAO_U[[Q_DIAS_U_PARC_TIR]:[V_FUT_U_CORC-02]],E$5, FALSE)</f>
        <v>#N/A</v>
      </c>
      <c r="F2789" s="22" t="e">
        <f>VLOOKUP($A2789,TAB_AMORTIZACAO_U[[Q_DIAS_U_PARC_TIR]:[V_FUT_U_PCPL-02]], F$5, FALSE)</f>
        <v>#N/A</v>
      </c>
      <c r="H2789" s="20">
        <f t="shared" si="222"/>
        <v>0</v>
      </c>
      <c r="I2789" s="21">
        <f t="shared" si="223"/>
        <v>0</v>
      </c>
      <c r="J2789" s="22" t="e">
        <f>VLOOKUP($A2789, TAB_JUROS_C[[DIAS_CORRIDOS]:[V_FUT_UTEIS]], J$5, FALSE)</f>
        <v>#N/A</v>
      </c>
      <c r="K2789" s="22" t="e">
        <f>VLOOKUP($A2789, TAB_CORRECAO_C[[DIAS_CORRIDOS]:[V_FUT_UTEIS]],K$5, FALSE)</f>
        <v>#N/A</v>
      </c>
      <c r="L2789" s="22" t="e">
        <f>VLOOKUP($A2789, TAB_AMORTIZACAO_C[[DIAS_CORRIDOS]:[V_FUT_UTEIS]], L$5, FALSE)</f>
        <v>#N/A</v>
      </c>
    </row>
    <row r="2790" spans="1:12" hidden="1">
      <c r="A2790" s="19">
        <f t="shared" si="224"/>
        <v>2784</v>
      </c>
      <c r="B2790" s="20">
        <f t="shared" si="220"/>
        <v>0</v>
      </c>
      <c r="C2790" s="21">
        <f t="shared" si="221"/>
        <v>0</v>
      </c>
      <c r="D2790" s="22" t="e">
        <f>VLOOKUP($A2790, TAB_JUROS_U[[Q_DIAS_U_PARC_TIR]:[V_FUT_U_JURS CENARIO]], D$5, FALSE)</f>
        <v>#N/A</v>
      </c>
      <c r="E2790" s="22" t="e">
        <f>VLOOKUP($A2790,TAB_CORRECAO_U[[Q_DIAS_U_PARC_TIR]:[V_FUT_U_CORC-02]],E$5, FALSE)</f>
        <v>#N/A</v>
      </c>
      <c r="F2790" s="22" t="e">
        <f>VLOOKUP($A2790,TAB_AMORTIZACAO_U[[Q_DIAS_U_PARC_TIR]:[V_FUT_U_PCPL-02]], F$5, FALSE)</f>
        <v>#N/A</v>
      </c>
      <c r="H2790" s="20">
        <f t="shared" si="222"/>
        <v>0</v>
      </c>
      <c r="I2790" s="21">
        <f t="shared" si="223"/>
        <v>0</v>
      </c>
      <c r="J2790" s="22" t="e">
        <f>VLOOKUP($A2790, TAB_JUROS_C[[DIAS_CORRIDOS]:[V_FUT_UTEIS]], J$5, FALSE)</f>
        <v>#N/A</v>
      </c>
      <c r="K2790" s="22" t="e">
        <f>VLOOKUP($A2790, TAB_CORRECAO_C[[DIAS_CORRIDOS]:[V_FUT_UTEIS]],K$5, FALSE)</f>
        <v>#N/A</v>
      </c>
      <c r="L2790" s="22" t="e">
        <f>VLOOKUP($A2790, TAB_AMORTIZACAO_C[[DIAS_CORRIDOS]:[V_FUT_UTEIS]], L$5, FALSE)</f>
        <v>#N/A</v>
      </c>
    </row>
    <row r="2791" spans="1:12" hidden="1">
      <c r="A2791" s="19">
        <f t="shared" si="224"/>
        <v>2785</v>
      </c>
      <c r="B2791" s="20">
        <f t="shared" si="220"/>
        <v>0</v>
      </c>
      <c r="C2791" s="21">
        <f t="shared" si="221"/>
        <v>0</v>
      </c>
      <c r="D2791" s="22" t="e">
        <f>VLOOKUP($A2791, TAB_JUROS_U[[Q_DIAS_U_PARC_TIR]:[V_FUT_U_JURS CENARIO]], D$5, FALSE)</f>
        <v>#N/A</v>
      </c>
      <c r="E2791" s="22" t="e">
        <f>VLOOKUP($A2791,TAB_CORRECAO_U[[Q_DIAS_U_PARC_TIR]:[V_FUT_U_CORC-02]],E$5, FALSE)</f>
        <v>#N/A</v>
      </c>
      <c r="F2791" s="22" t="e">
        <f>VLOOKUP($A2791,TAB_AMORTIZACAO_U[[Q_DIAS_U_PARC_TIR]:[V_FUT_U_PCPL-02]], F$5, FALSE)</f>
        <v>#N/A</v>
      </c>
      <c r="H2791" s="20">
        <f t="shared" si="222"/>
        <v>0</v>
      </c>
      <c r="I2791" s="21">
        <f t="shared" si="223"/>
        <v>0</v>
      </c>
      <c r="J2791" s="22" t="e">
        <f>VLOOKUP($A2791, TAB_JUROS_C[[DIAS_CORRIDOS]:[V_FUT_UTEIS]], J$5, FALSE)</f>
        <v>#N/A</v>
      </c>
      <c r="K2791" s="22" t="e">
        <f>VLOOKUP($A2791, TAB_CORRECAO_C[[DIAS_CORRIDOS]:[V_FUT_UTEIS]],K$5, FALSE)</f>
        <v>#N/A</v>
      </c>
      <c r="L2791" s="22" t="e">
        <f>VLOOKUP($A2791, TAB_AMORTIZACAO_C[[DIAS_CORRIDOS]:[V_FUT_UTEIS]], L$5, FALSE)</f>
        <v>#N/A</v>
      </c>
    </row>
    <row r="2792" spans="1:12" hidden="1">
      <c r="A2792" s="19">
        <f t="shared" si="224"/>
        <v>2786</v>
      </c>
      <c r="B2792" s="20">
        <f t="shared" si="220"/>
        <v>0</v>
      </c>
      <c r="C2792" s="21">
        <f t="shared" si="221"/>
        <v>0</v>
      </c>
      <c r="D2792" s="22" t="e">
        <f>VLOOKUP($A2792, TAB_JUROS_U[[Q_DIAS_U_PARC_TIR]:[V_FUT_U_JURS CENARIO]], D$5, FALSE)</f>
        <v>#N/A</v>
      </c>
      <c r="E2792" s="22" t="e">
        <f>VLOOKUP($A2792,TAB_CORRECAO_U[[Q_DIAS_U_PARC_TIR]:[V_FUT_U_CORC-02]],E$5, FALSE)</f>
        <v>#N/A</v>
      </c>
      <c r="F2792" s="22" t="e">
        <f>VLOOKUP($A2792,TAB_AMORTIZACAO_U[[Q_DIAS_U_PARC_TIR]:[V_FUT_U_PCPL-02]], F$5, FALSE)</f>
        <v>#N/A</v>
      </c>
      <c r="H2792" s="20">
        <f t="shared" si="222"/>
        <v>0</v>
      </c>
      <c r="I2792" s="21">
        <f t="shared" si="223"/>
        <v>0</v>
      </c>
      <c r="J2792" s="22" t="e">
        <f>VLOOKUP($A2792, TAB_JUROS_C[[DIAS_CORRIDOS]:[V_FUT_UTEIS]], J$5, FALSE)</f>
        <v>#N/A</v>
      </c>
      <c r="K2792" s="22" t="e">
        <f>VLOOKUP($A2792, TAB_CORRECAO_C[[DIAS_CORRIDOS]:[V_FUT_UTEIS]],K$5, FALSE)</f>
        <v>#N/A</v>
      </c>
      <c r="L2792" s="22" t="e">
        <f>VLOOKUP($A2792, TAB_AMORTIZACAO_C[[DIAS_CORRIDOS]:[V_FUT_UTEIS]], L$5, FALSE)</f>
        <v>#N/A</v>
      </c>
    </row>
    <row r="2793" spans="1:12" hidden="1">
      <c r="A2793" s="19">
        <f t="shared" si="224"/>
        <v>2787</v>
      </c>
      <c r="B2793" s="20">
        <f t="shared" si="220"/>
        <v>0</v>
      </c>
      <c r="C2793" s="21">
        <f t="shared" si="221"/>
        <v>0</v>
      </c>
      <c r="D2793" s="22" t="e">
        <f>VLOOKUP($A2793, TAB_JUROS_U[[Q_DIAS_U_PARC_TIR]:[V_FUT_U_JURS CENARIO]], D$5, FALSE)</f>
        <v>#N/A</v>
      </c>
      <c r="E2793" s="22" t="e">
        <f>VLOOKUP($A2793,TAB_CORRECAO_U[[Q_DIAS_U_PARC_TIR]:[V_FUT_U_CORC-02]],E$5, FALSE)</f>
        <v>#N/A</v>
      </c>
      <c r="F2793" s="22" t="e">
        <f>VLOOKUP($A2793,TAB_AMORTIZACAO_U[[Q_DIAS_U_PARC_TIR]:[V_FUT_U_PCPL-02]], F$5, FALSE)</f>
        <v>#N/A</v>
      </c>
      <c r="H2793" s="20">
        <f t="shared" si="222"/>
        <v>0</v>
      </c>
      <c r="I2793" s="21">
        <f t="shared" si="223"/>
        <v>0</v>
      </c>
      <c r="J2793" s="22" t="e">
        <f>VLOOKUP($A2793, TAB_JUROS_C[[DIAS_CORRIDOS]:[V_FUT_UTEIS]], J$5, FALSE)</f>
        <v>#N/A</v>
      </c>
      <c r="K2793" s="22" t="e">
        <f>VLOOKUP($A2793, TAB_CORRECAO_C[[DIAS_CORRIDOS]:[V_FUT_UTEIS]],K$5, FALSE)</f>
        <v>#N/A</v>
      </c>
      <c r="L2793" s="22" t="e">
        <f>VLOOKUP($A2793, TAB_AMORTIZACAO_C[[DIAS_CORRIDOS]:[V_FUT_UTEIS]], L$5, FALSE)</f>
        <v>#N/A</v>
      </c>
    </row>
    <row r="2794" spans="1:12" hidden="1">
      <c r="A2794" s="19">
        <f t="shared" si="224"/>
        <v>2788</v>
      </c>
      <c r="B2794" s="20">
        <f t="shared" si="220"/>
        <v>0</v>
      </c>
      <c r="C2794" s="21">
        <f t="shared" si="221"/>
        <v>0</v>
      </c>
      <c r="D2794" s="22" t="e">
        <f>VLOOKUP($A2794, TAB_JUROS_U[[Q_DIAS_U_PARC_TIR]:[V_FUT_U_JURS CENARIO]], D$5, FALSE)</f>
        <v>#N/A</v>
      </c>
      <c r="E2794" s="22" t="e">
        <f>VLOOKUP($A2794,TAB_CORRECAO_U[[Q_DIAS_U_PARC_TIR]:[V_FUT_U_CORC-02]],E$5, FALSE)</f>
        <v>#N/A</v>
      </c>
      <c r="F2794" s="22" t="e">
        <f>VLOOKUP($A2794,TAB_AMORTIZACAO_U[[Q_DIAS_U_PARC_TIR]:[V_FUT_U_PCPL-02]], F$5, FALSE)</f>
        <v>#N/A</v>
      </c>
      <c r="H2794" s="20">
        <f t="shared" si="222"/>
        <v>0</v>
      </c>
      <c r="I2794" s="21">
        <f t="shared" si="223"/>
        <v>0</v>
      </c>
      <c r="J2794" s="22" t="e">
        <f>VLOOKUP($A2794, TAB_JUROS_C[[DIAS_CORRIDOS]:[V_FUT_UTEIS]], J$5, FALSE)</f>
        <v>#N/A</v>
      </c>
      <c r="K2794" s="22" t="e">
        <f>VLOOKUP($A2794, TAB_CORRECAO_C[[DIAS_CORRIDOS]:[V_FUT_UTEIS]],K$5, FALSE)</f>
        <v>#N/A</v>
      </c>
      <c r="L2794" s="22" t="e">
        <f>VLOOKUP($A2794, TAB_AMORTIZACAO_C[[DIAS_CORRIDOS]:[V_FUT_UTEIS]], L$5, FALSE)</f>
        <v>#N/A</v>
      </c>
    </row>
    <row r="2795" spans="1:12" hidden="1">
      <c r="A2795" s="19">
        <f t="shared" si="224"/>
        <v>2789</v>
      </c>
      <c r="B2795" s="20">
        <f t="shared" si="220"/>
        <v>0</v>
      </c>
      <c r="C2795" s="21">
        <f t="shared" si="221"/>
        <v>0</v>
      </c>
      <c r="D2795" s="22" t="e">
        <f>VLOOKUP($A2795, TAB_JUROS_U[[Q_DIAS_U_PARC_TIR]:[V_FUT_U_JURS CENARIO]], D$5, FALSE)</f>
        <v>#N/A</v>
      </c>
      <c r="E2795" s="22" t="e">
        <f>VLOOKUP($A2795,TAB_CORRECAO_U[[Q_DIAS_U_PARC_TIR]:[V_FUT_U_CORC-02]],E$5, FALSE)</f>
        <v>#N/A</v>
      </c>
      <c r="F2795" s="22" t="e">
        <f>VLOOKUP($A2795,TAB_AMORTIZACAO_U[[Q_DIAS_U_PARC_TIR]:[V_FUT_U_PCPL-02]], F$5, FALSE)</f>
        <v>#N/A</v>
      </c>
      <c r="H2795" s="20">
        <f t="shared" si="222"/>
        <v>0</v>
      </c>
      <c r="I2795" s="21">
        <f t="shared" si="223"/>
        <v>0</v>
      </c>
      <c r="J2795" s="22" t="e">
        <f>VLOOKUP($A2795, TAB_JUROS_C[[DIAS_CORRIDOS]:[V_FUT_UTEIS]], J$5, FALSE)</f>
        <v>#N/A</v>
      </c>
      <c r="K2795" s="22" t="e">
        <f>VLOOKUP($A2795, TAB_CORRECAO_C[[DIAS_CORRIDOS]:[V_FUT_UTEIS]],K$5, FALSE)</f>
        <v>#N/A</v>
      </c>
      <c r="L2795" s="22" t="e">
        <f>VLOOKUP($A2795, TAB_AMORTIZACAO_C[[DIAS_CORRIDOS]:[V_FUT_UTEIS]], L$5, FALSE)</f>
        <v>#N/A</v>
      </c>
    </row>
    <row r="2796" spans="1:12" hidden="1">
      <c r="A2796" s="19">
        <f t="shared" si="224"/>
        <v>2790</v>
      </c>
      <c r="B2796" s="20">
        <f t="shared" si="220"/>
        <v>0</v>
      </c>
      <c r="C2796" s="21">
        <f t="shared" si="221"/>
        <v>0</v>
      </c>
      <c r="D2796" s="22" t="e">
        <f>VLOOKUP($A2796, TAB_JUROS_U[[Q_DIAS_U_PARC_TIR]:[V_FUT_U_JURS CENARIO]], D$5, FALSE)</f>
        <v>#N/A</v>
      </c>
      <c r="E2796" s="22" t="e">
        <f>VLOOKUP($A2796,TAB_CORRECAO_U[[Q_DIAS_U_PARC_TIR]:[V_FUT_U_CORC-02]],E$5, FALSE)</f>
        <v>#N/A</v>
      </c>
      <c r="F2796" s="22" t="e">
        <f>VLOOKUP($A2796,TAB_AMORTIZACAO_U[[Q_DIAS_U_PARC_TIR]:[V_FUT_U_PCPL-02]], F$5, FALSE)</f>
        <v>#N/A</v>
      </c>
      <c r="H2796" s="20">
        <f t="shared" si="222"/>
        <v>0</v>
      </c>
      <c r="I2796" s="21">
        <f t="shared" si="223"/>
        <v>0</v>
      </c>
      <c r="J2796" s="22" t="e">
        <f>VLOOKUP($A2796, TAB_JUROS_C[[DIAS_CORRIDOS]:[V_FUT_UTEIS]], J$5, FALSE)</f>
        <v>#N/A</v>
      </c>
      <c r="K2796" s="22" t="e">
        <f>VLOOKUP($A2796, TAB_CORRECAO_C[[DIAS_CORRIDOS]:[V_FUT_UTEIS]],K$5, FALSE)</f>
        <v>#N/A</v>
      </c>
      <c r="L2796" s="22" t="e">
        <f>VLOOKUP($A2796, TAB_AMORTIZACAO_C[[DIAS_CORRIDOS]:[V_FUT_UTEIS]], L$5, FALSE)</f>
        <v>#N/A</v>
      </c>
    </row>
    <row r="2797" spans="1:12" hidden="1">
      <c r="A2797" s="19">
        <f t="shared" si="224"/>
        <v>2791</v>
      </c>
      <c r="B2797" s="20">
        <f t="shared" si="220"/>
        <v>0</v>
      </c>
      <c r="C2797" s="21">
        <f t="shared" si="221"/>
        <v>0</v>
      </c>
      <c r="D2797" s="22" t="e">
        <f>VLOOKUP($A2797, TAB_JUROS_U[[Q_DIAS_U_PARC_TIR]:[V_FUT_U_JURS CENARIO]], D$5, FALSE)</f>
        <v>#N/A</v>
      </c>
      <c r="E2797" s="22" t="e">
        <f>VLOOKUP($A2797,TAB_CORRECAO_U[[Q_DIAS_U_PARC_TIR]:[V_FUT_U_CORC-02]],E$5, FALSE)</f>
        <v>#N/A</v>
      </c>
      <c r="F2797" s="22" t="e">
        <f>VLOOKUP($A2797,TAB_AMORTIZACAO_U[[Q_DIAS_U_PARC_TIR]:[V_FUT_U_PCPL-02]], F$5, FALSE)</f>
        <v>#N/A</v>
      </c>
      <c r="H2797" s="20">
        <f t="shared" si="222"/>
        <v>0</v>
      </c>
      <c r="I2797" s="21">
        <f t="shared" si="223"/>
        <v>0</v>
      </c>
      <c r="J2797" s="22" t="e">
        <f>VLOOKUP($A2797, TAB_JUROS_C[[DIAS_CORRIDOS]:[V_FUT_UTEIS]], J$5, FALSE)</f>
        <v>#N/A</v>
      </c>
      <c r="K2797" s="22" t="e">
        <f>VLOOKUP($A2797, TAB_CORRECAO_C[[DIAS_CORRIDOS]:[V_FUT_UTEIS]],K$5, FALSE)</f>
        <v>#N/A</v>
      </c>
      <c r="L2797" s="22" t="e">
        <f>VLOOKUP($A2797, TAB_AMORTIZACAO_C[[DIAS_CORRIDOS]:[V_FUT_UTEIS]], L$5, FALSE)</f>
        <v>#N/A</v>
      </c>
    </row>
    <row r="2798" spans="1:12" hidden="1">
      <c r="A2798" s="19">
        <f t="shared" si="224"/>
        <v>2792</v>
      </c>
      <c r="B2798" s="20">
        <f t="shared" si="220"/>
        <v>0</v>
      </c>
      <c r="C2798" s="21">
        <f t="shared" si="221"/>
        <v>0</v>
      </c>
      <c r="D2798" s="22" t="e">
        <f>VLOOKUP($A2798, TAB_JUROS_U[[Q_DIAS_U_PARC_TIR]:[V_FUT_U_JURS CENARIO]], D$5, FALSE)</f>
        <v>#N/A</v>
      </c>
      <c r="E2798" s="22" t="e">
        <f>VLOOKUP($A2798,TAB_CORRECAO_U[[Q_DIAS_U_PARC_TIR]:[V_FUT_U_CORC-02]],E$5, FALSE)</f>
        <v>#N/A</v>
      </c>
      <c r="F2798" s="22" t="e">
        <f>VLOOKUP($A2798,TAB_AMORTIZACAO_U[[Q_DIAS_U_PARC_TIR]:[V_FUT_U_PCPL-02]], F$5, FALSE)</f>
        <v>#N/A</v>
      </c>
      <c r="H2798" s="20">
        <f t="shared" si="222"/>
        <v>0</v>
      </c>
      <c r="I2798" s="21">
        <f t="shared" si="223"/>
        <v>0</v>
      </c>
      <c r="J2798" s="22" t="e">
        <f>VLOOKUP($A2798, TAB_JUROS_C[[DIAS_CORRIDOS]:[V_FUT_UTEIS]], J$5, FALSE)</f>
        <v>#N/A</v>
      </c>
      <c r="K2798" s="22" t="e">
        <f>VLOOKUP($A2798, TAB_CORRECAO_C[[DIAS_CORRIDOS]:[V_FUT_UTEIS]],K$5, FALSE)</f>
        <v>#N/A</v>
      </c>
      <c r="L2798" s="22" t="e">
        <f>VLOOKUP($A2798, TAB_AMORTIZACAO_C[[DIAS_CORRIDOS]:[V_FUT_UTEIS]], L$5, FALSE)</f>
        <v>#N/A</v>
      </c>
    </row>
    <row r="2799" spans="1:12" hidden="1">
      <c r="A2799" s="19">
        <f t="shared" si="224"/>
        <v>2793</v>
      </c>
      <c r="B2799" s="20">
        <f t="shared" si="220"/>
        <v>0</v>
      </c>
      <c r="C2799" s="21">
        <f t="shared" si="221"/>
        <v>0</v>
      </c>
      <c r="D2799" s="22" t="e">
        <f>VLOOKUP($A2799, TAB_JUROS_U[[Q_DIAS_U_PARC_TIR]:[V_FUT_U_JURS CENARIO]], D$5, FALSE)</f>
        <v>#N/A</v>
      </c>
      <c r="E2799" s="22" t="e">
        <f>VLOOKUP($A2799,TAB_CORRECAO_U[[Q_DIAS_U_PARC_TIR]:[V_FUT_U_CORC-02]],E$5, FALSE)</f>
        <v>#N/A</v>
      </c>
      <c r="F2799" s="22" t="e">
        <f>VLOOKUP($A2799,TAB_AMORTIZACAO_U[[Q_DIAS_U_PARC_TIR]:[V_FUT_U_PCPL-02]], F$5, FALSE)</f>
        <v>#N/A</v>
      </c>
      <c r="H2799" s="20">
        <f t="shared" si="222"/>
        <v>0</v>
      </c>
      <c r="I2799" s="21">
        <f t="shared" si="223"/>
        <v>0</v>
      </c>
      <c r="J2799" s="22" t="e">
        <f>VLOOKUP($A2799, TAB_JUROS_C[[DIAS_CORRIDOS]:[V_FUT_UTEIS]], J$5, FALSE)</f>
        <v>#N/A</v>
      </c>
      <c r="K2799" s="22" t="e">
        <f>VLOOKUP($A2799, TAB_CORRECAO_C[[DIAS_CORRIDOS]:[V_FUT_UTEIS]],K$5, FALSE)</f>
        <v>#N/A</v>
      </c>
      <c r="L2799" s="22" t="e">
        <f>VLOOKUP($A2799, TAB_AMORTIZACAO_C[[DIAS_CORRIDOS]:[V_FUT_UTEIS]], L$5, FALSE)</f>
        <v>#N/A</v>
      </c>
    </row>
    <row r="2800" spans="1:12" hidden="1">
      <c r="A2800" s="19">
        <f t="shared" si="224"/>
        <v>2794</v>
      </c>
      <c r="B2800" s="20">
        <f t="shared" si="220"/>
        <v>0</v>
      </c>
      <c r="C2800" s="21">
        <f t="shared" si="221"/>
        <v>0</v>
      </c>
      <c r="D2800" s="22" t="e">
        <f>VLOOKUP($A2800, TAB_JUROS_U[[Q_DIAS_U_PARC_TIR]:[V_FUT_U_JURS CENARIO]], D$5, FALSE)</f>
        <v>#N/A</v>
      </c>
      <c r="E2800" s="22" t="e">
        <f>VLOOKUP($A2800,TAB_CORRECAO_U[[Q_DIAS_U_PARC_TIR]:[V_FUT_U_CORC-02]],E$5, FALSE)</f>
        <v>#N/A</v>
      </c>
      <c r="F2800" s="22" t="e">
        <f>VLOOKUP($A2800,TAB_AMORTIZACAO_U[[Q_DIAS_U_PARC_TIR]:[V_FUT_U_PCPL-02]], F$5, FALSE)</f>
        <v>#N/A</v>
      </c>
      <c r="H2800" s="20">
        <f t="shared" si="222"/>
        <v>0</v>
      </c>
      <c r="I2800" s="21">
        <f t="shared" si="223"/>
        <v>0</v>
      </c>
      <c r="J2800" s="22" t="e">
        <f>VLOOKUP($A2800, TAB_JUROS_C[[DIAS_CORRIDOS]:[V_FUT_UTEIS]], J$5, FALSE)</f>
        <v>#N/A</v>
      </c>
      <c r="K2800" s="22" t="e">
        <f>VLOOKUP($A2800, TAB_CORRECAO_C[[DIAS_CORRIDOS]:[V_FUT_UTEIS]],K$5, FALSE)</f>
        <v>#N/A</v>
      </c>
      <c r="L2800" s="22" t="e">
        <f>VLOOKUP($A2800, TAB_AMORTIZACAO_C[[DIAS_CORRIDOS]:[V_FUT_UTEIS]], L$5, FALSE)</f>
        <v>#N/A</v>
      </c>
    </row>
    <row r="2801" spans="1:12">
      <c r="A2801" s="19">
        <f t="shared" si="224"/>
        <v>2795</v>
      </c>
      <c r="B2801" s="20">
        <f t="shared" si="220"/>
        <v>116.03947963681513</v>
      </c>
      <c r="C2801" s="21">
        <f t="shared" si="221"/>
        <v>116.03947963681513</v>
      </c>
      <c r="D2801" s="22">
        <f>VLOOKUP($A2801, TAB_JUROS_U[[Q_DIAS_U_PARC_TIR]:[V_FUT_U_JURS CENARIO]], D$5, FALSE)</f>
        <v>2.0968228059862439</v>
      </c>
      <c r="E2801" s="22">
        <f>VLOOKUP($A2801,TAB_CORRECAO_U[[Q_DIAS_U_PARC_TIR]:[V_FUT_U_CORC-02]],E$5, FALSE)</f>
        <v>12.827324656368823</v>
      </c>
      <c r="F2801" s="22">
        <f>VLOOKUP($A2801,TAB_AMORTIZACAO_U[[Q_DIAS_U_PARC_TIR]:[V_FUT_U_PCPL-02]], F$5, FALSE)</f>
        <v>101.11533217446006</v>
      </c>
      <c r="H2801" s="20">
        <f t="shared" si="222"/>
        <v>0</v>
      </c>
      <c r="I2801" s="21">
        <f t="shared" si="223"/>
        <v>0</v>
      </c>
      <c r="J2801" s="22" t="e">
        <f>VLOOKUP($A2801, TAB_JUROS_C[[DIAS_CORRIDOS]:[V_FUT_UTEIS]], J$5, FALSE)</f>
        <v>#N/A</v>
      </c>
      <c r="K2801" s="22" t="e">
        <f>VLOOKUP($A2801, TAB_CORRECAO_C[[DIAS_CORRIDOS]:[V_FUT_UTEIS]],K$5, FALSE)</f>
        <v>#N/A</v>
      </c>
      <c r="L2801" s="22" t="e">
        <f>VLOOKUP($A2801, TAB_AMORTIZACAO_C[[DIAS_CORRIDOS]:[V_FUT_UTEIS]], L$5, FALSE)</f>
        <v>#N/A</v>
      </c>
    </row>
    <row r="2802" spans="1:12" hidden="1">
      <c r="A2802" s="19">
        <f t="shared" si="224"/>
        <v>2796</v>
      </c>
      <c r="B2802" s="20">
        <f t="shared" si="220"/>
        <v>0</v>
      </c>
      <c r="C2802" s="21">
        <f t="shared" si="221"/>
        <v>0</v>
      </c>
      <c r="D2802" s="22" t="e">
        <f>VLOOKUP($A2802, TAB_JUROS_U[[Q_DIAS_U_PARC_TIR]:[V_FUT_U_JURS CENARIO]], D$5, FALSE)</f>
        <v>#N/A</v>
      </c>
      <c r="E2802" s="22" t="e">
        <f>VLOOKUP($A2802,TAB_CORRECAO_U[[Q_DIAS_U_PARC_TIR]:[V_FUT_U_CORC-02]],E$5, FALSE)</f>
        <v>#N/A</v>
      </c>
      <c r="F2802" s="22" t="e">
        <f>VLOOKUP($A2802,TAB_AMORTIZACAO_U[[Q_DIAS_U_PARC_TIR]:[V_FUT_U_PCPL-02]], F$5, FALSE)</f>
        <v>#N/A</v>
      </c>
      <c r="H2802" s="20">
        <f t="shared" si="222"/>
        <v>0</v>
      </c>
      <c r="I2802" s="21">
        <f t="shared" si="223"/>
        <v>0</v>
      </c>
      <c r="J2802" s="22" t="e">
        <f>VLOOKUP($A2802, TAB_JUROS_C[[DIAS_CORRIDOS]:[V_FUT_UTEIS]], J$5, FALSE)</f>
        <v>#N/A</v>
      </c>
      <c r="K2802" s="22" t="e">
        <f>VLOOKUP($A2802, TAB_CORRECAO_C[[DIAS_CORRIDOS]:[V_FUT_UTEIS]],K$5, FALSE)</f>
        <v>#N/A</v>
      </c>
      <c r="L2802" s="22" t="e">
        <f>VLOOKUP($A2802, TAB_AMORTIZACAO_C[[DIAS_CORRIDOS]:[V_FUT_UTEIS]], L$5, FALSE)</f>
        <v>#N/A</v>
      </c>
    </row>
    <row r="2803" spans="1:12" hidden="1">
      <c r="A2803" s="19">
        <f t="shared" si="224"/>
        <v>2797</v>
      </c>
      <c r="B2803" s="20">
        <f t="shared" si="220"/>
        <v>0</v>
      </c>
      <c r="C2803" s="21">
        <f t="shared" si="221"/>
        <v>0</v>
      </c>
      <c r="D2803" s="22" t="e">
        <f>VLOOKUP($A2803, TAB_JUROS_U[[Q_DIAS_U_PARC_TIR]:[V_FUT_U_JURS CENARIO]], D$5, FALSE)</f>
        <v>#N/A</v>
      </c>
      <c r="E2803" s="22" t="e">
        <f>VLOOKUP($A2803,TAB_CORRECAO_U[[Q_DIAS_U_PARC_TIR]:[V_FUT_U_CORC-02]],E$5, FALSE)</f>
        <v>#N/A</v>
      </c>
      <c r="F2803" s="22" t="e">
        <f>VLOOKUP($A2803,TAB_AMORTIZACAO_U[[Q_DIAS_U_PARC_TIR]:[V_FUT_U_PCPL-02]], F$5, FALSE)</f>
        <v>#N/A</v>
      </c>
      <c r="H2803" s="20">
        <f t="shared" si="222"/>
        <v>0</v>
      </c>
      <c r="I2803" s="21">
        <f t="shared" si="223"/>
        <v>0</v>
      </c>
      <c r="J2803" s="22" t="e">
        <f>VLOOKUP($A2803, TAB_JUROS_C[[DIAS_CORRIDOS]:[V_FUT_UTEIS]], J$5, FALSE)</f>
        <v>#N/A</v>
      </c>
      <c r="K2803" s="22" t="e">
        <f>VLOOKUP($A2803, TAB_CORRECAO_C[[DIAS_CORRIDOS]:[V_FUT_UTEIS]],K$5, FALSE)</f>
        <v>#N/A</v>
      </c>
      <c r="L2803" s="22" t="e">
        <f>VLOOKUP($A2803, TAB_AMORTIZACAO_C[[DIAS_CORRIDOS]:[V_FUT_UTEIS]], L$5, FALSE)</f>
        <v>#N/A</v>
      </c>
    </row>
    <row r="2804" spans="1:12" hidden="1">
      <c r="A2804" s="19">
        <f t="shared" si="224"/>
        <v>2798</v>
      </c>
      <c r="B2804" s="20">
        <f t="shared" si="220"/>
        <v>0</v>
      </c>
      <c r="C2804" s="21">
        <f t="shared" si="221"/>
        <v>0</v>
      </c>
      <c r="D2804" s="22" t="e">
        <f>VLOOKUP($A2804, TAB_JUROS_U[[Q_DIAS_U_PARC_TIR]:[V_FUT_U_JURS CENARIO]], D$5, FALSE)</f>
        <v>#N/A</v>
      </c>
      <c r="E2804" s="22" t="e">
        <f>VLOOKUP($A2804,TAB_CORRECAO_U[[Q_DIAS_U_PARC_TIR]:[V_FUT_U_CORC-02]],E$5, FALSE)</f>
        <v>#N/A</v>
      </c>
      <c r="F2804" s="22" t="e">
        <f>VLOOKUP($A2804,TAB_AMORTIZACAO_U[[Q_DIAS_U_PARC_TIR]:[V_FUT_U_PCPL-02]], F$5, FALSE)</f>
        <v>#N/A</v>
      </c>
      <c r="H2804" s="20">
        <f t="shared" si="222"/>
        <v>0</v>
      </c>
      <c r="I2804" s="21">
        <f t="shared" si="223"/>
        <v>0</v>
      </c>
      <c r="J2804" s="22" t="e">
        <f>VLOOKUP($A2804, TAB_JUROS_C[[DIAS_CORRIDOS]:[V_FUT_UTEIS]], J$5, FALSE)</f>
        <v>#N/A</v>
      </c>
      <c r="K2804" s="22" t="e">
        <f>VLOOKUP($A2804, TAB_CORRECAO_C[[DIAS_CORRIDOS]:[V_FUT_UTEIS]],K$5, FALSE)</f>
        <v>#N/A</v>
      </c>
      <c r="L2804" s="22" t="e">
        <f>VLOOKUP($A2804, TAB_AMORTIZACAO_C[[DIAS_CORRIDOS]:[V_FUT_UTEIS]], L$5, FALSE)</f>
        <v>#N/A</v>
      </c>
    </row>
    <row r="2805" spans="1:12" hidden="1">
      <c r="A2805" s="19">
        <f t="shared" si="224"/>
        <v>2799</v>
      </c>
      <c r="B2805" s="20">
        <f t="shared" si="220"/>
        <v>0</v>
      </c>
      <c r="C2805" s="21">
        <f t="shared" si="221"/>
        <v>0</v>
      </c>
      <c r="D2805" s="22" t="e">
        <f>VLOOKUP($A2805, TAB_JUROS_U[[Q_DIAS_U_PARC_TIR]:[V_FUT_U_JURS CENARIO]], D$5, FALSE)</f>
        <v>#N/A</v>
      </c>
      <c r="E2805" s="22" t="e">
        <f>VLOOKUP($A2805,TAB_CORRECAO_U[[Q_DIAS_U_PARC_TIR]:[V_FUT_U_CORC-02]],E$5, FALSE)</f>
        <v>#N/A</v>
      </c>
      <c r="F2805" s="22" t="e">
        <f>VLOOKUP($A2805,TAB_AMORTIZACAO_U[[Q_DIAS_U_PARC_TIR]:[V_FUT_U_PCPL-02]], F$5, FALSE)</f>
        <v>#N/A</v>
      </c>
      <c r="H2805" s="20">
        <f t="shared" si="222"/>
        <v>0</v>
      </c>
      <c r="I2805" s="21">
        <f t="shared" si="223"/>
        <v>0</v>
      </c>
      <c r="J2805" s="22" t="e">
        <f>VLOOKUP($A2805, TAB_JUROS_C[[DIAS_CORRIDOS]:[V_FUT_UTEIS]], J$5, FALSE)</f>
        <v>#N/A</v>
      </c>
      <c r="K2805" s="22" t="e">
        <f>VLOOKUP($A2805, TAB_CORRECAO_C[[DIAS_CORRIDOS]:[V_FUT_UTEIS]],K$5, FALSE)</f>
        <v>#N/A</v>
      </c>
      <c r="L2805" s="22" t="e">
        <f>VLOOKUP($A2805, TAB_AMORTIZACAO_C[[DIAS_CORRIDOS]:[V_FUT_UTEIS]], L$5, FALSE)</f>
        <v>#N/A</v>
      </c>
    </row>
    <row r="2806" spans="1:12" hidden="1">
      <c r="A2806" s="19">
        <f t="shared" si="224"/>
        <v>2800</v>
      </c>
      <c r="B2806" s="20">
        <f t="shared" si="220"/>
        <v>0</v>
      </c>
      <c r="C2806" s="21">
        <f t="shared" si="221"/>
        <v>0</v>
      </c>
      <c r="D2806" s="22" t="e">
        <f>VLOOKUP($A2806, TAB_JUROS_U[[Q_DIAS_U_PARC_TIR]:[V_FUT_U_JURS CENARIO]], D$5, FALSE)</f>
        <v>#N/A</v>
      </c>
      <c r="E2806" s="22" t="e">
        <f>VLOOKUP($A2806,TAB_CORRECAO_U[[Q_DIAS_U_PARC_TIR]:[V_FUT_U_CORC-02]],E$5, FALSE)</f>
        <v>#N/A</v>
      </c>
      <c r="F2806" s="22" t="e">
        <f>VLOOKUP($A2806,TAB_AMORTIZACAO_U[[Q_DIAS_U_PARC_TIR]:[V_FUT_U_PCPL-02]], F$5, FALSE)</f>
        <v>#N/A</v>
      </c>
      <c r="H2806" s="20">
        <f t="shared" si="222"/>
        <v>0</v>
      </c>
      <c r="I2806" s="21">
        <f t="shared" si="223"/>
        <v>0</v>
      </c>
      <c r="J2806" s="22" t="e">
        <f>VLOOKUP($A2806, TAB_JUROS_C[[DIAS_CORRIDOS]:[V_FUT_UTEIS]], J$5, FALSE)</f>
        <v>#N/A</v>
      </c>
      <c r="K2806" s="22" t="e">
        <f>VLOOKUP($A2806, TAB_CORRECAO_C[[DIAS_CORRIDOS]:[V_FUT_UTEIS]],K$5, FALSE)</f>
        <v>#N/A</v>
      </c>
      <c r="L2806" s="22" t="e">
        <f>VLOOKUP($A2806, TAB_AMORTIZACAO_C[[DIAS_CORRIDOS]:[V_FUT_UTEIS]], L$5, FALSE)</f>
        <v>#N/A</v>
      </c>
    </row>
    <row r="2807" spans="1:12" hidden="1">
      <c r="A2807" s="19">
        <f t="shared" si="224"/>
        <v>2801</v>
      </c>
      <c r="B2807" s="20">
        <f t="shared" si="220"/>
        <v>0</v>
      </c>
      <c r="C2807" s="21">
        <f t="shared" si="221"/>
        <v>0</v>
      </c>
      <c r="D2807" s="22" t="e">
        <f>VLOOKUP($A2807, TAB_JUROS_U[[Q_DIAS_U_PARC_TIR]:[V_FUT_U_JURS CENARIO]], D$5, FALSE)</f>
        <v>#N/A</v>
      </c>
      <c r="E2807" s="22" t="e">
        <f>VLOOKUP($A2807,TAB_CORRECAO_U[[Q_DIAS_U_PARC_TIR]:[V_FUT_U_CORC-02]],E$5, FALSE)</f>
        <v>#N/A</v>
      </c>
      <c r="F2807" s="22" t="e">
        <f>VLOOKUP($A2807,TAB_AMORTIZACAO_U[[Q_DIAS_U_PARC_TIR]:[V_FUT_U_PCPL-02]], F$5, FALSE)</f>
        <v>#N/A</v>
      </c>
      <c r="H2807" s="20">
        <f t="shared" si="222"/>
        <v>0</v>
      </c>
      <c r="I2807" s="21">
        <f t="shared" si="223"/>
        <v>0</v>
      </c>
      <c r="J2807" s="22" t="e">
        <f>VLOOKUP($A2807, TAB_JUROS_C[[DIAS_CORRIDOS]:[V_FUT_UTEIS]], J$5, FALSE)</f>
        <v>#N/A</v>
      </c>
      <c r="K2807" s="22" t="e">
        <f>VLOOKUP($A2807, TAB_CORRECAO_C[[DIAS_CORRIDOS]:[V_FUT_UTEIS]],K$5, FALSE)</f>
        <v>#N/A</v>
      </c>
      <c r="L2807" s="22" t="e">
        <f>VLOOKUP($A2807, TAB_AMORTIZACAO_C[[DIAS_CORRIDOS]:[V_FUT_UTEIS]], L$5, FALSE)</f>
        <v>#N/A</v>
      </c>
    </row>
    <row r="2808" spans="1:12" hidden="1">
      <c r="A2808" s="19">
        <f t="shared" si="224"/>
        <v>2802</v>
      </c>
      <c r="B2808" s="20">
        <f t="shared" si="220"/>
        <v>0</v>
      </c>
      <c r="C2808" s="21">
        <f t="shared" si="221"/>
        <v>0</v>
      </c>
      <c r="D2808" s="22" t="e">
        <f>VLOOKUP($A2808, TAB_JUROS_U[[Q_DIAS_U_PARC_TIR]:[V_FUT_U_JURS CENARIO]], D$5, FALSE)</f>
        <v>#N/A</v>
      </c>
      <c r="E2808" s="22" t="e">
        <f>VLOOKUP($A2808,TAB_CORRECAO_U[[Q_DIAS_U_PARC_TIR]:[V_FUT_U_CORC-02]],E$5, FALSE)</f>
        <v>#N/A</v>
      </c>
      <c r="F2808" s="22" t="e">
        <f>VLOOKUP($A2808,TAB_AMORTIZACAO_U[[Q_DIAS_U_PARC_TIR]:[V_FUT_U_PCPL-02]], F$5, FALSE)</f>
        <v>#N/A</v>
      </c>
      <c r="H2808" s="20">
        <f t="shared" si="222"/>
        <v>0</v>
      </c>
      <c r="I2808" s="21">
        <f t="shared" si="223"/>
        <v>0</v>
      </c>
      <c r="J2808" s="22" t="e">
        <f>VLOOKUP($A2808, TAB_JUROS_C[[DIAS_CORRIDOS]:[V_FUT_UTEIS]], J$5, FALSE)</f>
        <v>#N/A</v>
      </c>
      <c r="K2808" s="22" t="e">
        <f>VLOOKUP($A2808, TAB_CORRECAO_C[[DIAS_CORRIDOS]:[V_FUT_UTEIS]],K$5, FALSE)</f>
        <v>#N/A</v>
      </c>
      <c r="L2808" s="22" t="e">
        <f>VLOOKUP($A2808, TAB_AMORTIZACAO_C[[DIAS_CORRIDOS]:[V_FUT_UTEIS]], L$5, FALSE)</f>
        <v>#N/A</v>
      </c>
    </row>
    <row r="2809" spans="1:12" hidden="1">
      <c r="A2809" s="19">
        <f t="shared" si="224"/>
        <v>2803</v>
      </c>
      <c r="B2809" s="20">
        <f t="shared" si="220"/>
        <v>0</v>
      </c>
      <c r="C2809" s="21">
        <f t="shared" si="221"/>
        <v>0</v>
      </c>
      <c r="D2809" s="22" t="e">
        <f>VLOOKUP($A2809, TAB_JUROS_U[[Q_DIAS_U_PARC_TIR]:[V_FUT_U_JURS CENARIO]], D$5, FALSE)</f>
        <v>#N/A</v>
      </c>
      <c r="E2809" s="22" t="e">
        <f>VLOOKUP($A2809,TAB_CORRECAO_U[[Q_DIAS_U_PARC_TIR]:[V_FUT_U_CORC-02]],E$5, FALSE)</f>
        <v>#N/A</v>
      </c>
      <c r="F2809" s="22" t="e">
        <f>VLOOKUP($A2809,TAB_AMORTIZACAO_U[[Q_DIAS_U_PARC_TIR]:[V_FUT_U_PCPL-02]], F$5, FALSE)</f>
        <v>#N/A</v>
      </c>
      <c r="H2809" s="20">
        <f t="shared" si="222"/>
        <v>0</v>
      </c>
      <c r="I2809" s="21">
        <f t="shared" si="223"/>
        <v>0</v>
      </c>
      <c r="J2809" s="22" t="e">
        <f>VLOOKUP($A2809, TAB_JUROS_C[[DIAS_CORRIDOS]:[V_FUT_UTEIS]], J$5, FALSE)</f>
        <v>#N/A</v>
      </c>
      <c r="K2809" s="22" t="e">
        <f>VLOOKUP($A2809, TAB_CORRECAO_C[[DIAS_CORRIDOS]:[V_FUT_UTEIS]],K$5, FALSE)</f>
        <v>#N/A</v>
      </c>
      <c r="L2809" s="22" t="e">
        <f>VLOOKUP($A2809, TAB_AMORTIZACAO_C[[DIAS_CORRIDOS]:[V_FUT_UTEIS]], L$5, FALSE)</f>
        <v>#N/A</v>
      </c>
    </row>
    <row r="2810" spans="1:12" hidden="1">
      <c r="A2810" s="19">
        <f t="shared" si="224"/>
        <v>2804</v>
      </c>
      <c r="B2810" s="20">
        <f t="shared" si="220"/>
        <v>0</v>
      </c>
      <c r="C2810" s="21">
        <f t="shared" si="221"/>
        <v>0</v>
      </c>
      <c r="D2810" s="22" t="e">
        <f>VLOOKUP($A2810, TAB_JUROS_U[[Q_DIAS_U_PARC_TIR]:[V_FUT_U_JURS CENARIO]], D$5, FALSE)</f>
        <v>#N/A</v>
      </c>
      <c r="E2810" s="22" t="e">
        <f>VLOOKUP($A2810,TAB_CORRECAO_U[[Q_DIAS_U_PARC_TIR]:[V_FUT_U_CORC-02]],E$5, FALSE)</f>
        <v>#N/A</v>
      </c>
      <c r="F2810" s="22" t="e">
        <f>VLOOKUP($A2810,TAB_AMORTIZACAO_U[[Q_DIAS_U_PARC_TIR]:[V_FUT_U_PCPL-02]], F$5, FALSE)</f>
        <v>#N/A</v>
      </c>
      <c r="H2810" s="20">
        <f t="shared" si="222"/>
        <v>0</v>
      </c>
      <c r="I2810" s="21">
        <f t="shared" si="223"/>
        <v>0</v>
      </c>
      <c r="J2810" s="22" t="e">
        <f>VLOOKUP($A2810, TAB_JUROS_C[[DIAS_CORRIDOS]:[V_FUT_UTEIS]], J$5, FALSE)</f>
        <v>#N/A</v>
      </c>
      <c r="K2810" s="22" t="e">
        <f>VLOOKUP($A2810, TAB_CORRECAO_C[[DIAS_CORRIDOS]:[V_FUT_UTEIS]],K$5, FALSE)</f>
        <v>#N/A</v>
      </c>
      <c r="L2810" s="22" t="e">
        <f>VLOOKUP($A2810, TAB_AMORTIZACAO_C[[DIAS_CORRIDOS]:[V_FUT_UTEIS]], L$5, FALSE)</f>
        <v>#N/A</v>
      </c>
    </row>
    <row r="2811" spans="1:12" hidden="1">
      <c r="A2811" s="19">
        <f t="shared" si="224"/>
        <v>2805</v>
      </c>
      <c r="B2811" s="20">
        <f t="shared" si="220"/>
        <v>0</v>
      </c>
      <c r="C2811" s="21">
        <f t="shared" si="221"/>
        <v>0</v>
      </c>
      <c r="D2811" s="22" t="e">
        <f>VLOOKUP($A2811, TAB_JUROS_U[[Q_DIAS_U_PARC_TIR]:[V_FUT_U_JURS CENARIO]], D$5, FALSE)</f>
        <v>#N/A</v>
      </c>
      <c r="E2811" s="22" t="e">
        <f>VLOOKUP($A2811,TAB_CORRECAO_U[[Q_DIAS_U_PARC_TIR]:[V_FUT_U_CORC-02]],E$5, FALSE)</f>
        <v>#N/A</v>
      </c>
      <c r="F2811" s="22" t="e">
        <f>VLOOKUP($A2811,TAB_AMORTIZACAO_U[[Q_DIAS_U_PARC_TIR]:[V_FUT_U_PCPL-02]], F$5, FALSE)</f>
        <v>#N/A</v>
      </c>
      <c r="H2811" s="20">
        <f t="shared" si="222"/>
        <v>0</v>
      </c>
      <c r="I2811" s="21">
        <f t="shared" si="223"/>
        <v>0</v>
      </c>
      <c r="J2811" s="22" t="e">
        <f>VLOOKUP($A2811, TAB_JUROS_C[[DIAS_CORRIDOS]:[V_FUT_UTEIS]], J$5, FALSE)</f>
        <v>#N/A</v>
      </c>
      <c r="K2811" s="22" t="e">
        <f>VLOOKUP($A2811, TAB_CORRECAO_C[[DIAS_CORRIDOS]:[V_FUT_UTEIS]],K$5, FALSE)</f>
        <v>#N/A</v>
      </c>
      <c r="L2811" s="22" t="e">
        <f>VLOOKUP($A2811, TAB_AMORTIZACAO_C[[DIAS_CORRIDOS]:[V_FUT_UTEIS]], L$5, FALSE)</f>
        <v>#N/A</v>
      </c>
    </row>
    <row r="2812" spans="1:12" hidden="1">
      <c r="A2812" s="19">
        <f t="shared" si="224"/>
        <v>2806</v>
      </c>
      <c r="B2812" s="20">
        <f t="shared" si="220"/>
        <v>0</v>
      </c>
      <c r="C2812" s="21">
        <f t="shared" si="221"/>
        <v>0</v>
      </c>
      <c r="D2812" s="22" t="e">
        <f>VLOOKUP($A2812, TAB_JUROS_U[[Q_DIAS_U_PARC_TIR]:[V_FUT_U_JURS CENARIO]], D$5, FALSE)</f>
        <v>#N/A</v>
      </c>
      <c r="E2812" s="22" t="e">
        <f>VLOOKUP($A2812,TAB_CORRECAO_U[[Q_DIAS_U_PARC_TIR]:[V_FUT_U_CORC-02]],E$5, FALSE)</f>
        <v>#N/A</v>
      </c>
      <c r="F2812" s="22" t="e">
        <f>VLOOKUP($A2812,TAB_AMORTIZACAO_U[[Q_DIAS_U_PARC_TIR]:[V_FUT_U_PCPL-02]], F$5, FALSE)</f>
        <v>#N/A</v>
      </c>
      <c r="H2812" s="20">
        <f t="shared" si="222"/>
        <v>0</v>
      </c>
      <c r="I2812" s="21">
        <f t="shared" si="223"/>
        <v>0</v>
      </c>
      <c r="J2812" s="22" t="e">
        <f>VLOOKUP($A2812, TAB_JUROS_C[[DIAS_CORRIDOS]:[V_FUT_UTEIS]], J$5, FALSE)</f>
        <v>#N/A</v>
      </c>
      <c r="K2812" s="22" t="e">
        <f>VLOOKUP($A2812, TAB_CORRECAO_C[[DIAS_CORRIDOS]:[V_FUT_UTEIS]],K$5, FALSE)</f>
        <v>#N/A</v>
      </c>
      <c r="L2812" s="22" t="e">
        <f>VLOOKUP($A2812, TAB_AMORTIZACAO_C[[DIAS_CORRIDOS]:[V_FUT_UTEIS]], L$5, FALSE)</f>
        <v>#N/A</v>
      </c>
    </row>
    <row r="2813" spans="1:12" hidden="1">
      <c r="A2813" s="19">
        <f t="shared" si="224"/>
        <v>2807</v>
      </c>
      <c r="B2813" s="20">
        <f t="shared" si="220"/>
        <v>0</v>
      </c>
      <c r="C2813" s="21">
        <f t="shared" si="221"/>
        <v>0</v>
      </c>
      <c r="D2813" s="22" t="e">
        <f>VLOOKUP($A2813, TAB_JUROS_U[[Q_DIAS_U_PARC_TIR]:[V_FUT_U_JURS CENARIO]], D$5, FALSE)</f>
        <v>#N/A</v>
      </c>
      <c r="E2813" s="22" t="e">
        <f>VLOOKUP($A2813,TAB_CORRECAO_U[[Q_DIAS_U_PARC_TIR]:[V_FUT_U_CORC-02]],E$5, FALSE)</f>
        <v>#N/A</v>
      </c>
      <c r="F2813" s="22" t="e">
        <f>VLOOKUP($A2813,TAB_AMORTIZACAO_U[[Q_DIAS_U_PARC_TIR]:[V_FUT_U_PCPL-02]], F$5, FALSE)</f>
        <v>#N/A</v>
      </c>
      <c r="H2813" s="20">
        <f t="shared" si="222"/>
        <v>0</v>
      </c>
      <c r="I2813" s="21">
        <f t="shared" si="223"/>
        <v>0</v>
      </c>
      <c r="J2813" s="22" t="e">
        <f>VLOOKUP($A2813, TAB_JUROS_C[[DIAS_CORRIDOS]:[V_FUT_UTEIS]], J$5, FALSE)</f>
        <v>#N/A</v>
      </c>
      <c r="K2813" s="22" t="e">
        <f>VLOOKUP($A2813, TAB_CORRECAO_C[[DIAS_CORRIDOS]:[V_FUT_UTEIS]],K$5, FALSE)</f>
        <v>#N/A</v>
      </c>
      <c r="L2813" s="22" t="e">
        <f>VLOOKUP($A2813, TAB_AMORTIZACAO_C[[DIAS_CORRIDOS]:[V_FUT_UTEIS]], L$5, FALSE)</f>
        <v>#N/A</v>
      </c>
    </row>
    <row r="2814" spans="1:12" hidden="1">
      <c r="A2814" s="19">
        <f t="shared" si="224"/>
        <v>2808</v>
      </c>
      <c r="B2814" s="20">
        <f t="shared" si="220"/>
        <v>0</v>
      </c>
      <c r="C2814" s="21">
        <f t="shared" si="221"/>
        <v>0</v>
      </c>
      <c r="D2814" s="22" t="e">
        <f>VLOOKUP($A2814, TAB_JUROS_U[[Q_DIAS_U_PARC_TIR]:[V_FUT_U_JURS CENARIO]], D$5, FALSE)</f>
        <v>#N/A</v>
      </c>
      <c r="E2814" s="22" t="e">
        <f>VLOOKUP($A2814,TAB_CORRECAO_U[[Q_DIAS_U_PARC_TIR]:[V_FUT_U_CORC-02]],E$5, FALSE)</f>
        <v>#N/A</v>
      </c>
      <c r="F2814" s="22" t="e">
        <f>VLOOKUP($A2814,TAB_AMORTIZACAO_U[[Q_DIAS_U_PARC_TIR]:[V_FUT_U_PCPL-02]], F$5, FALSE)</f>
        <v>#N/A</v>
      </c>
      <c r="H2814" s="20">
        <f t="shared" si="222"/>
        <v>0</v>
      </c>
      <c r="I2814" s="21">
        <f t="shared" si="223"/>
        <v>0</v>
      </c>
      <c r="J2814" s="22" t="e">
        <f>VLOOKUP($A2814, TAB_JUROS_C[[DIAS_CORRIDOS]:[V_FUT_UTEIS]], J$5, FALSE)</f>
        <v>#N/A</v>
      </c>
      <c r="K2814" s="22" t="e">
        <f>VLOOKUP($A2814, TAB_CORRECAO_C[[DIAS_CORRIDOS]:[V_FUT_UTEIS]],K$5, FALSE)</f>
        <v>#N/A</v>
      </c>
      <c r="L2814" s="22" t="e">
        <f>VLOOKUP($A2814, TAB_AMORTIZACAO_C[[DIAS_CORRIDOS]:[V_FUT_UTEIS]], L$5, FALSE)</f>
        <v>#N/A</v>
      </c>
    </row>
    <row r="2815" spans="1:12" hidden="1">
      <c r="A2815" s="19">
        <f t="shared" si="224"/>
        <v>2809</v>
      </c>
      <c r="B2815" s="20">
        <f t="shared" si="220"/>
        <v>0</v>
      </c>
      <c r="C2815" s="21">
        <f t="shared" si="221"/>
        <v>0</v>
      </c>
      <c r="D2815" s="22" t="e">
        <f>VLOOKUP($A2815, TAB_JUROS_U[[Q_DIAS_U_PARC_TIR]:[V_FUT_U_JURS CENARIO]], D$5, FALSE)</f>
        <v>#N/A</v>
      </c>
      <c r="E2815" s="22" t="e">
        <f>VLOOKUP($A2815,TAB_CORRECAO_U[[Q_DIAS_U_PARC_TIR]:[V_FUT_U_CORC-02]],E$5, FALSE)</f>
        <v>#N/A</v>
      </c>
      <c r="F2815" s="22" t="e">
        <f>VLOOKUP($A2815,TAB_AMORTIZACAO_U[[Q_DIAS_U_PARC_TIR]:[V_FUT_U_PCPL-02]], F$5, FALSE)</f>
        <v>#N/A</v>
      </c>
      <c r="H2815" s="20">
        <f t="shared" si="222"/>
        <v>0</v>
      </c>
      <c r="I2815" s="21">
        <f t="shared" si="223"/>
        <v>0</v>
      </c>
      <c r="J2815" s="22" t="e">
        <f>VLOOKUP($A2815, TAB_JUROS_C[[DIAS_CORRIDOS]:[V_FUT_UTEIS]], J$5, FALSE)</f>
        <v>#N/A</v>
      </c>
      <c r="K2815" s="22" t="e">
        <f>VLOOKUP($A2815, TAB_CORRECAO_C[[DIAS_CORRIDOS]:[V_FUT_UTEIS]],K$5, FALSE)</f>
        <v>#N/A</v>
      </c>
      <c r="L2815" s="22" t="e">
        <f>VLOOKUP($A2815, TAB_AMORTIZACAO_C[[DIAS_CORRIDOS]:[V_FUT_UTEIS]], L$5, FALSE)</f>
        <v>#N/A</v>
      </c>
    </row>
    <row r="2816" spans="1:12" hidden="1">
      <c r="A2816" s="19">
        <f t="shared" si="224"/>
        <v>2810</v>
      </c>
      <c r="B2816" s="20">
        <f t="shared" si="220"/>
        <v>0</v>
      </c>
      <c r="C2816" s="21">
        <f t="shared" si="221"/>
        <v>0</v>
      </c>
      <c r="D2816" s="22" t="e">
        <f>VLOOKUP($A2816, TAB_JUROS_U[[Q_DIAS_U_PARC_TIR]:[V_FUT_U_JURS CENARIO]], D$5, FALSE)</f>
        <v>#N/A</v>
      </c>
      <c r="E2816" s="22" t="e">
        <f>VLOOKUP($A2816,TAB_CORRECAO_U[[Q_DIAS_U_PARC_TIR]:[V_FUT_U_CORC-02]],E$5, FALSE)</f>
        <v>#N/A</v>
      </c>
      <c r="F2816" s="22" t="e">
        <f>VLOOKUP($A2816,TAB_AMORTIZACAO_U[[Q_DIAS_U_PARC_TIR]:[V_FUT_U_PCPL-02]], F$5, FALSE)</f>
        <v>#N/A</v>
      </c>
      <c r="H2816" s="20">
        <f t="shared" si="222"/>
        <v>0</v>
      </c>
      <c r="I2816" s="21">
        <f t="shared" si="223"/>
        <v>0</v>
      </c>
      <c r="J2816" s="22" t="e">
        <f>VLOOKUP($A2816, TAB_JUROS_C[[DIAS_CORRIDOS]:[V_FUT_UTEIS]], J$5, FALSE)</f>
        <v>#N/A</v>
      </c>
      <c r="K2816" s="22" t="e">
        <f>VLOOKUP($A2816, TAB_CORRECAO_C[[DIAS_CORRIDOS]:[V_FUT_UTEIS]],K$5, FALSE)</f>
        <v>#N/A</v>
      </c>
      <c r="L2816" s="22" t="e">
        <f>VLOOKUP($A2816, TAB_AMORTIZACAO_C[[DIAS_CORRIDOS]:[V_FUT_UTEIS]], L$5, FALSE)</f>
        <v>#N/A</v>
      </c>
    </row>
    <row r="2817" spans="1:12" hidden="1">
      <c r="A2817" s="19">
        <f t="shared" si="224"/>
        <v>2811</v>
      </c>
      <c r="B2817" s="20">
        <f t="shared" si="220"/>
        <v>0</v>
      </c>
      <c r="C2817" s="21">
        <f t="shared" si="221"/>
        <v>0</v>
      </c>
      <c r="D2817" s="22" t="e">
        <f>VLOOKUP($A2817, TAB_JUROS_U[[Q_DIAS_U_PARC_TIR]:[V_FUT_U_JURS CENARIO]], D$5, FALSE)</f>
        <v>#N/A</v>
      </c>
      <c r="E2817" s="22" t="e">
        <f>VLOOKUP($A2817,TAB_CORRECAO_U[[Q_DIAS_U_PARC_TIR]:[V_FUT_U_CORC-02]],E$5, FALSE)</f>
        <v>#N/A</v>
      </c>
      <c r="F2817" s="22" t="e">
        <f>VLOOKUP($A2817,TAB_AMORTIZACAO_U[[Q_DIAS_U_PARC_TIR]:[V_FUT_U_PCPL-02]], F$5, FALSE)</f>
        <v>#N/A</v>
      </c>
      <c r="H2817" s="20">
        <f t="shared" si="222"/>
        <v>0</v>
      </c>
      <c r="I2817" s="21">
        <f t="shared" si="223"/>
        <v>0</v>
      </c>
      <c r="J2817" s="22" t="e">
        <f>VLOOKUP($A2817, TAB_JUROS_C[[DIAS_CORRIDOS]:[V_FUT_UTEIS]], J$5, FALSE)</f>
        <v>#N/A</v>
      </c>
      <c r="K2817" s="22" t="e">
        <f>VLOOKUP($A2817, TAB_CORRECAO_C[[DIAS_CORRIDOS]:[V_FUT_UTEIS]],K$5, FALSE)</f>
        <v>#N/A</v>
      </c>
      <c r="L2817" s="22" t="e">
        <f>VLOOKUP($A2817, TAB_AMORTIZACAO_C[[DIAS_CORRIDOS]:[V_FUT_UTEIS]], L$5, FALSE)</f>
        <v>#N/A</v>
      </c>
    </row>
    <row r="2818" spans="1:12" hidden="1">
      <c r="A2818" s="19">
        <f t="shared" si="224"/>
        <v>2812</v>
      </c>
      <c r="B2818" s="20">
        <f t="shared" si="220"/>
        <v>0</v>
      </c>
      <c r="C2818" s="21">
        <f t="shared" si="221"/>
        <v>0</v>
      </c>
      <c r="D2818" s="22" t="e">
        <f>VLOOKUP($A2818, TAB_JUROS_U[[Q_DIAS_U_PARC_TIR]:[V_FUT_U_JURS CENARIO]], D$5, FALSE)</f>
        <v>#N/A</v>
      </c>
      <c r="E2818" s="22" t="e">
        <f>VLOOKUP($A2818,TAB_CORRECAO_U[[Q_DIAS_U_PARC_TIR]:[V_FUT_U_CORC-02]],E$5, FALSE)</f>
        <v>#N/A</v>
      </c>
      <c r="F2818" s="22" t="e">
        <f>VLOOKUP($A2818,TAB_AMORTIZACAO_U[[Q_DIAS_U_PARC_TIR]:[V_FUT_U_PCPL-02]], F$5, FALSE)</f>
        <v>#N/A</v>
      </c>
      <c r="H2818" s="20">
        <f t="shared" si="222"/>
        <v>0</v>
      </c>
      <c r="I2818" s="21">
        <f t="shared" si="223"/>
        <v>0</v>
      </c>
      <c r="J2818" s="22" t="e">
        <f>VLOOKUP($A2818, TAB_JUROS_C[[DIAS_CORRIDOS]:[V_FUT_UTEIS]], J$5, FALSE)</f>
        <v>#N/A</v>
      </c>
      <c r="K2818" s="22" t="e">
        <f>VLOOKUP($A2818, TAB_CORRECAO_C[[DIAS_CORRIDOS]:[V_FUT_UTEIS]],K$5, FALSE)</f>
        <v>#N/A</v>
      </c>
      <c r="L2818" s="22" t="e">
        <f>VLOOKUP($A2818, TAB_AMORTIZACAO_C[[DIAS_CORRIDOS]:[V_FUT_UTEIS]], L$5, FALSE)</f>
        <v>#N/A</v>
      </c>
    </row>
    <row r="2819" spans="1:12">
      <c r="A2819" s="19">
        <f t="shared" si="224"/>
        <v>2813</v>
      </c>
      <c r="B2819" s="20">
        <f t="shared" si="220"/>
        <v>111.32571553176227</v>
      </c>
      <c r="C2819" s="21">
        <f t="shared" si="221"/>
        <v>111.32571553176227</v>
      </c>
      <c r="D2819" s="22">
        <f>VLOOKUP($A2819, TAB_JUROS_U[[Q_DIAS_U_PARC_TIR]:[V_FUT_U_JURS CENARIO]], D$5, FALSE)</f>
        <v>1.6857810550798304</v>
      </c>
      <c r="E2819" s="22">
        <f>VLOOKUP($A2819,TAB_CORRECAO_U[[Q_DIAS_U_PARC_TIR]:[V_FUT_U_CORC-02]],E$5, FALSE)</f>
        <v>10.319998952236272</v>
      </c>
      <c r="F2819" s="22">
        <f>VLOOKUP($A2819,TAB_AMORTIZACAO_U[[Q_DIAS_U_PARC_TIR]:[V_FUT_U_PCPL-02]], F$5, FALSE)</f>
        <v>99.319935524446166</v>
      </c>
      <c r="H2819" s="20">
        <f t="shared" si="222"/>
        <v>0</v>
      </c>
      <c r="I2819" s="21">
        <f t="shared" si="223"/>
        <v>0</v>
      </c>
      <c r="J2819" s="22" t="e">
        <f>VLOOKUP($A2819, TAB_JUROS_C[[DIAS_CORRIDOS]:[V_FUT_UTEIS]], J$5, FALSE)</f>
        <v>#N/A</v>
      </c>
      <c r="K2819" s="22" t="e">
        <f>VLOOKUP($A2819, TAB_CORRECAO_C[[DIAS_CORRIDOS]:[V_FUT_UTEIS]],K$5, FALSE)</f>
        <v>#N/A</v>
      </c>
      <c r="L2819" s="22" t="e">
        <f>VLOOKUP($A2819, TAB_AMORTIZACAO_C[[DIAS_CORRIDOS]:[V_FUT_UTEIS]], L$5, FALSE)</f>
        <v>#N/A</v>
      </c>
    </row>
    <row r="2820" spans="1:12" hidden="1">
      <c r="A2820" s="19">
        <f t="shared" si="224"/>
        <v>2814</v>
      </c>
      <c r="B2820" s="20">
        <f t="shared" si="220"/>
        <v>0</v>
      </c>
      <c r="C2820" s="21">
        <f t="shared" si="221"/>
        <v>0</v>
      </c>
      <c r="D2820" s="22" t="e">
        <f>VLOOKUP($A2820, TAB_JUROS_U[[Q_DIAS_U_PARC_TIR]:[V_FUT_U_JURS CENARIO]], D$5, FALSE)</f>
        <v>#N/A</v>
      </c>
      <c r="E2820" s="22" t="e">
        <f>VLOOKUP($A2820,TAB_CORRECAO_U[[Q_DIAS_U_PARC_TIR]:[V_FUT_U_CORC-02]],E$5, FALSE)</f>
        <v>#N/A</v>
      </c>
      <c r="F2820" s="22" t="e">
        <f>VLOOKUP($A2820,TAB_AMORTIZACAO_U[[Q_DIAS_U_PARC_TIR]:[V_FUT_U_PCPL-02]], F$5, FALSE)</f>
        <v>#N/A</v>
      </c>
      <c r="H2820" s="20">
        <f t="shared" si="222"/>
        <v>331.69281987496583</v>
      </c>
      <c r="I2820" s="21">
        <f t="shared" si="223"/>
        <v>331.69281987496583</v>
      </c>
      <c r="J2820" s="22">
        <f>VLOOKUP($A2820, TAB_JUROS_C[[DIAS_CORRIDOS]:[V_FUT_UTEIS]], J$5, FALSE)</f>
        <v>20.550538103698894</v>
      </c>
      <c r="K2820" s="22">
        <f>VLOOKUP($A2820, TAB_CORRECAO_C[[DIAS_CORRIDOS]:[V_FUT_UTEIS]],K$5, FALSE)</f>
        <v>126.48424412493729</v>
      </c>
      <c r="L2820" s="22">
        <f>VLOOKUP($A2820, TAB_AMORTIZACAO_C[[DIAS_CORRIDOS]:[V_FUT_UTEIS]], L$5, FALSE)</f>
        <v>184.65803764632969</v>
      </c>
    </row>
    <row r="2821" spans="1:12" hidden="1">
      <c r="A2821" s="19">
        <f t="shared" si="224"/>
        <v>2815</v>
      </c>
      <c r="B2821" s="20">
        <f t="shared" si="220"/>
        <v>0</v>
      </c>
      <c r="C2821" s="21">
        <f t="shared" si="221"/>
        <v>0</v>
      </c>
      <c r="D2821" s="22" t="e">
        <f>VLOOKUP($A2821, TAB_JUROS_U[[Q_DIAS_U_PARC_TIR]:[V_FUT_U_JURS CENARIO]], D$5, FALSE)</f>
        <v>#N/A</v>
      </c>
      <c r="E2821" s="22" t="e">
        <f>VLOOKUP($A2821,TAB_CORRECAO_U[[Q_DIAS_U_PARC_TIR]:[V_FUT_U_CORC-02]],E$5, FALSE)</f>
        <v>#N/A</v>
      </c>
      <c r="F2821" s="22" t="e">
        <f>VLOOKUP($A2821,TAB_AMORTIZACAO_U[[Q_DIAS_U_PARC_TIR]:[V_FUT_U_PCPL-02]], F$5, FALSE)</f>
        <v>#N/A</v>
      </c>
      <c r="H2821" s="20">
        <f t="shared" si="222"/>
        <v>0</v>
      </c>
      <c r="I2821" s="21">
        <f t="shared" si="223"/>
        <v>0</v>
      </c>
      <c r="J2821" s="22" t="e">
        <f>VLOOKUP($A2821, TAB_JUROS_C[[DIAS_CORRIDOS]:[V_FUT_UTEIS]], J$5, FALSE)</f>
        <v>#N/A</v>
      </c>
      <c r="K2821" s="22" t="e">
        <f>VLOOKUP($A2821, TAB_CORRECAO_C[[DIAS_CORRIDOS]:[V_FUT_UTEIS]],K$5, FALSE)</f>
        <v>#N/A</v>
      </c>
      <c r="L2821" s="22" t="e">
        <f>VLOOKUP($A2821, TAB_AMORTIZACAO_C[[DIAS_CORRIDOS]:[V_FUT_UTEIS]], L$5, FALSE)</f>
        <v>#N/A</v>
      </c>
    </row>
    <row r="2822" spans="1:12" hidden="1">
      <c r="A2822" s="19">
        <f t="shared" si="224"/>
        <v>2816</v>
      </c>
      <c r="B2822" s="20">
        <f t="shared" si="220"/>
        <v>0</v>
      </c>
      <c r="C2822" s="21">
        <f t="shared" si="221"/>
        <v>0</v>
      </c>
      <c r="D2822" s="22" t="e">
        <f>VLOOKUP($A2822, TAB_JUROS_U[[Q_DIAS_U_PARC_TIR]:[V_FUT_U_JURS CENARIO]], D$5, FALSE)</f>
        <v>#N/A</v>
      </c>
      <c r="E2822" s="22" t="e">
        <f>VLOOKUP($A2822,TAB_CORRECAO_U[[Q_DIAS_U_PARC_TIR]:[V_FUT_U_CORC-02]],E$5, FALSE)</f>
        <v>#N/A</v>
      </c>
      <c r="F2822" s="22" t="e">
        <f>VLOOKUP($A2822,TAB_AMORTIZACAO_U[[Q_DIAS_U_PARC_TIR]:[V_FUT_U_PCPL-02]], F$5, FALSE)</f>
        <v>#N/A</v>
      </c>
      <c r="H2822" s="20">
        <f t="shared" si="222"/>
        <v>0</v>
      </c>
      <c r="I2822" s="21">
        <f t="shared" si="223"/>
        <v>0</v>
      </c>
      <c r="J2822" s="22" t="e">
        <f>VLOOKUP($A2822, TAB_JUROS_C[[DIAS_CORRIDOS]:[V_FUT_UTEIS]], J$5, FALSE)</f>
        <v>#N/A</v>
      </c>
      <c r="K2822" s="22" t="e">
        <f>VLOOKUP($A2822, TAB_CORRECAO_C[[DIAS_CORRIDOS]:[V_FUT_UTEIS]],K$5, FALSE)</f>
        <v>#N/A</v>
      </c>
      <c r="L2822" s="22" t="e">
        <f>VLOOKUP($A2822, TAB_AMORTIZACAO_C[[DIAS_CORRIDOS]:[V_FUT_UTEIS]], L$5, FALSE)</f>
        <v>#N/A</v>
      </c>
    </row>
    <row r="2823" spans="1:12" hidden="1">
      <c r="A2823" s="19">
        <f t="shared" si="224"/>
        <v>2817</v>
      </c>
      <c r="B2823" s="20">
        <f t="shared" si="220"/>
        <v>0</v>
      </c>
      <c r="C2823" s="21">
        <f t="shared" si="221"/>
        <v>0</v>
      </c>
      <c r="D2823" s="22" t="e">
        <f>VLOOKUP($A2823, TAB_JUROS_U[[Q_DIAS_U_PARC_TIR]:[V_FUT_U_JURS CENARIO]], D$5, FALSE)</f>
        <v>#N/A</v>
      </c>
      <c r="E2823" s="22" t="e">
        <f>VLOOKUP($A2823,TAB_CORRECAO_U[[Q_DIAS_U_PARC_TIR]:[V_FUT_U_CORC-02]],E$5, FALSE)</f>
        <v>#N/A</v>
      </c>
      <c r="F2823" s="22" t="e">
        <f>VLOOKUP($A2823,TAB_AMORTIZACAO_U[[Q_DIAS_U_PARC_TIR]:[V_FUT_U_PCPL-02]], F$5, FALSE)</f>
        <v>#N/A</v>
      </c>
      <c r="H2823" s="20">
        <f t="shared" si="222"/>
        <v>0</v>
      </c>
      <c r="I2823" s="21">
        <f t="shared" si="223"/>
        <v>0</v>
      </c>
      <c r="J2823" s="22" t="e">
        <f>VLOOKUP($A2823, TAB_JUROS_C[[DIAS_CORRIDOS]:[V_FUT_UTEIS]], J$5, FALSE)</f>
        <v>#N/A</v>
      </c>
      <c r="K2823" s="22" t="e">
        <f>VLOOKUP($A2823, TAB_CORRECAO_C[[DIAS_CORRIDOS]:[V_FUT_UTEIS]],K$5, FALSE)</f>
        <v>#N/A</v>
      </c>
      <c r="L2823" s="22" t="e">
        <f>VLOOKUP($A2823, TAB_AMORTIZACAO_C[[DIAS_CORRIDOS]:[V_FUT_UTEIS]], L$5, FALSE)</f>
        <v>#N/A</v>
      </c>
    </row>
    <row r="2824" spans="1:12" hidden="1">
      <c r="A2824" s="19">
        <f t="shared" si="224"/>
        <v>2818</v>
      </c>
      <c r="B2824" s="20">
        <f t="shared" si="220"/>
        <v>0</v>
      </c>
      <c r="C2824" s="21">
        <f t="shared" si="221"/>
        <v>0</v>
      </c>
      <c r="D2824" s="22" t="e">
        <f>VLOOKUP($A2824, TAB_JUROS_U[[Q_DIAS_U_PARC_TIR]:[V_FUT_U_JURS CENARIO]], D$5, FALSE)</f>
        <v>#N/A</v>
      </c>
      <c r="E2824" s="22" t="e">
        <f>VLOOKUP($A2824,TAB_CORRECAO_U[[Q_DIAS_U_PARC_TIR]:[V_FUT_U_CORC-02]],E$5, FALSE)</f>
        <v>#N/A</v>
      </c>
      <c r="F2824" s="22" t="e">
        <f>VLOOKUP($A2824,TAB_AMORTIZACAO_U[[Q_DIAS_U_PARC_TIR]:[V_FUT_U_PCPL-02]], F$5, FALSE)</f>
        <v>#N/A</v>
      </c>
      <c r="H2824" s="20">
        <f t="shared" si="222"/>
        <v>0</v>
      </c>
      <c r="I2824" s="21">
        <f t="shared" si="223"/>
        <v>0</v>
      </c>
      <c r="J2824" s="22" t="e">
        <f>VLOOKUP($A2824, TAB_JUROS_C[[DIAS_CORRIDOS]:[V_FUT_UTEIS]], J$5, FALSE)</f>
        <v>#N/A</v>
      </c>
      <c r="K2824" s="22" t="e">
        <f>VLOOKUP($A2824, TAB_CORRECAO_C[[DIAS_CORRIDOS]:[V_FUT_UTEIS]],K$5, FALSE)</f>
        <v>#N/A</v>
      </c>
      <c r="L2824" s="22" t="e">
        <f>VLOOKUP($A2824, TAB_AMORTIZACAO_C[[DIAS_CORRIDOS]:[V_FUT_UTEIS]], L$5, FALSE)</f>
        <v>#N/A</v>
      </c>
    </row>
    <row r="2825" spans="1:12" hidden="1">
      <c r="A2825" s="19">
        <f t="shared" si="224"/>
        <v>2819</v>
      </c>
      <c r="B2825" s="20">
        <f t="shared" ref="B2825:B2888" si="225">IF(ISERROR(C2825), 0, C2825)</f>
        <v>0</v>
      </c>
      <c r="C2825" s="21">
        <f t="shared" ref="C2825:C2888" si="226">SUMIF(D2825:F2825, "&gt;0", D2825:F2825)</f>
        <v>0</v>
      </c>
      <c r="D2825" s="22" t="e">
        <f>VLOOKUP($A2825, TAB_JUROS_U[[Q_DIAS_U_PARC_TIR]:[V_FUT_U_JURS CENARIO]], D$5, FALSE)</f>
        <v>#N/A</v>
      </c>
      <c r="E2825" s="22" t="e">
        <f>VLOOKUP($A2825,TAB_CORRECAO_U[[Q_DIAS_U_PARC_TIR]:[V_FUT_U_CORC-02]],E$5, FALSE)</f>
        <v>#N/A</v>
      </c>
      <c r="F2825" s="22" t="e">
        <f>VLOOKUP($A2825,TAB_AMORTIZACAO_U[[Q_DIAS_U_PARC_TIR]:[V_FUT_U_PCPL-02]], F$5, FALSE)</f>
        <v>#N/A</v>
      </c>
      <c r="H2825" s="20">
        <f t="shared" ref="H2825:H2888" si="227">IF(ISERROR(I2825), 0, I2825)</f>
        <v>0</v>
      </c>
      <c r="I2825" s="21">
        <f t="shared" ref="I2825:I2888" si="228">SUMIF(J2825:L2825, "&gt;0", J2825:L2825)</f>
        <v>0</v>
      </c>
      <c r="J2825" s="22" t="e">
        <f>VLOOKUP($A2825, TAB_JUROS_C[[DIAS_CORRIDOS]:[V_FUT_UTEIS]], J$5, FALSE)</f>
        <v>#N/A</v>
      </c>
      <c r="K2825" s="22" t="e">
        <f>VLOOKUP($A2825, TAB_CORRECAO_C[[DIAS_CORRIDOS]:[V_FUT_UTEIS]],K$5, FALSE)</f>
        <v>#N/A</v>
      </c>
      <c r="L2825" s="22" t="e">
        <f>VLOOKUP($A2825, TAB_AMORTIZACAO_C[[DIAS_CORRIDOS]:[V_FUT_UTEIS]], L$5, FALSE)</f>
        <v>#N/A</v>
      </c>
    </row>
    <row r="2826" spans="1:12" hidden="1">
      <c r="A2826" s="19">
        <f t="shared" ref="A2826:A2889" si="229">A2825+1</f>
        <v>2820</v>
      </c>
      <c r="B2826" s="20">
        <f t="shared" si="225"/>
        <v>0</v>
      </c>
      <c r="C2826" s="21">
        <f t="shared" si="226"/>
        <v>0</v>
      </c>
      <c r="D2826" s="22" t="e">
        <f>VLOOKUP($A2826, TAB_JUROS_U[[Q_DIAS_U_PARC_TIR]:[V_FUT_U_JURS CENARIO]], D$5, FALSE)</f>
        <v>#N/A</v>
      </c>
      <c r="E2826" s="22" t="e">
        <f>VLOOKUP($A2826,TAB_CORRECAO_U[[Q_DIAS_U_PARC_TIR]:[V_FUT_U_CORC-02]],E$5, FALSE)</f>
        <v>#N/A</v>
      </c>
      <c r="F2826" s="22" t="e">
        <f>VLOOKUP($A2826,TAB_AMORTIZACAO_U[[Q_DIAS_U_PARC_TIR]:[V_FUT_U_PCPL-02]], F$5, FALSE)</f>
        <v>#N/A</v>
      </c>
      <c r="H2826" s="20">
        <f t="shared" si="227"/>
        <v>0</v>
      </c>
      <c r="I2826" s="21">
        <f t="shared" si="228"/>
        <v>0</v>
      </c>
      <c r="J2826" s="22" t="e">
        <f>VLOOKUP($A2826, TAB_JUROS_C[[DIAS_CORRIDOS]:[V_FUT_UTEIS]], J$5, FALSE)</f>
        <v>#N/A</v>
      </c>
      <c r="K2826" s="22" t="e">
        <f>VLOOKUP($A2826, TAB_CORRECAO_C[[DIAS_CORRIDOS]:[V_FUT_UTEIS]],K$5, FALSE)</f>
        <v>#N/A</v>
      </c>
      <c r="L2826" s="22" t="e">
        <f>VLOOKUP($A2826, TAB_AMORTIZACAO_C[[DIAS_CORRIDOS]:[V_FUT_UTEIS]], L$5, FALSE)</f>
        <v>#N/A</v>
      </c>
    </row>
    <row r="2827" spans="1:12" hidden="1">
      <c r="A2827" s="19">
        <f t="shared" si="229"/>
        <v>2821</v>
      </c>
      <c r="B2827" s="20">
        <f t="shared" si="225"/>
        <v>0</v>
      </c>
      <c r="C2827" s="21">
        <f t="shared" si="226"/>
        <v>0</v>
      </c>
      <c r="D2827" s="22" t="e">
        <f>VLOOKUP($A2827, TAB_JUROS_U[[Q_DIAS_U_PARC_TIR]:[V_FUT_U_JURS CENARIO]], D$5, FALSE)</f>
        <v>#N/A</v>
      </c>
      <c r="E2827" s="22" t="e">
        <f>VLOOKUP($A2827,TAB_CORRECAO_U[[Q_DIAS_U_PARC_TIR]:[V_FUT_U_CORC-02]],E$5, FALSE)</f>
        <v>#N/A</v>
      </c>
      <c r="F2827" s="22" t="e">
        <f>VLOOKUP($A2827,TAB_AMORTIZACAO_U[[Q_DIAS_U_PARC_TIR]:[V_FUT_U_PCPL-02]], F$5, FALSE)</f>
        <v>#N/A</v>
      </c>
      <c r="H2827" s="20">
        <f t="shared" si="227"/>
        <v>0</v>
      </c>
      <c r="I2827" s="21">
        <f t="shared" si="228"/>
        <v>0</v>
      </c>
      <c r="J2827" s="22" t="e">
        <f>VLOOKUP($A2827, TAB_JUROS_C[[DIAS_CORRIDOS]:[V_FUT_UTEIS]], J$5, FALSE)</f>
        <v>#N/A</v>
      </c>
      <c r="K2827" s="22" t="e">
        <f>VLOOKUP($A2827, TAB_CORRECAO_C[[DIAS_CORRIDOS]:[V_FUT_UTEIS]],K$5, FALSE)</f>
        <v>#N/A</v>
      </c>
      <c r="L2827" s="22" t="e">
        <f>VLOOKUP($A2827, TAB_AMORTIZACAO_C[[DIAS_CORRIDOS]:[V_FUT_UTEIS]], L$5, FALSE)</f>
        <v>#N/A</v>
      </c>
    </row>
    <row r="2828" spans="1:12" hidden="1">
      <c r="A2828" s="19">
        <f t="shared" si="229"/>
        <v>2822</v>
      </c>
      <c r="B2828" s="20">
        <f t="shared" si="225"/>
        <v>0</v>
      </c>
      <c r="C2828" s="21">
        <f t="shared" si="226"/>
        <v>0</v>
      </c>
      <c r="D2828" s="22" t="e">
        <f>VLOOKUP($A2828, TAB_JUROS_U[[Q_DIAS_U_PARC_TIR]:[V_FUT_U_JURS CENARIO]], D$5, FALSE)</f>
        <v>#N/A</v>
      </c>
      <c r="E2828" s="22" t="e">
        <f>VLOOKUP($A2828,TAB_CORRECAO_U[[Q_DIAS_U_PARC_TIR]:[V_FUT_U_CORC-02]],E$5, FALSE)</f>
        <v>#N/A</v>
      </c>
      <c r="F2828" s="22" t="e">
        <f>VLOOKUP($A2828,TAB_AMORTIZACAO_U[[Q_DIAS_U_PARC_TIR]:[V_FUT_U_PCPL-02]], F$5, FALSE)</f>
        <v>#N/A</v>
      </c>
      <c r="H2828" s="20">
        <f t="shared" si="227"/>
        <v>0</v>
      </c>
      <c r="I2828" s="21">
        <f t="shared" si="228"/>
        <v>0</v>
      </c>
      <c r="J2828" s="22" t="e">
        <f>VLOOKUP($A2828, TAB_JUROS_C[[DIAS_CORRIDOS]:[V_FUT_UTEIS]], J$5, FALSE)</f>
        <v>#N/A</v>
      </c>
      <c r="K2828" s="22" t="e">
        <f>VLOOKUP($A2828, TAB_CORRECAO_C[[DIAS_CORRIDOS]:[V_FUT_UTEIS]],K$5, FALSE)</f>
        <v>#N/A</v>
      </c>
      <c r="L2828" s="22" t="e">
        <f>VLOOKUP($A2828, TAB_AMORTIZACAO_C[[DIAS_CORRIDOS]:[V_FUT_UTEIS]], L$5, FALSE)</f>
        <v>#N/A</v>
      </c>
    </row>
    <row r="2829" spans="1:12" hidden="1">
      <c r="A2829" s="19">
        <f t="shared" si="229"/>
        <v>2823</v>
      </c>
      <c r="B2829" s="20">
        <f t="shared" si="225"/>
        <v>0</v>
      </c>
      <c r="C2829" s="21">
        <f t="shared" si="226"/>
        <v>0</v>
      </c>
      <c r="D2829" s="22" t="e">
        <f>VLOOKUP($A2829, TAB_JUROS_U[[Q_DIAS_U_PARC_TIR]:[V_FUT_U_JURS CENARIO]], D$5, FALSE)</f>
        <v>#N/A</v>
      </c>
      <c r="E2829" s="22" t="e">
        <f>VLOOKUP($A2829,TAB_CORRECAO_U[[Q_DIAS_U_PARC_TIR]:[V_FUT_U_CORC-02]],E$5, FALSE)</f>
        <v>#N/A</v>
      </c>
      <c r="F2829" s="22" t="e">
        <f>VLOOKUP($A2829,TAB_AMORTIZACAO_U[[Q_DIAS_U_PARC_TIR]:[V_FUT_U_PCPL-02]], F$5, FALSE)</f>
        <v>#N/A</v>
      </c>
      <c r="H2829" s="20">
        <f t="shared" si="227"/>
        <v>0</v>
      </c>
      <c r="I2829" s="21">
        <f t="shared" si="228"/>
        <v>0</v>
      </c>
      <c r="J2829" s="22" t="e">
        <f>VLOOKUP($A2829, TAB_JUROS_C[[DIAS_CORRIDOS]:[V_FUT_UTEIS]], J$5, FALSE)</f>
        <v>#N/A</v>
      </c>
      <c r="K2829" s="22" t="e">
        <f>VLOOKUP($A2829, TAB_CORRECAO_C[[DIAS_CORRIDOS]:[V_FUT_UTEIS]],K$5, FALSE)</f>
        <v>#N/A</v>
      </c>
      <c r="L2829" s="22" t="e">
        <f>VLOOKUP($A2829, TAB_AMORTIZACAO_C[[DIAS_CORRIDOS]:[V_FUT_UTEIS]], L$5, FALSE)</f>
        <v>#N/A</v>
      </c>
    </row>
    <row r="2830" spans="1:12" hidden="1">
      <c r="A2830" s="19">
        <f t="shared" si="229"/>
        <v>2824</v>
      </c>
      <c r="B2830" s="20">
        <f t="shared" si="225"/>
        <v>0</v>
      </c>
      <c r="C2830" s="21">
        <f t="shared" si="226"/>
        <v>0</v>
      </c>
      <c r="D2830" s="22" t="e">
        <f>VLOOKUP($A2830, TAB_JUROS_U[[Q_DIAS_U_PARC_TIR]:[V_FUT_U_JURS CENARIO]], D$5, FALSE)</f>
        <v>#N/A</v>
      </c>
      <c r="E2830" s="22" t="e">
        <f>VLOOKUP($A2830,TAB_CORRECAO_U[[Q_DIAS_U_PARC_TIR]:[V_FUT_U_CORC-02]],E$5, FALSE)</f>
        <v>#N/A</v>
      </c>
      <c r="F2830" s="22" t="e">
        <f>VLOOKUP($A2830,TAB_AMORTIZACAO_U[[Q_DIAS_U_PARC_TIR]:[V_FUT_U_PCPL-02]], F$5, FALSE)</f>
        <v>#N/A</v>
      </c>
      <c r="H2830" s="20">
        <f t="shared" si="227"/>
        <v>0</v>
      </c>
      <c r="I2830" s="21">
        <f t="shared" si="228"/>
        <v>0</v>
      </c>
      <c r="J2830" s="22" t="e">
        <f>VLOOKUP($A2830, TAB_JUROS_C[[DIAS_CORRIDOS]:[V_FUT_UTEIS]], J$5, FALSE)</f>
        <v>#N/A</v>
      </c>
      <c r="K2830" s="22" t="e">
        <f>VLOOKUP($A2830, TAB_CORRECAO_C[[DIAS_CORRIDOS]:[V_FUT_UTEIS]],K$5, FALSE)</f>
        <v>#N/A</v>
      </c>
      <c r="L2830" s="22" t="e">
        <f>VLOOKUP($A2830, TAB_AMORTIZACAO_C[[DIAS_CORRIDOS]:[V_FUT_UTEIS]], L$5, FALSE)</f>
        <v>#N/A</v>
      </c>
    </row>
    <row r="2831" spans="1:12" hidden="1">
      <c r="A2831" s="19">
        <f t="shared" si="229"/>
        <v>2825</v>
      </c>
      <c r="B2831" s="20">
        <f t="shared" si="225"/>
        <v>0</v>
      </c>
      <c r="C2831" s="21">
        <f t="shared" si="226"/>
        <v>0</v>
      </c>
      <c r="D2831" s="22" t="e">
        <f>VLOOKUP($A2831, TAB_JUROS_U[[Q_DIAS_U_PARC_TIR]:[V_FUT_U_JURS CENARIO]], D$5, FALSE)</f>
        <v>#N/A</v>
      </c>
      <c r="E2831" s="22" t="e">
        <f>VLOOKUP($A2831,TAB_CORRECAO_U[[Q_DIAS_U_PARC_TIR]:[V_FUT_U_CORC-02]],E$5, FALSE)</f>
        <v>#N/A</v>
      </c>
      <c r="F2831" s="22" t="e">
        <f>VLOOKUP($A2831,TAB_AMORTIZACAO_U[[Q_DIAS_U_PARC_TIR]:[V_FUT_U_PCPL-02]], F$5, FALSE)</f>
        <v>#N/A</v>
      </c>
      <c r="H2831" s="20">
        <f t="shared" si="227"/>
        <v>0</v>
      </c>
      <c r="I2831" s="21">
        <f t="shared" si="228"/>
        <v>0</v>
      </c>
      <c r="J2831" s="22" t="e">
        <f>VLOOKUP($A2831, TAB_JUROS_C[[DIAS_CORRIDOS]:[V_FUT_UTEIS]], J$5, FALSE)</f>
        <v>#N/A</v>
      </c>
      <c r="K2831" s="22" t="e">
        <f>VLOOKUP($A2831, TAB_CORRECAO_C[[DIAS_CORRIDOS]:[V_FUT_UTEIS]],K$5, FALSE)</f>
        <v>#N/A</v>
      </c>
      <c r="L2831" s="22" t="e">
        <f>VLOOKUP($A2831, TAB_AMORTIZACAO_C[[DIAS_CORRIDOS]:[V_FUT_UTEIS]], L$5, FALSE)</f>
        <v>#N/A</v>
      </c>
    </row>
    <row r="2832" spans="1:12" hidden="1">
      <c r="A2832" s="19">
        <f t="shared" si="229"/>
        <v>2826</v>
      </c>
      <c r="B2832" s="20">
        <f t="shared" si="225"/>
        <v>0</v>
      </c>
      <c r="C2832" s="21">
        <f t="shared" si="226"/>
        <v>0</v>
      </c>
      <c r="D2832" s="22" t="e">
        <f>VLOOKUP($A2832, TAB_JUROS_U[[Q_DIAS_U_PARC_TIR]:[V_FUT_U_JURS CENARIO]], D$5, FALSE)</f>
        <v>#N/A</v>
      </c>
      <c r="E2832" s="22" t="e">
        <f>VLOOKUP($A2832,TAB_CORRECAO_U[[Q_DIAS_U_PARC_TIR]:[V_FUT_U_CORC-02]],E$5, FALSE)</f>
        <v>#N/A</v>
      </c>
      <c r="F2832" s="22" t="e">
        <f>VLOOKUP($A2832,TAB_AMORTIZACAO_U[[Q_DIAS_U_PARC_TIR]:[V_FUT_U_PCPL-02]], F$5, FALSE)</f>
        <v>#N/A</v>
      </c>
      <c r="H2832" s="20">
        <f t="shared" si="227"/>
        <v>0</v>
      </c>
      <c r="I2832" s="21">
        <f t="shared" si="228"/>
        <v>0</v>
      </c>
      <c r="J2832" s="22" t="e">
        <f>VLOOKUP($A2832, TAB_JUROS_C[[DIAS_CORRIDOS]:[V_FUT_UTEIS]], J$5, FALSE)</f>
        <v>#N/A</v>
      </c>
      <c r="K2832" s="22" t="e">
        <f>VLOOKUP($A2832, TAB_CORRECAO_C[[DIAS_CORRIDOS]:[V_FUT_UTEIS]],K$5, FALSE)</f>
        <v>#N/A</v>
      </c>
      <c r="L2832" s="22" t="e">
        <f>VLOOKUP($A2832, TAB_AMORTIZACAO_C[[DIAS_CORRIDOS]:[V_FUT_UTEIS]], L$5, FALSE)</f>
        <v>#N/A</v>
      </c>
    </row>
    <row r="2833" spans="1:12" hidden="1">
      <c r="A2833" s="19">
        <f t="shared" si="229"/>
        <v>2827</v>
      </c>
      <c r="B2833" s="20">
        <f t="shared" si="225"/>
        <v>0</v>
      </c>
      <c r="C2833" s="21">
        <f t="shared" si="226"/>
        <v>0</v>
      </c>
      <c r="D2833" s="22" t="e">
        <f>VLOOKUP($A2833, TAB_JUROS_U[[Q_DIAS_U_PARC_TIR]:[V_FUT_U_JURS CENARIO]], D$5, FALSE)</f>
        <v>#N/A</v>
      </c>
      <c r="E2833" s="22" t="e">
        <f>VLOOKUP($A2833,TAB_CORRECAO_U[[Q_DIAS_U_PARC_TIR]:[V_FUT_U_CORC-02]],E$5, FALSE)</f>
        <v>#N/A</v>
      </c>
      <c r="F2833" s="22" t="e">
        <f>VLOOKUP($A2833,TAB_AMORTIZACAO_U[[Q_DIAS_U_PARC_TIR]:[V_FUT_U_PCPL-02]], F$5, FALSE)</f>
        <v>#N/A</v>
      </c>
      <c r="H2833" s="20">
        <f t="shared" si="227"/>
        <v>0</v>
      </c>
      <c r="I2833" s="21">
        <f t="shared" si="228"/>
        <v>0</v>
      </c>
      <c r="J2833" s="22" t="e">
        <f>VLOOKUP($A2833, TAB_JUROS_C[[DIAS_CORRIDOS]:[V_FUT_UTEIS]], J$5, FALSE)</f>
        <v>#N/A</v>
      </c>
      <c r="K2833" s="22" t="e">
        <f>VLOOKUP($A2833, TAB_CORRECAO_C[[DIAS_CORRIDOS]:[V_FUT_UTEIS]],K$5, FALSE)</f>
        <v>#N/A</v>
      </c>
      <c r="L2833" s="22" t="e">
        <f>VLOOKUP($A2833, TAB_AMORTIZACAO_C[[DIAS_CORRIDOS]:[V_FUT_UTEIS]], L$5, FALSE)</f>
        <v>#N/A</v>
      </c>
    </row>
    <row r="2834" spans="1:12" hidden="1">
      <c r="A2834" s="19">
        <f t="shared" si="229"/>
        <v>2828</v>
      </c>
      <c r="B2834" s="20">
        <f t="shared" si="225"/>
        <v>0</v>
      </c>
      <c r="C2834" s="21">
        <f t="shared" si="226"/>
        <v>0</v>
      </c>
      <c r="D2834" s="22" t="e">
        <f>VLOOKUP($A2834, TAB_JUROS_U[[Q_DIAS_U_PARC_TIR]:[V_FUT_U_JURS CENARIO]], D$5, FALSE)</f>
        <v>#N/A</v>
      </c>
      <c r="E2834" s="22" t="e">
        <f>VLOOKUP($A2834,TAB_CORRECAO_U[[Q_DIAS_U_PARC_TIR]:[V_FUT_U_CORC-02]],E$5, FALSE)</f>
        <v>#N/A</v>
      </c>
      <c r="F2834" s="22" t="e">
        <f>VLOOKUP($A2834,TAB_AMORTIZACAO_U[[Q_DIAS_U_PARC_TIR]:[V_FUT_U_PCPL-02]], F$5, FALSE)</f>
        <v>#N/A</v>
      </c>
      <c r="H2834" s="20">
        <f t="shared" si="227"/>
        <v>0</v>
      </c>
      <c r="I2834" s="21">
        <f t="shared" si="228"/>
        <v>0</v>
      </c>
      <c r="J2834" s="22" t="e">
        <f>VLOOKUP($A2834, TAB_JUROS_C[[DIAS_CORRIDOS]:[V_FUT_UTEIS]], J$5, FALSE)</f>
        <v>#N/A</v>
      </c>
      <c r="K2834" s="22" t="e">
        <f>VLOOKUP($A2834, TAB_CORRECAO_C[[DIAS_CORRIDOS]:[V_FUT_UTEIS]],K$5, FALSE)</f>
        <v>#N/A</v>
      </c>
      <c r="L2834" s="22" t="e">
        <f>VLOOKUP($A2834, TAB_AMORTIZACAO_C[[DIAS_CORRIDOS]:[V_FUT_UTEIS]], L$5, FALSE)</f>
        <v>#N/A</v>
      </c>
    </row>
    <row r="2835" spans="1:12" hidden="1">
      <c r="A2835" s="19">
        <f t="shared" si="229"/>
        <v>2829</v>
      </c>
      <c r="B2835" s="20">
        <f t="shared" si="225"/>
        <v>0</v>
      </c>
      <c r="C2835" s="21">
        <f t="shared" si="226"/>
        <v>0</v>
      </c>
      <c r="D2835" s="22" t="e">
        <f>VLOOKUP($A2835, TAB_JUROS_U[[Q_DIAS_U_PARC_TIR]:[V_FUT_U_JURS CENARIO]], D$5, FALSE)</f>
        <v>#N/A</v>
      </c>
      <c r="E2835" s="22" t="e">
        <f>VLOOKUP($A2835,TAB_CORRECAO_U[[Q_DIAS_U_PARC_TIR]:[V_FUT_U_CORC-02]],E$5, FALSE)</f>
        <v>#N/A</v>
      </c>
      <c r="F2835" s="22" t="e">
        <f>VLOOKUP($A2835,TAB_AMORTIZACAO_U[[Q_DIAS_U_PARC_TIR]:[V_FUT_U_PCPL-02]], F$5, FALSE)</f>
        <v>#N/A</v>
      </c>
      <c r="H2835" s="20">
        <f t="shared" si="227"/>
        <v>0</v>
      </c>
      <c r="I2835" s="21">
        <f t="shared" si="228"/>
        <v>0</v>
      </c>
      <c r="J2835" s="22" t="e">
        <f>VLOOKUP($A2835, TAB_JUROS_C[[DIAS_CORRIDOS]:[V_FUT_UTEIS]], J$5, FALSE)</f>
        <v>#N/A</v>
      </c>
      <c r="K2835" s="22" t="e">
        <f>VLOOKUP($A2835, TAB_CORRECAO_C[[DIAS_CORRIDOS]:[V_FUT_UTEIS]],K$5, FALSE)</f>
        <v>#N/A</v>
      </c>
      <c r="L2835" s="22" t="e">
        <f>VLOOKUP($A2835, TAB_AMORTIZACAO_C[[DIAS_CORRIDOS]:[V_FUT_UTEIS]], L$5, FALSE)</f>
        <v>#N/A</v>
      </c>
    </row>
    <row r="2836" spans="1:12" hidden="1">
      <c r="A2836" s="19">
        <f t="shared" si="229"/>
        <v>2830</v>
      </c>
      <c r="B2836" s="20">
        <f t="shared" si="225"/>
        <v>0</v>
      </c>
      <c r="C2836" s="21">
        <f t="shared" si="226"/>
        <v>0</v>
      </c>
      <c r="D2836" s="22" t="e">
        <f>VLOOKUP($A2836, TAB_JUROS_U[[Q_DIAS_U_PARC_TIR]:[V_FUT_U_JURS CENARIO]], D$5, FALSE)</f>
        <v>#N/A</v>
      </c>
      <c r="E2836" s="22" t="e">
        <f>VLOOKUP($A2836,TAB_CORRECAO_U[[Q_DIAS_U_PARC_TIR]:[V_FUT_U_CORC-02]],E$5, FALSE)</f>
        <v>#N/A</v>
      </c>
      <c r="F2836" s="22" t="e">
        <f>VLOOKUP($A2836,TAB_AMORTIZACAO_U[[Q_DIAS_U_PARC_TIR]:[V_FUT_U_PCPL-02]], F$5, FALSE)</f>
        <v>#N/A</v>
      </c>
      <c r="H2836" s="20">
        <f t="shared" si="227"/>
        <v>0</v>
      </c>
      <c r="I2836" s="21">
        <f t="shared" si="228"/>
        <v>0</v>
      </c>
      <c r="J2836" s="22" t="e">
        <f>VLOOKUP($A2836, TAB_JUROS_C[[DIAS_CORRIDOS]:[V_FUT_UTEIS]], J$5, FALSE)</f>
        <v>#N/A</v>
      </c>
      <c r="K2836" s="22" t="e">
        <f>VLOOKUP($A2836, TAB_CORRECAO_C[[DIAS_CORRIDOS]:[V_FUT_UTEIS]],K$5, FALSE)</f>
        <v>#N/A</v>
      </c>
      <c r="L2836" s="22" t="e">
        <f>VLOOKUP($A2836, TAB_AMORTIZACAO_C[[DIAS_CORRIDOS]:[V_FUT_UTEIS]], L$5, FALSE)</f>
        <v>#N/A</v>
      </c>
    </row>
    <row r="2837" spans="1:12" hidden="1">
      <c r="A2837" s="19">
        <f t="shared" si="229"/>
        <v>2831</v>
      </c>
      <c r="B2837" s="20">
        <f t="shared" si="225"/>
        <v>0</v>
      </c>
      <c r="C2837" s="21">
        <f t="shared" si="226"/>
        <v>0</v>
      </c>
      <c r="D2837" s="22" t="e">
        <f>VLOOKUP($A2837, TAB_JUROS_U[[Q_DIAS_U_PARC_TIR]:[V_FUT_U_JURS CENARIO]], D$5, FALSE)</f>
        <v>#N/A</v>
      </c>
      <c r="E2837" s="22" t="e">
        <f>VLOOKUP($A2837,TAB_CORRECAO_U[[Q_DIAS_U_PARC_TIR]:[V_FUT_U_CORC-02]],E$5, FALSE)</f>
        <v>#N/A</v>
      </c>
      <c r="F2837" s="22" t="e">
        <f>VLOOKUP($A2837,TAB_AMORTIZACAO_U[[Q_DIAS_U_PARC_TIR]:[V_FUT_U_PCPL-02]], F$5, FALSE)</f>
        <v>#N/A</v>
      </c>
      <c r="H2837" s="20">
        <f t="shared" si="227"/>
        <v>0</v>
      </c>
      <c r="I2837" s="21">
        <f t="shared" si="228"/>
        <v>0</v>
      </c>
      <c r="J2837" s="22" t="e">
        <f>VLOOKUP($A2837, TAB_JUROS_C[[DIAS_CORRIDOS]:[V_FUT_UTEIS]], J$5, FALSE)</f>
        <v>#N/A</v>
      </c>
      <c r="K2837" s="22" t="e">
        <f>VLOOKUP($A2837, TAB_CORRECAO_C[[DIAS_CORRIDOS]:[V_FUT_UTEIS]],K$5, FALSE)</f>
        <v>#N/A</v>
      </c>
      <c r="L2837" s="22" t="e">
        <f>VLOOKUP($A2837, TAB_AMORTIZACAO_C[[DIAS_CORRIDOS]:[V_FUT_UTEIS]], L$5, FALSE)</f>
        <v>#N/A</v>
      </c>
    </row>
    <row r="2838" spans="1:12" hidden="1">
      <c r="A2838" s="19">
        <f t="shared" si="229"/>
        <v>2832</v>
      </c>
      <c r="B2838" s="20">
        <f t="shared" si="225"/>
        <v>0</v>
      </c>
      <c r="C2838" s="21">
        <f t="shared" si="226"/>
        <v>0</v>
      </c>
      <c r="D2838" s="22" t="e">
        <f>VLOOKUP($A2838, TAB_JUROS_U[[Q_DIAS_U_PARC_TIR]:[V_FUT_U_JURS CENARIO]], D$5, FALSE)</f>
        <v>#N/A</v>
      </c>
      <c r="E2838" s="22" t="e">
        <f>VLOOKUP($A2838,TAB_CORRECAO_U[[Q_DIAS_U_PARC_TIR]:[V_FUT_U_CORC-02]],E$5, FALSE)</f>
        <v>#N/A</v>
      </c>
      <c r="F2838" s="22" t="e">
        <f>VLOOKUP($A2838,TAB_AMORTIZACAO_U[[Q_DIAS_U_PARC_TIR]:[V_FUT_U_PCPL-02]], F$5, FALSE)</f>
        <v>#N/A</v>
      </c>
      <c r="H2838" s="20">
        <f t="shared" si="227"/>
        <v>0</v>
      </c>
      <c r="I2838" s="21">
        <f t="shared" si="228"/>
        <v>0</v>
      </c>
      <c r="J2838" s="22" t="e">
        <f>VLOOKUP($A2838, TAB_JUROS_C[[DIAS_CORRIDOS]:[V_FUT_UTEIS]], J$5, FALSE)</f>
        <v>#N/A</v>
      </c>
      <c r="K2838" s="22" t="e">
        <f>VLOOKUP($A2838, TAB_CORRECAO_C[[DIAS_CORRIDOS]:[V_FUT_UTEIS]],K$5, FALSE)</f>
        <v>#N/A</v>
      </c>
      <c r="L2838" s="22" t="e">
        <f>VLOOKUP($A2838, TAB_AMORTIZACAO_C[[DIAS_CORRIDOS]:[V_FUT_UTEIS]], L$5, FALSE)</f>
        <v>#N/A</v>
      </c>
    </row>
    <row r="2839" spans="1:12" hidden="1">
      <c r="A2839" s="19">
        <f t="shared" si="229"/>
        <v>2833</v>
      </c>
      <c r="B2839" s="20">
        <f t="shared" si="225"/>
        <v>0</v>
      </c>
      <c r="C2839" s="21">
        <f t="shared" si="226"/>
        <v>0</v>
      </c>
      <c r="D2839" s="22" t="e">
        <f>VLOOKUP($A2839, TAB_JUROS_U[[Q_DIAS_U_PARC_TIR]:[V_FUT_U_JURS CENARIO]], D$5, FALSE)</f>
        <v>#N/A</v>
      </c>
      <c r="E2839" s="22" t="e">
        <f>VLOOKUP($A2839,TAB_CORRECAO_U[[Q_DIAS_U_PARC_TIR]:[V_FUT_U_CORC-02]],E$5, FALSE)</f>
        <v>#N/A</v>
      </c>
      <c r="F2839" s="22" t="e">
        <f>VLOOKUP($A2839,TAB_AMORTIZACAO_U[[Q_DIAS_U_PARC_TIR]:[V_FUT_U_PCPL-02]], F$5, FALSE)</f>
        <v>#N/A</v>
      </c>
      <c r="H2839" s="20">
        <f t="shared" si="227"/>
        <v>0</v>
      </c>
      <c r="I2839" s="21">
        <f t="shared" si="228"/>
        <v>0</v>
      </c>
      <c r="J2839" s="22" t="e">
        <f>VLOOKUP($A2839, TAB_JUROS_C[[DIAS_CORRIDOS]:[V_FUT_UTEIS]], J$5, FALSE)</f>
        <v>#N/A</v>
      </c>
      <c r="K2839" s="22" t="e">
        <f>VLOOKUP($A2839, TAB_CORRECAO_C[[DIAS_CORRIDOS]:[V_FUT_UTEIS]],K$5, FALSE)</f>
        <v>#N/A</v>
      </c>
      <c r="L2839" s="22" t="e">
        <f>VLOOKUP($A2839, TAB_AMORTIZACAO_C[[DIAS_CORRIDOS]:[V_FUT_UTEIS]], L$5, FALSE)</f>
        <v>#N/A</v>
      </c>
    </row>
    <row r="2840" spans="1:12" hidden="1">
      <c r="A2840" s="19">
        <f t="shared" si="229"/>
        <v>2834</v>
      </c>
      <c r="B2840" s="20">
        <f t="shared" si="225"/>
        <v>0</v>
      </c>
      <c r="C2840" s="21">
        <f t="shared" si="226"/>
        <v>0</v>
      </c>
      <c r="D2840" s="22" t="e">
        <f>VLOOKUP($A2840, TAB_JUROS_U[[Q_DIAS_U_PARC_TIR]:[V_FUT_U_JURS CENARIO]], D$5, FALSE)</f>
        <v>#N/A</v>
      </c>
      <c r="E2840" s="22" t="e">
        <f>VLOOKUP($A2840,TAB_CORRECAO_U[[Q_DIAS_U_PARC_TIR]:[V_FUT_U_CORC-02]],E$5, FALSE)</f>
        <v>#N/A</v>
      </c>
      <c r="F2840" s="22" t="e">
        <f>VLOOKUP($A2840,TAB_AMORTIZACAO_U[[Q_DIAS_U_PARC_TIR]:[V_FUT_U_PCPL-02]], F$5, FALSE)</f>
        <v>#N/A</v>
      </c>
      <c r="H2840" s="20">
        <f t="shared" si="227"/>
        <v>0</v>
      </c>
      <c r="I2840" s="21">
        <f t="shared" si="228"/>
        <v>0</v>
      </c>
      <c r="J2840" s="22" t="e">
        <f>VLOOKUP($A2840, TAB_JUROS_C[[DIAS_CORRIDOS]:[V_FUT_UTEIS]], J$5, FALSE)</f>
        <v>#N/A</v>
      </c>
      <c r="K2840" s="22" t="e">
        <f>VLOOKUP($A2840, TAB_CORRECAO_C[[DIAS_CORRIDOS]:[V_FUT_UTEIS]],K$5, FALSE)</f>
        <v>#N/A</v>
      </c>
      <c r="L2840" s="22" t="e">
        <f>VLOOKUP($A2840, TAB_AMORTIZACAO_C[[DIAS_CORRIDOS]:[V_FUT_UTEIS]], L$5, FALSE)</f>
        <v>#N/A</v>
      </c>
    </row>
    <row r="2841" spans="1:12">
      <c r="A2841" s="19">
        <f t="shared" si="229"/>
        <v>2835</v>
      </c>
      <c r="B2841" s="20">
        <f t="shared" si="225"/>
        <v>109.5209865145239</v>
      </c>
      <c r="C2841" s="21">
        <f t="shared" si="226"/>
        <v>109.5209865145239</v>
      </c>
      <c r="D2841" s="22">
        <f>VLOOKUP($A2841, TAB_JUROS_U[[Q_DIAS_U_PARC_TIR]:[V_FUT_U_JURS CENARIO]], D$5, FALSE)</f>
        <v>1.8241685594090382</v>
      </c>
      <c r="E2841" s="22">
        <f>VLOOKUP($A2841,TAB_CORRECAO_U[[Q_DIAS_U_PARC_TIR]:[V_FUT_U_CORC-02]],E$5, FALSE)</f>
        <v>11.151545376910166</v>
      </c>
      <c r="F2841" s="22">
        <f>VLOOKUP($A2841,TAB_AMORTIZACAO_U[[Q_DIAS_U_PARC_TIR]:[V_FUT_U_PCPL-02]], F$5, FALSE)</f>
        <v>96.545272578204688</v>
      </c>
      <c r="H2841" s="20">
        <f t="shared" si="227"/>
        <v>0</v>
      </c>
      <c r="I2841" s="21">
        <f t="shared" si="228"/>
        <v>0</v>
      </c>
      <c r="J2841" s="22" t="e">
        <f>VLOOKUP($A2841, TAB_JUROS_C[[DIAS_CORRIDOS]:[V_FUT_UTEIS]], J$5, FALSE)</f>
        <v>#N/A</v>
      </c>
      <c r="K2841" s="22" t="e">
        <f>VLOOKUP($A2841, TAB_CORRECAO_C[[DIAS_CORRIDOS]:[V_FUT_UTEIS]],K$5, FALSE)</f>
        <v>#N/A</v>
      </c>
      <c r="L2841" s="22" t="e">
        <f>VLOOKUP($A2841, TAB_AMORTIZACAO_C[[DIAS_CORRIDOS]:[V_FUT_UTEIS]], L$5, FALSE)</f>
        <v>#N/A</v>
      </c>
    </row>
    <row r="2842" spans="1:12" hidden="1">
      <c r="A2842" s="19">
        <f t="shared" si="229"/>
        <v>2836</v>
      </c>
      <c r="B2842" s="20">
        <f t="shared" si="225"/>
        <v>0</v>
      </c>
      <c r="C2842" s="21">
        <f t="shared" si="226"/>
        <v>0</v>
      </c>
      <c r="D2842" s="22" t="e">
        <f>VLOOKUP($A2842, TAB_JUROS_U[[Q_DIAS_U_PARC_TIR]:[V_FUT_U_JURS CENARIO]], D$5, FALSE)</f>
        <v>#N/A</v>
      </c>
      <c r="E2842" s="22" t="e">
        <f>VLOOKUP($A2842,TAB_CORRECAO_U[[Q_DIAS_U_PARC_TIR]:[V_FUT_U_CORC-02]],E$5, FALSE)</f>
        <v>#N/A</v>
      </c>
      <c r="F2842" s="22" t="e">
        <f>VLOOKUP($A2842,TAB_AMORTIZACAO_U[[Q_DIAS_U_PARC_TIR]:[V_FUT_U_PCPL-02]], F$5, FALSE)</f>
        <v>#N/A</v>
      </c>
      <c r="H2842" s="20">
        <f t="shared" si="227"/>
        <v>0</v>
      </c>
      <c r="I2842" s="21">
        <f t="shared" si="228"/>
        <v>0</v>
      </c>
      <c r="J2842" s="22" t="e">
        <f>VLOOKUP($A2842, TAB_JUROS_C[[DIAS_CORRIDOS]:[V_FUT_UTEIS]], J$5, FALSE)</f>
        <v>#N/A</v>
      </c>
      <c r="K2842" s="22" t="e">
        <f>VLOOKUP($A2842, TAB_CORRECAO_C[[DIAS_CORRIDOS]:[V_FUT_UTEIS]],K$5, FALSE)</f>
        <v>#N/A</v>
      </c>
      <c r="L2842" s="22" t="e">
        <f>VLOOKUP($A2842, TAB_AMORTIZACAO_C[[DIAS_CORRIDOS]:[V_FUT_UTEIS]], L$5, FALSE)</f>
        <v>#N/A</v>
      </c>
    </row>
    <row r="2843" spans="1:12" hidden="1">
      <c r="A2843" s="19">
        <f t="shared" si="229"/>
        <v>2837</v>
      </c>
      <c r="B2843" s="20">
        <f t="shared" si="225"/>
        <v>0</v>
      </c>
      <c r="C2843" s="21">
        <f t="shared" si="226"/>
        <v>0</v>
      </c>
      <c r="D2843" s="22" t="e">
        <f>VLOOKUP($A2843, TAB_JUROS_U[[Q_DIAS_U_PARC_TIR]:[V_FUT_U_JURS CENARIO]], D$5, FALSE)</f>
        <v>#N/A</v>
      </c>
      <c r="E2843" s="22" t="e">
        <f>VLOOKUP($A2843,TAB_CORRECAO_U[[Q_DIAS_U_PARC_TIR]:[V_FUT_U_CORC-02]],E$5, FALSE)</f>
        <v>#N/A</v>
      </c>
      <c r="F2843" s="22" t="e">
        <f>VLOOKUP($A2843,TAB_AMORTIZACAO_U[[Q_DIAS_U_PARC_TIR]:[V_FUT_U_PCPL-02]], F$5, FALSE)</f>
        <v>#N/A</v>
      </c>
      <c r="H2843" s="20">
        <f t="shared" si="227"/>
        <v>0</v>
      </c>
      <c r="I2843" s="21">
        <f t="shared" si="228"/>
        <v>0</v>
      </c>
      <c r="J2843" s="22" t="e">
        <f>VLOOKUP($A2843, TAB_JUROS_C[[DIAS_CORRIDOS]:[V_FUT_UTEIS]], J$5, FALSE)</f>
        <v>#N/A</v>
      </c>
      <c r="K2843" s="22" t="e">
        <f>VLOOKUP($A2843, TAB_CORRECAO_C[[DIAS_CORRIDOS]:[V_FUT_UTEIS]],K$5, FALSE)</f>
        <v>#N/A</v>
      </c>
      <c r="L2843" s="22" t="e">
        <f>VLOOKUP($A2843, TAB_AMORTIZACAO_C[[DIAS_CORRIDOS]:[V_FUT_UTEIS]], L$5, FALSE)</f>
        <v>#N/A</v>
      </c>
    </row>
    <row r="2844" spans="1:12" hidden="1">
      <c r="A2844" s="19">
        <f t="shared" si="229"/>
        <v>2838</v>
      </c>
      <c r="B2844" s="20">
        <f t="shared" si="225"/>
        <v>0</v>
      </c>
      <c r="C2844" s="21">
        <f t="shared" si="226"/>
        <v>0</v>
      </c>
      <c r="D2844" s="22" t="e">
        <f>VLOOKUP($A2844, TAB_JUROS_U[[Q_DIAS_U_PARC_TIR]:[V_FUT_U_JURS CENARIO]], D$5, FALSE)</f>
        <v>#N/A</v>
      </c>
      <c r="E2844" s="22" t="e">
        <f>VLOOKUP($A2844,TAB_CORRECAO_U[[Q_DIAS_U_PARC_TIR]:[V_FUT_U_CORC-02]],E$5, FALSE)</f>
        <v>#N/A</v>
      </c>
      <c r="F2844" s="22" t="e">
        <f>VLOOKUP($A2844,TAB_AMORTIZACAO_U[[Q_DIAS_U_PARC_TIR]:[V_FUT_U_PCPL-02]], F$5, FALSE)</f>
        <v>#N/A</v>
      </c>
      <c r="H2844" s="20">
        <f t="shared" si="227"/>
        <v>0</v>
      </c>
      <c r="I2844" s="21">
        <f t="shared" si="228"/>
        <v>0</v>
      </c>
      <c r="J2844" s="22" t="e">
        <f>VLOOKUP($A2844, TAB_JUROS_C[[DIAS_CORRIDOS]:[V_FUT_UTEIS]], J$5, FALSE)</f>
        <v>#N/A</v>
      </c>
      <c r="K2844" s="22" t="e">
        <f>VLOOKUP($A2844, TAB_CORRECAO_C[[DIAS_CORRIDOS]:[V_FUT_UTEIS]],K$5, FALSE)</f>
        <v>#N/A</v>
      </c>
      <c r="L2844" s="22" t="e">
        <f>VLOOKUP($A2844, TAB_AMORTIZACAO_C[[DIAS_CORRIDOS]:[V_FUT_UTEIS]], L$5, FALSE)</f>
        <v>#N/A</v>
      </c>
    </row>
    <row r="2845" spans="1:12" hidden="1">
      <c r="A2845" s="19">
        <f t="shared" si="229"/>
        <v>2839</v>
      </c>
      <c r="B2845" s="20">
        <f t="shared" si="225"/>
        <v>0</v>
      </c>
      <c r="C2845" s="21">
        <f t="shared" si="226"/>
        <v>0</v>
      </c>
      <c r="D2845" s="22" t="e">
        <f>VLOOKUP($A2845, TAB_JUROS_U[[Q_DIAS_U_PARC_TIR]:[V_FUT_U_JURS CENARIO]], D$5, FALSE)</f>
        <v>#N/A</v>
      </c>
      <c r="E2845" s="22" t="e">
        <f>VLOOKUP($A2845,TAB_CORRECAO_U[[Q_DIAS_U_PARC_TIR]:[V_FUT_U_CORC-02]],E$5, FALSE)</f>
        <v>#N/A</v>
      </c>
      <c r="F2845" s="22" t="e">
        <f>VLOOKUP($A2845,TAB_AMORTIZACAO_U[[Q_DIAS_U_PARC_TIR]:[V_FUT_U_PCPL-02]], F$5, FALSE)</f>
        <v>#N/A</v>
      </c>
      <c r="H2845" s="20">
        <f t="shared" si="227"/>
        <v>0</v>
      </c>
      <c r="I2845" s="21">
        <f t="shared" si="228"/>
        <v>0</v>
      </c>
      <c r="J2845" s="22" t="e">
        <f>VLOOKUP($A2845, TAB_JUROS_C[[DIAS_CORRIDOS]:[V_FUT_UTEIS]], J$5, FALSE)</f>
        <v>#N/A</v>
      </c>
      <c r="K2845" s="22" t="e">
        <f>VLOOKUP($A2845, TAB_CORRECAO_C[[DIAS_CORRIDOS]:[V_FUT_UTEIS]],K$5, FALSE)</f>
        <v>#N/A</v>
      </c>
      <c r="L2845" s="22" t="e">
        <f>VLOOKUP($A2845, TAB_AMORTIZACAO_C[[DIAS_CORRIDOS]:[V_FUT_UTEIS]], L$5, FALSE)</f>
        <v>#N/A</v>
      </c>
    </row>
    <row r="2846" spans="1:12" hidden="1">
      <c r="A2846" s="19">
        <f t="shared" si="229"/>
        <v>2840</v>
      </c>
      <c r="B2846" s="20">
        <f t="shared" si="225"/>
        <v>0</v>
      </c>
      <c r="C2846" s="21">
        <f t="shared" si="226"/>
        <v>0</v>
      </c>
      <c r="D2846" s="22" t="e">
        <f>VLOOKUP($A2846, TAB_JUROS_U[[Q_DIAS_U_PARC_TIR]:[V_FUT_U_JURS CENARIO]], D$5, FALSE)</f>
        <v>#N/A</v>
      </c>
      <c r="E2846" s="22" t="e">
        <f>VLOOKUP($A2846,TAB_CORRECAO_U[[Q_DIAS_U_PARC_TIR]:[V_FUT_U_CORC-02]],E$5, FALSE)</f>
        <v>#N/A</v>
      </c>
      <c r="F2846" s="22" t="e">
        <f>VLOOKUP($A2846,TAB_AMORTIZACAO_U[[Q_DIAS_U_PARC_TIR]:[V_FUT_U_PCPL-02]], F$5, FALSE)</f>
        <v>#N/A</v>
      </c>
      <c r="H2846" s="20">
        <f t="shared" si="227"/>
        <v>0</v>
      </c>
      <c r="I2846" s="21">
        <f t="shared" si="228"/>
        <v>0</v>
      </c>
      <c r="J2846" s="22" t="e">
        <f>VLOOKUP($A2846, TAB_JUROS_C[[DIAS_CORRIDOS]:[V_FUT_UTEIS]], J$5, FALSE)</f>
        <v>#N/A</v>
      </c>
      <c r="K2846" s="22" t="e">
        <f>VLOOKUP($A2846, TAB_CORRECAO_C[[DIAS_CORRIDOS]:[V_FUT_UTEIS]],K$5, FALSE)</f>
        <v>#N/A</v>
      </c>
      <c r="L2846" s="22" t="e">
        <f>VLOOKUP($A2846, TAB_AMORTIZACAO_C[[DIAS_CORRIDOS]:[V_FUT_UTEIS]], L$5, FALSE)</f>
        <v>#N/A</v>
      </c>
    </row>
    <row r="2847" spans="1:12" hidden="1">
      <c r="A2847" s="19">
        <f t="shared" si="229"/>
        <v>2841</v>
      </c>
      <c r="B2847" s="20">
        <f t="shared" si="225"/>
        <v>0</v>
      </c>
      <c r="C2847" s="21">
        <f t="shared" si="226"/>
        <v>0</v>
      </c>
      <c r="D2847" s="22" t="e">
        <f>VLOOKUP($A2847, TAB_JUROS_U[[Q_DIAS_U_PARC_TIR]:[V_FUT_U_JURS CENARIO]], D$5, FALSE)</f>
        <v>#N/A</v>
      </c>
      <c r="E2847" s="22" t="e">
        <f>VLOOKUP($A2847,TAB_CORRECAO_U[[Q_DIAS_U_PARC_TIR]:[V_FUT_U_CORC-02]],E$5, FALSE)</f>
        <v>#N/A</v>
      </c>
      <c r="F2847" s="22" t="e">
        <f>VLOOKUP($A2847,TAB_AMORTIZACAO_U[[Q_DIAS_U_PARC_TIR]:[V_FUT_U_PCPL-02]], F$5, FALSE)</f>
        <v>#N/A</v>
      </c>
      <c r="H2847" s="20">
        <f t="shared" si="227"/>
        <v>0</v>
      </c>
      <c r="I2847" s="21">
        <f t="shared" si="228"/>
        <v>0</v>
      </c>
      <c r="J2847" s="22" t="e">
        <f>VLOOKUP($A2847, TAB_JUROS_C[[DIAS_CORRIDOS]:[V_FUT_UTEIS]], J$5, FALSE)</f>
        <v>#N/A</v>
      </c>
      <c r="K2847" s="22" t="e">
        <f>VLOOKUP($A2847, TAB_CORRECAO_C[[DIAS_CORRIDOS]:[V_FUT_UTEIS]],K$5, FALSE)</f>
        <v>#N/A</v>
      </c>
      <c r="L2847" s="22" t="e">
        <f>VLOOKUP($A2847, TAB_AMORTIZACAO_C[[DIAS_CORRIDOS]:[V_FUT_UTEIS]], L$5, FALSE)</f>
        <v>#N/A</v>
      </c>
    </row>
    <row r="2848" spans="1:12" hidden="1">
      <c r="A2848" s="19">
        <f t="shared" si="229"/>
        <v>2842</v>
      </c>
      <c r="B2848" s="20">
        <f t="shared" si="225"/>
        <v>0</v>
      </c>
      <c r="C2848" s="21">
        <f t="shared" si="226"/>
        <v>0</v>
      </c>
      <c r="D2848" s="22" t="e">
        <f>VLOOKUP($A2848, TAB_JUROS_U[[Q_DIAS_U_PARC_TIR]:[V_FUT_U_JURS CENARIO]], D$5, FALSE)</f>
        <v>#N/A</v>
      </c>
      <c r="E2848" s="22" t="e">
        <f>VLOOKUP($A2848,TAB_CORRECAO_U[[Q_DIAS_U_PARC_TIR]:[V_FUT_U_CORC-02]],E$5, FALSE)</f>
        <v>#N/A</v>
      </c>
      <c r="F2848" s="22" t="e">
        <f>VLOOKUP($A2848,TAB_AMORTIZACAO_U[[Q_DIAS_U_PARC_TIR]:[V_FUT_U_PCPL-02]], F$5, FALSE)</f>
        <v>#N/A</v>
      </c>
      <c r="H2848" s="20">
        <f t="shared" si="227"/>
        <v>0</v>
      </c>
      <c r="I2848" s="21">
        <f t="shared" si="228"/>
        <v>0</v>
      </c>
      <c r="J2848" s="22" t="e">
        <f>VLOOKUP($A2848, TAB_JUROS_C[[DIAS_CORRIDOS]:[V_FUT_UTEIS]], J$5, FALSE)</f>
        <v>#N/A</v>
      </c>
      <c r="K2848" s="22" t="e">
        <f>VLOOKUP($A2848, TAB_CORRECAO_C[[DIAS_CORRIDOS]:[V_FUT_UTEIS]],K$5, FALSE)</f>
        <v>#N/A</v>
      </c>
      <c r="L2848" s="22" t="e">
        <f>VLOOKUP($A2848, TAB_AMORTIZACAO_C[[DIAS_CORRIDOS]:[V_FUT_UTEIS]], L$5, FALSE)</f>
        <v>#N/A</v>
      </c>
    </row>
    <row r="2849" spans="1:12" hidden="1">
      <c r="A2849" s="19">
        <f t="shared" si="229"/>
        <v>2843</v>
      </c>
      <c r="B2849" s="20">
        <f t="shared" si="225"/>
        <v>0</v>
      </c>
      <c r="C2849" s="21">
        <f t="shared" si="226"/>
        <v>0</v>
      </c>
      <c r="D2849" s="22" t="e">
        <f>VLOOKUP($A2849, TAB_JUROS_U[[Q_DIAS_U_PARC_TIR]:[V_FUT_U_JURS CENARIO]], D$5, FALSE)</f>
        <v>#N/A</v>
      </c>
      <c r="E2849" s="22" t="e">
        <f>VLOOKUP($A2849,TAB_CORRECAO_U[[Q_DIAS_U_PARC_TIR]:[V_FUT_U_CORC-02]],E$5, FALSE)</f>
        <v>#N/A</v>
      </c>
      <c r="F2849" s="22" t="e">
        <f>VLOOKUP($A2849,TAB_AMORTIZACAO_U[[Q_DIAS_U_PARC_TIR]:[V_FUT_U_PCPL-02]], F$5, FALSE)</f>
        <v>#N/A</v>
      </c>
      <c r="H2849" s="20">
        <f t="shared" si="227"/>
        <v>312.06260964237254</v>
      </c>
      <c r="I2849" s="21">
        <f t="shared" si="228"/>
        <v>312.06260964237254</v>
      </c>
      <c r="J2849" s="22">
        <f>VLOOKUP($A2849, TAB_JUROS_C[[DIAS_CORRIDOS]:[V_FUT_UTEIS]], J$5, FALSE)</f>
        <v>17.271033895864058</v>
      </c>
      <c r="K2849" s="22">
        <f>VLOOKUP($A2849, TAB_CORRECAO_C[[DIAS_CORRIDOS]:[V_FUT_UTEIS]],K$5, FALSE)</f>
        <v>111.69872301264452</v>
      </c>
      <c r="L2849" s="22">
        <f>VLOOKUP($A2849, TAB_AMORTIZACAO_C[[DIAS_CORRIDOS]:[V_FUT_UTEIS]], L$5, FALSE)</f>
        <v>183.09285273386399</v>
      </c>
    </row>
    <row r="2850" spans="1:12" hidden="1">
      <c r="A2850" s="19">
        <f t="shared" si="229"/>
        <v>2844</v>
      </c>
      <c r="B2850" s="20">
        <f t="shared" si="225"/>
        <v>0</v>
      </c>
      <c r="C2850" s="21">
        <f t="shared" si="226"/>
        <v>0</v>
      </c>
      <c r="D2850" s="22" t="e">
        <f>VLOOKUP($A2850, TAB_JUROS_U[[Q_DIAS_U_PARC_TIR]:[V_FUT_U_JURS CENARIO]], D$5, FALSE)</f>
        <v>#N/A</v>
      </c>
      <c r="E2850" s="22" t="e">
        <f>VLOOKUP($A2850,TAB_CORRECAO_U[[Q_DIAS_U_PARC_TIR]:[V_FUT_U_CORC-02]],E$5, FALSE)</f>
        <v>#N/A</v>
      </c>
      <c r="F2850" s="22" t="e">
        <f>VLOOKUP($A2850,TAB_AMORTIZACAO_U[[Q_DIAS_U_PARC_TIR]:[V_FUT_U_PCPL-02]], F$5, FALSE)</f>
        <v>#N/A</v>
      </c>
      <c r="H2850" s="20">
        <f t="shared" si="227"/>
        <v>0</v>
      </c>
      <c r="I2850" s="21">
        <f t="shared" si="228"/>
        <v>0</v>
      </c>
      <c r="J2850" s="22" t="e">
        <f>VLOOKUP($A2850, TAB_JUROS_C[[DIAS_CORRIDOS]:[V_FUT_UTEIS]], J$5, FALSE)</f>
        <v>#N/A</v>
      </c>
      <c r="K2850" s="22" t="e">
        <f>VLOOKUP($A2850, TAB_CORRECAO_C[[DIAS_CORRIDOS]:[V_FUT_UTEIS]],K$5, FALSE)</f>
        <v>#N/A</v>
      </c>
      <c r="L2850" s="22" t="e">
        <f>VLOOKUP($A2850, TAB_AMORTIZACAO_C[[DIAS_CORRIDOS]:[V_FUT_UTEIS]], L$5, FALSE)</f>
        <v>#N/A</v>
      </c>
    </row>
    <row r="2851" spans="1:12" hidden="1">
      <c r="A2851" s="19">
        <f t="shared" si="229"/>
        <v>2845</v>
      </c>
      <c r="B2851" s="20">
        <f t="shared" si="225"/>
        <v>0</v>
      </c>
      <c r="C2851" s="21">
        <f t="shared" si="226"/>
        <v>0</v>
      </c>
      <c r="D2851" s="22" t="e">
        <f>VLOOKUP($A2851, TAB_JUROS_U[[Q_DIAS_U_PARC_TIR]:[V_FUT_U_JURS CENARIO]], D$5, FALSE)</f>
        <v>#N/A</v>
      </c>
      <c r="E2851" s="22" t="e">
        <f>VLOOKUP($A2851,TAB_CORRECAO_U[[Q_DIAS_U_PARC_TIR]:[V_FUT_U_CORC-02]],E$5, FALSE)</f>
        <v>#N/A</v>
      </c>
      <c r="F2851" s="22" t="e">
        <f>VLOOKUP($A2851,TAB_AMORTIZACAO_U[[Q_DIAS_U_PARC_TIR]:[V_FUT_U_PCPL-02]], F$5, FALSE)</f>
        <v>#N/A</v>
      </c>
      <c r="H2851" s="20">
        <f t="shared" si="227"/>
        <v>0</v>
      </c>
      <c r="I2851" s="21">
        <f t="shared" si="228"/>
        <v>0</v>
      </c>
      <c r="J2851" s="22" t="e">
        <f>VLOOKUP($A2851, TAB_JUROS_C[[DIAS_CORRIDOS]:[V_FUT_UTEIS]], J$5, FALSE)</f>
        <v>#N/A</v>
      </c>
      <c r="K2851" s="22" t="e">
        <f>VLOOKUP($A2851, TAB_CORRECAO_C[[DIAS_CORRIDOS]:[V_FUT_UTEIS]],K$5, FALSE)</f>
        <v>#N/A</v>
      </c>
      <c r="L2851" s="22" t="e">
        <f>VLOOKUP($A2851, TAB_AMORTIZACAO_C[[DIAS_CORRIDOS]:[V_FUT_UTEIS]], L$5, FALSE)</f>
        <v>#N/A</v>
      </c>
    </row>
    <row r="2852" spans="1:12" hidden="1">
      <c r="A2852" s="19">
        <f t="shared" si="229"/>
        <v>2846</v>
      </c>
      <c r="B2852" s="20">
        <f t="shared" si="225"/>
        <v>0</v>
      </c>
      <c r="C2852" s="21">
        <f t="shared" si="226"/>
        <v>0</v>
      </c>
      <c r="D2852" s="22" t="e">
        <f>VLOOKUP($A2852, TAB_JUROS_U[[Q_DIAS_U_PARC_TIR]:[V_FUT_U_JURS CENARIO]], D$5, FALSE)</f>
        <v>#N/A</v>
      </c>
      <c r="E2852" s="22" t="e">
        <f>VLOOKUP($A2852,TAB_CORRECAO_U[[Q_DIAS_U_PARC_TIR]:[V_FUT_U_CORC-02]],E$5, FALSE)</f>
        <v>#N/A</v>
      </c>
      <c r="F2852" s="22" t="e">
        <f>VLOOKUP($A2852,TAB_AMORTIZACAO_U[[Q_DIAS_U_PARC_TIR]:[V_FUT_U_PCPL-02]], F$5, FALSE)</f>
        <v>#N/A</v>
      </c>
      <c r="H2852" s="20">
        <f t="shared" si="227"/>
        <v>0</v>
      </c>
      <c r="I2852" s="21">
        <f t="shared" si="228"/>
        <v>0</v>
      </c>
      <c r="J2852" s="22" t="e">
        <f>VLOOKUP($A2852, TAB_JUROS_C[[DIAS_CORRIDOS]:[V_FUT_UTEIS]], J$5, FALSE)</f>
        <v>#N/A</v>
      </c>
      <c r="K2852" s="22" t="e">
        <f>VLOOKUP($A2852, TAB_CORRECAO_C[[DIAS_CORRIDOS]:[V_FUT_UTEIS]],K$5, FALSE)</f>
        <v>#N/A</v>
      </c>
      <c r="L2852" s="22" t="e">
        <f>VLOOKUP($A2852, TAB_AMORTIZACAO_C[[DIAS_CORRIDOS]:[V_FUT_UTEIS]], L$5, FALSE)</f>
        <v>#N/A</v>
      </c>
    </row>
    <row r="2853" spans="1:12" hidden="1">
      <c r="A2853" s="19">
        <f t="shared" si="229"/>
        <v>2847</v>
      </c>
      <c r="B2853" s="20">
        <f t="shared" si="225"/>
        <v>0</v>
      </c>
      <c r="C2853" s="21">
        <f t="shared" si="226"/>
        <v>0</v>
      </c>
      <c r="D2853" s="22" t="e">
        <f>VLOOKUP($A2853, TAB_JUROS_U[[Q_DIAS_U_PARC_TIR]:[V_FUT_U_JURS CENARIO]], D$5, FALSE)</f>
        <v>#N/A</v>
      </c>
      <c r="E2853" s="22" t="e">
        <f>VLOOKUP($A2853,TAB_CORRECAO_U[[Q_DIAS_U_PARC_TIR]:[V_FUT_U_CORC-02]],E$5, FALSE)</f>
        <v>#N/A</v>
      </c>
      <c r="F2853" s="22" t="e">
        <f>VLOOKUP($A2853,TAB_AMORTIZACAO_U[[Q_DIAS_U_PARC_TIR]:[V_FUT_U_PCPL-02]], F$5, FALSE)</f>
        <v>#N/A</v>
      </c>
      <c r="H2853" s="20">
        <f t="shared" si="227"/>
        <v>0</v>
      </c>
      <c r="I2853" s="21">
        <f t="shared" si="228"/>
        <v>0</v>
      </c>
      <c r="J2853" s="22" t="e">
        <f>VLOOKUP($A2853, TAB_JUROS_C[[DIAS_CORRIDOS]:[V_FUT_UTEIS]], J$5, FALSE)</f>
        <v>#N/A</v>
      </c>
      <c r="K2853" s="22" t="e">
        <f>VLOOKUP($A2853, TAB_CORRECAO_C[[DIAS_CORRIDOS]:[V_FUT_UTEIS]],K$5, FALSE)</f>
        <v>#N/A</v>
      </c>
      <c r="L2853" s="22" t="e">
        <f>VLOOKUP($A2853, TAB_AMORTIZACAO_C[[DIAS_CORRIDOS]:[V_FUT_UTEIS]], L$5, FALSE)</f>
        <v>#N/A</v>
      </c>
    </row>
    <row r="2854" spans="1:12" hidden="1">
      <c r="A2854" s="19">
        <f t="shared" si="229"/>
        <v>2848</v>
      </c>
      <c r="B2854" s="20">
        <f t="shared" si="225"/>
        <v>0</v>
      </c>
      <c r="C2854" s="21">
        <f t="shared" si="226"/>
        <v>0</v>
      </c>
      <c r="D2854" s="22" t="e">
        <f>VLOOKUP($A2854, TAB_JUROS_U[[Q_DIAS_U_PARC_TIR]:[V_FUT_U_JURS CENARIO]], D$5, FALSE)</f>
        <v>#N/A</v>
      </c>
      <c r="E2854" s="22" t="e">
        <f>VLOOKUP($A2854,TAB_CORRECAO_U[[Q_DIAS_U_PARC_TIR]:[V_FUT_U_CORC-02]],E$5, FALSE)</f>
        <v>#N/A</v>
      </c>
      <c r="F2854" s="22" t="e">
        <f>VLOOKUP($A2854,TAB_AMORTIZACAO_U[[Q_DIAS_U_PARC_TIR]:[V_FUT_U_PCPL-02]], F$5, FALSE)</f>
        <v>#N/A</v>
      </c>
      <c r="H2854" s="20">
        <f t="shared" si="227"/>
        <v>0</v>
      </c>
      <c r="I2854" s="21">
        <f t="shared" si="228"/>
        <v>0</v>
      </c>
      <c r="J2854" s="22" t="e">
        <f>VLOOKUP($A2854, TAB_JUROS_C[[DIAS_CORRIDOS]:[V_FUT_UTEIS]], J$5, FALSE)</f>
        <v>#N/A</v>
      </c>
      <c r="K2854" s="22" t="e">
        <f>VLOOKUP($A2854, TAB_CORRECAO_C[[DIAS_CORRIDOS]:[V_FUT_UTEIS]],K$5, FALSE)</f>
        <v>#N/A</v>
      </c>
      <c r="L2854" s="22" t="e">
        <f>VLOOKUP($A2854, TAB_AMORTIZACAO_C[[DIAS_CORRIDOS]:[V_FUT_UTEIS]], L$5, FALSE)</f>
        <v>#N/A</v>
      </c>
    </row>
    <row r="2855" spans="1:12" hidden="1">
      <c r="A2855" s="19">
        <f t="shared" si="229"/>
        <v>2849</v>
      </c>
      <c r="B2855" s="20">
        <f t="shared" si="225"/>
        <v>0</v>
      </c>
      <c r="C2855" s="21">
        <f t="shared" si="226"/>
        <v>0</v>
      </c>
      <c r="D2855" s="22" t="e">
        <f>VLOOKUP($A2855, TAB_JUROS_U[[Q_DIAS_U_PARC_TIR]:[V_FUT_U_JURS CENARIO]], D$5, FALSE)</f>
        <v>#N/A</v>
      </c>
      <c r="E2855" s="22" t="e">
        <f>VLOOKUP($A2855,TAB_CORRECAO_U[[Q_DIAS_U_PARC_TIR]:[V_FUT_U_CORC-02]],E$5, FALSE)</f>
        <v>#N/A</v>
      </c>
      <c r="F2855" s="22" t="e">
        <f>VLOOKUP($A2855,TAB_AMORTIZACAO_U[[Q_DIAS_U_PARC_TIR]:[V_FUT_U_PCPL-02]], F$5, FALSE)</f>
        <v>#N/A</v>
      </c>
      <c r="H2855" s="20">
        <f t="shared" si="227"/>
        <v>0</v>
      </c>
      <c r="I2855" s="21">
        <f t="shared" si="228"/>
        <v>0</v>
      </c>
      <c r="J2855" s="22" t="e">
        <f>VLOOKUP($A2855, TAB_JUROS_C[[DIAS_CORRIDOS]:[V_FUT_UTEIS]], J$5, FALSE)</f>
        <v>#N/A</v>
      </c>
      <c r="K2855" s="22" t="e">
        <f>VLOOKUP($A2855, TAB_CORRECAO_C[[DIAS_CORRIDOS]:[V_FUT_UTEIS]],K$5, FALSE)</f>
        <v>#N/A</v>
      </c>
      <c r="L2855" s="22" t="e">
        <f>VLOOKUP($A2855, TAB_AMORTIZACAO_C[[DIAS_CORRIDOS]:[V_FUT_UTEIS]], L$5, FALSE)</f>
        <v>#N/A</v>
      </c>
    </row>
    <row r="2856" spans="1:12" hidden="1">
      <c r="A2856" s="19">
        <f t="shared" si="229"/>
        <v>2850</v>
      </c>
      <c r="B2856" s="20">
        <f t="shared" si="225"/>
        <v>0</v>
      </c>
      <c r="C2856" s="21">
        <f t="shared" si="226"/>
        <v>0</v>
      </c>
      <c r="D2856" s="22" t="e">
        <f>VLOOKUP($A2856, TAB_JUROS_U[[Q_DIAS_U_PARC_TIR]:[V_FUT_U_JURS CENARIO]], D$5, FALSE)</f>
        <v>#N/A</v>
      </c>
      <c r="E2856" s="22" t="e">
        <f>VLOOKUP($A2856,TAB_CORRECAO_U[[Q_DIAS_U_PARC_TIR]:[V_FUT_U_CORC-02]],E$5, FALSE)</f>
        <v>#N/A</v>
      </c>
      <c r="F2856" s="22" t="e">
        <f>VLOOKUP($A2856,TAB_AMORTIZACAO_U[[Q_DIAS_U_PARC_TIR]:[V_FUT_U_PCPL-02]], F$5, FALSE)</f>
        <v>#N/A</v>
      </c>
      <c r="H2856" s="20">
        <f t="shared" si="227"/>
        <v>0</v>
      </c>
      <c r="I2856" s="21">
        <f t="shared" si="228"/>
        <v>0</v>
      </c>
      <c r="J2856" s="22" t="e">
        <f>VLOOKUP($A2856, TAB_JUROS_C[[DIAS_CORRIDOS]:[V_FUT_UTEIS]], J$5, FALSE)</f>
        <v>#N/A</v>
      </c>
      <c r="K2856" s="22" t="e">
        <f>VLOOKUP($A2856, TAB_CORRECAO_C[[DIAS_CORRIDOS]:[V_FUT_UTEIS]],K$5, FALSE)</f>
        <v>#N/A</v>
      </c>
      <c r="L2856" s="22" t="e">
        <f>VLOOKUP($A2856, TAB_AMORTIZACAO_C[[DIAS_CORRIDOS]:[V_FUT_UTEIS]], L$5, FALSE)</f>
        <v>#N/A</v>
      </c>
    </row>
    <row r="2857" spans="1:12" hidden="1">
      <c r="A2857" s="19">
        <f t="shared" si="229"/>
        <v>2851</v>
      </c>
      <c r="B2857" s="20">
        <f t="shared" si="225"/>
        <v>0</v>
      </c>
      <c r="C2857" s="21">
        <f t="shared" si="226"/>
        <v>0</v>
      </c>
      <c r="D2857" s="22" t="e">
        <f>VLOOKUP($A2857, TAB_JUROS_U[[Q_DIAS_U_PARC_TIR]:[V_FUT_U_JURS CENARIO]], D$5, FALSE)</f>
        <v>#N/A</v>
      </c>
      <c r="E2857" s="22" t="e">
        <f>VLOOKUP($A2857,TAB_CORRECAO_U[[Q_DIAS_U_PARC_TIR]:[V_FUT_U_CORC-02]],E$5, FALSE)</f>
        <v>#N/A</v>
      </c>
      <c r="F2857" s="22" t="e">
        <f>VLOOKUP($A2857,TAB_AMORTIZACAO_U[[Q_DIAS_U_PARC_TIR]:[V_FUT_U_PCPL-02]], F$5, FALSE)</f>
        <v>#N/A</v>
      </c>
      <c r="H2857" s="20">
        <f t="shared" si="227"/>
        <v>0</v>
      </c>
      <c r="I2857" s="21">
        <f t="shared" si="228"/>
        <v>0</v>
      </c>
      <c r="J2857" s="22" t="e">
        <f>VLOOKUP($A2857, TAB_JUROS_C[[DIAS_CORRIDOS]:[V_FUT_UTEIS]], J$5, FALSE)</f>
        <v>#N/A</v>
      </c>
      <c r="K2857" s="22" t="e">
        <f>VLOOKUP($A2857, TAB_CORRECAO_C[[DIAS_CORRIDOS]:[V_FUT_UTEIS]],K$5, FALSE)</f>
        <v>#N/A</v>
      </c>
      <c r="L2857" s="22" t="e">
        <f>VLOOKUP($A2857, TAB_AMORTIZACAO_C[[DIAS_CORRIDOS]:[V_FUT_UTEIS]], L$5, FALSE)</f>
        <v>#N/A</v>
      </c>
    </row>
    <row r="2858" spans="1:12" hidden="1">
      <c r="A2858" s="19">
        <f t="shared" si="229"/>
        <v>2852</v>
      </c>
      <c r="B2858" s="20">
        <f t="shared" si="225"/>
        <v>0</v>
      </c>
      <c r="C2858" s="21">
        <f t="shared" si="226"/>
        <v>0</v>
      </c>
      <c r="D2858" s="22" t="e">
        <f>VLOOKUP($A2858, TAB_JUROS_U[[Q_DIAS_U_PARC_TIR]:[V_FUT_U_JURS CENARIO]], D$5, FALSE)</f>
        <v>#N/A</v>
      </c>
      <c r="E2858" s="22" t="e">
        <f>VLOOKUP($A2858,TAB_CORRECAO_U[[Q_DIAS_U_PARC_TIR]:[V_FUT_U_CORC-02]],E$5, FALSE)</f>
        <v>#N/A</v>
      </c>
      <c r="F2858" s="22" t="e">
        <f>VLOOKUP($A2858,TAB_AMORTIZACAO_U[[Q_DIAS_U_PARC_TIR]:[V_FUT_U_PCPL-02]], F$5, FALSE)</f>
        <v>#N/A</v>
      </c>
      <c r="H2858" s="20">
        <f t="shared" si="227"/>
        <v>0</v>
      </c>
      <c r="I2858" s="21">
        <f t="shared" si="228"/>
        <v>0</v>
      </c>
      <c r="J2858" s="22" t="e">
        <f>VLOOKUP($A2858, TAB_JUROS_C[[DIAS_CORRIDOS]:[V_FUT_UTEIS]], J$5, FALSE)</f>
        <v>#N/A</v>
      </c>
      <c r="K2858" s="22" t="e">
        <f>VLOOKUP($A2858, TAB_CORRECAO_C[[DIAS_CORRIDOS]:[V_FUT_UTEIS]],K$5, FALSE)</f>
        <v>#N/A</v>
      </c>
      <c r="L2858" s="22" t="e">
        <f>VLOOKUP($A2858, TAB_AMORTIZACAO_C[[DIAS_CORRIDOS]:[V_FUT_UTEIS]], L$5, FALSE)</f>
        <v>#N/A</v>
      </c>
    </row>
    <row r="2859" spans="1:12" hidden="1">
      <c r="A2859" s="19">
        <f t="shared" si="229"/>
        <v>2853</v>
      </c>
      <c r="B2859" s="20">
        <f t="shared" si="225"/>
        <v>0</v>
      </c>
      <c r="C2859" s="21">
        <f t="shared" si="226"/>
        <v>0</v>
      </c>
      <c r="D2859" s="22" t="e">
        <f>VLOOKUP($A2859, TAB_JUROS_U[[Q_DIAS_U_PARC_TIR]:[V_FUT_U_JURS CENARIO]], D$5, FALSE)</f>
        <v>#N/A</v>
      </c>
      <c r="E2859" s="22" t="e">
        <f>VLOOKUP($A2859,TAB_CORRECAO_U[[Q_DIAS_U_PARC_TIR]:[V_FUT_U_CORC-02]],E$5, FALSE)</f>
        <v>#N/A</v>
      </c>
      <c r="F2859" s="22" t="e">
        <f>VLOOKUP($A2859,TAB_AMORTIZACAO_U[[Q_DIAS_U_PARC_TIR]:[V_FUT_U_PCPL-02]], F$5, FALSE)</f>
        <v>#N/A</v>
      </c>
      <c r="H2859" s="20">
        <f t="shared" si="227"/>
        <v>0</v>
      </c>
      <c r="I2859" s="21">
        <f t="shared" si="228"/>
        <v>0</v>
      </c>
      <c r="J2859" s="22" t="e">
        <f>VLOOKUP($A2859, TAB_JUROS_C[[DIAS_CORRIDOS]:[V_FUT_UTEIS]], J$5, FALSE)</f>
        <v>#N/A</v>
      </c>
      <c r="K2859" s="22" t="e">
        <f>VLOOKUP($A2859, TAB_CORRECAO_C[[DIAS_CORRIDOS]:[V_FUT_UTEIS]],K$5, FALSE)</f>
        <v>#N/A</v>
      </c>
      <c r="L2859" s="22" t="e">
        <f>VLOOKUP($A2859, TAB_AMORTIZACAO_C[[DIAS_CORRIDOS]:[V_FUT_UTEIS]], L$5, FALSE)</f>
        <v>#N/A</v>
      </c>
    </row>
    <row r="2860" spans="1:12" hidden="1">
      <c r="A2860" s="19">
        <f t="shared" si="229"/>
        <v>2854</v>
      </c>
      <c r="B2860" s="20">
        <f t="shared" si="225"/>
        <v>0</v>
      </c>
      <c r="C2860" s="21">
        <f t="shared" si="226"/>
        <v>0</v>
      </c>
      <c r="D2860" s="22" t="e">
        <f>VLOOKUP($A2860, TAB_JUROS_U[[Q_DIAS_U_PARC_TIR]:[V_FUT_U_JURS CENARIO]], D$5, FALSE)</f>
        <v>#N/A</v>
      </c>
      <c r="E2860" s="22" t="e">
        <f>VLOOKUP($A2860,TAB_CORRECAO_U[[Q_DIAS_U_PARC_TIR]:[V_FUT_U_CORC-02]],E$5, FALSE)</f>
        <v>#N/A</v>
      </c>
      <c r="F2860" s="22" t="e">
        <f>VLOOKUP($A2860,TAB_AMORTIZACAO_U[[Q_DIAS_U_PARC_TIR]:[V_FUT_U_PCPL-02]], F$5, FALSE)</f>
        <v>#N/A</v>
      </c>
      <c r="H2860" s="20">
        <f t="shared" si="227"/>
        <v>0</v>
      </c>
      <c r="I2860" s="21">
        <f t="shared" si="228"/>
        <v>0</v>
      </c>
      <c r="J2860" s="22" t="e">
        <f>VLOOKUP($A2860, TAB_JUROS_C[[DIAS_CORRIDOS]:[V_FUT_UTEIS]], J$5, FALSE)</f>
        <v>#N/A</v>
      </c>
      <c r="K2860" s="22" t="e">
        <f>VLOOKUP($A2860, TAB_CORRECAO_C[[DIAS_CORRIDOS]:[V_FUT_UTEIS]],K$5, FALSE)</f>
        <v>#N/A</v>
      </c>
      <c r="L2860" s="22" t="e">
        <f>VLOOKUP($A2860, TAB_AMORTIZACAO_C[[DIAS_CORRIDOS]:[V_FUT_UTEIS]], L$5, FALSE)</f>
        <v>#N/A</v>
      </c>
    </row>
    <row r="2861" spans="1:12" hidden="1">
      <c r="A2861" s="19">
        <f t="shared" si="229"/>
        <v>2855</v>
      </c>
      <c r="B2861" s="20">
        <f t="shared" si="225"/>
        <v>0</v>
      </c>
      <c r="C2861" s="21">
        <f t="shared" si="226"/>
        <v>0</v>
      </c>
      <c r="D2861" s="22" t="e">
        <f>VLOOKUP($A2861, TAB_JUROS_U[[Q_DIAS_U_PARC_TIR]:[V_FUT_U_JURS CENARIO]], D$5, FALSE)</f>
        <v>#N/A</v>
      </c>
      <c r="E2861" s="22" t="e">
        <f>VLOOKUP($A2861,TAB_CORRECAO_U[[Q_DIAS_U_PARC_TIR]:[V_FUT_U_CORC-02]],E$5, FALSE)</f>
        <v>#N/A</v>
      </c>
      <c r="F2861" s="22" t="e">
        <f>VLOOKUP($A2861,TAB_AMORTIZACAO_U[[Q_DIAS_U_PARC_TIR]:[V_FUT_U_PCPL-02]], F$5, FALSE)</f>
        <v>#N/A</v>
      </c>
      <c r="H2861" s="20">
        <f t="shared" si="227"/>
        <v>0</v>
      </c>
      <c r="I2861" s="21">
        <f t="shared" si="228"/>
        <v>0</v>
      </c>
      <c r="J2861" s="22" t="e">
        <f>VLOOKUP($A2861, TAB_JUROS_C[[DIAS_CORRIDOS]:[V_FUT_UTEIS]], J$5, FALSE)</f>
        <v>#N/A</v>
      </c>
      <c r="K2861" s="22" t="e">
        <f>VLOOKUP($A2861, TAB_CORRECAO_C[[DIAS_CORRIDOS]:[V_FUT_UTEIS]],K$5, FALSE)</f>
        <v>#N/A</v>
      </c>
      <c r="L2861" s="22" t="e">
        <f>VLOOKUP($A2861, TAB_AMORTIZACAO_C[[DIAS_CORRIDOS]:[V_FUT_UTEIS]], L$5, FALSE)</f>
        <v>#N/A</v>
      </c>
    </row>
    <row r="2862" spans="1:12">
      <c r="A2862" s="19">
        <f t="shared" si="229"/>
        <v>2856</v>
      </c>
      <c r="B2862" s="20">
        <f t="shared" si="225"/>
        <v>105.20371559128726</v>
      </c>
      <c r="C2862" s="21">
        <f t="shared" si="226"/>
        <v>105.20371559128726</v>
      </c>
      <c r="D2862" s="22">
        <f>VLOOKUP($A2862, TAB_JUROS_U[[Q_DIAS_U_PARC_TIR]:[V_FUT_U_JURS CENARIO]], D$5, FALSE)</f>
        <v>1.5193130227523295</v>
      </c>
      <c r="E2862" s="22">
        <f>VLOOKUP($A2862,TAB_CORRECAO_U[[Q_DIAS_U_PARC_TIR]:[V_FUT_U_CORC-02]],E$5, FALSE)</f>
        <v>9.2911461198050702</v>
      </c>
      <c r="F2862" s="22">
        <f>VLOOKUP($A2862,TAB_AMORTIZACAO_U[[Q_DIAS_U_PARC_TIR]:[V_FUT_U_PCPL-02]], F$5, FALSE)</f>
        <v>94.393256448729858</v>
      </c>
      <c r="H2862" s="20">
        <f t="shared" si="227"/>
        <v>0</v>
      </c>
      <c r="I2862" s="21">
        <f t="shared" si="228"/>
        <v>0</v>
      </c>
      <c r="J2862" s="22" t="e">
        <f>VLOOKUP($A2862, TAB_JUROS_C[[DIAS_CORRIDOS]:[V_FUT_UTEIS]], J$5, FALSE)</f>
        <v>#N/A</v>
      </c>
      <c r="K2862" s="22" t="e">
        <f>VLOOKUP($A2862, TAB_CORRECAO_C[[DIAS_CORRIDOS]:[V_FUT_UTEIS]],K$5, FALSE)</f>
        <v>#N/A</v>
      </c>
      <c r="L2862" s="22" t="e">
        <f>VLOOKUP($A2862, TAB_AMORTIZACAO_C[[DIAS_CORRIDOS]:[V_FUT_UTEIS]], L$5, FALSE)</f>
        <v>#N/A</v>
      </c>
    </row>
    <row r="2863" spans="1:12" hidden="1">
      <c r="A2863" s="19">
        <f t="shared" si="229"/>
        <v>2857</v>
      </c>
      <c r="B2863" s="20">
        <f t="shared" si="225"/>
        <v>0</v>
      </c>
      <c r="C2863" s="21">
        <f t="shared" si="226"/>
        <v>0</v>
      </c>
      <c r="D2863" s="22" t="e">
        <f>VLOOKUP($A2863, TAB_JUROS_U[[Q_DIAS_U_PARC_TIR]:[V_FUT_U_JURS CENARIO]], D$5, FALSE)</f>
        <v>#N/A</v>
      </c>
      <c r="E2863" s="22" t="e">
        <f>VLOOKUP($A2863,TAB_CORRECAO_U[[Q_DIAS_U_PARC_TIR]:[V_FUT_U_CORC-02]],E$5, FALSE)</f>
        <v>#N/A</v>
      </c>
      <c r="F2863" s="22" t="e">
        <f>VLOOKUP($A2863,TAB_AMORTIZACAO_U[[Q_DIAS_U_PARC_TIR]:[V_FUT_U_PCPL-02]], F$5, FALSE)</f>
        <v>#N/A</v>
      </c>
      <c r="H2863" s="20">
        <f t="shared" si="227"/>
        <v>0</v>
      </c>
      <c r="I2863" s="21">
        <f t="shared" si="228"/>
        <v>0</v>
      </c>
      <c r="J2863" s="22" t="e">
        <f>VLOOKUP($A2863, TAB_JUROS_C[[DIAS_CORRIDOS]:[V_FUT_UTEIS]], J$5, FALSE)</f>
        <v>#N/A</v>
      </c>
      <c r="K2863" s="22" t="e">
        <f>VLOOKUP($A2863, TAB_CORRECAO_C[[DIAS_CORRIDOS]:[V_FUT_UTEIS]],K$5, FALSE)</f>
        <v>#N/A</v>
      </c>
      <c r="L2863" s="22" t="e">
        <f>VLOOKUP($A2863, TAB_AMORTIZACAO_C[[DIAS_CORRIDOS]:[V_FUT_UTEIS]], L$5, FALSE)</f>
        <v>#N/A</v>
      </c>
    </row>
    <row r="2864" spans="1:12" hidden="1">
      <c r="A2864" s="19">
        <f t="shared" si="229"/>
        <v>2858</v>
      </c>
      <c r="B2864" s="20">
        <f t="shared" si="225"/>
        <v>0</v>
      </c>
      <c r="C2864" s="21">
        <f t="shared" si="226"/>
        <v>0</v>
      </c>
      <c r="D2864" s="22" t="e">
        <f>VLOOKUP($A2864, TAB_JUROS_U[[Q_DIAS_U_PARC_TIR]:[V_FUT_U_JURS CENARIO]], D$5, FALSE)</f>
        <v>#N/A</v>
      </c>
      <c r="E2864" s="22" t="e">
        <f>VLOOKUP($A2864,TAB_CORRECAO_U[[Q_DIAS_U_PARC_TIR]:[V_FUT_U_CORC-02]],E$5, FALSE)</f>
        <v>#N/A</v>
      </c>
      <c r="F2864" s="22" t="e">
        <f>VLOOKUP($A2864,TAB_AMORTIZACAO_U[[Q_DIAS_U_PARC_TIR]:[V_FUT_U_PCPL-02]], F$5, FALSE)</f>
        <v>#N/A</v>
      </c>
      <c r="H2864" s="20">
        <f t="shared" si="227"/>
        <v>0</v>
      </c>
      <c r="I2864" s="21">
        <f t="shared" si="228"/>
        <v>0</v>
      </c>
      <c r="J2864" s="22" t="e">
        <f>VLOOKUP($A2864, TAB_JUROS_C[[DIAS_CORRIDOS]:[V_FUT_UTEIS]], J$5, FALSE)</f>
        <v>#N/A</v>
      </c>
      <c r="K2864" s="22" t="e">
        <f>VLOOKUP($A2864, TAB_CORRECAO_C[[DIAS_CORRIDOS]:[V_FUT_UTEIS]],K$5, FALSE)</f>
        <v>#N/A</v>
      </c>
      <c r="L2864" s="22" t="e">
        <f>VLOOKUP($A2864, TAB_AMORTIZACAO_C[[DIAS_CORRIDOS]:[V_FUT_UTEIS]], L$5, FALSE)</f>
        <v>#N/A</v>
      </c>
    </row>
    <row r="2865" spans="1:12" hidden="1">
      <c r="A2865" s="19">
        <f t="shared" si="229"/>
        <v>2859</v>
      </c>
      <c r="B2865" s="20">
        <f t="shared" si="225"/>
        <v>0</v>
      </c>
      <c r="C2865" s="21">
        <f t="shared" si="226"/>
        <v>0</v>
      </c>
      <c r="D2865" s="22" t="e">
        <f>VLOOKUP($A2865, TAB_JUROS_U[[Q_DIAS_U_PARC_TIR]:[V_FUT_U_JURS CENARIO]], D$5, FALSE)</f>
        <v>#N/A</v>
      </c>
      <c r="E2865" s="22" t="e">
        <f>VLOOKUP($A2865,TAB_CORRECAO_U[[Q_DIAS_U_PARC_TIR]:[V_FUT_U_CORC-02]],E$5, FALSE)</f>
        <v>#N/A</v>
      </c>
      <c r="F2865" s="22" t="e">
        <f>VLOOKUP($A2865,TAB_AMORTIZACAO_U[[Q_DIAS_U_PARC_TIR]:[V_FUT_U_PCPL-02]], F$5, FALSE)</f>
        <v>#N/A</v>
      </c>
      <c r="H2865" s="20">
        <f t="shared" si="227"/>
        <v>0</v>
      </c>
      <c r="I2865" s="21">
        <f t="shared" si="228"/>
        <v>0</v>
      </c>
      <c r="J2865" s="22" t="e">
        <f>VLOOKUP($A2865, TAB_JUROS_C[[DIAS_CORRIDOS]:[V_FUT_UTEIS]], J$5, FALSE)</f>
        <v>#N/A</v>
      </c>
      <c r="K2865" s="22" t="e">
        <f>VLOOKUP($A2865, TAB_CORRECAO_C[[DIAS_CORRIDOS]:[V_FUT_UTEIS]],K$5, FALSE)</f>
        <v>#N/A</v>
      </c>
      <c r="L2865" s="22" t="e">
        <f>VLOOKUP($A2865, TAB_AMORTIZACAO_C[[DIAS_CORRIDOS]:[V_FUT_UTEIS]], L$5, FALSE)</f>
        <v>#N/A</v>
      </c>
    </row>
    <row r="2866" spans="1:12" hidden="1">
      <c r="A2866" s="19">
        <f t="shared" si="229"/>
        <v>2860</v>
      </c>
      <c r="B2866" s="20">
        <f t="shared" si="225"/>
        <v>0</v>
      </c>
      <c r="C2866" s="21">
        <f t="shared" si="226"/>
        <v>0</v>
      </c>
      <c r="D2866" s="22" t="e">
        <f>VLOOKUP($A2866, TAB_JUROS_U[[Q_DIAS_U_PARC_TIR]:[V_FUT_U_JURS CENARIO]], D$5, FALSE)</f>
        <v>#N/A</v>
      </c>
      <c r="E2866" s="22" t="e">
        <f>VLOOKUP($A2866,TAB_CORRECAO_U[[Q_DIAS_U_PARC_TIR]:[V_FUT_U_CORC-02]],E$5, FALSE)</f>
        <v>#N/A</v>
      </c>
      <c r="F2866" s="22" t="e">
        <f>VLOOKUP($A2866,TAB_AMORTIZACAO_U[[Q_DIAS_U_PARC_TIR]:[V_FUT_U_PCPL-02]], F$5, FALSE)</f>
        <v>#N/A</v>
      </c>
      <c r="H2866" s="20">
        <f t="shared" si="227"/>
        <v>0</v>
      </c>
      <c r="I2866" s="21">
        <f t="shared" si="228"/>
        <v>0</v>
      </c>
      <c r="J2866" s="22" t="e">
        <f>VLOOKUP($A2866, TAB_JUROS_C[[DIAS_CORRIDOS]:[V_FUT_UTEIS]], J$5, FALSE)</f>
        <v>#N/A</v>
      </c>
      <c r="K2866" s="22" t="e">
        <f>VLOOKUP($A2866, TAB_CORRECAO_C[[DIAS_CORRIDOS]:[V_FUT_UTEIS]],K$5, FALSE)</f>
        <v>#N/A</v>
      </c>
      <c r="L2866" s="22" t="e">
        <f>VLOOKUP($A2866, TAB_AMORTIZACAO_C[[DIAS_CORRIDOS]:[V_FUT_UTEIS]], L$5, FALSE)</f>
        <v>#N/A</v>
      </c>
    </row>
    <row r="2867" spans="1:12" hidden="1">
      <c r="A2867" s="19">
        <f t="shared" si="229"/>
        <v>2861</v>
      </c>
      <c r="B2867" s="20">
        <f t="shared" si="225"/>
        <v>0</v>
      </c>
      <c r="C2867" s="21">
        <f t="shared" si="226"/>
        <v>0</v>
      </c>
      <c r="D2867" s="22" t="e">
        <f>VLOOKUP($A2867, TAB_JUROS_U[[Q_DIAS_U_PARC_TIR]:[V_FUT_U_JURS CENARIO]], D$5, FALSE)</f>
        <v>#N/A</v>
      </c>
      <c r="E2867" s="22" t="e">
        <f>VLOOKUP($A2867,TAB_CORRECAO_U[[Q_DIAS_U_PARC_TIR]:[V_FUT_U_CORC-02]],E$5, FALSE)</f>
        <v>#N/A</v>
      </c>
      <c r="F2867" s="22" t="e">
        <f>VLOOKUP($A2867,TAB_AMORTIZACAO_U[[Q_DIAS_U_PARC_TIR]:[V_FUT_U_PCPL-02]], F$5, FALSE)</f>
        <v>#N/A</v>
      </c>
      <c r="H2867" s="20">
        <f t="shared" si="227"/>
        <v>0</v>
      </c>
      <c r="I2867" s="21">
        <f t="shared" si="228"/>
        <v>0</v>
      </c>
      <c r="J2867" s="22" t="e">
        <f>VLOOKUP($A2867, TAB_JUROS_C[[DIAS_CORRIDOS]:[V_FUT_UTEIS]], J$5, FALSE)</f>
        <v>#N/A</v>
      </c>
      <c r="K2867" s="22" t="e">
        <f>VLOOKUP($A2867, TAB_CORRECAO_C[[DIAS_CORRIDOS]:[V_FUT_UTEIS]],K$5, FALSE)</f>
        <v>#N/A</v>
      </c>
      <c r="L2867" s="22" t="e">
        <f>VLOOKUP($A2867, TAB_AMORTIZACAO_C[[DIAS_CORRIDOS]:[V_FUT_UTEIS]], L$5, FALSE)</f>
        <v>#N/A</v>
      </c>
    </row>
    <row r="2868" spans="1:12" hidden="1">
      <c r="A2868" s="19">
        <f t="shared" si="229"/>
        <v>2862</v>
      </c>
      <c r="B2868" s="20">
        <f t="shared" si="225"/>
        <v>0</v>
      </c>
      <c r="C2868" s="21">
        <f t="shared" si="226"/>
        <v>0</v>
      </c>
      <c r="D2868" s="22" t="e">
        <f>VLOOKUP($A2868, TAB_JUROS_U[[Q_DIAS_U_PARC_TIR]:[V_FUT_U_JURS CENARIO]], D$5, FALSE)</f>
        <v>#N/A</v>
      </c>
      <c r="E2868" s="22" t="e">
        <f>VLOOKUP($A2868,TAB_CORRECAO_U[[Q_DIAS_U_PARC_TIR]:[V_FUT_U_CORC-02]],E$5, FALSE)</f>
        <v>#N/A</v>
      </c>
      <c r="F2868" s="22" t="e">
        <f>VLOOKUP($A2868,TAB_AMORTIZACAO_U[[Q_DIAS_U_PARC_TIR]:[V_FUT_U_PCPL-02]], F$5, FALSE)</f>
        <v>#N/A</v>
      </c>
      <c r="H2868" s="20">
        <f t="shared" si="227"/>
        <v>0</v>
      </c>
      <c r="I2868" s="21">
        <f t="shared" si="228"/>
        <v>0</v>
      </c>
      <c r="J2868" s="22" t="e">
        <f>VLOOKUP($A2868, TAB_JUROS_C[[DIAS_CORRIDOS]:[V_FUT_UTEIS]], J$5, FALSE)</f>
        <v>#N/A</v>
      </c>
      <c r="K2868" s="22" t="e">
        <f>VLOOKUP($A2868, TAB_CORRECAO_C[[DIAS_CORRIDOS]:[V_FUT_UTEIS]],K$5, FALSE)</f>
        <v>#N/A</v>
      </c>
      <c r="L2868" s="22" t="e">
        <f>VLOOKUP($A2868, TAB_AMORTIZACAO_C[[DIAS_CORRIDOS]:[V_FUT_UTEIS]], L$5, FALSE)</f>
        <v>#N/A</v>
      </c>
    </row>
    <row r="2869" spans="1:12" hidden="1">
      <c r="A2869" s="19">
        <f t="shared" si="229"/>
        <v>2863</v>
      </c>
      <c r="B2869" s="20">
        <f t="shared" si="225"/>
        <v>0</v>
      </c>
      <c r="C2869" s="21">
        <f t="shared" si="226"/>
        <v>0</v>
      </c>
      <c r="D2869" s="22" t="e">
        <f>VLOOKUP($A2869, TAB_JUROS_U[[Q_DIAS_U_PARC_TIR]:[V_FUT_U_JURS CENARIO]], D$5, FALSE)</f>
        <v>#N/A</v>
      </c>
      <c r="E2869" s="22" t="e">
        <f>VLOOKUP($A2869,TAB_CORRECAO_U[[Q_DIAS_U_PARC_TIR]:[V_FUT_U_CORC-02]],E$5, FALSE)</f>
        <v>#N/A</v>
      </c>
      <c r="F2869" s="22" t="e">
        <f>VLOOKUP($A2869,TAB_AMORTIZACAO_U[[Q_DIAS_U_PARC_TIR]:[V_FUT_U_PCPL-02]], F$5, FALSE)</f>
        <v>#N/A</v>
      </c>
      <c r="H2869" s="20">
        <f t="shared" si="227"/>
        <v>0</v>
      </c>
      <c r="I2869" s="21">
        <f t="shared" si="228"/>
        <v>0</v>
      </c>
      <c r="J2869" s="22" t="e">
        <f>VLOOKUP($A2869, TAB_JUROS_C[[DIAS_CORRIDOS]:[V_FUT_UTEIS]], J$5, FALSE)</f>
        <v>#N/A</v>
      </c>
      <c r="K2869" s="22" t="e">
        <f>VLOOKUP($A2869, TAB_CORRECAO_C[[DIAS_CORRIDOS]:[V_FUT_UTEIS]],K$5, FALSE)</f>
        <v>#N/A</v>
      </c>
      <c r="L2869" s="22" t="e">
        <f>VLOOKUP($A2869, TAB_AMORTIZACAO_C[[DIAS_CORRIDOS]:[V_FUT_UTEIS]], L$5, FALSE)</f>
        <v>#N/A</v>
      </c>
    </row>
    <row r="2870" spans="1:12" hidden="1">
      <c r="A2870" s="19">
        <f t="shared" si="229"/>
        <v>2864</v>
      </c>
      <c r="B2870" s="20">
        <f t="shared" si="225"/>
        <v>0</v>
      </c>
      <c r="C2870" s="21">
        <f t="shared" si="226"/>
        <v>0</v>
      </c>
      <c r="D2870" s="22" t="e">
        <f>VLOOKUP($A2870, TAB_JUROS_U[[Q_DIAS_U_PARC_TIR]:[V_FUT_U_JURS CENARIO]], D$5, FALSE)</f>
        <v>#N/A</v>
      </c>
      <c r="E2870" s="22" t="e">
        <f>VLOOKUP($A2870,TAB_CORRECAO_U[[Q_DIAS_U_PARC_TIR]:[V_FUT_U_CORC-02]],E$5, FALSE)</f>
        <v>#N/A</v>
      </c>
      <c r="F2870" s="22" t="e">
        <f>VLOOKUP($A2870,TAB_AMORTIZACAO_U[[Q_DIAS_U_PARC_TIR]:[V_FUT_U_PCPL-02]], F$5, FALSE)</f>
        <v>#N/A</v>
      </c>
      <c r="H2870" s="20">
        <f t="shared" si="227"/>
        <v>0</v>
      </c>
      <c r="I2870" s="21">
        <f t="shared" si="228"/>
        <v>0</v>
      </c>
      <c r="J2870" s="22" t="e">
        <f>VLOOKUP($A2870, TAB_JUROS_C[[DIAS_CORRIDOS]:[V_FUT_UTEIS]], J$5, FALSE)</f>
        <v>#N/A</v>
      </c>
      <c r="K2870" s="22" t="e">
        <f>VLOOKUP($A2870, TAB_CORRECAO_C[[DIAS_CORRIDOS]:[V_FUT_UTEIS]],K$5, FALSE)</f>
        <v>#N/A</v>
      </c>
      <c r="L2870" s="22" t="e">
        <f>VLOOKUP($A2870, TAB_AMORTIZACAO_C[[DIAS_CORRIDOS]:[V_FUT_UTEIS]], L$5, FALSE)</f>
        <v>#N/A</v>
      </c>
    </row>
    <row r="2871" spans="1:12" hidden="1">
      <c r="A2871" s="19">
        <f t="shared" si="229"/>
        <v>2865</v>
      </c>
      <c r="B2871" s="20">
        <f t="shared" si="225"/>
        <v>0</v>
      </c>
      <c r="C2871" s="21">
        <f t="shared" si="226"/>
        <v>0</v>
      </c>
      <c r="D2871" s="22" t="e">
        <f>VLOOKUP($A2871, TAB_JUROS_U[[Q_DIAS_U_PARC_TIR]:[V_FUT_U_JURS CENARIO]], D$5, FALSE)</f>
        <v>#N/A</v>
      </c>
      <c r="E2871" s="22" t="e">
        <f>VLOOKUP($A2871,TAB_CORRECAO_U[[Q_DIAS_U_PARC_TIR]:[V_FUT_U_CORC-02]],E$5, FALSE)</f>
        <v>#N/A</v>
      </c>
      <c r="F2871" s="22" t="e">
        <f>VLOOKUP($A2871,TAB_AMORTIZACAO_U[[Q_DIAS_U_PARC_TIR]:[V_FUT_U_PCPL-02]], F$5, FALSE)</f>
        <v>#N/A</v>
      </c>
      <c r="H2871" s="20">
        <f t="shared" si="227"/>
        <v>0</v>
      </c>
      <c r="I2871" s="21">
        <f t="shared" si="228"/>
        <v>0</v>
      </c>
      <c r="J2871" s="22" t="e">
        <f>VLOOKUP($A2871, TAB_JUROS_C[[DIAS_CORRIDOS]:[V_FUT_UTEIS]], J$5, FALSE)</f>
        <v>#N/A</v>
      </c>
      <c r="K2871" s="22" t="e">
        <f>VLOOKUP($A2871, TAB_CORRECAO_C[[DIAS_CORRIDOS]:[V_FUT_UTEIS]],K$5, FALSE)</f>
        <v>#N/A</v>
      </c>
      <c r="L2871" s="22" t="e">
        <f>VLOOKUP($A2871, TAB_AMORTIZACAO_C[[DIAS_CORRIDOS]:[V_FUT_UTEIS]], L$5, FALSE)</f>
        <v>#N/A</v>
      </c>
    </row>
    <row r="2872" spans="1:12" hidden="1">
      <c r="A2872" s="19">
        <f t="shared" si="229"/>
        <v>2866</v>
      </c>
      <c r="B2872" s="20">
        <f t="shared" si="225"/>
        <v>0</v>
      </c>
      <c r="C2872" s="21">
        <f t="shared" si="226"/>
        <v>0</v>
      </c>
      <c r="D2872" s="22" t="e">
        <f>VLOOKUP($A2872, TAB_JUROS_U[[Q_DIAS_U_PARC_TIR]:[V_FUT_U_JURS CENARIO]], D$5, FALSE)</f>
        <v>#N/A</v>
      </c>
      <c r="E2872" s="22" t="e">
        <f>VLOOKUP($A2872,TAB_CORRECAO_U[[Q_DIAS_U_PARC_TIR]:[V_FUT_U_CORC-02]],E$5, FALSE)</f>
        <v>#N/A</v>
      </c>
      <c r="F2872" s="22" t="e">
        <f>VLOOKUP($A2872,TAB_AMORTIZACAO_U[[Q_DIAS_U_PARC_TIR]:[V_FUT_U_PCPL-02]], F$5, FALSE)</f>
        <v>#N/A</v>
      </c>
      <c r="H2872" s="20">
        <f t="shared" si="227"/>
        <v>0</v>
      </c>
      <c r="I2872" s="21">
        <f t="shared" si="228"/>
        <v>0</v>
      </c>
      <c r="J2872" s="22" t="e">
        <f>VLOOKUP($A2872, TAB_JUROS_C[[DIAS_CORRIDOS]:[V_FUT_UTEIS]], J$5, FALSE)</f>
        <v>#N/A</v>
      </c>
      <c r="K2872" s="22" t="e">
        <f>VLOOKUP($A2872, TAB_CORRECAO_C[[DIAS_CORRIDOS]:[V_FUT_UTEIS]],K$5, FALSE)</f>
        <v>#N/A</v>
      </c>
      <c r="L2872" s="22" t="e">
        <f>VLOOKUP($A2872, TAB_AMORTIZACAO_C[[DIAS_CORRIDOS]:[V_FUT_UTEIS]], L$5, FALSE)</f>
        <v>#N/A</v>
      </c>
    </row>
    <row r="2873" spans="1:12" hidden="1">
      <c r="A2873" s="19">
        <f t="shared" si="229"/>
        <v>2867</v>
      </c>
      <c r="B2873" s="20">
        <f t="shared" si="225"/>
        <v>0</v>
      </c>
      <c r="C2873" s="21">
        <f t="shared" si="226"/>
        <v>0</v>
      </c>
      <c r="D2873" s="22" t="e">
        <f>VLOOKUP($A2873, TAB_JUROS_U[[Q_DIAS_U_PARC_TIR]:[V_FUT_U_JURS CENARIO]], D$5, FALSE)</f>
        <v>#N/A</v>
      </c>
      <c r="E2873" s="22" t="e">
        <f>VLOOKUP($A2873,TAB_CORRECAO_U[[Q_DIAS_U_PARC_TIR]:[V_FUT_U_CORC-02]],E$5, FALSE)</f>
        <v>#N/A</v>
      </c>
      <c r="F2873" s="22" t="e">
        <f>VLOOKUP($A2873,TAB_AMORTIZACAO_U[[Q_DIAS_U_PARC_TIR]:[V_FUT_U_PCPL-02]], F$5, FALSE)</f>
        <v>#N/A</v>
      </c>
      <c r="H2873" s="20">
        <f t="shared" si="227"/>
        <v>0</v>
      </c>
      <c r="I2873" s="21">
        <f t="shared" si="228"/>
        <v>0</v>
      </c>
      <c r="J2873" s="22" t="e">
        <f>VLOOKUP($A2873, TAB_JUROS_C[[DIAS_CORRIDOS]:[V_FUT_UTEIS]], J$5, FALSE)</f>
        <v>#N/A</v>
      </c>
      <c r="K2873" s="22" t="e">
        <f>VLOOKUP($A2873, TAB_CORRECAO_C[[DIAS_CORRIDOS]:[V_FUT_UTEIS]],K$5, FALSE)</f>
        <v>#N/A</v>
      </c>
      <c r="L2873" s="22" t="e">
        <f>VLOOKUP($A2873, TAB_AMORTIZACAO_C[[DIAS_CORRIDOS]:[V_FUT_UTEIS]], L$5, FALSE)</f>
        <v>#N/A</v>
      </c>
    </row>
    <row r="2874" spans="1:12" hidden="1">
      <c r="A2874" s="19">
        <f t="shared" si="229"/>
        <v>2868</v>
      </c>
      <c r="B2874" s="20">
        <f t="shared" si="225"/>
        <v>0</v>
      </c>
      <c r="C2874" s="21">
        <f t="shared" si="226"/>
        <v>0</v>
      </c>
      <c r="D2874" s="22" t="e">
        <f>VLOOKUP($A2874, TAB_JUROS_U[[Q_DIAS_U_PARC_TIR]:[V_FUT_U_JURS CENARIO]], D$5, FALSE)</f>
        <v>#N/A</v>
      </c>
      <c r="E2874" s="22" t="e">
        <f>VLOOKUP($A2874,TAB_CORRECAO_U[[Q_DIAS_U_PARC_TIR]:[V_FUT_U_CORC-02]],E$5, FALSE)</f>
        <v>#N/A</v>
      </c>
      <c r="F2874" s="22" t="e">
        <f>VLOOKUP($A2874,TAB_AMORTIZACAO_U[[Q_DIAS_U_PARC_TIR]:[V_FUT_U_PCPL-02]], F$5, FALSE)</f>
        <v>#N/A</v>
      </c>
      <c r="H2874" s="20">
        <f t="shared" si="227"/>
        <v>0</v>
      </c>
      <c r="I2874" s="21">
        <f t="shared" si="228"/>
        <v>0</v>
      </c>
      <c r="J2874" s="22" t="e">
        <f>VLOOKUP($A2874, TAB_JUROS_C[[DIAS_CORRIDOS]:[V_FUT_UTEIS]], J$5, FALSE)</f>
        <v>#N/A</v>
      </c>
      <c r="K2874" s="22" t="e">
        <f>VLOOKUP($A2874, TAB_CORRECAO_C[[DIAS_CORRIDOS]:[V_FUT_UTEIS]],K$5, FALSE)</f>
        <v>#N/A</v>
      </c>
      <c r="L2874" s="22" t="e">
        <f>VLOOKUP($A2874, TAB_AMORTIZACAO_C[[DIAS_CORRIDOS]:[V_FUT_UTEIS]], L$5, FALSE)</f>
        <v>#N/A</v>
      </c>
    </row>
    <row r="2875" spans="1:12" hidden="1">
      <c r="A2875" s="19">
        <f t="shared" si="229"/>
        <v>2869</v>
      </c>
      <c r="B2875" s="20">
        <f t="shared" si="225"/>
        <v>0</v>
      </c>
      <c r="C2875" s="21">
        <f t="shared" si="226"/>
        <v>0</v>
      </c>
      <c r="D2875" s="22" t="e">
        <f>VLOOKUP($A2875, TAB_JUROS_U[[Q_DIAS_U_PARC_TIR]:[V_FUT_U_JURS CENARIO]], D$5, FALSE)</f>
        <v>#N/A</v>
      </c>
      <c r="E2875" s="22" t="e">
        <f>VLOOKUP($A2875,TAB_CORRECAO_U[[Q_DIAS_U_PARC_TIR]:[V_FUT_U_CORC-02]],E$5, FALSE)</f>
        <v>#N/A</v>
      </c>
      <c r="F2875" s="22" t="e">
        <f>VLOOKUP($A2875,TAB_AMORTIZACAO_U[[Q_DIAS_U_PARC_TIR]:[V_FUT_U_PCPL-02]], F$5, FALSE)</f>
        <v>#N/A</v>
      </c>
      <c r="H2875" s="20">
        <f t="shared" si="227"/>
        <v>0</v>
      </c>
      <c r="I2875" s="21">
        <f t="shared" si="228"/>
        <v>0</v>
      </c>
      <c r="J2875" s="22" t="e">
        <f>VLOOKUP($A2875, TAB_JUROS_C[[DIAS_CORRIDOS]:[V_FUT_UTEIS]], J$5, FALSE)</f>
        <v>#N/A</v>
      </c>
      <c r="K2875" s="22" t="e">
        <f>VLOOKUP($A2875, TAB_CORRECAO_C[[DIAS_CORRIDOS]:[V_FUT_UTEIS]],K$5, FALSE)</f>
        <v>#N/A</v>
      </c>
      <c r="L2875" s="22" t="e">
        <f>VLOOKUP($A2875, TAB_AMORTIZACAO_C[[DIAS_CORRIDOS]:[V_FUT_UTEIS]], L$5, FALSE)</f>
        <v>#N/A</v>
      </c>
    </row>
    <row r="2876" spans="1:12" hidden="1">
      <c r="A2876" s="19">
        <f t="shared" si="229"/>
        <v>2870</v>
      </c>
      <c r="B2876" s="20">
        <f t="shared" si="225"/>
        <v>0</v>
      </c>
      <c r="C2876" s="21">
        <f t="shared" si="226"/>
        <v>0</v>
      </c>
      <c r="D2876" s="22" t="e">
        <f>VLOOKUP($A2876, TAB_JUROS_U[[Q_DIAS_U_PARC_TIR]:[V_FUT_U_JURS CENARIO]], D$5, FALSE)</f>
        <v>#N/A</v>
      </c>
      <c r="E2876" s="22" t="e">
        <f>VLOOKUP($A2876,TAB_CORRECAO_U[[Q_DIAS_U_PARC_TIR]:[V_FUT_U_CORC-02]],E$5, FALSE)</f>
        <v>#N/A</v>
      </c>
      <c r="F2876" s="22" t="e">
        <f>VLOOKUP($A2876,TAB_AMORTIZACAO_U[[Q_DIAS_U_PARC_TIR]:[V_FUT_U_PCPL-02]], F$5, FALSE)</f>
        <v>#N/A</v>
      </c>
      <c r="H2876" s="20">
        <f t="shared" si="227"/>
        <v>0</v>
      </c>
      <c r="I2876" s="21">
        <f t="shared" si="228"/>
        <v>0</v>
      </c>
      <c r="J2876" s="22" t="e">
        <f>VLOOKUP($A2876, TAB_JUROS_C[[DIAS_CORRIDOS]:[V_FUT_UTEIS]], J$5, FALSE)</f>
        <v>#N/A</v>
      </c>
      <c r="K2876" s="22" t="e">
        <f>VLOOKUP($A2876, TAB_CORRECAO_C[[DIAS_CORRIDOS]:[V_FUT_UTEIS]],K$5, FALSE)</f>
        <v>#N/A</v>
      </c>
      <c r="L2876" s="22" t="e">
        <f>VLOOKUP($A2876, TAB_AMORTIZACAO_C[[DIAS_CORRIDOS]:[V_FUT_UTEIS]], L$5, FALSE)</f>
        <v>#N/A</v>
      </c>
    </row>
    <row r="2877" spans="1:12" hidden="1">
      <c r="A2877" s="19">
        <f t="shared" si="229"/>
        <v>2871</v>
      </c>
      <c r="B2877" s="20">
        <f t="shared" si="225"/>
        <v>0</v>
      </c>
      <c r="C2877" s="21">
        <f t="shared" si="226"/>
        <v>0</v>
      </c>
      <c r="D2877" s="22" t="e">
        <f>VLOOKUP($A2877, TAB_JUROS_U[[Q_DIAS_U_PARC_TIR]:[V_FUT_U_JURS CENARIO]], D$5, FALSE)</f>
        <v>#N/A</v>
      </c>
      <c r="E2877" s="22" t="e">
        <f>VLOOKUP($A2877,TAB_CORRECAO_U[[Q_DIAS_U_PARC_TIR]:[V_FUT_U_CORC-02]],E$5, FALSE)</f>
        <v>#N/A</v>
      </c>
      <c r="F2877" s="22" t="e">
        <f>VLOOKUP($A2877,TAB_AMORTIZACAO_U[[Q_DIAS_U_PARC_TIR]:[V_FUT_U_PCPL-02]], F$5, FALSE)</f>
        <v>#N/A</v>
      </c>
      <c r="H2877" s="20">
        <f t="shared" si="227"/>
        <v>0</v>
      </c>
      <c r="I2877" s="21">
        <f t="shared" si="228"/>
        <v>0</v>
      </c>
      <c r="J2877" s="22" t="e">
        <f>VLOOKUP($A2877, TAB_JUROS_C[[DIAS_CORRIDOS]:[V_FUT_UTEIS]], J$5, FALSE)</f>
        <v>#N/A</v>
      </c>
      <c r="K2877" s="22" t="e">
        <f>VLOOKUP($A2877, TAB_CORRECAO_C[[DIAS_CORRIDOS]:[V_FUT_UTEIS]],K$5, FALSE)</f>
        <v>#N/A</v>
      </c>
      <c r="L2877" s="22" t="e">
        <f>VLOOKUP($A2877, TAB_AMORTIZACAO_C[[DIAS_CORRIDOS]:[V_FUT_UTEIS]], L$5, FALSE)</f>
        <v>#N/A</v>
      </c>
    </row>
    <row r="2878" spans="1:12" hidden="1">
      <c r="A2878" s="19">
        <f t="shared" si="229"/>
        <v>2872</v>
      </c>
      <c r="B2878" s="20">
        <f t="shared" si="225"/>
        <v>0</v>
      </c>
      <c r="C2878" s="21">
        <f t="shared" si="226"/>
        <v>0</v>
      </c>
      <c r="D2878" s="22" t="e">
        <f>VLOOKUP($A2878, TAB_JUROS_U[[Q_DIAS_U_PARC_TIR]:[V_FUT_U_JURS CENARIO]], D$5, FALSE)</f>
        <v>#N/A</v>
      </c>
      <c r="E2878" s="22" t="e">
        <f>VLOOKUP($A2878,TAB_CORRECAO_U[[Q_DIAS_U_PARC_TIR]:[V_FUT_U_CORC-02]],E$5, FALSE)</f>
        <v>#N/A</v>
      </c>
      <c r="F2878" s="22" t="e">
        <f>VLOOKUP($A2878,TAB_AMORTIZACAO_U[[Q_DIAS_U_PARC_TIR]:[V_FUT_U_PCPL-02]], F$5, FALSE)</f>
        <v>#N/A</v>
      </c>
      <c r="H2878" s="20">
        <f t="shared" si="227"/>
        <v>0</v>
      </c>
      <c r="I2878" s="21">
        <f t="shared" si="228"/>
        <v>0</v>
      </c>
      <c r="J2878" s="22" t="e">
        <f>VLOOKUP($A2878, TAB_JUROS_C[[DIAS_CORRIDOS]:[V_FUT_UTEIS]], J$5, FALSE)</f>
        <v>#N/A</v>
      </c>
      <c r="K2878" s="22" t="e">
        <f>VLOOKUP($A2878, TAB_CORRECAO_C[[DIAS_CORRIDOS]:[V_FUT_UTEIS]],K$5, FALSE)</f>
        <v>#N/A</v>
      </c>
      <c r="L2878" s="22" t="e">
        <f>VLOOKUP($A2878, TAB_AMORTIZACAO_C[[DIAS_CORRIDOS]:[V_FUT_UTEIS]], L$5, FALSE)</f>
        <v>#N/A</v>
      </c>
    </row>
    <row r="2879" spans="1:12" hidden="1">
      <c r="A2879" s="19">
        <f t="shared" si="229"/>
        <v>2873</v>
      </c>
      <c r="B2879" s="20">
        <f t="shared" si="225"/>
        <v>0</v>
      </c>
      <c r="C2879" s="21">
        <f t="shared" si="226"/>
        <v>0</v>
      </c>
      <c r="D2879" s="22" t="e">
        <f>VLOOKUP($A2879, TAB_JUROS_U[[Q_DIAS_U_PARC_TIR]:[V_FUT_U_JURS CENARIO]], D$5, FALSE)</f>
        <v>#N/A</v>
      </c>
      <c r="E2879" s="22" t="e">
        <f>VLOOKUP($A2879,TAB_CORRECAO_U[[Q_DIAS_U_PARC_TIR]:[V_FUT_U_CORC-02]],E$5, FALSE)</f>
        <v>#N/A</v>
      </c>
      <c r="F2879" s="22" t="e">
        <f>VLOOKUP($A2879,TAB_AMORTIZACAO_U[[Q_DIAS_U_PARC_TIR]:[V_FUT_U_PCPL-02]], F$5, FALSE)</f>
        <v>#N/A</v>
      </c>
      <c r="H2879" s="20">
        <f t="shared" si="227"/>
        <v>0</v>
      </c>
      <c r="I2879" s="21">
        <f t="shared" si="228"/>
        <v>0</v>
      </c>
      <c r="J2879" s="22" t="e">
        <f>VLOOKUP($A2879, TAB_JUROS_C[[DIAS_CORRIDOS]:[V_FUT_UTEIS]], J$5, FALSE)</f>
        <v>#N/A</v>
      </c>
      <c r="K2879" s="22" t="e">
        <f>VLOOKUP($A2879, TAB_CORRECAO_C[[DIAS_CORRIDOS]:[V_FUT_UTEIS]],K$5, FALSE)</f>
        <v>#N/A</v>
      </c>
      <c r="L2879" s="22" t="e">
        <f>VLOOKUP($A2879, TAB_AMORTIZACAO_C[[DIAS_CORRIDOS]:[V_FUT_UTEIS]], L$5, FALSE)</f>
        <v>#N/A</v>
      </c>
    </row>
    <row r="2880" spans="1:12" hidden="1">
      <c r="A2880" s="19">
        <f t="shared" si="229"/>
        <v>2874</v>
      </c>
      <c r="B2880" s="20">
        <f t="shared" si="225"/>
        <v>0</v>
      </c>
      <c r="C2880" s="21">
        <f t="shared" si="226"/>
        <v>0</v>
      </c>
      <c r="D2880" s="22" t="e">
        <f>VLOOKUP($A2880, TAB_JUROS_U[[Q_DIAS_U_PARC_TIR]:[V_FUT_U_JURS CENARIO]], D$5, FALSE)</f>
        <v>#N/A</v>
      </c>
      <c r="E2880" s="22" t="e">
        <f>VLOOKUP($A2880,TAB_CORRECAO_U[[Q_DIAS_U_PARC_TIR]:[V_FUT_U_CORC-02]],E$5, FALSE)</f>
        <v>#N/A</v>
      </c>
      <c r="F2880" s="22" t="e">
        <f>VLOOKUP($A2880,TAB_AMORTIZACAO_U[[Q_DIAS_U_PARC_TIR]:[V_FUT_U_PCPL-02]], F$5, FALSE)</f>
        <v>#N/A</v>
      </c>
      <c r="H2880" s="20">
        <f t="shared" si="227"/>
        <v>303.45602485089699</v>
      </c>
      <c r="I2880" s="21">
        <f t="shared" si="228"/>
        <v>303.45602485089699</v>
      </c>
      <c r="J2880" s="22">
        <f>VLOOKUP($A2880, TAB_JUROS_C[[DIAS_CORRIDOS]:[V_FUT_UTEIS]], J$5, FALSE)</f>
        <v>17.532042089817914</v>
      </c>
      <c r="K2880" s="22">
        <f>VLOOKUP($A2880, TAB_CORRECAO_C[[DIAS_CORRIDOS]:[V_FUT_UTEIS]],K$5, FALSE)</f>
        <v>107.98210578406884</v>
      </c>
      <c r="L2880" s="22">
        <f>VLOOKUP($A2880, TAB_AMORTIZACAO_C[[DIAS_CORRIDOS]:[V_FUT_UTEIS]], L$5, FALSE)</f>
        <v>177.94187697701025</v>
      </c>
    </row>
    <row r="2881" spans="1:12" hidden="1">
      <c r="A2881" s="19">
        <f t="shared" si="229"/>
        <v>2875</v>
      </c>
      <c r="B2881" s="20">
        <f t="shared" si="225"/>
        <v>0</v>
      </c>
      <c r="C2881" s="21">
        <f t="shared" si="226"/>
        <v>0</v>
      </c>
      <c r="D2881" s="22" t="e">
        <f>VLOOKUP($A2881, TAB_JUROS_U[[Q_DIAS_U_PARC_TIR]:[V_FUT_U_JURS CENARIO]], D$5, FALSE)</f>
        <v>#N/A</v>
      </c>
      <c r="E2881" s="22" t="e">
        <f>VLOOKUP($A2881,TAB_CORRECAO_U[[Q_DIAS_U_PARC_TIR]:[V_FUT_U_CORC-02]],E$5, FALSE)</f>
        <v>#N/A</v>
      </c>
      <c r="F2881" s="22" t="e">
        <f>VLOOKUP($A2881,TAB_AMORTIZACAO_U[[Q_DIAS_U_PARC_TIR]:[V_FUT_U_PCPL-02]], F$5, FALSE)</f>
        <v>#N/A</v>
      </c>
      <c r="H2881" s="20">
        <f t="shared" si="227"/>
        <v>0</v>
      </c>
      <c r="I2881" s="21">
        <f t="shared" si="228"/>
        <v>0</v>
      </c>
      <c r="J2881" s="22" t="e">
        <f>VLOOKUP($A2881, TAB_JUROS_C[[DIAS_CORRIDOS]:[V_FUT_UTEIS]], J$5, FALSE)</f>
        <v>#N/A</v>
      </c>
      <c r="K2881" s="22" t="e">
        <f>VLOOKUP($A2881, TAB_CORRECAO_C[[DIAS_CORRIDOS]:[V_FUT_UTEIS]],K$5, FALSE)</f>
        <v>#N/A</v>
      </c>
      <c r="L2881" s="22" t="e">
        <f>VLOOKUP($A2881, TAB_AMORTIZACAO_C[[DIAS_CORRIDOS]:[V_FUT_UTEIS]], L$5, FALSE)</f>
        <v>#N/A</v>
      </c>
    </row>
    <row r="2882" spans="1:12">
      <c r="A2882" s="19">
        <f t="shared" si="229"/>
        <v>2876</v>
      </c>
      <c r="B2882" s="20">
        <f t="shared" si="225"/>
        <v>101.25874540368726</v>
      </c>
      <c r="C2882" s="21">
        <f t="shared" si="226"/>
        <v>101.25874540368726</v>
      </c>
      <c r="D2882" s="22">
        <f>VLOOKUP($A2882, TAB_JUROS_U[[Q_DIAS_U_PARC_TIR]:[V_FUT_U_JURS CENARIO]], D$5, FALSE)</f>
        <v>1.2434829328374262</v>
      </c>
      <c r="E2882" s="22">
        <f>VLOOKUP($A2882,TAB_CORRECAO_U[[Q_DIAS_U_PARC_TIR]:[V_FUT_U_CORC-02]],E$5, FALSE)</f>
        <v>7.6070134484525331</v>
      </c>
      <c r="F2882" s="22">
        <f>VLOOKUP($A2882,TAB_AMORTIZACAO_U[[Q_DIAS_U_PARC_TIR]:[V_FUT_U_PCPL-02]], F$5, FALSE)</f>
        <v>92.4082490223973</v>
      </c>
      <c r="H2882" s="20">
        <f t="shared" si="227"/>
        <v>0</v>
      </c>
      <c r="I2882" s="21">
        <f t="shared" si="228"/>
        <v>0</v>
      </c>
      <c r="J2882" s="22" t="e">
        <f>VLOOKUP($A2882, TAB_JUROS_C[[DIAS_CORRIDOS]:[V_FUT_UTEIS]], J$5, FALSE)</f>
        <v>#N/A</v>
      </c>
      <c r="K2882" s="22" t="e">
        <f>VLOOKUP($A2882, TAB_CORRECAO_C[[DIAS_CORRIDOS]:[V_FUT_UTEIS]],K$5, FALSE)</f>
        <v>#N/A</v>
      </c>
      <c r="L2882" s="22" t="e">
        <f>VLOOKUP($A2882, TAB_AMORTIZACAO_C[[DIAS_CORRIDOS]:[V_FUT_UTEIS]], L$5, FALSE)</f>
        <v>#N/A</v>
      </c>
    </row>
    <row r="2883" spans="1:12" hidden="1">
      <c r="A2883" s="19">
        <f t="shared" si="229"/>
        <v>2877</v>
      </c>
      <c r="B2883" s="20">
        <f t="shared" si="225"/>
        <v>0</v>
      </c>
      <c r="C2883" s="21">
        <f t="shared" si="226"/>
        <v>0</v>
      </c>
      <c r="D2883" s="22" t="e">
        <f>VLOOKUP($A2883, TAB_JUROS_U[[Q_DIAS_U_PARC_TIR]:[V_FUT_U_JURS CENARIO]], D$5, FALSE)</f>
        <v>#N/A</v>
      </c>
      <c r="E2883" s="22" t="e">
        <f>VLOOKUP($A2883,TAB_CORRECAO_U[[Q_DIAS_U_PARC_TIR]:[V_FUT_U_CORC-02]],E$5, FALSE)</f>
        <v>#N/A</v>
      </c>
      <c r="F2883" s="22" t="e">
        <f>VLOOKUP($A2883,TAB_AMORTIZACAO_U[[Q_DIAS_U_PARC_TIR]:[V_FUT_U_PCPL-02]], F$5, FALSE)</f>
        <v>#N/A</v>
      </c>
      <c r="H2883" s="20">
        <f t="shared" si="227"/>
        <v>0</v>
      </c>
      <c r="I2883" s="21">
        <f t="shared" si="228"/>
        <v>0</v>
      </c>
      <c r="J2883" s="22" t="e">
        <f>VLOOKUP($A2883, TAB_JUROS_C[[DIAS_CORRIDOS]:[V_FUT_UTEIS]], J$5, FALSE)</f>
        <v>#N/A</v>
      </c>
      <c r="K2883" s="22" t="e">
        <f>VLOOKUP($A2883, TAB_CORRECAO_C[[DIAS_CORRIDOS]:[V_FUT_UTEIS]],K$5, FALSE)</f>
        <v>#N/A</v>
      </c>
      <c r="L2883" s="22" t="e">
        <f>VLOOKUP($A2883, TAB_AMORTIZACAO_C[[DIAS_CORRIDOS]:[V_FUT_UTEIS]], L$5, FALSE)</f>
        <v>#N/A</v>
      </c>
    </row>
    <row r="2884" spans="1:12" hidden="1">
      <c r="A2884" s="19">
        <f t="shared" si="229"/>
        <v>2878</v>
      </c>
      <c r="B2884" s="20">
        <f t="shared" si="225"/>
        <v>0</v>
      </c>
      <c r="C2884" s="21">
        <f t="shared" si="226"/>
        <v>0</v>
      </c>
      <c r="D2884" s="22" t="e">
        <f>VLOOKUP($A2884, TAB_JUROS_U[[Q_DIAS_U_PARC_TIR]:[V_FUT_U_JURS CENARIO]], D$5, FALSE)</f>
        <v>#N/A</v>
      </c>
      <c r="E2884" s="22" t="e">
        <f>VLOOKUP($A2884,TAB_CORRECAO_U[[Q_DIAS_U_PARC_TIR]:[V_FUT_U_CORC-02]],E$5, FALSE)</f>
        <v>#N/A</v>
      </c>
      <c r="F2884" s="22" t="e">
        <f>VLOOKUP($A2884,TAB_AMORTIZACAO_U[[Q_DIAS_U_PARC_TIR]:[V_FUT_U_PCPL-02]], F$5, FALSE)</f>
        <v>#N/A</v>
      </c>
      <c r="H2884" s="20">
        <f t="shared" si="227"/>
        <v>0</v>
      </c>
      <c r="I2884" s="21">
        <f t="shared" si="228"/>
        <v>0</v>
      </c>
      <c r="J2884" s="22" t="e">
        <f>VLOOKUP($A2884, TAB_JUROS_C[[DIAS_CORRIDOS]:[V_FUT_UTEIS]], J$5, FALSE)</f>
        <v>#N/A</v>
      </c>
      <c r="K2884" s="22" t="e">
        <f>VLOOKUP($A2884, TAB_CORRECAO_C[[DIAS_CORRIDOS]:[V_FUT_UTEIS]],K$5, FALSE)</f>
        <v>#N/A</v>
      </c>
      <c r="L2884" s="22" t="e">
        <f>VLOOKUP($A2884, TAB_AMORTIZACAO_C[[DIAS_CORRIDOS]:[V_FUT_UTEIS]], L$5, FALSE)</f>
        <v>#N/A</v>
      </c>
    </row>
    <row r="2885" spans="1:12" hidden="1">
      <c r="A2885" s="19">
        <f t="shared" si="229"/>
        <v>2879</v>
      </c>
      <c r="B2885" s="20">
        <f t="shared" si="225"/>
        <v>0</v>
      </c>
      <c r="C2885" s="21">
        <f t="shared" si="226"/>
        <v>0</v>
      </c>
      <c r="D2885" s="22" t="e">
        <f>VLOOKUP($A2885, TAB_JUROS_U[[Q_DIAS_U_PARC_TIR]:[V_FUT_U_JURS CENARIO]], D$5, FALSE)</f>
        <v>#N/A</v>
      </c>
      <c r="E2885" s="22" t="e">
        <f>VLOOKUP($A2885,TAB_CORRECAO_U[[Q_DIAS_U_PARC_TIR]:[V_FUT_U_CORC-02]],E$5, FALSE)</f>
        <v>#N/A</v>
      </c>
      <c r="F2885" s="22" t="e">
        <f>VLOOKUP($A2885,TAB_AMORTIZACAO_U[[Q_DIAS_U_PARC_TIR]:[V_FUT_U_PCPL-02]], F$5, FALSE)</f>
        <v>#N/A</v>
      </c>
      <c r="H2885" s="20">
        <f t="shared" si="227"/>
        <v>0</v>
      </c>
      <c r="I2885" s="21">
        <f t="shared" si="228"/>
        <v>0</v>
      </c>
      <c r="J2885" s="22" t="e">
        <f>VLOOKUP($A2885, TAB_JUROS_C[[DIAS_CORRIDOS]:[V_FUT_UTEIS]], J$5, FALSE)</f>
        <v>#N/A</v>
      </c>
      <c r="K2885" s="22" t="e">
        <f>VLOOKUP($A2885, TAB_CORRECAO_C[[DIAS_CORRIDOS]:[V_FUT_UTEIS]],K$5, FALSE)</f>
        <v>#N/A</v>
      </c>
      <c r="L2885" s="22" t="e">
        <f>VLOOKUP($A2885, TAB_AMORTIZACAO_C[[DIAS_CORRIDOS]:[V_FUT_UTEIS]], L$5, FALSE)</f>
        <v>#N/A</v>
      </c>
    </row>
    <row r="2886" spans="1:12" hidden="1">
      <c r="A2886" s="19">
        <f t="shared" si="229"/>
        <v>2880</v>
      </c>
      <c r="B2886" s="20">
        <f t="shared" si="225"/>
        <v>0</v>
      </c>
      <c r="C2886" s="21">
        <f t="shared" si="226"/>
        <v>0</v>
      </c>
      <c r="D2886" s="22" t="e">
        <f>VLOOKUP($A2886, TAB_JUROS_U[[Q_DIAS_U_PARC_TIR]:[V_FUT_U_JURS CENARIO]], D$5, FALSE)</f>
        <v>#N/A</v>
      </c>
      <c r="E2886" s="22" t="e">
        <f>VLOOKUP($A2886,TAB_CORRECAO_U[[Q_DIAS_U_PARC_TIR]:[V_FUT_U_CORC-02]],E$5, FALSE)</f>
        <v>#N/A</v>
      </c>
      <c r="F2886" s="22" t="e">
        <f>VLOOKUP($A2886,TAB_AMORTIZACAO_U[[Q_DIAS_U_PARC_TIR]:[V_FUT_U_PCPL-02]], F$5, FALSE)</f>
        <v>#N/A</v>
      </c>
      <c r="H2886" s="20">
        <f t="shared" si="227"/>
        <v>0</v>
      </c>
      <c r="I2886" s="21">
        <f t="shared" si="228"/>
        <v>0</v>
      </c>
      <c r="J2886" s="22" t="e">
        <f>VLOOKUP($A2886, TAB_JUROS_C[[DIAS_CORRIDOS]:[V_FUT_UTEIS]], J$5, FALSE)</f>
        <v>#N/A</v>
      </c>
      <c r="K2886" s="22" t="e">
        <f>VLOOKUP($A2886, TAB_CORRECAO_C[[DIAS_CORRIDOS]:[V_FUT_UTEIS]],K$5, FALSE)</f>
        <v>#N/A</v>
      </c>
      <c r="L2886" s="22" t="e">
        <f>VLOOKUP($A2886, TAB_AMORTIZACAO_C[[DIAS_CORRIDOS]:[V_FUT_UTEIS]], L$5, FALSE)</f>
        <v>#N/A</v>
      </c>
    </row>
    <row r="2887" spans="1:12" hidden="1">
      <c r="A2887" s="19">
        <f t="shared" si="229"/>
        <v>2881</v>
      </c>
      <c r="B2887" s="20">
        <f t="shared" si="225"/>
        <v>0</v>
      </c>
      <c r="C2887" s="21">
        <f t="shared" si="226"/>
        <v>0</v>
      </c>
      <c r="D2887" s="22" t="e">
        <f>VLOOKUP($A2887, TAB_JUROS_U[[Q_DIAS_U_PARC_TIR]:[V_FUT_U_JURS CENARIO]], D$5, FALSE)</f>
        <v>#N/A</v>
      </c>
      <c r="E2887" s="22" t="e">
        <f>VLOOKUP($A2887,TAB_CORRECAO_U[[Q_DIAS_U_PARC_TIR]:[V_FUT_U_CORC-02]],E$5, FALSE)</f>
        <v>#N/A</v>
      </c>
      <c r="F2887" s="22" t="e">
        <f>VLOOKUP($A2887,TAB_AMORTIZACAO_U[[Q_DIAS_U_PARC_TIR]:[V_FUT_U_PCPL-02]], F$5, FALSE)</f>
        <v>#N/A</v>
      </c>
      <c r="H2887" s="20">
        <f t="shared" si="227"/>
        <v>0</v>
      </c>
      <c r="I2887" s="21">
        <f t="shared" si="228"/>
        <v>0</v>
      </c>
      <c r="J2887" s="22" t="e">
        <f>VLOOKUP($A2887, TAB_JUROS_C[[DIAS_CORRIDOS]:[V_FUT_UTEIS]], J$5, FALSE)</f>
        <v>#N/A</v>
      </c>
      <c r="K2887" s="22" t="e">
        <f>VLOOKUP($A2887, TAB_CORRECAO_C[[DIAS_CORRIDOS]:[V_FUT_UTEIS]],K$5, FALSE)</f>
        <v>#N/A</v>
      </c>
      <c r="L2887" s="22" t="e">
        <f>VLOOKUP($A2887, TAB_AMORTIZACAO_C[[DIAS_CORRIDOS]:[V_FUT_UTEIS]], L$5, FALSE)</f>
        <v>#N/A</v>
      </c>
    </row>
    <row r="2888" spans="1:12" hidden="1">
      <c r="A2888" s="19">
        <f t="shared" si="229"/>
        <v>2882</v>
      </c>
      <c r="B2888" s="20">
        <f t="shared" si="225"/>
        <v>0</v>
      </c>
      <c r="C2888" s="21">
        <f t="shared" si="226"/>
        <v>0</v>
      </c>
      <c r="D2888" s="22" t="e">
        <f>VLOOKUP($A2888, TAB_JUROS_U[[Q_DIAS_U_PARC_TIR]:[V_FUT_U_JURS CENARIO]], D$5, FALSE)</f>
        <v>#N/A</v>
      </c>
      <c r="E2888" s="22" t="e">
        <f>VLOOKUP($A2888,TAB_CORRECAO_U[[Q_DIAS_U_PARC_TIR]:[V_FUT_U_CORC-02]],E$5, FALSE)</f>
        <v>#N/A</v>
      </c>
      <c r="F2888" s="22" t="e">
        <f>VLOOKUP($A2888,TAB_AMORTIZACAO_U[[Q_DIAS_U_PARC_TIR]:[V_FUT_U_PCPL-02]], F$5, FALSE)</f>
        <v>#N/A</v>
      </c>
      <c r="H2888" s="20">
        <f t="shared" si="227"/>
        <v>0</v>
      </c>
      <c r="I2888" s="21">
        <f t="shared" si="228"/>
        <v>0</v>
      </c>
      <c r="J2888" s="22" t="e">
        <f>VLOOKUP($A2888, TAB_JUROS_C[[DIAS_CORRIDOS]:[V_FUT_UTEIS]], J$5, FALSE)</f>
        <v>#N/A</v>
      </c>
      <c r="K2888" s="22" t="e">
        <f>VLOOKUP($A2888, TAB_CORRECAO_C[[DIAS_CORRIDOS]:[V_FUT_UTEIS]],K$5, FALSE)</f>
        <v>#N/A</v>
      </c>
      <c r="L2888" s="22" t="e">
        <f>VLOOKUP($A2888, TAB_AMORTIZACAO_C[[DIAS_CORRIDOS]:[V_FUT_UTEIS]], L$5, FALSE)</f>
        <v>#N/A</v>
      </c>
    </row>
    <row r="2889" spans="1:12" hidden="1">
      <c r="A2889" s="19">
        <f t="shared" si="229"/>
        <v>2883</v>
      </c>
      <c r="B2889" s="20">
        <f t="shared" ref="B2889:B2952" si="230">IF(ISERROR(C2889), 0, C2889)</f>
        <v>0</v>
      </c>
      <c r="C2889" s="21">
        <f t="shared" ref="C2889:C2952" si="231">SUMIF(D2889:F2889, "&gt;0", D2889:F2889)</f>
        <v>0</v>
      </c>
      <c r="D2889" s="22" t="e">
        <f>VLOOKUP($A2889, TAB_JUROS_U[[Q_DIAS_U_PARC_TIR]:[V_FUT_U_JURS CENARIO]], D$5, FALSE)</f>
        <v>#N/A</v>
      </c>
      <c r="E2889" s="22" t="e">
        <f>VLOOKUP($A2889,TAB_CORRECAO_U[[Q_DIAS_U_PARC_TIR]:[V_FUT_U_CORC-02]],E$5, FALSE)</f>
        <v>#N/A</v>
      </c>
      <c r="F2889" s="22" t="e">
        <f>VLOOKUP($A2889,TAB_AMORTIZACAO_U[[Q_DIAS_U_PARC_TIR]:[V_FUT_U_PCPL-02]], F$5, FALSE)</f>
        <v>#N/A</v>
      </c>
      <c r="H2889" s="20">
        <f t="shared" ref="H2889:H2952" si="232">IF(ISERROR(I2889), 0, I2889)</f>
        <v>0</v>
      </c>
      <c r="I2889" s="21">
        <f t="shared" ref="I2889:I2952" si="233">SUMIF(J2889:L2889, "&gt;0", J2889:L2889)</f>
        <v>0</v>
      </c>
      <c r="J2889" s="22" t="e">
        <f>VLOOKUP($A2889, TAB_JUROS_C[[DIAS_CORRIDOS]:[V_FUT_UTEIS]], J$5, FALSE)</f>
        <v>#N/A</v>
      </c>
      <c r="K2889" s="22" t="e">
        <f>VLOOKUP($A2889, TAB_CORRECAO_C[[DIAS_CORRIDOS]:[V_FUT_UTEIS]],K$5, FALSE)</f>
        <v>#N/A</v>
      </c>
      <c r="L2889" s="22" t="e">
        <f>VLOOKUP($A2889, TAB_AMORTIZACAO_C[[DIAS_CORRIDOS]:[V_FUT_UTEIS]], L$5, FALSE)</f>
        <v>#N/A</v>
      </c>
    </row>
    <row r="2890" spans="1:12" hidden="1">
      <c r="A2890" s="19">
        <f t="shared" ref="A2890:A2953" si="234">A2889+1</f>
        <v>2884</v>
      </c>
      <c r="B2890" s="20">
        <f t="shared" si="230"/>
        <v>0</v>
      </c>
      <c r="C2890" s="21">
        <f t="shared" si="231"/>
        <v>0</v>
      </c>
      <c r="D2890" s="22" t="e">
        <f>VLOOKUP($A2890, TAB_JUROS_U[[Q_DIAS_U_PARC_TIR]:[V_FUT_U_JURS CENARIO]], D$5, FALSE)</f>
        <v>#N/A</v>
      </c>
      <c r="E2890" s="22" t="e">
        <f>VLOOKUP($A2890,TAB_CORRECAO_U[[Q_DIAS_U_PARC_TIR]:[V_FUT_U_CORC-02]],E$5, FALSE)</f>
        <v>#N/A</v>
      </c>
      <c r="F2890" s="22" t="e">
        <f>VLOOKUP($A2890,TAB_AMORTIZACAO_U[[Q_DIAS_U_PARC_TIR]:[V_FUT_U_PCPL-02]], F$5, FALSE)</f>
        <v>#N/A</v>
      </c>
      <c r="H2890" s="20">
        <f t="shared" si="232"/>
        <v>0</v>
      </c>
      <c r="I2890" s="21">
        <f t="shared" si="233"/>
        <v>0</v>
      </c>
      <c r="J2890" s="22" t="e">
        <f>VLOOKUP($A2890, TAB_JUROS_C[[DIAS_CORRIDOS]:[V_FUT_UTEIS]], J$5, FALSE)</f>
        <v>#N/A</v>
      </c>
      <c r="K2890" s="22" t="e">
        <f>VLOOKUP($A2890, TAB_CORRECAO_C[[DIAS_CORRIDOS]:[V_FUT_UTEIS]],K$5, FALSE)</f>
        <v>#N/A</v>
      </c>
      <c r="L2890" s="22" t="e">
        <f>VLOOKUP($A2890, TAB_AMORTIZACAO_C[[DIAS_CORRIDOS]:[V_FUT_UTEIS]], L$5, FALSE)</f>
        <v>#N/A</v>
      </c>
    </row>
    <row r="2891" spans="1:12" hidden="1">
      <c r="A2891" s="19">
        <f t="shared" si="234"/>
        <v>2885</v>
      </c>
      <c r="B2891" s="20">
        <f t="shared" si="230"/>
        <v>0</v>
      </c>
      <c r="C2891" s="21">
        <f t="shared" si="231"/>
        <v>0</v>
      </c>
      <c r="D2891" s="22" t="e">
        <f>VLOOKUP($A2891, TAB_JUROS_U[[Q_DIAS_U_PARC_TIR]:[V_FUT_U_JURS CENARIO]], D$5, FALSE)</f>
        <v>#N/A</v>
      </c>
      <c r="E2891" s="22" t="e">
        <f>VLOOKUP($A2891,TAB_CORRECAO_U[[Q_DIAS_U_PARC_TIR]:[V_FUT_U_CORC-02]],E$5, FALSE)</f>
        <v>#N/A</v>
      </c>
      <c r="F2891" s="22" t="e">
        <f>VLOOKUP($A2891,TAB_AMORTIZACAO_U[[Q_DIAS_U_PARC_TIR]:[V_FUT_U_PCPL-02]], F$5, FALSE)</f>
        <v>#N/A</v>
      </c>
      <c r="H2891" s="20">
        <f t="shared" si="232"/>
        <v>0</v>
      </c>
      <c r="I2891" s="21">
        <f t="shared" si="233"/>
        <v>0</v>
      </c>
      <c r="J2891" s="22" t="e">
        <f>VLOOKUP($A2891, TAB_JUROS_C[[DIAS_CORRIDOS]:[V_FUT_UTEIS]], J$5, FALSE)</f>
        <v>#N/A</v>
      </c>
      <c r="K2891" s="22" t="e">
        <f>VLOOKUP($A2891, TAB_CORRECAO_C[[DIAS_CORRIDOS]:[V_FUT_UTEIS]],K$5, FALSE)</f>
        <v>#N/A</v>
      </c>
      <c r="L2891" s="22" t="e">
        <f>VLOOKUP($A2891, TAB_AMORTIZACAO_C[[DIAS_CORRIDOS]:[V_FUT_UTEIS]], L$5, FALSE)</f>
        <v>#N/A</v>
      </c>
    </row>
    <row r="2892" spans="1:12" hidden="1">
      <c r="A2892" s="19">
        <f t="shared" si="234"/>
        <v>2886</v>
      </c>
      <c r="B2892" s="20">
        <f t="shared" si="230"/>
        <v>0</v>
      </c>
      <c r="C2892" s="21">
        <f t="shared" si="231"/>
        <v>0</v>
      </c>
      <c r="D2892" s="22" t="e">
        <f>VLOOKUP($A2892, TAB_JUROS_U[[Q_DIAS_U_PARC_TIR]:[V_FUT_U_JURS CENARIO]], D$5, FALSE)</f>
        <v>#N/A</v>
      </c>
      <c r="E2892" s="22" t="e">
        <f>VLOOKUP($A2892,TAB_CORRECAO_U[[Q_DIAS_U_PARC_TIR]:[V_FUT_U_CORC-02]],E$5, FALSE)</f>
        <v>#N/A</v>
      </c>
      <c r="F2892" s="22" t="e">
        <f>VLOOKUP($A2892,TAB_AMORTIZACAO_U[[Q_DIAS_U_PARC_TIR]:[V_FUT_U_PCPL-02]], F$5, FALSE)</f>
        <v>#N/A</v>
      </c>
      <c r="H2892" s="20">
        <f t="shared" si="232"/>
        <v>0</v>
      </c>
      <c r="I2892" s="21">
        <f t="shared" si="233"/>
        <v>0</v>
      </c>
      <c r="J2892" s="22" t="e">
        <f>VLOOKUP($A2892, TAB_JUROS_C[[DIAS_CORRIDOS]:[V_FUT_UTEIS]], J$5, FALSE)</f>
        <v>#N/A</v>
      </c>
      <c r="K2892" s="22" t="e">
        <f>VLOOKUP($A2892, TAB_CORRECAO_C[[DIAS_CORRIDOS]:[V_FUT_UTEIS]],K$5, FALSE)</f>
        <v>#N/A</v>
      </c>
      <c r="L2892" s="22" t="e">
        <f>VLOOKUP($A2892, TAB_AMORTIZACAO_C[[DIAS_CORRIDOS]:[V_FUT_UTEIS]], L$5, FALSE)</f>
        <v>#N/A</v>
      </c>
    </row>
    <row r="2893" spans="1:12" hidden="1">
      <c r="A2893" s="19">
        <f t="shared" si="234"/>
        <v>2887</v>
      </c>
      <c r="B2893" s="20">
        <f t="shared" si="230"/>
        <v>0</v>
      </c>
      <c r="C2893" s="21">
        <f t="shared" si="231"/>
        <v>0</v>
      </c>
      <c r="D2893" s="22" t="e">
        <f>VLOOKUP($A2893, TAB_JUROS_U[[Q_DIAS_U_PARC_TIR]:[V_FUT_U_JURS CENARIO]], D$5, FALSE)</f>
        <v>#N/A</v>
      </c>
      <c r="E2893" s="22" t="e">
        <f>VLOOKUP($A2893,TAB_CORRECAO_U[[Q_DIAS_U_PARC_TIR]:[V_FUT_U_CORC-02]],E$5, FALSE)</f>
        <v>#N/A</v>
      </c>
      <c r="F2893" s="22" t="e">
        <f>VLOOKUP($A2893,TAB_AMORTIZACAO_U[[Q_DIAS_U_PARC_TIR]:[V_FUT_U_PCPL-02]], F$5, FALSE)</f>
        <v>#N/A</v>
      </c>
      <c r="H2893" s="20">
        <f t="shared" si="232"/>
        <v>0</v>
      </c>
      <c r="I2893" s="21">
        <f t="shared" si="233"/>
        <v>0</v>
      </c>
      <c r="J2893" s="22" t="e">
        <f>VLOOKUP($A2893, TAB_JUROS_C[[DIAS_CORRIDOS]:[V_FUT_UTEIS]], J$5, FALSE)</f>
        <v>#N/A</v>
      </c>
      <c r="K2893" s="22" t="e">
        <f>VLOOKUP($A2893, TAB_CORRECAO_C[[DIAS_CORRIDOS]:[V_FUT_UTEIS]],K$5, FALSE)</f>
        <v>#N/A</v>
      </c>
      <c r="L2893" s="22" t="e">
        <f>VLOOKUP($A2893, TAB_AMORTIZACAO_C[[DIAS_CORRIDOS]:[V_FUT_UTEIS]], L$5, FALSE)</f>
        <v>#N/A</v>
      </c>
    </row>
    <row r="2894" spans="1:12" hidden="1">
      <c r="A2894" s="19">
        <f t="shared" si="234"/>
        <v>2888</v>
      </c>
      <c r="B2894" s="20">
        <f t="shared" si="230"/>
        <v>0</v>
      </c>
      <c r="C2894" s="21">
        <f t="shared" si="231"/>
        <v>0</v>
      </c>
      <c r="D2894" s="22" t="e">
        <f>VLOOKUP($A2894, TAB_JUROS_U[[Q_DIAS_U_PARC_TIR]:[V_FUT_U_JURS CENARIO]], D$5, FALSE)</f>
        <v>#N/A</v>
      </c>
      <c r="E2894" s="22" t="e">
        <f>VLOOKUP($A2894,TAB_CORRECAO_U[[Q_DIAS_U_PARC_TIR]:[V_FUT_U_CORC-02]],E$5, FALSE)</f>
        <v>#N/A</v>
      </c>
      <c r="F2894" s="22" t="e">
        <f>VLOOKUP($A2894,TAB_AMORTIZACAO_U[[Q_DIAS_U_PARC_TIR]:[V_FUT_U_PCPL-02]], F$5, FALSE)</f>
        <v>#N/A</v>
      </c>
      <c r="H2894" s="20">
        <f t="shared" si="232"/>
        <v>0</v>
      </c>
      <c r="I2894" s="21">
        <f t="shared" si="233"/>
        <v>0</v>
      </c>
      <c r="J2894" s="22" t="e">
        <f>VLOOKUP($A2894, TAB_JUROS_C[[DIAS_CORRIDOS]:[V_FUT_UTEIS]], J$5, FALSE)</f>
        <v>#N/A</v>
      </c>
      <c r="K2894" s="22" t="e">
        <f>VLOOKUP($A2894, TAB_CORRECAO_C[[DIAS_CORRIDOS]:[V_FUT_UTEIS]],K$5, FALSE)</f>
        <v>#N/A</v>
      </c>
      <c r="L2894" s="22" t="e">
        <f>VLOOKUP($A2894, TAB_AMORTIZACAO_C[[DIAS_CORRIDOS]:[V_FUT_UTEIS]], L$5, FALSE)</f>
        <v>#N/A</v>
      </c>
    </row>
    <row r="2895" spans="1:12" hidden="1">
      <c r="A2895" s="19">
        <f t="shared" si="234"/>
        <v>2889</v>
      </c>
      <c r="B2895" s="20">
        <f t="shared" si="230"/>
        <v>0</v>
      </c>
      <c r="C2895" s="21">
        <f t="shared" si="231"/>
        <v>0</v>
      </c>
      <c r="D2895" s="22" t="e">
        <f>VLOOKUP($A2895, TAB_JUROS_U[[Q_DIAS_U_PARC_TIR]:[V_FUT_U_JURS CENARIO]], D$5, FALSE)</f>
        <v>#N/A</v>
      </c>
      <c r="E2895" s="22" t="e">
        <f>VLOOKUP($A2895,TAB_CORRECAO_U[[Q_DIAS_U_PARC_TIR]:[V_FUT_U_CORC-02]],E$5, FALSE)</f>
        <v>#N/A</v>
      </c>
      <c r="F2895" s="22" t="e">
        <f>VLOOKUP($A2895,TAB_AMORTIZACAO_U[[Q_DIAS_U_PARC_TIR]:[V_FUT_U_PCPL-02]], F$5, FALSE)</f>
        <v>#N/A</v>
      </c>
      <c r="H2895" s="20">
        <f t="shared" si="232"/>
        <v>0</v>
      </c>
      <c r="I2895" s="21">
        <f t="shared" si="233"/>
        <v>0</v>
      </c>
      <c r="J2895" s="22" t="e">
        <f>VLOOKUP($A2895, TAB_JUROS_C[[DIAS_CORRIDOS]:[V_FUT_UTEIS]], J$5, FALSE)</f>
        <v>#N/A</v>
      </c>
      <c r="K2895" s="22" t="e">
        <f>VLOOKUP($A2895, TAB_CORRECAO_C[[DIAS_CORRIDOS]:[V_FUT_UTEIS]],K$5, FALSE)</f>
        <v>#N/A</v>
      </c>
      <c r="L2895" s="22" t="e">
        <f>VLOOKUP($A2895, TAB_AMORTIZACAO_C[[DIAS_CORRIDOS]:[V_FUT_UTEIS]], L$5, FALSE)</f>
        <v>#N/A</v>
      </c>
    </row>
    <row r="2896" spans="1:12" hidden="1">
      <c r="A2896" s="19">
        <f t="shared" si="234"/>
        <v>2890</v>
      </c>
      <c r="B2896" s="20">
        <f t="shared" si="230"/>
        <v>0</v>
      </c>
      <c r="C2896" s="21">
        <f t="shared" si="231"/>
        <v>0</v>
      </c>
      <c r="D2896" s="22" t="e">
        <f>VLOOKUP($A2896, TAB_JUROS_U[[Q_DIAS_U_PARC_TIR]:[V_FUT_U_JURS CENARIO]], D$5, FALSE)</f>
        <v>#N/A</v>
      </c>
      <c r="E2896" s="22" t="e">
        <f>VLOOKUP($A2896,TAB_CORRECAO_U[[Q_DIAS_U_PARC_TIR]:[V_FUT_U_CORC-02]],E$5, FALSE)</f>
        <v>#N/A</v>
      </c>
      <c r="F2896" s="22" t="e">
        <f>VLOOKUP($A2896,TAB_AMORTIZACAO_U[[Q_DIAS_U_PARC_TIR]:[V_FUT_U_PCPL-02]], F$5, FALSE)</f>
        <v>#N/A</v>
      </c>
      <c r="H2896" s="20">
        <f t="shared" si="232"/>
        <v>0</v>
      </c>
      <c r="I2896" s="21">
        <f t="shared" si="233"/>
        <v>0</v>
      </c>
      <c r="J2896" s="22" t="e">
        <f>VLOOKUP($A2896, TAB_JUROS_C[[DIAS_CORRIDOS]:[V_FUT_UTEIS]], J$5, FALSE)</f>
        <v>#N/A</v>
      </c>
      <c r="K2896" s="22" t="e">
        <f>VLOOKUP($A2896, TAB_CORRECAO_C[[DIAS_CORRIDOS]:[V_FUT_UTEIS]],K$5, FALSE)</f>
        <v>#N/A</v>
      </c>
      <c r="L2896" s="22" t="e">
        <f>VLOOKUP($A2896, TAB_AMORTIZACAO_C[[DIAS_CORRIDOS]:[V_FUT_UTEIS]], L$5, FALSE)</f>
        <v>#N/A</v>
      </c>
    </row>
    <row r="2897" spans="1:12" hidden="1">
      <c r="A2897" s="19">
        <f t="shared" si="234"/>
        <v>2891</v>
      </c>
      <c r="B2897" s="20">
        <f t="shared" si="230"/>
        <v>0</v>
      </c>
      <c r="C2897" s="21">
        <f t="shared" si="231"/>
        <v>0</v>
      </c>
      <c r="D2897" s="22" t="e">
        <f>VLOOKUP($A2897, TAB_JUROS_U[[Q_DIAS_U_PARC_TIR]:[V_FUT_U_JURS CENARIO]], D$5, FALSE)</f>
        <v>#N/A</v>
      </c>
      <c r="E2897" s="22" t="e">
        <f>VLOOKUP($A2897,TAB_CORRECAO_U[[Q_DIAS_U_PARC_TIR]:[V_FUT_U_CORC-02]],E$5, FALSE)</f>
        <v>#N/A</v>
      </c>
      <c r="F2897" s="22" t="e">
        <f>VLOOKUP($A2897,TAB_AMORTIZACAO_U[[Q_DIAS_U_PARC_TIR]:[V_FUT_U_PCPL-02]], F$5, FALSE)</f>
        <v>#N/A</v>
      </c>
      <c r="H2897" s="20">
        <f t="shared" si="232"/>
        <v>0</v>
      </c>
      <c r="I2897" s="21">
        <f t="shared" si="233"/>
        <v>0</v>
      </c>
      <c r="J2897" s="22" t="e">
        <f>VLOOKUP($A2897, TAB_JUROS_C[[DIAS_CORRIDOS]:[V_FUT_UTEIS]], J$5, FALSE)</f>
        <v>#N/A</v>
      </c>
      <c r="K2897" s="22" t="e">
        <f>VLOOKUP($A2897, TAB_CORRECAO_C[[DIAS_CORRIDOS]:[V_FUT_UTEIS]],K$5, FALSE)</f>
        <v>#N/A</v>
      </c>
      <c r="L2897" s="22" t="e">
        <f>VLOOKUP($A2897, TAB_AMORTIZACAO_C[[DIAS_CORRIDOS]:[V_FUT_UTEIS]], L$5, FALSE)</f>
        <v>#N/A</v>
      </c>
    </row>
    <row r="2898" spans="1:12" hidden="1">
      <c r="A2898" s="19">
        <f t="shared" si="234"/>
        <v>2892</v>
      </c>
      <c r="B2898" s="20">
        <f t="shared" si="230"/>
        <v>0</v>
      </c>
      <c r="C2898" s="21">
        <f t="shared" si="231"/>
        <v>0</v>
      </c>
      <c r="D2898" s="22" t="e">
        <f>VLOOKUP($A2898, TAB_JUROS_U[[Q_DIAS_U_PARC_TIR]:[V_FUT_U_JURS CENARIO]], D$5, FALSE)</f>
        <v>#N/A</v>
      </c>
      <c r="E2898" s="22" t="e">
        <f>VLOOKUP($A2898,TAB_CORRECAO_U[[Q_DIAS_U_PARC_TIR]:[V_FUT_U_CORC-02]],E$5, FALSE)</f>
        <v>#N/A</v>
      </c>
      <c r="F2898" s="22" t="e">
        <f>VLOOKUP($A2898,TAB_AMORTIZACAO_U[[Q_DIAS_U_PARC_TIR]:[V_FUT_U_PCPL-02]], F$5, FALSE)</f>
        <v>#N/A</v>
      </c>
      <c r="H2898" s="20">
        <f t="shared" si="232"/>
        <v>0</v>
      </c>
      <c r="I2898" s="21">
        <f t="shared" si="233"/>
        <v>0</v>
      </c>
      <c r="J2898" s="22" t="e">
        <f>VLOOKUP($A2898, TAB_JUROS_C[[DIAS_CORRIDOS]:[V_FUT_UTEIS]], J$5, FALSE)</f>
        <v>#N/A</v>
      </c>
      <c r="K2898" s="22" t="e">
        <f>VLOOKUP($A2898, TAB_CORRECAO_C[[DIAS_CORRIDOS]:[V_FUT_UTEIS]],K$5, FALSE)</f>
        <v>#N/A</v>
      </c>
      <c r="L2898" s="22" t="e">
        <f>VLOOKUP($A2898, TAB_AMORTIZACAO_C[[DIAS_CORRIDOS]:[V_FUT_UTEIS]], L$5, FALSE)</f>
        <v>#N/A</v>
      </c>
    </row>
    <row r="2899" spans="1:12" hidden="1">
      <c r="A2899" s="19">
        <f t="shared" si="234"/>
        <v>2893</v>
      </c>
      <c r="B2899" s="20">
        <f t="shared" si="230"/>
        <v>0</v>
      </c>
      <c r="C2899" s="21">
        <f t="shared" si="231"/>
        <v>0</v>
      </c>
      <c r="D2899" s="22" t="e">
        <f>VLOOKUP($A2899, TAB_JUROS_U[[Q_DIAS_U_PARC_TIR]:[V_FUT_U_JURS CENARIO]], D$5, FALSE)</f>
        <v>#N/A</v>
      </c>
      <c r="E2899" s="22" t="e">
        <f>VLOOKUP($A2899,TAB_CORRECAO_U[[Q_DIAS_U_PARC_TIR]:[V_FUT_U_CORC-02]],E$5, FALSE)</f>
        <v>#N/A</v>
      </c>
      <c r="F2899" s="22" t="e">
        <f>VLOOKUP($A2899,TAB_AMORTIZACAO_U[[Q_DIAS_U_PARC_TIR]:[V_FUT_U_PCPL-02]], F$5, FALSE)</f>
        <v>#N/A</v>
      </c>
      <c r="H2899" s="20">
        <f t="shared" si="232"/>
        <v>0</v>
      </c>
      <c r="I2899" s="21">
        <f t="shared" si="233"/>
        <v>0</v>
      </c>
      <c r="J2899" s="22" t="e">
        <f>VLOOKUP($A2899, TAB_JUROS_C[[DIAS_CORRIDOS]:[V_FUT_UTEIS]], J$5, FALSE)</f>
        <v>#N/A</v>
      </c>
      <c r="K2899" s="22" t="e">
        <f>VLOOKUP($A2899, TAB_CORRECAO_C[[DIAS_CORRIDOS]:[V_FUT_UTEIS]],K$5, FALSE)</f>
        <v>#N/A</v>
      </c>
      <c r="L2899" s="22" t="e">
        <f>VLOOKUP($A2899, TAB_AMORTIZACAO_C[[DIAS_CORRIDOS]:[V_FUT_UTEIS]], L$5, FALSE)</f>
        <v>#N/A</v>
      </c>
    </row>
    <row r="2900" spans="1:12" hidden="1">
      <c r="A2900" s="19">
        <f t="shared" si="234"/>
        <v>2894</v>
      </c>
      <c r="B2900" s="20">
        <f t="shared" si="230"/>
        <v>0</v>
      </c>
      <c r="C2900" s="21">
        <f t="shared" si="231"/>
        <v>0</v>
      </c>
      <c r="D2900" s="22" t="e">
        <f>VLOOKUP($A2900, TAB_JUROS_U[[Q_DIAS_U_PARC_TIR]:[V_FUT_U_JURS CENARIO]], D$5, FALSE)</f>
        <v>#N/A</v>
      </c>
      <c r="E2900" s="22" t="e">
        <f>VLOOKUP($A2900,TAB_CORRECAO_U[[Q_DIAS_U_PARC_TIR]:[V_FUT_U_CORC-02]],E$5, FALSE)</f>
        <v>#N/A</v>
      </c>
      <c r="F2900" s="22" t="e">
        <f>VLOOKUP($A2900,TAB_AMORTIZACAO_U[[Q_DIAS_U_PARC_TIR]:[V_FUT_U_PCPL-02]], F$5, FALSE)</f>
        <v>#N/A</v>
      </c>
      <c r="H2900" s="20">
        <f t="shared" si="232"/>
        <v>0</v>
      </c>
      <c r="I2900" s="21">
        <f t="shared" si="233"/>
        <v>0</v>
      </c>
      <c r="J2900" s="22" t="e">
        <f>VLOOKUP($A2900, TAB_JUROS_C[[DIAS_CORRIDOS]:[V_FUT_UTEIS]], J$5, FALSE)</f>
        <v>#N/A</v>
      </c>
      <c r="K2900" s="22" t="e">
        <f>VLOOKUP($A2900, TAB_CORRECAO_C[[DIAS_CORRIDOS]:[V_FUT_UTEIS]],K$5, FALSE)</f>
        <v>#N/A</v>
      </c>
      <c r="L2900" s="22" t="e">
        <f>VLOOKUP($A2900, TAB_AMORTIZACAO_C[[DIAS_CORRIDOS]:[V_FUT_UTEIS]], L$5, FALSE)</f>
        <v>#N/A</v>
      </c>
    </row>
    <row r="2901" spans="1:12" hidden="1">
      <c r="A2901" s="19">
        <f t="shared" si="234"/>
        <v>2895</v>
      </c>
      <c r="B2901" s="20">
        <f t="shared" si="230"/>
        <v>0</v>
      </c>
      <c r="C2901" s="21">
        <f t="shared" si="231"/>
        <v>0</v>
      </c>
      <c r="D2901" s="22" t="e">
        <f>VLOOKUP($A2901, TAB_JUROS_U[[Q_DIAS_U_PARC_TIR]:[V_FUT_U_JURS CENARIO]], D$5, FALSE)</f>
        <v>#N/A</v>
      </c>
      <c r="E2901" s="22" t="e">
        <f>VLOOKUP($A2901,TAB_CORRECAO_U[[Q_DIAS_U_PARC_TIR]:[V_FUT_U_CORC-02]],E$5, FALSE)</f>
        <v>#N/A</v>
      </c>
      <c r="F2901" s="22" t="e">
        <f>VLOOKUP($A2901,TAB_AMORTIZACAO_U[[Q_DIAS_U_PARC_TIR]:[V_FUT_U_PCPL-02]], F$5, FALSE)</f>
        <v>#N/A</v>
      </c>
      <c r="H2901" s="20">
        <f t="shared" si="232"/>
        <v>0</v>
      </c>
      <c r="I2901" s="21">
        <f t="shared" si="233"/>
        <v>0</v>
      </c>
      <c r="J2901" s="22" t="e">
        <f>VLOOKUP($A2901, TAB_JUROS_C[[DIAS_CORRIDOS]:[V_FUT_UTEIS]], J$5, FALSE)</f>
        <v>#N/A</v>
      </c>
      <c r="K2901" s="22" t="e">
        <f>VLOOKUP($A2901, TAB_CORRECAO_C[[DIAS_CORRIDOS]:[V_FUT_UTEIS]],K$5, FALSE)</f>
        <v>#N/A</v>
      </c>
      <c r="L2901" s="22" t="e">
        <f>VLOOKUP($A2901, TAB_AMORTIZACAO_C[[DIAS_CORRIDOS]:[V_FUT_UTEIS]], L$5, FALSE)</f>
        <v>#N/A</v>
      </c>
    </row>
    <row r="2902" spans="1:12" hidden="1">
      <c r="A2902" s="19">
        <f t="shared" si="234"/>
        <v>2896</v>
      </c>
      <c r="B2902" s="20">
        <f t="shared" si="230"/>
        <v>0</v>
      </c>
      <c r="C2902" s="21">
        <f t="shared" si="231"/>
        <v>0</v>
      </c>
      <c r="D2902" s="22" t="e">
        <f>VLOOKUP($A2902, TAB_JUROS_U[[Q_DIAS_U_PARC_TIR]:[V_FUT_U_JURS CENARIO]], D$5, FALSE)</f>
        <v>#N/A</v>
      </c>
      <c r="E2902" s="22" t="e">
        <f>VLOOKUP($A2902,TAB_CORRECAO_U[[Q_DIAS_U_PARC_TIR]:[V_FUT_U_CORC-02]],E$5, FALSE)</f>
        <v>#N/A</v>
      </c>
      <c r="F2902" s="22" t="e">
        <f>VLOOKUP($A2902,TAB_AMORTIZACAO_U[[Q_DIAS_U_PARC_TIR]:[V_FUT_U_PCPL-02]], F$5, FALSE)</f>
        <v>#N/A</v>
      </c>
      <c r="H2902" s="20">
        <f t="shared" si="232"/>
        <v>0</v>
      </c>
      <c r="I2902" s="21">
        <f t="shared" si="233"/>
        <v>0</v>
      </c>
      <c r="J2902" s="22" t="e">
        <f>VLOOKUP($A2902, TAB_JUROS_C[[DIAS_CORRIDOS]:[V_FUT_UTEIS]], J$5, FALSE)</f>
        <v>#N/A</v>
      </c>
      <c r="K2902" s="22" t="e">
        <f>VLOOKUP($A2902, TAB_CORRECAO_C[[DIAS_CORRIDOS]:[V_FUT_UTEIS]],K$5, FALSE)</f>
        <v>#N/A</v>
      </c>
      <c r="L2902" s="22" t="e">
        <f>VLOOKUP($A2902, TAB_AMORTIZACAO_C[[DIAS_CORRIDOS]:[V_FUT_UTEIS]], L$5, FALSE)</f>
        <v>#N/A</v>
      </c>
    </row>
    <row r="2903" spans="1:12" hidden="1">
      <c r="A2903" s="19">
        <f t="shared" si="234"/>
        <v>2897</v>
      </c>
      <c r="B2903" s="20">
        <f t="shared" si="230"/>
        <v>0</v>
      </c>
      <c r="C2903" s="21">
        <f t="shared" si="231"/>
        <v>0</v>
      </c>
      <c r="D2903" s="22" t="e">
        <f>VLOOKUP($A2903, TAB_JUROS_U[[Q_DIAS_U_PARC_TIR]:[V_FUT_U_JURS CENARIO]], D$5, FALSE)</f>
        <v>#N/A</v>
      </c>
      <c r="E2903" s="22" t="e">
        <f>VLOOKUP($A2903,TAB_CORRECAO_U[[Q_DIAS_U_PARC_TIR]:[V_FUT_U_CORC-02]],E$5, FALSE)</f>
        <v>#N/A</v>
      </c>
      <c r="F2903" s="22" t="e">
        <f>VLOOKUP($A2903,TAB_AMORTIZACAO_U[[Q_DIAS_U_PARC_TIR]:[V_FUT_U_PCPL-02]], F$5, FALSE)</f>
        <v>#N/A</v>
      </c>
      <c r="H2903" s="20">
        <f t="shared" si="232"/>
        <v>0</v>
      </c>
      <c r="I2903" s="21">
        <f t="shared" si="233"/>
        <v>0</v>
      </c>
      <c r="J2903" s="22" t="e">
        <f>VLOOKUP($A2903, TAB_JUROS_C[[DIAS_CORRIDOS]:[V_FUT_UTEIS]], J$5, FALSE)</f>
        <v>#N/A</v>
      </c>
      <c r="K2903" s="22" t="e">
        <f>VLOOKUP($A2903, TAB_CORRECAO_C[[DIAS_CORRIDOS]:[V_FUT_UTEIS]],K$5, FALSE)</f>
        <v>#N/A</v>
      </c>
      <c r="L2903" s="22" t="e">
        <f>VLOOKUP($A2903, TAB_AMORTIZACAO_C[[DIAS_CORRIDOS]:[V_FUT_UTEIS]], L$5, FALSE)</f>
        <v>#N/A</v>
      </c>
    </row>
    <row r="2904" spans="1:12">
      <c r="A2904" s="19">
        <f t="shared" si="234"/>
        <v>2898</v>
      </c>
      <c r="B2904" s="20">
        <f t="shared" si="230"/>
        <v>98.286809554047039</v>
      </c>
      <c r="C2904" s="21">
        <f t="shared" si="231"/>
        <v>98.286809554047039</v>
      </c>
      <c r="D2904" s="22">
        <f>VLOOKUP($A2904, TAB_JUROS_U[[Q_DIAS_U_PARC_TIR]:[V_FUT_U_JURS CENARIO]], D$5, FALSE)</f>
        <v>1.1521071924533073</v>
      </c>
      <c r="E2904" s="22">
        <f>VLOOKUP($A2904,TAB_CORRECAO_U[[Q_DIAS_U_PARC_TIR]:[V_FUT_U_CORC-02]],E$5, FALSE)</f>
        <v>7.0430857770456381</v>
      </c>
      <c r="F2904" s="22">
        <f>VLOOKUP($A2904,TAB_AMORTIZACAO_U[[Q_DIAS_U_PARC_TIR]:[V_FUT_U_PCPL-02]], F$5, FALSE)</f>
        <v>90.091616584548092</v>
      </c>
      <c r="H2904" s="20">
        <f t="shared" si="232"/>
        <v>0</v>
      </c>
      <c r="I2904" s="21">
        <f t="shared" si="233"/>
        <v>0</v>
      </c>
      <c r="J2904" s="22" t="e">
        <f>VLOOKUP($A2904, TAB_JUROS_C[[DIAS_CORRIDOS]:[V_FUT_UTEIS]], J$5, FALSE)</f>
        <v>#N/A</v>
      </c>
      <c r="K2904" s="22" t="e">
        <f>VLOOKUP($A2904, TAB_CORRECAO_C[[DIAS_CORRIDOS]:[V_FUT_UTEIS]],K$5, FALSE)</f>
        <v>#N/A</v>
      </c>
      <c r="L2904" s="22" t="e">
        <f>VLOOKUP($A2904, TAB_AMORTIZACAO_C[[DIAS_CORRIDOS]:[V_FUT_UTEIS]], L$5, FALSE)</f>
        <v>#N/A</v>
      </c>
    </row>
    <row r="2905" spans="1:12" hidden="1">
      <c r="A2905" s="19">
        <f t="shared" si="234"/>
        <v>2899</v>
      </c>
      <c r="B2905" s="20">
        <f t="shared" si="230"/>
        <v>0</v>
      </c>
      <c r="C2905" s="21">
        <f t="shared" si="231"/>
        <v>0</v>
      </c>
      <c r="D2905" s="22" t="e">
        <f>VLOOKUP($A2905, TAB_JUROS_U[[Q_DIAS_U_PARC_TIR]:[V_FUT_U_JURS CENARIO]], D$5, FALSE)</f>
        <v>#N/A</v>
      </c>
      <c r="E2905" s="22" t="e">
        <f>VLOOKUP($A2905,TAB_CORRECAO_U[[Q_DIAS_U_PARC_TIR]:[V_FUT_U_CORC-02]],E$5, FALSE)</f>
        <v>#N/A</v>
      </c>
      <c r="F2905" s="22" t="e">
        <f>VLOOKUP($A2905,TAB_AMORTIZACAO_U[[Q_DIAS_U_PARC_TIR]:[V_FUT_U_PCPL-02]], F$5, FALSE)</f>
        <v>#N/A</v>
      </c>
      <c r="H2905" s="20">
        <f t="shared" si="232"/>
        <v>0</v>
      </c>
      <c r="I2905" s="21">
        <f t="shared" si="233"/>
        <v>0</v>
      </c>
      <c r="J2905" s="22" t="e">
        <f>VLOOKUP($A2905, TAB_JUROS_C[[DIAS_CORRIDOS]:[V_FUT_UTEIS]], J$5, FALSE)</f>
        <v>#N/A</v>
      </c>
      <c r="K2905" s="22" t="e">
        <f>VLOOKUP($A2905, TAB_CORRECAO_C[[DIAS_CORRIDOS]:[V_FUT_UTEIS]],K$5, FALSE)</f>
        <v>#N/A</v>
      </c>
      <c r="L2905" s="22" t="e">
        <f>VLOOKUP($A2905, TAB_AMORTIZACAO_C[[DIAS_CORRIDOS]:[V_FUT_UTEIS]], L$5, FALSE)</f>
        <v>#N/A</v>
      </c>
    </row>
    <row r="2906" spans="1:12" hidden="1">
      <c r="A2906" s="19">
        <f t="shared" si="234"/>
        <v>2900</v>
      </c>
      <c r="B2906" s="20">
        <f t="shared" si="230"/>
        <v>0</v>
      </c>
      <c r="C2906" s="21">
        <f t="shared" si="231"/>
        <v>0</v>
      </c>
      <c r="D2906" s="22" t="e">
        <f>VLOOKUP($A2906, TAB_JUROS_U[[Q_DIAS_U_PARC_TIR]:[V_FUT_U_JURS CENARIO]], D$5, FALSE)</f>
        <v>#N/A</v>
      </c>
      <c r="E2906" s="22" t="e">
        <f>VLOOKUP($A2906,TAB_CORRECAO_U[[Q_DIAS_U_PARC_TIR]:[V_FUT_U_CORC-02]],E$5, FALSE)</f>
        <v>#N/A</v>
      </c>
      <c r="F2906" s="22" t="e">
        <f>VLOOKUP($A2906,TAB_AMORTIZACAO_U[[Q_DIAS_U_PARC_TIR]:[V_FUT_U_PCPL-02]], F$5, FALSE)</f>
        <v>#N/A</v>
      </c>
      <c r="H2906" s="20">
        <f t="shared" si="232"/>
        <v>0</v>
      </c>
      <c r="I2906" s="21">
        <f t="shared" si="233"/>
        <v>0</v>
      </c>
      <c r="J2906" s="22" t="e">
        <f>VLOOKUP($A2906, TAB_JUROS_C[[DIAS_CORRIDOS]:[V_FUT_UTEIS]], J$5, FALSE)</f>
        <v>#N/A</v>
      </c>
      <c r="K2906" s="22" t="e">
        <f>VLOOKUP($A2906, TAB_CORRECAO_C[[DIAS_CORRIDOS]:[V_FUT_UTEIS]],K$5, FALSE)</f>
        <v>#N/A</v>
      </c>
      <c r="L2906" s="22" t="e">
        <f>VLOOKUP($A2906, TAB_AMORTIZACAO_C[[DIAS_CORRIDOS]:[V_FUT_UTEIS]], L$5, FALSE)</f>
        <v>#N/A</v>
      </c>
    </row>
    <row r="2907" spans="1:12" hidden="1">
      <c r="A2907" s="19">
        <f t="shared" si="234"/>
        <v>2901</v>
      </c>
      <c r="B2907" s="20">
        <f t="shared" si="230"/>
        <v>0</v>
      </c>
      <c r="C2907" s="21">
        <f t="shared" si="231"/>
        <v>0</v>
      </c>
      <c r="D2907" s="22" t="e">
        <f>VLOOKUP($A2907, TAB_JUROS_U[[Q_DIAS_U_PARC_TIR]:[V_FUT_U_JURS CENARIO]], D$5, FALSE)</f>
        <v>#N/A</v>
      </c>
      <c r="E2907" s="22" t="e">
        <f>VLOOKUP($A2907,TAB_CORRECAO_U[[Q_DIAS_U_PARC_TIR]:[V_FUT_U_CORC-02]],E$5, FALSE)</f>
        <v>#N/A</v>
      </c>
      <c r="F2907" s="22" t="e">
        <f>VLOOKUP($A2907,TAB_AMORTIZACAO_U[[Q_DIAS_U_PARC_TIR]:[V_FUT_U_PCPL-02]], F$5, FALSE)</f>
        <v>#N/A</v>
      </c>
      <c r="H2907" s="20">
        <f t="shared" si="232"/>
        <v>0</v>
      </c>
      <c r="I2907" s="21">
        <f t="shared" si="233"/>
        <v>0</v>
      </c>
      <c r="J2907" s="22" t="e">
        <f>VLOOKUP($A2907, TAB_JUROS_C[[DIAS_CORRIDOS]:[V_FUT_UTEIS]], J$5, FALSE)</f>
        <v>#N/A</v>
      </c>
      <c r="K2907" s="22" t="e">
        <f>VLOOKUP($A2907, TAB_CORRECAO_C[[DIAS_CORRIDOS]:[V_FUT_UTEIS]],K$5, FALSE)</f>
        <v>#N/A</v>
      </c>
      <c r="L2907" s="22" t="e">
        <f>VLOOKUP($A2907, TAB_AMORTIZACAO_C[[DIAS_CORRIDOS]:[V_FUT_UTEIS]], L$5, FALSE)</f>
        <v>#N/A</v>
      </c>
    </row>
    <row r="2908" spans="1:12" hidden="1">
      <c r="A2908" s="19">
        <f t="shared" si="234"/>
        <v>2902</v>
      </c>
      <c r="B2908" s="20">
        <f t="shared" si="230"/>
        <v>0</v>
      </c>
      <c r="C2908" s="21">
        <f t="shared" si="231"/>
        <v>0</v>
      </c>
      <c r="D2908" s="22" t="e">
        <f>VLOOKUP($A2908, TAB_JUROS_U[[Q_DIAS_U_PARC_TIR]:[V_FUT_U_JURS CENARIO]], D$5, FALSE)</f>
        <v>#N/A</v>
      </c>
      <c r="E2908" s="22" t="e">
        <f>VLOOKUP($A2908,TAB_CORRECAO_U[[Q_DIAS_U_PARC_TIR]:[V_FUT_U_CORC-02]],E$5, FALSE)</f>
        <v>#N/A</v>
      </c>
      <c r="F2908" s="22" t="e">
        <f>VLOOKUP($A2908,TAB_AMORTIZACAO_U[[Q_DIAS_U_PARC_TIR]:[V_FUT_U_PCPL-02]], F$5, FALSE)</f>
        <v>#N/A</v>
      </c>
      <c r="H2908" s="20">
        <f t="shared" si="232"/>
        <v>285.31621577806095</v>
      </c>
      <c r="I2908" s="21">
        <f t="shared" si="233"/>
        <v>285.31621577806095</v>
      </c>
      <c r="J2908" s="22">
        <f>VLOOKUP($A2908, TAB_JUROS_C[[DIAS_CORRIDOS]:[V_FUT_UTEIS]], J$5, FALSE)</f>
        <v>16.12887795305609</v>
      </c>
      <c r="K2908" s="22">
        <f>VLOOKUP($A2908, TAB_CORRECAO_C[[DIAS_CORRIDOS]:[V_FUT_UTEIS]],K$5, FALSE)</f>
        <v>94.434697948041773</v>
      </c>
      <c r="L2908" s="22">
        <f>VLOOKUP($A2908, TAB_AMORTIZACAO_C[[DIAS_CORRIDOS]:[V_FUT_UTEIS]], L$5, FALSE)</f>
        <v>174.75263987696306</v>
      </c>
    </row>
    <row r="2909" spans="1:12" hidden="1">
      <c r="A2909" s="19">
        <f t="shared" si="234"/>
        <v>2903</v>
      </c>
      <c r="B2909" s="20">
        <f t="shared" si="230"/>
        <v>0</v>
      </c>
      <c r="C2909" s="21">
        <f t="shared" si="231"/>
        <v>0</v>
      </c>
      <c r="D2909" s="22" t="e">
        <f>VLOOKUP($A2909, TAB_JUROS_U[[Q_DIAS_U_PARC_TIR]:[V_FUT_U_JURS CENARIO]], D$5, FALSE)</f>
        <v>#N/A</v>
      </c>
      <c r="E2909" s="22" t="e">
        <f>VLOOKUP($A2909,TAB_CORRECAO_U[[Q_DIAS_U_PARC_TIR]:[V_FUT_U_CORC-02]],E$5, FALSE)</f>
        <v>#N/A</v>
      </c>
      <c r="F2909" s="22" t="e">
        <f>VLOOKUP($A2909,TAB_AMORTIZACAO_U[[Q_DIAS_U_PARC_TIR]:[V_FUT_U_PCPL-02]], F$5, FALSE)</f>
        <v>#N/A</v>
      </c>
      <c r="H2909" s="20">
        <f t="shared" si="232"/>
        <v>0</v>
      </c>
      <c r="I2909" s="21">
        <f t="shared" si="233"/>
        <v>0</v>
      </c>
      <c r="J2909" s="22" t="e">
        <f>VLOOKUP($A2909, TAB_JUROS_C[[DIAS_CORRIDOS]:[V_FUT_UTEIS]], J$5, FALSE)</f>
        <v>#N/A</v>
      </c>
      <c r="K2909" s="22" t="e">
        <f>VLOOKUP($A2909, TAB_CORRECAO_C[[DIAS_CORRIDOS]:[V_FUT_UTEIS]],K$5, FALSE)</f>
        <v>#N/A</v>
      </c>
      <c r="L2909" s="22" t="e">
        <f>VLOOKUP($A2909, TAB_AMORTIZACAO_C[[DIAS_CORRIDOS]:[V_FUT_UTEIS]], L$5, FALSE)</f>
        <v>#N/A</v>
      </c>
    </row>
    <row r="2910" spans="1:12" hidden="1">
      <c r="A2910" s="19">
        <f t="shared" si="234"/>
        <v>2904</v>
      </c>
      <c r="B2910" s="20">
        <f t="shared" si="230"/>
        <v>0</v>
      </c>
      <c r="C2910" s="21">
        <f t="shared" si="231"/>
        <v>0</v>
      </c>
      <c r="D2910" s="22" t="e">
        <f>VLOOKUP($A2910, TAB_JUROS_U[[Q_DIAS_U_PARC_TIR]:[V_FUT_U_JURS CENARIO]], D$5, FALSE)</f>
        <v>#N/A</v>
      </c>
      <c r="E2910" s="22" t="e">
        <f>VLOOKUP($A2910,TAB_CORRECAO_U[[Q_DIAS_U_PARC_TIR]:[V_FUT_U_CORC-02]],E$5, FALSE)</f>
        <v>#N/A</v>
      </c>
      <c r="F2910" s="22" t="e">
        <f>VLOOKUP($A2910,TAB_AMORTIZACAO_U[[Q_DIAS_U_PARC_TIR]:[V_FUT_U_PCPL-02]], F$5, FALSE)</f>
        <v>#N/A</v>
      </c>
      <c r="H2910" s="20">
        <f t="shared" si="232"/>
        <v>0</v>
      </c>
      <c r="I2910" s="21">
        <f t="shared" si="233"/>
        <v>0</v>
      </c>
      <c r="J2910" s="22" t="e">
        <f>VLOOKUP($A2910, TAB_JUROS_C[[DIAS_CORRIDOS]:[V_FUT_UTEIS]], J$5, FALSE)</f>
        <v>#N/A</v>
      </c>
      <c r="K2910" s="22" t="e">
        <f>VLOOKUP($A2910, TAB_CORRECAO_C[[DIAS_CORRIDOS]:[V_FUT_UTEIS]],K$5, FALSE)</f>
        <v>#N/A</v>
      </c>
      <c r="L2910" s="22" t="e">
        <f>VLOOKUP($A2910, TAB_AMORTIZACAO_C[[DIAS_CORRIDOS]:[V_FUT_UTEIS]], L$5, FALSE)</f>
        <v>#N/A</v>
      </c>
    </row>
    <row r="2911" spans="1:12" hidden="1">
      <c r="A2911" s="19">
        <f t="shared" si="234"/>
        <v>2905</v>
      </c>
      <c r="B2911" s="20">
        <f t="shared" si="230"/>
        <v>0</v>
      </c>
      <c r="C2911" s="21">
        <f t="shared" si="231"/>
        <v>0</v>
      </c>
      <c r="D2911" s="22" t="e">
        <f>VLOOKUP($A2911, TAB_JUROS_U[[Q_DIAS_U_PARC_TIR]:[V_FUT_U_JURS CENARIO]], D$5, FALSE)</f>
        <v>#N/A</v>
      </c>
      <c r="E2911" s="22" t="e">
        <f>VLOOKUP($A2911,TAB_CORRECAO_U[[Q_DIAS_U_PARC_TIR]:[V_FUT_U_CORC-02]],E$5, FALSE)</f>
        <v>#N/A</v>
      </c>
      <c r="F2911" s="22" t="e">
        <f>VLOOKUP($A2911,TAB_AMORTIZACAO_U[[Q_DIAS_U_PARC_TIR]:[V_FUT_U_PCPL-02]], F$5, FALSE)</f>
        <v>#N/A</v>
      </c>
      <c r="H2911" s="20">
        <f t="shared" si="232"/>
        <v>0</v>
      </c>
      <c r="I2911" s="21">
        <f t="shared" si="233"/>
        <v>0</v>
      </c>
      <c r="J2911" s="22" t="e">
        <f>VLOOKUP($A2911, TAB_JUROS_C[[DIAS_CORRIDOS]:[V_FUT_UTEIS]], J$5, FALSE)</f>
        <v>#N/A</v>
      </c>
      <c r="K2911" s="22" t="e">
        <f>VLOOKUP($A2911, TAB_CORRECAO_C[[DIAS_CORRIDOS]:[V_FUT_UTEIS]],K$5, FALSE)</f>
        <v>#N/A</v>
      </c>
      <c r="L2911" s="22" t="e">
        <f>VLOOKUP($A2911, TAB_AMORTIZACAO_C[[DIAS_CORRIDOS]:[V_FUT_UTEIS]], L$5, FALSE)</f>
        <v>#N/A</v>
      </c>
    </row>
    <row r="2912" spans="1:12" hidden="1">
      <c r="A2912" s="19">
        <f t="shared" si="234"/>
        <v>2906</v>
      </c>
      <c r="B2912" s="20">
        <f t="shared" si="230"/>
        <v>0</v>
      </c>
      <c r="C2912" s="21">
        <f t="shared" si="231"/>
        <v>0</v>
      </c>
      <c r="D2912" s="22" t="e">
        <f>VLOOKUP($A2912, TAB_JUROS_U[[Q_DIAS_U_PARC_TIR]:[V_FUT_U_JURS CENARIO]], D$5, FALSE)</f>
        <v>#N/A</v>
      </c>
      <c r="E2912" s="22" t="e">
        <f>VLOOKUP($A2912,TAB_CORRECAO_U[[Q_DIAS_U_PARC_TIR]:[V_FUT_U_CORC-02]],E$5, FALSE)</f>
        <v>#N/A</v>
      </c>
      <c r="F2912" s="22" t="e">
        <f>VLOOKUP($A2912,TAB_AMORTIZACAO_U[[Q_DIAS_U_PARC_TIR]:[V_FUT_U_PCPL-02]], F$5, FALSE)</f>
        <v>#N/A</v>
      </c>
      <c r="H2912" s="20">
        <f t="shared" si="232"/>
        <v>0</v>
      </c>
      <c r="I2912" s="21">
        <f t="shared" si="233"/>
        <v>0</v>
      </c>
      <c r="J2912" s="22" t="e">
        <f>VLOOKUP($A2912, TAB_JUROS_C[[DIAS_CORRIDOS]:[V_FUT_UTEIS]], J$5, FALSE)</f>
        <v>#N/A</v>
      </c>
      <c r="K2912" s="22" t="e">
        <f>VLOOKUP($A2912, TAB_CORRECAO_C[[DIAS_CORRIDOS]:[V_FUT_UTEIS]],K$5, FALSE)</f>
        <v>#N/A</v>
      </c>
      <c r="L2912" s="22" t="e">
        <f>VLOOKUP($A2912, TAB_AMORTIZACAO_C[[DIAS_CORRIDOS]:[V_FUT_UTEIS]], L$5, FALSE)</f>
        <v>#N/A</v>
      </c>
    </row>
    <row r="2913" spans="1:12" hidden="1">
      <c r="A2913" s="19">
        <f t="shared" si="234"/>
        <v>2907</v>
      </c>
      <c r="B2913" s="20">
        <f t="shared" si="230"/>
        <v>0</v>
      </c>
      <c r="C2913" s="21">
        <f t="shared" si="231"/>
        <v>0</v>
      </c>
      <c r="D2913" s="22" t="e">
        <f>VLOOKUP($A2913, TAB_JUROS_U[[Q_DIAS_U_PARC_TIR]:[V_FUT_U_JURS CENARIO]], D$5, FALSE)</f>
        <v>#N/A</v>
      </c>
      <c r="E2913" s="22" t="e">
        <f>VLOOKUP($A2913,TAB_CORRECAO_U[[Q_DIAS_U_PARC_TIR]:[V_FUT_U_CORC-02]],E$5, FALSE)</f>
        <v>#N/A</v>
      </c>
      <c r="F2913" s="22" t="e">
        <f>VLOOKUP($A2913,TAB_AMORTIZACAO_U[[Q_DIAS_U_PARC_TIR]:[V_FUT_U_PCPL-02]], F$5, FALSE)</f>
        <v>#N/A</v>
      </c>
      <c r="H2913" s="20">
        <f t="shared" si="232"/>
        <v>0</v>
      </c>
      <c r="I2913" s="21">
        <f t="shared" si="233"/>
        <v>0</v>
      </c>
      <c r="J2913" s="22" t="e">
        <f>VLOOKUP($A2913, TAB_JUROS_C[[DIAS_CORRIDOS]:[V_FUT_UTEIS]], J$5, FALSE)</f>
        <v>#N/A</v>
      </c>
      <c r="K2913" s="22" t="e">
        <f>VLOOKUP($A2913, TAB_CORRECAO_C[[DIAS_CORRIDOS]:[V_FUT_UTEIS]],K$5, FALSE)</f>
        <v>#N/A</v>
      </c>
      <c r="L2913" s="22" t="e">
        <f>VLOOKUP($A2913, TAB_AMORTIZACAO_C[[DIAS_CORRIDOS]:[V_FUT_UTEIS]], L$5, FALSE)</f>
        <v>#N/A</v>
      </c>
    </row>
    <row r="2914" spans="1:12" hidden="1">
      <c r="A2914" s="19">
        <f t="shared" si="234"/>
        <v>2908</v>
      </c>
      <c r="B2914" s="20">
        <f t="shared" si="230"/>
        <v>0</v>
      </c>
      <c r="C2914" s="21">
        <f t="shared" si="231"/>
        <v>0</v>
      </c>
      <c r="D2914" s="22" t="e">
        <f>VLOOKUP($A2914, TAB_JUROS_U[[Q_DIAS_U_PARC_TIR]:[V_FUT_U_JURS CENARIO]], D$5, FALSE)</f>
        <v>#N/A</v>
      </c>
      <c r="E2914" s="22" t="e">
        <f>VLOOKUP($A2914,TAB_CORRECAO_U[[Q_DIAS_U_PARC_TIR]:[V_FUT_U_CORC-02]],E$5, FALSE)</f>
        <v>#N/A</v>
      </c>
      <c r="F2914" s="22" t="e">
        <f>VLOOKUP($A2914,TAB_AMORTIZACAO_U[[Q_DIAS_U_PARC_TIR]:[V_FUT_U_PCPL-02]], F$5, FALSE)</f>
        <v>#N/A</v>
      </c>
      <c r="H2914" s="20">
        <f t="shared" si="232"/>
        <v>0</v>
      </c>
      <c r="I2914" s="21">
        <f t="shared" si="233"/>
        <v>0</v>
      </c>
      <c r="J2914" s="22" t="e">
        <f>VLOOKUP($A2914, TAB_JUROS_C[[DIAS_CORRIDOS]:[V_FUT_UTEIS]], J$5, FALSE)</f>
        <v>#N/A</v>
      </c>
      <c r="K2914" s="22" t="e">
        <f>VLOOKUP($A2914, TAB_CORRECAO_C[[DIAS_CORRIDOS]:[V_FUT_UTEIS]],K$5, FALSE)</f>
        <v>#N/A</v>
      </c>
      <c r="L2914" s="22" t="e">
        <f>VLOOKUP($A2914, TAB_AMORTIZACAO_C[[DIAS_CORRIDOS]:[V_FUT_UTEIS]], L$5, FALSE)</f>
        <v>#N/A</v>
      </c>
    </row>
    <row r="2915" spans="1:12" hidden="1">
      <c r="A2915" s="19">
        <f t="shared" si="234"/>
        <v>2909</v>
      </c>
      <c r="B2915" s="20">
        <f t="shared" si="230"/>
        <v>0</v>
      </c>
      <c r="C2915" s="21">
        <f t="shared" si="231"/>
        <v>0</v>
      </c>
      <c r="D2915" s="22" t="e">
        <f>VLOOKUP($A2915, TAB_JUROS_U[[Q_DIAS_U_PARC_TIR]:[V_FUT_U_JURS CENARIO]], D$5, FALSE)</f>
        <v>#N/A</v>
      </c>
      <c r="E2915" s="22" t="e">
        <f>VLOOKUP($A2915,TAB_CORRECAO_U[[Q_DIAS_U_PARC_TIR]:[V_FUT_U_CORC-02]],E$5, FALSE)</f>
        <v>#N/A</v>
      </c>
      <c r="F2915" s="22" t="e">
        <f>VLOOKUP($A2915,TAB_AMORTIZACAO_U[[Q_DIAS_U_PARC_TIR]:[V_FUT_U_PCPL-02]], F$5, FALSE)</f>
        <v>#N/A</v>
      </c>
      <c r="H2915" s="20">
        <f t="shared" si="232"/>
        <v>0</v>
      </c>
      <c r="I2915" s="21">
        <f t="shared" si="233"/>
        <v>0</v>
      </c>
      <c r="J2915" s="22" t="e">
        <f>VLOOKUP($A2915, TAB_JUROS_C[[DIAS_CORRIDOS]:[V_FUT_UTEIS]], J$5, FALSE)</f>
        <v>#N/A</v>
      </c>
      <c r="K2915" s="22" t="e">
        <f>VLOOKUP($A2915, TAB_CORRECAO_C[[DIAS_CORRIDOS]:[V_FUT_UTEIS]],K$5, FALSE)</f>
        <v>#N/A</v>
      </c>
      <c r="L2915" s="22" t="e">
        <f>VLOOKUP($A2915, TAB_AMORTIZACAO_C[[DIAS_CORRIDOS]:[V_FUT_UTEIS]], L$5, FALSE)</f>
        <v>#N/A</v>
      </c>
    </row>
    <row r="2916" spans="1:12" hidden="1">
      <c r="A2916" s="19">
        <f t="shared" si="234"/>
        <v>2910</v>
      </c>
      <c r="B2916" s="20">
        <f t="shared" si="230"/>
        <v>0</v>
      </c>
      <c r="C2916" s="21">
        <f t="shared" si="231"/>
        <v>0</v>
      </c>
      <c r="D2916" s="22" t="e">
        <f>VLOOKUP($A2916, TAB_JUROS_U[[Q_DIAS_U_PARC_TIR]:[V_FUT_U_JURS CENARIO]], D$5, FALSE)</f>
        <v>#N/A</v>
      </c>
      <c r="E2916" s="22" t="e">
        <f>VLOOKUP($A2916,TAB_CORRECAO_U[[Q_DIAS_U_PARC_TIR]:[V_FUT_U_CORC-02]],E$5, FALSE)</f>
        <v>#N/A</v>
      </c>
      <c r="F2916" s="22" t="e">
        <f>VLOOKUP($A2916,TAB_AMORTIZACAO_U[[Q_DIAS_U_PARC_TIR]:[V_FUT_U_PCPL-02]], F$5, FALSE)</f>
        <v>#N/A</v>
      </c>
      <c r="H2916" s="20">
        <f t="shared" si="232"/>
        <v>0</v>
      </c>
      <c r="I2916" s="21">
        <f t="shared" si="233"/>
        <v>0</v>
      </c>
      <c r="J2916" s="22" t="e">
        <f>VLOOKUP($A2916, TAB_JUROS_C[[DIAS_CORRIDOS]:[V_FUT_UTEIS]], J$5, FALSE)</f>
        <v>#N/A</v>
      </c>
      <c r="K2916" s="22" t="e">
        <f>VLOOKUP($A2916, TAB_CORRECAO_C[[DIAS_CORRIDOS]:[V_FUT_UTEIS]],K$5, FALSE)</f>
        <v>#N/A</v>
      </c>
      <c r="L2916" s="22" t="e">
        <f>VLOOKUP($A2916, TAB_AMORTIZACAO_C[[DIAS_CORRIDOS]:[V_FUT_UTEIS]], L$5, FALSE)</f>
        <v>#N/A</v>
      </c>
    </row>
    <row r="2917" spans="1:12" hidden="1">
      <c r="A2917" s="19">
        <f t="shared" si="234"/>
        <v>2911</v>
      </c>
      <c r="B2917" s="20">
        <f t="shared" si="230"/>
        <v>0</v>
      </c>
      <c r="C2917" s="21">
        <f t="shared" si="231"/>
        <v>0</v>
      </c>
      <c r="D2917" s="22" t="e">
        <f>VLOOKUP($A2917, TAB_JUROS_U[[Q_DIAS_U_PARC_TIR]:[V_FUT_U_JURS CENARIO]], D$5, FALSE)</f>
        <v>#N/A</v>
      </c>
      <c r="E2917" s="22" t="e">
        <f>VLOOKUP($A2917,TAB_CORRECAO_U[[Q_DIAS_U_PARC_TIR]:[V_FUT_U_CORC-02]],E$5, FALSE)</f>
        <v>#N/A</v>
      </c>
      <c r="F2917" s="22" t="e">
        <f>VLOOKUP($A2917,TAB_AMORTIZACAO_U[[Q_DIAS_U_PARC_TIR]:[V_FUT_U_PCPL-02]], F$5, FALSE)</f>
        <v>#N/A</v>
      </c>
      <c r="H2917" s="20">
        <f t="shared" si="232"/>
        <v>0</v>
      </c>
      <c r="I2917" s="21">
        <f t="shared" si="233"/>
        <v>0</v>
      </c>
      <c r="J2917" s="22" t="e">
        <f>VLOOKUP($A2917, TAB_JUROS_C[[DIAS_CORRIDOS]:[V_FUT_UTEIS]], J$5, FALSE)</f>
        <v>#N/A</v>
      </c>
      <c r="K2917" s="22" t="e">
        <f>VLOOKUP($A2917, TAB_CORRECAO_C[[DIAS_CORRIDOS]:[V_FUT_UTEIS]],K$5, FALSE)</f>
        <v>#N/A</v>
      </c>
      <c r="L2917" s="22" t="e">
        <f>VLOOKUP($A2917, TAB_AMORTIZACAO_C[[DIAS_CORRIDOS]:[V_FUT_UTEIS]], L$5, FALSE)</f>
        <v>#N/A</v>
      </c>
    </row>
    <row r="2918" spans="1:12" hidden="1">
      <c r="A2918" s="19">
        <f t="shared" si="234"/>
        <v>2912</v>
      </c>
      <c r="B2918" s="20">
        <f t="shared" si="230"/>
        <v>0</v>
      </c>
      <c r="C2918" s="21">
        <f t="shared" si="231"/>
        <v>0</v>
      </c>
      <c r="D2918" s="22" t="e">
        <f>VLOOKUP($A2918, TAB_JUROS_U[[Q_DIAS_U_PARC_TIR]:[V_FUT_U_JURS CENARIO]], D$5, FALSE)</f>
        <v>#N/A</v>
      </c>
      <c r="E2918" s="22" t="e">
        <f>VLOOKUP($A2918,TAB_CORRECAO_U[[Q_DIAS_U_PARC_TIR]:[V_FUT_U_CORC-02]],E$5, FALSE)</f>
        <v>#N/A</v>
      </c>
      <c r="F2918" s="22" t="e">
        <f>VLOOKUP($A2918,TAB_AMORTIZACAO_U[[Q_DIAS_U_PARC_TIR]:[V_FUT_U_PCPL-02]], F$5, FALSE)</f>
        <v>#N/A</v>
      </c>
      <c r="H2918" s="20">
        <f t="shared" si="232"/>
        <v>0</v>
      </c>
      <c r="I2918" s="21">
        <f t="shared" si="233"/>
        <v>0</v>
      </c>
      <c r="J2918" s="22" t="e">
        <f>VLOOKUP($A2918, TAB_JUROS_C[[DIAS_CORRIDOS]:[V_FUT_UTEIS]], J$5, FALSE)</f>
        <v>#N/A</v>
      </c>
      <c r="K2918" s="22" t="e">
        <f>VLOOKUP($A2918, TAB_CORRECAO_C[[DIAS_CORRIDOS]:[V_FUT_UTEIS]],K$5, FALSE)</f>
        <v>#N/A</v>
      </c>
      <c r="L2918" s="22" t="e">
        <f>VLOOKUP($A2918, TAB_AMORTIZACAO_C[[DIAS_CORRIDOS]:[V_FUT_UTEIS]], L$5, FALSE)</f>
        <v>#N/A</v>
      </c>
    </row>
    <row r="2919" spans="1:12" hidden="1">
      <c r="A2919" s="19">
        <f t="shared" si="234"/>
        <v>2913</v>
      </c>
      <c r="B2919" s="20">
        <f t="shared" si="230"/>
        <v>0</v>
      </c>
      <c r="C2919" s="21">
        <f t="shared" si="231"/>
        <v>0</v>
      </c>
      <c r="D2919" s="22" t="e">
        <f>VLOOKUP($A2919, TAB_JUROS_U[[Q_DIAS_U_PARC_TIR]:[V_FUT_U_JURS CENARIO]], D$5, FALSE)</f>
        <v>#N/A</v>
      </c>
      <c r="E2919" s="22" t="e">
        <f>VLOOKUP($A2919,TAB_CORRECAO_U[[Q_DIAS_U_PARC_TIR]:[V_FUT_U_CORC-02]],E$5, FALSE)</f>
        <v>#N/A</v>
      </c>
      <c r="F2919" s="22" t="e">
        <f>VLOOKUP($A2919,TAB_AMORTIZACAO_U[[Q_DIAS_U_PARC_TIR]:[V_FUT_U_PCPL-02]], F$5, FALSE)</f>
        <v>#N/A</v>
      </c>
      <c r="H2919" s="20">
        <f t="shared" si="232"/>
        <v>0</v>
      </c>
      <c r="I2919" s="21">
        <f t="shared" si="233"/>
        <v>0</v>
      </c>
      <c r="J2919" s="22" t="e">
        <f>VLOOKUP($A2919, TAB_JUROS_C[[DIAS_CORRIDOS]:[V_FUT_UTEIS]], J$5, FALSE)</f>
        <v>#N/A</v>
      </c>
      <c r="K2919" s="22" t="e">
        <f>VLOOKUP($A2919, TAB_CORRECAO_C[[DIAS_CORRIDOS]:[V_FUT_UTEIS]],K$5, FALSE)</f>
        <v>#N/A</v>
      </c>
      <c r="L2919" s="22" t="e">
        <f>VLOOKUP($A2919, TAB_AMORTIZACAO_C[[DIAS_CORRIDOS]:[V_FUT_UTEIS]], L$5, FALSE)</f>
        <v>#N/A</v>
      </c>
    </row>
    <row r="2920" spans="1:12" hidden="1">
      <c r="A2920" s="19">
        <f t="shared" si="234"/>
        <v>2914</v>
      </c>
      <c r="B2920" s="20">
        <f t="shared" si="230"/>
        <v>0</v>
      </c>
      <c r="C2920" s="21">
        <f t="shared" si="231"/>
        <v>0</v>
      </c>
      <c r="D2920" s="22" t="e">
        <f>VLOOKUP($A2920, TAB_JUROS_U[[Q_DIAS_U_PARC_TIR]:[V_FUT_U_JURS CENARIO]], D$5, FALSE)</f>
        <v>#N/A</v>
      </c>
      <c r="E2920" s="22" t="e">
        <f>VLOOKUP($A2920,TAB_CORRECAO_U[[Q_DIAS_U_PARC_TIR]:[V_FUT_U_CORC-02]],E$5, FALSE)</f>
        <v>#N/A</v>
      </c>
      <c r="F2920" s="22" t="e">
        <f>VLOOKUP($A2920,TAB_AMORTIZACAO_U[[Q_DIAS_U_PARC_TIR]:[V_FUT_U_PCPL-02]], F$5, FALSE)</f>
        <v>#N/A</v>
      </c>
      <c r="H2920" s="20">
        <f t="shared" si="232"/>
        <v>0</v>
      </c>
      <c r="I2920" s="21">
        <f t="shared" si="233"/>
        <v>0</v>
      </c>
      <c r="J2920" s="22" t="e">
        <f>VLOOKUP($A2920, TAB_JUROS_C[[DIAS_CORRIDOS]:[V_FUT_UTEIS]], J$5, FALSE)</f>
        <v>#N/A</v>
      </c>
      <c r="K2920" s="22" t="e">
        <f>VLOOKUP($A2920, TAB_CORRECAO_C[[DIAS_CORRIDOS]:[V_FUT_UTEIS]],K$5, FALSE)</f>
        <v>#N/A</v>
      </c>
      <c r="L2920" s="22" t="e">
        <f>VLOOKUP($A2920, TAB_AMORTIZACAO_C[[DIAS_CORRIDOS]:[V_FUT_UTEIS]], L$5, FALSE)</f>
        <v>#N/A</v>
      </c>
    </row>
    <row r="2921" spans="1:12" hidden="1">
      <c r="A2921" s="19">
        <f t="shared" si="234"/>
        <v>2915</v>
      </c>
      <c r="B2921" s="20">
        <f t="shared" si="230"/>
        <v>0</v>
      </c>
      <c r="C2921" s="21">
        <f t="shared" si="231"/>
        <v>0</v>
      </c>
      <c r="D2921" s="22" t="e">
        <f>VLOOKUP($A2921, TAB_JUROS_U[[Q_DIAS_U_PARC_TIR]:[V_FUT_U_JURS CENARIO]], D$5, FALSE)</f>
        <v>#N/A</v>
      </c>
      <c r="E2921" s="22" t="e">
        <f>VLOOKUP($A2921,TAB_CORRECAO_U[[Q_DIAS_U_PARC_TIR]:[V_FUT_U_CORC-02]],E$5, FALSE)</f>
        <v>#N/A</v>
      </c>
      <c r="F2921" s="22" t="e">
        <f>VLOOKUP($A2921,TAB_AMORTIZACAO_U[[Q_DIAS_U_PARC_TIR]:[V_FUT_U_PCPL-02]], F$5, FALSE)</f>
        <v>#N/A</v>
      </c>
      <c r="H2921" s="20">
        <f t="shared" si="232"/>
        <v>0</v>
      </c>
      <c r="I2921" s="21">
        <f t="shared" si="233"/>
        <v>0</v>
      </c>
      <c r="J2921" s="22" t="e">
        <f>VLOOKUP($A2921, TAB_JUROS_C[[DIAS_CORRIDOS]:[V_FUT_UTEIS]], J$5, FALSE)</f>
        <v>#N/A</v>
      </c>
      <c r="K2921" s="22" t="e">
        <f>VLOOKUP($A2921, TAB_CORRECAO_C[[DIAS_CORRIDOS]:[V_FUT_UTEIS]],K$5, FALSE)</f>
        <v>#N/A</v>
      </c>
      <c r="L2921" s="22" t="e">
        <f>VLOOKUP($A2921, TAB_AMORTIZACAO_C[[DIAS_CORRIDOS]:[V_FUT_UTEIS]], L$5, FALSE)</f>
        <v>#N/A</v>
      </c>
    </row>
    <row r="2922" spans="1:12" hidden="1">
      <c r="A2922" s="19">
        <f t="shared" si="234"/>
        <v>2916</v>
      </c>
      <c r="B2922" s="20">
        <f t="shared" si="230"/>
        <v>0</v>
      </c>
      <c r="C2922" s="21">
        <f t="shared" si="231"/>
        <v>0</v>
      </c>
      <c r="D2922" s="22" t="e">
        <f>VLOOKUP($A2922, TAB_JUROS_U[[Q_DIAS_U_PARC_TIR]:[V_FUT_U_JURS CENARIO]], D$5, FALSE)</f>
        <v>#N/A</v>
      </c>
      <c r="E2922" s="22" t="e">
        <f>VLOOKUP($A2922,TAB_CORRECAO_U[[Q_DIAS_U_PARC_TIR]:[V_FUT_U_CORC-02]],E$5, FALSE)</f>
        <v>#N/A</v>
      </c>
      <c r="F2922" s="22" t="e">
        <f>VLOOKUP($A2922,TAB_AMORTIZACAO_U[[Q_DIAS_U_PARC_TIR]:[V_FUT_U_PCPL-02]], F$5, FALSE)</f>
        <v>#N/A</v>
      </c>
      <c r="H2922" s="20">
        <f t="shared" si="232"/>
        <v>0</v>
      </c>
      <c r="I2922" s="21">
        <f t="shared" si="233"/>
        <v>0</v>
      </c>
      <c r="J2922" s="22" t="e">
        <f>VLOOKUP($A2922, TAB_JUROS_C[[DIAS_CORRIDOS]:[V_FUT_UTEIS]], J$5, FALSE)</f>
        <v>#N/A</v>
      </c>
      <c r="K2922" s="22" t="e">
        <f>VLOOKUP($A2922, TAB_CORRECAO_C[[DIAS_CORRIDOS]:[V_FUT_UTEIS]],K$5, FALSE)</f>
        <v>#N/A</v>
      </c>
      <c r="L2922" s="22" t="e">
        <f>VLOOKUP($A2922, TAB_AMORTIZACAO_C[[DIAS_CORRIDOS]:[V_FUT_UTEIS]], L$5, FALSE)</f>
        <v>#N/A</v>
      </c>
    </row>
    <row r="2923" spans="1:12" hidden="1">
      <c r="A2923" s="19">
        <f t="shared" si="234"/>
        <v>2917</v>
      </c>
      <c r="B2923" s="20">
        <f t="shared" si="230"/>
        <v>0</v>
      </c>
      <c r="C2923" s="21">
        <f t="shared" si="231"/>
        <v>0</v>
      </c>
      <c r="D2923" s="22" t="e">
        <f>VLOOKUP($A2923, TAB_JUROS_U[[Q_DIAS_U_PARC_TIR]:[V_FUT_U_JURS CENARIO]], D$5, FALSE)</f>
        <v>#N/A</v>
      </c>
      <c r="E2923" s="22" t="e">
        <f>VLOOKUP($A2923,TAB_CORRECAO_U[[Q_DIAS_U_PARC_TIR]:[V_FUT_U_CORC-02]],E$5, FALSE)</f>
        <v>#N/A</v>
      </c>
      <c r="F2923" s="22" t="e">
        <f>VLOOKUP($A2923,TAB_AMORTIZACAO_U[[Q_DIAS_U_PARC_TIR]:[V_FUT_U_PCPL-02]], F$5, FALSE)</f>
        <v>#N/A</v>
      </c>
      <c r="H2923" s="20">
        <f t="shared" si="232"/>
        <v>0</v>
      </c>
      <c r="I2923" s="21">
        <f t="shared" si="233"/>
        <v>0</v>
      </c>
      <c r="J2923" s="22" t="e">
        <f>VLOOKUP($A2923, TAB_JUROS_C[[DIAS_CORRIDOS]:[V_FUT_UTEIS]], J$5, FALSE)</f>
        <v>#N/A</v>
      </c>
      <c r="K2923" s="22" t="e">
        <f>VLOOKUP($A2923, TAB_CORRECAO_C[[DIAS_CORRIDOS]:[V_FUT_UTEIS]],K$5, FALSE)</f>
        <v>#N/A</v>
      </c>
      <c r="L2923" s="22" t="e">
        <f>VLOOKUP($A2923, TAB_AMORTIZACAO_C[[DIAS_CORRIDOS]:[V_FUT_UTEIS]], L$5, FALSE)</f>
        <v>#N/A</v>
      </c>
    </row>
    <row r="2924" spans="1:12" hidden="1">
      <c r="A2924" s="19">
        <f t="shared" si="234"/>
        <v>2918</v>
      </c>
      <c r="B2924" s="20">
        <f t="shared" si="230"/>
        <v>0</v>
      </c>
      <c r="C2924" s="21">
        <f t="shared" si="231"/>
        <v>0</v>
      </c>
      <c r="D2924" s="22" t="e">
        <f>VLOOKUP($A2924, TAB_JUROS_U[[Q_DIAS_U_PARC_TIR]:[V_FUT_U_JURS CENARIO]], D$5, FALSE)</f>
        <v>#N/A</v>
      </c>
      <c r="E2924" s="22" t="e">
        <f>VLOOKUP($A2924,TAB_CORRECAO_U[[Q_DIAS_U_PARC_TIR]:[V_FUT_U_CORC-02]],E$5, FALSE)</f>
        <v>#N/A</v>
      </c>
      <c r="F2924" s="22" t="e">
        <f>VLOOKUP($A2924,TAB_AMORTIZACAO_U[[Q_DIAS_U_PARC_TIR]:[V_FUT_U_PCPL-02]], F$5, FALSE)</f>
        <v>#N/A</v>
      </c>
      <c r="H2924" s="20">
        <f t="shared" si="232"/>
        <v>0</v>
      </c>
      <c r="I2924" s="21">
        <f t="shared" si="233"/>
        <v>0</v>
      </c>
      <c r="J2924" s="22" t="e">
        <f>VLOOKUP($A2924, TAB_JUROS_C[[DIAS_CORRIDOS]:[V_FUT_UTEIS]], J$5, FALSE)</f>
        <v>#N/A</v>
      </c>
      <c r="K2924" s="22" t="e">
        <f>VLOOKUP($A2924, TAB_CORRECAO_C[[DIAS_CORRIDOS]:[V_FUT_UTEIS]],K$5, FALSE)</f>
        <v>#N/A</v>
      </c>
      <c r="L2924" s="22" t="e">
        <f>VLOOKUP($A2924, TAB_AMORTIZACAO_C[[DIAS_CORRIDOS]:[V_FUT_UTEIS]], L$5, FALSE)</f>
        <v>#N/A</v>
      </c>
    </row>
    <row r="2925" spans="1:12" hidden="1">
      <c r="A2925" s="19">
        <f t="shared" si="234"/>
        <v>2919</v>
      </c>
      <c r="B2925" s="20">
        <f t="shared" si="230"/>
        <v>0</v>
      </c>
      <c r="C2925" s="21">
        <f t="shared" si="231"/>
        <v>0</v>
      </c>
      <c r="D2925" s="22" t="e">
        <f>VLOOKUP($A2925, TAB_JUROS_U[[Q_DIAS_U_PARC_TIR]:[V_FUT_U_JURS CENARIO]], D$5, FALSE)</f>
        <v>#N/A</v>
      </c>
      <c r="E2925" s="22" t="e">
        <f>VLOOKUP($A2925,TAB_CORRECAO_U[[Q_DIAS_U_PARC_TIR]:[V_FUT_U_CORC-02]],E$5, FALSE)</f>
        <v>#N/A</v>
      </c>
      <c r="F2925" s="22" t="e">
        <f>VLOOKUP($A2925,TAB_AMORTIZACAO_U[[Q_DIAS_U_PARC_TIR]:[V_FUT_U_PCPL-02]], F$5, FALSE)</f>
        <v>#N/A</v>
      </c>
      <c r="H2925" s="20">
        <f t="shared" si="232"/>
        <v>0</v>
      </c>
      <c r="I2925" s="21">
        <f t="shared" si="233"/>
        <v>0</v>
      </c>
      <c r="J2925" s="22" t="e">
        <f>VLOOKUP($A2925, TAB_JUROS_C[[DIAS_CORRIDOS]:[V_FUT_UTEIS]], J$5, FALSE)</f>
        <v>#N/A</v>
      </c>
      <c r="K2925" s="22" t="e">
        <f>VLOOKUP($A2925, TAB_CORRECAO_C[[DIAS_CORRIDOS]:[V_FUT_UTEIS]],K$5, FALSE)</f>
        <v>#N/A</v>
      </c>
      <c r="L2925" s="22" t="e">
        <f>VLOOKUP($A2925, TAB_AMORTIZACAO_C[[DIAS_CORRIDOS]:[V_FUT_UTEIS]], L$5, FALSE)</f>
        <v>#N/A</v>
      </c>
    </row>
    <row r="2926" spans="1:12">
      <c r="A2926" s="19">
        <f t="shared" si="234"/>
        <v>2920</v>
      </c>
      <c r="B2926" s="20">
        <f t="shared" si="230"/>
        <v>94.651906277311568</v>
      </c>
      <c r="C2926" s="21">
        <f t="shared" si="231"/>
        <v>94.651906277311568</v>
      </c>
      <c r="D2926" s="22">
        <f>VLOOKUP($A2926, TAB_JUROS_U[[Q_DIAS_U_PARC_TIR]:[V_FUT_U_JURS CENARIO]], D$5, FALSE)</f>
        <v>0.94247757054785586</v>
      </c>
      <c r="E2926" s="22">
        <f>VLOOKUP($A2926,TAB_CORRECAO_U[[Q_DIAS_U_PARC_TIR]:[V_FUT_U_CORC-02]],E$5, FALSE)</f>
        <v>5.761573589498405</v>
      </c>
      <c r="F2926" s="22">
        <f>VLOOKUP($A2926,TAB_AMORTIZACAO_U[[Q_DIAS_U_PARC_TIR]:[V_FUT_U_PCPL-02]], F$5, FALSE)</f>
        <v>87.947855117265306</v>
      </c>
      <c r="H2926" s="20">
        <f t="shared" si="232"/>
        <v>0</v>
      </c>
      <c r="I2926" s="21">
        <f t="shared" si="233"/>
        <v>0</v>
      </c>
      <c r="J2926" s="22" t="e">
        <f>VLOOKUP($A2926, TAB_JUROS_C[[DIAS_CORRIDOS]:[V_FUT_UTEIS]], J$5, FALSE)</f>
        <v>#N/A</v>
      </c>
      <c r="K2926" s="22" t="e">
        <f>VLOOKUP($A2926, TAB_CORRECAO_C[[DIAS_CORRIDOS]:[V_FUT_UTEIS]],K$5, FALSE)</f>
        <v>#N/A</v>
      </c>
      <c r="L2926" s="22" t="e">
        <f>VLOOKUP($A2926, TAB_AMORTIZACAO_C[[DIAS_CORRIDOS]:[V_FUT_UTEIS]], L$5, FALSE)</f>
        <v>#N/A</v>
      </c>
    </row>
    <row r="2927" spans="1:12" hidden="1">
      <c r="A2927" s="19">
        <f t="shared" si="234"/>
        <v>2921</v>
      </c>
      <c r="B2927" s="20">
        <f t="shared" si="230"/>
        <v>0</v>
      </c>
      <c r="C2927" s="21">
        <f t="shared" si="231"/>
        <v>0</v>
      </c>
      <c r="D2927" s="22" t="e">
        <f>VLOOKUP($A2927, TAB_JUROS_U[[Q_DIAS_U_PARC_TIR]:[V_FUT_U_JURS CENARIO]], D$5, FALSE)</f>
        <v>#N/A</v>
      </c>
      <c r="E2927" s="22" t="e">
        <f>VLOOKUP($A2927,TAB_CORRECAO_U[[Q_DIAS_U_PARC_TIR]:[V_FUT_U_CORC-02]],E$5, FALSE)</f>
        <v>#N/A</v>
      </c>
      <c r="F2927" s="22" t="e">
        <f>VLOOKUP($A2927,TAB_AMORTIZACAO_U[[Q_DIAS_U_PARC_TIR]:[V_FUT_U_PCPL-02]], F$5, FALSE)</f>
        <v>#N/A</v>
      </c>
      <c r="H2927" s="20">
        <f t="shared" si="232"/>
        <v>0</v>
      </c>
      <c r="I2927" s="21">
        <f t="shared" si="233"/>
        <v>0</v>
      </c>
      <c r="J2927" s="22" t="e">
        <f>VLOOKUP($A2927, TAB_JUROS_C[[DIAS_CORRIDOS]:[V_FUT_UTEIS]], J$5, FALSE)</f>
        <v>#N/A</v>
      </c>
      <c r="K2927" s="22" t="e">
        <f>VLOOKUP($A2927, TAB_CORRECAO_C[[DIAS_CORRIDOS]:[V_FUT_UTEIS]],K$5, FALSE)</f>
        <v>#N/A</v>
      </c>
      <c r="L2927" s="22" t="e">
        <f>VLOOKUP($A2927, TAB_AMORTIZACAO_C[[DIAS_CORRIDOS]:[V_FUT_UTEIS]], L$5, FALSE)</f>
        <v>#N/A</v>
      </c>
    </row>
    <row r="2928" spans="1:12" hidden="1">
      <c r="A2928" s="19">
        <f t="shared" si="234"/>
        <v>2922</v>
      </c>
      <c r="B2928" s="20">
        <f t="shared" si="230"/>
        <v>0</v>
      </c>
      <c r="C2928" s="21">
        <f t="shared" si="231"/>
        <v>0</v>
      </c>
      <c r="D2928" s="22" t="e">
        <f>VLOOKUP($A2928, TAB_JUROS_U[[Q_DIAS_U_PARC_TIR]:[V_FUT_U_JURS CENARIO]], D$5, FALSE)</f>
        <v>#N/A</v>
      </c>
      <c r="E2928" s="22" t="e">
        <f>VLOOKUP($A2928,TAB_CORRECAO_U[[Q_DIAS_U_PARC_TIR]:[V_FUT_U_CORC-02]],E$5, FALSE)</f>
        <v>#N/A</v>
      </c>
      <c r="F2928" s="22" t="e">
        <f>VLOOKUP($A2928,TAB_AMORTIZACAO_U[[Q_DIAS_U_PARC_TIR]:[V_FUT_U_PCPL-02]], F$5, FALSE)</f>
        <v>#N/A</v>
      </c>
      <c r="H2928" s="20">
        <f t="shared" si="232"/>
        <v>0</v>
      </c>
      <c r="I2928" s="21">
        <f t="shared" si="233"/>
        <v>0</v>
      </c>
      <c r="J2928" s="22" t="e">
        <f>VLOOKUP($A2928, TAB_JUROS_C[[DIAS_CORRIDOS]:[V_FUT_UTEIS]], J$5, FALSE)</f>
        <v>#N/A</v>
      </c>
      <c r="K2928" s="22" t="e">
        <f>VLOOKUP($A2928, TAB_CORRECAO_C[[DIAS_CORRIDOS]:[V_FUT_UTEIS]],K$5, FALSE)</f>
        <v>#N/A</v>
      </c>
      <c r="L2928" s="22" t="e">
        <f>VLOOKUP($A2928, TAB_AMORTIZACAO_C[[DIAS_CORRIDOS]:[V_FUT_UTEIS]], L$5, FALSE)</f>
        <v>#N/A</v>
      </c>
    </row>
    <row r="2929" spans="1:12" hidden="1">
      <c r="A2929" s="19">
        <f t="shared" si="234"/>
        <v>2923</v>
      </c>
      <c r="B2929" s="20">
        <f t="shared" si="230"/>
        <v>0</v>
      </c>
      <c r="C2929" s="21">
        <f t="shared" si="231"/>
        <v>0</v>
      </c>
      <c r="D2929" s="22" t="e">
        <f>VLOOKUP($A2929, TAB_JUROS_U[[Q_DIAS_U_PARC_TIR]:[V_FUT_U_JURS CENARIO]], D$5, FALSE)</f>
        <v>#N/A</v>
      </c>
      <c r="E2929" s="22" t="e">
        <f>VLOOKUP($A2929,TAB_CORRECAO_U[[Q_DIAS_U_PARC_TIR]:[V_FUT_U_CORC-02]],E$5, FALSE)</f>
        <v>#N/A</v>
      </c>
      <c r="F2929" s="22" t="e">
        <f>VLOOKUP($A2929,TAB_AMORTIZACAO_U[[Q_DIAS_U_PARC_TIR]:[V_FUT_U_PCPL-02]], F$5, FALSE)</f>
        <v>#N/A</v>
      </c>
      <c r="H2929" s="20">
        <f t="shared" si="232"/>
        <v>0</v>
      </c>
      <c r="I2929" s="21">
        <f t="shared" si="233"/>
        <v>0</v>
      </c>
      <c r="J2929" s="22" t="e">
        <f>VLOOKUP($A2929, TAB_JUROS_C[[DIAS_CORRIDOS]:[V_FUT_UTEIS]], J$5, FALSE)</f>
        <v>#N/A</v>
      </c>
      <c r="K2929" s="22" t="e">
        <f>VLOOKUP($A2929, TAB_CORRECAO_C[[DIAS_CORRIDOS]:[V_FUT_UTEIS]],K$5, FALSE)</f>
        <v>#N/A</v>
      </c>
      <c r="L2929" s="22" t="e">
        <f>VLOOKUP($A2929, TAB_AMORTIZACAO_C[[DIAS_CORRIDOS]:[V_FUT_UTEIS]], L$5, FALSE)</f>
        <v>#N/A</v>
      </c>
    </row>
    <row r="2930" spans="1:12" hidden="1">
      <c r="A2930" s="19">
        <f t="shared" si="234"/>
        <v>2924</v>
      </c>
      <c r="B2930" s="20">
        <f t="shared" si="230"/>
        <v>0</v>
      </c>
      <c r="C2930" s="21">
        <f t="shared" si="231"/>
        <v>0</v>
      </c>
      <c r="D2930" s="22" t="e">
        <f>VLOOKUP($A2930, TAB_JUROS_U[[Q_DIAS_U_PARC_TIR]:[V_FUT_U_JURS CENARIO]], D$5, FALSE)</f>
        <v>#N/A</v>
      </c>
      <c r="E2930" s="22" t="e">
        <f>VLOOKUP($A2930,TAB_CORRECAO_U[[Q_DIAS_U_PARC_TIR]:[V_FUT_U_CORC-02]],E$5, FALSE)</f>
        <v>#N/A</v>
      </c>
      <c r="F2930" s="22" t="e">
        <f>VLOOKUP($A2930,TAB_AMORTIZACAO_U[[Q_DIAS_U_PARC_TIR]:[V_FUT_U_PCPL-02]], F$5, FALSE)</f>
        <v>#N/A</v>
      </c>
      <c r="H2930" s="20">
        <f t="shared" si="232"/>
        <v>0</v>
      </c>
      <c r="I2930" s="21">
        <f t="shared" si="233"/>
        <v>0</v>
      </c>
      <c r="J2930" s="22" t="e">
        <f>VLOOKUP($A2930, TAB_JUROS_C[[DIAS_CORRIDOS]:[V_FUT_UTEIS]], J$5, FALSE)</f>
        <v>#N/A</v>
      </c>
      <c r="K2930" s="22" t="e">
        <f>VLOOKUP($A2930, TAB_CORRECAO_C[[DIAS_CORRIDOS]:[V_FUT_UTEIS]],K$5, FALSE)</f>
        <v>#N/A</v>
      </c>
      <c r="L2930" s="22" t="e">
        <f>VLOOKUP($A2930, TAB_AMORTIZACAO_C[[DIAS_CORRIDOS]:[V_FUT_UTEIS]], L$5, FALSE)</f>
        <v>#N/A</v>
      </c>
    </row>
    <row r="2931" spans="1:12" hidden="1">
      <c r="A2931" s="19">
        <f t="shared" si="234"/>
        <v>2925</v>
      </c>
      <c r="B2931" s="20">
        <f t="shared" si="230"/>
        <v>0</v>
      </c>
      <c r="C2931" s="21">
        <f t="shared" si="231"/>
        <v>0</v>
      </c>
      <c r="D2931" s="22" t="e">
        <f>VLOOKUP($A2931, TAB_JUROS_U[[Q_DIAS_U_PARC_TIR]:[V_FUT_U_JURS CENARIO]], D$5, FALSE)</f>
        <v>#N/A</v>
      </c>
      <c r="E2931" s="22" t="e">
        <f>VLOOKUP($A2931,TAB_CORRECAO_U[[Q_DIAS_U_PARC_TIR]:[V_FUT_U_CORC-02]],E$5, FALSE)</f>
        <v>#N/A</v>
      </c>
      <c r="F2931" s="22" t="e">
        <f>VLOOKUP($A2931,TAB_AMORTIZACAO_U[[Q_DIAS_U_PARC_TIR]:[V_FUT_U_PCPL-02]], F$5, FALSE)</f>
        <v>#N/A</v>
      </c>
      <c r="H2931" s="20">
        <f t="shared" si="232"/>
        <v>0</v>
      </c>
      <c r="I2931" s="21">
        <f t="shared" si="233"/>
        <v>0</v>
      </c>
      <c r="J2931" s="22" t="e">
        <f>VLOOKUP($A2931, TAB_JUROS_C[[DIAS_CORRIDOS]:[V_FUT_UTEIS]], J$5, FALSE)</f>
        <v>#N/A</v>
      </c>
      <c r="K2931" s="22" t="e">
        <f>VLOOKUP($A2931, TAB_CORRECAO_C[[DIAS_CORRIDOS]:[V_FUT_UTEIS]],K$5, FALSE)</f>
        <v>#N/A</v>
      </c>
      <c r="L2931" s="22" t="e">
        <f>VLOOKUP($A2931, TAB_AMORTIZACAO_C[[DIAS_CORRIDOS]:[V_FUT_UTEIS]], L$5, FALSE)</f>
        <v>#N/A</v>
      </c>
    </row>
    <row r="2932" spans="1:12" hidden="1">
      <c r="A2932" s="19">
        <f t="shared" si="234"/>
        <v>2926</v>
      </c>
      <c r="B2932" s="20">
        <f t="shared" si="230"/>
        <v>0</v>
      </c>
      <c r="C2932" s="21">
        <f t="shared" si="231"/>
        <v>0</v>
      </c>
      <c r="D2932" s="22" t="e">
        <f>VLOOKUP($A2932, TAB_JUROS_U[[Q_DIAS_U_PARC_TIR]:[V_FUT_U_JURS CENARIO]], D$5, FALSE)</f>
        <v>#N/A</v>
      </c>
      <c r="E2932" s="22" t="e">
        <f>VLOOKUP($A2932,TAB_CORRECAO_U[[Q_DIAS_U_PARC_TIR]:[V_FUT_U_CORC-02]],E$5, FALSE)</f>
        <v>#N/A</v>
      </c>
      <c r="F2932" s="22" t="e">
        <f>VLOOKUP($A2932,TAB_AMORTIZACAO_U[[Q_DIAS_U_PARC_TIR]:[V_FUT_U_PCPL-02]], F$5, FALSE)</f>
        <v>#N/A</v>
      </c>
      <c r="H2932" s="20">
        <f t="shared" si="232"/>
        <v>0</v>
      </c>
      <c r="I2932" s="21">
        <f t="shared" si="233"/>
        <v>0</v>
      </c>
      <c r="J2932" s="22" t="e">
        <f>VLOOKUP($A2932, TAB_JUROS_C[[DIAS_CORRIDOS]:[V_FUT_UTEIS]], J$5, FALSE)</f>
        <v>#N/A</v>
      </c>
      <c r="K2932" s="22" t="e">
        <f>VLOOKUP($A2932, TAB_CORRECAO_C[[DIAS_CORRIDOS]:[V_FUT_UTEIS]],K$5, FALSE)</f>
        <v>#N/A</v>
      </c>
      <c r="L2932" s="22" t="e">
        <f>VLOOKUP($A2932, TAB_AMORTIZACAO_C[[DIAS_CORRIDOS]:[V_FUT_UTEIS]], L$5, FALSE)</f>
        <v>#N/A</v>
      </c>
    </row>
    <row r="2933" spans="1:12" hidden="1">
      <c r="A2933" s="19">
        <f t="shared" si="234"/>
        <v>2927</v>
      </c>
      <c r="B2933" s="20">
        <f t="shared" si="230"/>
        <v>0</v>
      </c>
      <c r="C2933" s="21">
        <f t="shared" si="231"/>
        <v>0</v>
      </c>
      <c r="D2933" s="22" t="e">
        <f>VLOOKUP($A2933, TAB_JUROS_U[[Q_DIAS_U_PARC_TIR]:[V_FUT_U_JURS CENARIO]], D$5, FALSE)</f>
        <v>#N/A</v>
      </c>
      <c r="E2933" s="22" t="e">
        <f>VLOOKUP($A2933,TAB_CORRECAO_U[[Q_DIAS_U_PARC_TIR]:[V_FUT_U_CORC-02]],E$5, FALSE)</f>
        <v>#N/A</v>
      </c>
      <c r="F2933" s="22" t="e">
        <f>VLOOKUP($A2933,TAB_AMORTIZACAO_U[[Q_DIAS_U_PARC_TIR]:[V_FUT_U_PCPL-02]], F$5, FALSE)</f>
        <v>#N/A</v>
      </c>
      <c r="H2933" s="20">
        <f t="shared" si="232"/>
        <v>0</v>
      </c>
      <c r="I2933" s="21">
        <f t="shared" si="233"/>
        <v>0</v>
      </c>
      <c r="J2933" s="22" t="e">
        <f>VLOOKUP($A2933, TAB_JUROS_C[[DIAS_CORRIDOS]:[V_FUT_UTEIS]], J$5, FALSE)</f>
        <v>#N/A</v>
      </c>
      <c r="K2933" s="22" t="e">
        <f>VLOOKUP($A2933, TAB_CORRECAO_C[[DIAS_CORRIDOS]:[V_FUT_UTEIS]],K$5, FALSE)</f>
        <v>#N/A</v>
      </c>
      <c r="L2933" s="22" t="e">
        <f>VLOOKUP($A2933, TAB_AMORTIZACAO_C[[DIAS_CORRIDOS]:[V_FUT_UTEIS]], L$5, FALSE)</f>
        <v>#N/A</v>
      </c>
    </row>
    <row r="2934" spans="1:12" hidden="1">
      <c r="A2934" s="19">
        <f t="shared" si="234"/>
        <v>2928</v>
      </c>
      <c r="B2934" s="20">
        <f t="shared" si="230"/>
        <v>0</v>
      </c>
      <c r="C2934" s="21">
        <f t="shared" si="231"/>
        <v>0</v>
      </c>
      <c r="D2934" s="22" t="e">
        <f>VLOOKUP($A2934, TAB_JUROS_U[[Q_DIAS_U_PARC_TIR]:[V_FUT_U_JURS CENARIO]], D$5, FALSE)</f>
        <v>#N/A</v>
      </c>
      <c r="E2934" s="22" t="e">
        <f>VLOOKUP($A2934,TAB_CORRECAO_U[[Q_DIAS_U_PARC_TIR]:[V_FUT_U_CORC-02]],E$5, FALSE)</f>
        <v>#N/A</v>
      </c>
      <c r="F2934" s="22" t="e">
        <f>VLOOKUP($A2934,TAB_AMORTIZACAO_U[[Q_DIAS_U_PARC_TIR]:[V_FUT_U_PCPL-02]], F$5, FALSE)</f>
        <v>#N/A</v>
      </c>
      <c r="H2934" s="20">
        <f t="shared" si="232"/>
        <v>0</v>
      </c>
      <c r="I2934" s="21">
        <f t="shared" si="233"/>
        <v>0</v>
      </c>
      <c r="J2934" s="22" t="e">
        <f>VLOOKUP($A2934, TAB_JUROS_C[[DIAS_CORRIDOS]:[V_FUT_UTEIS]], J$5, FALSE)</f>
        <v>#N/A</v>
      </c>
      <c r="K2934" s="22" t="e">
        <f>VLOOKUP($A2934, TAB_CORRECAO_C[[DIAS_CORRIDOS]:[V_FUT_UTEIS]],K$5, FALSE)</f>
        <v>#N/A</v>
      </c>
      <c r="L2934" s="22" t="e">
        <f>VLOOKUP($A2934, TAB_AMORTIZACAO_C[[DIAS_CORRIDOS]:[V_FUT_UTEIS]], L$5, FALSE)</f>
        <v>#N/A</v>
      </c>
    </row>
    <row r="2935" spans="1:12" hidden="1">
      <c r="A2935" s="19">
        <f t="shared" si="234"/>
        <v>2929</v>
      </c>
      <c r="B2935" s="20">
        <f t="shared" si="230"/>
        <v>0</v>
      </c>
      <c r="C2935" s="21">
        <f t="shared" si="231"/>
        <v>0</v>
      </c>
      <c r="D2935" s="22" t="e">
        <f>VLOOKUP($A2935, TAB_JUROS_U[[Q_DIAS_U_PARC_TIR]:[V_FUT_U_JURS CENARIO]], D$5, FALSE)</f>
        <v>#N/A</v>
      </c>
      <c r="E2935" s="22" t="e">
        <f>VLOOKUP($A2935,TAB_CORRECAO_U[[Q_DIAS_U_PARC_TIR]:[V_FUT_U_CORC-02]],E$5, FALSE)</f>
        <v>#N/A</v>
      </c>
      <c r="F2935" s="22" t="e">
        <f>VLOOKUP($A2935,TAB_AMORTIZACAO_U[[Q_DIAS_U_PARC_TIR]:[V_FUT_U_PCPL-02]], F$5, FALSE)</f>
        <v>#N/A</v>
      </c>
      <c r="H2935" s="20">
        <f t="shared" si="232"/>
        <v>0</v>
      </c>
      <c r="I2935" s="21">
        <f t="shared" si="233"/>
        <v>0</v>
      </c>
      <c r="J2935" s="22" t="e">
        <f>VLOOKUP($A2935, TAB_JUROS_C[[DIAS_CORRIDOS]:[V_FUT_UTEIS]], J$5, FALSE)</f>
        <v>#N/A</v>
      </c>
      <c r="K2935" s="22" t="e">
        <f>VLOOKUP($A2935, TAB_CORRECAO_C[[DIAS_CORRIDOS]:[V_FUT_UTEIS]],K$5, FALSE)</f>
        <v>#N/A</v>
      </c>
      <c r="L2935" s="22" t="e">
        <f>VLOOKUP($A2935, TAB_AMORTIZACAO_C[[DIAS_CORRIDOS]:[V_FUT_UTEIS]], L$5, FALSE)</f>
        <v>#N/A</v>
      </c>
    </row>
    <row r="2936" spans="1:12" hidden="1">
      <c r="A2936" s="19">
        <f t="shared" si="234"/>
        <v>2930</v>
      </c>
      <c r="B2936" s="20">
        <f t="shared" si="230"/>
        <v>0</v>
      </c>
      <c r="C2936" s="21">
        <f t="shared" si="231"/>
        <v>0</v>
      </c>
      <c r="D2936" s="22" t="e">
        <f>VLOOKUP($A2936, TAB_JUROS_U[[Q_DIAS_U_PARC_TIR]:[V_FUT_U_JURS CENARIO]], D$5, FALSE)</f>
        <v>#N/A</v>
      </c>
      <c r="E2936" s="22" t="e">
        <f>VLOOKUP($A2936,TAB_CORRECAO_U[[Q_DIAS_U_PARC_TIR]:[V_FUT_U_CORC-02]],E$5, FALSE)</f>
        <v>#N/A</v>
      </c>
      <c r="F2936" s="22" t="e">
        <f>VLOOKUP($A2936,TAB_AMORTIZACAO_U[[Q_DIAS_U_PARC_TIR]:[V_FUT_U_PCPL-02]], F$5, FALSE)</f>
        <v>#N/A</v>
      </c>
      <c r="H2936" s="20">
        <f t="shared" si="232"/>
        <v>0</v>
      </c>
      <c r="I2936" s="21">
        <f t="shared" si="233"/>
        <v>0</v>
      </c>
      <c r="J2936" s="22" t="e">
        <f>VLOOKUP($A2936, TAB_JUROS_C[[DIAS_CORRIDOS]:[V_FUT_UTEIS]], J$5, FALSE)</f>
        <v>#N/A</v>
      </c>
      <c r="K2936" s="22" t="e">
        <f>VLOOKUP($A2936, TAB_CORRECAO_C[[DIAS_CORRIDOS]:[V_FUT_UTEIS]],K$5, FALSE)</f>
        <v>#N/A</v>
      </c>
      <c r="L2936" s="22" t="e">
        <f>VLOOKUP($A2936, TAB_AMORTIZACAO_C[[DIAS_CORRIDOS]:[V_FUT_UTEIS]], L$5, FALSE)</f>
        <v>#N/A</v>
      </c>
    </row>
    <row r="2937" spans="1:12" hidden="1">
      <c r="A2937" s="19">
        <f t="shared" si="234"/>
        <v>2931</v>
      </c>
      <c r="B2937" s="20">
        <f t="shared" si="230"/>
        <v>0</v>
      </c>
      <c r="C2937" s="21">
        <f t="shared" si="231"/>
        <v>0</v>
      </c>
      <c r="D2937" s="22" t="e">
        <f>VLOOKUP($A2937, TAB_JUROS_U[[Q_DIAS_U_PARC_TIR]:[V_FUT_U_JURS CENARIO]], D$5, FALSE)</f>
        <v>#N/A</v>
      </c>
      <c r="E2937" s="22" t="e">
        <f>VLOOKUP($A2937,TAB_CORRECAO_U[[Q_DIAS_U_PARC_TIR]:[V_FUT_U_CORC-02]],E$5, FALSE)</f>
        <v>#N/A</v>
      </c>
      <c r="F2937" s="22" t="e">
        <f>VLOOKUP($A2937,TAB_AMORTIZACAO_U[[Q_DIAS_U_PARC_TIR]:[V_FUT_U_PCPL-02]], F$5, FALSE)</f>
        <v>#N/A</v>
      </c>
      <c r="H2937" s="20">
        <f t="shared" si="232"/>
        <v>0</v>
      </c>
      <c r="I2937" s="21">
        <f t="shared" si="233"/>
        <v>0</v>
      </c>
      <c r="J2937" s="22" t="e">
        <f>VLOOKUP($A2937, TAB_JUROS_C[[DIAS_CORRIDOS]:[V_FUT_UTEIS]], J$5, FALSE)</f>
        <v>#N/A</v>
      </c>
      <c r="K2937" s="22" t="e">
        <f>VLOOKUP($A2937, TAB_CORRECAO_C[[DIAS_CORRIDOS]:[V_FUT_UTEIS]],K$5, FALSE)</f>
        <v>#N/A</v>
      </c>
      <c r="L2937" s="22" t="e">
        <f>VLOOKUP($A2937, TAB_AMORTIZACAO_C[[DIAS_CORRIDOS]:[V_FUT_UTEIS]], L$5, FALSE)</f>
        <v>#N/A</v>
      </c>
    </row>
    <row r="2938" spans="1:12" hidden="1">
      <c r="A2938" s="19">
        <f t="shared" si="234"/>
        <v>2932</v>
      </c>
      <c r="B2938" s="20">
        <f t="shared" si="230"/>
        <v>0</v>
      </c>
      <c r="C2938" s="21">
        <f t="shared" si="231"/>
        <v>0</v>
      </c>
      <c r="D2938" s="22" t="e">
        <f>VLOOKUP($A2938, TAB_JUROS_U[[Q_DIAS_U_PARC_TIR]:[V_FUT_U_JURS CENARIO]], D$5, FALSE)</f>
        <v>#N/A</v>
      </c>
      <c r="E2938" s="22" t="e">
        <f>VLOOKUP($A2938,TAB_CORRECAO_U[[Q_DIAS_U_PARC_TIR]:[V_FUT_U_CORC-02]],E$5, FALSE)</f>
        <v>#N/A</v>
      </c>
      <c r="F2938" s="22" t="e">
        <f>VLOOKUP($A2938,TAB_AMORTIZACAO_U[[Q_DIAS_U_PARC_TIR]:[V_FUT_U_PCPL-02]], F$5, FALSE)</f>
        <v>#N/A</v>
      </c>
      <c r="H2938" s="20">
        <f t="shared" si="232"/>
        <v>0</v>
      </c>
      <c r="I2938" s="21">
        <f t="shared" si="233"/>
        <v>0</v>
      </c>
      <c r="J2938" s="22" t="e">
        <f>VLOOKUP($A2938, TAB_JUROS_C[[DIAS_CORRIDOS]:[V_FUT_UTEIS]], J$5, FALSE)</f>
        <v>#N/A</v>
      </c>
      <c r="K2938" s="22" t="e">
        <f>VLOOKUP($A2938, TAB_CORRECAO_C[[DIAS_CORRIDOS]:[V_FUT_UTEIS]],K$5, FALSE)</f>
        <v>#N/A</v>
      </c>
      <c r="L2938" s="22" t="e">
        <f>VLOOKUP($A2938, TAB_AMORTIZACAO_C[[DIAS_CORRIDOS]:[V_FUT_UTEIS]], L$5, FALSE)</f>
        <v>#N/A</v>
      </c>
    </row>
    <row r="2939" spans="1:12" hidden="1">
      <c r="A2939" s="19">
        <f t="shared" si="234"/>
        <v>2933</v>
      </c>
      <c r="B2939" s="20">
        <f t="shared" si="230"/>
        <v>0</v>
      </c>
      <c r="C2939" s="21">
        <f t="shared" si="231"/>
        <v>0</v>
      </c>
      <c r="D2939" s="22" t="e">
        <f>VLOOKUP($A2939, TAB_JUROS_U[[Q_DIAS_U_PARC_TIR]:[V_FUT_U_JURS CENARIO]], D$5, FALSE)</f>
        <v>#N/A</v>
      </c>
      <c r="E2939" s="22" t="e">
        <f>VLOOKUP($A2939,TAB_CORRECAO_U[[Q_DIAS_U_PARC_TIR]:[V_FUT_U_CORC-02]],E$5, FALSE)</f>
        <v>#N/A</v>
      </c>
      <c r="F2939" s="22" t="e">
        <f>VLOOKUP($A2939,TAB_AMORTIZACAO_U[[Q_DIAS_U_PARC_TIR]:[V_FUT_U_PCPL-02]], F$5, FALSE)</f>
        <v>#N/A</v>
      </c>
      <c r="H2939" s="20">
        <f t="shared" si="232"/>
        <v>0</v>
      </c>
      <c r="I2939" s="21">
        <f t="shared" si="233"/>
        <v>0</v>
      </c>
      <c r="J2939" s="22" t="e">
        <f>VLOOKUP($A2939, TAB_JUROS_C[[DIAS_CORRIDOS]:[V_FUT_UTEIS]], J$5, FALSE)</f>
        <v>#N/A</v>
      </c>
      <c r="K2939" s="22" t="e">
        <f>VLOOKUP($A2939, TAB_CORRECAO_C[[DIAS_CORRIDOS]:[V_FUT_UTEIS]],K$5, FALSE)</f>
        <v>#N/A</v>
      </c>
      <c r="L2939" s="22" t="e">
        <f>VLOOKUP($A2939, TAB_AMORTIZACAO_C[[DIAS_CORRIDOS]:[V_FUT_UTEIS]], L$5, FALSE)</f>
        <v>#N/A</v>
      </c>
    </row>
    <row r="2940" spans="1:12" hidden="1">
      <c r="A2940" s="19">
        <f t="shared" si="234"/>
        <v>2934</v>
      </c>
      <c r="B2940" s="20">
        <f t="shared" si="230"/>
        <v>0</v>
      </c>
      <c r="C2940" s="21">
        <f t="shared" si="231"/>
        <v>0</v>
      </c>
      <c r="D2940" s="22" t="e">
        <f>VLOOKUP($A2940, TAB_JUROS_U[[Q_DIAS_U_PARC_TIR]:[V_FUT_U_JURS CENARIO]], D$5, FALSE)</f>
        <v>#N/A</v>
      </c>
      <c r="E2940" s="22" t="e">
        <f>VLOOKUP($A2940,TAB_CORRECAO_U[[Q_DIAS_U_PARC_TIR]:[V_FUT_U_CORC-02]],E$5, FALSE)</f>
        <v>#N/A</v>
      </c>
      <c r="F2940" s="22" t="e">
        <f>VLOOKUP($A2940,TAB_AMORTIZACAO_U[[Q_DIAS_U_PARC_TIR]:[V_FUT_U_PCPL-02]], F$5, FALSE)</f>
        <v>#N/A</v>
      </c>
      <c r="H2940" s="20">
        <f t="shared" si="232"/>
        <v>297.94015134413689</v>
      </c>
      <c r="I2940" s="21">
        <f t="shared" si="233"/>
        <v>297.94015134413689</v>
      </c>
      <c r="J2940" s="22">
        <f>VLOOKUP($A2940, TAB_JUROS_C[[DIAS_CORRIDOS]:[V_FUT_UTEIS]], J$5, FALSE)</f>
        <v>15.60395107412775</v>
      </c>
      <c r="K2940" s="22">
        <f>VLOOKUP($A2940, TAB_CORRECAO_C[[DIAS_CORRIDOS]:[V_FUT_UTEIS]],K$5, FALSE)</f>
        <v>96.140412212317543</v>
      </c>
      <c r="L2940" s="22">
        <f>VLOOKUP($A2940, TAB_AMORTIZACAO_C[[DIAS_CORRIDOS]:[V_FUT_UTEIS]], L$5, FALSE)</f>
        <v>186.1957880576916</v>
      </c>
    </row>
    <row r="2941" spans="1:12" hidden="1">
      <c r="A2941" s="19">
        <f t="shared" si="234"/>
        <v>2935</v>
      </c>
      <c r="B2941" s="20">
        <f t="shared" si="230"/>
        <v>0</v>
      </c>
      <c r="C2941" s="21">
        <f t="shared" si="231"/>
        <v>0</v>
      </c>
      <c r="D2941" s="22" t="e">
        <f>VLOOKUP($A2941, TAB_JUROS_U[[Q_DIAS_U_PARC_TIR]:[V_FUT_U_JURS CENARIO]], D$5, FALSE)</f>
        <v>#N/A</v>
      </c>
      <c r="E2941" s="22" t="e">
        <f>VLOOKUP($A2941,TAB_CORRECAO_U[[Q_DIAS_U_PARC_TIR]:[V_FUT_U_CORC-02]],E$5, FALSE)</f>
        <v>#N/A</v>
      </c>
      <c r="F2941" s="22" t="e">
        <f>VLOOKUP($A2941,TAB_AMORTIZACAO_U[[Q_DIAS_U_PARC_TIR]:[V_FUT_U_PCPL-02]], F$5, FALSE)</f>
        <v>#N/A</v>
      </c>
      <c r="H2941" s="20">
        <f t="shared" si="232"/>
        <v>0</v>
      </c>
      <c r="I2941" s="21">
        <f t="shared" si="233"/>
        <v>0</v>
      </c>
      <c r="J2941" s="22" t="e">
        <f>VLOOKUP($A2941, TAB_JUROS_C[[DIAS_CORRIDOS]:[V_FUT_UTEIS]], J$5, FALSE)</f>
        <v>#N/A</v>
      </c>
      <c r="K2941" s="22" t="e">
        <f>VLOOKUP($A2941, TAB_CORRECAO_C[[DIAS_CORRIDOS]:[V_FUT_UTEIS]],K$5, FALSE)</f>
        <v>#N/A</v>
      </c>
      <c r="L2941" s="22" t="e">
        <f>VLOOKUP($A2941, TAB_AMORTIZACAO_C[[DIAS_CORRIDOS]:[V_FUT_UTEIS]], L$5, FALSE)</f>
        <v>#N/A</v>
      </c>
    </row>
    <row r="2942" spans="1:12" hidden="1">
      <c r="A2942" s="19">
        <f t="shared" si="234"/>
        <v>2936</v>
      </c>
      <c r="B2942" s="20">
        <f t="shared" si="230"/>
        <v>0</v>
      </c>
      <c r="C2942" s="21">
        <f t="shared" si="231"/>
        <v>0</v>
      </c>
      <c r="D2942" s="22" t="e">
        <f>VLOOKUP($A2942, TAB_JUROS_U[[Q_DIAS_U_PARC_TIR]:[V_FUT_U_JURS CENARIO]], D$5, FALSE)</f>
        <v>#N/A</v>
      </c>
      <c r="E2942" s="22" t="e">
        <f>VLOOKUP($A2942,TAB_CORRECAO_U[[Q_DIAS_U_PARC_TIR]:[V_FUT_U_CORC-02]],E$5, FALSE)</f>
        <v>#N/A</v>
      </c>
      <c r="F2942" s="22" t="e">
        <f>VLOOKUP($A2942,TAB_AMORTIZACAO_U[[Q_DIAS_U_PARC_TIR]:[V_FUT_U_PCPL-02]], F$5, FALSE)</f>
        <v>#N/A</v>
      </c>
      <c r="H2942" s="20">
        <f t="shared" si="232"/>
        <v>0</v>
      </c>
      <c r="I2942" s="21">
        <f t="shared" si="233"/>
        <v>0</v>
      </c>
      <c r="J2942" s="22" t="e">
        <f>VLOOKUP($A2942, TAB_JUROS_C[[DIAS_CORRIDOS]:[V_FUT_UTEIS]], J$5, FALSE)</f>
        <v>#N/A</v>
      </c>
      <c r="K2942" s="22" t="e">
        <f>VLOOKUP($A2942, TAB_CORRECAO_C[[DIAS_CORRIDOS]:[V_FUT_UTEIS]],K$5, FALSE)</f>
        <v>#N/A</v>
      </c>
      <c r="L2942" s="22" t="e">
        <f>VLOOKUP($A2942, TAB_AMORTIZACAO_C[[DIAS_CORRIDOS]:[V_FUT_UTEIS]], L$5, FALSE)</f>
        <v>#N/A</v>
      </c>
    </row>
    <row r="2943" spans="1:12" hidden="1">
      <c r="A2943" s="19">
        <f t="shared" si="234"/>
        <v>2937</v>
      </c>
      <c r="B2943" s="20">
        <f t="shared" si="230"/>
        <v>0</v>
      </c>
      <c r="C2943" s="21">
        <f t="shared" si="231"/>
        <v>0</v>
      </c>
      <c r="D2943" s="22" t="e">
        <f>VLOOKUP($A2943, TAB_JUROS_U[[Q_DIAS_U_PARC_TIR]:[V_FUT_U_JURS CENARIO]], D$5, FALSE)</f>
        <v>#N/A</v>
      </c>
      <c r="E2943" s="22" t="e">
        <f>VLOOKUP($A2943,TAB_CORRECAO_U[[Q_DIAS_U_PARC_TIR]:[V_FUT_U_CORC-02]],E$5, FALSE)</f>
        <v>#N/A</v>
      </c>
      <c r="F2943" s="22" t="e">
        <f>VLOOKUP($A2943,TAB_AMORTIZACAO_U[[Q_DIAS_U_PARC_TIR]:[V_FUT_U_PCPL-02]], F$5, FALSE)</f>
        <v>#N/A</v>
      </c>
      <c r="H2943" s="20">
        <f t="shared" si="232"/>
        <v>0</v>
      </c>
      <c r="I2943" s="21">
        <f t="shared" si="233"/>
        <v>0</v>
      </c>
      <c r="J2943" s="22" t="e">
        <f>VLOOKUP($A2943, TAB_JUROS_C[[DIAS_CORRIDOS]:[V_FUT_UTEIS]], J$5, FALSE)</f>
        <v>#N/A</v>
      </c>
      <c r="K2943" s="22" t="e">
        <f>VLOOKUP($A2943, TAB_CORRECAO_C[[DIAS_CORRIDOS]:[V_FUT_UTEIS]],K$5, FALSE)</f>
        <v>#N/A</v>
      </c>
      <c r="L2943" s="22" t="e">
        <f>VLOOKUP($A2943, TAB_AMORTIZACAO_C[[DIAS_CORRIDOS]:[V_FUT_UTEIS]], L$5, FALSE)</f>
        <v>#N/A</v>
      </c>
    </row>
    <row r="2944" spans="1:12" hidden="1">
      <c r="A2944" s="19">
        <f t="shared" si="234"/>
        <v>2938</v>
      </c>
      <c r="B2944" s="20">
        <f t="shared" si="230"/>
        <v>0</v>
      </c>
      <c r="C2944" s="21">
        <f t="shared" si="231"/>
        <v>0</v>
      </c>
      <c r="D2944" s="22" t="e">
        <f>VLOOKUP($A2944, TAB_JUROS_U[[Q_DIAS_U_PARC_TIR]:[V_FUT_U_JURS CENARIO]], D$5, FALSE)</f>
        <v>#N/A</v>
      </c>
      <c r="E2944" s="22" t="e">
        <f>VLOOKUP($A2944,TAB_CORRECAO_U[[Q_DIAS_U_PARC_TIR]:[V_FUT_U_CORC-02]],E$5, FALSE)</f>
        <v>#N/A</v>
      </c>
      <c r="F2944" s="22" t="e">
        <f>VLOOKUP($A2944,TAB_AMORTIZACAO_U[[Q_DIAS_U_PARC_TIR]:[V_FUT_U_PCPL-02]], F$5, FALSE)</f>
        <v>#N/A</v>
      </c>
      <c r="H2944" s="20">
        <f t="shared" si="232"/>
        <v>0</v>
      </c>
      <c r="I2944" s="21">
        <f t="shared" si="233"/>
        <v>0</v>
      </c>
      <c r="J2944" s="22" t="e">
        <f>VLOOKUP($A2944, TAB_JUROS_C[[DIAS_CORRIDOS]:[V_FUT_UTEIS]], J$5, FALSE)</f>
        <v>#N/A</v>
      </c>
      <c r="K2944" s="22" t="e">
        <f>VLOOKUP($A2944, TAB_CORRECAO_C[[DIAS_CORRIDOS]:[V_FUT_UTEIS]],K$5, FALSE)</f>
        <v>#N/A</v>
      </c>
      <c r="L2944" s="22" t="e">
        <f>VLOOKUP($A2944, TAB_AMORTIZACAO_C[[DIAS_CORRIDOS]:[V_FUT_UTEIS]], L$5, FALSE)</f>
        <v>#N/A</v>
      </c>
    </row>
    <row r="2945" spans="1:12" hidden="1">
      <c r="A2945" s="19">
        <f t="shared" si="234"/>
        <v>2939</v>
      </c>
      <c r="B2945" s="20">
        <f t="shared" si="230"/>
        <v>0</v>
      </c>
      <c r="C2945" s="21">
        <f t="shared" si="231"/>
        <v>0</v>
      </c>
      <c r="D2945" s="22" t="e">
        <f>VLOOKUP($A2945, TAB_JUROS_U[[Q_DIAS_U_PARC_TIR]:[V_FUT_U_JURS CENARIO]], D$5, FALSE)</f>
        <v>#N/A</v>
      </c>
      <c r="E2945" s="22" t="e">
        <f>VLOOKUP($A2945,TAB_CORRECAO_U[[Q_DIAS_U_PARC_TIR]:[V_FUT_U_CORC-02]],E$5, FALSE)</f>
        <v>#N/A</v>
      </c>
      <c r="F2945" s="22" t="e">
        <f>VLOOKUP($A2945,TAB_AMORTIZACAO_U[[Q_DIAS_U_PARC_TIR]:[V_FUT_U_PCPL-02]], F$5, FALSE)</f>
        <v>#N/A</v>
      </c>
      <c r="H2945" s="20">
        <f t="shared" si="232"/>
        <v>0</v>
      </c>
      <c r="I2945" s="21">
        <f t="shared" si="233"/>
        <v>0</v>
      </c>
      <c r="J2945" s="22" t="e">
        <f>VLOOKUP($A2945, TAB_JUROS_C[[DIAS_CORRIDOS]:[V_FUT_UTEIS]], J$5, FALSE)</f>
        <v>#N/A</v>
      </c>
      <c r="K2945" s="22" t="e">
        <f>VLOOKUP($A2945, TAB_CORRECAO_C[[DIAS_CORRIDOS]:[V_FUT_UTEIS]],K$5, FALSE)</f>
        <v>#N/A</v>
      </c>
      <c r="L2945" s="22" t="e">
        <f>VLOOKUP($A2945, TAB_AMORTIZACAO_C[[DIAS_CORRIDOS]:[V_FUT_UTEIS]], L$5, FALSE)</f>
        <v>#N/A</v>
      </c>
    </row>
    <row r="2946" spans="1:12" hidden="1">
      <c r="A2946" s="19">
        <f t="shared" si="234"/>
        <v>2940</v>
      </c>
      <c r="B2946" s="20">
        <f t="shared" si="230"/>
        <v>0</v>
      </c>
      <c r="C2946" s="21">
        <f t="shared" si="231"/>
        <v>0</v>
      </c>
      <c r="D2946" s="22" t="e">
        <f>VLOOKUP($A2946, TAB_JUROS_U[[Q_DIAS_U_PARC_TIR]:[V_FUT_U_JURS CENARIO]], D$5, FALSE)</f>
        <v>#N/A</v>
      </c>
      <c r="E2946" s="22" t="e">
        <f>VLOOKUP($A2946,TAB_CORRECAO_U[[Q_DIAS_U_PARC_TIR]:[V_FUT_U_CORC-02]],E$5, FALSE)</f>
        <v>#N/A</v>
      </c>
      <c r="F2946" s="22" t="e">
        <f>VLOOKUP($A2946,TAB_AMORTIZACAO_U[[Q_DIAS_U_PARC_TIR]:[V_FUT_U_PCPL-02]], F$5, FALSE)</f>
        <v>#N/A</v>
      </c>
      <c r="H2946" s="20">
        <f t="shared" si="232"/>
        <v>0</v>
      </c>
      <c r="I2946" s="21">
        <f t="shared" si="233"/>
        <v>0</v>
      </c>
      <c r="J2946" s="22" t="e">
        <f>VLOOKUP($A2946, TAB_JUROS_C[[DIAS_CORRIDOS]:[V_FUT_UTEIS]], J$5, FALSE)</f>
        <v>#N/A</v>
      </c>
      <c r="K2946" s="22" t="e">
        <f>VLOOKUP($A2946, TAB_CORRECAO_C[[DIAS_CORRIDOS]:[V_FUT_UTEIS]],K$5, FALSE)</f>
        <v>#N/A</v>
      </c>
      <c r="L2946" s="22" t="e">
        <f>VLOOKUP($A2946, TAB_AMORTIZACAO_C[[DIAS_CORRIDOS]:[V_FUT_UTEIS]], L$5, FALSE)</f>
        <v>#N/A</v>
      </c>
    </row>
    <row r="2947" spans="1:12" hidden="1">
      <c r="A2947" s="19">
        <f t="shared" si="234"/>
        <v>2941</v>
      </c>
      <c r="B2947" s="20">
        <f t="shared" si="230"/>
        <v>0</v>
      </c>
      <c r="C2947" s="21">
        <f t="shared" si="231"/>
        <v>0</v>
      </c>
      <c r="D2947" s="22" t="e">
        <f>VLOOKUP($A2947, TAB_JUROS_U[[Q_DIAS_U_PARC_TIR]:[V_FUT_U_JURS CENARIO]], D$5, FALSE)</f>
        <v>#N/A</v>
      </c>
      <c r="E2947" s="22" t="e">
        <f>VLOOKUP($A2947,TAB_CORRECAO_U[[Q_DIAS_U_PARC_TIR]:[V_FUT_U_CORC-02]],E$5, FALSE)</f>
        <v>#N/A</v>
      </c>
      <c r="F2947" s="22" t="e">
        <f>VLOOKUP($A2947,TAB_AMORTIZACAO_U[[Q_DIAS_U_PARC_TIR]:[V_FUT_U_PCPL-02]], F$5, FALSE)</f>
        <v>#N/A</v>
      </c>
      <c r="H2947" s="20">
        <f t="shared" si="232"/>
        <v>0</v>
      </c>
      <c r="I2947" s="21">
        <f t="shared" si="233"/>
        <v>0</v>
      </c>
      <c r="J2947" s="22" t="e">
        <f>VLOOKUP($A2947, TAB_JUROS_C[[DIAS_CORRIDOS]:[V_FUT_UTEIS]], J$5, FALSE)</f>
        <v>#N/A</v>
      </c>
      <c r="K2947" s="22" t="e">
        <f>VLOOKUP($A2947, TAB_CORRECAO_C[[DIAS_CORRIDOS]:[V_FUT_UTEIS]],K$5, FALSE)</f>
        <v>#N/A</v>
      </c>
      <c r="L2947" s="22" t="e">
        <f>VLOOKUP($A2947, TAB_AMORTIZACAO_C[[DIAS_CORRIDOS]:[V_FUT_UTEIS]], L$5, FALSE)</f>
        <v>#N/A</v>
      </c>
    </row>
    <row r="2948" spans="1:12">
      <c r="A2948" s="19">
        <f t="shared" si="234"/>
        <v>2942</v>
      </c>
      <c r="B2948" s="20">
        <f t="shared" si="230"/>
        <v>91.121691703334861</v>
      </c>
      <c r="C2948" s="21">
        <f t="shared" si="231"/>
        <v>91.121691703334861</v>
      </c>
      <c r="D2948" s="22">
        <f>VLOOKUP($A2948, TAB_JUROS_U[[Q_DIAS_U_PARC_TIR]:[V_FUT_U_JURS CENARIO]], D$5, FALSE)</f>
        <v>0.74023363461418734</v>
      </c>
      <c r="E2948" s="22">
        <f>VLOOKUP($A2948,TAB_CORRECAO_U[[Q_DIAS_U_PARC_TIR]:[V_FUT_U_CORC-02]],E$5, FALSE)</f>
        <v>4.5252117318530463</v>
      </c>
      <c r="F2948" s="22">
        <f>VLOOKUP($A2948,TAB_AMORTIZACAO_U[[Q_DIAS_U_PARC_TIR]:[V_FUT_U_PCPL-02]], F$5, FALSE)</f>
        <v>85.856246336867628</v>
      </c>
      <c r="H2948" s="20">
        <f t="shared" si="232"/>
        <v>0</v>
      </c>
      <c r="I2948" s="21">
        <f t="shared" si="233"/>
        <v>0</v>
      </c>
      <c r="J2948" s="22" t="e">
        <f>VLOOKUP($A2948, TAB_JUROS_C[[DIAS_CORRIDOS]:[V_FUT_UTEIS]], J$5, FALSE)</f>
        <v>#N/A</v>
      </c>
      <c r="K2948" s="22" t="e">
        <f>VLOOKUP($A2948, TAB_CORRECAO_C[[DIAS_CORRIDOS]:[V_FUT_UTEIS]],K$5, FALSE)</f>
        <v>#N/A</v>
      </c>
      <c r="L2948" s="22" t="e">
        <f>VLOOKUP($A2948, TAB_AMORTIZACAO_C[[DIAS_CORRIDOS]:[V_FUT_UTEIS]], L$5, FALSE)</f>
        <v>#N/A</v>
      </c>
    </row>
    <row r="2949" spans="1:12" hidden="1">
      <c r="A2949" s="19">
        <f t="shared" si="234"/>
        <v>2943</v>
      </c>
      <c r="B2949" s="20">
        <f t="shared" si="230"/>
        <v>0</v>
      </c>
      <c r="C2949" s="21">
        <f t="shared" si="231"/>
        <v>0</v>
      </c>
      <c r="D2949" s="22" t="e">
        <f>VLOOKUP($A2949, TAB_JUROS_U[[Q_DIAS_U_PARC_TIR]:[V_FUT_U_JURS CENARIO]], D$5, FALSE)</f>
        <v>#N/A</v>
      </c>
      <c r="E2949" s="22" t="e">
        <f>VLOOKUP($A2949,TAB_CORRECAO_U[[Q_DIAS_U_PARC_TIR]:[V_FUT_U_CORC-02]],E$5, FALSE)</f>
        <v>#N/A</v>
      </c>
      <c r="F2949" s="22" t="e">
        <f>VLOOKUP($A2949,TAB_AMORTIZACAO_U[[Q_DIAS_U_PARC_TIR]:[V_FUT_U_PCPL-02]], F$5, FALSE)</f>
        <v>#N/A</v>
      </c>
      <c r="H2949" s="20">
        <f t="shared" si="232"/>
        <v>0</v>
      </c>
      <c r="I2949" s="21">
        <f t="shared" si="233"/>
        <v>0</v>
      </c>
      <c r="J2949" s="22" t="e">
        <f>VLOOKUP($A2949, TAB_JUROS_C[[DIAS_CORRIDOS]:[V_FUT_UTEIS]], J$5, FALSE)</f>
        <v>#N/A</v>
      </c>
      <c r="K2949" s="22" t="e">
        <f>VLOOKUP($A2949, TAB_CORRECAO_C[[DIAS_CORRIDOS]:[V_FUT_UTEIS]],K$5, FALSE)</f>
        <v>#N/A</v>
      </c>
      <c r="L2949" s="22" t="e">
        <f>VLOOKUP($A2949, TAB_AMORTIZACAO_C[[DIAS_CORRIDOS]:[V_FUT_UTEIS]], L$5, FALSE)</f>
        <v>#N/A</v>
      </c>
    </row>
    <row r="2950" spans="1:12" hidden="1">
      <c r="A2950" s="19">
        <f t="shared" si="234"/>
        <v>2944</v>
      </c>
      <c r="B2950" s="20">
        <f t="shared" si="230"/>
        <v>0</v>
      </c>
      <c r="C2950" s="21">
        <f t="shared" si="231"/>
        <v>0</v>
      </c>
      <c r="D2950" s="22" t="e">
        <f>VLOOKUP($A2950, TAB_JUROS_U[[Q_DIAS_U_PARC_TIR]:[V_FUT_U_JURS CENARIO]], D$5, FALSE)</f>
        <v>#N/A</v>
      </c>
      <c r="E2950" s="22" t="e">
        <f>VLOOKUP($A2950,TAB_CORRECAO_U[[Q_DIAS_U_PARC_TIR]:[V_FUT_U_CORC-02]],E$5, FALSE)</f>
        <v>#N/A</v>
      </c>
      <c r="F2950" s="22" t="e">
        <f>VLOOKUP($A2950,TAB_AMORTIZACAO_U[[Q_DIAS_U_PARC_TIR]:[V_FUT_U_PCPL-02]], F$5, FALSE)</f>
        <v>#N/A</v>
      </c>
      <c r="H2950" s="20">
        <f t="shared" si="232"/>
        <v>0</v>
      </c>
      <c r="I2950" s="21">
        <f t="shared" si="233"/>
        <v>0</v>
      </c>
      <c r="J2950" s="22" t="e">
        <f>VLOOKUP($A2950, TAB_JUROS_C[[DIAS_CORRIDOS]:[V_FUT_UTEIS]], J$5, FALSE)</f>
        <v>#N/A</v>
      </c>
      <c r="K2950" s="22" t="e">
        <f>VLOOKUP($A2950, TAB_CORRECAO_C[[DIAS_CORRIDOS]:[V_FUT_UTEIS]],K$5, FALSE)</f>
        <v>#N/A</v>
      </c>
      <c r="L2950" s="22" t="e">
        <f>VLOOKUP($A2950, TAB_AMORTIZACAO_C[[DIAS_CORRIDOS]:[V_FUT_UTEIS]], L$5, FALSE)</f>
        <v>#N/A</v>
      </c>
    </row>
    <row r="2951" spans="1:12" hidden="1">
      <c r="A2951" s="19">
        <f t="shared" si="234"/>
        <v>2945</v>
      </c>
      <c r="B2951" s="20">
        <f t="shared" si="230"/>
        <v>0</v>
      </c>
      <c r="C2951" s="21">
        <f t="shared" si="231"/>
        <v>0</v>
      </c>
      <c r="D2951" s="22" t="e">
        <f>VLOOKUP($A2951, TAB_JUROS_U[[Q_DIAS_U_PARC_TIR]:[V_FUT_U_JURS CENARIO]], D$5, FALSE)</f>
        <v>#N/A</v>
      </c>
      <c r="E2951" s="22" t="e">
        <f>VLOOKUP($A2951,TAB_CORRECAO_U[[Q_DIAS_U_PARC_TIR]:[V_FUT_U_CORC-02]],E$5, FALSE)</f>
        <v>#N/A</v>
      </c>
      <c r="F2951" s="22" t="e">
        <f>VLOOKUP($A2951,TAB_AMORTIZACAO_U[[Q_DIAS_U_PARC_TIR]:[V_FUT_U_PCPL-02]], F$5, FALSE)</f>
        <v>#N/A</v>
      </c>
      <c r="H2951" s="20">
        <f t="shared" si="232"/>
        <v>0</v>
      </c>
      <c r="I2951" s="21">
        <f t="shared" si="233"/>
        <v>0</v>
      </c>
      <c r="J2951" s="22" t="e">
        <f>VLOOKUP($A2951, TAB_JUROS_C[[DIAS_CORRIDOS]:[V_FUT_UTEIS]], J$5, FALSE)</f>
        <v>#N/A</v>
      </c>
      <c r="K2951" s="22" t="e">
        <f>VLOOKUP($A2951, TAB_CORRECAO_C[[DIAS_CORRIDOS]:[V_FUT_UTEIS]],K$5, FALSE)</f>
        <v>#N/A</v>
      </c>
      <c r="L2951" s="22" t="e">
        <f>VLOOKUP($A2951, TAB_AMORTIZACAO_C[[DIAS_CORRIDOS]:[V_FUT_UTEIS]], L$5, FALSE)</f>
        <v>#N/A</v>
      </c>
    </row>
    <row r="2952" spans="1:12" hidden="1">
      <c r="A2952" s="19">
        <f t="shared" si="234"/>
        <v>2946</v>
      </c>
      <c r="B2952" s="20">
        <f t="shared" si="230"/>
        <v>0</v>
      </c>
      <c r="C2952" s="21">
        <f t="shared" si="231"/>
        <v>0</v>
      </c>
      <c r="D2952" s="22" t="e">
        <f>VLOOKUP($A2952, TAB_JUROS_U[[Q_DIAS_U_PARC_TIR]:[V_FUT_U_JURS CENARIO]], D$5, FALSE)</f>
        <v>#N/A</v>
      </c>
      <c r="E2952" s="22" t="e">
        <f>VLOOKUP($A2952,TAB_CORRECAO_U[[Q_DIAS_U_PARC_TIR]:[V_FUT_U_CORC-02]],E$5, FALSE)</f>
        <v>#N/A</v>
      </c>
      <c r="F2952" s="22" t="e">
        <f>VLOOKUP($A2952,TAB_AMORTIZACAO_U[[Q_DIAS_U_PARC_TIR]:[V_FUT_U_PCPL-02]], F$5, FALSE)</f>
        <v>#N/A</v>
      </c>
      <c r="H2952" s="20">
        <f t="shared" si="232"/>
        <v>0</v>
      </c>
      <c r="I2952" s="21">
        <f t="shared" si="233"/>
        <v>0</v>
      </c>
      <c r="J2952" s="22" t="e">
        <f>VLOOKUP($A2952, TAB_JUROS_C[[DIAS_CORRIDOS]:[V_FUT_UTEIS]], J$5, FALSE)</f>
        <v>#N/A</v>
      </c>
      <c r="K2952" s="22" t="e">
        <f>VLOOKUP($A2952, TAB_CORRECAO_C[[DIAS_CORRIDOS]:[V_FUT_UTEIS]],K$5, FALSE)</f>
        <v>#N/A</v>
      </c>
      <c r="L2952" s="22" t="e">
        <f>VLOOKUP($A2952, TAB_AMORTIZACAO_C[[DIAS_CORRIDOS]:[V_FUT_UTEIS]], L$5, FALSE)</f>
        <v>#N/A</v>
      </c>
    </row>
    <row r="2953" spans="1:12" hidden="1">
      <c r="A2953" s="19">
        <f t="shared" si="234"/>
        <v>2947</v>
      </c>
      <c r="B2953" s="20">
        <f t="shared" ref="B2953:B3016" si="235">IF(ISERROR(C2953), 0, C2953)</f>
        <v>0</v>
      </c>
      <c r="C2953" s="21">
        <f t="shared" ref="C2953:C3016" si="236">SUMIF(D2953:F2953, "&gt;0", D2953:F2953)</f>
        <v>0</v>
      </c>
      <c r="D2953" s="22" t="e">
        <f>VLOOKUP($A2953, TAB_JUROS_U[[Q_DIAS_U_PARC_TIR]:[V_FUT_U_JURS CENARIO]], D$5, FALSE)</f>
        <v>#N/A</v>
      </c>
      <c r="E2953" s="22" t="e">
        <f>VLOOKUP($A2953,TAB_CORRECAO_U[[Q_DIAS_U_PARC_TIR]:[V_FUT_U_CORC-02]],E$5, FALSE)</f>
        <v>#N/A</v>
      </c>
      <c r="F2953" s="22" t="e">
        <f>VLOOKUP($A2953,TAB_AMORTIZACAO_U[[Q_DIAS_U_PARC_TIR]:[V_FUT_U_PCPL-02]], F$5, FALSE)</f>
        <v>#N/A</v>
      </c>
      <c r="H2953" s="20">
        <f t="shared" ref="H2953:H3016" si="237">IF(ISERROR(I2953), 0, I2953)</f>
        <v>0</v>
      </c>
      <c r="I2953" s="21">
        <f t="shared" ref="I2953:I3016" si="238">SUMIF(J2953:L2953, "&gt;0", J2953:L2953)</f>
        <v>0</v>
      </c>
      <c r="J2953" s="22" t="e">
        <f>VLOOKUP($A2953, TAB_JUROS_C[[DIAS_CORRIDOS]:[V_FUT_UTEIS]], J$5, FALSE)</f>
        <v>#N/A</v>
      </c>
      <c r="K2953" s="22" t="e">
        <f>VLOOKUP($A2953, TAB_CORRECAO_C[[DIAS_CORRIDOS]:[V_FUT_UTEIS]],K$5, FALSE)</f>
        <v>#N/A</v>
      </c>
      <c r="L2953" s="22" t="e">
        <f>VLOOKUP($A2953, TAB_AMORTIZACAO_C[[DIAS_CORRIDOS]:[V_FUT_UTEIS]], L$5, FALSE)</f>
        <v>#N/A</v>
      </c>
    </row>
    <row r="2954" spans="1:12" hidden="1">
      <c r="A2954" s="19">
        <f t="shared" ref="A2954:A3017" si="239">A2953+1</f>
        <v>2948</v>
      </c>
      <c r="B2954" s="20">
        <f t="shared" si="235"/>
        <v>0</v>
      </c>
      <c r="C2954" s="21">
        <f t="shared" si="236"/>
        <v>0</v>
      </c>
      <c r="D2954" s="22" t="e">
        <f>VLOOKUP($A2954, TAB_JUROS_U[[Q_DIAS_U_PARC_TIR]:[V_FUT_U_JURS CENARIO]], D$5, FALSE)</f>
        <v>#N/A</v>
      </c>
      <c r="E2954" s="22" t="e">
        <f>VLOOKUP($A2954,TAB_CORRECAO_U[[Q_DIAS_U_PARC_TIR]:[V_FUT_U_CORC-02]],E$5, FALSE)</f>
        <v>#N/A</v>
      </c>
      <c r="F2954" s="22" t="e">
        <f>VLOOKUP($A2954,TAB_AMORTIZACAO_U[[Q_DIAS_U_PARC_TIR]:[V_FUT_U_PCPL-02]], F$5, FALSE)</f>
        <v>#N/A</v>
      </c>
      <c r="H2954" s="20">
        <f t="shared" si="237"/>
        <v>0</v>
      </c>
      <c r="I2954" s="21">
        <f t="shared" si="238"/>
        <v>0</v>
      </c>
      <c r="J2954" s="22" t="e">
        <f>VLOOKUP($A2954, TAB_JUROS_C[[DIAS_CORRIDOS]:[V_FUT_UTEIS]], J$5, FALSE)</f>
        <v>#N/A</v>
      </c>
      <c r="K2954" s="22" t="e">
        <f>VLOOKUP($A2954, TAB_CORRECAO_C[[DIAS_CORRIDOS]:[V_FUT_UTEIS]],K$5, FALSE)</f>
        <v>#N/A</v>
      </c>
      <c r="L2954" s="22" t="e">
        <f>VLOOKUP($A2954, TAB_AMORTIZACAO_C[[DIAS_CORRIDOS]:[V_FUT_UTEIS]], L$5, FALSE)</f>
        <v>#N/A</v>
      </c>
    </row>
    <row r="2955" spans="1:12" hidden="1">
      <c r="A2955" s="19">
        <f t="shared" si="239"/>
        <v>2949</v>
      </c>
      <c r="B2955" s="20">
        <f t="shared" si="235"/>
        <v>0</v>
      </c>
      <c r="C2955" s="21">
        <f t="shared" si="236"/>
        <v>0</v>
      </c>
      <c r="D2955" s="22" t="e">
        <f>VLOOKUP($A2955, TAB_JUROS_U[[Q_DIAS_U_PARC_TIR]:[V_FUT_U_JURS CENARIO]], D$5, FALSE)</f>
        <v>#N/A</v>
      </c>
      <c r="E2955" s="22" t="e">
        <f>VLOOKUP($A2955,TAB_CORRECAO_U[[Q_DIAS_U_PARC_TIR]:[V_FUT_U_CORC-02]],E$5, FALSE)</f>
        <v>#N/A</v>
      </c>
      <c r="F2955" s="22" t="e">
        <f>VLOOKUP($A2955,TAB_AMORTIZACAO_U[[Q_DIAS_U_PARC_TIR]:[V_FUT_U_PCPL-02]], F$5, FALSE)</f>
        <v>#N/A</v>
      </c>
      <c r="H2955" s="20">
        <f t="shared" si="237"/>
        <v>0</v>
      </c>
      <c r="I2955" s="21">
        <f t="shared" si="238"/>
        <v>0</v>
      </c>
      <c r="J2955" s="22" t="e">
        <f>VLOOKUP($A2955, TAB_JUROS_C[[DIAS_CORRIDOS]:[V_FUT_UTEIS]], J$5, FALSE)</f>
        <v>#N/A</v>
      </c>
      <c r="K2955" s="22" t="e">
        <f>VLOOKUP($A2955, TAB_CORRECAO_C[[DIAS_CORRIDOS]:[V_FUT_UTEIS]],K$5, FALSE)</f>
        <v>#N/A</v>
      </c>
      <c r="L2955" s="22" t="e">
        <f>VLOOKUP($A2955, TAB_AMORTIZACAO_C[[DIAS_CORRIDOS]:[V_FUT_UTEIS]], L$5, FALSE)</f>
        <v>#N/A</v>
      </c>
    </row>
    <row r="2956" spans="1:12" hidden="1">
      <c r="A2956" s="19">
        <f t="shared" si="239"/>
        <v>2950</v>
      </c>
      <c r="B2956" s="20">
        <f t="shared" si="235"/>
        <v>0</v>
      </c>
      <c r="C2956" s="21">
        <f t="shared" si="236"/>
        <v>0</v>
      </c>
      <c r="D2956" s="22" t="e">
        <f>VLOOKUP($A2956, TAB_JUROS_U[[Q_DIAS_U_PARC_TIR]:[V_FUT_U_JURS CENARIO]], D$5, FALSE)</f>
        <v>#N/A</v>
      </c>
      <c r="E2956" s="22" t="e">
        <f>VLOOKUP($A2956,TAB_CORRECAO_U[[Q_DIAS_U_PARC_TIR]:[V_FUT_U_CORC-02]],E$5, FALSE)</f>
        <v>#N/A</v>
      </c>
      <c r="F2956" s="22" t="e">
        <f>VLOOKUP($A2956,TAB_AMORTIZACAO_U[[Q_DIAS_U_PARC_TIR]:[V_FUT_U_PCPL-02]], F$5, FALSE)</f>
        <v>#N/A</v>
      </c>
      <c r="H2956" s="20">
        <f t="shared" si="237"/>
        <v>0</v>
      </c>
      <c r="I2956" s="21">
        <f t="shared" si="238"/>
        <v>0</v>
      </c>
      <c r="J2956" s="22" t="e">
        <f>VLOOKUP($A2956, TAB_JUROS_C[[DIAS_CORRIDOS]:[V_FUT_UTEIS]], J$5, FALSE)</f>
        <v>#N/A</v>
      </c>
      <c r="K2956" s="22" t="e">
        <f>VLOOKUP($A2956, TAB_CORRECAO_C[[DIAS_CORRIDOS]:[V_FUT_UTEIS]],K$5, FALSE)</f>
        <v>#N/A</v>
      </c>
      <c r="L2956" s="22" t="e">
        <f>VLOOKUP($A2956, TAB_AMORTIZACAO_C[[DIAS_CORRIDOS]:[V_FUT_UTEIS]], L$5, FALSE)</f>
        <v>#N/A</v>
      </c>
    </row>
    <row r="2957" spans="1:12" hidden="1">
      <c r="A2957" s="19">
        <f t="shared" si="239"/>
        <v>2951</v>
      </c>
      <c r="B2957" s="20">
        <f t="shared" si="235"/>
        <v>0</v>
      </c>
      <c r="C2957" s="21">
        <f t="shared" si="236"/>
        <v>0</v>
      </c>
      <c r="D2957" s="22" t="e">
        <f>VLOOKUP($A2957, TAB_JUROS_U[[Q_DIAS_U_PARC_TIR]:[V_FUT_U_JURS CENARIO]], D$5, FALSE)</f>
        <v>#N/A</v>
      </c>
      <c r="E2957" s="22" t="e">
        <f>VLOOKUP($A2957,TAB_CORRECAO_U[[Q_DIAS_U_PARC_TIR]:[V_FUT_U_CORC-02]],E$5, FALSE)</f>
        <v>#N/A</v>
      </c>
      <c r="F2957" s="22" t="e">
        <f>VLOOKUP($A2957,TAB_AMORTIZACAO_U[[Q_DIAS_U_PARC_TIR]:[V_FUT_U_PCPL-02]], F$5, FALSE)</f>
        <v>#N/A</v>
      </c>
      <c r="H2957" s="20">
        <f t="shared" si="237"/>
        <v>0</v>
      </c>
      <c r="I2957" s="21">
        <f t="shared" si="238"/>
        <v>0</v>
      </c>
      <c r="J2957" s="22" t="e">
        <f>VLOOKUP($A2957, TAB_JUROS_C[[DIAS_CORRIDOS]:[V_FUT_UTEIS]], J$5, FALSE)</f>
        <v>#N/A</v>
      </c>
      <c r="K2957" s="22" t="e">
        <f>VLOOKUP($A2957, TAB_CORRECAO_C[[DIAS_CORRIDOS]:[V_FUT_UTEIS]],K$5, FALSE)</f>
        <v>#N/A</v>
      </c>
      <c r="L2957" s="22" t="e">
        <f>VLOOKUP($A2957, TAB_AMORTIZACAO_C[[DIAS_CORRIDOS]:[V_FUT_UTEIS]], L$5, FALSE)</f>
        <v>#N/A</v>
      </c>
    </row>
    <row r="2958" spans="1:12" hidden="1">
      <c r="A2958" s="19">
        <f t="shared" si="239"/>
        <v>2952</v>
      </c>
      <c r="B2958" s="20">
        <f t="shared" si="235"/>
        <v>0</v>
      </c>
      <c r="C2958" s="21">
        <f t="shared" si="236"/>
        <v>0</v>
      </c>
      <c r="D2958" s="22" t="e">
        <f>VLOOKUP($A2958, TAB_JUROS_U[[Q_DIAS_U_PARC_TIR]:[V_FUT_U_JURS CENARIO]], D$5, FALSE)</f>
        <v>#N/A</v>
      </c>
      <c r="E2958" s="22" t="e">
        <f>VLOOKUP($A2958,TAB_CORRECAO_U[[Q_DIAS_U_PARC_TIR]:[V_FUT_U_CORC-02]],E$5, FALSE)</f>
        <v>#N/A</v>
      </c>
      <c r="F2958" s="22" t="e">
        <f>VLOOKUP($A2958,TAB_AMORTIZACAO_U[[Q_DIAS_U_PARC_TIR]:[V_FUT_U_PCPL-02]], F$5, FALSE)</f>
        <v>#N/A</v>
      </c>
      <c r="H2958" s="20">
        <f t="shared" si="237"/>
        <v>0</v>
      </c>
      <c r="I2958" s="21">
        <f t="shared" si="238"/>
        <v>0</v>
      </c>
      <c r="J2958" s="22" t="e">
        <f>VLOOKUP($A2958, TAB_JUROS_C[[DIAS_CORRIDOS]:[V_FUT_UTEIS]], J$5, FALSE)</f>
        <v>#N/A</v>
      </c>
      <c r="K2958" s="22" t="e">
        <f>VLOOKUP($A2958, TAB_CORRECAO_C[[DIAS_CORRIDOS]:[V_FUT_UTEIS]],K$5, FALSE)</f>
        <v>#N/A</v>
      </c>
      <c r="L2958" s="22" t="e">
        <f>VLOOKUP($A2958, TAB_AMORTIZACAO_C[[DIAS_CORRIDOS]:[V_FUT_UTEIS]], L$5, FALSE)</f>
        <v>#N/A</v>
      </c>
    </row>
    <row r="2959" spans="1:12" hidden="1">
      <c r="A2959" s="19">
        <f t="shared" si="239"/>
        <v>2953</v>
      </c>
      <c r="B2959" s="20">
        <f t="shared" si="235"/>
        <v>0</v>
      </c>
      <c r="C2959" s="21">
        <f t="shared" si="236"/>
        <v>0</v>
      </c>
      <c r="D2959" s="22" t="e">
        <f>VLOOKUP($A2959, TAB_JUROS_U[[Q_DIAS_U_PARC_TIR]:[V_FUT_U_JURS CENARIO]], D$5, FALSE)</f>
        <v>#N/A</v>
      </c>
      <c r="E2959" s="22" t="e">
        <f>VLOOKUP($A2959,TAB_CORRECAO_U[[Q_DIAS_U_PARC_TIR]:[V_FUT_U_CORC-02]],E$5, FALSE)</f>
        <v>#N/A</v>
      </c>
      <c r="F2959" s="22" t="e">
        <f>VLOOKUP($A2959,TAB_AMORTIZACAO_U[[Q_DIAS_U_PARC_TIR]:[V_FUT_U_PCPL-02]], F$5, FALSE)</f>
        <v>#N/A</v>
      </c>
      <c r="H2959" s="20">
        <f t="shared" si="237"/>
        <v>0</v>
      </c>
      <c r="I2959" s="21">
        <f t="shared" si="238"/>
        <v>0</v>
      </c>
      <c r="J2959" s="22" t="e">
        <f>VLOOKUP($A2959, TAB_JUROS_C[[DIAS_CORRIDOS]:[V_FUT_UTEIS]], J$5, FALSE)</f>
        <v>#N/A</v>
      </c>
      <c r="K2959" s="22" t="e">
        <f>VLOOKUP($A2959, TAB_CORRECAO_C[[DIAS_CORRIDOS]:[V_FUT_UTEIS]],K$5, FALSE)</f>
        <v>#N/A</v>
      </c>
      <c r="L2959" s="22" t="e">
        <f>VLOOKUP($A2959, TAB_AMORTIZACAO_C[[DIAS_CORRIDOS]:[V_FUT_UTEIS]], L$5, FALSE)</f>
        <v>#N/A</v>
      </c>
    </row>
    <row r="2960" spans="1:12" hidden="1">
      <c r="A2960" s="19">
        <f t="shared" si="239"/>
        <v>2954</v>
      </c>
      <c r="B2960" s="20">
        <f t="shared" si="235"/>
        <v>0</v>
      </c>
      <c r="C2960" s="21">
        <f t="shared" si="236"/>
        <v>0</v>
      </c>
      <c r="D2960" s="22" t="e">
        <f>VLOOKUP($A2960, TAB_JUROS_U[[Q_DIAS_U_PARC_TIR]:[V_FUT_U_JURS CENARIO]], D$5, FALSE)</f>
        <v>#N/A</v>
      </c>
      <c r="E2960" s="22" t="e">
        <f>VLOOKUP($A2960,TAB_CORRECAO_U[[Q_DIAS_U_PARC_TIR]:[V_FUT_U_CORC-02]],E$5, FALSE)</f>
        <v>#N/A</v>
      </c>
      <c r="F2960" s="22" t="e">
        <f>VLOOKUP($A2960,TAB_AMORTIZACAO_U[[Q_DIAS_U_PARC_TIR]:[V_FUT_U_PCPL-02]], F$5, FALSE)</f>
        <v>#N/A</v>
      </c>
      <c r="H2960" s="20">
        <f t="shared" si="237"/>
        <v>0</v>
      </c>
      <c r="I2960" s="21">
        <f t="shared" si="238"/>
        <v>0</v>
      </c>
      <c r="J2960" s="22" t="e">
        <f>VLOOKUP($A2960, TAB_JUROS_C[[DIAS_CORRIDOS]:[V_FUT_UTEIS]], J$5, FALSE)</f>
        <v>#N/A</v>
      </c>
      <c r="K2960" s="22" t="e">
        <f>VLOOKUP($A2960, TAB_CORRECAO_C[[DIAS_CORRIDOS]:[V_FUT_UTEIS]],K$5, FALSE)</f>
        <v>#N/A</v>
      </c>
      <c r="L2960" s="22" t="e">
        <f>VLOOKUP($A2960, TAB_AMORTIZACAO_C[[DIAS_CORRIDOS]:[V_FUT_UTEIS]], L$5, FALSE)</f>
        <v>#N/A</v>
      </c>
    </row>
    <row r="2961" spans="1:12" hidden="1">
      <c r="A2961" s="19">
        <f t="shared" si="239"/>
        <v>2955</v>
      </c>
      <c r="B2961" s="20">
        <f t="shared" si="235"/>
        <v>0</v>
      </c>
      <c r="C2961" s="21">
        <f t="shared" si="236"/>
        <v>0</v>
      </c>
      <c r="D2961" s="22" t="e">
        <f>VLOOKUP($A2961, TAB_JUROS_U[[Q_DIAS_U_PARC_TIR]:[V_FUT_U_JURS CENARIO]], D$5, FALSE)</f>
        <v>#N/A</v>
      </c>
      <c r="E2961" s="22" t="e">
        <f>VLOOKUP($A2961,TAB_CORRECAO_U[[Q_DIAS_U_PARC_TIR]:[V_FUT_U_CORC-02]],E$5, FALSE)</f>
        <v>#N/A</v>
      </c>
      <c r="F2961" s="22" t="e">
        <f>VLOOKUP($A2961,TAB_AMORTIZACAO_U[[Q_DIAS_U_PARC_TIR]:[V_FUT_U_PCPL-02]], F$5, FALSE)</f>
        <v>#N/A</v>
      </c>
      <c r="H2961" s="20">
        <f t="shared" si="237"/>
        <v>0</v>
      </c>
      <c r="I2961" s="21">
        <f t="shared" si="238"/>
        <v>0</v>
      </c>
      <c r="J2961" s="22" t="e">
        <f>VLOOKUP($A2961, TAB_JUROS_C[[DIAS_CORRIDOS]:[V_FUT_UTEIS]], J$5, FALSE)</f>
        <v>#N/A</v>
      </c>
      <c r="K2961" s="22" t="e">
        <f>VLOOKUP($A2961, TAB_CORRECAO_C[[DIAS_CORRIDOS]:[V_FUT_UTEIS]],K$5, FALSE)</f>
        <v>#N/A</v>
      </c>
      <c r="L2961" s="22" t="e">
        <f>VLOOKUP($A2961, TAB_AMORTIZACAO_C[[DIAS_CORRIDOS]:[V_FUT_UTEIS]], L$5, FALSE)</f>
        <v>#N/A</v>
      </c>
    </row>
    <row r="2962" spans="1:12" hidden="1">
      <c r="A2962" s="19">
        <f t="shared" si="239"/>
        <v>2956</v>
      </c>
      <c r="B2962" s="20">
        <f t="shared" si="235"/>
        <v>0</v>
      </c>
      <c r="C2962" s="21">
        <f t="shared" si="236"/>
        <v>0</v>
      </c>
      <c r="D2962" s="22" t="e">
        <f>VLOOKUP($A2962, TAB_JUROS_U[[Q_DIAS_U_PARC_TIR]:[V_FUT_U_JURS CENARIO]], D$5, FALSE)</f>
        <v>#N/A</v>
      </c>
      <c r="E2962" s="22" t="e">
        <f>VLOOKUP($A2962,TAB_CORRECAO_U[[Q_DIAS_U_PARC_TIR]:[V_FUT_U_CORC-02]],E$5, FALSE)</f>
        <v>#N/A</v>
      </c>
      <c r="F2962" s="22" t="e">
        <f>VLOOKUP($A2962,TAB_AMORTIZACAO_U[[Q_DIAS_U_PARC_TIR]:[V_FUT_U_PCPL-02]], F$5, FALSE)</f>
        <v>#N/A</v>
      </c>
      <c r="H2962" s="20">
        <f t="shared" si="237"/>
        <v>0</v>
      </c>
      <c r="I2962" s="21">
        <f t="shared" si="238"/>
        <v>0</v>
      </c>
      <c r="J2962" s="22" t="e">
        <f>VLOOKUP($A2962, TAB_JUROS_C[[DIAS_CORRIDOS]:[V_FUT_UTEIS]], J$5, FALSE)</f>
        <v>#N/A</v>
      </c>
      <c r="K2962" s="22" t="e">
        <f>VLOOKUP($A2962, TAB_CORRECAO_C[[DIAS_CORRIDOS]:[V_FUT_UTEIS]],K$5, FALSE)</f>
        <v>#N/A</v>
      </c>
      <c r="L2962" s="22" t="e">
        <f>VLOOKUP($A2962, TAB_AMORTIZACAO_C[[DIAS_CORRIDOS]:[V_FUT_UTEIS]], L$5, FALSE)</f>
        <v>#N/A</v>
      </c>
    </row>
    <row r="2963" spans="1:12" hidden="1">
      <c r="A2963" s="19">
        <f t="shared" si="239"/>
        <v>2957</v>
      </c>
      <c r="B2963" s="20">
        <f t="shared" si="235"/>
        <v>0</v>
      </c>
      <c r="C2963" s="21">
        <f t="shared" si="236"/>
        <v>0</v>
      </c>
      <c r="D2963" s="22" t="e">
        <f>VLOOKUP($A2963, TAB_JUROS_U[[Q_DIAS_U_PARC_TIR]:[V_FUT_U_JURS CENARIO]], D$5, FALSE)</f>
        <v>#N/A</v>
      </c>
      <c r="E2963" s="22" t="e">
        <f>VLOOKUP($A2963,TAB_CORRECAO_U[[Q_DIAS_U_PARC_TIR]:[V_FUT_U_CORC-02]],E$5, FALSE)</f>
        <v>#N/A</v>
      </c>
      <c r="F2963" s="22" t="e">
        <f>VLOOKUP($A2963,TAB_AMORTIZACAO_U[[Q_DIAS_U_PARC_TIR]:[V_FUT_U_PCPL-02]], F$5, FALSE)</f>
        <v>#N/A</v>
      </c>
      <c r="H2963" s="20">
        <f t="shared" si="237"/>
        <v>0</v>
      </c>
      <c r="I2963" s="21">
        <f t="shared" si="238"/>
        <v>0</v>
      </c>
      <c r="J2963" s="22" t="e">
        <f>VLOOKUP($A2963, TAB_JUROS_C[[DIAS_CORRIDOS]:[V_FUT_UTEIS]], J$5, FALSE)</f>
        <v>#N/A</v>
      </c>
      <c r="K2963" s="22" t="e">
        <f>VLOOKUP($A2963, TAB_CORRECAO_C[[DIAS_CORRIDOS]:[V_FUT_UTEIS]],K$5, FALSE)</f>
        <v>#N/A</v>
      </c>
      <c r="L2963" s="22" t="e">
        <f>VLOOKUP($A2963, TAB_AMORTIZACAO_C[[DIAS_CORRIDOS]:[V_FUT_UTEIS]], L$5, FALSE)</f>
        <v>#N/A</v>
      </c>
    </row>
    <row r="2964" spans="1:12" hidden="1">
      <c r="A2964" s="19">
        <f t="shared" si="239"/>
        <v>2958</v>
      </c>
      <c r="B2964" s="20">
        <f t="shared" si="235"/>
        <v>0</v>
      </c>
      <c r="C2964" s="21">
        <f t="shared" si="236"/>
        <v>0</v>
      </c>
      <c r="D2964" s="22" t="e">
        <f>VLOOKUP($A2964, TAB_JUROS_U[[Q_DIAS_U_PARC_TIR]:[V_FUT_U_JURS CENARIO]], D$5, FALSE)</f>
        <v>#N/A</v>
      </c>
      <c r="E2964" s="22" t="e">
        <f>VLOOKUP($A2964,TAB_CORRECAO_U[[Q_DIAS_U_PARC_TIR]:[V_FUT_U_CORC-02]],E$5, FALSE)</f>
        <v>#N/A</v>
      </c>
      <c r="F2964" s="22" t="e">
        <f>VLOOKUP($A2964,TAB_AMORTIZACAO_U[[Q_DIAS_U_PARC_TIR]:[V_FUT_U_PCPL-02]], F$5, FALSE)</f>
        <v>#N/A</v>
      </c>
      <c r="H2964" s="20">
        <f t="shared" si="237"/>
        <v>0</v>
      </c>
      <c r="I2964" s="21">
        <f t="shared" si="238"/>
        <v>0</v>
      </c>
      <c r="J2964" s="22" t="e">
        <f>VLOOKUP($A2964, TAB_JUROS_C[[DIAS_CORRIDOS]:[V_FUT_UTEIS]], J$5, FALSE)</f>
        <v>#N/A</v>
      </c>
      <c r="K2964" s="22" t="e">
        <f>VLOOKUP($A2964, TAB_CORRECAO_C[[DIAS_CORRIDOS]:[V_FUT_UTEIS]],K$5, FALSE)</f>
        <v>#N/A</v>
      </c>
      <c r="L2964" s="22" t="e">
        <f>VLOOKUP($A2964, TAB_AMORTIZACAO_C[[DIAS_CORRIDOS]:[V_FUT_UTEIS]], L$5, FALSE)</f>
        <v>#N/A</v>
      </c>
    </row>
    <row r="2965" spans="1:12" hidden="1">
      <c r="A2965" s="19">
        <f t="shared" si="239"/>
        <v>2959</v>
      </c>
      <c r="B2965" s="20">
        <f t="shared" si="235"/>
        <v>0</v>
      </c>
      <c r="C2965" s="21">
        <f t="shared" si="236"/>
        <v>0</v>
      </c>
      <c r="D2965" s="22" t="e">
        <f>VLOOKUP($A2965, TAB_JUROS_U[[Q_DIAS_U_PARC_TIR]:[V_FUT_U_JURS CENARIO]], D$5, FALSE)</f>
        <v>#N/A</v>
      </c>
      <c r="E2965" s="22" t="e">
        <f>VLOOKUP($A2965,TAB_CORRECAO_U[[Q_DIAS_U_PARC_TIR]:[V_FUT_U_CORC-02]],E$5, FALSE)</f>
        <v>#N/A</v>
      </c>
      <c r="F2965" s="22" t="e">
        <f>VLOOKUP($A2965,TAB_AMORTIZACAO_U[[Q_DIAS_U_PARC_TIR]:[V_FUT_U_PCPL-02]], F$5, FALSE)</f>
        <v>#N/A</v>
      </c>
      <c r="H2965" s="20">
        <f t="shared" si="237"/>
        <v>0</v>
      </c>
      <c r="I2965" s="21">
        <f t="shared" si="238"/>
        <v>0</v>
      </c>
      <c r="J2965" s="22" t="e">
        <f>VLOOKUP($A2965, TAB_JUROS_C[[DIAS_CORRIDOS]:[V_FUT_UTEIS]], J$5, FALSE)</f>
        <v>#N/A</v>
      </c>
      <c r="K2965" s="22" t="e">
        <f>VLOOKUP($A2965, TAB_CORRECAO_C[[DIAS_CORRIDOS]:[V_FUT_UTEIS]],K$5, FALSE)</f>
        <v>#N/A</v>
      </c>
      <c r="L2965" s="22" t="e">
        <f>VLOOKUP($A2965, TAB_AMORTIZACAO_C[[DIAS_CORRIDOS]:[V_FUT_UTEIS]], L$5, FALSE)</f>
        <v>#N/A</v>
      </c>
    </row>
    <row r="2966" spans="1:12" hidden="1">
      <c r="A2966" s="19">
        <f t="shared" si="239"/>
        <v>2960</v>
      </c>
      <c r="B2966" s="20">
        <f t="shared" si="235"/>
        <v>0</v>
      </c>
      <c r="C2966" s="21">
        <f t="shared" si="236"/>
        <v>0</v>
      </c>
      <c r="D2966" s="22" t="e">
        <f>VLOOKUP($A2966, TAB_JUROS_U[[Q_DIAS_U_PARC_TIR]:[V_FUT_U_JURS CENARIO]], D$5, FALSE)</f>
        <v>#N/A</v>
      </c>
      <c r="E2966" s="22" t="e">
        <f>VLOOKUP($A2966,TAB_CORRECAO_U[[Q_DIAS_U_PARC_TIR]:[V_FUT_U_CORC-02]],E$5, FALSE)</f>
        <v>#N/A</v>
      </c>
      <c r="F2966" s="22" t="e">
        <f>VLOOKUP($A2966,TAB_AMORTIZACAO_U[[Q_DIAS_U_PARC_TIR]:[V_FUT_U_PCPL-02]], F$5, FALSE)</f>
        <v>#N/A</v>
      </c>
      <c r="H2966" s="20">
        <f t="shared" si="237"/>
        <v>0</v>
      </c>
      <c r="I2966" s="21">
        <f t="shared" si="238"/>
        <v>0</v>
      </c>
      <c r="J2966" s="22" t="e">
        <f>VLOOKUP($A2966, TAB_JUROS_C[[DIAS_CORRIDOS]:[V_FUT_UTEIS]], J$5, FALSE)</f>
        <v>#N/A</v>
      </c>
      <c r="K2966" s="22" t="e">
        <f>VLOOKUP($A2966, TAB_CORRECAO_C[[DIAS_CORRIDOS]:[V_FUT_UTEIS]],K$5, FALSE)</f>
        <v>#N/A</v>
      </c>
      <c r="L2966" s="22" t="e">
        <f>VLOOKUP($A2966, TAB_AMORTIZACAO_C[[DIAS_CORRIDOS]:[V_FUT_UTEIS]], L$5, FALSE)</f>
        <v>#N/A</v>
      </c>
    </row>
    <row r="2967" spans="1:12" hidden="1">
      <c r="A2967" s="19">
        <f t="shared" si="239"/>
        <v>2961</v>
      </c>
      <c r="B2967" s="20">
        <f t="shared" si="235"/>
        <v>0</v>
      </c>
      <c r="C2967" s="21">
        <f t="shared" si="236"/>
        <v>0</v>
      </c>
      <c r="D2967" s="22" t="e">
        <f>VLOOKUP($A2967, TAB_JUROS_U[[Q_DIAS_U_PARC_TIR]:[V_FUT_U_JURS CENARIO]], D$5, FALSE)</f>
        <v>#N/A</v>
      </c>
      <c r="E2967" s="22" t="e">
        <f>VLOOKUP($A2967,TAB_CORRECAO_U[[Q_DIAS_U_PARC_TIR]:[V_FUT_U_CORC-02]],E$5, FALSE)</f>
        <v>#N/A</v>
      </c>
      <c r="F2967" s="22" t="e">
        <f>VLOOKUP($A2967,TAB_AMORTIZACAO_U[[Q_DIAS_U_PARC_TIR]:[V_FUT_U_PCPL-02]], F$5, FALSE)</f>
        <v>#N/A</v>
      </c>
      <c r="H2967" s="20">
        <f t="shared" si="237"/>
        <v>0</v>
      </c>
      <c r="I2967" s="21">
        <f t="shared" si="238"/>
        <v>0</v>
      </c>
      <c r="J2967" s="22" t="e">
        <f>VLOOKUP($A2967, TAB_JUROS_C[[DIAS_CORRIDOS]:[V_FUT_UTEIS]], J$5, FALSE)</f>
        <v>#N/A</v>
      </c>
      <c r="K2967" s="22" t="e">
        <f>VLOOKUP($A2967, TAB_CORRECAO_C[[DIAS_CORRIDOS]:[V_FUT_UTEIS]],K$5, FALSE)</f>
        <v>#N/A</v>
      </c>
      <c r="L2967" s="22" t="e">
        <f>VLOOKUP($A2967, TAB_AMORTIZACAO_C[[DIAS_CORRIDOS]:[V_FUT_UTEIS]], L$5, FALSE)</f>
        <v>#N/A</v>
      </c>
    </row>
    <row r="2968" spans="1:12" hidden="1">
      <c r="A2968" s="19">
        <f t="shared" si="239"/>
        <v>2962</v>
      </c>
      <c r="B2968" s="20">
        <f t="shared" si="235"/>
        <v>0</v>
      </c>
      <c r="C2968" s="21">
        <f t="shared" si="236"/>
        <v>0</v>
      </c>
      <c r="D2968" s="22" t="e">
        <f>VLOOKUP($A2968, TAB_JUROS_U[[Q_DIAS_U_PARC_TIR]:[V_FUT_U_JURS CENARIO]], D$5, FALSE)</f>
        <v>#N/A</v>
      </c>
      <c r="E2968" s="22" t="e">
        <f>VLOOKUP($A2968,TAB_CORRECAO_U[[Q_DIAS_U_PARC_TIR]:[V_FUT_U_CORC-02]],E$5, FALSE)</f>
        <v>#N/A</v>
      </c>
      <c r="F2968" s="22" t="e">
        <f>VLOOKUP($A2968,TAB_AMORTIZACAO_U[[Q_DIAS_U_PARC_TIR]:[V_FUT_U_PCPL-02]], F$5, FALSE)</f>
        <v>#N/A</v>
      </c>
      <c r="H2968" s="20">
        <f t="shared" si="237"/>
        <v>0</v>
      </c>
      <c r="I2968" s="21">
        <f t="shared" si="238"/>
        <v>0</v>
      </c>
      <c r="J2968" s="22" t="e">
        <f>VLOOKUP($A2968, TAB_JUROS_C[[DIAS_CORRIDOS]:[V_FUT_UTEIS]], J$5, FALSE)</f>
        <v>#N/A</v>
      </c>
      <c r="K2968" s="22" t="e">
        <f>VLOOKUP($A2968, TAB_CORRECAO_C[[DIAS_CORRIDOS]:[V_FUT_UTEIS]],K$5, FALSE)</f>
        <v>#N/A</v>
      </c>
      <c r="L2968" s="22" t="e">
        <f>VLOOKUP($A2968, TAB_AMORTIZACAO_C[[DIAS_CORRIDOS]:[V_FUT_UTEIS]], L$5, FALSE)</f>
        <v>#N/A</v>
      </c>
    </row>
    <row r="2969" spans="1:12">
      <c r="A2969" s="19">
        <f t="shared" si="239"/>
        <v>2963</v>
      </c>
      <c r="B2969" s="20">
        <f t="shared" si="235"/>
        <v>87.797772443500364</v>
      </c>
      <c r="C2969" s="21">
        <f t="shared" si="236"/>
        <v>87.797772443500364</v>
      </c>
      <c r="D2969" s="22">
        <f>VLOOKUP($A2969, TAB_JUROS_U[[Q_DIAS_U_PARC_TIR]:[V_FUT_U_JURS CENARIO]], D$5, FALSE)</f>
        <v>0.52068679807924567</v>
      </c>
      <c r="E2969" s="22">
        <f>VLOOKUP($A2969,TAB_CORRECAO_U[[Q_DIAS_U_PARC_TIR]:[V_FUT_U_CORC-02]],E$5, FALSE)</f>
        <v>3.3348117819956702</v>
      </c>
      <c r="F2969" s="22">
        <f>VLOOKUP($A2969,TAB_AMORTIZACAO_U[[Q_DIAS_U_PARC_TIR]:[V_FUT_U_PCPL-02]], F$5, FALSE)</f>
        <v>83.942273863425442</v>
      </c>
      <c r="H2969" s="20">
        <f t="shared" si="237"/>
        <v>0</v>
      </c>
      <c r="I2969" s="21">
        <f t="shared" si="238"/>
        <v>0</v>
      </c>
      <c r="J2969" s="22" t="e">
        <f>VLOOKUP($A2969, TAB_JUROS_C[[DIAS_CORRIDOS]:[V_FUT_UTEIS]], J$5, FALSE)</f>
        <v>#N/A</v>
      </c>
      <c r="K2969" s="22" t="e">
        <f>VLOOKUP($A2969, TAB_CORRECAO_C[[DIAS_CORRIDOS]:[V_FUT_UTEIS]],K$5, FALSE)</f>
        <v>#N/A</v>
      </c>
      <c r="L2969" s="22" t="e">
        <f>VLOOKUP($A2969, TAB_AMORTIZACAO_C[[DIAS_CORRIDOS]:[V_FUT_UTEIS]], L$5, FALSE)</f>
        <v>#N/A</v>
      </c>
    </row>
    <row r="2970" spans="1:12" hidden="1">
      <c r="A2970" s="19">
        <f t="shared" si="239"/>
        <v>2964</v>
      </c>
      <c r="B2970" s="20">
        <f t="shared" si="235"/>
        <v>0</v>
      </c>
      <c r="C2970" s="21">
        <f t="shared" si="236"/>
        <v>0</v>
      </c>
      <c r="D2970" s="22" t="e">
        <f>VLOOKUP($A2970, TAB_JUROS_U[[Q_DIAS_U_PARC_TIR]:[V_FUT_U_JURS CENARIO]], D$5, FALSE)</f>
        <v>#N/A</v>
      </c>
      <c r="E2970" s="22" t="e">
        <f>VLOOKUP($A2970,TAB_CORRECAO_U[[Q_DIAS_U_PARC_TIR]:[V_FUT_U_CORC-02]],E$5, FALSE)</f>
        <v>#N/A</v>
      </c>
      <c r="F2970" s="22" t="e">
        <f>VLOOKUP($A2970,TAB_AMORTIZACAO_U[[Q_DIAS_U_PARC_TIR]:[V_FUT_U_PCPL-02]], F$5, FALSE)</f>
        <v>#N/A</v>
      </c>
      <c r="H2970" s="20">
        <f t="shared" si="237"/>
        <v>0</v>
      </c>
      <c r="I2970" s="21">
        <f t="shared" si="238"/>
        <v>0</v>
      </c>
      <c r="J2970" s="22" t="e">
        <f>VLOOKUP($A2970, TAB_JUROS_C[[DIAS_CORRIDOS]:[V_FUT_UTEIS]], J$5, FALSE)</f>
        <v>#N/A</v>
      </c>
      <c r="K2970" s="22" t="e">
        <f>VLOOKUP($A2970, TAB_CORRECAO_C[[DIAS_CORRIDOS]:[V_FUT_UTEIS]],K$5, FALSE)</f>
        <v>#N/A</v>
      </c>
      <c r="L2970" s="22" t="e">
        <f>VLOOKUP($A2970, TAB_AMORTIZACAO_C[[DIAS_CORRIDOS]:[V_FUT_UTEIS]], L$5, FALSE)</f>
        <v>#N/A</v>
      </c>
    </row>
    <row r="2971" spans="1:12" hidden="1">
      <c r="A2971" s="19">
        <f t="shared" si="239"/>
        <v>2965</v>
      </c>
      <c r="B2971" s="20">
        <f t="shared" si="235"/>
        <v>0</v>
      </c>
      <c r="C2971" s="21">
        <f t="shared" si="236"/>
        <v>0</v>
      </c>
      <c r="D2971" s="22" t="e">
        <f>VLOOKUP($A2971, TAB_JUROS_U[[Q_DIAS_U_PARC_TIR]:[V_FUT_U_JURS CENARIO]], D$5, FALSE)</f>
        <v>#N/A</v>
      </c>
      <c r="E2971" s="22" t="e">
        <f>VLOOKUP($A2971,TAB_CORRECAO_U[[Q_DIAS_U_PARC_TIR]:[V_FUT_U_CORC-02]],E$5, FALSE)</f>
        <v>#N/A</v>
      </c>
      <c r="F2971" s="22" t="e">
        <f>VLOOKUP($A2971,TAB_AMORTIZACAO_U[[Q_DIAS_U_PARC_TIR]:[V_FUT_U_PCPL-02]], F$5, FALSE)</f>
        <v>#N/A</v>
      </c>
      <c r="H2971" s="20">
        <f t="shared" si="237"/>
        <v>0</v>
      </c>
      <c r="I2971" s="21">
        <f t="shared" si="238"/>
        <v>0</v>
      </c>
      <c r="J2971" s="22" t="e">
        <f>VLOOKUP($A2971, TAB_JUROS_C[[DIAS_CORRIDOS]:[V_FUT_UTEIS]], J$5, FALSE)</f>
        <v>#N/A</v>
      </c>
      <c r="K2971" s="22" t="e">
        <f>VLOOKUP($A2971, TAB_CORRECAO_C[[DIAS_CORRIDOS]:[V_FUT_UTEIS]],K$5, FALSE)</f>
        <v>#N/A</v>
      </c>
      <c r="L2971" s="22" t="e">
        <f>VLOOKUP($A2971, TAB_AMORTIZACAO_C[[DIAS_CORRIDOS]:[V_FUT_UTEIS]], L$5, FALSE)</f>
        <v>#N/A</v>
      </c>
    </row>
    <row r="2972" spans="1:12" hidden="1">
      <c r="A2972" s="19">
        <f t="shared" si="239"/>
        <v>2966</v>
      </c>
      <c r="B2972" s="20">
        <f t="shared" si="235"/>
        <v>0</v>
      </c>
      <c r="C2972" s="21">
        <f t="shared" si="236"/>
        <v>0</v>
      </c>
      <c r="D2972" s="22" t="e">
        <f>VLOOKUP($A2972, TAB_JUROS_U[[Q_DIAS_U_PARC_TIR]:[V_FUT_U_JURS CENARIO]], D$5, FALSE)</f>
        <v>#N/A</v>
      </c>
      <c r="E2972" s="22" t="e">
        <f>VLOOKUP($A2972,TAB_CORRECAO_U[[Q_DIAS_U_PARC_TIR]:[V_FUT_U_CORC-02]],E$5, FALSE)</f>
        <v>#N/A</v>
      </c>
      <c r="F2972" s="22" t="e">
        <f>VLOOKUP($A2972,TAB_AMORTIZACAO_U[[Q_DIAS_U_PARC_TIR]:[V_FUT_U_PCPL-02]], F$5, FALSE)</f>
        <v>#N/A</v>
      </c>
      <c r="H2972" s="20">
        <f t="shared" si="237"/>
        <v>0</v>
      </c>
      <c r="I2972" s="21">
        <f t="shared" si="238"/>
        <v>0</v>
      </c>
      <c r="J2972" s="22" t="e">
        <f>VLOOKUP($A2972, TAB_JUROS_C[[DIAS_CORRIDOS]:[V_FUT_UTEIS]], J$5, FALSE)</f>
        <v>#N/A</v>
      </c>
      <c r="K2972" s="22" t="e">
        <f>VLOOKUP($A2972, TAB_CORRECAO_C[[DIAS_CORRIDOS]:[V_FUT_UTEIS]],K$5, FALSE)</f>
        <v>#N/A</v>
      </c>
      <c r="L2972" s="22" t="e">
        <f>VLOOKUP($A2972, TAB_AMORTIZACAO_C[[DIAS_CORRIDOS]:[V_FUT_UTEIS]], L$5, FALSE)</f>
        <v>#N/A</v>
      </c>
    </row>
    <row r="2973" spans="1:12" hidden="1">
      <c r="A2973" s="19">
        <f t="shared" si="239"/>
        <v>2967</v>
      </c>
      <c r="B2973" s="20">
        <f t="shared" si="235"/>
        <v>0</v>
      </c>
      <c r="C2973" s="21">
        <f t="shared" si="236"/>
        <v>0</v>
      </c>
      <c r="D2973" s="22" t="e">
        <f>VLOOKUP($A2973, TAB_JUROS_U[[Q_DIAS_U_PARC_TIR]:[V_FUT_U_JURS CENARIO]], D$5, FALSE)</f>
        <v>#N/A</v>
      </c>
      <c r="E2973" s="22" t="e">
        <f>VLOOKUP($A2973,TAB_CORRECAO_U[[Q_DIAS_U_PARC_TIR]:[V_FUT_U_CORC-02]],E$5, FALSE)</f>
        <v>#N/A</v>
      </c>
      <c r="F2973" s="22" t="e">
        <f>VLOOKUP($A2973,TAB_AMORTIZACAO_U[[Q_DIAS_U_PARC_TIR]:[V_FUT_U_PCPL-02]], F$5, FALSE)</f>
        <v>#N/A</v>
      </c>
      <c r="H2973" s="20">
        <f t="shared" si="237"/>
        <v>0</v>
      </c>
      <c r="I2973" s="21">
        <f t="shared" si="238"/>
        <v>0</v>
      </c>
      <c r="J2973" s="22" t="e">
        <f>VLOOKUP($A2973, TAB_JUROS_C[[DIAS_CORRIDOS]:[V_FUT_UTEIS]], J$5, FALSE)</f>
        <v>#N/A</v>
      </c>
      <c r="K2973" s="22" t="e">
        <f>VLOOKUP($A2973, TAB_CORRECAO_C[[DIAS_CORRIDOS]:[V_FUT_UTEIS]],K$5, FALSE)</f>
        <v>#N/A</v>
      </c>
      <c r="L2973" s="22" t="e">
        <f>VLOOKUP($A2973, TAB_AMORTIZACAO_C[[DIAS_CORRIDOS]:[V_FUT_UTEIS]], L$5, FALSE)</f>
        <v>#N/A</v>
      </c>
    </row>
    <row r="2974" spans="1:12" hidden="1">
      <c r="A2974" s="19">
        <f t="shared" si="239"/>
        <v>2968</v>
      </c>
      <c r="B2974" s="20">
        <f t="shared" si="235"/>
        <v>0</v>
      </c>
      <c r="C2974" s="21">
        <f t="shared" si="236"/>
        <v>0</v>
      </c>
      <c r="D2974" s="22" t="e">
        <f>VLOOKUP($A2974, TAB_JUROS_U[[Q_DIAS_U_PARC_TIR]:[V_FUT_U_JURS CENARIO]], D$5, FALSE)</f>
        <v>#N/A</v>
      </c>
      <c r="E2974" s="22" t="e">
        <f>VLOOKUP($A2974,TAB_CORRECAO_U[[Q_DIAS_U_PARC_TIR]:[V_FUT_U_CORC-02]],E$5, FALSE)</f>
        <v>#N/A</v>
      </c>
      <c r="F2974" s="22" t="e">
        <f>VLOOKUP($A2974,TAB_AMORTIZACAO_U[[Q_DIAS_U_PARC_TIR]:[V_FUT_U_PCPL-02]], F$5, FALSE)</f>
        <v>#N/A</v>
      </c>
      <c r="H2974" s="20">
        <f t="shared" si="237"/>
        <v>0</v>
      </c>
      <c r="I2974" s="21">
        <f t="shared" si="238"/>
        <v>0</v>
      </c>
      <c r="J2974" s="22" t="e">
        <f>VLOOKUP($A2974, TAB_JUROS_C[[DIAS_CORRIDOS]:[V_FUT_UTEIS]], J$5, FALSE)</f>
        <v>#N/A</v>
      </c>
      <c r="K2974" s="22" t="e">
        <f>VLOOKUP($A2974, TAB_CORRECAO_C[[DIAS_CORRIDOS]:[V_FUT_UTEIS]],K$5, FALSE)</f>
        <v>#N/A</v>
      </c>
      <c r="L2974" s="22" t="e">
        <f>VLOOKUP($A2974, TAB_AMORTIZACAO_C[[DIAS_CORRIDOS]:[V_FUT_UTEIS]], L$5, FALSE)</f>
        <v>#N/A</v>
      </c>
    </row>
    <row r="2975" spans="1:12" hidden="1">
      <c r="A2975" s="19">
        <f t="shared" si="239"/>
        <v>2969</v>
      </c>
      <c r="B2975" s="20">
        <f t="shared" si="235"/>
        <v>0</v>
      </c>
      <c r="C2975" s="21">
        <f t="shared" si="236"/>
        <v>0</v>
      </c>
      <c r="D2975" s="22" t="e">
        <f>VLOOKUP($A2975, TAB_JUROS_U[[Q_DIAS_U_PARC_TIR]:[V_FUT_U_JURS CENARIO]], D$5, FALSE)</f>
        <v>#N/A</v>
      </c>
      <c r="E2975" s="22" t="e">
        <f>VLOOKUP($A2975,TAB_CORRECAO_U[[Q_DIAS_U_PARC_TIR]:[V_FUT_U_CORC-02]],E$5, FALSE)</f>
        <v>#N/A</v>
      </c>
      <c r="F2975" s="22" t="e">
        <f>VLOOKUP($A2975,TAB_AMORTIZACAO_U[[Q_DIAS_U_PARC_TIR]:[V_FUT_U_PCPL-02]], F$5, FALSE)</f>
        <v>#N/A</v>
      </c>
      <c r="H2975" s="20">
        <f t="shared" si="237"/>
        <v>0</v>
      </c>
      <c r="I2975" s="21">
        <f t="shared" si="238"/>
        <v>0</v>
      </c>
      <c r="J2975" s="22" t="e">
        <f>VLOOKUP($A2975, TAB_JUROS_C[[DIAS_CORRIDOS]:[V_FUT_UTEIS]], J$5, FALSE)</f>
        <v>#N/A</v>
      </c>
      <c r="K2975" s="22" t="e">
        <f>VLOOKUP($A2975, TAB_CORRECAO_C[[DIAS_CORRIDOS]:[V_FUT_UTEIS]],K$5, FALSE)</f>
        <v>#N/A</v>
      </c>
      <c r="L2975" s="22" t="e">
        <f>VLOOKUP($A2975, TAB_AMORTIZACAO_C[[DIAS_CORRIDOS]:[V_FUT_UTEIS]], L$5, FALSE)</f>
        <v>#N/A</v>
      </c>
    </row>
    <row r="2976" spans="1:12" hidden="1">
      <c r="A2976" s="19">
        <f t="shared" si="239"/>
        <v>2970</v>
      </c>
      <c r="B2976" s="20">
        <f t="shared" si="235"/>
        <v>0</v>
      </c>
      <c r="C2976" s="21">
        <f t="shared" si="236"/>
        <v>0</v>
      </c>
      <c r="D2976" s="22" t="e">
        <f>VLOOKUP($A2976, TAB_JUROS_U[[Q_DIAS_U_PARC_TIR]:[V_FUT_U_JURS CENARIO]], D$5, FALSE)</f>
        <v>#N/A</v>
      </c>
      <c r="E2976" s="22" t="e">
        <f>VLOOKUP($A2976,TAB_CORRECAO_U[[Q_DIAS_U_PARC_TIR]:[V_FUT_U_CORC-02]],E$5, FALSE)</f>
        <v>#N/A</v>
      </c>
      <c r="F2976" s="22" t="e">
        <f>VLOOKUP($A2976,TAB_AMORTIZACAO_U[[Q_DIAS_U_PARC_TIR]:[V_FUT_U_PCPL-02]], F$5, FALSE)</f>
        <v>#N/A</v>
      </c>
      <c r="H2976" s="20">
        <f t="shared" si="237"/>
        <v>307.98325404122676</v>
      </c>
      <c r="I2976" s="21">
        <f t="shared" si="238"/>
        <v>307.98325404122676</v>
      </c>
      <c r="J2976" s="22">
        <f>VLOOKUP($A2976, TAB_JUROS_C[[DIAS_CORRIDOS]:[V_FUT_UTEIS]], J$5, FALSE)</f>
        <v>16.580543541540575</v>
      </c>
      <c r="K2976" s="22">
        <f>VLOOKUP($A2976, TAB_CORRECAO_C[[DIAS_CORRIDOS]:[V_FUT_UTEIS]],K$5, FALSE)</f>
        <v>111.29775814419052</v>
      </c>
      <c r="L2976" s="22">
        <f>VLOOKUP($A2976, TAB_AMORTIZACAO_C[[DIAS_CORRIDOS]:[V_FUT_UTEIS]], L$5, FALSE)</f>
        <v>180.10495235549567</v>
      </c>
    </row>
    <row r="2977" spans="1:12" hidden="1">
      <c r="A2977" s="19">
        <f t="shared" si="239"/>
        <v>2971</v>
      </c>
      <c r="B2977" s="20">
        <f t="shared" si="235"/>
        <v>0</v>
      </c>
      <c r="C2977" s="21">
        <f t="shared" si="236"/>
        <v>0</v>
      </c>
      <c r="D2977" s="22" t="e">
        <f>VLOOKUP($A2977, TAB_JUROS_U[[Q_DIAS_U_PARC_TIR]:[V_FUT_U_JURS CENARIO]], D$5, FALSE)</f>
        <v>#N/A</v>
      </c>
      <c r="E2977" s="22" t="e">
        <f>VLOOKUP($A2977,TAB_CORRECAO_U[[Q_DIAS_U_PARC_TIR]:[V_FUT_U_CORC-02]],E$5, FALSE)</f>
        <v>#N/A</v>
      </c>
      <c r="F2977" s="22" t="e">
        <f>VLOOKUP($A2977,TAB_AMORTIZACAO_U[[Q_DIAS_U_PARC_TIR]:[V_FUT_U_PCPL-02]], F$5, FALSE)</f>
        <v>#N/A</v>
      </c>
      <c r="H2977" s="20">
        <f t="shared" si="237"/>
        <v>0</v>
      </c>
      <c r="I2977" s="21">
        <f t="shared" si="238"/>
        <v>0</v>
      </c>
      <c r="J2977" s="22" t="e">
        <f>VLOOKUP($A2977, TAB_JUROS_C[[DIAS_CORRIDOS]:[V_FUT_UTEIS]], J$5, FALSE)</f>
        <v>#N/A</v>
      </c>
      <c r="K2977" s="22" t="e">
        <f>VLOOKUP($A2977, TAB_CORRECAO_C[[DIAS_CORRIDOS]:[V_FUT_UTEIS]],K$5, FALSE)</f>
        <v>#N/A</v>
      </c>
      <c r="L2977" s="22" t="e">
        <f>VLOOKUP($A2977, TAB_AMORTIZACAO_C[[DIAS_CORRIDOS]:[V_FUT_UTEIS]], L$5, FALSE)</f>
        <v>#N/A</v>
      </c>
    </row>
    <row r="2978" spans="1:12" hidden="1">
      <c r="A2978" s="19">
        <f t="shared" si="239"/>
        <v>2972</v>
      </c>
      <c r="B2978" s="20">
        <f t="shared" si="235"/>
        <v>0</v>
      </c>
      <c r="C2978" s="21">
        <f t="shared" si="236"/>
        <v>0</v>
      </c>
      <c r="D2978" s="22" t="e">
        <f>VLOOKUP($A2978, TAB_JUROS_U[[Q_DIAS_U_PARC_TIR]:[V_FUT_U_JURS CENARIO]], D$5, FALSE)</f>
        <v>#N/A</v>
      </c>
      <c r="E2978" s="22" t="e">
        <f>VLOOKUP($A2978,TAB_CORRECAO_U[[Q_DIAS_U_PARC_TIR]:[V_FUT_U_CORC-02]],E$5, FALSE)</f>
        <v>#N/A</v>
      </c>
      <c r="F2978" s="22" t="e">
        <f>VLOOKUP($A2978,TAB_AMORTIZACAO_U[[Q_DIAS_U_PARC_TIR]:[V_FUT_U_PCPL-02]], F$5, FALSE)</f>
        <v>#N/A</v>
      </c>
      <c r="H2978" s="20">
        <f t="shared" si="237"/>
        <v>0</v>
      </c>
      <c r="I2978" s="21">
        <f t="shared" si="238"/>
        <v>0</v>
      </c>
      <c r="J2978" s="22" t="e">
        <f>VLOOKUP($A2978, TAB_JUROS_C[[DIAS_CORRIDOS]:[V_FUT_UTEIS]], J$5, FALSE)</f>
        <v>#N/A</v>
      </c>
      <c r="K2978" s="22" t="e">
        <f>VLOOKUP($A2978, TAB_CORRECAO_C[[DIAS_CORRIDOS]:[V_FUT_UTEIS]],K$5, FALSE)</f>
        <v>#N/A</v>
      </c>
      <c r="L2978" s="22" t="e">
        <f>VLOOKUP($A2978, TAB_AMORTIZACAO_C[[DIAS_CORRIDOS]:[V_FUT_UTEIS]], L$5, FALSE)</f>
        <v>#N/A</v>
      </c>
    </row>
    <row r="2979" spans="1:12" hidden="1">
      <c r="A2979" s="19">
        <f t="shared" si="239"/>
        <v>2973</v>
      </c>
      <c r="B2979" s="20">
        <f t="shared" si="235"/>
        <v>0</v>
      </c>
      <c r="C2979" s="21">
        <f t="shared" si="236"/>
        <v>0</v>
      </c>
      <c r="D2979" s="22" t="e">
        <f>VLOOKUP($A2979, TAB_JUROS_U[[Q_DIAS_U_PARC_TIR]:[V_FUT_U_JURS CENARIO]], D$5, FALSE)</f>
        <v>#N/A</v>
      </c>
      <c r="E2979" s="22" t="e">
        <f>VLOOKUP($A2979,TAB_CORRECAO_U[[Q_DIAS_U_PARC_TIR]:[V_FUT_U_CORC-02]],E$5, FALSE)</f>
        <v>#N/A</v>
      </c>
      <c r="F2979" s="22" t="e">
        <f>VLOOKUP($A2979,TAB_AMORTIZACAO_U[[Q_DIAS_U_PARC_TIR]:[V_FUT_U_PCPL-02]], F$5, FALSE)</f>
        <v>#N/A</v>
      </c>
      <c r="H2979" s="20">
        <f t="shared" si="237"/>
        <v>0</v>
      </c>
      <c r="I2979" s="21">
        <f t="shared" si="238"/>
        <v>0</v>
      </c>
      <c r="J2979" s="22" t="e">
        <f>VLOOKUP($A2979, TAB_JUROS_C[[DIAS_CORRIDOS]:[V_FUT_UTEIS]], J$5, FALSE)</f>
        <v>#N/A</v>
      </c>
      <c r="K2979" s="22" t="e">
        <f>VLOOKUP($A2979, TAB_CORRECAO_C[[DIAS_CORRIDOS]:[V_FUT_UTEIS]],K$5, FALSE)</f>
        <v>#N/A</v>
      </c>
      <c r="L2979" s="22" t="e">
        <f>VLOOKUP($A2979, TAB_AMORTIZACAO_C[[DIAS_CORRIDOS]:[V_FUT_UTEIS]], L$5, FALSE)</f>
        <v>#N/A</v>
      </c>
    </row>
    <row r="2980" spans="1:12" hidden="1">
      <c r="A2980" s="19">
        <f t="shared" si="239"/>
        <v>2974</v>
      </c>
      <c r="B2980" s="20">
        <f t="shared" si="235"/>
        <v>0</v>
      </c>
      <c r="C2980" s="21">
        <f t="shared" si="236"/>
        <v>0</v>
      </c>
      <c r="D2980" s="22" t="e">
        <f>VLOOKUP($A2980, TAB_JUROS_U[[Q_DIAS_U_PARC_TIR]:[V_FUT_U_JURS CENARIO]], D$5, FALSE)</f>
        <v>#N/A</v>
      </c>
      <c r="E2980" s="22" t="e">
        <f>VLOOKUP($A2980,TAB_CORRECAO_U[[Q_DIAS_U_PARC_TIR]:[V_FUT_U_CORC-02]],E$5, FALSE)</f>
        <v>#N/A</v>
      </c>
      <c r="F2980" s="22" t="e">
        <f>VLOOKUP($A2980,TAB_AMORTIZACAO_U[[Q_DIAS_U_PARC_TIR]:[V_FUT_U_PCPL-02]], F$5, FALSE)</f>
        <v>#N/A</v>
      </c>
      <c r="H2980" s="20">
        <f t="shared" si="237"/>
        <v>0</v>
      </c>
      <c r="I2980" s="21">
        <f t="shared" si="238"/>
        <v>0</v>
      </c>
      <c r="J2980" s="22" t="e">
        <f>VLOOKUP($A2980, TAB_JUROS_C[[DIAS_CORRIDOS]:[V_FUT_UTEIS]], J$5, FALSE)</f>
        <v>#N/A</v>
      </c>
      <c r="K2980" s="22" t="e">
        <f>VLOOKUP($A2980, TAB_CORRECAO_C[[DIAS_CORRIDOS]:[V_FUT_UTEIS]],K$5, FALSE)</f>
        <v>#N/A</v>
      </c>
      <c r="L2980" s="22" t="e">
        <f>VLOOKUP($A2980, TAB_AMORTIZACAO_C[[DIAS_CORRIDOS]:[V_FUT_UTEIS]], L$5, FALSE)</f>
        <v>#N/A</v>
      </c>
    </row>
    <row r="2981" spans="1:12" hidden="1">
      <c r="A2981" s="19">
        <f t="shared" si="239"/>
        <v>2975</v>
      </c>
      <c r="B2981" s="20">
        <f t="shared" si="235"/>
        <v>0</v>
      </c>
      <c r="C2981" s="21">
        <f t="shared" si="236"/>
        <v>0</v>
      </c>
      <c r="D2981" s="22" t="e">
        <f>VLOOKUP($A2981, TAB_JUROS_U[[Q_DIAS_U_PARC_TIR]:[V_FUT_U_JURS CENARIO]], D$5, FALSE)</f>
        <v>#N/A</v>
      </c>
      <c r="E2981" s="22" t="e">
        <f>VLOOKUP($A2981,TAB_CORRECAO_U[[Q_DIAS_U_PARC_TIR]:[V_FUT_U_CORC-02]],E$5, FALSE)</f>
        <v>#N/A</v>
      </c>
      <c r="F2981" s="22" t="e">
        <f>VLOOKUP($A2981,TAB_AMORTIZACAO_U[[Q_DIAS_U_PARC_TIR]:[V_FUT_U_PCPL-02]], F$5, FALSE)</f>
        <v>#N/A</v>
      </c>
      <c r="H2981" s="20">
        <f t="shared" si="237"/>
        <v>0</v>
      </c>
      <c r="I2981" s="21">
        <f t="shared" si="238"/>
        <v>0</v>
      </c>
      <c r="J2981" s="22" t="e">
        <f>VLOOKUP($A2981, TAB_JUROS_C[[DIAS_CORRIDOS]:[V_FUT_UTEIS]], J$5, FALSE)</f>
        <v>#N/A</v>
      </c>
      <c r="K2981" s="22" t="e">
        <f>VLOOKUP($A2981, TAB_CORRECAO_C[[DIAS_CORRIDOS]:[V_FUT_UTEIS]],K$5, FALSE)</f>
        <v>#N/A</v>
      </c>
      <c r="L2981" s="22" t="e">
        <f>VLOOKUP($A2981, TAB_AMORTIZACAO_C[[DIAS_CORRIDOS]:[V_FUT_UTEIS]], L$5, FALSE)</f>
        <v>#N/A</v>
      </c>
    </row>
    <row r="2982" spans="1:12" hidden="1">
      <c r="A2982" s="19">
        <f t="shared" si="239"/>
        <v>2976</v>
      </c>
      <c r="B2982" s="20">
        <f t="shared" si="235"/>
        <v>0</v>
      </c>
      <c r="C2982" s="21">
        <f t="shared" si="236"/>
        <v>0</v>
      </c>
      <c r="D2982" s="22" t="e">
        <f>VLOOKUP($A2982, TAB_JUROS_U[[Q_DIAS_U_PARC_TIR]:[V_FUT_U_JURS CENARIO]], D$5, FALSE)</f>
        <v>#N/A</v>
      </c>
      <c r="E2982" s="22" t="e">
        <f>VLOOKUP($A2982,TAB_CORRECAO_U[[Q_DIAS_U_PARC_TIR]:[V_FUT_U_CORC-02]],E$5, FALSE)</f>
        <v>#N/A</v>
      </c>
      <c r="F2982" s="22" t="e">
        <f>VLOOKUP($A2982,TAB_AMORTIZACAO_U[[Q_DIAS_U_PARC_TIR]:[V_FUT_U_PCPL-02]], F$5, FALSE)</f>
        <v>#N/A</v>
      </c>
      <c r="H2982" s="20">
        <f t="shared" si="237"/>
        <v>0</v>
      </c>
      <c r="I2982" s="21">
        <f t="shared" si="238"/>
        <v>0</v>
      </c>
      <c r="J2982" s="22" t="e">
        <f>VLOOKUP($A2982, TAB_JUROS_C[[DIAS_CORRIDOS]:[V_FUT_UTEIS]], J$5, FALSE)</f>
        <v>#N/A</v>
      </c>
      <c r="K2982" s="22" t="e">
        <f>VLOOKUP($A2982, TAB_CORRECAO_C[[DIAS_CORRIDOS]:[V_FUT_UTEIS]],K$5, FALSE)</f>
        <v>#N/A</v>
      </c>
      <c r="L2982" s="22" t="e">
        <f>VLOOKUP($A2982, TAB_AMORTIZACAO_C[[DIAS_CORRIDOS]:[V_FUT_UTEIS]], L$5, FALSE)</f>
        <v>#N/A</v>
      </c>
    </row>
    <row r="2983" spans="1:12" hidden="1">
      <c r="A2983" s="19">
        <f t="shared" si="239"/>
        <v>2977</v>
      </c>
      <c r="B2983" s="20">
        <f t="shared" si="235"/>
        <v>0</v>
      </c>
      <c r="C2983" s="21">
        <f t="shared" si="236"/>
        <v>0</v>
      </c>
      <c r="D2983" s="22" t="e">
        <f>VLOOKUP($A2983, TAB_JUROS_U[[Q_DIAS_U_PARC_TIR]:[V_FUT_U_JURS CENARIO]], D$5, FALSE)</f>
        <v>#N/A</v>
      </c>
      <c r="E2983" s="22" t="e">
        <f>VLOOKUP($A2983,TAB_CORRECAO_U[[Q_DIAS_U_PARC_TIR]:[V_FUT_U_CORC-02]],E$5, FALSE)</f>
        <v>#N/A</v>
      </c>
      <c r="F2983" s="22" t="e">
        <f>VLOOKUP($A2983,TAB_AMORTIZACAO_U[[Q_DIAS_U_PARC_TIR]:[V_FUT_U_PCPL-02]], F$5, FALSE)</f>
        <v>#N/A</v>
      </c>
      <c r="H2983" s="20">
        <f t="shared" si="237"/>
        <v>0</v>
      </c>
      <c r="I2983" s="21">
        <f t="shared" si="238"/>
        <v>0</v>
      </c>
      <c r="J2983" s="22" t="e">
        <f>VLOOKUP($A2983, TAB_JUROS_C[[DIAS_CORRIDOS]:[V_FUT_UTEIS]], J$5, FALSE)</f>
        <v>#N/A</v>
      </c>
      <c r="K2983" s="22" t="e">
        <f>VLOOKUP($A2983, TAB_CORRECAO_C[[DIAS_CORRIDOS]:[V_FUT_UTEIS]],K$5, FALSE)</f>
        <v>#N/A</v>
      </c>
      <c r="L2983" s="22" t="e">
        <f>VLOOKUP($A2983, TAB_AMORTIZACAO_C[[DIAS_CORRIDOS]:[V_FUT_UTEIS]], L$5, FALSE)</f>
        <v>#N/A</v>
      </c>
    </row>
    <row r="2984" spans="1:12" hidden="1">
      <c r="A2984" s="19">
        <f t="shared" si="239"/>
        <v>2978</v>
      </c>
      <c r="B2984" s="20">
        <f t="shared" si="235"/>
        <v>0</v>
      </c>
      <c r="C2984" s="21">
        <f t="shared" si="236"/>
        <v>0</v>
      </c>
      <c r="D2984" s="22" t="e">
        <f>VLOOKUP($A2984, TAB_JUROS_U[[Q_DIAS_U_PARC_TIR]:[V_FUT_U_JURS CENARIO]], D$5, FALSE)</f>
        <v>#N/A</v>
      </c>
      <c r="E2984" s="22" t="e">
        <f>VLOOKUP($A2984,TAB_CORRECAO_U[[Q_DIAS_U_PARC_TIR]:[V_FUT_U_CORC-02]],E$5, FALSE)</f>
        <v>#N/A</v>
      </c>
      <c r="F2984" s="22" t="e">
        <f>VLOOKUP($A2984,TAB_AMORTIZACAO_U[[Q_DIAS_U_PARC_TIR]:[V_FUT_U_PCPL-02]], F$5, FALSE)</f>
        <v>#N/A</v>
      </c>
      <c r="H2984" s="20">
        <f t="shared" si="237"/>
        <v>0</v>
      </c>
      <c r="I2984" s="21">
        <f t="shared" si="238"/>
        <v>0</v>
      </c>
      <c r="J2984" s="22" t="e">
        <f>VLOOKUP($A2984, TAB_JUROS_C[[DIAS_CORRIDOS]:[V_FUT_UTEIS]], J$5, FALSE)</f>
        <v>#N/A</v>
      </c>
      <c r="K2984" s="22" t="e">
        <f>VLOOKUP($A2984, TAB_CORRECAO_C[[DIAS_CORRIDOS]:[V_FUT_UTEIS]],K$5, FALSE)</f>
        <v>#N/A</v>
      </c>
      <c r="L2984" s="22" t="e">
        <f>VLOOKUP($A2984, TAB_AMORTIZACAO_C[[DIAS_CORRIDOS]:[V_FUT_UTEIS]], L$5, FALSE)</f>
        <v>#N/A</v>
      </c>
    </row>
    <row r="2985" spans="1:12" hidden="1">
      <c r="A2985" s="19">
        <f t="shared" si="239"/>
        <v>2979</v>
      </c>
      <c r="B2985" s="20">
        <f t="shared" si="235"/>
        <v>0</v>
      </c>
      <c r="C2985" s="21">
        <f t="shared" si="236"/>
        <v>0</v>
      </c>
      <c r="D2985" s="22" t="e">
        <f>VLOOKUP($A2985, TAB_JUROS_U[[Q_DIAS_U_PARC_TIR]:[V_FUT_U_JURS CENARIO]], D$5, FALSE)</f>
        <v>#N/A</v>
      </c>
      <c r="E2985" s="22" t="e">
        <f>VLOOKUP($A2985,TAB_CORRECAO_U[[Q_DIAS_U_PARC_TIR]:[V_FUT_U_CORC-02]],E$5, FALSE)</f>
        <v>#N/A</v>
      </c>
      <c r="F2985" s="22" t="e">
        <f>VLOOKUP($A2985,TAB_AMORTIZACAO_U[[Q_DIAS_U_PARC_TIR]:[V_FUT_U_PCPL-02]], F$5, FALSE)</f>
        <v>#N/A</v>
      </c>
      <c r="H2985" s="20">
        <f t="shared" si="237"/>
        <v>0</v>
      </c>
      <c r="I2985" s="21">
        <f t="shared" si="238"/>
        <v>0</v>
      </c>
      <c r="J2985" s="22" t="e">
        <f>VLOOKUP($A2985, TAB_JUROS_C[[DIAS_CORRIDOS]:[V_FUT_UTEIS]], J$5, FALSE)</f>
        <v>#N/A</v>
      </c>
      <c r="K2985" s="22" t="e">
        <f>VLOOKUP($A2985, TAB_CORRECAO_C[[DIAS_CORRIDOS]:[V_FUT_UTEIS]],K$5, FALSE)</f>
        <v>#N/A</v>
      </c>
      <c r="L2985" s="22" t="e">
        <f>VLOOKUP($A2985, TAB_AMORTIZACAO_C[[DIAS_CORRIDOS]:[V_FUT_UTEIS]], L$5, FALSE)</f>
        <v>#N/A</v>
      </c>
    </row>
    <row r="2986" spans="1:12" hidden="1">
      <c r="A2986" s="19">
        <f t="shared" si="239"/>
        <v>2980</v>
      </c>
      <c r="B2986" s="20">
        <f t="shared" si="235"/>
        <v>0</v>
      </c>
      <c r="C2986" s="21">
        <f t="shared" si="236"/>
        <v>0</v>
      </c>
      <c r="D2986" s="22" t="e">
        <f>VLOOKUP($A2986, TAB_JUROS_U[[Q_DIAS_U_PARC_TIR]:[V_FUT_U_JURS CENARIO]], D$5, FALSE)</f>
        <v>#N/A</v>
      </c>
      <c r="E2986" s="22" t="e">
        <f>VLOOKUP($A2986,TAB_CORRECAO_U[[Q_DIAS_U_PARC_TIR]:[V_FUT_U_CORC-02]],E$5, FALSE)</f>
        <v>#N/A</v>
      </c>
      <c r="F2986" s="22" t="e">
        <f>VLOOKUP($A2986,TAB_AMORTIZACAO_U[[Q_DIAS_U_PARC_TIR]:[V_FUT_U_PCPL-02]], F$5, FALSE)</f>
        <v>#N/A</v>
      </c>
      <c r="H2986" s="20">
        <f t="shared" si="237"/>
        <v>0</v>
      </c>
      <c r="I2986" s="21">
        <f t="shared" si="238"/>
        <v>0</v>
      </c>
      <c r="J2986" s="22" t="e">
        <f>VLOOKUP($A2986, TAB_JUROS_C[[DIAS_CORRIDOS]:[V_FUT_UTEIS]], J$5, FALSE)</f>
        <v>#N/A</v>
      </c>
      <c r="K2986" s="22" t="e">
        <f>VLOOKUP($A2986, TAB_CORRECAO_C[[DIAS_CORRIDOS]:[V_FUT_UTEIS]],K$5, FALSE)</f>
        <v>#N/A</v>
      </c>
      <c r="L2986" s="22" t="e">
        <f>VLOOKUP($A2986, TAB_AMORTIZACAO_C[[DIAS_CORRIDOS]:[V_FUT_UTEIS]], L$5, FALSE)</f>
        <v>#N/A</v>
      </c>
    </row>
    <row r="2987" spans="1:12" hidden="1">
      <c r="A2987" s="19">
        <f t="shared" si="239"/>
        <v>2981</v>
      </c>
      <c r="B2987" s="20">
        <f t="shared" si="235"/>
        <v>0</v>
      </c>
      <c r="C2987" s="21">
        <f t="shared" si="236"/>
        <v>0</v>
      </c>
      <c r="D2987" s="22" t="e">
        <f>VLOOKUP($A2987, TAB_JUROS_U[[Q_DIAS_U_PARC_TIR]:[V_FUT_U_JURS CENARIO]], D$5, FALSE)</f>
        <v>#N/A</v>
      </c>
      <c r="E2987" s="22" t="e">
        <f>VLOOKUP($A2987,TAB_CORRECAO_U[[Q_DIAS_U_PARC_TIR]:[V_FUT_U_CORC-02]],E$5, FALSE)</f>
        <v>#N/A</v>
      </c>
      <c r="F2987" s="22" t="e">
        <f>VLOOKUP($A2987,TAB_AMORTIZACAO_U[[Q_DIAS_U_PARC_TIR]:[V_FUT_U_PCPL-02]], F$5, FALSE)</f>
        <v>#N/A</v>
      </c>
      <c r="H2987" s="20">
        <f t="shared" si="237"/>
        <v>0</v>
      </c>
      <c r="I2987" s="21">
        <f t="shared" si="238"/>
        <v>0</v>
      </c>
      <c r="J2987" s="22" t="e">
        <f>VLOOKUP($A2987, TAB_JUROS_C[[DIAS_CORRIDOS]:[V_FUT_UTEIS]], J$5, FALSE)</f>
        <v>#N/A</v>
      </c>
      <c r="K2987" s="22" t="e">
        <f>VLOOKUP($A2987, TAB_CORRECAO_C[[DIAS_CORRIDOS]:[V_FUT_UTEIS]],K$5, FALSE)</f>
        <v>#N/A</v>
      </c>
      <c r="L2987" s="22" t="e">
        <f>VLOOKUP($A2987, TAB_AMORTIZACAO_C[[DIAS_CORRIDOS]:[V_FUT_UTEIS]], L$5, FALSE)</f>
        <v>#N/A</v>
      </c>
    </row>
    <row r="2988" spans="1:12" hidden="1">
      <c r="A2988" s="19">
        <f t="shared" si="239"/>
        <v>2982</v>
      </c>
      <c r="B2988" s="20">
        <f t="shared" si="235"/>
        <v>0</v>
      </c>
      <c r="C2988" s="21">
        <f t="shared" si="236"/>
        <v>0</v>
      </c>
      <c r="D2988" s="22" t="e">
        <f>VLOOKUP($A2988, TAB_JUROS_U[[Q_DIAS_U_PARC_TIR]:[V_FUT_U_JURS CENARIO]], D$5, FALSE)</f>
        <v>#N/A</v>
      </c>
      <c r="E2988" s="22" t="e">
        <f>VLOOKUP($A2988,TAB_CORRECAO_U[[Q_DIAS_U_PARC_TIR]:[V_FUT_U_CORC-02]],E$5, FALSE)</f>
        <v>#N/A</v>
      </c>
      <c r="F2988" s="22" t="e">
        <f>VLOOKUP($A2988,TAB_AMORTIZACAO_U[[Q_DIAS_U_PARC_TIR]:[V_FUT_U_PCPL-02]], F$5, FALSE)</f>
        <v>#N/A</v>
      </c>
      <c r="H2988" s="20">
        <f t="shared" si="237"/>
        <v>0</v>
      </c>
      <c r="I2988" s="21">
        <f t="shared" si="238"/>
        <v>0</v>
      </c>
      <c r="J2988" s="22" t="e">
        <f>VLOOKUP($A2988, TAB_JUROS_C[[DIAS_CORRIDOS]:[V_FUT_UTEIS]], J$5, FALSE)</f>
        <v>#N/A</v>
      </c>
      <c r="K2988" s="22" t="e">
        <f>VLOOKUP($A2988, TAB_CORRECAO_C[[DIAS_CORRIDOS]:[V_FUT_UTEIS]],K$5, FALSE)</f>
        <v>#N/A</v>
      </c>
      <c r="L2988" s="22" t="e">
        <f>VLOOKUP($A2988, TAB_AMORTIZACAO_C[[DIAS_CORRIDOS]:[V_FUT_UTEIS]], L$5, FALSE)</f>
        <v>#N/A</v>
      </c>
    </row>
    <row r="2989" spans="1:12">
      <c r="A2989" s="19">
        <f t="shared" si="239"/>
        <v>2983</v>
      </c>
      <c r="B2989" s="20">
        <f t="shared" si="235"/>
        <v>84.466159471224628</v>
      </c>
      <c r="C2989" s="21">
        <f t="shared" si="236"/>
        <v>84.466159471224628</v>
      </c>
      <c r="D2989" s="22">
        <f>VLOOKUP($A2989, TAB_JUROS_U[[Q_DIAS_U_PARC_TIR]:[V_FUT_U_JURS CENARIO]], D$5, FALSE)</f>
        <v>0.32465724349426384</v>
      </c>
      <c r="E2989" s="22">
        <f>VLOOKUP($A2989,TAB_CORRECAO_U[[Q_DIAS_U_PARC_TIR]:[V_FUT_U_CORC-02]],E$5, FALSE)</f>
        <v>1.986092412030942</v>
      </c>
      <c r="F2989" s="22">
        <f>VLOOKUP($A2989,TAB_AMORTIZACAO_U[[Q_DIAS_U_PARC_TIR]:[V_FUT_U_PCPL-02]], F$5, FALSE)</f>
        <v>82.155409815699429</v>
      </c>
      <c r="H2989" s="20">
        <f t="shared" si="237"/>
        <v>0</v>
      </c>
      <c r="I2989" s="21">
        <f t="shared" si="238"/>
        <v>0</v>
      </c>
      <c r="J2989" s="22" t="e">
        <f>VLOOKUP($A2989, TAB_JUROS_C[[DIAS_CORRIDOS]:[V_FUT_UTEIS]], J$5, FALSE)</f>
        <v>#N/A</v>
      </c>
      <c r="K2989" s="22" t="e">
        <f>VLOOKUP($A2989, TAB_CORRECAO_C[[DIAS_CORRIDOS]:[V_FUT_UTEIS]],K$5, FALSE)</f>
        <v>#N/A</v>
      </c>
      <c r="L2989" s="22" t="e">
        <f>VLOOKUP($A2989, TAB_AMORTIZACAO_C[[DIAS_CORRIDOS]:[V_FUT_UTEIS]], L$5, FALSE)</f>
        <v>#N/A</v>
      </c>
    </row>
    <row r="2990" spans="1:12" hidden="1">
      <c r="A2990" s="19">
        <f t="shared" si="239"/>
        <v>2984</v>
      </c>
      <c r="B2990" s="20">
        <f t="shared" si="235"/>
        <v>0</v>
      </c>
      <c r="C2990" s="21">
        <f t="shared" si="236"/>
        <v>0</v>
      </c>
      <c r="D2990" s="22" t="e">
        <f>VLOOKUP($A2990, TAB_JUROS_U[[Q_DIAS_U_PARC_TIR]:[V_FUT_U_JURS CENARIO]], D$5, FALSE)</f>
        <v>#N/A</v>
      </c>
      <c r="E2990" s="22" t="e">
        <f>VLOOKUP($A2990,TAB_CORRECAO_U[[Q_DIAS_U_PARC_TIR]:[V_FUT_U_CORC-02]],E$5, FALSE)</f>
        <v>#N/A</v>
      </c>
      <c r="F2990" s="22" t="e">
        <f>VLOOKUP($A2990,TAB_AMORTIZACAO_U[[Q_DIAS_U_PARC_TIR]:[V_FUT_U_PCPL-02]], F$5, FALSE)</f>
        <v>#N/A</v>
      </c>
      <c r="H2990" s="20">
        <f t="shared" si="237"/>
        <v>0</v>
      </c>
      <c r="I2990" s="21">
        <f t="shared" si="238"/>
        <v>0</v>
      </c>
      <c r="J2990" s="22" t="e">
        <f>VLOOKUP($A2990, TAB_JUROS_C[[DIAS_CORRIDOS]:[V_FUT_UTEIS]], J$5, FALSE)</f>
        <v>#N/A</v>
      </c>
      <c r="K2990" s="22" t="e">
        <f>VLOOKUP($A2990, TAB_CORRECAO_C[[DIAS_CORRIDOS]:[V_FUT_UTEIS]],K$5, FALSE)</f>
        <v>#N/A</v>
      </c>
      <c r="L2990" s="22" t="e">
        <f>VLOOKUP($A2990, TAB_AMORTIZACAO_C[[DIAS_CORRIDOS]:[V_FUT_UTEIS]], L$5, FALSE)</f>
        <v>#N/A</v>
      </c>
    </row>
    <row r="2991" spans="1:12" hidden="1">
      <c r="A2991" s="19">
        <f t="shared" si="239"/>
        <v>2985</v>
      </c>
      <c r="B2991" s="20">
        <f t="shared" si="235"/>
        <v>0</v>
      </c>
      <c r="C2991" s="21">
        <f t="shared" si="236"/>
        <v>0</v>
      </c>
      <c r="D2991" s="22" t="e">
        <f>VLOOKUP($A2991, TAB_JUROS_U[[Q_DIAS_U_PARC_TIR]:[V_FUT_U_JURS CENARIO]], D$5, FALSE)</f>
        <v>#N/A</v>
      </c>
      <c r="E2991" s="22" t="e">
        <f>VLOOKUP($A2991,TAB_CORRECAO_U[[Q_DIAS_U_PARC_TIR]:[V_FUT_U_CORC-02]],E$5, FALSE)</f>
        <v>#N/A</v>
      </c>
      <c r="F2991" s="22" t="e">
        <f>VLOOKUP($A2991,TAB_AMORTIZACAO_U[[Q_DIAS_U_PARC_TIR]:[V_FUT_U_PCPL-02]], F$5, FALSE)</f>
        <v>#N/A</v>
      </c>
      <c r="H2991" s="20">
        <f t="shared" si="237"/>
        <v>0</v>
      </c>
      <c r="I2991" s="21">
        <f t="shared" si="238"/>
        <v>0</v>
      </c>
      <c r="J2991" s="22" t="e">
        <f>VLOOKUP($A2991, TAB_JUROS_C[[DIAS_CORRIDOS]:[V_FUT_UTEIS]], J$5, FALSE)</f>
        <v>#N/A</v>
      </c>
      <c r="K2991" s="22" t="e">
        <f>VLOOKUP($A2991, TAB_CORRECAO_C[[DIAS_CORRIDOS]:[V_FUT_UTEIS]],K$5, FALSE)</f>
        <v>#N/A</v>
      </c>
      <c r="L2991" s="22" t="e">
        <f>VLOOKUP($A2991, TAB_AMORTIZACAO_C[[DIAS_CORRIDOS]:[V_FUT_UTEIS]], L$5, FALSE)</f>
        <v>#N/A</v>
      </c>
    </row>
    <row r="2992" spans="1:12" hidden="1">
      <c r="A2992" s="19">
        <f t="shared" si="239"/>
        <v>2986</v>
      </c>
      <c r="B2992" s="20">
        <f t="shared" si="235"/>
        <v>0</v>
      </c>
      <c r="C2992" s="21">
        <f t="shared" si="236"/>
        <v>0</v>
      </c>
      <c r="D2992" s="22" t="e">
        <f>VLOOKUP($A2992, TAB_JUROS_U[[Q_DIAS_U_PARC_TIR]:[V_FUT_U_JURS CENARIO]], D$5, FALSE)</f>
        <v>#N/A</v>
      </c>
      <c r="E2992" s="22" t="e">
        <f>VLOOKUP($A2992,TAB_CORRECAO_U[[Q_DIAS_U_PARC_TIR]:[V_FUT_U_CORC-02]],E$5, FALSE)</f>
        <v>#N/A</v>
      </c>
      <c r="F2992" s="22" t="e">
        <f>VLOOKUP($A2992,TAB_AMORTIZACAO_U[[Q_DIAS_U_PARC_TIR]:[V_FUT_U_PCPL-02]], F$5, FALSE)</f>
        <v>#N/A</v>
      </c>
      <c r="H2992" s="20">
        <f t="shared" si="237"/>
        <v>0</v>
      </c>
      <c r="I2992" s="21">
        <f t="shared" si="238"/>
        <v>0</v>
      </c>
      <c r="J2992" s="22" t="e">
        <f>VLOOKUP($A2992, TAB_JUROS_C[[DIAS_CORRIDOS]:[V_FUT_UTEIS]], J$5, FALSE)</f>
        <v>#N/A</v>
      </c>
      <c r="K2992" s="22" t="e">
        <f>VLOOKUP($A2992, TAB_CORRECAO_C[[DIAS_CORRIDOS]:[V_FUT_UTEIS]],K$5, FALSE)</f>
        <v>#N/A</v>
      </c>
      <c r="L2992" s="22" t="e">
        <f>VLOOKUP($A2992, TAB_AMORTIZACAO_C[[DIAS_CORRIDOS]:[V_FUT_UTEIS]], L$5, FALSE)</f>
        <v>#N/A</v>
      </c>
    </row>
    <row r="2993" spans="1:12" hidden="1">
      <c r="A2993" s="19">
        <f t="shared" si="239"/>
        <v>2987</v>
      </c>
      <c r="B2993" s="20">
        <f t="shared" si="235"/>
        <v>0</v>
      </c>
      <c r="C2993" s="21">
        <f t="shared" si="236"/>
        <v>0</v>
      </c>
      <c r="D2993" s="22" t="e">
        <f>VLOOKUP($A2993, TAB_JUROS_U[[Q_DIAS_U_PARC_TIR]:[V_FUT_U_JURS CENARIO]], D$5, FALSE)</f>
        <v>#N/A</v>
      </c>
      <c r="E2993" s="22" t="e">
        <f>VLOOKUP($A2993,TAB_CORRECAO_U[[Q_DIAS_U_PARC_TIR]:[V_FUT_U_CORC-02]],E$5, FALSE)</f>
        <v>#N/A</v>
      </c>
      <c r="F2993" s="22" t="e">
        <f>VLOOKUP($A2993,TAB_AMORTIZACAO_U[[Q_DIAS_U_PARC_TIR]:[V_FUT_U_PCPL-02]], F$5, FALSE)</f>
        <v>#N/A</v>
      </c>
      <c r="H2993" s="20">
        <f t="shared" si="237"/>
        <v>0</v>
      </c>
      <c r="I2993" s="21">
        <f t="shared" si="238"/>
        <v>0</v>
      </c>
      <c r="J2993" s="22" t="e">
        <f>VLOOKUP($A2993, TAB_JUROS_C[[DIAS_CORRIDOS]:[V_FUT_UTEIS]], J$5, FALSE)</f>
        <v>#N/A</v>
      </c>
      <c r="K2993" s="22" t="e">
        <f>VLOOKUP($A2993, TAB_CORRECAO_C[[DIAS_CORRIDOS]:[V_FUT_UTEIS]],K$5, FALSE)</f>
        <v>#N/A</v>
      </c>
      <c r="L2993" s="22" t="e">
        <f>VLOOKUP($A2993, TAB_AMORTIZACAO_C[[DIAS_CORRIDOS]:[V_FUT_UTEIS]], L$5, FALSE)</f>
        <v>#N/A</v>
      </c>
    </row>
    <row r="2994" spans="1:12" hidden="1">
      <c r="A2994" s="19">
        <f t="shared" si="239"/>
        <v>2988</v>
      </c>
      <c r="B2994" s="20">
        <f t="shared" si="235"/>
        <v>0</v>
      </c>
      <c r="C2994" s="21">
        <f t="shared" si="236"/>
        <v>0</v>
      </c>
      <c r="D2994" s="22" t="e">
        <f>VLOOKUP($A2994, TAB_JUROS_U[[Q_DIAS_U_PARC_TIR]:[V_FUT_U_JURS CENARIO]], D$5, FALSE)</f>
        <v>#N/A</v>
      </c>
      <c r="E2994" s="22" t="e">
        <f>VLOOKUP($A2994,TAB_CORRECAO_U[[Q_DIAS_U_PARC_TIR]:[V_FUT_U_CORC-02]],E$5, FALSE)</f>
        <v>#N/A</v>
      </c>
      <c r="F2994" s="22" t="e">
        <f>VLOOKUP($A2994,TAB_AMORTIZACAO_U[[Q_DIAS_U_PARC_TIR]:[V_FUT_U_PCPL-02]], F$5, FALSE)</f>
        <v>#N/A</v>
      </c>
      <c r="H2994" s="20">
        <f t="shared" si="237"/>
        <v>0</v>
      </c>
      <c r="I2994" s="21">
        <f t="shared" si="238"/>
        <v>0</v>
      </c>
      <c r="J2994" s="22" t="e">
        <f>VLOOKUP($A2994, TAB_JUROS_C[[DIAS_CORRIDOS]:[V_FUT_UTEIS]], J$5, FALSE)</f>
        <v>#N/A</v>
      </c>
      <c r="K2994" s="22" t="e">
        <f>VLOOKUP($A2994, TAB_CORRECAO_C[[DIAS_CORRIDOS]:[V_FUT_UTEIS]],K$5, FALSE)</f>
        <v>#N/A</v>
      </c>
      <c r="L2994" s="22" t="e">
        <f>VLOOKUP($A2994, TAB_AMORTIZACAO_C[[DIAS_CORRIDOS]:[V_FUT_UTEIS]], L$5, FALSE)</f>
        <v>#N/A</v>
      </c>
    </row>
    <row r="2995" spans="1:12" hidden="1">
      <c r="A2995" s="19">
        <f t="shared" si="239"/>
        <v>2989</v>
      </c>
      <c r="B2995" s="20">
        <f t="shared" si="235"/>
        <v>0</v>
      </c>
      <c r="C2995" s="21">
        <f t="shared" si="236"/>
        <v>0</v>
      </c>
      <c r="D2995" s="22" t="e">
        <f>VLOOKUP($A2995, TAB_JUROS_U[[Q_DIAS_U_PARC_TIR]:[V_FUT_U_JURS CENARIO]], D$5, FALSE)</f>
        <v>#N/A</v>
      </c>
      <c r="E2995" s="22" t="e">
        <f>VLOOKUP($A2995,TAB_CORRECAO_U[[Q_DIAS_U_PARC_TIR]:[V_FUT_U_CORC-02]],E$5, FALSE)</f>
        <v>#N/A</v>
      </c>
      <c r="F2995" s="22" t="e">
        <f>VLOOKUP($A2995,TAB_AMORTIZACAO_U[[Q_DIAS_U_PARC_TIR]:[V_FUT_U_PCPL-02]], F$5, FALSE)</f>
        <v>#N/A</v>
      </c>
      <c r="H2995" s="20">
        <f t="shared" si="237"/>
        <v>0</v>
      </c>
      <c r="I2995" s="21">
        <f t="shared" si="238"/>
        <v>0</v>
      </c>
      <c r="J2995" s="22" t="e">
        <f>VLOOKUP($A2995, TAB_JUROS_C[[DIAS_CORRIDOS]:[V_FUT_UTEIS]], J$5, FALSE)</f>
        <v>#N/A</v>
      </c>
      <c r="K2995" s="22" t="e">
        <f>VLOOKUP($A2995, TAB_CORRECAO_C[[DIAS_CORRIDOS]:[V_FUT_UTEIS]],K$5, FALSE)</f>
        <v>#N/A</v>
      </c>
      <c r="L2995" s="22" t="e">
        <f>VLOOKUP($A2995, TAB_AMORTIZACAO_C[[DIAS_CORRIDOS]:[V_FUT_UTEIS]], L$5, FALSE)</f>
        <v>#N/A</v>
      </c>
    </row>
    <row r="2996" spans="1:12" hidden="1">
      <c r="A2996" s="19">
        <f t="shared" si="239"/>
        <v>2990</v>
      </c>
      <c r="B2996" s="20">
        <f t="shared" si="235"/>
        <v>0</v>
      </c>
      <c r="C2996" s="21">
        <f t="shared" si="236"/>
        <v>0</v>
      </c>
      <c r="D2996" s="22" t="e">
        <f>VLOOKUP($A2996, TAB_JUROS_U[[Q_DIAS_U_PARC_TIR]:[V_FUT_U_JURS CENARIO]], D$5, FALSE)</f>
        <v>#N/A</v>
      </c>
      <c r="E2996" s="22" t="e">
        <f>VLOOKUP($A2996,TAB_CORRECAO_U[[Q_DIAS_U_PARC_TIR]:[V_FUT_U_CORC-02]],E$5, FALSE)</f>
        <v>#N/A</v>
      </c>
      <c r="F2996" s="22" t="e">
        <f>VLOOKUP($A2996,TAB_AMORTIZACAO_U[[Q_DIAS_U_PARC_TIR]:[V_FUT_U_PCPL-02]], F$5, FALSE)</f>
        <v>#N/A</v>
      </c>
      <c r="H2996" s="20">
        <f t="shared" si="237"/>
        <v>0</v>
      </c>
      <c r="I2996" s="21">
        <f t="shared" si="238"/>
        <v>0</v>
      </c>
      <c r="J2996" s="22" t="e">
        <f>VLOOKUP($A2996, TAB_JUROS_C[[DIAS_CORRIDOS]:[V_FUT_UTEIS]], J$5, FALSE)</f>
        <v>#N/A</v>
      </c>
      <c r="K2996" s="22" t="e">
        <f>VLOOKUP($A2996, TAB_CORRECAO_C[[DIAS_CORRIDOS]:[V_FUT_UTEIS]],K$5, FALSE)</f>
        <v>#N/A</v>
      </c>
      <c r="L2996" s="22" t="e">
        <f>VLOOKUP($A2996, TAB_AMORTIZACAO_C[[DIAS_CORRIDOS]:[V_FUT_UTEIS]], L$5, FALSE)</f>
        <v>#N/A</v>
      </c>
    </row>
    <row r="2997" spans="1:12" hidden="1">
      <c r="A2997" s="19">
        <f t="shared" si="239"/>
        <v>2991</v>
      </c>
      <c r="B2997" s="20">
        <f t="shared" si="235"/>
        <v>0</v>
      </c>
      <c r="C2997" s="21">
        <f t="shared" si="236"/>
        <v>0</v>
      </c>
      <c r="D2997" s="22" t="e">
        <f>VLOOKUP($A2997, TAB_JUROS_U[[Q_DIAS_U_PARC_TIR]:[V_FUT_U_JURS CENARIO]], D$5, FALSE)</f>
        <v>#N/A</v>
      </c>
      <c r="E2997" s="22" t="e">
        <f>VLOOKUP($A2997,TAB_CORRECAO_U[[Q_DIAS_U_PARC_TIR]:[V_FUT_U_CORC-02]],E$5, FALSE)</f>
        <v>#N/A</v>
      </c>
      <c r="F2997" s="22" t="e">
        <f>VLOOKUP($A2997,TAB_AMORTIZACAO_U[[Q_DIAS_U_PARC_TIR]:[V_FUT_U_PCPL-02]], F$5, FALSE)</f>
        <v>#N/A</v>
      </c>
      <c r="H2997" s="20">
        <f t="shared" si="237"/>
        <v>0</v>
      </c>
      <c r="I2997" s="21">
        <f t="shared" si="238"/>
        <v>0</v>
      </c>
      <c r="J2997" s="22" t="e">
        <f>VLOOKUP($A2997, TAB_JUROS_C[[DIAS_CORRIDOS]:[V_FUT_UTEIS]], J$5, FALSE)</f>
        <v>#N/A</v>
      </c>
      <c r="K2997" s="22" t="e">
        <f>VLOOKUP($A2997, TAB_CORRECAO_C[[DIAS_CORRIDOS]:[V_FUT_UTEIS]],K$5, FALSE)</f>
        <v>#N/A</v>
      </c>
      <c r="L2997" s="22" t="e">
        <f>VLOOKUP($A2997, TAB_AMORTIZACAO_C[[DIAS_CORRIDOS]:[V_FUT_UTEIS]], L$5, FALSE)</f>
        <v>#N/A</v>
      </c>
    </row>
    <row r="2998" spans="1:12" hidden="1">
      <c r="A2998" s="19">
        <f t="shared" si="239"/>
        <v>2992</v>
      </c>
      <c r="B2998" s="20">
        <f t="shared" si="235"/>
        <v>0</v>
      </c>
      <c r="C2998" s="21">
        <f t="shared" si="236"/>
        <v>0</v>
      </c>
      <c r="D2998" s="22" t="e">
        <f>VLOOKUP($A2998, TAB_JUROS_U[[Q_DIAS_U_PARC_TIR]:[V_FUT_U_JURS CENARIO]], D$5, FALSE)</f>
        <v>#N/A</v>
      </c>
      <c r="E2998" s="22" t="e">
        <f>VLOOKUP($A2998,TAB_CORRECAO_U[[Q_DIAS_U_PARC_TIR]:[V_FUT_U_CORC-02]],E$5, FALSE)</f>
        <v>#N/A</v>
      </c>
      <c r="F2998" s="22" t="e">
        <f>VLOOKUP($A2998,TAB_AMORTIZACAO_U[[Q_DIAS_U_PARC_TIR]:[V_FUT_U_PCPL-02]], F$5, FALSE)</f>
        <v>#N/A</v>
      </c>
      <c r="H2998" s="20">
        <f t="shared" si="237"/>
        <v>0</v>
      </c>
      <c r="I2998" s="21">
        <f t="shared" si="238"/>
        <v>0</v>
      </c>
      <c r="J2998" s="22" t="e">
        <f>VLOOKUP($A2998, TAB_JUROS_C[[DIAS_CORRIDOS]:[V_FUT_UTEIS]], J$5, FALSE)</f>
        <v>#N/A</v>
      </c>
      <c r="K2998" s="22" t="e">
        <f>VLOOKUP($A2998, TAB_CORRECAO_C[[DIAS_CORRIDOS]:[V_FUT_UTEIS]],K$5, FALSE)</f>
        <v>#N/A</v>
      </c>
      <c r="L2998" s="22" t="e">
        <f>VLOOKUP($A2998, TAB_AMORTIZACAO_C[[DIAS_CORRIDOS]:[V_FUT_UTEIS]], L$5, FALSE)</f>
        <v>#N/A</v>
      </c>
    </row>
    <row r="2999" spans="1:12" hidden="1">
      <c r="A2999" s="19">
        <f t="shared" si="239"/>
        <v>2993</v>
      </c>
      <c r="B2999" s="20">
        <f t="shared" si="235"/>
        <v>0</v>
      </c>
      <c r="C2999" s="21">
        <f t="shared" si="236"/>
        <v>0</v>
      </c>
      <c r="D2999" s="22" t="e">
        <f>VLOOKUP($A2999, TAB_JUROS_U[[Q_DIAS_U_PARC_TIR]:[V_FUT_U_JURS CENARIO]], D$5, FALSE)</f>
        <v>#N/A</v>
      </c>
      <c r="E2999" s="22" t="e">
        <f>VLOOKUP($A2999,TAB_CORRECAO_U[[Q_DIAS_U_PARC_TIR]:[V_FUT_U_CORC-02]],E$5, FALSE)</f>
        <v>#N/A</v>
      </c>
      <c r="F2999" s="22" t="e">
        <f>VLOOKUP($A2999,TAB_AMORTIZACAO_U[[Q_DIAS_U_PARC_TIR]:[V_FUT_U_PCPL-02]], F$5, FALSE)</f>
        <v>#N/A</v>
      </c>
      <c r="H2999" s="20">
        <f t="shared" si="237"/>
        <v>268.16503091862893</v>
      </c>
      <c r="I2999" s="21">
        <f t="shared" si="238"/>
        <v>268.16503091862893</v>
      </c>
      <c r="J2999" s="22">
        <f>VLOOKUP($A2999, TAB_JUROS_C[[DIAS_CORRIDOS]:[V_FUT_UTEIS]], J$5, FALSE)</f>
        <v>13.760315735885973</v>
      </c>
      <c r="K2999" s="22">
        <f>VLOOKUP($A2999, TAB_CORRECAO_C[[DIAS_CORRIDOS]:[V_FUT_UTEIS]],K$5, FALSE)</f>
        <v>75.929223128296755</v>
      </c>
      <c r="L2999" s="22">
        <f>VLOOKUP($A2999, TAB_AMORTIZACAO_C[[DIAS_CORRIDOS]:[V_FUT_UTEIS]], L$5, FALSE)</f>
        <v>178.47549205444619</v>
      </c>
    </row>
    <row r="3000" spans="1:12" hidden="1">
      <c r="A3000" s="19">
        <f t="shared" si="239"/>
        <v>2994</v>
      </c>
      <c r="B3000" s="20">
        <f t="shared" si="235"/>
        <v>0</v>
      </c>
      <c r="C3000" s="21">
        <f t="shared" si="236"/>
        <v>0</v>
      </c>
      <c r="D3000" s="22" t="e">
        <f>VLOOKUP($A3000, TAB_JUROS_U[[Q_DIAS_U_PARC_TIR]:[V_FUT_U_JURS CENARIO]], D$5, FALSE)</f>
        <v>#N/A</v>
      </c>
      <c r="E3000" s="22" t="e">
        <f>VLOOKUP($A3000,TAB_CORRECAO_U[[Q_DIAS_U_PARC_TIR]:[V_FUT_U_CORC-02]],E$5, FALSE)</f>
        <v>#N/A</v>
      </c>
      <c r="F3000" s="22" t="e">
        <f>VLOOKUP($A3000,TAB_AMORTIZACAO_U[[Q_DIAS_U_PARC_TIR]:[V_FUT_U_PCPL-02]], F$5, FALSE)</f>
        <v>#N/A</v>
      </c>
      <c r="H3000" s="20">
        <f t="shared" si="237"/>
        <v>0</v>
      </c>
      <c r="I3000" s="21">
        <f t="shared" si="238"/>
        <v>0</v>
      </c>
      <c r="J3000" s="22" t="e">
        <f>VLOOKUP($A3000, TAB_JUROS_C[[DIAS_CORRIDOS]:[V_FUT_UTEIS]], J$5, FALSE)</f>
        <v>#N/A</v>
      </c>
      <c r="K3000" s="22" t="e">
        <f>VLOOKUP($A3000, TAB_CORRECAO_C[[DIAS_CORRIDOS]:[V_FUT_UTEIS]],K$5, FALSE)</f>
        <v>#N/A</v>
      </c>
      <c r="L3000" s="22" t="e">
        <f>VLOOKUP($A3000, TAB_AMORTIZACAO_C[[DIAS_CORRIDOS]:[V_FUT_UTEIS]], L$5, FALSE)</f>
        <v>#N/A</v>
      </c>
    </row>
    <row r="3001" spans="1:12" hidden="1">
      <c r="A3001" s="19">
        <f t="shared" si="239"/>
        <v>2995</v>
      </c>
      <c r="B3001" s="20">
        <f t="shared" si="235"/>
        <v>0</v>
      </c>
      <c r="C3001" s="21">
        <f t="shared" si="236"/>
        <v>0</v>
      </c>
      <c r="D3001" s="22" t="e">
        <f>VLOOKUP($A3001, TAB_JUROS_U[[Q_DIAS_U_PARC_TIR]:[V_FUT_U_JURS CENARIO]], D$5, FALSE)</f>
        <v>#N/A</v>
      </c>
      <c r="E3001" s="22" t="e">
        <f>VLOOKUP($A3001,TAB_CORRECAO_U[[Q_DIAS_U_PARC_TIR]:[V_FUT_U_CORC-02]],E$5, FALSE)</f>
        <v>#N/A</v>
      </c>
      <c r="F3001" s="22" t="e">
        <f>VLOOKUP($A3001,TAB_AMORTIZACAO_U[[Q_DIAS_U_PARC_TIR]:[V_FUT_U_PCPL-02]], F$5, FALSE)</f>
        <v>#N/A</v>
      </c>
      <c r="H3001" s="20">
        <f t="shared" si="237"/>
        <v>0</v>
      </c>
      <c r="I3001" s="21">
        <f t="shared" si="238"/>
        <v>0</v>
      </c>
      <c r="J3001" s="22" t="e">
        <f>VLOOKUP($A3001, TAB_JUROS_C[[DIAS_CORRIDOS]:[V_FUT_UTEIS]], J$5, FALSE)</f>
        <v>#N/A</v>
      </c>
      <c r="K3001" s="22" t="e">
        <f>VLOOKUP($A3001, TAB_CORRECAO_C[[DIAS_CORRIDOS]:[V_FUT_UTEIS]],K$5, FALSE)</f>
        <v>#N/A</v>
      </c>
      <c r="L3001" s="22" t="e">
        <f>VLOOKUP($A3001, TAB_AMORTIZACAO_C[[DIAS_CORRIDOS]:[V_FUT_UTEIS]], L$5, FALSE)</f>
        <v>#N/A</v>
      </c>
    </row>
    <row r="3002" spans="1:12" hidden="1">
      <c r="A3002" s="19">
        <f t="shared" si="239"/>
        <v>2996</v>
      </c>
      <c r="B3002" s="20">
        <f t="shared" si="235"/>
        <v>0</v>
      </c>
      <c r="C3002" s="21">
        <f t="shared" si="236"/>
        <v>0</v>
      </c>
      <c r="D3002" s="22" t="e">
        <f>VLOOKUP($A3002, TAB_JUROS_U[[Q_DIAS_U_PARC_TIR]:[V_FUT_U_JURS CENARIO]], D$5, FALSE)</f>
        <v>#N/A</v>
      </c>
      <c r="E3002" s="22" t="e">
        <f>VLOOKUP($A3002,TAB_CORRECAO_U[[Q_DIAS_U_PARC_TIR]:[V_FUT_U_CORC-02]],E$5, FALSE)</f>
        <v>#N/A</v>
      </c>
      <c r="F3002" s="22" t="e">
        <f>VLOOKUP($A3002,TAB_AMORTIZACAO_U[[Q_DIAS_U_PARC_TIR]:[V_FUT_U_PCPL-02]], F$5, FALSE)</f>
        <v>#N/A</v>
      </c>
      <c r="H3002" s="20">
        <f t="shared" si="237"/>
        <v>0</v>
      </c>
      <c r="I3002" s="21">
        <f t="shared" si="238"/>
        <v>0</v>
      </c>
      <c r="J3002" s="22" t="e">
        <f>VLOOKUP($A3002, TAB_JUROS_C[[DIAS_CORRIDOS]:[V_FUT_UTEIS]], J$5, FALSE)</f>
        <v>#N/A</v>
      </c>
      <c r="K3002" s="22" t="e">
        <f>VLOOKUP($A3002, TAB_CORRECAO_C[[DIAS_CORRIDOS]:[V_FUT_UTEIS]],K$5, FALSE)</f>
        <v>#N/A</v>
      </c>
      <c r="L3002" s="22" t="e">
        <f>VLOOKUP($A3002, TAB_AMORTIZACAO_C[[DIAS_CORRIDOS]:[V_FUT_UTEIS]], L$5, FALSE)</f>
        <v>#N/A</v>
      </c>
    </row>
    <row r="3003" spans="1:12" hidden="1">
      <c r="A3003" s="19">
        <f t="shared" si="239"/>
        <v>2997</v>
      </c>
      <c r="B3003" s="20">
        <f t="shared" si="235"/>
        <v>0</v>
      </c>
      <c r="C3003" s="21">
        <f t="shared" si="236"/>
        <v>0</v>
      </c>
      <c r="D3003" s="22" t="e">
        <f>VLOOKUP($A3003, TAB_JUROS_U[[Q_DIAS_U_PARC_TIR]:[V_FUT_U_JURS CENARIO]], D$5, FALSE)</f>
        <v>#N/A</v>
      </c>
      <c r="E3003" s="22" t="e">
        <f>VLOOKUP($A3003,TAB_CORRECAO_U[[Q_DIAS_U_PARC_TIR]:[V_FUT_U_CORC-02]],E$5, FALSE)</f>
        <v>#N/A</v>
      </c>
      <c r="F3003" s="22" t="e">
        <f>VLOOKUP($A3003,TAB_AMORTIZACAO_U[[Q_DIAS_U_PARC_TIR]:[V_FUT_U_PCPL-02]], F$5, FALSE)</f>
        <v>#N/A</v>
      </c>
      <c r="H3003" s="20">
        <f t="shared" si="237"/>
        <v>0</v>
      </c>
      <c r="I3003" s="21">
        <f t="shared" si="238"/>
        <v>0</v>
      </c>
      <c r="J3003" s="22" t="e">
        <f>VLOOKUP($A3003, TAB_JUROS_C[[DIAS_CORRIDOS]:[V_FUT_UTEIS]], J$5, FALSE)</f>
        <v>#N/A</v>
      </c>
      <c r="K3003" s="22" t="e">
        <f>VLOOKUP($A3003, TAB_CORRECAO_C[[DIAS_CORRIDOS]:[V_FUT_UTEIS]],K$5, FALSE)</f>
        <v>#N/A</v>
      </c>
      <c r="L3003" s="22" t="e">
        <f>VLOOKUP($A3003, TAB_AMORTIZACAO_C[[DIAS_CORRIDOS]:[V_FUT_UTEIS]], L$5, FALSE)</f>
        <v>#N/A</v>
      </c>
    </row>
    <row r="3004" spans="1:12" hidden="1">
      <c r="A3004" s="19">
        <f t="shared" si="239"/>
        <v>2998</v>
      </c>
      <c r="B3004" s="20">
        <f t="shared" si="235"/>
        <v>0</v>
      </c>
      <c r="C3004" s="21">
        <f t="shared" si="236"/>
        <v>0</v>
      </c>
      <c r="D3004" s="22" t="e">
        <f>VLOOKUP($A3004, TAB_JUROS_U[[Q_DIAS_U_PARC_TIR]:[V_FUT_U_JURS CENARIO]], D$5, FALSE)</f>
        <v>#N/A</v>
      </c>
      <c r="E3004" s="22" t="e">
        <f>VLOOKUP($A3004,TAB_CORRECAO_U[[Q_DIAS_U_PARC_TIR]:[V_FUT_U_CORC-02]],E$5, FALSE)</f>
        <v>#N/A</v>
      </c>
      <c r="F3004" s="22" t="e">
        <f>VLOOKUP($A3004,TAB_AMORTIZACAO_U[[Q_DIAS_U_PARC_TIR]:[V_FUT_U_PCPL-02]], F$5, FALSE)</f>
        <v>#N/A</v>
      </c>
      <c r="H3004" s="20">
        <f t="shared" si="237"/>
        <v>0</v>
      </c>
      <c r="I3004" s="21">
        <f t="shared" si="238"/>
        <v>0</v>
      </c>
      <c r="J3004" s="22" t="e">
        <f>VLOOKUP($A3004, TAB_JUROS_C[[DIAS_CORRIDOS]:[V_FUT_UTEIS]], J$5, FALSE)</f>
        <v>#N/A</v>
      </c>
      <c r="K3004" s="22" t="e">
        <f>VLOOKUP($A3004, TAB_CORRECAO_C[[DIAS_CORRIDOS]:[V_FUT_UTEIS]],K$5, FALSE)</f>
        <v>#N/A</v>
      </c>
      <c r="L3004" s="22" t="e">
        <f>VLOOKUP($A3004, TAB_AMORTIZACAO_C[[DIAS_CORRIDOS]:[V_FUT_UTEIS]], L$5, FALSE)</f>
        <v>#N/A</v>
      </c>
    </row>
    <row r="3005" spans="1:12" hidden="1">
      <c r="A3005" s="19">
        <f t="shared" si="239"/>
        <v>2999</v>
      </c>
      <c r="B3005" s="20">
        <f t="shared" si="235"/>
        <v>0</v>
      </c>
      <c r="C3005" s="21">
        <f t="shared" si="236"/>
        <v>0</v>
      </c>
      <c r="D3005" s="22" t="e">
        <f>VLOOKUP($A3005, TAB_JUROS_U[[Q_DIAS_U_PARC_TIR]:[V_FUT_U_JURS CENARIO]], D$5, FALSE)</f>
        <v>#N/A</v>
      </c>
      <c r="E3005" s="22" t="e">
        <f>VLOOKUP($A3005,TAB_CORRECAO_U[[Q_DIAS_U_PARC_TIR]:[V_FUT_U_CORC-02]],E$5, FALSE)</f>
        <v>#N/A</v>
      </c>
      <c r="F3005" s="22" t="e">
        <f>VLOOKUP($A3005,TAB_AMORTIZACAO_U[[Q_DIAS_U_PARC_TIR]:[V_FUT_U_PCPL-02]], F$5, FALSE)</f>
        <v>#N/A</v>
      </c>
      <c r="H3005" s="20">
        <f t="shared" si="237"/>
        <v>0</v>
      </c>
      <c r="I3005" s="21">
        <f t="shared" si="238"/>
        <v>0</v>
      </c>
      <c r="J3005" s="22" t="e">
        <f>VLOOKUP($A3005, TAB_JUROS_C[[DIAS_CORRIDOS]:[V_FUT_UTEIS]], J$5, FALSE)</f>
        <v>#N/A</v>
      </c>
      <c r="K3005" s="22" t="e">
        <f>VLOOKUP($A3005, TAB_CORRECAO_C[[DIAS_CORRIDOS]:[V_FUT_UTEIS]],K$5, FALSE)</f>
        <v>#N/A</v>
      </c>
      <c r="L3005" s="22" t="e">
        <f>VLOOKUP($A3005, TAB_AMORTIZACAO_C[[DIAS_CORRIDOS]:[V_FUT_UTEIS]], L$5, FALSE)</f>
        <v>#N/A</v>
      </c>
    </row>
    <row r="3006" spans="1:12" hidden="1">
      <c r="A3006" s="19">
        <f t="shared" si="239"/>
        <v>3000</v>
      </c>
      <c r="B3006" s="20">
        <f t="shared" si="235"/>
        <v>0</v>
      </c>
      <c r="C3006" s="21">
        <f t="shared" si="236"/>
        <v>0</v>
      </c>
      <c r="D3006" s="22" t="e">
        <f>VLOOKUP($A3006, TAB_JUROS_U[[Q_DIAS_U_PARC_TIR]:[V_FUT_U_JURS CENARIO]], D$5, FALSE)</f>
        <v>#N/A</v>
      </c>
      <c r="E3006" s="22" t="e">
        <f>VLOOKUP($A3006,TAB_CORRECAO_U[[Q_DIAS_U_PARC_TIR]:[V_FUT_U_CORC-02]],E$5, FALSE)</f>
        <v>#N/A</v>
      </c>
      <c r="F3006" s="22" t="e">
        <f>VLOOKUP($A3006,TAB_AMORTIZACAO_U[[Q_DIAS_U_PARC_TIR]:[V_FUT_U_PCPL-02]], F$5, FALSE)</f>
        <v>#N/A</v>
      </c>
      <c r="H3006" s="20">
        <f t="shared" si="237"/>
        <v>0</v>
      </c>
      <c r="I3006" s="21">
        <f t="shared" si="238"/>
        <v>0</v>
      </c>
      <c r="J3006" s="22" t="e">
        <f>VLOOKUP($A3006, TAB_JUROS_C[[DIAS_CORRIDOS]:[V_FUT_UTEIS]], J$5, FALSE)</f>
        <v>#N/A</v>
      </c>
      <c r="K3006" s="22" t="e">
        <f>VLOOKUP($A3006, TAB_CORRECAO_C[[DIAS_CORRIDOS]:[V_FUT_UTEIS]],K$5, FALSE)</f>
        <v>#N/A</v>
      </c>
      <c r="L3006" s="22" t="e">
        <f>VLOOKUP($A3006, TAB_AMORTIZACAO_C[[DIAS_CORRIDOS]:[V_FUT_UTEIS]], L$5, FALSE)</f>
        <v>#N/A</v>
      </c>
    </row>
    <row r="3007" spans="1:12" hidden="1">
      <c r="A3007" s="19">
        <f t="shared" si="239"/>
        <v>3001</v>
      </c>
      <c r="B3007" s="20">
        <f t="shared" si="235"/>
        <v>0</v>
      </c>
      <c r="C3007" s="21">
        <f t="shared" si="236"/>
        <v>0</v>
      </c>
      <c r="D3007" s="22" t="e">
        <f>VLOOKUP($A3007, TAB_JUROS_U[[Q_DIAS_U_PARC_TIR]:[V_FUT_U_JURS CENARIO]], D$5, FALSE)</f>
        <v>#N/A</v>
      </c>
      <c r="E3007" s="22" t="e">
        <f>VLOOKUP($A3007,TAB_CORRECAO_U[[Q_DIAS_U_PARC_TIR]:[V_FUT_U_CORC-02]],E$5, FALSE)</f>
        <v>#N/A</v>
      </c>
      <c r="F3007" s="22" t="e">
        <f>VLOOKUP($A3007,TAB_AMORTIZACAO_U[[Q_DIAS_U_PARC_TIR]:[V_FUT_U_PCPL-02]], F$5, FALSE)</f>
        <v>#N/A</v>
      </c>
      <c r="H3007" s="20">
        <f t="shared" si="237"/>
        <v>0</v>
      </c>
      <c r="I3007" s="21">
        <f t="shared" si="238"/>
        <v>0</v>
      </c>
      <c r="J3007" s="22" t="e">
        <f>VLOOKUP($A3007, TAB_JUROS_C[[DIAS_CORRIDOS]:[V_FUT_UTEIS]], J$5, FALSE)</f>
        <v>#N/A</v>
      </c>
      <c r="K3007" s="22" t="e">
        <f>VLOOKUP($A3007, TAB_CORRECAO_C[[DIAS_CORRIDOS]:[V_FUT_UTEIS]],K$5, FALSE)</f>
        <v>#N/A</v>
      </c>
      <c r="L3007" s="22" t="e">
        <f>VLOOKUP($A3007, TAB_AMORTIZACAO_C[[DIAS_CORRIDOS]:[V_FUT_UTEIS]], L$5, FALSE)</f>
        <v>#N/A</v>
      </c>
    </row>
    <row r="3008" spans="1:12" hidden="1">
      <c r="A3008" s="19">
        <f t="shared" si="239"/>
        <v>3002</v>
      </c>
      <c r="B3008" s="20">
        <f t="shared" si="235"/>
        <v>0</v>
      </c>
      <c r="C3008" s="21">
        <f t="shared" si="236"/>
        <v>0</v>
      </c>
      <c r="D3008" s="22" t="e">
        <f>VLOOKUP($A3008, TAB_JUROS_U[[Q_DIAS_U_PARC_TIR]:[V_FUT_U_JURS CENARIO]], D$5, FALSE)</f>
        <v>#N/A</v>
      </c>
      <c r="E3008" s="22" t="e">
        <f>VLOOKUP($A3008,TAB_CORRECAO_U[[Q_DIAS_U_PARC_TIR]:[V_FUT_U_CORC-02]],E$5, FALSE)</f>
        <v>#N/A</v>
      </c>
      <c r="F3008" s="22" t="e">
        <f>VLOOKUP($A3008,TAB_AMORTIZACAO_U[[Q_DIAS_U_PARC_TIR]:[V_FUT_U_PCPL-02]], F$5, FALSE)</f>
        <v>#N/A</v>
      </c>
      <c r="H3008" s="20">
        <f t="shared" si="237"/>
        <v>0</v>
      </c>
      <c r="I3008" s="21">
        <f t="shared" si="238"/>
        <v>0</v>
      </c>
      <c r="J3008" s="22" t="e">
        <f>VLOOKUP($A3008, TAB_JUROS_C[[DIAS_CORRIDOS]:[V_FUT_UTEIS]], J$5, FALSE)</f>
        <v>#N/A</v>
      </c>
      <c r="K3008" s="22" t="e">
        <f>VLOOKUP($A3008, TAB_CORRECAO_C[[DIAS_CORRIDOS]:[V_FUT_UTEIS]],K$5, FALSE)</f>
        <v>#N/A</v>
      </c>
      <c r="L3008" s="22" t="e">
        <f>VLOOKUP($A3008, TAB_AMORTIZACAO_C[[DIAS_CORRIDOS]:[V_FUT_UTEIS]], L$5, FALSE)</f>
        <v>#N/A</v>
      </c>
    </row>
    <row r="3009" spans="1:12">
      <c r="A3009" s="19">
        <f t="shared" si="239"/>
        <v>3003</v>
      </c>
      <c r="B3009" s="20">
        <f t="shared" si="235"/>
        <v>81.469893022999983</v>
      </c>
      <c r="C3009" s="21">
        <f t="shared" si="236"/>
        <v>81.469893022999983</v>
      </c>
      <c r="D3009" s="22">
        <f>VLOOKUP($A3009, TAB_JUROS_U[[Q_DIAS_U_PARC_TIR]:[V_FUT_U_JURS CENARIO]], D$5, FALSE)</f>
        <v>0.15950274549513985</v>
      </c>
      <c r="E3009" s="22">
        <f>VLOOKUP($A3009,TAB_CORRECAO_U[[Q_DIAS_U_PARC_TIR]:[V_FUT_U_CORC-02]],E$5, FALSE)</f>
        <v>0.92725006791103803</v>
      </c>
      <c r="F3009" s="22">
        <f>VLOOKUP($A3009,TAB_AMORTIZACAO_U[[Q_DIAS_U_PARC_TIR]:[V_FUT_U_PCPL-02]], F$5, FALSE)</f>
        <v>80.383140209593805</v>
      </c>
      <c r="H3009" s="20">
        <f t="shared" si="237"/>
        <v>0</v>
      </c>
      <c r="I3009" s="21">
        <f t="shared" si="238"/>
        <v>0</v>
      </c>
      <c r="J3009" s="22" t="e">
        <f>VLOOKUP($A3009, TAB_JUROS_C[[DIAS_CORRIDOS]:[V_FUT_UTEIS]], J$5, FALSE)</f>
        <v>#N/A</v>
      </c>
      <c r="K3009" s="22" t="e">
        <f>VLOOKUP($A3009, TAB_CORRECAO_C[[DIAS_CORRIDOS]:[V_FUT_UTEIS]],K$5, FALSE)</f>
        <v>#N/A</v>
      </c>
      <c r="L3009" s="22" t="e">
        <f>VLOOKUP($A3009, TAB_AMORTIZACAO_C[[DIAS_CORRIDOS]:[V_FUT_UTEIS]], L$5, FALSE)</f>
        <v>#N/A</v>
      </c>
    </row>
    <row r="3010" spans="1:12" hidden="1">
      <c r="A3010" s="19">
        <f t="shared" si="239"/>
        <v>3004</v>
      </c>
      <c r="B3010" s="20">
        <f t="shared" si="235"/>
        <v>0</v>
      </c>
      <c r="C3010" s="21">
        <f t="shared" si="236"/>
        <v>0</v>
      </c>
      <c r="D3010" s="22" t="e">
        <f>VLOOKUP($A3010, TAB_JUROS_U[[Q_DIAS_U_PARC_TIR]:[V_FUT_U_JURS CENARIO]], D$5, FALSE)</f>
        <v>#N/A</v>
      </c>
      <c r="E3010" s="22" t="e">
        <f>VLOOKUP($A3010,TAB_CORRECAO_U[[Q_DIAS_U_PARC_TIR]:[V_FUT_U_CORC-02]],E$5, FALSE)</f>
        <v>#N/A</v>
      </c>
      <c r="F3010" s="22" t="e">
        <f>VLOOKUP($A3010,TAB_AMORTIZACAO_U[[Q_DIAS_U_PARC_TIR]:[V_FUT_U_PCPL-02]], F$5, FALSE)</f>
        <v>#N/A</v>
      </c>
      <c r="H3010" s="20">
        <f t="shared" si="237"/>
        <v>0</v>
      </c>
      <c r="I3010" s="21">
        <f t="shared" si="238"/>
        <v>0</v>
      </c>
      <c r="J3010" s="22" t="e">
        <f>VLOOKUP($A3010, TAB_JUROS_C[[DIAS_CORRIDOS]:[V_FUT_UTEIS]], J$5, FALSE)</f>
        <v>#N/A</v>
      </c>
      <c r="K3010" s="22" t="e">
        <f>VLOOKUP($A3010, TAB_CORRECAO_C[[DIAS_CORRIDOS]:[V_FUT_UTEIS]],K$5, FALSE)</f>
        <v>#N/A</v>
      </c>
      <c r="L3010" s="22" t="e">
        <f>VLOOKUP($A3010, TAB_AMORTIZACAO_C[[DIAS_CORRIDOS]:[V_FUT_UTEIS]], L$5, FALSE)</f>
        <v>#N/A</v>
      </c>
    </row>
    <row r="3011" spans="1:12" hidden="1">
      <c r="A3011" s="19">
        <f t="shared" si="239"/>
        <v>3005</v>
      </c>
      <c r="B3011" s="20">
        <f t="shared" si="235"/>
        <v>0</v>
      </c>
      <c r="C3011" s="21">
        <f t="shared" si="236"/>
        <v>0</v>
      </c>
      <c r="D3011" s="22" t="e">
        <f>VLOOKUP($A3011, TAB_JUROS_U[[Q_DIAS_U_PARC_TIR]:[V_FUT_U_JURS CENARIO]], D$5, FALSE)</f>
        <v>#N/A</v>
      </c>
      <c r="E3011" s="22" t="e">
        <f>VLOOKUP($A3011,TAB_CORRECAO_U[[Q_DIAS_U_PARC_TIR]:[V_FUT_U_CORC-02]],E$5, FALSE)</f>
        <v>#N/A</v>
      </c>
      <c r="F3011" s="22" t="e">
        <f>VLOOKUP($A3011,TAB_AMORTIZACAO_U[[Q_DIAS_U_PARC_TIR]:[V_FUT_U_PCPL-02]], F$5, FALSE)</f>
        <v>#N/A</v>
      </c>
      <c r="H3011" s="20">
        <f t="shared" si="237"/>
        <v>0</v>
      </c>
      <c r="I3011" s="21">
        <f t="shared" si="238"/>
        <v>0</v>
      </c>
      <c r="J3011" s="22" t="e">
        <f>VLOOKUP($A3011, TAB_JUROS_C[[DIAS_CORRIDOS]:[V_FUT_UTEIS]], J$5, FALSE)</f>
        <v>#N/A</v>
      </c>
      <c r="K3011" s="22" t="e">
        <f>VLOOKUP($A3011, TAB_CORRECAO_C[[DIAS_CORRIDOS]:[V_FUT_UTEIS]],K$5, FALSE)</f>
        <v>#N/A</v>
      </c>
      <c r="L3011" s="22" t="e">
        <f>VLOOKUP($A3011, TAB_AMORTIZACAO_C[[DIAS_CORRIDOS]:[V_FUT_UTEIS]], L$5, FALSE)</f>
        <v>#N/A</v>
      </c>
    </row>
    <row r="3012" spans="1:12" hidden="1">
      <c r="A3012" s="19">
        <f t="shared" si="239"/>
        <v>3006</v>
      </c>
      <c r="B3012" s="20">
        <f t="shared" si="235"/>
        <v>0</v>
      </c>
      <c r="C3012" s="21">
        <f t="shared" si="236"/>
        <v>0</v>
      </c>
      <c r="D3012" s="22" t="e">
        <f>VLOOKUP($A3012, TAB_JUROS_U[[Q_DIAS_U_PARC_TIR]:[V_FUT_U_JURS CENARIO]], D$5, FALSE)</f>
        <v>#N/A</v>
      </c>
      <c r="E3012" s="22" t="e">
        <f>VLOOKUP($A3012,TAB_CORRECAO_U[[Q_DIAS_U_PARC_TIR]:[V_FUT_U_CORC-02]],E$5, FALSE)</f>
        <v>#N/A</v>
      </c>
      <c r="F3012" s="22" t="e">
        <f>VLOOKUP($A3012,TAB_AMORTIZACAO_U[[Q_DIAS_U_PARC_TIR]:[V_FUT_U_PCPL-02]], F$5, FALSE)</f>
        <v>#N/A</v>
      </c>
      <c r="H3012" s="20">
        <f t="shared" si="237"/>
        <v>0</v>
      </c>
      <c r="I3012" s="21">
        <f t="shared" si="238"/>
        <v>0</v>
      </c>
      <c r="J3012" s="22" t="e">
        <f>VLOOKUP($A3012, TAB_JUROS_C[[DIAS_CORRIDOS]:[V_FUT_UTEIS]], J$5, FALSE)</f>
        <v>#N/A</v>
      </c>
      <c r="K3012" s="22" t="e">
        <f>VLOOKUP($A3012, TAB_CORRECAO_C[[DIAS_CORRIDOS]:[V_FUT_UTEIS]],K$5, FALSE)</f>
        <v>#N/A</v>
      </c>
      <c r="L3012" s="22" t="e">
        <f>VLOOKUP($A3012, TAB_AMORTIZACAO_C[[DIAS_CORRIDOS]:[V_FUT_UTEIS]], L$5, FALSE)</f>
        <v>#N/A</v>
      </c>
    </row>
    <row r="3013" spans="1:12" hidden="1">
      <c r="A3013" s="19">
        <f t="shared" si="239"/>
        <v>3007</v>
      </c>
      <c r="B3013" s="20">
        <f t="shared" si="235"/>
        <v>0</v>
      </c>
      <c r="C3013" s="21">
        <f t="shared" si="236"/>
        <v>0</v>
      </c>
      <c r="D3013" s="22" t="e">
        <f>VLOOKUP($A3013, TAB_JUROS_U[[Q_DIAS_U_PARC_TIR]:[V_FUT_U_JURS CENARIO]], D$5, FALSE)</f>
        <v>#N/A</v>
      </c>
      <c r="E3013" s="22" t="e">
        <f>VLOOKUP($A3013,TAB_CORRECAO_U[[Q_DIAS_U_PARC_TIR]:[V_FUT_U_CORC-02]],E$5, FALSE)</f>
        <v>#N/A</v>
      </c>
      <c r="F3013" s="22" t="e">
        <f>VLOOKUP($A3013,TAB_AMORTIZACAO_U[[Q_DIAS_U_PARC_TIR]:[V_FUT_U_PCPL-02]], F$5, FALSE)</f>
        <v>#N/A</v>
      </c>
      <c r="H3013" s="20">
        <f t="shared" si="237"/>
        <v>0</v>
      </c>
      <c r="I3013" s="21">
        <f t="shared" si="238"/>
        <v>0</v>
      </c>
      <c r="J3013" s="22" t="e">
        <f>VLOOKUP($A3013, TAB_JUROS_C[[DIAS_CORRIDOS]:[V_FUT_UTEIS]], J$5, FALSE)</f>
        <v>#N/A</v>
      </c>
      <c r="K3013" s="22" t="e">
        <f>VLOOKUP($A3013, TAB_CORRECAO_C[[DIAS_CORRIDOS]:[V_FUT_UTEIS]],K$5, FALSE)</f>
        <v>#N/A</v>
      </c>
      <c r="L3013" s="22" t="e">
        <f>VLOOKUP($A3013, TAB_AMORTIZACAO_C[[DIAS_CORRIDOS]:[V_FUT_UTEIS]], L$5, FALSE)</f>
        <v>#N/A</v>
      </c>
    </row>
    <row r="3014" spans="1:12" hidden="1">
      <c r="A3014" s="19">
        <f t="shared" si="239"/>
        <v>3008</v>
      </c>
      <c r="B3014" s="20">
        <f t="shared" si="235"/>
        <v>0</v>
      </c>
      <c r="C3014" s="21">
        <f t="shared" si="236"/>
        <v>0</v>
      </c>
      <c r="D3014" s="22" t="e">
        <f>VLOOKUP($A3014, TAB_JUROS_U[[Q_DIAS_U_PARC_TIR]:[V_FUT_U_JURS CENARIO]], D$5, FALSE)</f>
        <v>#N/A</v>
      </c>
      <c r="E3014" s="22" t="e">
        <f>VLOOKUP($A3014,TAB_CORRECAO_U[[Q_DIAS_U_PARC_TIR]:[V_FUT_U_CORC-02]],E$5, FALSE)</f>
        <v>#N/A</v>
      </c>
      <c r="F3014" s="22" t="e">
        <f>VLOOKUP($A3014,TAB_AMORTIZACAO_U[[Q_DIAS_U_PARC_TIR]:[V_FUT_U_PCPL-02]], F$5, FALSE)</f>
        <v>#N/A</v>
      </c>
      <c r="H3014" s="20">
        <f t="shared" si="237"/>
        <v>0</v>
      </c>
      <c r="I3014" s="21">
        <f t="shared" si="238"/>
        <v>0</v>
      </c>
      <c r="J3014" s="22" t="e">
        <f>VLOOKUP($A3014, TAB_JUROS_C[[DIAS_CORRIDOS]:[V_FUT_UTEIS]], J$5, FALSE)</f>
        <v>#N/A</v>
      </c>
      <c r="K3014" s="22" t="e">
        <f>VLOOKUP($A3014, TAB_CORRECAO_C[[DIAS_CORRIDOS]:[V_FUT_UTEIS]],K$5, FALSE)</f>
        <v>#N/A</v>
      </c>
      <c r="L3014" s="22" t="e">
        <f>VLOOKUP($A3014, TAB_AMORTIZACAO_C[[DIAS_CORRIDOS]:[V_FUT_UTEIS]], L$5, FALSE)</f>
        <v>#N/A</v>
      </c>
    </row>
    <row r="3015" spans="1:12" hidden="1">
      <c r="A3015" s="19">
        <f t="shared" si="239"/>
        <v>3009</v>
      </c>
      <c r="B3015" s="20">
        <f t="shared" si="235"/>
        <v>0</v>
      </c>
      <c r="C3015" s="21">
        <f t="shared" si="236"/>
        <v>0</v>
      </c>
      <c r="D3015" s="22" t="e">
        <f>VLOOKUP($A3015, TAB_JUROS_U[[Q_DIAS_U_PARC_TIR]:[V_FUT_U_JURS CENARIO]], D$5, FALSE)</f>
        <v>#N/A</v>
      </c>
      <c r="E3015" s="22" t="e">
        <f>VLOOKUP($A3015,TAB_CORRECAO_U[[Q_DIAS_U_PARC_TIR]:[V_FUT_U_CORC-02]],E$5, FALSE)</f>
        <v>#N/A</v>
      </c>
      <c r="F3015" s="22" t="e">
        <f>VLOOKUP($A3015,TAB_AMORTIZACAO_U[[Q_DIAS_U_PARC_TIR]:[V_FUT_U_PCPL-02]], F$5, FALSE)</f>
        <v>#N/A</v>
      </c>
      <c r="H3015" s="20">
        <f t="shared" si="237"/>
        <v>0</v>
      </c>
      <c r="I3015" s="21">
        <f t="shared" si="238"/>
        <v>0</v>
      </c>
      <c r="J3015" s="22" t="e">
        <f>VLOOKUP($A3015, TAB_JUROS_C[[DIAS_CORRIDOS]:[V_FUT_UTEIS]], J$5, FALSE)</f>
        <v>#N/A</v>
      </c>
      <c r="K3015" s="22" t="e">
        <f>VLOOKUP($A3015, TAB_CORRECAO_C[[DIAS_CORRIDOS]:[V_FUT_UTEIS]],K$5, FALSE)</f>
        <v>#N/A</v>
      </c>
      <c r="L3015" s="22" t="e">
        <f>VLOOKUP($A3015, TAB_AMORTIZACAO_C[[DIAS_CORRIDOS]:[V_FUT_UTEIS]], L$5, FALSE)</f>
        <v>#N/A</v>
      </c>
    </row>
    <row r="3016" spans="1:12" hidden="1">
      <c r="A3016" s="19">
        <f t="shared" si="239"/>
        <v>3010</v>
      </c>
      <c r="B3016" s="20">
        <f t="shared" si="235"/>
        <v>0</v>
      </c>
      <c r="C3016" s="21">
        <f t="shared" si="236"/>
        <v>0</v>
      </c>
      <c r="D3016" s="22" t="e">
        <f>VLOOKUP($A3016, TAB_JUROS_U[[Q_DIAS_U_PARC_TIR]:[V_FUT_U_JURS CENARIO]], D$5, FALSE)</f>
        <v>#N/A</v>
      </c>
      <c r="E3016" s="22" t="e">
        <f>VLOOKUP($A3016,TAB_CORRECAO_U[[Q_DIAS_U_PARC_TIR]:[V_FUT_U_CORC-02]],E$5, FALSE)</f>
        <v>#N/A</v>
      </c>
      <c r="F3016" s="22" t="e">
        <f>VLOOKUP($A3016,TAB_AMORTIZACAO_U[[Q_DIAS_U_PARC_TIR]:[V_FUT_U_PCPL-02]], F$5, FALSE)</f>
        <v>#N/A</v>
      </c>
      <c r="H3016" s="20">
        <f t="shared" si="237"/>
        <v>0</v>
      </c>
      <c r="I3016" s="21">
        <f t="shared" si="238"/>
        <v>0</v>
      </c>
      <c r="J3016" s="22" t="e">
        <f>VLOOKUP($A3016, TAB_JUROS_C[[DIAS_CORRIDOS]:[V_FUT_UTEIS]], J$5, FALSE)</f>
        <v>#N/A</v>
      </c>
      <c r="K3016" s="22" t="e">
        <f>VLOOKUP($A3016, TAB_CORRECAO_C[[DIAS_CORRIDOS]:[V_FUT_UTEIS]],K$5, FALSE)</f>
        <v>#N/A</v>
      </c>
      <c r="L3016" s="22" t="e">
        <f>VLOOKUP($A3016, TAB_AMORTIZACAO_C[[DIAS_CORRIDOS]:[V_FUT_UTEIS]], L$5, FALSE)</f>
        <v>#N/A</v>
      </c>
    </row>
    <row r="3017" spans="1:12" hidden="1">
      <c r="A3017" s="19">
        <f t="shared" si="239"/>
        <v>3011</v>
      </c>
      <c r="B3017" s="20">
        <f t="shared" ref="B3017:B3080" si="240">IF(ISERROR(C3017), 0, C3017)</f>
        <v>0</v>
      </c>
      <c r="C3017" s="21">
        <f t="shared" ref="C3017:C3080" si="241">SUMIF(D3017:F3017, "&gt;0", D3017:F3017)</f>
        <v>0</v>
      </c>
      <c r="D3017" s="22" t="e">
        <f>VLOOKUP($A3017, TAB_JUROS_U[[Q_DIAS_U_PARC_TIR]:[V_FUT_U_JURS CENARIO]], D$5, FALSE)</f>
        <v>#N/A</v>
      </c>
      <c r="E3017" s="22" t="e">
        <f>VLOOKUP($A3017,TAB_CORRECAO_U[[Q_DIAS_U_PARC_TIR]:[V_FUT_U_CORC-02]],E$5, FALSE)</f>
        <v>#N/A</v>
      </c>
      <c r="F3017" s="22" t="e">
        <f>VLOOKUP($A3017,TAB_AMORTIZACAO_U[[Q_DIAS_U_PARC_TIR]:[V_FUT_U_PCPL-02]], F$5, FALSE)</f>
        <v>#N/A</v>
      </c>
      <c r="H3017" s="20">
        <f t="shared" ref="H3017:H3080" si="242">IF(ISERROR(I3017), 0, I3017)</f>
        <v>0</v>
      </c>
      <c r="I3017" s="21">
        <f t="shared" ref="I3017:I3080" si="243">SUMIF(J3017:L3017, "&gt;0", J3017:L3017)</f>
        <v>0</v>
      </c>
      <c r="J3017" s="22" t="e">
        <f>VLOOKUP($A3017, TAB_JUROS_C[[DIAS_CORRIDOS]:[V_FUT_UTEIS]], J$5, FALSE)</f>
        <v>#N/A</v>
      </c>
      <c r="K3017" s="22" t="e">
        <f>VLOOKUP($A3017, TAB_CORRECAO_C[[DIAS_CORRIDOS]:[V_FUT_UTEIS]],K$5, FALSE)</f>
        <v>#N/A</v>
      </c>
      <c r="L3017" s="22" t="e">
        <f>VLOOKUP($A3017, TAB_AMORTIZACAO_C[[DIAS_CORRIDOS]:[V_FUT_UTEIS]], L$5, FALSE)</f>
        <v>#N/A</v>
      </c>
    </row>
    <row r="3018" spans="1:12" hidden="1">
      <c r="A3018" s="19">
        <f t="shared" ref="A3018:A3081" si="244">A3017+1</f>
        <v>3012</v>
      </c>
      <c r="B3018" s="20">
        <f t="shared" si="240"/>
        <v>0</v>
      </c>
      <c r="C3018" s="21">
        <f t="shared" si="241"/>
        <v>0</v>
      </c>
      <c r="D3018" s="22" t="e">
        <f>VLOOKUP($A3018, TAB_JUROS_U[[Q_DIAS_U_PARC_TIR]:[V_FUT_U_JURS CENARIO]], D$5, FALSE)</f>
        <v>#N/A</v>
      </c>
      <c r="E3018" s="22" t="e">
        <f>VLOOKUP($A3018,TAB_CORRECAO_U[[Q_DIAS_U_PARC_TIR]:[V_FUT_U_CORC-02]],E$5, FALSE)</f>
        <v>#N/A</v>
      </c>
      <c r="F3018" s="22" t="e">
        <f>VLOOKUP($A3018,TAB_AMORTIZACAO_U[[Q_DIAS_U_PARC_TIR]:[V_FUT_U_PCPL-02]], F$5, FALSE)</f>
        <v>#N/A</v>
      </c>
      <c r="H3018" s="20">
        <f t="shared" si="242"/>
        <v>0</v>
      </c>
      <c r="I3018" s="21">
        <f t="shared" si="243"/>
        <v>0</v>
      </c>
      <c r="J3018" s="22" t="e">
        <f>VLOOKUP($A3018, TAB_JUROS_C[[DIAS_CORRIDOS]:[V_FUT_UTEIS]], J$5, FALSE)</f>
        <v>#N/A</v>
      </c>
      <c r="K3018" s="22" t="e">
        <f>VLOOKUP($A3018, TAB_CORRECAO_C[[DIAS_CORRIDOS]:[V_FUT_UTEIS]],K$5, FALSE)</f>
        <v>#N/A</v>
      </c>
      <c r="L3018" s="22" t="e">
        <f>VLOOKUP($A3018, TAB_AMORTIZACAO_C[[DIAS_CORRIDOS]:[V_FUT_UTEIS]], L$5, FALSE)</f>
        <v>#N/A</v>
      </c>
    </row>
    <row r="3019" spans="1:12" hidden="1">
      <c r="A3019" s="19">
        <f t="shared" si="244"/>
        <v>3013</v>
      </c>
      <c r="B3019" s="20">
        <f t="shared" si="240"/>
        <v>0</v>
      </c>
      <c r="C3019" s="21">
        <f t="shared" si="241"/>
        <v>0</v>
      </c>
      <c r="D3019" s="22" t="e">
        <f>VLOOKUP($A3019, TAB_JUROS_U[[Q_DIAS_U_PARC_TIR]:[V_FUT_U_JURS CENARIO]], D$5, FALSE)</f>
        <v>#N/A</v>
      </c>
      <c r="E3019" s="22" t="e">
        <f>VLOOKUP($A3019,TAB_CORRECAO_U[[Q_DIAS_U_PARC_TIR]:[V_FUT_U_CORC-02]],E$5, FALSE)</f>
        <v>#N/A</v>
      </c>
      <c r="F3019" s="22" t="e">
        <f>VLOOKUP($A3019,TAB_AMORTIZACAO_U[[Q_DIAS_U_PARC_TIR]:[V_FUT_U_PCPL-02]], F$5, FALSE)</f>
        <v>#N/A</v>
      </c>
      <c r="H3019" s="20">
        <f t="shared" si="242"/>
        <v>0</v>
      </c>
      <c r="I3019" s="21">
        <f t="shared" si="243"/>
        <v>0</v>
      </c>
      <c r="J3019" s="22" t="e">
        <f>VLOOKUP($A3019, TAB_JUROS_C[[DIAS_CORRIDOS]:[V_FUT_UTEIS]], J$5, FALSE)</f>
        <v>#N/A</v>
      </c>
      <c r="K3019" s="22" t="e">
        <f>VLOOKUP($A3019, TAB_CORRECAO_C[[DIAS_CORRIDOS]:[V_FUT_UTEIS]],K$5, FALSE)</f>
        <v>#N/A</v>
      </c>
      <c r="L3019" s="22" t="e">
        <f>VLOOKUP($A3019, TAB_AMORTIZACAO_C[[DIAS_CORRIDOS]:[V_FUT_UTEIS]], L$5, FALSE)</f>
        <v>#N/A</v>
      </c>
    </row>
    <row r="3020" spans="1:12" hidden="1">
      <c r="A3020" s="19">
        <f t="shared" si="244"/>
        <v>3014</v>
      </c>
      <c r="B3020" s="20">
        <f t="shared" si="240"/>
        <v>0</v>
      </c>
      <c r="C3020" s="21">
        <f t="shared" si="241"/>
        <v>0</v>
      </c>
      <c r="D3020" s="22" t="e">
        <f>VLOOKUP($A3020, TAB_JUROS_U[[Q_DIAS_U_PARC_TIR]:[V_FUT_U_JURS CENARIO]], D$5, FALSE)</f>
        <v>#N/A</v>
      </c>
      <c r="E3020" s="22" t="e">
        <f>VLOOKUP($A3020,TAB_CORRECAO_U[[Q_DIAS_U_PARC_TIR]:[V_FUT_U_CORC-02]],E$5, FALSE)</f>
        <v>#N/A</v>
      </c>
      <c r="F3020" s="22" t="e">
        <f>VLOOKUP($A3020,TAB_AMORTIZACAO_U[[Q_DIAS_U_PARC_TIR]:[V_FUT_U_PCPL-02]], F$5, FALSE)</f>
        <v>#N/A</v>
      </c>
      <c r="H3020" s="20">
        <f t="shared" si="242"/>
        <v>0</v>
      </c>
      <c r="I3020" s="21">
        <f t="shared" si="243"/>
        <v>0</v>
      </c>
      <c r="J3020" s="22" t="e">
        <f>VLOOKUP($A3020, TAB_JUROS_C[[DIAS_CORRIDOS]:[V_FUT_UTEIS]], J$5, FALSE)</f>
        <v>#N/A</v>
      </c>
      <c r="K3020" s="22" t="e">
        <f>VLOOKUP($A3020, TAB_CORRECAO_C[[DIAS_CORRIDOS]:[V_FUT_UTEIS]],K$5, FALSE)</f>
        <v>#N/A</v>
      </c>
      <c r="L3020" s="22" t="e">
        <f>VLOOKUP($A3020, TAB_AMORTIZACAO_C[[DIAS_CORRIDOS]:[V_FUT_UTEIS]], L$5, FALSE)</f>
        <v>#N/A</v>
      </c>
    </row>
    <row r="3021" spans="1:12" hidden="1">
      <c r="A3021" s="19">
        <f t="shared" si="244"/>
        <v>3015</v>
      </c>
      <c r="B3021" s="20">
        <f t="shared" si="240"/>
        <v>0</v>
      </c>
      <c r="C3021" s="21">
        <f t="shared" si="241"/>
        <v>0</v>
      </c>
      <c r="D3021" s="22" t="e">
        <f>VLOOKUP($A3021, TAB_JUROS_U[[Q_DIAS_U_PARC_TIR]:[V_FUT_U_JURS CENARIO]], D$5, FALSE)</f>
        <v>#N/A</v>
      </c>
      <c r="E3021" s="22" t="e">
        <f>VLOOKUP($A3021,TAB_CORRECAO_U[[Q_DIAS_U_PARC_TIR]:[V_FUT_U_CORC-02]],E$5, FALSE)</f>
        <v>#N/A</v>
      </c>
      <c r="F3021" s="22" t="e">
        <f>VLOOKUP($A3021,TAB_AMORTIZACAO_U[[Q_DIAS_U_PARC_TIR]:[V_FUT_U_PCPL-02]], F$5, FALSE)</f>
        <v>#N/A</v>
      </c>
      <c r="H3021" s="20">
        <f t="shared" si="242"/>
        <v>0</v>
      </c>
      <c r="I3021" s="21">
        <f t="shared" si="243"/>
        <v>0</v>
      </c>
      <c r="J3021" s="22" t="e">
        <f>VLOOKUP($A3021, TAB_JUROS_C[[DIAS_CORRIDOS]:[V_FUT_UTEIS]], J$5, FALSE)</f>
        <v>#N/A</v>
      </c>
      <c r="K3021" s="22" t="e">
        <f>VLOOKUP($A3021, TAB_CORRECAO_C[[DIAS_CORRIDOS]:[V_FUT_UTEIS]],K$5, FALSE)</f>
        <v>#N/A</v>
      </c>
      <c r="L3021" s="22" t="e">
        <f>VLOOKUP($A3021, TAB_AMORTIZACAO_C[[DIAS_CORRIDOS]:[V_FUT_UTEIS]], L$5, FALSE)</f>
        <v>#N/A</v>
      </c>
    </row>
    <row r="3022" spans="1:12" hidden="1">
      <c r="A3022" s="19">
        <f t="shared" si="244"/>
        <v>3016</v>
      </c>
      <c r="B3022" s="20">
        <f t="shared" si="240"/>
        <v>0</v>
      </c>
      <c r="C3022" s="21">
        <f t="shared" si="241"/>
        <v>0</v>
      </c>
      <c r="D3022" s="22" t="e">
        <f>VLOOKUP($A3022, TAB_JUROS_U[[Q_DIAS_U_PARC_TIR]:[V_FUT_U_JURS CENARIO]], D$5, FALSE)</f>
        <v>#N/A</v>
      </c>
      <c r="E3022" s="22" t="e">
        <f>VLOOKUP($A3022,TAB_CORRECAO_U[[Q_DIAS_U_PARC_TIR]:[V_FUT_U_CORC-02]],E$5, FALSE)</f>
        <v>#N/A</v>
      </c>
      <c r="F3022" s="22" t="e">
        <f>VLOOKUP($A3022,TAB_AMORTIZACAO_U[[Q_DIAS_U_PARC_TIR]:[V_FUT_U_PCPL-02]], F$5, FALSE)</f>
        <v>#N/A</v>
      </c>
      <c r="H3022" s="20">
        <f t="shared" si="242"/>
        <v>0</v>
      </c>
      <c r="I3022" s="21">
        <f t="shared" si="243"/>
        <v>0</v>
      </c>
      <c r="J3022" s="22" t="e">
        <f>VLOOKUP($A3022, TAB_JUROS_C[[DIAS_CORRIDOS]:[V_FUT_UTEIS]], J$5, FALSE)</f>
        <v>#N/A</v>
      </c>
      <c r="K3022" s="22" t="e">
        <f>VLOOKUP($A3022, TAB_CORRECAO_C[[DIAS_CORRIDOS]:[V_FUT_UTEIS]],K$5, FALSE)</f>
        <v>#N/A</v>
      </c>
      <c r="L3022" s="22" t="e">
        <f>VLOOKUP($A3022, TAB_AMORTIZACAO_C[[DIAS_CORRIDOS]:[V_FUT_UTEIS]], L$5, FALSE)</f>
        <v>#N/A</v>
      </c>
    </row>
    <row r="3023" spans="1:12" hidden="1">
      <c r="A3023" s="19">
        <f t="shared" si="244"/>
        <v>3017</v>
      </c>
      <c r="B3023" s="20">
        <f t="shared" si="240"/>
        <v>0</v>
      </c>
      <c r="C3023" s="21">
        <f t="shared" si="241"/>
        <v>0</v>
      </c>
      <c r="D3023" s="22" t="e">
        <f>VLOOKUP($A3023, TAB_JUROS_U[[Q_DIAS_U_PARC_TIR]:[V_FUT_U_JURS CENARIO]], D$5, FALSE)</f>
        <v>#N/A</v>
      </c>
      <c r="E3023" s="22" t="e">
        <f>VLOOKUP($A3023,TAB_CORRECAO_U[[Q_DIAS_U_PARC_TIR]:[V_FUT_U_CORC-02]],E$5, FALSE)</f>
        <v>#N/A</v>
      </c>
      <c r="F3023" s="22" t="e">
        <f>VLOOKUP($A3023,TAB_AMORTIZACAO_U[[Q_DIAS_U_PARC_TIR]:[V_FUT_U_PCPL-02]], F$5, FALSE)</f>
        <v>#N/A</v>
      </c>
      <c r="H3023" s="20">
        <f t="shared" si="242"/>
        <v>0</v>
      </c>
      <c r="I3023" s="21">
        <f t="shared" si="243"/>
        <v>0</v>
      </c>
      <c r="J3023" s="22" t="e">
        <f>VLOOKUP($A3023, TAB_JUROS_C[[DIAS_CORRIDOS]:[V_FUT_UTEIS]], J$5, FALSE)</f>
        <v>#N/A</v>
      </c>
      <c r="K3023" s="22" t="e">
        <f>VLOOKUP($A3023, TAB_CORRECAO_C[[DIAS_CORRIDOS]:[V_FUT_UTEIS]],K$5, FALSE)</f>
        <v>#N/A</v>
      </c>
      <c r="L3023" s="22" t="e">
        <f>VLOOKUP($A3023, TAB_AMORTIZACAO_C[[DIAS_CORRIDOS]:[V_FUT_UTEIS]], L$5, FALSE)</f>
        <v>#N/A</v>
      </c>
    </row>
    <row r="3024" spans="1:12" hidden="1">
      <c r="A3024" s="19">
        <f t="shared" si="244"/>
        <v>3018</v>
      </c>
      <c r="B3024" s="20">
        <f t="shared" si="240"/>
        <v>0</v>
      </c>
      <c r="C3024" s="21">
        <f t="shared" si="241"/>
        <v>0</v>
      </c>
      <c r="D3024" s="22" t="e">
        <f>VLOOKUP($A3024, TAB_JUROS_U[[Q_DIAS_U_PARC_TIR]:[V_FUT_U_JURS CENARIO]], D$5, FALSE)</f>
        <v>#N/A</v>
      </c>
      <c r="E3024" s="22" t="e">
        <f>VLOOKUP($A3024,TAB_CORRECAO_U[[Q_DIAS_U_PARC_TIR]:[V_FUT_U_CORC-02]],E$5, FALSE)</f>
        <v>#N/A</v>
      </c>
      <c r="F3024" s="22" t="e">
        <f>VLOOKUP($A3024,TAB_AMORTIZACAO_U[[Q_DIAS_U_PARC_TIR]:[V_FUT_U_PCPL-02]], F$5, FALSE)</f>
        <v>#N/A</v>
      </c>
      <c r="H3024" s="20">
        <f t="shared" si="242"/>
        <v>0</v>
      </c>
      <c r="I3024" s="21">
        <f t="shared" si="243"/>
        <v>0</v>
      </c>
      <c r="J3024" s="22" t="e">
        <f>VLOOKUP($A3024, TAB_JUROS_C[[DIAS_CORRIDOS]:[V_FUT_UTEIS]], J$5, FALSE)</f>
        <v>#N/A</v>
      </c>
      <c r="K3024" s="22" t="e">
        <f>VLOOKUP($A3024, TAB_CORRECAO_C[[DIAS_CORRIDOS]:[V_FUT_UTEIS]],K$5, FALSE)</f>
        <v>#N/A</v>
      </c>
      <c r="L3024" s="22" t="e">
        <f>VLOOKUP($A3024, TAB_AMORTIZACAO_C[[DIAS_CORRIDOS]:[V_FUT_UTEIS]], L$5, FALSE)</f>
        <v>#N/A</v>
      </c>
    </row>
    <row r="3025" spans="1:12" hidden="1">
      <c r="A3025" s="19">
        <f t="shared" si="244"/>
        <v>3019</v>
      </c>
      <c r="B3025" s="20">
        <f t="shared" si="240"/>
        <v>0</v>
      </c>
      <c r="C3025" s="21">
        <f t="shared" si="241"/>
        <v>0</v>
      </c>
      <c r="D3025" s="22" t="e">
        <f>VLOOKUP($A3025, TAB_JUROS_U[[Q_DIAS_U_PARC_TIR]:[V_FUT_U_JURS CENARIO]], D$5, FALSE)</f>
        <v>#N/A</v>
      </c>
      <c r="E3025" s="22" t="e">
        <f>VLOOKUP($A3025,TAB_CORRECAO_U[[Q_DIAS_U_PARC_TIR]:[V_FUT_U_CORC-02]],E$5, FALSE)</f>
        <v>#N/A</v>
      </c>
      <c r="F3025" s="22" t="e">
        <f>VLOOKUP($A3025,TAB_AMORTIZACAO_U[[Q_DIAS_U_PARC_TIR]:[V_FUT_U_PCPL-02]], F$5, FALSE)</f>
        <v>#N/A</v>
      </c>
      <c r="H3025" s="20">
        <f t="shared" si="242"/>
        <v>0</v>
      </c>
      <c r="I3025" s="21">
        <f t="shared" si="243"/>
        <v>0</v>
      </c>
      <c r="J3025" s="22" t="e">
        <f>VLOOKUP($A3025, TAB_JUROS_C[[DIAS_CORRIDOS]:[V_FUT_UTEIS]], J$5, FALSE)</f>
        <v>#N/A</v>
      </c>
      <c r="K3025" s="22" t="e">
        <f>VLOOKUP($A3025, TAB_CORRECAO_C[[DIAS_CORRIDOS]:[V_FUT_UTEIS]],K$5, FALSE)</f>
        <v>#N/A</v>
      </c>
      <c r="L3025" s="22" t="e">
        <f>VLOOKUP($A3025, TAB_AMORTIZACAO_C[[DIAS_CORRIDOS]:[V_FUT_UTEIS]], L$5, FALSE)</f>
        <v>#N/A</v>
      </c>
    </row>
    <row r="3026" spans="1:12" hidden="1">
      <c r="A3026" s="19">
        <f t="shared" si="244"/>
        <v>3020</v>
      </c>
      <c r="B3026" s="20">
        <f t="shared" si="240"/>
        <v>0</v>
      </c>
      <c r="C3026" s="21">
        <f t="shared" si="241"/>
        <v>0</v>
      </c>
      <c r="D3026" s="22" t="e">
        <f>VLOOKUP($A3026, TAB_JUROS_U[[Q_DIAS_U_PARC_TIR]:[V_FUT_U_JURS CENARIO]], D$5, FALSE)</f>
        <v>#N/A</v>
      </c>
      <c r="E3026" s="22" t="e">
        <f>VLOOKUP($A3026,TAB_CORRECAO_U[[Q_DIAS_U_PARC_TIR]:[V_FUT_U_CORC-02]],E$5, FALSE)</f>
        <v>#N/A</v>
      </c>
      <c r="F3026" s="22" t="e">
        <f>VLOOKUP($A3026,TAB_AMORTIZACAO_U[[Q_DIAS_U_PARC_TIR]:[V_FUT_U_PCPL-02]], F$5, FALSE)</f>
        <v>#N/A</v>
      </c>
      <c r="H3026" s="20">
        <f t="shared" si="242"/>
        <v>0</v>
      </c>
      <c r="I3026" s="21">
        <f t="shared" si="243"/>
        <v>0</v>
      </c>
      <c r="J3026" s="22" t="e">
        <f>VLOOKUP($A3026, TAB_JUROS_C[[DIAS_CORRIDOS]:[V_FUT_UTEIS]], J$5, FALSE)</f>
        <v>#N/A</v>
      </c>
      <c r="K3026" s="22" t="e">
        <f>VLOOKUP($A3026, TAB_CORRECAO_C[[DIAS_CORRIDOS]:[V_FUT_UTEIS]],K$5, FALSE)</f>
        <v>#N/A</v>
      </c>
      <c r="L3026" s="22" t="e">
        <f>VLOOKUP($A3026, TAB_AMORTIZACAO_C[[DIAS_CORRIDOS]:[V_FUT_UTEIS]], L$5, FALSE)</f>
        <v>#N/A</v>
      </c>
    </row>
    <row r="3027" spans="1:12" hidden="1">
      <c r="A3027" s="19">
        <f t="shared" si="244"/>
        <v>3021</v>
      </c>
      <c r="B3027" s="20">
        <f t="shared" si="240"/>
        <v>0</v>
      </c>
      <c r="C3027" s="21">
        <f t="shared" si="241"/>
        <v>0</v>
      </c>
      <c r="D3027" s="22" t="e">
        <f>VLOOKUP($A3027, TAB_JUROS_U[[Q_DIAS_U_PARC_TIR]:[V_FUT_U_JURS CENARIO]], D$5, FALSE)</f>
        <v>#N/A</v>
      </c>
      <c r="E3027" s="22" t="e">
        <f>VLOOKUP($A3027,TAB_CORRECAO_U[[Q_DIAS_U_PARC_TIR]:[V_FUT_U_CORC-02]],E$5, FALSE)</f>
        <v>#N/A</v>
      </c>
      <c r="F3027" s="22" t="e">
        <f>VLOOKUP($A3027,TAB_AMORTIZACAO_U[[Q_DIAS_U_PARC_TIR]:[V_FUT_U_PCPL-02]], F$5, FALSE)</f>
        <v>#N/A</v>
      </c>
      <c r="H3027" s="20">
        <f t="shared" si="242"/>
        <v>0</v>
      </c>
      <c r="I3027" s="21">
        <f t="shared" si="243"/>
        <v>0</v>
      </c>
      <c r="J3027" s="22" t="e">
        <f>VLOOKUP($A3027, TAB_JUROS_C[[DIAS_CORRIDOS]:[V_FUT_UTEIS]], J$5, FALSE)</f>
        <v>#N/A</v>
      </c>
      <c r="K3027" s="22" t="e">
        <f>VLOOKUP($A3027, TAB_CORRECAO_C[[DIAS_CORRIDOS]:[V_FUT_UTEIS]],K$5, FALSE)</f>
        <v>#N/A</v>
      </c>
      <c r="L3027" s="22" t="e">
        <f>VLOOKUP($A3027, TAB_AMORTIZACAO_C[[DIAS_CORRIDOS]:[V_FUT_UTEIS]], L$5, FALSE)</f>
        <v>#N/A</v>
      </c>
    </row>
    <row r="3028" spans="1:12" hidden="1">
      <c r="A3028" s="19">
        <f t="shared" si="244"/>
        <v>3022</v>
      </c>
      <c r="B3028" s="20">
        <f t="shared" si="240"/>
        <v>0</v>
      </c>
      <c r="C3028" s="21">
        <f t="shared" si="241"/>
        <v>0</v>
      </c>
      <c r="D3028" s="22" t="e">
        <f>VLOOKUP($A3028, TAB_JUROS_U[[Q_DIAS_U_PARC_TIR]:[V_FUT_U_JURS CENARIO]], D$5, FALSE)</f>
        <v>#N/A</v>
      </c>
      <c r="E3028" s="22" t="e">
        <f>VLOOKUP($A3028,TAB_CORRECAO_U[[Q_DIAS_U_PARC_TIR]:[V_FUT_U_CORC-02]],E$5, FALSE)</f>
        <v>#N/A</v>
      </c>
      <c r="F3028" s="22" t="e">
        <f>VLOOKUP($A3028,TAB_AMORTIZACAO_U[[Q_DIAS_U_PARC_TIR]:[V_FUT_U_PCPL-02]], F$5, FALSE)</f>
        <v>#N/A</v>
      </c>
      <c r="H3028" s="20">
        <f t="shared" si="242"/>
        <v>0</v>
      </c>
      <c r="I3028" s="21">
        <f t="shared" si="243"/>
        <v>0</v>
      </c>
      <c r="J3028" s="22" t="e">
        <f>VLOOKUP($A3028, TAB_JUROS_C[[DIAS_CORRIDOS]:[V_FUT_UTEIS]], J$5, FALSE)</f>
        <v>#N/A</v>
      </c>
      <c r="K3028" s="22" t="e">
        <f>VLOOKUP($A3028, TAB_CORRECAO_C[[DIAS_CORRIDOS]:[V_FUT_UTEIS]],K$5, FALSE)</f>
        <v>#N/A</v>
      </c>
      <c r="L3028" s="22" t="e">
        <f>VLOOKUP($A3028, TAB_AMORTIZACAO_C[[DIAS_CORRIDOS]:[V_FUT_UTEIS]], L$5, FALSE)</f>
        <v>#N/A</v>
      </c>
    </row>
    <row r="3029" spans="1:12" hidden="1">
      <c r="A3029" s="19">
        <f t="shared" si="244"/>
        <v>3023</v>
      </c>
      <c r="B3029" s="20">
        <f t="shared" si="240"/>
        <v>0</v>
      </c>
      <c r="C3029" s="21">
        <f t="shared" si="241"/>
        <v>0</v>
      </c>
      <c r="D3029" s="22" t="e">
        <f>VLOOKUP($A3029, TAB_JUROS_U[[Q_DIAS_U_PARC_TIR]:[V_FUT_U_JURS CENARIO]], D$5, FALSE)</f>
        <v>#N/A</v>
      </c>
      <c r="E3029" s="22" t="e">
        <f>VLOOKUP($A3029,TAB_CORRECAO_U[[Q_DIAS_U_PARC_TIR]:[V_FUT_U_CORC-02]],E$5, FALSE)</f>
        <v>#N/A</v>
      </c>
      <c r="F3029" s="22" t="e">
        <f>VLOOKUP($A3029,TAB_AMORTIZACAO_U[[Q_DIAS_U_PARC_TIR]:[V_FUT_U_PCPL-02]], F$5, FALSE)</f>
        <v>#N/A</v>
      </c>
      <c r="H3029" s="20">
        <f t="shared" si="242"/>
        <v>0</v>
      </c>
      <c r="I3029" s="21">
        <f t="shared" si="243"/>
        <v>0</v>
      </c>
      <c r="J3029" s="22" t="e">
        <f>VLOOKUP($A3029, TAB_JUROS_C[[DIAS_CORRIDOS]:[V_FUT_UTEIS]], J$5, FALSE)</f>
        <v>#N/A</v>
      </c>
      <c r="K3029" s="22" t="e">
        <f>VLOOKUP($A3029, TAB_CORRECAO_C[[DIAS_CORRIDOS]:[V_FUT_UTEIS]],K$5, FALSE)</f>
        <v>#N/A</v>
      </c>
      <c r="L3029" s="22" t="e">
        <f>VLOOKUP($A3029, TAB_AMORTIZACAO_C[[DIAS_CORRIDOS]:[V_FUT_UTEIS]], L$5, FALSE)</f>
        <v>#N/A</v>
      </c>
    </row>
    <row r="3030" spans="1:12" hidden="1">
      <c r="A3030" s="19">
        <f t="shared" si="244"/>
        <v>3024</v>
      </c>
      <c r="B3030" s="20">
        <f t="shared" si="240"/>
        <v>0</v>
      </c>
      <c r="C3030" s="21">
        <f t="shared" si="241"/>
        <v>0</v>
      </c>
      <c r="D3030" s="22" t="e">
        <f>VLOOKUP($A3030, TAB_JUROS_U[[Q_DIAS_U_PARC_TIR]:[V_FUT_U_JURS CENARIO]], D$5, FALSE)</f>
        <v>#N/A</v>
      </c>
      <c r="E3030" s="22" t="e">
        <f>VLOOKUP($A3030,TAB_CORRECAO_U[[Q_DIAS_U_PARC_TIR]:[V_FUT_U_CORC-02]],E$5, FALSE)</f>
        <v>#N/A</v>
      </c>
      <c r="F3030" s="22" t="e">
        <f>VLOOKUP($A3030,TAB_AMORTIZACAO_U[[Q_DIAS_U_PARC_TIR]:[V_FUT_U_PCPL-02]], F$5, FALSE)</f>
        <v>#N/A</v>
      </c>
      <c r="H3030" s="20">
        <f t="shared" si="242"/>
        <v>273.97417444107538</v>
      </c>
      <c r="I3030" s="21">
        <f t="shared" si="243"/>
        <v>273.97417444107538</v>
      </c>
      <c r="J3030" s="22">
        <f>VLOOKUP($A3030, TAB_JUROS_C[[DIAS_CORRIDOS]:[V_FUT_UTEIS]], J$5, FALSE)</f>
        <v>13.989069004014121</v>
      </c>
      <c r="K3030" s="22">
        <f>VLOOKUP($A3030, TAB_CORRECAO_C[[DIAS_CORRIDOS]:[V_FUT_UTEIS]],K$5, FALSE)</f>
        <v>86.190104412236067</v>
      </c>
      <c r="L3030" s="22">
        <f>VLOOKUP($A3030, TAB_AMORTIZACAO_C[[DIAS_CORRIDOS]:[V_FUT_UTEIS]], L$5, FALSE)</f>
        <v>173.79500102482518</v>
      </c>
    </row>
    <row r="3031" spans="1:12" hidden="1">
      <c r="A3031" s="19">
        <f t="shared" si="244"/>
        <v>3025</v>
      </c>
      <c r="B3031" s="20">
        <f t="shared" si="240"/>
        <v>0</v>
      </c>
      <c r="C3031" s="21">
        <f t="shared" si="241"/>
        <v>0</v>
      </c>
      <c r="D3031" s="22" t="e">
        <f>VLOOKUP($A3031, TAB_JUROS_U[[Q_DIAS_U_PARC_TIR]:[V_FUT_U_JURS CENARIO]], D$5, FALSE)</f>
        <v>#N/A</v>
      </c>
      <c r="E3031" s="22" t="e">
        <f>VLOOKUP($A3031,TAB_CORRECAO_U[[Q_DIAS_U_PARC_TIR]:[V_FUT_U_CORC-02]],E$5, FALSE)</f>
        <v>#N/A</v>
      </c>
      <c r="F3031" s="22" t="e">
        <f>VLOOKUP($A3031,TAB_AMORTIZACAO_U[[Q_DIAS_U_PARC_TIR]:[V_FUT_U_PCPL-02]], F$5, FALSE)</f>
        <v>#N/A</v>
      </c>
      <c r="H3031" s="20">
        <f t="shared" si="242"/>
        <v>0</v>
      </c>
      <c r="I3031" s="21">
        <f t="shared" si="243"/>
        <v>0</v>
      </c>
      <c r="J3031" s="22" t="e">
        <f>VLOOKUP($A3031, TAB_JUROS_C[[DIAS_CORRIDOS]:[V_FUT_UTEIS]], J$5, FALSE)</f>
        <v>#N/A</v>
      </c>
      <c r="K3031" s="22" t="e">
        <f>VLOOKUP($A3031, TAB_CORRECAO_C[[DIAS_CORRIDOS]:[V_FUT_UTEIS]],K$5, FALSE)</f>
        <v>#N/A</v>
      </c>
      <c r="L3031" s="22" t="e">
        <f>VLOOKUP($A3031, TAB_AMORTIZACAO_C[[DIAS_CORRIDOS]:[V_FUT_UTEIS]], L$5, FALSE)</f>
        <v>#N/A</v>
      </c>
    </row>
    <row r="3032" spans="1:12" hidden="1">
      <c r="A3032" s="19">
        <f t="shared" si="244"/>
        <v>3026</v>
      </c>
      <c r="B3032" s="20">
        <f t="shared" si="240"/>
        <v>0</v>
      </c>
      <c r="C3032" s="21">
        <f t="shared" si="241"/>
        <v>0</v>
      </c>
      <c r="D3032" s="22" t="e">
        <f>VLOOKUP($A3032, TAB_JUROS_U[[Q_DIAS_U_PARC_TIR]:[V_FUT_U_JURS CENARIO]], D$5, FALSE)</f>
        <v>#N/A</v>
      </c>
      <c r="E3032" s="22" t="e">
        <f>VLOOKUP($A3032,TAB_CORRECAO_U[[Q_DIAS_U_PARC_TIR]:[V_FUT_U_CORC-02]],E$5, FALSE)</f>
        <v>#N/A</v>
      </c>
      <c r="F3032" s="22" t="e">
        <f>VLOOKUP($A3032,TAB_AMORTIZACAO_U[[Q_DIAS_U_PARC_TIR]:[V_FUT_U_PCPL-02]], F$5, FALSE)</f>
        <v>#N/A</v>
      </c>
      <c r="H3032" s="20">
        <f t="shared" si="242"/>
        <v>0</v>
      </c>
      <c r="I3032" s="21">
        <f t="shared" si="243"/>
        <v>0</v>
      </c>
      <c r="J3032" s="22" t="e">
        <f>VLOOKUP($A3032, TAB_JUROS_C[[DIAS_CORRIDOS]:[V_FUT_UTEIS]], J$5, FALSE)</f>
        <v>#N/A</v>
      </c>
      <c r="K3032" s="22" t="e">
        <f>VLOOKUP($A3032, TAB_CORRECAO_C[[DIAS_CORRIDOS]:[V_FUT_UTEIS]],K$5, FALSE)</f>
        <v>#N/A</v>
      </c>
      <c r="L3032" s="22" t="e">
        <f>VLOOKUP($A3032, TAB_AMORTIZACAO_C[[DIAS_CORRIDOS]:[V_FUT_UTEIS]], L$5, FALSE)</f>
        <v>#N/A</v>
      </c>
    </row>
    <row r="3033" spans="1:12" hidden="1">
      <c r="A3033" s="19">
        <f t="shared" si="244"/>
        <v>3027</v>
      </c>
      <c r="B3033" s="20">
        <f t="shared" si="240"/>
        <v>0</v>
      </c>
      <c r="C3033" s="21">
        <f t="shared" si="241"/>
        <v>0</v>
      </c>
      <c r="D3033" s="22" t="e">
        <f>VLOOKUP($A3033, TAB_JUROS_U[[Q_DIAS_U_PARC_TIR]:[V_FUT_U_JURS CENARIO]], D$5, FALSE)</f>
        <v>#N/A</v>
      </c>
      <c r="E3033" s="22" t="e">
        <f>VLOOKUP($A3033,TAB_CORRECAO_U[[Q_DIAS_U_PARC_TIR]:[V_FUT_U_CORC-02]],E$5, FALSE)</f>
        <v>#N/A</v>
      </c>
      <c r="F3033" s="22" t="e">
        <f>VLOOKUP($A3033,TAB_AMORTIZACAO_U[[Q_DIAS_U_PARC_TIR]:[V_FUT_U_PCPL-02]], F$5, FALSE)</f>
        <v>#N/A</v>
      </c>
      <c r="H3033" s="20">
        <f t="shared" si="242"/>
        <v>0</v>
      </c>
      <c r="I3033" s="21">
        <f t="shared" si="243"/>
        <v>0</v>
      </c>
      <c r="J3033" s="22" t="e">
        <f>VLOOKUP($A3033, TAB_JUROS_C[[DIAS_CORRIDOS]:[V_FUT_UTEIS]], J$5, FALSE)</f>
        <v>#N/A</v>
      </c>
      <c r="K3033" s="22" t="e">
        <f>VLOOKUP($A3033, TAB_CORRECAO_C[[DIAS_CORRIDOS]:[V_FUT_UTEIS]],K$5, FALSE)</f>
        <v>#N/A</v>
      </c>
      <c r="L3033" s="22" t="e">
        <f>VLOOKUP($A3033, TAB_AMORTIZACAO_C[[DIAS_CORRIDOS]:[V_FUT_UTEIS]], L$5, FALSE)</f>
        <v>#N/A</v>
      </c>
    </row>
    <row r="3034" spans="1:12" hidden="1">
      <c r="A3034" s="19">
        <f t="shared" si="244"/>
        <v>3028</v>
      </c>
      <c r="B3034" s="20">
        <f t="shared" si="240"/>
        <v>0</v>
      </c>
      <c r="C3034" s="21">
        <f t="shared" si="241"/>
        <v>0</v>
      </c>
      <c r="D3034" s="22" t="e">
        <f>VLOOKUP($A3034, TAB_JUROS_U[[Q_DIAS_U_PARC_TIR]:[V_FUT_U_JURS CENARIO]], D$5, FALSE)</f>
        <v>#N/A</v>
      </c>
      <c r="E3034" s="22" t="e">
        <f>VLOOKUP($A3034,TAB_CORRECAO_U[[Q_DIAS_U_PARC_TIR]:[V_FUT_U_CORC-02]],E$5, FALSE)</f>
        <v>#N/A</v>
      </c>
      <c r="F3034" s="22" t="e">
        <f>VLOOKUP($A3034,TAB_AMORTIZACAO_U[[Q_DIAS_U_PARC_TIR]:[V_FUT_U_PCPL-02]], F$5, FALSE)</f>
        <v>#N/A</v>
      </c>
      <c r="H3034" s="20">
        <f t="shared" si="242"/>
        <v>0</v>
      </c>
      <c r="I3034" s="21">
        <f t="shared" si="243"/>
        <v>0</v>
      </c>
      <c r="J3034" s="22" t="e">
        <f>VLOOKUP($A3034, TAB_JUROS_C[[DIAS_CORRIDOS]:[V_FUT_UTEIS]], J$5, FALSE)</f>
        <v>#N/A</v>
      </c>
      <c r="K3034" s="22" t="e">
        <f>VLOOKUP($A3034, TAB_CORRECAO_C[[DIAS_CORRIDOS]:[V_FUT_UTEIS]],K$5, FALSE)</f>
        <v>#N/A</v>
      </c>
      <c r="L3034" s="22" t="e">
        <f>VLOOKUP($A3034, TAB_AMORTIZACAO_C[[DIAS_CORRIDOS]:[V_FUT_UTEIS]], L$5, FALSE)</f>
        <v>#N/A</v>
      </c>
    </row>
    <row r="3035" spans="1:12" hidden="1">
      <c r="A3035" s="19">
        <f t="shared" si="244"/>
        <v>3029</v>
      </c>
      <c r="B3035" s="20">
        <f t="shared" si="240"/>
        <v>0</v>
      </c>
      <c r="C3035" s="21">
        <f t="shared" si="241"/>
        <v>0</v>
      </c>
      <c r="D3035" s="22" t="e">
        <f>VLOOKUP($A3035, TAB_JUROS_U[[Q_DIAS_U_PARC_TIR]:[V_FUT_U_JURS CENARIO]], D$5, FALSE)</f>
        <v>#N/A</v>
      </c>
      <c r="E3035" s="22" t="e">
        <f>VLOOKUP($A3035,TAB_CORRECAO_U[[Q_DIAS_U_PARC_TIR]:[V_FUT_U_CORC-02]],E$5, FALSE)</f>
        <v>#N/A</v>
      </c>
      <c r="F3035" s="22" t="e">
        <f>VLOOKUP($A3035,TAB_AMORTIZACAO_U[[Q_DIAS_U_PARC_TIR]:[V_FUT_U_PCPL-02]], F$5, FALSE)</f>
        <v>#N/A</v>
      </c>
      <c r="H3035" s="20">
        <f t="shared" si="242"/>
        <v>0</v>
      </c>
      <c r="I3035" s="21">
        <f t="shared" si="243"/>
        <v>0</v>
      </c>
      <c r="J3035" s="22" t="e">
        <f>VLOOKUP($A3035, TAB_JUROS_C[[DIAS_CORRIDOS]:[V_FUT_UTEIS]], J$5, FALSE)</f>
        <v>#N/A</v>
      </c>
      <c r="K3035" s="22" t="e">
        <f>VLOOKUP($A3035, TAB_CORRECAO_C[[DIAS_CORRIDOS]:[V_FUT_UTEIS]],K$5, FALSE)</f>
        <v>#N/A</v>
      </c>
      <c r="L3035" s="22" t="e">
        <f>VLOOKUP($A3035, TAB_AMORTIZACAO_C[[DIAS_CORRIDOS]:[V_FUT_UTEIS]], L$5, FALSE)</f>
        <v>#N/A</v>
      </c>
    </row>
    <row r="3036" spans="1:12" hidden="1">
      <c r="A3036" s="19">
        <f t="shared" si="244"/>
        <v>3030</v>
      </c>
      <c r="B3036" s="20">
        <f t="shared" si="240"/>
        <v>0</v>
      </c>
      <c r="C3036" s="21">
        <f t="shared" si="241"/>
        <v>0</v>
      </c>
      <c r="D3036" s="22" t="e">
        <f>VLOOKUP($A3036, TAB_JUROS_U[[Q_DIAS_U_PARC_TIR]:[V_FUT_U_JURS CENARIO]], D$5, FALSE)</f>
        <v>#N/A</v>
      </c>
      <c r="E3036" s="22" t="e">
        <f>VLOOKUP($A3036,TAB_CORRECAO_U[[Q_DIAS_U_PARC_TIR]:[V_FUT_U_CORC-02]],E$5, FALSE)</f>
        <v>#N/A</v>
      </c>
      <c r="F3036" s="22" t="e">
        <f>VLOOKUP($A3036,TAB_AMORTIZACAO_U[[Q_DIAS_U_PARC_TIR]:[V_FUT_U_PCPL-02]], F$5, FALSE)</f>
        <v>#N/A</v>
      </c>
      <c r="H3036" s="20">
        <f t="shared" si="242"/>
        <v>0</v>
      </c>
      <c r="I3036" s="21">
        <f t="shared" si="243"/>
        <v>0</v>
      </c>
      <c r="J3036" s="22" t="e">
        <f>VLOOKUP($A3036, TAB_JUROS_C[[DIAS_CORRIDOS]:[V_FUT_UTEIS]], J$5, FALSE)</f>
        <v>#N/A</v>
      </c>
      <c r="K3036" s="22" t="e">
        <f>VLOOKUP($A3036, TAB_CORRECAO_C[[DIAS_CORRIDOS]:[V_FUT_UTEIS]],K$5, FALSE)</f>
        <v>#N/A</v>
      </c>
      <c r="L3036" s="22" t="e">
        <f>VLOOKUP($A3036, TAB_AMORTIZACAO_C[[DIAS_CORRIDOS]:[V_FUT_UTEIS]], L$5, FALSE)</f>
        <v>#N/A</v>
      </c>
    </row>
    <row r="3037" spans="1:12" hidden="1">
      <c r="A3037" s="19">
        <f t="shared" si="244"/>
        <v>3031</v>
      </c>
      <c r="B3037" s="20">
        <f t="shared" si="240"/>
        <v>0</v>
      </c>
      <c r="C3037" s="21">
        <f t="shared" si="241"/>
        <v>0</v>
      </c>
      <c r="D3037" s="22" t="e">
        <f>VLOOKUP($A3037, TAB_JUROS_U[[Q_DIAS_U_PARC_TIR]:[V_FUT_U_JURS CENARIO]], D$5, FALSE)</f>
        <v>#N/A</v>
      </c>
      <c r="E3037" s="22" t="e">
        <f>VLOOKUP($A3037,TAB_CORRECAO_U[[Q_DIAS_U_PARC_TIR]:[V_FUT_U_CORC-02]],E$5, FALSE)</f>
        <v>#N/A</v>
      </c>
      <c r="F3037" s="22" t="e">
        <f>VLOOKUP($A3037,TAB_AMORTIZACAO_U[[Q_DIAS_U_PARC_TIR]:[V_FUT_U_PCPL-02]], F$5, FALSE)</f>
        <v>#N/A</v>
      </c>
      <c r="H3037" s="20">
        <f t="shared" si="242"/>
        <v>0</v>
      </c>
      <c r="I3037" s="21">
        <f t="shared" si="243"/>
        <v>0</v>
      </c>
      <c r="J3037" s="22" t="e">
        <f>VLOOKUP($A3037, TAB_JUROS_C[[DIAS_CORRIDOS]:[V_FUT_UTEIS]], J$5, FALSE)</f>
        <v>#N/A</v>
      </c>
      <c r="K3037" s="22" t="e">
        <f>VLOOKUP($A3037, TAB_CORRECAO_C[[DIAS_CORRIDOS]:[V_FUT_UTEIS]],K$5, FALSE)</f>
        <v>#N/A</v>
      </c>
      <c r="L3037" s="22" t="e">
        <f>VLOOKUP($A3037, TAB_AMORTIZACAO_C[[DIAS_CORRIDOS]:[V_FUT_UTEIS]], L$5, FALSE)</f>
        <v>#N/A</v>
      </c>
    </row>
    <row r="3038" spans="1:12" hidden="1">
      <c r="A3038" s="19">
        <f t="shared" si="244"/>
        <v>3032</v>
      </c>
      <c r="B3038" s="20">
        <f t="shared" si="240"/>
        <v>0</v>
      </c>
      <c r="C3038" s="21">
        <f t="shared" si="241"/>
        <v>0</v>
      </c>
      <c r="D3038" s="22" t="e">
        <f>VLOOKUP($A3038, TAB_JUROS_U[[Q_DIAS_U_PARC_TIR]:[V_FUT_U_JURS CENARIO]], D$5, FALSE)</f>
        <v>#N/A</v>
      </c>
      <c r="E3038" s="22" t="e">
        <f>VLOOKUP($A3038,TAB_CORRECAO_U[[Q_DIAS_U_PARC_TIR]:[V_FUT_U_CORC-02]],E$5, FALSE)</f>
        <v>#N/A</v>
      </c>
      <c r="F3038" s="22" t="e">
        <f>VLOOKUP($A3038,TAB_AMORTIZACAO_U[[Q_DIAS_U_PARC_TIR]:[V_FUT_U_PCPL-02]], F$5, FALSE)</f>
        <v>#N/A</v>
      </c>
      <c r="H3038" s="20">
        <f t="shared" si="242"/>
        <v>0</v>
      </c>
      <c r="I3038" s="21">
        <f t="shared" si="243"/>
        <v>0</v>
      </c>
      <c r="J3038" s="22" t="e">
        <f>VLOOKUP($A3038, TAB_JUROS_C[[DIAS_CORRIDOS]:[V_FUT_UTEIS]], J$5, FALSE)</f>
        <v>#N/A</v>
      </c>
      <c r="K3038" s="22" t="e">
        <f>VLOOKUP($A3038, TAB_CORRECAO_C[[DIAS_CORRIDOS]:[V_FUT_UTEIS]],K$5, FALSE)</f>
        <v>#N/A</v>
      </c>
      <c r="L3038" s="22" t="e">
        <f>VLOOKUP($A3038, TAB_AMORTIZACAO_C[[DIAS_CORRIDOS]:[V_FUT_UTEIS]], L$5, FALSE)</f>
        <v>#N/A</v>
      </c>
    </row>
    <row r="3039" spans="1:12" hidden="1">
      <c r="A3039" s="19">
        <f t="shared" si="244"/>
        <v>3033</v>
      </c>
      <c r="B3039" s="20">
        <f t="shared" si="240"/>
        <v>0</v>
      </c>
      <c r="C3039" s="21">
        <f t="shared" si="241"/>
        <v>0</v>
      </c>
      <c r="D3039" s="22" t="e">
        <f>VLOOKUP($A3039, TAB_JUROS_U[[Q_DIAS_U_PARC_TIR]:[V_FUT_U_JURS CENARIO]], D$5, FALSE)</f>
        <v>#N/A</v>
      </c>
      <c r="E3039" s="22" t="e">
        <f>VLOOKUP($A3039,TAB_CORRECAO_U[[Q_DIAS_U_PARC_TIR]:[V_FUT_U_CORC-02]],E$5, FALSE)</f>
        <v>#N/A</v>
      </c>
      <c r="F3039" s="22" t="e">
        <f>VLOOKUP($A3039,TAB_AMORTIZACAO_U[[Q_DIAS_U_PARC_TIR]:[V_FUT_U_PCPL-02]], F$5, FALSE)</f>
        <v>#N/A</v>
      </c>
      <c r="H3039" s="20">
        <f t="shared" si="242"/>
        <v>0</v>
      </c>
      <c r="I3039" s="21">
        <f t="shared" si="243"/>
        <v>0</v>
      </c>
      <c r="J3039" s="22" t="e">
        <f>VLOOKUP($A3039, TAB_JUROS_C[[DIAS_CORRIDOS]:[V_FUT_UTEIS]], J$5, FALSE)</f>
        <v>#N/A</v>
      </c>
      <c r="K3039" s="22" t="e">
        <f>VLOOKUP($A3039, TAB_CORRECAO_C[[DIAS_CORRIDOS]:[V_FUT_UTEIS]],K$5, FALSE)</f>
        <v>#N/A</v>
      </c>
      <c r="L3039" s="22" t="e">
        <f>VLOOKUP($A3039, TAB_AMORTIZACAO_C[[DIAS_CORRIDOS]:[V_FUT_UTEIS]], L$5, FALSE)</f>
        <v>#N/A</v>
      </c>
    </row>
    <row r="3040" spans="1:12" hidden="1">
      <c r="A3040" s="19">
        <f t="shared" si="244"/>
        <v>3034</v>
      </c>
      <c r="B3040" s="20">
        <f t="shared" si="240"/>
        <v>0</v>
      </c>
      <c r="C3040" s="21">
        <f t="shared" si="241"/>
        <v>0</v>
      </c>
      <c r="D3040" s="22" t="e">
        <f>VLOOKUP($A3040, TAB_JUROS_U[[Q_DIAS_U_PARC_TIR]:[V_FUT_U_JURS CENARIO]], D$5, FALSE)</f>
        <v>#N/A</v>
      </c>
      <c r="E3040" s="22" t="e">
        <f>VLOOKUP($A3040,TAB_CORRECAO_U[[Q_DIAS_U_PARC_TIR]:[V_FUT_U_CORC-02]],E$5, FALSE)</f>
        <v>#N/A</v>
      </c>
      <c r="F3040" s="22" t="e">
        <f>VLOOKUP($A3040,TAB_AMORTIZACAO_U[[Q_DIAS_U_PARC_TIR]:[V_FUT_U_PCPL-02]], F$5, FALSE)</f>
        <v>#N/A</v>
      </c>
      <c r="H3040" s="20">
        <f t="shared" si="242"/>
        <v>0</v>
      </c>
      <c r="I3040" s="21">
        <f t="shared" si="243"/>
        <v>0</v>
      </c>
      <c r="J3040" s="22" t="e">
        <f>VLOOKUP($A3040, TAB_JUROS_C[[DIAS_CORRIDOS]:[V_FUT_UTEIS]], J$5, FALSE)</f>
        <v>#N/A</v>
      </c>
      <c r="K3040" s="22" t="e">
        <f>VLOOKUP($A3040, TAB_CORRECAO_C[[DIAS_CORRIDOS]:[V_FUT_UTEIS]],K$5, FALSE)</f>
        <v>#N/A</v>
      </c>
      <c r="L3040" s="22" t="e">
        <f>VLOOKUP($A3040, TAB_AMORTIZACAO_C[[DIAS_CORRIDOS]:[V_FUT_UTEIS]], L$5, FALSE)</f>
        <v>#N/A</v>
      </c>
    </row>
    <row r="3041" spans="1:12" hidden="1">
      <c r="A3041" s="19">
        <f t="shared" si="244"/>
        <v>3035</v>
      </c>
      <c r="B3041" s="20">
        <f t="shared" si="240"/>
        <v>0</v>
      </c>
      <c r="C3041" s="21">
        <f t="shared" si="241"/>
        <v>0</v>
      </c>
      <c r="D3041" s="22" t="e">
        <f>VLOOKUP($A3041, TAB_JUROS_U[[Q_DIAS_U_PARC_TIR]:[V_FUT_U_JURS CENARIO]], D$5, FALSE)</f>
        <v>#N/A</v>
      </c>
      <c r="E3041" s="22" t="e">
        <f>VLOOKUP($A3041,TAB_CORRECAO_U[[Q_DIAS_U_PARC_TIR]:[V_FUT_U_CORC-02]],E$5, FALSE)</f>
        <v>#N/A</v>
      </c>
      <c r="F3041" s="22" t="e">
        <f>VLOOKUP($A3041,TAB_AMORTIZACAO_U[[Q_DIAS_U_PARC_TIR]:[V_FUT_U_PCPL-02]], F$5, FALSE)</f>
        <v>#N/A</v>
      </c>
      <c r="H3041" s="20">
        <f t="shared" si="242"/>
        <v>0</v>
      </c>
      <c r="I3041" s="21">
        <f t="shared" si="243"/>
        <v>0</v>
      </c>
      <c r="J3041" s="22" t="e">
        <f>VLOOKUP($A3041, TAB_JUROS_C[[DIAS_CORRIDOS]:[V_FUT_UTEIS]], J$5, FALSE)</f>
        <v>#N/A</v>
      </c>
      <c r="K3041" s="22" t="e">
        <f>VLOOKUP($A3041, TAB_CORRECAO_C[[DIAS_CORRIDOS]:[V_FUT_UTEIS]],K$5, FALSE)</f>
        <v>#N/A</v>
      </c>
      <c r="L3041" s="22" t="e">
        <f>VLOOKUP($A3041, TAB_AMORTIZACAO_C[[DIAS_CORRIDOS]:[V_FUT_UTEIS]], L$5, FALSE)</f>
        <v>#N/A</v>
      </c>
    </row>
    <row r="3042" spans="1:12" hidden="1">
      <c r="A3042" s="19">
        <f t="shared" si="244"/>
        <v>3036</v>
      </c>
      <c r="B3042" s="20">
        <f t="shared" si="240"/>
        <v>0</v>
      </c>
      <c r="C3042" s="21">
        <f t="shared" si="241"/>
        <v>0</v>
      </c>
      <c r="D3042" s="22" t="e">
        <f>VLOOKUP($A3042, TAB_JUROS_U[[Q_DIAS_U_PARC_TIR]:[V_FUT_U_JURS CENARIO]], D$5, FALSE)</f>
        <v>#N/A</v>
      </c>
      <c r="E3042" s="22" t="e">
        <f>VLOOKUP($A3042,TAB_CORRECAO_U[[Q_DIAS_U_PARC_TIR]:[V_FUT_U_CORC-02]],E$5, FALSE)</f>
        <v>#N/A</v>
      </c>
      <c r="F3042" s="22" t="e">
        <f>VLOOKUP($A3042,TAB_AMORTIZACAO_U[[Q_DIAS_U_PARC_TIR]:[V_FUT_U_PCPL-02]], F$5, FALSE)</f>
        <v>#N/A</v>
      </c>
      <c r="H3042" s="20">
        <f t="shared" si="242"/>
        <v>0</v>
      </c>
      <c r="I3042" s="21">
        <f t="shared" si="243"/>
        <v>0</v>
      </c>
      <c r="J3042" s="22" t="e">
        <f>VLOOKUP($A3042, TAB_JUROS_C[[DIAS_CORRIDOS]:[V_FUT_UTEIS]], J$5, FALSE)</f>
        <v>#N/A</v>
      </c>
      <c r="K3042" s="22" t="e">
        <f>VLOOKUP($A3042, TAB_CORRECAO_C[[DIAS_CORRIDOS]:[V_FUT_UTEIS]],K$5, FALSE)</f>
        <v>#N/A</v>
      </c>
      <c r="L3042" s="22" t="e">
        <f>VLOOKUP($A3042, TAB_AMORTIZACAO_C[[DIAS_CORRIDOS]:[V_FUT_UTEIS]], L$5, FALSE)</f>
        <v>#N/A</v>
      </c>
    </row>
    <row r="3043" spans="1:12" hidden="1">
      <c r="A3043" s="19">
        <f t="shared" si="244"/>
        <v>3037</v>
      </c>
      <c r="B3043" s="20">
        <f t="shared" si="240"/>
        <v>0</v>
      </c>
      <c r="C3043" s="21">
        <f t="shared" si="241"/>
        <v>0</v>
      </c>
      <c r="D3043" s="22" t="e">
        <f>VLOOKUP($A3043, TAB_JUROS_U[[Q_DIAS_U_PARC_TIR]:[V_FUT_U_JURS CENARIO]], D$5, FALSE)</f>
        <v>#N/A</v>
      </c>
      <c r="E3043" s="22" t="e">
        <f>VLOOKUP($A3043,TAB_CORRECAO_U[[Q_DIAS_U_PARC_TIR]:[V_FUT_U_CORC-02]],E$5, FALSE)</f>
        <v>#N/A</v>
      </c>
      <c r="F3043" s="22" t="e">
        <f>VLOOKUP($A3043,TAB_AMORTIZACAO_U[[Q_DIAS_U_PARC_TIR]:[V_FUT_U_PCPL-02]], F$5, FALSE)</f>
        <v>#N/A</v>
      </c>
      <c r="H3043" s="20">
        <f t="shared" si="242"/>
        <v>0</v>
      </c>
      <c r="I3043" s="21">
        <f t="shared" si="243"/>
        <v>0</v>
      </c>
      <c r="J3043" s="22" t="e">
        <f>VLOOKUP($A3043, TAB_JUROS_C[[DIAS_CORRIDOS]:[V_FUT_UTEIS]], J$5, FALSE)</f>
        <v>#N/A</v>
      </c>
      <c r="K3043" s="22" t="e">
        <f>VLOOKUP($A3043, TAB_CORRECAO_C[[DIAS_CORRIDOS]:[V_FUT_UTEIS]],K$5, FALSE)</f>
        <v>#N/A</v>
      </c>
      <c r="L3043" s="22" t="e">
        <f>VLOOKUP($A3043, TAB_AMORTIZACAO_C[[DIAS_CORRIDOS]:[V_FUT_UTEIS]], L$5, FALSE)</f>
        <v>#N/A</v>
      </c>
    </row>
    <row r="3044" spans="1:12" hidden="1">
      <c r="A3044" s="19">
        <f t="shared" si="244"/>
        <v>3038</v>
      </c>
      <c r="B3044" s="20">
        <f t="shared" si="240"/>
        <v>0</v>
      </c>
      <c r="C3044" s="21">
        <f t="shared" si="241"/>
        <v>0</v>
      </c>
      <c r="D3044" s="22" t="e">
        <f>VLOOKUP($A3044, TAB_JUROS_U[[Q_DIAS_U_PARC_TIR]:[V_FUT_U_JURS CENARIO]], D$5, FALSE)</f>
        <v>#N/A</v>
      </c>
      <c r="E3044" s="22" t="e">
        <f>VLOOKUP($A3044,TAB_CORRECAO_U[[Q_DIAS_U_PARC_TIR]:[V_FUT_U_CORC-02]],E$5, FALSE)</f>
        <v>#N/A</v>
      </c>
      <c r="F3044" s="22" t="e">
        <f>VLOOKUP($A3044,TAB_AMORTIZACAO_U[[Q_DIAS_U_PARC_TIR]:[V_FUT_U_PCPL-02]], F$5, FALSE)</f>
        <v>#N/A</v>
      </c>
      <c r="H3044" s="20">
        <f t="shared" si="242"/>
        <v>0</v>
      </c>
      <c r="I3044" s="21">
        <f t="shared" si="243"/>
        <v>0</v>
      </c>
      <c r="J3044" s="22" t="e">
        <f>VLOOKUP($A3044, TAB_JUROS_C[[DIAS_CORRIDOS]:[V_FUT_UTEIS]], J$5, FALSE)</f>
        <v>#N/A</v>
      </c>
      <c r="K3044" s="22" t="e">
        <f>VLOOKUP($A3044, TAB_CORRECAO_C[[DIAS_CORRIDOS]:[V_FUT_UTEIS]],K$5, FALSE)</f>
        <v>#N/A</v>
      </c>
      <c r="L3044" s="22" t="e">
        <f>VLOOKUP($A3044, TAB_AMORTIZACAO_C[[DIAS_CORRIDOS]:[V_FUT_UTEIS]], L$5, FALSE)</f>
        <v>#N/A</v>
      </c>
    </row>
    <row r="3045" spans="1:12" hidden="1">
      <c r="A3045" s="19">
        <f t="shared" si="244"/>
        <v>3039</v>
      </c>
      <c r="B3045" s="20">
        <f t="shared" si="240"/>
        <v>0</v>
      </c>
      <c r="C3045" s="21">
        <f t="shared" si="241"/>
        <v>0</v>
      </c>
      <c r="D3045" s="22" t="e">
        <f>VLOOKUP($A3045, TAB_JUROS_U[[Q_DIAS_U_PARC_TIR]:[V_FUT_U_JURS CENARIO]], D$5, FALSE)</f>
        <v>#N/A</v>
      </c>
      <c r="E3045" s="22" t="e">
        <f>VLOOKUP($A3045,TAB_CORRECAO_U[[Q_DIAS_U_PARC_TIR]:[V_FUT_U_CORC-02]],E$5, FALSE)</f>
        <v>#N/A</v>
      </c>
      <c r="F3045" s="22" t="e">
        <f>VLOOKUP($A3045,TAB_AMORTIZACAO_U[[Q_DIAS_U_PARC_TIR]:[V_FUT_U_PCPL-02]], F$5, FALSE)</f>
        <v>#N/A</v>
      </c>
      <c r="H3045" s="20">
        <f t="shared" si="242"/>
        <v>0</v>
      </c>
      <c r="I3045" s="21">
        <f t="shared" si="243"/>
        <v>0</v>
      </c>
      <c r="J3045" s="22" t="e">
        <f>VLOOKUP($A3045, TAB_JUROS_C[[DIAS_CORRIDOS]:[V_FUT_UTEIS]], J$5, FALSE)</f>
        <v>#N/A</v>
      </c>
      <c r="K3045" s="22" t="e">
        <f>VLOOKUP($A3045, TAB_CORRECAO_C[[DIAS_CORRIDOS]:[V_FUT_UTEIS]],K$5, FALSE)</f>
        <v>#N/A</v>
      </c>
      <c r="L3045" s="22" t="e">
        <f>VLOOKUP($A3045, TAB_AMORTIZACAO_C[[DIAS_CORRIDOS]:[V_FUT_UTEIS]], L$5, FALSE)</f>
        <v>#N/A</v>
      </c>
    </row>
    <row r="3046" spans="1:12" hidden="1">
      <c r="A3046" s="19">
        <f t="shared" si="244"/>
        <v>3040</v>
      </c>
      <c r="B3046" s="20">
        <f t="shared" si="240"/>
        <v>0</v>
      </c>
      <c r="C3046" s="21">
        <f t="shared" si="241"/>
        <v>0</v>
      </c>
      <c r="D3046" s="22" t="e">
        <f>VLOOKUP($A3046, TAB_JUROS_U[[Q_DIAS_U_PARC_TIR]:[V_FUT_U_JURS CENARIO]], D$5, FALSE)</f>
        <v>#N/A</v>
      </c>
      <c r="E3046" s="22" t="e">
        <f>VLOOKUP($A3046,TAB_CORRECAO_U[[Q_DIAS_U_PARC_TIR]:[V_FUT_U_CORC-02]],E$5, FALSE)</f>
        <v>#N/A</v>
      </c>
      <c r="F3046" s="22" t="e">
        <f>VLOOKUP($A3046,TAB_AMORTIZACAO_U[[Q_DIAS_U_PARC_TIR]:[V_FUT_U_PCPL-02]], F$5, FALSE)</f>
        <v>#N/A</v>
      </c>
      <c r="H3046" s="20">
        <f t="shared" si="242"/>
        <v>0</v>
      </c>
      <c r="I3046" s="21">
        <f t="shared" si="243"/>
        <v>0</v>
      </c>
      <c r="J3046" s="22" t="e">
        <f>VLOOKUP($A3046, TAB_JUROS_C[[DIAS_CORRIDOS]:[V_FUT_UTEIS]], J$5, FALSE)</f>
        <v>#N/A</v>
      </c>
      <c r="K3046" s="22" t="e">
        <f>VLOOKUP($A3046, TAB_CORRECAO_C[[DIAS_CORRIDOS]:[V_FUT_UTEIS]],K$5, FALSE)</f>
        <v>#N/A</v>
      </c>
      <c r="L3046" s="22" t="e">
        <f>VLOOKUP($A3046, TAB_AMORTIZACAO_C[[DIAS_CORRIDOS]:[V_FUT_UTEIS]], L$5, FALSE)</f>
        <v>#N/A</v>
      </c>
    </row>
    <row r="3047" spans="1:12" hidden="1">
      <c r="A3047" s="19">
        <f t="shared" si="244"/>
        <v>3041</v>
      </c>
      <c r="B3047" s="20">
        <f t="shared" si="240"/>
        <v>0</v>
      </c>
      <c r="C3047" s="21">
        <f t="shared" si="241"/>
        <v>0</v>
      </c>
      <c r="D3047" s="22" t="e">
        <f>VLOOKUP($A3047, TAB_JUROS_U[[Q_DIAS_U_PARC_TIR]:[V_FUT_U_JURS CENARIO]], D$5, FALSE)</f>
        <v>#N/A</v>
      </c>
      <c r="E3047" s="22" t="e">
        <f>VLOOKUP($A3047,TAB_CORRECAO_U[[Q_DIAS_U_PARC_TIR]:[V_FUT_U_CORC-02]],E$5, FALSE)</f>
        <v>#N/A</v>
      </c>
      <c r="F3047" s="22" t="e">
        <f>VLOOKUP($A3047,TAB_AMORTIZACAO_U[[Q_DIAS_U_PARC_TIR]:[V_FUT_U_PCPL-02]], F$5, FALSE)</f>
        <v>#N/A</v>
      </c>
      <c r="H3047" s="20">
        <f t="shared" si="242"/>
        <v>0</v>
      </c>
      <c r="I3047" s="21">
        <f t="shared" si="243"/>
        <v>0</v>
      </c>
      <c r="J3047" s="22" t="e">
        <f>VLOOKUP($A3047, TAB_JUROS_C[[DIAS_CORRIDOS]:[V_FUT_UTEIS]], J$5, FALSE)</f>
        <v>#N/A</v>
      </c>
      <c r="K3047" s="22" t="e">
        <f>VLOOKUP($A3047, TAB_CORRECAO_C[[DIAS_CORRIDOS]:[V_FUT_UTEIS]],K$5, FALSE)</f>
        <v>#N/A</v>
      </c>
      <c r="L3047" s="22" t="e">
        <f>VLOOKUP($A3047, TAB_AMORTIZACAO_C[[DIAS_CORRIDOS]:[V_FUT_UTEIS]], L$5, FALSE)</f>
        <v>#N/A</v>
      </c>
    </row>
    <row r="3048" spans="1:12" hidden="1">
      <c r="A3048" s="19">
        <f t="shared" si="244"/>
        <v>3042</v>
      </c>
      <c r="B3048" s="20">
        <f t="shared" si="240"/>
        <v>0</v>
      </c>
      <c r="C3048" s="21">
        <f t="shared" si="241"/>
        <v>0</v>
      </c>
      <c r="D3048" s="22" t="e">
        <f>VLOOKUP($A3048, TAB_JUROS_U[[Q_DIAS_U_PARC_TIR]:[V_FUT_U_JURS CENARIO]], D$5, FALSE)</f>
        <v>#N/A</v>
      </c>
      <c r="E3048" s="22" t="e">
        <f>VLOOKUP($A3048,TAB_CORRECAO_U[[Q_DIAS_U_PARC_TIR]:[V_FUT_U_CORC-02]],E$5, FALSE)</f>
        <v>#N/A</v>
      </c>
      <c r="F3048" s="22" t="e">
        <f>VLOOKUP($A3048,TAB_AMORTIZACAO_U[[Q_DIAS_U_PARC_TIR]:[V_FUT_U_PCPL-02]], F$5, FALSE)</f>
        <v>#N/A</v>
      </c>
      <c r="H3048" s="20">
        <f t="shared" si="242"/>
        <v>0</v>
      </c>
      <c r="I3048" s="21">
        <f t="shared" si="243"/>
        <v>0</v>
      </c>
      <c r="J3048" s="22" t="e">
        <f>VLOOKUP($A3048, TAB_JUROS_C[[DIAS_CORRIDOS]:[V_FUT_UTEIS]], J$5, FALSE)</f>
        <v>#N/A</v>
      </c>
      <c r="K3048" s="22" t="e">
        <f>VLOOKUP($A3048, TAB_CORRECAO_C[[DIAS_CORRIDOS]:[V_FUT_UTEIS]],K$5, FALSE)</f>
        <v>#N/A</v>
      </c>
      <c r="L3048" s="22" t="e">
        <f>VLOOKUP($A3048, TAB_AMORTIZACAO_C[[DIAS_CORRIDOS]:[V_FUT_UTEIS]], L$5, FALSE)</f>
        <v>#N/A</v>
      </c>
    </row>
    <row r="3049" spans="1:12" hidden="1">
      <c r="A3049" s="19">
        <f t="shared" si="244"/>
        <v>3043</v>
      </c>
      <c r="B3049" s="20">
        <f t="shared" si="240"/>
        <v>0</v>
      </c>
      <c r="C3049" s="21">
        <f t="shared" si="241"/>
        <v>0</v>
      </c>
      <c r="D3049" s="22" t="e">
        <f>VLOOKUP($A3049, TAB_JUROS_U[[Q_DIAS_U_PARC_TIR]:[V_FUT_U_JURS CENARIO]], D$5, FALSE)</f>
        <v>#N/A</v>
      </c>
      <c r="E3049" s="22" t="e">
        <f>VLOOKUP($A3049,TAB_CORRECAO_U[[Q_DIAS_U_PARC_TIR]:[V_FUT_U_CORC-02]],E$5, FALSE)</f>
        <v>#N/A</v>
      </c>
      <c r="F3049" s="22" t="e">
        <f>VLOOKUP($A3049,TAB_AMORTIZACAO_U[[Q_DIAS_U_PARC_TIR]:[V_FUT_U_PCPL-02]], F$5, FALSE)</f>
        <v>#N/A</v>
      </c>
      <c r="H3049" s="20">
        <f t="shared" si="242"/>
        <v>0</v>
      </c>
      <c r="I3049" s="21">
        <f t="shared" si="243"/>
        <v>0</v>
      </c>
      <c r="J3049" s="22" t="e">
        <f>VLOOKUP($A3049, TAB_JUROS_C[[DIAS_CORRIDOS]:[V_FUT_UTEIS]], J$5, FALSE)</f>
        <v>#N/A</v>
      </c>
      <c r="K3049" s="22" t="e">
        <f>VLOOKUP($A3049, TAB_CORRECAO_C[[DIAS_CORRIDOS]:[V_FUT_UTEIS]],K$5, FALSE)</f>
        <v>#N/A</v>
      </c>
      <c r="L3049" s="22" t="e">
        <f>VLOOKUP($A3049, TAB_AMORTIZACAO_C[[DIAS_CORRIDOS]:[V_FUT_UTEIS]], L$5, FALSE)</f>
        <v>#N/A</v>
      </c>
    </row>
    <row r="3050" spans="1:12" hidden="1">
      <c r="A3050" s="19">
        <f t="shared" si="244"/>
        <v>3044</v>
      </c>
      <c r="B3050" s="20">
        <f t="shared" si="240"/>
        <v>0</v>
      </c>
      <c r="C3050" s="21">
        <f t="shared" si="241"/>
        <v>0</v>
      </c>
      <c r="D3050" s="22" t="e">
        <f>VLOOKUP($A3050, TAB_JUROS_U[[Q_DIAS_U_PARC_TIR]:[V_FUT_U_JURS CENARIO]], D$5, FALSE)</f>
        <v>#N/A</v>
      </c>
      <c r="E3050" s="22" t="e">
        <f>VLOOKUP($A3050,TAB_CORRECAO_U[[Q_DIAS_U_PARC_TIR]:[V_FUT_U_CORC-02]],E$5, FALSE)</f>
        <v>#N/A</v>
      </c>
      <c r="F3050" s="22" t="e">
        <f>VLOOKUP($A3050,TAB_AMORTIZACAO_U[[Q_DIAS_U_PARC_TIR]:[V_FUT_U_PCPL-02]], F$5, FALSE)</f>
        <v>#N/A</v>
      </c>
      <c r="H3050" s="20">
        <f t="shared" si="242"/>
        <v>0</v>
      </c>
      <c r="I3050" s="21">
        <f t="shared" si="243"/>
        <v>0</v>
      </c>
      <c r="J3050" s="22" t="e">
        <f>VLOOKUP($A3050, TAB_JUROS_C[[DIAS_CORRIDOS]:[V_FUT_UTEIS]], J$5, FALSE)</f>
        <v>#N/A</v>
      </c>
      <c r="K3050" s="22" t="e">
        <f>VLOOKUP($A3050, TAB_CORRECAO_C[[DIAS_CORRIDOS]:[V_FUT_UTEIS]],K$5, FALSE)</f>
        <v>#N/A</v>
      </c>
      <c r="L3050" s="22" t="e">
        <f>VLOOKUP($A3050, TAB_AMORTIZACAO_C[[DIAS_CORRIDOS]:[V_FUT_UTEIS]], L$5, FALSE)</f>
        <v>#N/A</v>
      </c>
    </row>
    <row r="3051" spans="1:12" hidden="1">
      <c r="A3051" s="19">
        <f t="shared" si="244"/>
        <v>3045</v>
      </c>
      <c r="B3051" s="20">
        <f t="shared" si="240"/>
        <v>0</v>
      </c>
      <c r="C3051" s="21">
        <f t="shared" si="241"/>
        <v>0</v>
      </c>
      <c r="D3051" s="22" t="e">
        <f>VLOOKUP($A3051, TAB_JUROS_U[[Q_DIAS_U_PARC_TIR]:[V_FUT_U_JURS CENARIO]], D$5, FALSE)</f>
        <v>#N/A</v>
      </c>
      <c r="E3051" s="22" t="e">
        <f>VLOOKUP($A3051,TAB_CORRECAO_U[[Q_DIAS_U_PARC_TIR]:[V_FUT_U_CORC-02]],E$5, FALSE)</f>
        <v>#N/A</v>
      </c>
      <c r="F3051" s="22" t="e">
        <f>VLOOKUP($A3051,TAB_AMORTIZACAO_U[[Q_DIAS_U_PARC_TIR]:[V_FUT_U_PCPL-02]], F$5, FALSE)</f>
        <v>#N/A</v>
      </c>
      <c r="H3051" s="20">
        <f t="shared" si="242"/>
        <v>0</v>
      </c>
      <c r="I3051" s="21">
        <f t="shared" si="243"/>
        <v>0</v>
      </c>
      <c r="J3051" s="22" t="e">
        <f>VLOOKUP($A3051, TAB_JUROS_C[[DIAS_CORRIDOS]:[V_FUT_UTEIS]], J$5, FALSE)</f>
        <v>#N/A</v>
      </c>
      <c r="K3051" s="22" t="e">
        <f>VLOOKUP($A3051, TAB_CORRECAO_C[[DIAS_CORRIDOS]:[V_FUT_UTEIS]],K$5, FALSE)</f>
        <v>#N/A</v>
      </c>
      <c r="L3051" s="22" t="e">
        <f>VLOOKUP($A3051, TAB_AMORTIZACAO_C[[DIAS_CORRIDOS]:[V_FUT_UTEIS]], L$5, FALSE)</f>
        <v>#N/A</v>
      </c>
    </row>
    <row r="3052" spans="1:12" hidden="1">
      <c r="A3052" s="19">
        <f t="shared" si="244"/>
        <v>3046</v>
      </c>
      <c r="B3052" s="20">
        <f t="shared" si="240"/>
        <v>0</v>
      </c>
      <c r="C3052" s="21">
        <f t="shared" si="241"/>
        <v>0</v>
      </c>
      <c r="D3052" s="22" t="e">
        <f>VLOOKUP($A3052, TAB_JUROS_U[[Q_DIAS_U_PARC_TIR]:[V_FUT_U_JURS CENARIO]], D$5, FALSE)</f>
        <v>#N/A</v>
      </c>
      <c r="E3052" s="22" t="e">
        <f>VLOOKUP($A3052,TAB_CORRECAO_U[[Q_DIAS_U_PARC_TIR]:[V_FUT_U_CORC-02]],E$5, FALSE)</f>
        <v>#N/A</v>
      </c>
      <c r="F3052" s="22" t="e">
        <f>VLOOKUP($A3052,TAB_AMORTIZACAO_U[[Q_DIAS_U_PARC_TIR]:[V_FUT_U_PCPL-02]], F$5, FALSE)</f>
        <v>#N/A</v>
      </c>
      <c r="H3052" s="20">
        <f t="shared" si="242"/>
        <v>0</v>
      </c>
      <c r="I3052" s="21">
        <f t="shared" si="243"/>
        <v>0</v>
      </c>
      <c r="J3052" s="22" t="e">
        <f>VLOOKUP($A3052, TAB_JUROS_C[[DIAS_CORRIDOS]:[V_FUT_UTEIS]], J$5, FALSE)</f>
        <v>#N/A</v>
      </c>
      <c r="K3052" s="22" t="e">
        <f>VLOOKUP($A3052, TAB_CORRECAO_C[[DIAS_CORRIDOS]:[V_FUT_UTEIS]],K$5, FALSE)</f>
        <v>#N/A</v>
      </c>
      <c r="L3052" s="22" t="e">
        <f>VLOOKUP($A3052, TAB_AMORTIZACAO_C[[DIAS_CORRIDOS]:[V_FUT_UTEIS]], L$5, FALSE)</f>
        <v>#N/A</v>
      </c>
    </row>
    <row r="3053" spans="1:12" hidden="1">
      <c r="A3053" s="19">
        <f t="shared" si="244"/>
        <v>3047</v>
      </c>
      <c r="B3053" s="20">
        <f t="shared" si="240"/>
        <v>0</v>
      </c>
      <c r="C3053" s="21">
        <f t="shared" si="241"/>
        <v>0</v>
      </c>
      <c r="D3053" s="22" t="e">
        <f>VLOOKUP($A3053, TAB_JUROS_U[[Q_DIAS_U_PARC_TIR]:[V_FUT_U_JURS CENARIO]], D$5, FALSE)</f>
        <v>#N/A</v>
      </c>
      <c r="E3053" s="22" t="e">
        <f>VLOOKUP($A3053,TAB_CORRECAO_U[[Q_DIAS_U_PARC_TIR]:[V_FUT_U_CORC-02]],E$5, FALSE)</f>
        <v>#N/A</v>
      </c>
      <c r="F3053" s="22" t="e">
        <f>VLOOKUP($A3053,TAB_AMORTIZACAO_U[[Q_DIAS_U_PARC_TIR]:[V_FUT_U_PCPL-02]], F$5, FALSE)</f>
        <v>#N/A</v>
      </c>
      <c r="H3053" s="20">
        <f t="shared" si="242"/>
        <v>0</v>
      </c>
      <c r="I3053" s="21">
        <f t="shared" si="243"/>
        <v>0</v>
      </c>
      <c r="J3053" s="22" t="e">
        <f>VLOOKUP($A3053, TAB_JUROS_C[[DIAS_CORRIDOS]:[V_FUT_UTEIS]], J$5, FALSE)</f>
        <v>#N/A</v>
      </c>
      <c r="K3053" s="22" t="e">
        <f>VLOOKUP($A3053, TAB_CORRECAO_C[[DIAS_CORRIDOS]:[V_FUT_UTEIS]],K$5, FALSE)</f>
        <v>#N/A</v>
      </c>
      <c r="L3053" s="22" t="e">
        <f>VLOOKUP($A3053, TAB_AMORTIZACAO_C[[DIAS_CORRIDOS]:[V_FUT_UTEIS]], L$5, FALSE)</f>
        <v>#N/A</v>
      </c>
    </row>
    <row r="3054" spans="1:12" hidden="1">
      <c r="A3054" s="19">
        <f t="shared" si="244"/>
        <v>3048</v>
      </c>
      <c r="B3054" s="20">
        <f t="shared" si="240"/>
        <v>0</v>
      </c>
      <c r="C3054" s="21">
        <f t="shared" si="241"/>
        <v>0</v>
      </c>
      <c r="D3054" s="22" t="e">
        <f>VLOOKUP($A3054, TAB_JUROS_U[[Q_DIAS_U_PARC_TIR]:[V_FUT_U_JURS CENARIO]], D$5, FALSE)</f>
        <v>#N/A</v>
      </c>
      <c r="E3054" s="22" t="e">
        <f>VLOOKUP($A3054,TAB_CORRECAO_U[[Q_DIAS_U_PARC_TIR]:[V_FUT_U_CORC-02]],E$5, FALSE)</f>
        <v>#N/A</v>
      </c>
      <c r="F3054" s="22" t="e">
        <f>VLOOKUP($A3054,TAB_AMORTIZACAO_U[[Q_DIAS_U_PARC_TIR]:[V_FUT_U_PCPL-02]], F$5, FALSE)</f>
        <v>#N/A</v>
      </c>
      <c r="H3054" s="20">
        <f t="shared" si="242"/>
        <v>0</v>
      </c>
      <c r="I3054" s="21">
        <f t="shared" si="243"/>
        <v>0</v>
      </c>
      <c r="J3054" s="22" t="e">
        <f>VLOOKUP($A3054, TAB_JUROS_C[[DIAS_CORRIDOS]:[V_FUT_UTEIS]], J$5, FALSE)</f>
        <v>#N/A</v>
      </c>
      <c r="K3054" s="22" t="e">
        <f>VLOOKUP($A3054, TAB_CORRECAO_C[[DIAS_CORRIDOS]:[V_FUT_UTEIS]],K$5, FALSE)</f>
        <v>#N/A</v>
      </c>
      <c r="L3054" s="22" t="e">
        <f>VLOOKUP($A3054, TAB_AMORTIZACAO_C[[DIAS_CORRIDOS]:[V_FUT_UTEIS]], L$5, FALSE)</f>
        <v>#N/A</v>
      </c>
    </row>
    <row r="3055" spans="1:12" hidden="1">
      <c r="A3055" s="19">
        <f t="shared" si="244"/>
        <v>3049</v>
      </c>
      <c r="B3055" s="20">
        <f t="shared" si="240"/>
        <v>0</v>
      </c>
      <c r="C3055" s="21">
        <f t="shared" si="241"/>
        <v>0</v>
      </c>
      <c r="D3055" s="22" t="e">
        <f>VLOOKUP($A3055, TAB_JUROS_U[[Q_DIAS_U_PARC_TIR]:[V_FUT_U_JURS CENARIO]], D$5, FALSE)</f>
        <v>#N/A</v>
      </c>
      <c r="E3055" s="22" t="e">
        <f>VLOOKUP($A3055,TAB_CORRECAO_U[[Q_DIAS_U_PARC_TIR]:[V_FUT_U_CORC-02]],E$5, FALSE)</f>
        <v>#N/A</v>
      </c>
      <c r="F3055" s="22" t="e">
        <f>VLOOKUP($A3055,TAB_AMORTIZACAO_U[[Q_DIAS_U_PARC_TIR]:[V_FUT_U_PCPL-02]], F$5, FALSE)</f>
        <v>#N/A</v>
      </c>
      <c r="H3055" s="20">
        <f t="shared" si="242"/>
        <v>0</v>
      </c>
      <c r="I3055" s="21">
        <f t="shared" si="243"/>
        <v>0</v>
      </c>
      <c r="J3055" s="22" t="e">
        <f>VLOOKUP($A3055, TAB_JUROS_C[[DIAS_CORRIDOS]:[V_FUT_UTEIS]], J$5, FALSE)</f>
        <v>#N/A</v>
      </c>
      <c r="K3055" s="22" t="e">
        <f>VLOOKUP($A3055, TAB_CORRECAO_C[[DIAS_CORRIDOS]:[V_FUT_UTEIS]],K$5, FALSE)</f>
        <v>#N/A</v>
      </c>
      <c r="L3055" s="22" t="e">
        <f>VLOOKUP($A3055, TAB_AMORTIZACAO_C[[DIAS_CORRIDOS]:[V_FUT_UTEIS]], L$5, FALSE)</f>
        <v>#N/A</v>
      </c>
    </row>
    <row r="3056" spans="1:12" hidden="1">
      <c r="A3056" s="19">
        <f t="shared" si="244"/>
        <v>3050</v>
      </c>
      <c r="B3056" s="20">
        <f t="shared" si="240"/>
        <v>0</v>
      </c>
      <c r="C3056" s="21">
        <f t="shared" si="241"/>
        <v>0</v>
      </c>
      <c r="D3056" s="22" t="e">
        <f>VLOOKUP($A3056, TAB_JUROS_U[[Q_DIAS_U_PARC_TIR]:[V_FUT_U_JURS CENARIO]], D$5, FALSE)</f>
        <v>#N/A</v>
      </c>
      <c r="E3056" s="22" t="e">
        <f>VLOOKUP($A3056,TAB_CORRECAO_U[[Q_DIAS_U_PARC_TIR]:[V_FUT_U_CORC-02]],E$5, FALSE)</f>
        <v>#N/A</v>
      </c>
      <c r="F3056" s="22" t="e">
        <f>VLOOKUP($A3056,TAB_AMORTIZACAO_U[[Q_DIAS_U_PARC_TIR]:[V_FUT_U_PCPL-02]], F$5, FALSE)</f>
        <v>#N/A</v>
      </c>
      <c r="H3056" s="20">
        <f t="shared" si="242"/>
        <v>0</v>
      </c>
      <c r="I3056" s="21">
        <f t="shared" si="243"/>
        <v>0</v>
      </c>
      <c r="J3056" s="22" t="e">
        <f>VLOOKUP($A3056, TAB_JUROS_C[[DIAS_CORRIDOS]:[V_FUT_UTEIS]], J$5, FALSE)</f>
        <v>#N/A</v>
      </c>
      <c r="K3056" s="22" t="e">
        <f>VLOOKUP($A3056, TAB_CORRECAO_C[[DIAS_CORRIDOS]:[V_FUT_UTEIS]],K$5, FALSE)</f>
        <v>#N/A</v>
      </c>
      <c r="L3056" s="22" t="e">
        <f>VLOOKUP($A3056, TAB_AMORTIZACAO_C[[DIAS_CORRIDOS]:[V_FUT_UTEIS]], L$5, FALSE)</f>
        <v>#N/A</v>
      </c>
    </row>
    <row r="3057" spans="1:12" hidden="1">
      <c r="A3057" s="19">
        <f t="shared" si="244"/>
        <v>3051</v>
      </c>
      <c r="B3057" s="20">
        <f t="shared" si="240"/>
        <v>0</v>
      </c>
      <c r="C3057" s="21">
        <f t="shared" si="241"/>
        <v>0</v>
      </c>
      <c r="D3057" s="22" t="e">
        <f>VLOOKUP($A3057, TAB_JUROS_U[[Q_DIAS_U_PARC_TIR]:[V_FUT_U_JURS CENARIO]], D$5, FALSE)</f>
        <v>#N/A</v>
      </c>
      <c r="E3057" s="22" t="e">
        <f>VLOOKUP($A3057,TAB_CORRECAO_U[[Q_DIAS_U_PARC_TIR]:[V_FUT_U_CORC-02]],E$5, FALSE)</f>
        <v>#N/A</v>
      </c>
      <c r="F3057" s="22" t="e">
        <f>VLOOKUP($A3057,TAB_AMORTIZACAO_U[[Q_DIAS_U_PARC_TIR]:[V_FUT_U_PCPL-02]], F$5, FALSE)</f>
        <v>#N/A</v>
      </c>
      <c r="H3057" s="20">
        <f t="shared" si="242"/>
        <v>0</v>
      </c>
      <c r="I3057" s="21">
        <f t="shared" si="243"/>
        <v>0</v>
      </c>
      <c r="J3057" s="22" t="e">
        <f>VLOOKUP($A3057, TAB_JUROS_C[[DIAS_CORRIDOS]:[V_FUT_UTEIS]], J$5, FALSE)</f>
        <v>#N/A</v>
      </c>
      <c r="K3057" s="22" t="e">
        <f>VLOOKUP($A3057, TAB_CORRECAO_C[[DIAS_CORRIDOS]:[V_FUT_UTEIS]],K$5, FALSE)</f>
        <v>#N/A</v>
      </c>
      <c r="L3057" s="22" t="e">
        <f>VLOOKUP($A3057, TAB_AMORTIZACAO_C[[DIAS_CORRIDOS]:[V_FUT_UTEIS]], L$5, FALSE)</f>
        <v>#N/A</v>
      </c>
    </row>
    <row r="3058" spans="1:12" hidden="1">
      <c r="A3058" s="19">
        <f t="shared" si="244"/>
        <v>3052</v>
      </c>
      <c r="B3058" s="20">
        <f t="shared" si="240"/>
        <v>0</v>
      </c>
      <c r="C3058" s="21">
        <f t="shared" si="241"/>
        <v>0</v>
      </c>
      <c r="D3058" s="22" t="e">
        <f>VLOOKUP($A3058, TAB_JUROS_U[[Q_DIAS_U_PARC_TIR]:[V_FUT_U_JURS CENARIO]], D$5, FALSE)</f>
        <v>#N/A</v>
      </c>
      <c r="E3058" s="22" t="e">
        <f>VLOOKUP($A3058,TAB_CORRECAO_U[[Q_DIAS_U_PARC_TIR]:[V_FUT_U_CORC-02]],E$5, FALSE)</f>
        <v>#N/A</v>
      </c>
      <c r="F3058" s="22" t="e">
        <f>VLOOKUP($A3058,TAB_AMORTIZACAO_U[[Q_DIAS_U_PARC_TIR]:[V_FUT_U_PCPL-02]], F$5, FALSE)</f>
        <v>#N/A</v>
      </c>
      <c r="H3058" s="20">
        <f t="shared" si="242"/>
        <v>0</v>
      </c>
      <c r="I3058" s="21">
        <f t="shared" si="243"/>
        <v>0</v>
      </c>
      <c r="J3058" s="22" t="e">
        <f>VLOOKUP($A3058, TAB_JUROS_C[[DIAS_CORRIDOS]:[V_FUT_UTEIS]], J$5, FALSE)</f>
        <v>#N/A</v>
      </c>
      <c r="K3058" s="22" t="e">
        <f>VLOOKUP($A3058, TAB_CORRECAO_C[[DIAS_CORRIDOS]:[V_FUT_UTEIS]],K$5, FALSE)</f>
        <v>#N/A</v>
      </c>
      <c r="L3058" s="22" t="e">
        <f>VLOOKUP($A3058, TAB_AMORTIZACAO_C[[DIAS_CORRIDOS]:[V_FUT_UTEIS]], L$5, FALSE)</f>
        <v>#N/A</v>
      </c>
    </row>
    <row r="3059" spans="1:12" hidden="1">
      <c r="A3059" s="19">
        <f t="shared" si="244"/>
        <v>3053</v>
      </c>
      <c r="B3059" s="20">
        <f t="shared" si="240"/>
        <v>0</v>
      </c>
      <c r="C3059" s="21">
        <f t="shared" si="241"/>
        <v>0</v>
      </c>
      <c r="D3059" s="22" t="e">
        <f>VLOOKUP($A3059, TAB_JUROS_U[[Q_DIAS_U_PARC_TIR]:[V_FUT_U_JURS CENARIO]], D$5, FALSE)</f>
        <v>#N/A</v>
      </c>
      <c r="E3059" s="22" t="e">
        <f>VLOOKUP($A3059,TAB_CORRECAO_U[[Q_DIAS_U_PARC_TIR]:[V_FUT_U_CORC-02]],E$5, FALSE)</f>
        <v>#N/A</v>
      </c>
      <c r="F3059" s="22" t="e">
        <f>VLOOKUP($A3059,TAB_AMORTIZACAO_U[[Q_DIAS_U_PARC_TIR]:[V_FUT_U_PCPL-02]], F$5, FALSE)</f>
        <v>#N/A</v>
      </c>
      <c r="H3059" s="20">
        <f t="shared" si="242"/>
        <v>0</v>
      </c>
      <c r="I3059" s="21">
        <f t="shared" si="243"/>
        <v>0</v>
      </c>
      <c r="J3059" s="22" t="e">
        <f>VLOOKUP($A3059, TAB_JUROS_C[[DIAS_CORRIDOS]:[V_FUT_UTEIS]], J$5, FALSE)</f>
        <v>#N/A</v>
      </c>
      <c r="K3059" s="22" t="e">
        <f>VLOOKUP($A3059, TAB_CORRECAO_C[[DIAS_CORRIDOS]:[V_FUT_UTEIS]],K$5, FALSE)</f>
        <v>#N/A</v>
      </c>
      <c r="L3059" s="22" t="e">
        <f>VLOOKUP($A3059, TAB_AMORTIZACAO_C[[DIAS_CORRIDOS]:[V_FUT_UTEIS]], L$5, FALSE)</f>
        <v>#N/A</v>
      </c>
    </row>
    <row r="3060" spans="1:12" hidden="1">
      <c r="A3060" s="19">
        <f t="shared" si="244"/>
        <v>3054</v>
      </c>
      <c r="B3060" s="20">
        <f t="shared" si="240"/>
        <v>0</v>
      </c>
      <c r="C3060" s="21">
        <f t="shared" si="241"/>
        <v>0</v>
      </c>
      <c r="D3060" s="22" t="e">
        <f>VLOOKUP($A3060, TAB_JUROS_U[[Q_DIAS_U_PARC_TIR]:[V_FUT_U_JURS CENARIO]], D$5, FALSE)</f>
        <v>#N/A</v>
      </c>
      <c r="E3060" s="22" t="e">
        <f>VLOOKUP($A3060,TAB_CORRECAO_U[[Q_DIAS_U_PARC_TIR]:[V_FUT_U_CORC-02]],E$5, FALSE)</f>
        <v>#N/A</v>
      </c>
      <c r="F3060" s="22" t="e">
        <f>VLOOKUP($A3060,TAB_AMORTIZACAO_U[[Q_DIAS_U_PARC_TIR]:[V_FUT_U_PCPL-02]], F$5, FALSE)</f>
        <v>#N/A</v>
      </c>
      <c r="H3060" s="20">
        <f t="shared" si="242"/>
        <v>0</v>
      </c>
      <c r="I3060" s="21">
        <f t="shared" si="243"/>
        <v>0</v>
      </c>
      <c r="J3060" s="22" t="e">
        <f>VLOOKUP($A3060, TAB_JUROS_C[[DIAS_CORRIDOS]:[V_FUT_UTEIS]], J$5, FALSE)</f>
        <v>#N/A</v>
      </c>
      <c r="K3060" s="22" t="e">
        <f>VLOOKUP($A3060, TAB_CORRECAO_C[[DIAS_CORRIDOS]:[V_FUT_UTEIS]],K$5, FALSE)</f>
        <v>#N/A</v>
      </c>
      <c r="L3060" s="22" t="e">
        <f>VLOOKUP($A3060, TAB_AMORTIZACAO_C[[DIAS_CORRIDOS]:[V_FUT_UTEIS]], L$5, FALSE)</f>
        <v>#N/A</v>
      </c>
    </row>
    <row r="3061" spans="1:12" hidden="1">
      <c r="A3061" s="19">
        <f t="shared" si="244"/>
        <v>3055</v>
      </c>
      <c r="B3061" s="20">
        <f t="shared" si="240"/>
        <v>0</v>
      </c>
      <c r="C3061" s="21">
        <f t="shared" si="241"/>
        <v>0</v>
      </c>
      <c r="D3061" s="22" t="e">
        <f>VLOOKUP($A3061, TAB_JUROS_U[[Q_DIAS_U_PARC_TIR]:[V_FUT_U_JURS CENARIO]], D$5, FALSE)</f>
        <v>#N/A</v>
      </c>
      <c r="E3061" s="22" t="e">
        <f>VLOOKUP($A3061,TAB_CORRECAO_U[[Q_DIAS_U_PARC_TIR]:[V_FUT_U_CORC-02]],E$5, FALSE)</f>
        <v>#N/A</v>
      </c>
      <c r="F3061" s="22" t="e">
        <f>VLOOKUP($A3061,TAB_AMORTIZACAO_U[[Q_DIAS_U_PARC_TIR]:[V_FUT_U_PCPL-02]], F$5, FALSE)</f>
        <v>#N/A</v>
      </c>
      <c r="H3061" s="20">
        <f t="shared" si="242"/>
        <v>274.32257297001161</v>
      </c>
      <c r="I3061" s="21">
        <f t="shared" si="243"/>
        <v>274.32257297001161</v>
      </c>
      <c r="J3061" s="22">
        <f>VLOOKUP($A3061, TAB_JUROS_C[[DIAS_CORRIDOS]:[V_FUT_UTEIS]], J$5, FALSE)</f>
        <v>14.831676384533012</v>
      </c>
      <c r="K3061" s="22">
        <f>VLOOKUP($A3061, TAB_CORRECAO_C[[DIAS_CORRIDOS]:[V_FUT_UTEIS]],K$5, FALSE)</f>
        <v>91.317234088245186</v>
      </c>
      <c r="L3061" s="22">
        <f>VLOOKUP($A3061, TAB_AMORTIZACAO_C[[DIAS_CORRIDOS]:[V_FUT_UTEIS]], L$5, FALSE)</f>
        <v>168.17366249723338</v>
      </c>
    </row>
    <row r="3062" spans="1:12" hidden="1">
      <c r="A3062" s="19">
        <f t="shared" si="244"/>
        <v>3056</v>
      </c>
      <c r="B3062" s="20">
        <f t="shared" si="240"/>
        <v>0</v>
      </c>
      <c r="C3062" s="21">
        <f t="shared" si="241"/>
        <v>0</v>
      </c>
      <c r="D3062" s="22" t="e">
        <f>VLOOKUP($A3062, TAB_JUROS_U[[Q_DIAS_U_PARC_TIR]:[V_FUT_U_JURS CENARIO]], D$5, FALSE)</f>
        <v>#N/A</v>
      </c>
      <c r="E3062" s="22" t="e">
        <f>VLOOKUP($A3062,TAB_CORRECAO_U[[Q_DIAS_U_PARC_TIR]:[V_FUT_U_CORC-02]],E$5, FALSE)</f>
        <v>#N/A</v>
      </c>
      <c r="F3062" s="22" t="e">
        <f>VLOOKUP($A3062,TAB_AMORTIZACAO_U[[Q_DIAS_U_PARC_TIR]:[V_FUT_U_PCPL-02]], F$5, FALSE)</f>
        <v>#N/A</v>
      </c>
      <c r="H3062" s="20">
        <f t="shared" si="242"/>
        <v>0</v>
      </c>
      <c r="I3062" s="21">
        <f t="shared" si="243"/>
        <v>0</v>
      </c>
      <c r="J3062" s="22" t="e">
        <f>VLOOKUP($A3062, TAB_JUROS_C[[DIAS_CORRIDOS]:[V_FUT_UTEIS]], J$5, FALSE)</f>
        <v>#N/A</v>
      </c>
      <c r="K3062" s="22" t="e">
        <f>VLOOKUP($A3062, TAB_CORRECAO_C[[DIAS_CORRIDOS]:[V_FUT_UTEIS]],K$5, FALSE)</f>
        <v>#N/A</v>
      </c>
      <c r="L3062" s="22" t="e">
        <f>VLOOKUP($A3062, TAB_AMORTIZACAO_C[[DIAS_CORRIDOS]:[V_FUT_UTEIS]], L$5, FALSE)</f>
        <v>#N/A</v>
      </c>
    </row>
    <row r="3063" spans="1:12" hidden="1">
      <c r="A3063" s="19">
        <f t="shared" si="244"/>
        <v>3057</v>
      </c>
      <c r="B3063" s="20">
        <f t="shared" si="240"/>
        <v>0</v>
      </c>
      <c r="C3063" s="21">
        <f t="shared" si="241"/>
        <v>0</v>
      </c>
      <c r="D3063" s="22" t="e">
        <f>VLOOKUP($A3063, TAB_JUROS_U[[Q_DIAS_U_PARC_TIR]:[V_FUT_U_JURS CENARIO]], D$5, FALSE)</f>
        <v>#N/A</v>
      </c>
      <c r="E3063" s="22" t="e">
        <f>VLOOKUP($A3063,TAB_CORRECAO_U[[Q_DIAS_U_PARC_TIR]:[V_FUT_U_CORC-02]],E$5, FALSE)</f>
        <v>#N/A</v>
      </c>
      <c r="F3063" s="22" t="e">
        <f>VLOOKUP($A3063,TAB_AMORTIZACAO_U[[Q_DIAS_U_PARC_TIR]:[V_FUT_U_PCPL-02]], F$5, FALSE)</f>
        <v>#N/A</v>
      </c>
      <c r="H3063" s="20">
        <f t="shared" si="242"/>
        <v>0</v>
      </c>
      <c r="I3063" s="21">
        <f t="shared" si="243"/>
        <v>0</v>
      </c>
      <c r="J3063" s="22" t="e">
        <f>VLOOKUP($A3063, TAB_JUROS_C[[DIAS_CORRIDOS]:[V_FUT_UTEIS]], J$5, FALSE)</f>
        <v>#N/A</v>
      </c>
      <c r="K3063" s="22" t="e">
        <f>VLOOKUP($A3063, TAB_CORRECAO_C[[DIAS_CORRIDOS]:[V_FUT_UTEIS]],K$5, FALSE)</f>
        <v>#N/A</v>
      </c>
      <c r="L3063" s="22" t="e">
        <f>VLOOKUP($A3063, TAB_AMORTIZACAO_C[[DIAS_CORRIDOS]:[V_FUT_UTEIS]], L$5, FALSE)</f>
        <v>#N/A</v>
      </c>
    </row>
    <row r="3064" spans="1:12" hidden="1">
      <c r="A3064" s="19">
        <f t="shared" si="244"/>
        <v>3058</v>
      </c>
      <c r="B3064" s="20">
        <f t="shared" si="240"/>
        <v>0</v>
      </c>
      <c r="C3064" s="21">
        <f t="shared" si="241"/>
        <v>0</v>
      </c>
      <c r="D3064" s="22" t="e">
        <f>VLOOKUP($A3064, TAB_JUROS_U[[Q_DIAS_U_PARC_TIR]:[V_FUT_U_JURS CENARIO]], D$5, FALSE)</f>
        <v>#N/A</v>
      </c>
      <c r="E3064" s="22" t="e">
        <f>VLOOKUP($A3064,TAB_CORRECAO_U[[Q_DIAS_U_PARC_TIR]:[V_FUT_U_CORC-02]],E$5, FALSE)</f>
        <v>#N/A</v>
      </c>
      <c r="F3064" s="22" t="e">
        <f>VLOOKUP($A3064,TAB_AMORTIZACAO_U[[Q_DIAS_U_PARC_TIR]:[V_FUT_U_PCPL-02]], F$5, FALSE)</f>
        <v>#N/A</v>
      </c>
      <c r="H3064" s="20">
        <f t="shared" si="242"/>
        <v>0</v>
      </c>
      <c r="I3064" s="21">
        <f t="shared" si="243"/>
        <v>0</v>
      </c>
      <c r="J3064" s="22" t="e">
        <f>VLOOKUP($A3064, TAB_JUROS_C[[DIAS_CORRIDOS]:[V_FUT_UTEIS]], J$5, FALSE)</f>
        <v>#N/A</v>
      </c>
      <c r="K3064" s="22" t="e">
        <f>VLOOKUP($A3064, TAB_CORRECAO_C[[DIAS_CORRIDOS]:[V_FUT_UTEIS]],K$5, FALSE)</f>
        <v>#N/A</v>
      </c>
      <c r="L3064" s="22" t="e">
        <f>VLOOKUP($A3064, TAB_AMORTIZACAO_C[[DIAS_CORRIDOS]:[V_FUT_UTEIS]], L$5, FALSE)</f>
        <v>#N/A</v>
      </c>
    </row>
    <row r="3065" spans="1:12" hidden="1">
      <c r="A3065" s="19">
        <f t="shared" si="244"/>
        <v>3059</v>
      </c>
      <c r="B3065" s="20">
        <f t="shared" si="240"/>
        <v>0</v>
      </c>
      <c r="C3065" s="21">
        <f t="shared" si="241"/>
        <v>0</v>
      </c>
      <c r="D3065" s="22" t="e">
        <f>VLOOKUP($A3065, TAB_JUROS_U[[Q_DIAS_U_PARC_TIR]:[V_FUT_U_JURS CENARIO]], D$5, FALSE)</f>
        <v>#N/A</v>
      </c>
      <c r="E3065" s="22" t="e">
        <f>VLOOKUP($A3065,TAB_CORRECAO_U[[Q_DIAS_U_PARC_TIR]:[V_FUT_U_CORC-02]],E$5, FALSE)</f>
        <v>#N/A</v>
      </c>
      <c r="F3065" s="22" t="e">
        <f>VLOOKUP($A3065,TAB_AMORTIZACAO_U[[Q_DIAS_U_PARC_TIR]:[V_FUT_U_PCPL-02]], F$5, FALSE)</f>
        <v>#N/A</v>
      </c>
      <c r="H3065" s="20">
        <f t="shared" si="242"/>
        <v>0</v>
      </c>
      <c r="I3065" s="21">
        <f t="shared" si="243"/>
        <v>0</v>
      </c>
      <c r="J3065" s="22" t="e">
        <f>VLOOKUP($A3065, TAB_JUROS_C[[DIAS_CORRIDOS]:[V_FUT_UTEIS]], J$5, FALSE)</f>
        <v>#N/A</v>
      </c>
      <c r="K3065" s="22" t="e">
        <f>VLOOKUP($A3065, TAB_CORRECAO_C[[DIAS_CORRIDOS]:[V_FUT_UTEIS]],K$5, FALSE)</f>
        <v>#N/A</v>
      </c>
      <c r="L3065" s="22" t="e">
        <f>VLOOKUP($A3065, TAB_AMORTIZACAO_C[[DIAS_CORRIDOS]:[V_FUT_UTEIS]], L$5, FALSE)</f>
        <v>#N/A</v>
      </c>
    </row>
    <row r="3066" spans="1:12" hidden="1">
      <c r="A3066" s="19">
        <f t="shared" si="244"/>
        <v>3060</v>
      </c>
      <c r="B3066" s="20">
        <f t="shared" si="240"/>
        <v>0</v>
      </c>
      <c r="C3066" s="21">
        <f t="shared" si="241"/>
        <v>0</v>
      </c>
      <c r="D3066" s="22" t="e">
        <f>VLOOKUP($A3066, TAB_JUROS_U[[Q_DIAS_U_PARC_TIR]:[V_FUT_U_JURS CENARIO]], D$5, FALSE)</f>
        <v>#N/A</v>
      </c>
      <c r="E3066" s="22" t="e">
        <f>VLOOKUP($A3066,TAB_CORRECAO_U[[Q_DIAS_U_PARC_TIR]:[V_FUT_U_CORC-02]],E$5, FALSE)</f>
        <v>#N/A</v>
      </c>
      <c r="F3066" s="22" t="e">
        <f>VLOOKUP($A3066,TAB_AMORTIZACAO_U[[Q_DIAS_U_PARC_TIR]:[V_FUT_U_PCPL-02]], F$5, FALSE)</f>
        <v>#N/A</v>
      </c>
      <c r="H3066" s="20">
        <f t="shared" si="242"/>
        <v>0</v>
      </c>
      <c r="I3066" s="21">
        <f t="shared" si="243"/>
        <v>0</v>
      </c>
      <c r="J3066" s="22" t="e">
        <f>VLOOKUP($A3066, TAB_JUROS_C[[DIAS_CORRIDOS]:[V_FUT_UTEIS]], J$5, FALSE)</f>
        <v>#N/A</v>
      </c>
      <c r="K3066" s="22" t="e">
        <f>VLOOKUP($A3066, TAB_CORRECAO_C[[DIAS_CORRIDOS]:[V_FUT_UTEIS]],K$5, FALSE)</f>
        <v>#N/A</v>
      </c>
      <c r="L3066" s="22" t="e">
        <f>VLOOKUP($A3066, TAB_AMORTIZACAO_C[[DIAS_CORRIDOS]:[V_FUT_UTEIS]], L$5, FALSE)</f>
        <v>#N/A</v>
      </c>
    </row>
    <row r="3067" spans="1:12" hidden="1">
      <c r="A3067" s="19">
        <f t="shared" si="244"/>
        <v>3061</v>
      </c>
      <c r="B3067" s="20">
        <f t="shared" si="240"/>
        <v>0</v>
      </c>
      <c r="C3067" s="21">
        <f t="shared" si="241"/>
        <v>0</v>
      </c>
      <c r="D3067" s="22" t="e">
        <f>VLOOKUP($A3067, TAB_JUROS_U[[Q_DIAS_U_PARC_TIR]:[V_FUT_U_JURS CENARIO]], D$5, FALSE)</f>
        <v>#N/A</v>
      </c>
      <c r="E3067" s="22" t="e">
        <f>VLOOKUP($A3067,TAB_CORRECAO_U[[Q_DIAS_U_PARC_TIR]:[V_FUT_U_CORC-02]],E$5, FALSE)</f>
        <v>#N/A</v>
      </c>
      <c r="F3067" s="22" t="e">
        <f>VLOOKUP($A3067,TAB_AMORTIZACAO_U[[Q_DIAS_U_PARC_TIR]:[V_FUT_U_PCPL-02]], F$5, FALSE)</f>
        <v>#N/A</v>
      </c>
      <c r="H3067" s="20">
        <f t="shared" si="242"/>
        <v>0</v>
      </c>
      <c r="I3067" s="21">
        <f t="shared" si="243"/>
        <v>0</v>
      </c>
      <c r="J3067" s="22" t="e">
        <f>VLOOKUP($A3067, TAB_JUROS_C[[DIAS_CORRIDOS]:[V_FUT_UTEIS]], J$5, FALSE)</f>
        <v>#N/A</v>
      </c>
      <c r="K3067" s="22" t="e">
        <f>VLOOKUP($A3067, TAB_CORRECAO_C[[DIAS_CORRIDOS]:[V_FUT_UTEIS]],K$5, FALSE)</f>
        <v>#N/A</v>
      </c>
      <c r="L3067" s="22" t="e">
        <f>VLOOKUP($A3067, TAB_AMORTIZACAO_C[[DIAS_CORRIDOS]:[V_FUT_UTEIS]], L$5, FALSE)</f>
        <v>#N/A</v>
      </c>
    </row>
    <row r="3068" spans="1:12" hidden="1">
      <c r="A3068" s="19">
        <f t="shared" si="244"/>
        <v>3062</v>
      </c>
      <c r="B3068" s="20">
        <f t="shared" si="240"/>
        <v>0</v>
      </c>
      <c r="C3068" s="21">
        <f t="shared" si="241"/>
        <v>0</v>
      </c>
      <c r="D3068" s="22" t="e">
        <f>VLOOKUP($A3068, TAB_JUROS_U[[Q_DIAS_U_PARC_TIR]:[V_FUT_U_JURS CENARIO]], D$5, FALSE)</f>
        <v>#N/A</v>
      </c>
      <c r="E3068" s="22" t="e">
        <f>VLOOKUP($A3068,TAB_CORRECAO_U[[Q_DIAS_U_PARC_TIR]:[V_FUT_U_CORC-02]],E$5, FALSE)</f>
        <v>#N/A</v>
      </c>
      <c r="F3068" s="22" t="e">
        <f>VLOOKUP($A3068,TAB_AMORTIZACAO_U[[Q_DIAS_U_PARC_TIR]:[V_FUT_U_PCPL-02]], F$5, FALSE)</f>
        <v>#N/A</v>
      </c>
      <c r="H3068" s="20">
        <f t="shared" si="242"/>
        <v>0</v>
      </c>
      <c r="I3068" s="21">
        <f t="shared" si="243"/>
        <v>0</v>
      </c>
      <c r="J3068" s="22" t="e">
        <f>VLOOKUP($A3068, TAB_JUROS_C[[DIAS_CORRIDOS]:[V_FUT_UTEIS]], J$5, FALSE)</f>
        <v>#N/A</v>
      </c>
      <c r="K3068" s="22" t="e">
        <f>VLOOKUP($A3068, TAB_CORRECAO_C[[DIAS_CORRIDOS]:[V_FUT_UTEIS]],K$5, FALSE)</f>
        <v>#N/A</v>
      </c>
      <c r="L3068" s="22" t="e">
        <f>VLOOKUP($A3068, TAB_AMORTIZACAO_C[[DIAS_CORRIDOS]:[V_FUT_UTEIS]], L$5, FALSE)</f>
        <v>#N/A</v>
      </c>
    </row>
    <row r="3069" spans="1:12" hidden="1">
      <c r="A3069" s="19">
        <f t="shared" si="244"/>
        <v>3063</v>
      </c>
      <c r="B3069" s="20">
        <f t="shared" si="240"/>
        <v>0</v>
      </c>
      <c r="C3069" s="21">
        <f t="shared" si="241"/>
        <v>0</v>
      </c>
      <c r="D3069" s="22" t="e">
        <f>VLOOKUP($A3069, TAB_JUROS_U[[Q_DIAS_U_PARC_TIR]:[V_FUT_U_JURS CENARIO]], D$5, FALSE)</f>
        <v>#N/A</v>
      </c>
      <c r="E3069" s="22" t="e">
        <f>VLOOKUP($A3069,TAB_CORRECAO_U[[Q_DIAS_U_PARC_TIR]:[V_FUT_U_CORC-02]],E$5, FALSE)</f>
        <v>#N/A</v>
      </c>
      <c r="F3069" s="22" t="e">
        <f>VLOOKUP($A3069,TAB_AMORTIZACAO_U[[Q_DIAS_U_PARC_TIR]:[V_FUT_U_PCPL-02]], F$5, FALSE)</f>
        <v>#N/A</v>
      </c>
      <c r="H3069" s="20">
        <f t="shared" si="242"/>
        <v>0</v>
      </c>
      <c r="I3069" s="21">
        <f t="shared" si="243"/>
        <v>0</v>
      </c>
      <c r="J3069" s="22" t="e">
        <f>VLOOKUP($A3069, TAB_JUROS_C[[DIAS_CORRIDOS]:[V_FUT_UTEIS]], J$5, FALSE)</f>
        <v>#N/A</v>
      </c>
      <c r="K3069" s="22" t="e">
        <f>VLOOKUP($A3069, TAB_CORRECAO_C[[DIAS_CORRIDOS]:[V_FUT_UTEIS]],K$5, FALSE)</f>
        <v>#N/A</v>
      </c>
      <c r="L3069" s="22" t="e">
        <f>VLOOKUP($A3069, TAB_AMORTIZACAO_C[[DIAS_CORRIDOS]:[V_FUT_UTEIS]], L$5, FALSE)</f>
        <v>#N/A</v>
      </c>
    </row>
    <row r="3070" spans="1:12" hidden="1">
      <c r="A3070" s="19">
        <f t="shared" si="244"/>
        <v>3064</v>
      </c>
      <c r="B3070" s="20">
        <f t="shared" si="240"/>
        <v>0</v>
      </c>
      <c r="C3070" s="21">
        <f t="shared" si="241"/>
        <v>0</v>
      </c>
      <c r="D3070" s="22" t="e">
        <f>VLOOKUP($A3070, TAB_JUROS_U[[Q_DIAS_U_PARC_TIR]:[V_FUT_U_JURS CENARIO]], D$5, FALSE)</f>
        <v>#N/A</v>
      </c>
      <c r="E3070" s="22" t="e">
        <f>VLOOKUP($A3070,TAB_CORRECAO_U[[Q_DIAS_U_PARC_TIR]:[V_FUT_U_CORC-02]],E$5, FALSE)</f>
        <v>#N/A</v>
      </c>
      <c r="F3070" s="22" t="e">
        <f>VLOOKUP($A3070,TAB_AMORTIZACAO_U[[Q_DIAS_U_PARC_TIR]:[V_FUT_U_PCPL-02]], F$5, FALSE)</f>
        <v>#N/A</v>
      </c>
      <c r="H3070" s="20">
        <f t="shared" si="242"/>
        <v>0</v>
      </c>
      <c r="I3070" s="21">
        <f t="shared" si="243"/>
        <v>0</v>
      </c>
      <c r="J3070" s="22" t="e">
        <f>VLOOKUP($A3070, TAB_JUROS_C[[DIAS_CORRIDOS]:[V_FUT_UTEIS]], J$5, FALSE)</f>
        <v>#N/A</v>
      </c>
      <c r="K3070" s="22" t="e">
        <f>VLOOKUP($A3070, TAB_CORRECAO_C[[DIAS_CORRIDOS]:[V_FUT_UTEIS]],K$5, FALSE)</f>
        <v>#N/A</v>
      </c>
      <c r="L3070" s="22" t="e">
        <f>VLOOKUP($A3070, TAB_AMORTIZACAO_C[[DIAS_CORRIDOS]:[V_FUT_UTEIS]], L$5, FALSE)</f>
        <v>#N/A</v>
      </c>
    </row>
    <row r="3071" spans="1:12" hidden="1">
      <c r="A3071" s="19">
        <f t="shared" si="244"/>
        <v>3065</v>
      </c>
      <c r="B3071" s="20">
        <f t="shared" si="240"/>
        <v>0</v>
      </c>
      <c r="C3071" s="21">
        <f t="shared" si="241"/>
        <v>0</v>
      </c>
      <c r="D3071" s="22" t="e">
        <f>VLOOKUP($A3071, TAB_JUROS_U[[Q_DIAS_U_PARC_TIR]:[V_FUT_U_JURS CENARIO]], D$5, FALSE)</f>
        <v>#N/A</v>
      </c>
      <c r="E3071" s="22" t="e">
        <f>VLOOKUP($A3071,TAB_CORRECAO_U[[Q_DIAS_U_PARC_TIR]:[V_FUT_U_CORC-02]],E$5, FALSE)</f>
        <v>#N/A</v>
      </c>
      <c r="F3071" s="22" t="e">
        <f>VLOOKUP($A3071,TAB_AMORTIZACAO_U[[Q_DIAS_U_PARC_TIR]:[V_FUT_U_PCPL-02]], F$5, FALSE)</f>
        <v>#N/A</v>
      </c>
      <c r="H3071" s="20">
        <f t="shared" si="242"/>
        <v>0</v>
      </c>
      <c r="I3071" s="21">
        <f t="shared" si="243"/>
        <v>0</v>
      </c>
      <c r="J3071" s="22" t="e">
        <f>VLOOKUP($A3071, TAB_JUROS_C[[DIAS_CORRIDOS]:[V_FUT_UTEIS]], J$5, FALSE)</f>
        <v>#N/A</v>
      </c>
      <c r="K3071" s="22" t="e">
        <f>VLOOKUP($A3071, TAB_CORRECAO_C[[DIAS_CORRIDOS]:[V_FUT_UTEIS]],K$5, FALSE)</f>
        <v>#N/A</v>
      </c>
      <c r="L3071" s="22" t="e">
        <f>VLOOKUP($A3071, TAB_AMORTIZACAO_C[[DIAS_CORRIDOS]:[V_FUT_UTEIS]], L$5, FALSE)</f>
        <v>#N/A</v>
      </c>
    </row>
    <row r="3072" spans="1:12" hidden="1">
      <c r="A3072" s="19">
        <f t="shared" si="244"/>
        <v>3066</v>
      </c>
      <c r="B3072" s="20">
        <f t="shared" si="240"/>
        <v>0</v>
      </c>
      <c r="C3072" s="21">
        <f t="shared" si="241"/>
        <v>0</v>
      </c>
      <c r="D3072" s="22" t="e">
        <f>VLOOKUP($A3072, TAB_JUROS_U[[Q_DIAS_U_PARC_TIR]:[V_FUT_U_JURS CENARIO]], D$5, FALSE)</f>
        <v>#N/A</v>
      </c>
      <c r="E3072" s="22" t="e">
        <f>VLOOKUP($A3072,TAB_CORRECAO_U[[Q_DIAS_U_PARC_TIR]:[V_FUT_U_CORC-02]],E$5, FALSE)</f>
        <v>#N/A</v>
      </c>
      <c r="F3072" s="22" t="e">
        <f>VLOOKUP($A3072,TAB_AMORTIZACAO_U[[Q_DIAS_U_PARC_TIR]:[V_FUT_U_PCPL-02]], F$5, FALSE)</f>
        <v>#N/A</v>
      </c>
      <c r="H3072" s="20">
        <f t="shared" si="242"/>
        <v>0</v>
      </c>
      <c r="I3072" s="21">
        <f t="shared" si="243"/>
        <v>0</v>
      </c>
      <c r="J3072" s="22" t="e">
        <f>VLOOKUP($A3072, TAB_JUROS_C[[DIAS_CORRIDOS]:[V_FUT_UTEIS]], J$5, FALSE)</f>
        <v>#N/A</v>
      </c>
      <c r="K3072" s="22" t="e">
        <f>VLOOKUP($A3072, TAB_CORRECAO_C[[DIAS_CORRIDOS]:[V_FUT_UTEIS]],K$5, FALSE)</f>
        <v>#N/A</v>
      </c>
      <c r="L3072" s="22" t="e">
        <f>VLOOKUP($A3072, TAB_AMORTIZACAO_C[[DIAS_CORRIDOS]:[V_FUT_UTEIS]], L$5, FALSE)</f>
        <v>#N/A</v>
      </c>
    </row>
    <row r="3073" spans="1:12" hidden="1">
      <c r="A3073" s="19">
        <f t="shared" si="244"/>
        <v>3067</v>
      </c>
      <c r="B3073" s="20">
        <f t="shared" si="240"/>
        <v>0</v>
      </c>
      <c r="C3073" s="21">
        <f t="shared" si="241"/>
        <v>0</v>
      </c>
      <c r="D3073" s="22" t="e">
        <f>VLOOKUP($A3073, TAB_JUROS_U[[Q_DIAS_U_PARC_TIR]:[V_FUT_U_JURS CENARIO]], D$5, FALSE)</f>
        <v>#N/A</v>
      </c>
      <c r="E3073" s="22" t="e">
        <f>VLOOKUP($A3073,TAB_CORRECAO_U[[Q_DIAS_U_PARC_TIR]:[V_FUT_U_CORC-02]],E$5, FALSE)</f>
        <v>#N/A</v>
      </c>
      <c r="F3073" s="22" t="e">
        <f>VLOOKUP($A3073,TAB_AMORTIZACAO_U[[Q_DIAS_U_PARC_TIR]:[V_FUT_U_PCPL-02]], F$5, FALSE)</f>
        <v>#N/A</v>
      </c>
      <c r="H3073" s="20">
        <f t="shared" si="242"/>
        <v>0</v>
      </c>
      <c r="I3073" s="21">
        <f t="shared" si="243"/>
        <v>0</v>
      </c>
      <c r="J3073" s="22" t="e">
        <f>VLOOKUP($A3073, TAB_JUROS_C[[DIAS_CORRIDOS]:[V_FUT_UTEIS]], J$5, FALSE)</f>
        <v>#N/A</v>
      </c>
      <c r="K3073" s="22" t="e">
        <f>VLOOKUP($A3073, TAB_CORRECAO_C[[DIAS_CORRIDOS]:[V_FUT_UTEIS]],K$5, FALSE)</f>
        <v>#N/A</v>
      </c>
      <c r="L3073" s="22" t="e">
        <f>VLOOKUP($A3073, TAB_AMORTIZACAO_C[[DIAS_CORRIDOS]:[V_FUT_UTEIS]], L$5, FALSE)</f>
        <v>#N/A</v>
      </c>
    </row>
    <row r="3074" spans="1:12" hidden="1">
      <c r="A3074" s="19">
        <f t="shared" si="244"/>
        <v>3068</v>
      </c>
      <c r="B3074" s="20">
        <f t="shared" si="240"/>
        <v>0</v>
      </c>
      <c r="C3074" s="21">
        <f t="shared" si="241"/>
        <v>0</v>
      </c>
      <c r="D3074" s="22" t="e">
        <f>VLOOKUP($A3074, TAB_JUROS_U[[Q_DIAS_U_PARC_TIR]:[V_FUT_U_JURS CENARIO]], D$5, FALSE)</f>
        <v>#N/A</v>
      </c>
      <c r="E3074" s="22" t="e">
        <f>VLOOKUP($A3074,TAB_CORRECAO_U[[Q_DIAS_U_PARC_TIR]:[V_FUT_U_CORC-02]],E$5, FALSE)</f>
        <v>#N/A</v>
      </c>
      <c r="F3074" s="22" t="e">
        <f>VLOOKUP($A3074,TAB_AMORTIZACAO_U[[Q_DIAS_U_PARC_TIR]:[V_FUT_U_PCPL-02]], F$5, FALSE)</f>
        <v>#N/A</v>
      </c>
      <c r="H3074" s="20">
        <f t="shared" si="242"/>
        <v>0</v>
      </c>
      <c r="I3074" s="21">
        <f t="shared" si="243"/>
        <v>0</v>
      </c>
      <c r="J3074" s="22" t="e">
        <f>VLOOKUP($A3074, TAB_JUROS_C[[DIAS_CORRIDOS]:[V_FUT_UTEIS]], J$5, FALSE)</f>
        <v>#N/A</v>
      </c>
      <c r="K3074" s="22" t="e">
        <f>VLOOKUP($A3074, TAB_CORRECAO_C[[DIAS_CORRIDOS]:[V_FUT_UTEIS]],K$5, FALSE)</f>
        <v>#N/A</v>
      </c>
      <c r="L3074" s="22" t="e">
        <f>VLOOKUP($A3074, TAB_AMORTIZACAO_C[[DIAS_CORRIDOS]:[V_FUT_UTEIS]], L$5, FALSE)</f>
        <v>#N/A</v>
      </c>
    </row>
    <row r="3075" spans="1:12" hidden="1">
      <c r="A3075" s="19">
        <f t="shared" si="244"/>
        <v>3069</v>
      </c>
      <c r="B3075" s="20">
        <f t="shared" si="240"/>
        <v>0</v>
      </c>
      <c r="C3075" s="21">
        <f t="shared" si="241"/>
        <v>0</v>
      </c>
      <c r="D3075" s="22" t="e">
        <f>VLOOKUP($A3075, TAB_JUROS_U[[Q_DIAS_U_PARC_TIR]:[V_FUT_U_JURS CENARIO]], D$5, FALSE)</f>
        <v>#N/A</v>
      </c>
      <c r="E3075" s="22" t="e">
        <f>VLOOKUP($A3075,TAB_CORRECAO_U[[Q_DIAS_U_PARC_TIR]:[V_FUT_U_CORC-02]],E$5, FALSE)</f>
        <v>#N/A</v>
      </c>
      <c r="F3075" s="22" t="e">
        <f>VLOOKUP($A3075,TAB_AMORTIZACAO_U[[Q_DIAS_U_PARC_TIR]:[V_FUT_U_PCPL-02]], F$5, FALSE)</f>
        <v>#N/A</v>
      </c>
      <c r="H3075" s="20">
        <f t="shared" si="242"/>
        <v>0</v>
      </c>
      <c r="I3075" s="21">
        <f t="shared" si="243"/>
        <v>0</v>
      </c>
      <c r="J3075" s="22" t="e">
        <f>VLOOKUP($A3075, TAB_JUROS_C[[DIAS_CORRIDOS]:[V_FUT_UTEIS]], J$5, FALSE)</f>
        <v>#N/A</v>
      </c>
      <c r="K3075" s="22" t="e">
        <f>VLOOKUP($A3075, TAB_CORRECAO_C[[DIAS_CORRIDOS]:[V_FUT_UTEIS]],K$5, FALSE)</f>
        <v>#N/A</v>
      </c>
      <c r="L3075" s="22" t="e">
        <f>VLOOKUP($A3075, TAB_AMORTIZACAO_C[[DIAS_CORRIDOS]:[V_FUT_UTEIS]], L$5, FALSE)</f>
        <v>#N/A</v>
      </c>
    </row>
    <row r="3076" spans="1:12" hidden="1">
      <c r="A3076" s="19">
        <f t="shared" si="244"/>
        <v>3070</v>
      </c>
      <c r="B3076" s="20">
        <f t="shared" si="240"/>
        <v>0</v>
      </c>
      <c r="C3076" s="21">
        <f t="shared" si="241"/>
        <v>0</v>
      </c>
      <c r="D3076" s="22" t="e">
        <f>VLOOKUP($A3076, TAB_JUROS_U[[Q_DIAS_U_PARC_TIR]:[V_FUT_U_JURS CENARIO]], D$5, FALSE)</f>
        <v>#N/A</v>
      </c>
      <c r="E3076" s="22" t="e">
        <f>VLOOKUP($A3076,TAB_CORRECAO_U[[Q_DIAS_U_PARC_TIR]:[V_FUT_U_CORC-02]],E$5, FALSE)</f>
        <v>#N/A</v>
      </c>
      <c r="F3076" s="22" t="e">
        <f>VLOOKUP($A3076,TAB_AMORTIZACAO_U[[Q_DIAS_U_PARC_TIR]:[V_FUT_U_PCPL-02]], F$5, FALSE)</f>
        <v>#N/A</v>
      </c>
      <c r="H3076" s="20">
        <f t="shared" si="242"/>
        <v>0</v>
      </c>
      <c r="I3076" s="21">
        <f t="shared" si="243"/>
        <v>0</v>
      </c>
      <c r="J3076" s="22" t="e">
        <f>VLOOKUP($A3076, TAB_JUROS_C[[DIAS_CORRIDOS]:[V_FUT_UTEIS]], J$5, FALSE)</f>
        <v>#N/A</v>
      </c>
      <c r="K3076" s="22" t="e">
        <f>VLOOKUP($A3076, TAB_CORRECAO_C[[DIAS_CORRIDOS]:[V_FUT_UTEIS]],K$5, FALSE)</f>
        <v>#N/A</v>
      </c>
      <c r="L3076" s="22" t="e">
        <f>VLOOKUP($A3076, TAB_AMORTIZACAO_C[[DIAS_CORRIDOS]:[V_FUT_UTEIS]], L$5, FALSE)</f>
        <v>#N/A</v>
      </c>
    </row>
    <row r="3077" spans="1:12" hidden="1">
      <c r="A3077" s="19">
        <f t="shared" si="244"/>
        <v>3071</v>
      </c>
      <c r="B3077" s="20">
        <f t="shared" si="240"/>
        <v>0</v>
      </c>
      <c r="C3077" s="21">
        <f t="shared" si="241"/>
        <v>0</v>
      </c>
      <c r="D3077" s="22" t="e">
        <f>VLOOKUP($A3077, TAB_JUROS_U[[Q_DIAS_U_PARC_TIR]:[V_FUT_U_JURS CENARIO]], D$5, FALSE)</f>
        <v>#N/A</v>
      </c>
      <c r="E3077" s="22" t="e">
        <f>VLOOKUP($A3077,TAB_CORRECAO_U[[Q_DIAS_U_PARC_TIR]:[V_FUT_U_CORC-02]],E$5, FALSE)</f>
        <v>#N/A</v>
      </c>
      <c r="F3077" s="22" t="e">
        <f>VLOOKUP($A3077,TAB_AMORTIZACAO_U[[Q_DIAS_U_PARC_TIR]:[V_FUT_U_PCPL-02]], F$5, FALSE)</f>
        <v>#N/A</v>
      </c>
      <c r="H3077" s="20">
        <f t="shared" si="242"/>
        <v>0</v>
      </c>
      <c r="I3077" s="21">
        <f t="shared" si="243"/>
        <v>0</v>
      </c>
      <c r="J3077" s="22" t="e">
        <f>VLOOKUP($A3077, TAB_JUROS_C[[DIAS_CORRIDOS]:[V_FUT_UTEIS]], J$5, FALSE)</f>
        <v>#N/A</v>
      </c>
      <c r="K3077" s="22" t="e">
        <f>VLOOKUP($A3077, TAB_CORRECAO_C[[DIAS_CORRIDOS]:[V_FUT_UTEIS]],K$5, FALSE)</f>
        <v>#N/A</v>
      </c>
      <c r="L3077" s="22" t="e">
        <f>VLOOKUP($A3077, TAB_AMORTIZACAO_C[[DIAS_CORRIDOS]:[V_FUT_UTEIS]], L$5, FALSE)</f>
        <v>#N/A</v>
      </c>
    </row>
    <row r="3078" spans="1:12" hidden="1">
      <c r="A3078" s="19">
        <f t="shared" si="244"/>
        <v>3072</v>
      </c>
      <c r="B3078" s="20">
        <f t="shared" si="240"/>
        <v>0</v>
      </c>
      <c r="C3078" s="21">
        <f t="shared" si="241"/>
        <v>0</v>
      </c>
      <c r="D3078" s="22" t="e">
        <f>VLOOKUP($A3078, TAB_JUROS_U[[Q_DIAS_U_PARC_TIR]:[V_FUT_U_JURS CENARIO]], D$5, FALSE)</f>
        <v>#N/A</v>
      </c>
      <c r="E3078" s="22" t="e">
        <f>VLOOKUP($A3078,TAB_CORRECAO_U[[Q_DIAS_U_PARC_TIR]:[V_FUT_U_CORC-02]],E$5, FALSE)</f>
        <v>#N/A</v>
      </c>
      <c r="F3078" s="22" t="e">
        <f>VLOOKUP($A3078,TAB_AMORTIZACAO_U[[Q_DIAS_U_PARC_TIR]:[V_FUT_U_PCPL-02]], F$5, FALSE)</f>
        <v>#N/A</v>
      </c>
      <c r="H3078" s="20">
        <f t="shared" si="242"/>
        <v>0</v>
      </c>
      <c r="I3078" s="21">
        <f t="shared" si="243"/>
        <v>0</v>
      </c>
      <c r="J3078" s="22" t="e">
        <f>VLOOKUP($A3078, TAB_JUROS_C[[DIAS_CORRIDOS]:[V_FUT_UTEIS]], J$5, FALSE)</f>
        <v>#N/A</v>
      </c>
      <c r="K3078" s="22" t="e">
        <f>VLOOKUP($A3078, TAB_CORRECAO_C[[DIAS_CORRIDOS]:[V_FUT_UTEIS]],K$5, FALSE)</f>
        <v>#N/A</v>
      </c>
      <c r="L3078" s="22" t="e">
        <f>VLOOKUP($A3078, TAB_AMORTIZACAO_C[[DIAS_CORRIDOS]:[V_FUT_UTEIS]], L$5, FALSE)</f>
        <v>#N/A</v>
      </c>
    </row>
    <row r="3079" spans="1:12" hidden="1">
      <c r="A3079" s="19">
        <f t="shared" si="244"/>
        <v>3073</v>
      </c>
      <c r="B3079" s="20">
        <f t="shared" si="240"/>
        <v>0</v>
      </c>
      <c r="C3079" s="21">
        <f t="shared" si="241"/>
        <v>0</v>
      </c>
      <c r="D3079" s="22" t="e">
        <f>VLOOKUP($A3079, TAB_JUROS_U[[Q_DIAS_U_PARC_TIR]:[V_FUT_U_JURS CENARIO]], D$5, FALSE)</f>
        <v>#N/A</v>
      </c>
      <c r="E3079" s="22" t="e">
        <f>VLOOKUP($A3079,TAB_CORRECAO_U[[Q_DIAS_U_PARC_TIR]:[V_FUT_U_CORC-02]],E$5, FALSE)</f>
        <v>#N/A</v>
      </c>
      <c r="F3079" s="22" t="e">
        <f>VLOOKUP($A3079,TAB_AMORTIZACAO_U[[Q_DIAS_U_PARC_TIR]:[V_FUT_U_PCPL-02]], F$5, FALSE)</f>
        <v>#N/A</v>
      </c>
      <c r="H3079" s="20">
        <f t="shared" si="242"/>
        <v>0</v>
      </c>
      <c r="I3079" s="21">
        <f t="shared" si="243"/>
        <v>0</v>
      </c>
      <c r="J3079" s="22" t="e">
        <f>VLOOKUP($A3079, TAB_JUROS_C[[DIAS_CORRIDOS]:[V_FUT_UTEIS]], J$5, FALSE)</f>
        <v>#N/A</v>
      </c>
      <c r="K3079" s="22" t="e">
        <f>VLOOKUP($A3079, TAB_CORRECAO_C[[DIAS_CORRIDOS]:[V_FUT_UTEIS]],K$5, FALSE)</f>
        <v>#N/A</v>
      </c>
      <c r="L3079" s="22" t="e">
        <f>VLOOKUP($A3079, TAB_AMORTIZACAO_C[[DIAS_CORRIDOS]:[V_FUT_UTEIS]], L$5, FALSE)</f>
        <v>#N/A</v>
      </c>
    </row>
    <row r="3080" spans="1:12" hidden="1">
      <c r="A3080" s="19">
        <f t="shared" si="244"/>
        <v>3074</v>
      </c>
      <c r="B3080" s="20">
        <f t="shared" si="240"/>
        <v>0</v>
      </c>
      <c r="C3080" s="21">
        <f t="shared" si="241"/>
        <v>0</v>
      </c>
      <c r="D3080" s="22" t="e">
        <f>VLOOKUP($A3080, TAB_JUROS_U[[Q_DIAS_U_PARC_TIR]:[V_FUT_U_JURS CENARIO]], D$5, FALSE)</f>
        <v>#N/A</v>
      </c>
      <c r="E3080" s="22" t="e">
        <f>VLOOKUP($A3080,TAB_CORRECAO_U[[Q_DIAS_U_PARC_TIR]:[V_FUT_U_CORC-02]],E$5, FALSE)</f>
        <v>#N/A</v>
      </c>
      <c r="F3080" s="22" t="e">
        <f>VLOOKUP($A3080,TAB_AMORTIZACAO_U[[Q_DIAS_U_PARC_TIR]:[V_FUT_U_PCPL-02]], F$5, FALSE)</f>
        <v>#N/A</v>
      </c>
      <c r="H3080" s="20">
        <f t="shared" si="242"/>
        <v>0</v>
      </c>
      <c r="I3080" s="21">
        <f t="shared" si="243"/>
        <v>0</v>
      </c>
      <c r="J3080" s="22" t="e">
        <f>VLOOKUP($A3080, TAB_JUROS_C[[DIAS_CORRIDOS]:[V_FUT_UTEIS]], J$5, FALSE)</f>
        <v>#N/A</v>
      </c>
      <c r="K3080" s="22" t="e">
        <f>VLOOKUP($A3080, TAB_CORRECAO_C[[DIAS_CORRIDOS]:[V_FUT_UTEIS]],K$5, FALSE)</f>
        <v>#N/A</v>
      </c>
      <c r="L3080" s="22" t="e">
        <f>VLOOKUP($A3080, TAB_AMORTIZACAO_C[[DIAS_CORRIDOS]:[V_FUT_UTEIS]], L$5, FALSE)</f>
        <v>#N/A</v>
      </c>
    </row>
    <row r="3081" spans="1:12" hidden="1">
      <c r="A3081" s="19">
        <f t="shared" si="244"/>
        <v>3075</v>
      </c>
      <c r="B3081" s="20">
        <f t="shared" ref="B3081:B3144" si="245">IF(ISERROR(C3081), 0, C3081)</f>
        <v>0</v>
      </c>
      <c r="C3081" s="21">
        <f t="shared" ref="C3081:C3144" si="246">SUMIF(D3081:F3081, "&gt;0", D3081:F3081)</f>
        <v>0</v>
      </c>
      <c r="D3081" s="22" t="e">
        <f>VLOOKUP($A3081, TAB_JUROS_U[[Q_DIAS_U_PARC_TIR]:[V_FUT_U_JURS CENARIO]], D$5, FALSE)</f>
        <v>#N/A</v>
      </c>
      <c r="E3081" s="22" t="e">
        <f>VLOOKUP($A3081,TAB_CORRECAO_U[[Q_DIAS_U_PARC_TIR]:[V_FUT_U_CORC-02]],E$5, FALSE)</f>
        <v>#N/A</v>
      </c>
      <c r="F3081" s="22" t="e">
        <f>VLOOKUP($A3081,TAB_AMORTIZACAO_U[[Q_DIAS_U_PARC_TIR]:[V_FUT_U_PCPL-02]], F$5, FALSE)</f>
        <v>#N/A</v>
      </c>
      <c r="H3081" s="20">
        <f t="shared" ref="H3081:H3144" si="247">IF(ISERROR(I3081), 0, I3081)</f>
        <v>0</v>
      </c>
      <c r="I3081" s="21">
        <f t="shared" ref="I3081:I3144" si="248">SUMIF(J3081:L3081, "&gt;0", J3081:L3081)</f>
        <v>0</v>
      </c>
      <c r="J3081" s="22" t="e">
        <f>VLOOKUP($A3081, TAB_JUROS_C[[DIAS_CORRIDOS]:[V_FUT_UTEIS]], J$5, FALSE)</f>
        <v>#N/A</v>
      </c>
      <c r="K3081" s="22" t="e">
        <f>VLOOKUP($A3081, TAB_CORRECAO_C[[DIAS_CORRIDOS]:[V_FUT_UTEIS]],K$5, FALSE)</f>
        <v>#N/A</v>
      </c>
      <c r="L3081" s="22" t="e">
        <f>VLOOKUP($A3081, TAB_AMORTIZACAO_C[[DIAS_CORRIDOS]:[V_FUT_UTEIS]], L$5, FALSE)</f>
        <v>#N/A</v>
      </c>
    </row>
    <row r="3082" spans="1:12" hidden="1">
      <c r="A3082" s="19">
        <f t="shared" ref="A3082:A3145" si="249">A3081+1</f>
        <v>3076</v>
      </c>
      <c r="B3082" s="20">
        <f t="shared" si="245"/>
        <v>0</v>
      </c>
      <c r="C3082" s="21">
        <f t="shared" si="246"/>
        <v>0</v>
      </c>
      <c r="D3082" s="22" t="e">
        <f>VLOOKUP($A3082, TAB_JUROS_U[[Q_DIAS_U_PARC_TIR]:[V_FUT_U_JURS CENARIO]], D$5, FALSE)</f>
        <v>#N/A</v>
      </c>
      <c r="E3082" s="22" t="e">
        <f>VLOOKUP($A3082,TAB_CORRECAO_U[[Q_DIAS_U_PARC_TIR]:[V_FUT_U_CORC-02]],E$5, FALSE)</f>
        <v>#N/A</v>
      </c>
      <c r="F3082" s="22" t="e">
        <f>VLOOKUP($A3082,TAB_AMORTIZACAO_U[[Q_DIAS_U_PARC_TIR]:[V_FUT_U_PCPL-02]], F$5, FALSE)</f>
        <v>#N/A</v>
      </c>
      <c r="H3082" s="20">
        <f t="shared" si="247"/>
        <v>0</v>
      </c>
      <c r="I3082" s="21">
        <f t="shared" si="248"/>
        <v>0</v>
      </c>
      <c r="J3082" s="22" t="e">
        <f>VLOOKUP($A3082, TAB_JUROS_C[[DIAS_CORRIDOS]:[V_FUT_UTEIS]], J$5, FALSE)</f>
        <v>#N/A</v>
      </c>
      <c r="K3082" s="22" t="e">
        <f>VLOOKUP($A3082, TAB_CORRECAO_C[[DIAS_CORRIDOS]:[V_FUT_UTEIS]],K$5, FALSE)</f>
        <v>#N/A</v>
      </c>
      <c r="L3082" s="22" t="e">
        <f>VLOOKUP($A3082, TAB_AMORTIZACAO_C[[DIAS_CORRIDOS]:[V_FUT_UTEIS]], L$5, FALSE)</f>
        <v>#N/A</v>
      </c>
    </row>
    <row r="3083" spans="1:12" hidden="1">
      <c r="A3083" s="19">
        <f t="shared" si="249"/>
        <v>3077</v>
      </c>
      <c r="B3083" s="20">
        <f t="shared" si="245"/>
        <v>0</v>
      </c>
      <c r="C3083" s="21">
        <f t="shared" si="246"/>
        <v>0</v>
      </c>
      <c r="D3083" s="22" t="e">
        <f>VLOOKUP($A3083, TAB_JUROS_U[[Q_DIAS_U_PARC_TIR]:[V_FUT_U_JURS CENARIO]], D$5, FALSE)</f>
        <v>#N/A</v>
      </c>
      <c r="E3083" s="22" t="e">
        <f>VLOOKUP($A3083,TAB_CORRECAO_U[[Q_DIAS_U_PARC_TIR]:[V_FUT_U_CORC-02]],E$5, FALSE)</f>
        <v>#N/A</v>
      </c>
      <c r="F3083" s="22" t="e">
        <f>VLOOKUP($A3083,TAB_AMORTIZACAO_U[[Q_DIAS_U_PARC_TIR]:[V_FUT_U_PCPL-02]], F$5, FALSE)</f>
        <v>#N/A</v>
      </c>
      <c r="H3083" s="20">
        <f t="shared" si="247"/>
        <v>0</v>
      </c>
      <c r="I3083" s="21">
        <f t="shared" si="248"/>
        <v>0</v>
      </c>
      <c r="J3083" s="22" t="e">
        <f>VLOOKUP($A3083, TAB_JUROS_C[[DIAS_CORRIDOS]:[V_FUT_UTEIS]], J$5, FALSE)</f>
        <v>#N/A</v>
      </c>
      <c r="K3083" s="22" t="e">
        <f>VLOOKUP($A3083, TAB_CORRECAO_C[[DIAS_CORRIDOS]:[V_FUT_UTEIS]],K$5, FALSE)</f>
        <v>#N/A</v>
      </c>
      <c r="L3083" s="22" t="e">
        <f>VLOOKUP($A3083, TAB_AMORTIZACAO_C[[DIAS_CORRIDOS]:[V_FUT_UTEIS]], L$5, FALSE)</f>
        <v>#N/A</v>
      </c>
    </row>
    <row r="3084" spans="1:12" hidden="1">
      <c r="A3084" s="19">
        <f t="shared" si="249"/>
        <v>3078</v>
      </c>
      <c r="B3084" s="20">
        <f t="shared" si="245"/>
        <v>0</v>
      </c>
      <c r="C3084" s="21">
        <f t="shared" si="246"/>
        <v>0</v>
      </c>
      <c r="D3084" s="22" t="e">
        <f>VLOOKUP($A3084, TAB_JUROS_U[[Q_DIAS_U_PARC_TIR]:[V_FUT_U_JURS CENARIO]], D$5, FALSE)</f>
        <v>#N/A</v>
      </c>
      <c r="E3084" s="22" t="e">
        <f>VLOOKUP($A3084,TAB_CORRECAO_U[[Q_DIAS_U_PARC_TIR]:[V_FUT_U_CORC-02]],E$5, FALSE)</f>
        <v>#N/A</v>
      </c>
      <c r="F3084" s="22" t="e">
        <f>VLOOKUP($A3084,TAB_AMORTIZACAO_U[[Q_DIAS_U_PARC_TIR]:[V_FUT_U_PCPL-02]], F$5, FALSE)</f>
        <v>#N/A</v>
      </c>
      <c r="H3084" s="20">
        <f t="shared" si="247"/>
        <v>0</v>
      </c>
      <c r="I3084" s="21">
        <f t="shared" si="248"/>
        <v>0</v>
      </c>
      <c r="J3084" s="22" t="e">
        <f>VLOOKUP($A3084, TAB_JUROS_C[[DIAS_CORRIDOS]:[V_FUT_UTEIS]], J$5, FALSE)</f>
        <v>#N/A</v>
      </c>
      <c r="K3084" s="22" t="e">
        <f>VLOOKUP($A3084, TAB_CORRECAO_C[[DIAS_CORRIDOS]:[V_FUT_UTEIS]],K$5, FALSE)</f>
        <v>#N/A</v>
      </c>
      <c r="L3084" s="22" t="e">
        <f>VLOOKUP($A3084, TAB_AMORTIZACAO_C[[DIAS_CORRIDOS]:[V_FUT_UTEIS]], L$5, FALSE)</f>
        <v>#N/A</v>
      </c>
    </row>
    <row r="3085" spans="1:12" hidden="1">
      <c r="A3085" s="19">
        <f t="shared" si="249"/>
        <v>3079</v>
      </c>
      <c r="B3085" s="20">
        <f t="shared" si="245"/>
        <v>0</v>
      </c>
      <c r="C3085" s="21">
        <f t="shared" si="246"/>
        <v>0</v>
      </c>
      <c r="D3085" s="22" t="e">
        <f>VLOOKUP($A3085, TAB_JUROS_U[[Q_DIAS_U_PARC_TIR]:[V_FUT_U_JURS CENARIO]], D$5, FALSE)</f>
        <v>#N/A</v>
      </c>
      <c r="E3085" s="22" t="e">
        <f>VLOOKUP($A3085,TAB_CORRECAO_U[[Q_DIAS_U_PARC_TIR]:[V_FUT_U_CORC-02]],E$5, FALSE)</f>
        <v>#N/A</v>
      </c>
      <c r="F3085" s="22" t="e">
        <f>VLOOKUP($A3085,TAB_AMORTIZACAO_U[[Q_DIAS_U_PARC_TIR]:[V_FUT_U_PCPL-02]], F$5, FALSE)</f>
        <v>#N/A</v>
      </c>
      <c r="H3085" s="20">
        <f t="shared" si="247"/>
        <v>0</v>
      </c>
      <c r="I3085" s="21">
        <f t="shared" si="248"/>
        <v>0</v>
      </c>
      <c r="J3085" s="22" t="e">
        <f>VLOOKUP($A3085, TAB_JUROS_C[[DIAS_CORRIDOS]:[V_FUT_UTEIS]], J$5, FALSE)</f>
        <v>#N/A</v>
      </c>
      <c r="K3085" s="22" t="e">
        <f>VLOOKUP($A3085, TAB_CORRECAO_C[[DIAS_CORRIDOS]:[V_FUT_UTEIS]],K$5, FALSE)</f>
        <v>#N/A</v>
      </c>
      <c r="L3085" s="22" t="e">
        <f>VLOOKUP($A3085, TAB_AMORTIZACAO_C[[DIAS_CORRIDOS]:[V_FUT_UTEIS]], L$5, FALSE)</f>
        <v>#N/A</v>
      </c>
    </row>
    <row r="3086" spans="1:12" hidden="1">
      <c r="A3086" s="19">
        <f t="shared" si="249"/>
        <v>3080</v>
      </c>
      <c r="B3086" s="20">
        <f t="shared" si="245"/>
        <v>0</v>
      </c>
      <c r="C3086" s="21">
        <f t="shared" si="246"/>
        <v>0</v>
      </c>
      <c r="D3086" s="22" t="e">
        <f>VLOOKUP($A3086, TAB_JUROS_U[[Q_DIAS_U_PARC_TIR]:[V_FUT_U_JURS CENARIO]], D$5, FALSE)</f>
        <v>#N/A</v>
      </c>
      <c r="E3086" s="22" t="e">
        <f>VLOOKUP($A3086,TAB_CORRECAO_U[[Q_DIAS_U_PARC_TIR]:[V_FUT_U_CORC-02]],E$5, FALSE)</f>
        <v>#N/A</v>
      </c>
      <c r="F3086" s="22" t="e">
        <f>VLOOKUP($A3086,TAB_AMORTIZACAO_U[[Q_DIAS_U_PARC_TIR]:[V_FUT_U_PCPL-02]], F$5, FALSE)</f>
        <v>#N/A</v>
      </c>
      <c r="H3086" s="20">
        <f t="shared" si="247"/>
        <v>0</v>
      </c>
      <c r="I3086" s="21">
        <f t="shared" si="248"/>
        <v>0</v>
      </c>
      <c r="J3086" s="22" t="e">
        <f>VLOOKUP($A3086, TAB_JUROS_C[[DIAS_CORRIDOS]:[V_FUT_UTEIS]], J$5, FALSE)</f>
        <v>#N/A</v>
      </c>
      <c r="K3086" s="22" t="e">
        <f>VLOOKUP($A3086, TAB_CORRECAO_C[[DIAS_CORRIDOS]:[V_FUT_UTEIS]],K$5, FALSE)</f>
        <v>#N/A</v>
      </c>
      <c r="L3086" s="22" t="e">
        <f>VLOOKUP($A3086, TAB_AMORTIZACAO_C[[DIAS_CORRIDOS]:[V_FUT_UTEIS]], L$5, FALSE)</f>
        <v>#N/A</v>
      </c>
    </row>
    <row r="3087" spans="1:12" hidden="1">
      <c r="A3087" s="19">
        <f t="shared" si="249"/>
        <v>3081</v>
      </c>
      <c r="B3087" s="20">
        <f t="shared" si="245"/>
        <v>0</v>
      </c>
      <c r="C3087" s="21">
        <f t="shared" si="246"/>
        <v>0</v>
      </c>
      <c r="D3087" s="22" t="e">
        <f>VLOOKUP($A3087, TAB_JUROS_U[[Q_DIAS_U_PARC_TIR]:[V_FUT_U_JURS CENARIO]], D$5, FALSE)</f>
        <v>#N/A</v>
      </c>
      <c r="E3087" s="22" t="e">
        <f>VLOOKUP($A3087,TAB_CORRECAO_U[[Q_DIAS_U_PARC_TIR]:[V_FUT_U_CORC-02]],E$5, FALSE)</f>
        <v>#N/A</v>
      </c>
      <c r="F3087" s="22" t="e">
        <f>VLOOKUP($A3087,TAB_AMORTIZACAO_U[[Q_DIAS_U_PARC_TIR]:[V_FUT_U_PCPL-02]], F$5, FALSE)</f>
        <v>#N/A</v>
      </c>
      <c r="H3087" s="20">
        <f t="shared" si="247"/>
        <v>0</v>
      </c>
      <c r="I3087" s="21">
        <f t="shared" si="248"/>
        <v>0</v>
      </c>
      <c r="J3087" s="22" t="e">
        <f>VLOOKUP($A3087, TAB_JUROS_C[[DIAS_CORRIDOS]:[V_FUT_UTEIS]], J$5, FALSE)</f>
        <v>#N/A</v>
      </c>
      <c r="K3087" s="22" t="e">
        <f>VLOOKUP($A3087, TAB_CORRECAO_C[[DIAS_CORRIDOS]:[V_FUT_UTEIS]],K$5, FALSE)</f>
        <v>#N/A</v>
      </c>
      <c r="L3087" s="22" t="e">
        <f>VLOOKUP($A3087, TAB_AMORTIZACAO_C[[DIAS_CORRIDOS]:[V_FUT_UTEIS]], L$5, FALSE)</f>
        <v>#N/A</v>
      </c>
    </row>
    <row r="3088" spans="1:12" hidden="1">
      <c r="A3088" s="19">
        <f t="shared" si="249"/>
        <v>3082</v>
      </c>
      <c r="B3088" s="20">
        <f t="shared" si="245"/>
        <v>0</v>
      </c>
      <c r="C3088" s="21">
        <f t="shared" si="246"/>
        <v>0</v>
      </c>
      <c r="D3088" s="22" t="e">
        <f>VLOOKUP($A3088, TAB_JUROS_U[[Q_DIAS_U_PARC_TIR]:[V_FUT_U_JURS CENARIO]], D$5, FALSE)</f>
        <v>#N/A</v>
      </c>
      <c r="E3088" s="22" t="e">
        <f>VLOOKUP($A3088,TAB_CORRECAO_U[[Q_DIAS_U_PARC_TIR]:[V_FUT_U_CORC-02]],E$5, FALSE)</f>
        <v>#N/A</v>
      </c>
      <c r="F3088" s="22" t="e">
        <f>VLOOKUP($A3088,TAB_AMORTIZACAO_U[[Q_DIAS_U_PARC_TIR]:[V_FUT_U_PCPL-02]], F$5, FALSE)</f>
        <v>#N/A</v>
      </c>
      <c r="H3088" s="20">
        <f t="shared" si="247"/>
        <v>0</v>
      </c>
      <c r="I3088" s="21">
        <f t="shared" si="248"/>
        <v>0</v>
      </c>
      <c r="J3088" s="22" t="e">
        <f>VLOOKUP($A3088, TAB_JUROS_C[[DIAS_CORRIDOS]:[V_FUT_UTEIS]], J$5, FALSE)</f>
        <v>#N/A</v>
      </c>
      <c r="K3088" s="22" t="e">
        <f>VLOOKUP($A3088, TAB_CORRECAO_C[[DIAS_CORRIDOS]:[V_FUT_UTEIS]],K$5, FALSE)</f>
        <v>#N/A</v>
      </c>
      <c r="L3088" s="22" t="e">
        <f>VLOOKUP($A3088, TAB_AMORTIZACAO_C[[DIAS_CORRIDOS]:[V_FUT_UTEIS]], L$5, FALSE)</f>
        <v>#N/A</v>
      </c>
    </row>
    <row r="3089" spans="1:12" hidden="1">
      <c r="A3089" s="19">
        <f t="shared" si="249"/>
        <v>3083</v>
      </c>
      <c r="B3089" s="20">
        <f t="shared" si="245"/>
        <v>0</v>
      </c>
      <c r="C3089" s="21">
        <f t="shared" si="246"/>
        <v>0</v>
      </c>
      <c r="D3089" s="22" t="e">
        <f>VLOOKUP($A3089, TAB_JUROS_U[[Q_DIAS_U_PARC_TIR]:[V_FUT_U_JURS CENARIO]], D$5, FALSE)</f>
        <v>#N/A</v>
      </c>
      <c r="E3089" s="22" t="e">
        <f>VLOOKUP($A3089,TAB_CORRECAO_U[[Q_DIAS_U_PARC_TIR]:[V_FUT_U_CORC-02]],E$5, FALSE)</f>
        <v>#N/A</v>
      </c>
      <c r="F3089" s="22" t="e">
        <f>VLOOKUP($A3089,TAB_AMORTIZACAO_U[[Q_DIAS_U_PARC_TIR]:[V_FUT_U_PCPL-02]], F$5, FALSE)</f>
        <v>#N/A</v>
      </c>
      <c r="H3089" s="20">
        <f t="shared" si="247"/>
        <v>0</v>
      </c>
      <c r="I3089" s="21">
        <f t="shared" si="248"/>
        <v>0</v>
      </c>
      <c r="J3089" s="22" t="e">
        <f>VLOOKUP($A3089, TAB_JUROS_C[[DIAS_CORRIDOS]:[V_FUT_UTEIS]], J$5, FALSE)</f>
        <v>#N/A</v>
      </c>
      <c r="K3089" s="22" t="e">
        <f>VLOOKUP($A3089, TAB_CORRECAO_C[[DIAS_CORRIDOS]:[V_FUT_UTEIS]],K$5, FALSE)</f>
        <v>#N/A</v>
      </c>
      <c r="L3089" s="22" t="e">
        <f>VLOOKUP($A3089, TAB_AMORTIZACAO_C[[DIAS_CORRIDOS]:[V_FUT_UTEIS]], L$5, FALSE)</f>
        <v>#N/A</v>
      </c>
    </row>
    <row r="3090" spans="1:12" hidden="1">
      <c r="A3090" s="19">
        <f t="shared" si="249"/>
        <v>3084</v>
      </c>
      <c r="B3090" s="20">
        <f t="shared" si="245"/>
        <v>0</v>
      </c>
      <c r="C3090" s="21">
        <f t="shared" si="246"/>
        <v>0</v>
      </c>
      <c r="D3090" s="22" t="e">
        <f>VLOOKUP($A3090, TAB_JUROS_U[[Q_DIAS_U_PARC_TIR]:[V_FUT_U_JURS CENARIO]], D$5, FALSE)</f>
        <v>#N/A</v>
      </c>
      <c r="E3090" s="22" t="e">
        <f>VLOOKUP($A3090,TAB_CORRECAO_U[[Q_DIAS_U_PARC_TIR]:[V_FUT_U_CORC-02]],E$5, FALSE)</f>
        <v>#N/A</v>
      </c>
      <c r="F3090" s="22" t="e">
        <f>VLOOKUP($A3090,TAB_AMORTIZACAO_U[[Q_DIAS_U_PARC_TIR]:[V_FUT_U_PCPL-02]], F$5, FALSE)</f>
        <v>#N/A</v>
      </c>
      <c r="H3090" s="20">
        <f t="shared" si="247"/>
        <v>0</v>
      </c>
      <c r="I3090" s="21">
        <f t="shared" si="248"/>
        <v>0</v>
      </c>
      <c r="J3090" s="22" t="e">
        <f>VLOOKUP($A3090, TAB_JUROS_C[[DIAS_CORRIDOS]:[V_FUT_UTEIS]], J$5, FALSE)</f>
        <v>#N/A</v>
      </c>
      <c r="K3090" s="22" t="e">
        <f>VLOOKUP($A3090, TAB_CORRECAO_C[[DIAS_CORRIDOS]:[V_FUT_UTEIS]],K$5, FALSE)</f>
        <v>#N/A</v>
      </c>
      <c r="L3090" s="22" t="e">
        <f>VLOOKUP($A3090, TAB_AMORTIZACAO_C[[DIAS_CORRIDOS]:[V_FUT_UTEIS]], L$5, FALSE)</f>
        <v>#N/A</v>
      </c>
    </row>
    <row r="3091" spans="1:12" hidden="1">
      <c r="A3091" s="19">
        <f t="shared" si="249"/>
        <v>3085</v>
      </c>
      <c r="B3091" s="20">
        <f t="shared" si="245"/>
        <v>0</v>
      </c>
      <c r="C3091" s="21">
        <f t="shared" si="246"/>
        <v>0</v>
      </c>
      <c r="D3091" s="22" t="e">
        <f>VLOOKUP($A3091, TAB_JUROS_U[[Q_DIAS_U_PARC_TIR]:[V_FUT_U_JURS CENARIO]], D$5, FALSE)</f>
        <v>#N/A</v>
      </c>
      <c r="E3091" s="22" t="e">
        <f>VLOOKUP($A3091,TAB_CORRECAO_U[[Q_DIAS_U_PARC_TIR]:[V_FUT_U_CORC-02]],E$5, FALSE)</f>
        <v>#N/A</v>
      </c>
      <c r="F3091" s="22" t="e">
        <f>VLOOKUP($A3091,TAB_AMORTIZACAO_U[[Q_DIAS_U_PARC_TIR]:[V_FUT_U_PCPL-02]], F$5, FALSE)</f>
        <v>#N/A</v>
      </c>
      <c r="H3091" s="20">
        <f t="shared" si="247"/>
        <v>0</v>
      </c>
      <c r="I3091" s="21">
        <f t="shared" si="248"/>
        <v>0</v>
      </c>
      <c r="J3091" s="22" t="e">
        <f>VLOOKUP($A3091, TAB_JUROS_C[[DIAS_CORRIDOS]:[V_FUT_UTEIS]], J$5, FALSE)</f>
        <v>#N/A</v>
      </c>
      <c r="K3091" s="22" t="e">
        <f>VLOOKUP($A3091, TAB_CORRECAO_C[[DIAS_CORRIDOS]:[V_FUT_UTEIS]],K$5, FALSE)</f>
        <v>#N/A</v>
      </c>
      <c r="L3091" s="22" t="e">
        <f>VLOOKUP($A3091, TAB_AMORTIZACAO_C[[DIAS_CORRIDOS]:[V_FUT_UTEIS]], L$5, FALSE)</f>
        <v>#N/A</v>
      </c>
    </row>
    <row r="3092" spans="1:12" hidden="1">
      <c r="A3092" s="19">
        <f t="shared" si="249"/>
        <v>3086</v>
      </c>
      <c r="B3092" s="20">
        <f t="shared" si="245"/>
        <v>0</v>
      </c>
      <c r="C3092" s="21">
        <f t="shared" si="246"/>
        <v>0</v>
      </c>
      <c r="D3092" s="22" t="e">
        <f>VLOOKUP($A3092, TAB_JUROS_U[[Q_DIAS_U_PARC_TIR]:[V_FUT_U_JURS CENARIO]], D$5, FALSE)</f>
        <v>#N/A</v>
      </c>
      <c r="E3092" s="22" t="e">
        <f>VLOOKUP($A3092,TAB_CORRECAO_U[[Q_DIAS_U_PARC_TIR]:[V_FUT_U_CORC-02]],E$5, FALSE)</f>
        <v>#N/A</v>
      </c>
      <c r="F3092" s="22" t="e">
        <f>VLOOKUP($A3092,TAB_AMORTIZACAO_U[[Q_DIAS_U_PARC_TIR]:[V_FUT_U_PCPL-02]], F$5, FALSE)</f>
        <v>#N/A</v>
      </c>
      <c r="H3092" s="20">
        <f t="shared" si="247"/>
        <v>0</v>
      </c>
      <c r="I3092" s="21">
        <f t="shared" si="248"/>
        <v>0</v>
      </c>
      <c r="J3092" s="22" t="e">
        <f>VLOOKUP($A3092, TAB_JUROS_C[[DIAS_CORRIDOS]:[V_FUT_UTEIS]], J$5, FALSE)</f>
        <v>#N/A</v>
      </c>
      <c r="K3092" s="22" t="e">
        <f>VLOOKUP($A3092, TAB_CORRECAO_C[[DIAS_CORRIDOS]:[V_FUT_UTEIS]],K$5, FALSE)</f>
        <v>#N/A</v>
      </c>
      <c r="L3092" s="22" t="e">
        <f>VLOOKUP($A3092, TAB_AMORTIZACAO_C[[DIAS_CORRIDOS]:[V_FUT_UTEIS]], L$5, FALSE)</f>
        <v>#N/A</v>
      </c>
    </row>
    <row r="3093" spans="1:12" hidden="1">
      <c r="A3093" s="19">
        <f t="shared" si="249"/>
        <v>3087</v>
      </c>
      <c r="B3093" s="20">
        <f t="shared" si="245"/>
        <v>0</v>
      </c>
      <c r="C3093" s="21">
        <f t="shared" si="246"/>
        <v>0</v>
      </c>
      <c r="D3093" s="22" t="e">
        <f>VLOOKUP($A3093, TAB_JUROS_U[[Q_DIAS_U_PARC_TIR]:[V_FUT_U_JURS CENARIO]], D$5, FALSE)</f>
        <v>#N/A</v>
      </c>
      <c r="E3093" s="22" t="e">
        <f>VLOOKUP($A3093,TAB_CORRECAO_U[[Q_DIAS_U_PARC_TIR]:[V_FUT_U_CORC-02]],E$5, FALSE)</f>
        <v>#N/A</v>
      </c>
      <c r="F3093" s="22" t="e">
        <f>VLOOKUP($A3093,TAB_AMORTIZACAO_U[[Q_DIAS_U_PARC_TIR]:[V_FUT_U_PCPL-02]], F$5, FALSE)</f>
        <v>#N/A</v>
      </c>
      <c r="H3093" s="20">
        <f t="shared" si="247"/>
        <v>262.42520379872224</v>
      </c>
      <c r="I3093" s="21">
        <f t="shared" si="248"/>
        <v>262.42520379872224</v>
      </c>
      <c r="J3093" s="22">
        <f>VLOOKUP($A3093, TAB_JUROS_C[[DIAS_CORRIDOS]:[V_FUT_UTEIS]], J$5, FALSE)</f>
        <v>13.625132599474062</v>
      </c>
      <c r="K3093" s="22">
        <f>VLOOKUP($A3093, TAB_CORRECAO_C[[DIAS_CORRIDOS]:[V_FUT_UTEIS]],K$5, FALSE)</f>
        <v>83.918237659721541</v>
      </c>
      <c r="L3093" s="22">
        <f>VLOOKUP($A3093, TAB_AMORTIZACAO_C[[DIAS_CORRIDOS]:[V_FUT_UTEIS]], L$5, FALSE)</f>
        <v>164.88183353952667</v>
      </c>
    </row>
    <row r="3094" spans="1:12" hidden="1">
      <c r="A3094" s="19">
        <f t="shared" si="249"/>
        <v>3088</v>
      </c>
      <c r="B3094" s="20">
        <f t="shared" si="245"/>
        <v>0</v>
      </c>
      <c r="C3094" s="21">
        <f t="shared" si="246"/>
        <v>0</v>
      </c>
      <c r="D3094" s="22" t="e">
        <f>VLOOKUP($A3094, TAB_JUROS_U[[Q_DIAS_U_PARC_TIR]:[V_FUT_U_JURS CENARIO]], D$5, FALSE)</f>
        <v>#N/A</v>
      </c>
      <c r="E3094" s="22" t="e">
        <f>VLOOKUP($A3094,TAB_CORRECAO_U[[Q_DIAS_U_PARC_TIR]:[V_FUT_U_CORC-02]],E$5, FALSE)</f>
        <v>#N/A</v>
      </c>
      <c r="F3094" s="22" t="e">
        <f>VLOOKUP($A3094,TAB_AMORTIZACAO_U[[Q_DIAS_U_PARC_TIR]:[V_FUT_U_PCPL-02]], F$5, FALSE)</f>
        <v>#N/A</v>
      </c>
      <c r="H3094" s="20">
        <f t="shared" si="247"/>
        <v>0</v>
      </c>
      <c r="I3094" s="21">
        <f t="shared" si="248"/>
        <v>0</v>
      </c>
      <c r="J3094" s="22" t="e">
        <f>VLOOKUP($A3094, TAB_JUROS_C[[DIAS_CORRIDOS]:[V_FUT_UTEIS]], J$5, FALSE)</f>
        <v>#N/A</v>
      </c>
      <c r="K3094" s="22" t="e">
        <f>VLOOKUP($A3094, TAB_CORRECAO_C[[DIAS_CORRIDOS]:[V_FUT_UTEIS]],K$5, FALSE)</f>
        <v>#N/A</v>
      </c>
      <c r="L3094" s="22" t="e">
        <f>VLOOKUP($A3094, TAB_AMORTIZACAO_C[[DIAS_CORRIDOS]:[V_FUT_UTEIS]], L$5, FALSE)</f>
        <v>#N/A</v>
      </c>
    </row>
    <row r="3095" spans="1:12" hidden="1">
      <c r="A3095" s="19">
        <f t="shared" si="249"/>
        <v>3089</v>
      </c>
      <c r="B3095" s="20">
        <f t="shared" si="245"/>
        <v>0</v>
      </c>
      <c r="C3095" s="21">
        <f t="shared" si="246"/>
        <v>0</v>
      </c>
      <c r="D3095" s="22" t="e">
        <f>VLOOKUP($A3095, TAB_JUROS_U[[Q_DIAS_U_PARC_TIR]:[V_FUT_U_JURS CENARIO]], D$5, FALSE)</f>
        <v>#N/A</v>
      </c>
      <c r="E3095" s="22" t="e">
        <f>VLOOKUP($A3095,TAB_CORRECAO_U[[Q_DIAS_U_PARC_TIR]:[V_FUT_U_CORC-02]],E$5, FALSE)</f>
        <v>#N/A</v>
      </c>
      <c r="F3095" s="22" t="e">
        <f>VLOOKUP($A3095,TAB_AMORTIZACAO_U[[Q_DIAS_U_PARC_TIR]:[V_FUT_U_PCPL-02]], F$5, FALSE)</f>
        <v>#N/A</v>
      </c>
      <c r="H3095" s="20">
        <f t="shared" si="247"/>
        <v>0</v>
      </c>
      <c r="I3095" s="21">
        <f t="shared" si="248"/>
        <v>0</v>
      </c>
      <c r="J3095" s="22" t="e">
        <f>VLOOKUP($A3095, TAB_JUROS_C[[DIAS_CORRIDOS]:[V_FUT_UTEIS]], J$5, FALSE)</f>
        <v>#N/A</v>
      </c>
      <c r="K3095" s="22" t="e">
        <f>VLOOKUP($A3095, TAB_CORRECAO_C[[DIAS_CORRIDOS]:[V_FUT_UTEIS]],K$5, FALSE)</f>
        <v>#N/A</v>
      </c>
      <c r="L3095" s="22" t="e">
        <f>VLOOKUP($A3095, TAB_AMORTIZACAO_C[[DIAS_CORRIDOS]:[V_FUT_UTEIS]], L$5, FALSE)</f>
        <v>#N/A</v>
      </c>
    </row>
    <row r="3096" spans="1:12" hidden="1">
      <c r="A3096" s="19">
        <f t="shared" si="249"/>
        <v>3090</v>
      </c>
      <c r="B3096" s="20">
        <f t="shared" si="245"/>
        <v>0</v>
      </c>
      <c r="C3096" s="21">
        <f t="shared" si="246"/>
        <v>0</v>
      </c>
      <c r="D3096" s="22" t="e">
        <f>VLOOKUP($A3096, TAB_JUROS_U[[Q_DIAS_U_PARC_TIR]:[V_FUT_U_JURS CENARIO]], D$5, FALSE)</f>
        <v>#N/A</v>
      </c>
      <c r="E3096" s="22" t="e">
        <f>VLOOKUP($A3096,TAB_CORRECAO_U[[Q_DIAS_U_PARC_TIR]:[V_FUT_U_CORC-02]],E$5, FALSE)</f>
        <v>#N/A</v>
      </c>
      <c r="F3096" s="22" t="e">
        <f>VLOOKUP($A3096,TAB_AMORTIZACAO_U[[Q_DIAS_U_PARC_TIR]:[V_FUT_U_PCPL-02]], F$5, FALSE)</f>
        <v>#N/A</v>
      </c>
      <c r="H3096" s="20">
        <f t="shared" si="247"/>
        <v>0</v>
      </c>
      <c r="I3096" s="21">
        <f t="shared" si="248"/>
        <v>0</v>
      </c>
      <c r="J3096" s="22" t="e">
        <f>VLOOKUP($A3096, TAB_JUROS_C[[DIAS_CORRIDOS]:[V_FUT_UTEIS]], J$5, FALSE)</f>
        <v>#N/A</v>
      </c>
      <c r="K3096" s="22" t="e">
        <f>VLOOKUP($A3096, TAB_CORRECAO_C[[DIAS_CORRIDOS]:[V_FUT_UTEIS]],K$5, FALSE)</f>
        <v>#N/A</v>
      </c>
      <c r="L3096" s="22" t="e">
        <f>VLOOKUP($A3096, TAB_AMORTIZACAO_C[[DIAS_CORRIDOS]:[V_FUT_UTEIS]], L$5, FALSE)</f>
        <v>#N/A</v>
      </c>
    </row>
    <row r="3097" spans="1:12" hidden="1">
      <c r="A3097" s="19">
        <f t="shared" si="249"/>
        <v>3091</v>
      </c>
      <c r="B3097" s="20">
        <f t="shared" si="245"/>
        <v>0</v>
      </c>
      <c r="C3097" s="21">
        <f t="shared" si="246"/>
        <v>0</v>
      </c>
      <c r="D3097" s="22" t="e">
        <f>VLOOKUP($A3097, TAB_JUROS_U[[Q_DIAS_U_PARC_TIR]:[V_FUT_U_JURS CENARIO]], D$5, FALSE)</f>
        <v>#N/A</v>
      </c>
      <c r="E3097" s="22" t="e">
        <f>VLOOKUP($A3097,TAB_CORRECAO_U[[Q_DIAS_U_PARC_TIR]:[V_FUT_U_CORC-02]],E$5, FALSE)</f>
        <v>#N/A</v>
      </c>
      <c r="F3097" s="22" t="e">
        <f>VLOOKUP($A3097,TAB_AMORTIZACAO_U[[Q_DIAS_U_PARC_TIR]:[V_FUT_U_PCPL-02]], F$5, FALSE)</f>
        <v>#N/A</v>
      </c>
      <c r="H3097" s="20">
        <f t="shared" si="247"/>
        <v>0</v>
      </c>
      <c r="I3097" s="21">
        <f t="shared" si="248"/>
        <v>0</v>
      </c>
      <c r="J3097" s="22" t="e">
        <f>VLOOKUP($A3097, TAB_JUROS_C[[DIAS_CORRIDOS]:[V_FUT_UTEIS]], J$5, FALSE)</f>
        <v>#N/A</v>
      </c>
      <c r="K3097" s="22" t="e">
        <f>VLOOKUP($A3097, TAB_CORRECAO_C[[DIAS_CORRIDOS]:[V_FUT_UTEIS]],K$5, FALSE)</f>
        <v>#N/A</v>
      </c>
      <c r="L3097" s="22" t="e">
        <f>VLOOKUP($A3097, TAB_AMORTIZACAO_C[[DIAS_CORRIDOS]:[V_FUT_UTEIS]], L$5, FALSE)</f>
        <v>#N/A</v>
      </c>
    </row>
    <row r="3098" spans="1:12" hidden="1">
      <c r="A3098" s="19">
        <f t="shared" si="249"/>
        <v>3092</v>
      </c>
      <c r="B3098" s="20">
        <f t="shared" si="245"/>
        <v>0</v>
      </c>
      <c r="C3098" s="21">
        <f t="shared" si="246"/>
        <v>0</v>
      </c>
      <c r="D3098" s="22" t="e">
        <f>VLOOKUP($A3098, TAB_JUROS_U[[Q_DIAS_U_PARC_TIR]:[V_FUT_U_JURS CENARIO]], D$5, FALSE)</f>
        <v>#N/A</v>
      </c>
      <c r="E3098" s="22" t="e">
        <f>VLOOKUP($A3098,TAB_CORRECAO_U[[Q_DIAS_U_PARC_TIR]:[V_FUT_U_CORC-02]],E$5, FALSE)</f>
        <v>#N/A</v>
      </c>
      <c r="F3098" s="22" t="e">
        <f>VLOOKUP($A3098,TAB_AMORTIZACAO_U[[Q_DIAS_U_PARC_TIR]:[V_FUT_U_PCPL-02]], F$5, FALSE)</f>
        <v>#N/A</v>
      </c>
      <c r="H3098" s="20">
        <f t="shared" si="247"/>
        <v>0</v>
      </c>
      <c r="I3098" s="21">
        <f t="shared" si="248"/>
        <v>0</v>
      </c>
      <c r="J3098" s="22" t="e">
        <f>VLOOKUP($A3098, TAB_JUROS_C[[DIAS_CORRIDOS]:[V_FUT_UTEIS]], J$5, FALSE)</f>
        <v>#N/A</v>
      </c>
      <c r="K3098" s="22" t="e">
        <f>VLOOKUP($A3098, TAB_CORRECAO_C[[DIAS_CORRIDOS]:[V_FUT_UTEIS]],K$5, FALSE)</f>
        <v>#N/A</v>
      </c>
      <c r="L3098" s="22" t="e">
        <f>VLOOKUP($A3098, TAB_AMORTIZACAO_C[[DIAS_CORRIDOS]:[V_FUT_UTEIS]], L$5, FALSE)</f>
        <v>#N/A</v>
      </c>
    </row>
    <row r="3099" spans="1:12" hidden="1">
      <c r="A3099" s="19">
        <f t="shared" si="249"/>
        <v>3093</v>
      </c>
      <c r="B3099" s="20">
        <f t="shared" si="245"/>
        <v>0</v>
      </c>
      <c r="C3099" s="21">
        <f t="shared" si="246"/>
        <v>0</v>
      </c>
      <c r="D3099" s="22" t="e">
        <f>VLOOKUP($A3099, TAB_JUROS_U[[Q_DIAS_U_PARC_TIR]:[V_FUT_U_JURS CENARIO]], D$5, FALSE)</f>
        <v>#N/A</v>
      </c>
      <c r="E3099" s="22" t="e">
        <f>VLOOKUP($A3099,TAB_CORRECAO_U[[Q_DIAS_U_PARC_TIR]:[V_FUT_U_CORC-02]],E$5, FALSE)</f>
        <v>#N/A</v>
      </c>
      <c r="F3099" s="22" t="e">
        <f>VLOOKUP($A3099,TAB_AMORTIZACAO_U[[Q_DIAS_U_PARC_TIR]:[V_FUT_U_PCPL-02]], F$5, FALSE)</f>
        <v>#N/A</v>
      </c>
      <c r="H3099" s="20">
        <f t="shared" si="247"/>
        <v>0</v>
      </c>
      <c r="I3099" s="21">
        <f t="shared" si="248"/>
        <v>0</v>
      </c>
      <c r="J3099" s="22" t="e">
        <f>VLOOKUP($A3099, TAB_JUROS_C[[DIAS_CORRIDOS]:[V_FUT_UTEIS]], J$5, FALSE)</f>
        <v>#N/A</v>
      </c>
      <c r="K3099" s="22" t="e">
        <f>VLOOKUP($A3099, TAB_CORRECAO_C[[DIAS_CORRIDOS]:[V_FUT_UTEIS]],K$5, FALSE)</f>
        <v>#N/A</v>
      </c>
      <c r="L3099" s="22" t="e">
        <f>VLOOKUP($A3099, TAB_AMORTIZACAO_C[[DIAS_CORRIDOS]:[V_FUT_UTEIS]], L$5, FALSE)</f>
        <v>#N/A</v>
      </c>
    </row>
    <row r="3100" spans="1:12" hidden="1">
      <c r="A3100" s="19">
        <f t="shared" si="249"/>
        <v>3094</v>
      </c>
      <c r="B3100" s="20">
        <f t="shared" si="245"/>
        <v>0</v>
      </c>
      <c r="C3100" s="21">
        <f t="shared" si="246"/>
        <v>0</v>
      </c>
      <c r="D3100" s="22" t="e">
        <f>VLOOKUP($A3100, TAB_JUROS_U[[Q_DIAS_U_PARC_TIR]:[V_FUT_U_JURS CENARIO]], D$5, FALSE)</f>
        <v>#N/A</v>
      </c>
      <c r="E3100" s="22" t="e">
        <f>VLOOKUP($A3100,TAB_CORRECAO_U[[Q_DIAS_U_PARC_TIR]:[V_FUT_U_CORC-02]],E$5, FALSE)</f>
        <v>#N/A</v>
      </c>
      <c r="F3100" s="22" t="e">
        <f>VLOOKUP($A3100,TAB_AMORTIZACAO_U[[Q_DIAS_U_PARC_TIR]:[V_FUT_U_PCPL-02]], F$5, FALSE)</f>
        <v>#N/A</v>
      </c>
      <c r="H3100" s="20">
        <f t="shared" si="247"/>
        <v>0</v>
      </c>
      <c r="I3100" s="21">
        <f t="shared" si="248"/>
        <v>0</v>
      </c>
      <c r="J3100" s="22" t="e">
        <f>VLOOKUP($A3100, TAB_JUROS_C[[DIAS_CORRIDOS]:[V_FUT_UTEIS]], J$5, FALSE)</f>
        <v>#N/A</v>
      </c>
      <c r="K3100" s="22" t="e">
        <f>VLOOKUP($A3100, TAB_CORRECAO_C[[DIAS_CORRIDOS]:[V_FUT_UTEIS]],K$5, FALSE)</f>
        <v>#N/A</v>
      </c>
      <c r="L3100" s="22" t="e">
        <f>VLOOKUP($A3100, TAB_AMORTIZACAO_C[[DIAS_CORRIDOS]:[V_FUT_UTEIS]], L$5, FALSE)</f>
        <v>#N/A</v>
      </c>
    </row>
    <row r="3101" spans="1:12" hidden="1">
      <c r="A3101" s="19">
        <f t="shared" si="249"/>
        <v>3095</v>
      </c>
      <c r="B3101" s="20">
        <f t="shared" si="245"/>
        <v>0</v>
      </c>
      <c r="C3101" s="21">
        <f t="shared" si="246"/>
        <v>0</v>
      </c>
      <c r="D3101" s="22" t="e">
        <f>VLOOKUP($A3101, TAB_JUROS_U[[Q_DIAS_U_PARC_TIR]:[V_FUT_U_JURS CENARIO]], D$5, FALSE)</f>
        <v>#N/A</v>
      </c>
      <c r="E3101" s="22" t="e">
        <f>VLOOKUP($A3101,TAB_CORRECAO_U[[Q_DIAS_U_PARC_TIR]:[V_FUT_U_CORC-02]],E$5, FALSE)</f>
        <v>#N/A</v>
      </c>
      <c r="F3101" s="22" t="e">
        <f>VLOOKUP($A3101,TAB_AMORTIZACAO_U[[Q_DIAS_U_PARC_TIR]:[V_FUT_U_PCPL-02]], F$5, FALSE)</f>
        <v>#N/A</v>
      </c>
      <c r="H3101" s="20">
        <f t="shared" si="247"/>
        <v>0</v>
      </c>
      <c r="I3101" s="21">
        <f t="shared" si="248"/>
        <v>0</v>
      </c>
      <c r="J3101" s="22" t="e">
        <f>VLOOKUP($A3101, TAB_JUROS_C[[DIAS_CORRIDOS]:[V_FUT_UTEIS]], J$5, FALSE)</f>
        <v>#N/A</v>
      </c>
      <c r="K3101" s="22" t="e">
        <f>VLOOKUP($A3101, TAB_CORRECAO_C[[DIAS_CORRIDOS]:[V_FUT_UTEIS]],K$5, FALSE)</f>
        <v>#N/A</v>
      </c>
      <c r="L3101" s="22" t="e">
        <f>VLOOKUP($A3101, TAB_AMORTIZACAO_C[[DIAS_CORRIDOS]:[V_FUT_UTEIS]], L$5, FALSE)</f>
        <v>#N/A</v>
      </c>
    </row>
    <row r="3102" spans="1:12" hidden="1">
      <c r="A3102" s="19">
        <f t="shared" si="249"/>
        <v>3096</v>
      </c>
      <c r="B3102" s="20">
        <f t="shared" si="245"/>
        <v>0</v>
      </c>
      <c r="C3102" s="21">
        <f t="shared" si="246"/>
        <v>0</v>
      </c>
      <c r="D3102" s="22" t="e">
        <f>VLOOKUP($A3102, TAB_JUROS_U[[Q_DIAS_U_PARC_TIR]:[V_FUT_U_JURS CENARIO]], D$5, FALSE)</f>
        <v>#N/A</v>
      </c>
      <c r="E3102" s="22" t="e">
        <f>VLOOKUP($A3102,TAB_CORRECAO_U[[Q_DIAS_U_PARC_TIR]:[V_FUT_U_CORC-02]],E$5, FALSE)</f>
        <v>#N/A</v>
      </c>
      <c r="F3102" s="22" t="e">
        <f>VLOOKUP($A3102,TAB_AMORTIZACAO_U[[Q_DIAS_U_PARC_TIR]:[V_FUT_U_PCPL-02]], F$5, FALSE)</f>
        <v>#N/A</v>
      </c>
      <c r="H3102" s="20">
        <f t="shared" si="247"/>
        <v>0</v>
      </c>
      <c r="I3102" s="21">
        <f t="shared" si="248"/>
        <v>0</v>
      </c>
      <c r="J3102" s="22" t="e">
        <f>VLOOKUP($A3102, TAB_JUROS_C[[DIAS_CORRIDOS]:[V_FUT_UTEIS]], J$5, FALSE)</f>
        <v>#N/A</v>
      </c>
      <c r="K3102" s="22" t="e">
        <f>VLOOKUP($A3102, TAB_CORRECAO_C[[DIAS_CORRIDOS]:[V_FUT_UTEIS]],K$5, FALSE)</f>
        <v>#N/A</v>
      </c>
      <c r="L3102" s="22" t="e">
        <f>VLOOKUP($A3102, TAB_AMORTIZACAO_C[[DIAS_CORRIDOS]:[V_FUT_UTEIS]], L$5, FALSE)</f>
        <v>#N/A</v>
      </c>
    </row>
    <row r="3103" spans="1:12" hidden="1">
      <c r="A3103" s="19">
        <f t="shared" si="249"/>
        <v>3097</v>
      </c>
      <c r="B3103" s="20">
        <f t="shared" si="245"/>
        <v>0</v>
      </c>
      <c r="C3103" s="21">
        <f t="shared" si="246"/>
        <v>0</v>
      </c>
      <c r="D3103" s="22" t="e">
        <f>VLOOKUP($A3103, TAB_JUROS_U[[Q_DIAS_U_PARC_TIR]:[V_FUT_U_JURS CENARIO]], D$5, FALSE)</f>
        <v>#N/A</v>
      </c>
      <c r="E3103" s="22" t="e">
        <f>VLOOKUP($A3103,TAB_CORRECAO_U[[Q_DIAS_U_PARC_TIR]:[V_FUT_U_CORC-02]],E$5, FALSE)</f>
        <v>#N/A</v>
      </c>
      <c r="F3103" s="22" t="e">
        <f>VLOOKUP($A3103,TAB_AMORTIZACAO_U[[Q_DIAS_U_PARC_TIR]:[V_FUT_U_PCPL-02]], F$5, FALSE)</f>
        <v>#N/A</v>
      </c>
      <c r="H3103" s="20">
        <f t="shared" si="247"/>
        <v>0</v>
      </c>
      <c r="I3103" s="21">
        <f t="shared" si="248"/>
        <v>0</v>
      </c>
      <c r="J3103" s="22" t="e">
        <f>VLOOKUP($A3103, TAB_JUROS_C[[DIAS_CORRIDOS]:[V_FUT_UTEIS]], J$5, FALSE)</f>
        <v>#N/A</v>
      </c>
      <c r="K3103" s="22" t="e">
        <f>VLOOKUP($A3103, TAB_CORRECAO_C[[DIAS_CORRIDOS]:[V_FUT_UTEIS]],K$5, FALSE)</f>
        <v>#N/A</v>
      </c>
      <c r="L3103" s="22" t="e">
        <f>VLOOKUP($A3103, TAB_AMORTIZACAO_C[[DIAS_CORRIDOS]:[V_FUT_UTEIS]], L$5, FALSE)</f>
        <v>#N/A</v>
      </c>
    </row>
    <row r="3104" spans="1:12" hidden="1">
      <c r="A3104" s="19">
        <f t="shared" si="249"/>
        <v>3098</v>
      </c>
      <c r="B3104" s="20">
        <f t="shared" si="245"/>
        <v>0</v>
      </c>
      <c r="C3104" s="21">
        <f t="shared" si="246"/>
        <v>0</v>
      </c>
      <c r="D3104" s="22" t="e">
        <f>VLOOKUP($A3104, TAB_JUROS_U[[Q_DIAS_U_PARC_TIR]:[V_FUT_U_JURS CENARIO]], D$5, FALSE)</f>
        <v>#N/A</v>
      </c>
      <c r="E3104" s="22" t="e">
        <f>VLOOKUP($A3104,TAB_CORRECAO_U[[Q_DIAS_U_PARC_TIR]:[V_FUT_U_CORC-02]],E$5, FALSE)</f>
        <v>#N/A</v>
      </c>
      <c r="F3104" s="22" t="e">
        <f>VLOOKUP($A3104,TAB_AMORTIZACAO_U[[Q_DIAS_U_PARC_TIR]:[V_FUT_U_PCPL-02]], F$5, FALSE)</f>
        <v>#N/A</v>
      </c>
      <c r="H3104" s="20">
        <f t="shared" si="247"/>
        <v>0</v>
      </c>
      <c r="I3104" s="21">
        <f t="shared" si="248"/>
        <v>0</v>
      </c>
      <c r="J3104" s="22" t="e">
        <f>VLOOKUP($A3104, TAB_JUROS_C[[DIAS_CORRIDOS]:[V_FUT_UTEIS]], J$5, FALSE)</f>
        <v>#N/A</v>
      </c>
      <c r="K3104" s="22" t="e">
        <f>VLOOKUP($A3104, TAB_CORRECAO_C[[DIAS_CORRIDOS]:[V_FUT_UTEIS]],K$5, FALSE)</f>
        <v>#N/A</v>
      </c>
      <c r="L3104" s="22" t="e">
        <f>VLOOKUP($A3104, TAB_AMORTIZACAO_C[[DIAS_CORRIDOS]:[V_FUT_UTEIS]], L$5, FALSE)</f>
        <v>#N/A</v>
      </c>
    </row>
    <row r="3105" spans="1:12" hidden="1">
      <c r="A3105" s="19">
        <f t="shared" si="249"/>
        <v>3099</v>
      </c>
      <c r="B3105" s="20">
        <f t="shared" si="245"/>
        <v>0</v>
      </c>
      <c r="C3105" s="21">
        <f t="shared" si="246"/>
        <v>0</v>
      </c>
      <c r="D3105" s="22" t="e">
        <f>VLOOKUP($A3105, TAB_JUROS_U[[Q_DIAS_U_PARC_TIR]:[V_FUT_U_JURS CENARIO]], D$5, FALSE)</f>
        <v>#N/A</v>
      </c>
      <c r="E3105" s="22" t="e">
        <f>VLOOKUP($A3105,TAB_CORRECAO_U[[Q_DIAS_U_PARC_TIR]:[V_FUT_U_CORC-02]],E$5, FALSE)</f>
        <v>#N/A</v>
      </c>
      <c r="F3105" s="22" t="e">
        <f>VLOOKUP($A3105,TAB_AMORTIZACAO_U[[Q_DIAS_U_PARC_TIR]:[V_FUT_U_PCPL-02]], F$5, FALSE)</f>
        <v>#N/A</v>
      </c>
      <c r="H3105" s="20">
        <f t="shared" si="247"/>
        <v>0</v>
      </c>
      <c r="I3105" s="21">
        <f t="shared" si="248"/>
        <v>0</v>
      </c>
      <c r="J3105" s="22" t="e">
        <f>VLOOKUP($A3105, TAB_JUROS_C[[DIAS_CORRIDOS]:[V_FUT_UTEIS]], J$5, FALSE)</f>
        <v>#N/A</v>
      </c>
      <c r="K3105" s="22" t="e">
        <f>VLOOKUP($A3105, TAB_CORRECAO_C[[DIAS_CORRIDOS]:[V_FUT_UTEIS]],K$5, FALSE)</f>
        <v>#N/A</v>
      </c>
      <c r="L3105" s="22" t="e">
        <f>VLOOKUP($A3105, TAB_AMORTIZACAO_C[[DIAS_CORRIDOS]:[V_FUT_UTEIS]], L$5, FALSE)</f>
        <v>#N/A</v>
      </c>
    </row>
    <row r="3106" spans="1:12" hidden="1">
      <c r="A3106" s="19">
        <f t="shared" si="249"/>
        <v>3100</v>
      </c>
      <c r="B3106" s="20">
        <f t="shared" si="245"/>
        <v>0</v>
      </c>
      <c r="C3106" s="21">
        <f t="shared" si="246"/>
        <v>0</v>
      </c>
      <c r="D3106" s="22" t="e">
        <f>VLOOKUP($A3106, TAB_JUROS_U[[Q_DIAS_U_PARC_TIR]:[V_FUT_U_JURS CENARIO]], D$5, FALSE)</f>
        <v>#N/A</v>
      </c>
      <c r="E3106" s="22" t="e">
        <f>VLOOKUP($A3106,TAB_CORRECAO_U[[Q_DIAS_U_PARC_TIR]:[V_FUT_U_CORC-02]],E$5, FALSE)</f>
        <v>#N/A</v>
      </c>
      <c r="F3106" s="22" t="e">
        <f>VLOOKUP($A3106,TAB_AMORTIZACAO_U[[Q_DIAS_U_PARC_TIR]:[V_FUT_U_PCPL-02]], F$5, FALSE)</f>
        <v>#N/A</v>
      </c>
      <c r="H3106" s="20">
        <f t="shared" si="247"/>
        <v>0</v>
      </c>
      <c r="I3106" s="21">
        <f t="shared" si="248"/>
        <v>0</v>
      </c>
      <c r="J3106" s="22" t="e">
        <f>VLOOKUP($A3106, TAB_JUROS_C[[DIAS_CORRIDOS]:[V_FUT_UTEIS]], J$5, FALSE)</f>
        <v>#N/A</v>
      </c>
      <c r="K3106" s="22" t="e">
        <f>VLOOKUP($A3106, TAB_CORRECAO_C[[DIAS_CORRIDOS]:[V_FUT_UTEIS]],K$5, FALSE)</f>
        <v>#N/A</v>
      </c>
      <c r="L3106" s="22" t="e">
        <f>VLOOKUP($A3106, TAB_AMORTIZACAO_C[[DIAS_CORRIDOS]:[V_FUT_UTEIS]], L$5, FALSE)</f>
        <v>#N/A</v>
      </c>
    </row>
    <row r="3107" spans="1:12" hidden="1">
      <c r="A3107" s="19">
        <f t="shared" si="249"/>
        <v>3101</v>
      </c>
      <c r="B3107" s="20">
        <f t="shared" si="245"/>
        <v>0</v>
      </c>
      <c r="C3107" s="21">
        <f t="shared" si="246"/>
        <v>0</v>
      </c>
      <c r="D3107" s="22" t="e">
        <f>VLOOKUP($A3107, TAB_JUROS_U[[Q_DIAS_U_PARC_TIR]:[V_FUT_U_JURS CENARIO]], D$5, FALSE)</f>
        <v>#N/A</v>
      </c>
      <c r="E3107" s="22" t="e">
        <f>VLOOKUP($A3107,TAB_CORRECAO_U[[Q_DIAS_U_PARC_TIR]:[V_FUT_U_CORC-02]],E$5, FALSE)</f>
        <v>#N/A</v>
      </c>
      <c r="F3107" s="22" t="e">
        <f>VLOOKUP($A3107,TAB_AMORTIZACAO_U[[Q_DIAS_U_PARC_TIR]:[V_FUT_U_PCPL-02]], F$5, FALSE)</f>
        <v>#N/A</v>
      </c>
      <c r="H3107" s="20">
        <f t="shared" si="247"/>
        <v>0</v>
      </c>
      <c r="I3107" s="21">
        <f t="shared" si="248"/>
        <v>0</v>
      </c>
      <c r="J3107" s="22" t="e">
        <f>VLOOKUP($A3107, TAB_JUROS_C[[DIAS_CORRIDOS]:[V_FUT_UTEIS]], J$5, FALSE)</f>
        <v>#N/A</v>
      </c>
      <c r="K3107" s="22" t="e">
        <f>VLOOKUP($A3107, TAB_CORRECAO_C[[DIAS_CORRIDOS]:[V_FUT_UTEIS]],K$5, FALSE)</f>
        <v>#N/A</v>
      </c>
      <c r="L3107" s="22" t="e">
        <f>VLOOKUP($A3107, TAB_AMORTIZACAO_C[[DIAS_CORRIDOS]:[V_FUT_UTEIS]], L$5, FALSE)</f>
        <v>#N/A</v>
      </c>
    </row>
    <row r="3108" spans="1:12" hidden="1">
      <c r="A3108" s="19">
        <f t="shared" si="249"/>
        <v>3102</v>
      </c>
      <c r="B3108" s="20">
        <f t="shared" si="245"/>
        <v>0</v>
      </c>
      <c r="C3108" s="21">
        <f t="shared" si="246"/>
        <v>0</v>
      </c>
      <c r="D3108" s="22" t="e">
        <f>VLOOKUP($A3108, TAB_JUROS_U[[Q_DIAS_U_PARC_TIR]:[V_FUT_U_JURS CENARIO]], D$5, FALSE)</f>
        <v>#N/A</v>
      </c>
      <c r="E3108" s="22" t="e">
        <f>VLOOKUP($A3108,TAB_CORRECAO_U[[Q_DIAS_U_PARC_TIR]:[V_FUT_U_CORC-02]],E$5, FALSE)</f>
        <v>#N/A</v>
      </c>
      <c r="F3108" s="22" t="e">
        <f>VLOOKUP($A3108,TAB_AMORTIZACAO_U[[Q_DIAS_U_PARC_TIR]:[V_FUT_U_PCPL-02]], F$5, FALSE)</f>
        <v>#N/A</v>
      </c>
      <c r="H3108" s="20">
        <f t="shared" si="247"/>
        <v>0</v>
      </c>
      <c r="I3108" s="21">
        <f t="shared" si="248"/>
        <v>0</v>
      </c>
      <c r="J3108" s="22" t="e">
        <f>VLOOKUP($A3108, TAB_JUROS_C[[DIAS_CORRIDOS]:[V_FUT_UTEIS]], J$5, FALSE)</f>
        <v>#N/A</v>
      </c>
      <c r="K3108" s="22" t="e">
        <f>VLOOKUP($A3108, TAB_CORRECAO_C[[DIAS_CORRIDOS]:[V_FUT_UTEIS]],K$5, FALSE)</f>
        <v>#N/A</v>
      </c>
      <c r="L3108" s="22" t="e">
        <f>VLOOKUP($A3108, TAB_AMORTIZACAO_C[[DIAS_CORRIDOS]:[V_FUT_UTEIS]], L$5, FALSE)</f>
        <v>#N/A</v>
      </c>
    </row>
    <row r="3109" spans="1:12" hidden="1">
      <c r="A3109" s="19">
        <f t="shared" si="249"/>
        <v>3103</v>
      </c>
      <c r="B3109" s="20">
        <f t="shared" si="245"/>
        <v>0</v>
      </c>
      <c r="C3109" s="21">
        <f t="shared" si="246"/>
        <v>0</v>
      </c>
      <c r="D3109" s="22" t="e">
        <f>VLOOKUP($A3109, TAB_JUROS_U[[Q_DIAS_U_PARC_TIR]:[V_FUT_U_JURS CENARIO]], D$5, FALSE)</f>
        <v>#N/A</v>
      </c>
      <c r="E3109" s="22" t="e">
        <f>VLOOKUP($A3109,TAB_CORRECAO_U[[Q_DIAS_U_PARC_TIR]:[V_FUT_U_CORC-02]],E$5, FALSE)</f>
        <v>#N/A</v>
      </c>
      <c r="F3109" s="22" t="e">
        <f>VLOOKUP($A3109,TAB_AMORTIZACAO_U[[Q_DIAS_U_PARC_TIR]:[V_FUT_U_PCPL-02]], F$5, FALSE)</f>
        <v>#N/A</v>
      </c>
      <c r="H3109" s="20">
        <f t="shared" si="247"/>
        <v>0</v>
      </c>
      <c r="I3109" s="21">
        <f t="shared" si="248"/>
        <v>0</v>
      </c>
      <c r="J3109" s="22" t="e">
        <f>VLOOKUP($A3109, TAB_JUROS_C[[DIAS_CORRIDOS]:[V_FUT_UTEIS]], J$5, FALSE)</f>
        <v>#N/A</v>
      </c>
      <c r="K3109" s="22" t="e">
        <f>VLOOKUP($A3109, TAB_CORRECAO_C[[DIAS_CORRIDOS]:[V_FUT_UTEIS]],K$5, FALSE)</f>
        <v>#N/A</v>
      </c>
      <c r="L3109" s="22" t="e">
        <f>VLOOKUP($A3109, TAB_AMORTIZACAO_C[[DIAS_CORRIDOS]:[V_FUT_UTEIS]], L$5, FALSE)</f>
        <v>#N/A</v>
      </c>
    </row>
    <row r="3110" spans="1:12" hidden="1">
      <c r="A3110" s="19">
        <f t="shared" si="249"/>
        <v>3104</v>
      </c>
      <c r="B3110" s="20">
        <f t="shared" si="245"/>
        <v>0</v>
      </c>
      <c r="C3110" s="21">
        <f t="shared" si="246"/>
        <v>0</v>
      </c>
      <c r="D3110" s="22" t="e">
        <f>VLOOKUP($A3110, TAB_JUROS_U[[Q_DIAS_U_PARC_TIR]:[V_FUT_U_JURS CENARIO]], D$5, FALSE)</f>
        <v>#N/A</v>
      </c>
      <c r="E3110" s="22" t="e">
        <f>VLOOKUP($A3110,TAB_CORRECAO_U[[Q_DIAS_U_PARC_TIR]:[V_FUT_U_CORC-02]],E$5, FALSE)</f>
        <v>#N/A</v>
      </c>
      <c r="F3110" s="22" t="e">
        <f>VLOOKUP($A3110,TAB_AMORTIZACAO_U[[Q_DIAS_U_PARC_TIR]:[V_FUT_U_PCPL-02]], F$5, FALSE)</f>
        <v>#N/A</v>
      </c>
      <c r="H3110" s="20">
        <f t="shared" si="247"/>
        <v>0</v>
      </c>
      <c r="I3110" s="21">
        <f t="shared" si="248"/>
        <v>0</v>
      </c>
      <c r="J3110" s="22" t="e">
        <f>VLOOKUP($A3110, TAB_JUROS_C[[DIAS_CORRIDOS]:[V_FUT_UTEIS]], J$5, FALSE)</f>
        <v>#N/A</v>
      </c>
      <c r="K3110" s="22" t="e">
        <f>VLOOKUP($A3110, TAB_CORRECAO_C[[DIAS_CORRIDOS]:[V_FUT_UTEIS]],K$5, FALSE)</f>
        <v>#N/A</v>
      </c>
      <c r="L3110" s="22" t="e">
        <f>VLOOKUP($A3110, TAB_AMORTIZACAO_C[[DIAS_CORRIDOS]:[V_FUT_UTEIS]], L$5, FALSE)</f>
        <v>#N/A</v>
      </c>
    </row>
    <row r="3111" spans="1:12" hidden="1">
      <c r="A3111" s="19">
        <f t="shared" si="249"/>
        <v>3105</v>
      </c>
      <c r="B3111" s="20">
        <f t="shared" si="245"/>
        <v>0</v>
      </c>
      <c r="C3111" s="21">
        <f t="shared" si="246"/>
        <v>0</v>
      </c>
      <c r="D3111" s="22" t="e">
        <f>VLOOKUP($A3111, TAB_JUROS_U[[Q_DIAS_U_PARC_TIR]:[V_FUT_U_JURS CENARIO]], D$5, FALSE)</f>
        <v>#N/A</v>
      </c>
      <c r="E3111" s="22" t="e">
        <f>VLOOKUP($A3111,TAB_CORRECAO_U[[Q_DIAS_U_PARC_TIR]:[V_FUT_U_CORC-02]],E$5, FALSE)</f>
        <v>#N/A</v>
      </c>
      <c r="F3111" s="22" t="e">
        <f>VLOOKUP($A3111,TAB_AMORTIZACAO_U[[Q_DIAS_U_PARC_TIR]:[V_FUT_U_PCPL-02]], F$5, FALSE)</f>
        <v>#N/A</v>
      </c>
      <c r="H3111" s="20">
        <f t="shared" si="247"/>
        <v>0</v>
      </c>
      <c r="I3111" s="21">
        <f t="shared" si="248"/>
        <v>0</v>
      </c>
      <c r="J3111" s="22" t="e">
        <f>VLOOKUP($A3111, TAB_JUROS_C[[DIAS_CORRIDOS]:[V_FUT_UTEIS]], J$5, FALSE)</f>
        <v>#N/A</v>
      </c>
      <c r="K3111" s="22" t="e">
        <f>VLOOKUP($A3111, TAB_CORRECAO_C[[DIAS_CORRIDOS]:[V_FUT_UTEIS]],K$5, FALSE)</f>
        <v>#N/A</v>
      </c>
      <c r="L3111" s="22" t="e">
        <f>VLOOKUP($A3111, TAB_AMORTIZACAO_C[[DIAS_CORRIDOS]:[V_FUT_UTEIS]], L$5, FALSE)</f>
        <v>#N/A</v>
      </c>
    </row>
    <row r="3112" spans="1:12" hidden="1">
      <c r="A3112" s="19">
        <f t="shared" si="249"/>
        <v>3106</v>
      </c>
      <c r="B3112" s="20">
        <f t="shared" si="245"/>
        <v>0</v>
      </c>
      <c r="C3112" s="21">
        <f t="shared" si="246"/>
        <v>0</v>
      </c>
      <c r="D3112" s="22" t="e">
        <f>VLOOKUP($A3112, TAB_JUROS_U[[Q_DIAS_U_PARC_TIR]:[V_FUT_U_JURS CENARIO]], D$5, FALSE)</f>
        <v>#N/A</v>
      </c>
      <c r="E3112" s="22" t="e">
        <f>VLOOKUP($A3112,TAB_CORRECAO_U[[Q_DIAS_U_PARC_TIR]:[V_FUT_U_CORC-02]],E$5, FALSE)</f>
        <v>#N/A</v>
      </c>
      <c r="F3112" s="22" t="e">
        <f>VLOOKUP($A3112,TAB_AMORTIZACAO_U[[Q_DIAS_U_PARC_TIR]:[V_FUT_U_PCPL-02]], F$5, FALSE)</f>
        <v>#N/A</v>
      </c>
      <c r="H3112" s="20">
        <f t="shared" si="247"/>
        <v>0</v>
      </c>
      <c r="I3112" s="21">
        <f t="shared" si="248"/>
        <v>0</v>
      </c>
      <c r="J3112" s="22" t="e">
        <f>VLOOKUP($A3112, TAB_JUROS_C[[DIAS_CORRIDOS]:[V_FUT_UTEIS]], J$5, FALSE)</f>
        <v>#N/A</v>
      </c>
      <c r="K3112" s="22" t="e">
        <f>VLOOKUP($A3112, TAB_CORRECAO_C[[DIAS_CORRIDOS]:[V_FUT_UTEIS]],K$5, FALSE)</f>
        <v>#N/A</v>
      </c>
      <c r="L3112" s="22" t="e">
        <f>VLOOKUP($A3112, TAB_AMORTIZACAO_C[[DIAS_CORRIDOS]:[V_FUT_UTEIS]], L$5, FALSE)</f>
        <v>#N/A</v>
      </c>
    </row>
    <row r="3113" spans="1:12" hidden="1">
      <c r="A3113" s="19">
        <f t="shared" si="249"/>
        <v>3107</v>
      </c>
      <c r="B3113" s="20">
        <f t="shared" si="245"/>
        <v>0</v>
      </c>
      <c r="C3113" s="21">
        <f t="shared" si="246"/>
        <v>0</v>
      </c>
      <c r="D3113" s="22" t="e">
        <f>VLOOKUP($A3113, TAB_JUROS_U[[Q_DIAS_U_PARC_TIR]:[V_FUT_U_JURS CENARIO]], D$5, FALSE)</f>
        <v>#N/A</v>
      </c>
      <c r="E3113" s="22" t="e">
        <f>VLOOKUP($A3113,TAB_CORRECAO_U[[Q_DIAS_U_PARC_TIR]:[V_FUT_U_CORC-02]],E$5, FALSE)</f>
        <v>#N/A</v>
      </c>
      <c r="F3113" s="22" t="e">
        <f>VLOOKUP($A3113,TAB_AMORTIZACAO_U[[Q_DIAS_U_PARC_TIR]:[V_FUT_U_PCPL-02]], F$5, FALSE)</f>
        <v>#N/A</v>
      </c>
      <c r="H3113" s="20">
        <f t="shared" si="247"/>
        <v>0</v>
      </c>
      <c r="I3113" s="21">
        <f t="shared" si="248"/>
        <v>0</v>
      </c>
      <c r="J3113" s="22" t="e">
        <f>VLOOKUP($A3113, TAB_JUROS_C[[DIAS_CORRIDOS]:[V_FUT_UTEIS]], J$5, FALSE)</f>
        <v>#N/A</v>
      </c>
      <c r="K3113" s="22" t="e">
        <f>VLOOKUP($A3113, TAB_CORRECAO_C[[DIAS_CORRIDOS]:[V_FUT_UTEIS]],K$5, FALSE)</f>
        <v>#N/A</v>
      </c>
      <c r="L3113" s="22" t="e">
        <f>VLOOKUP($A3113, TAB_AMORTIZACAO_C[[DIAS_CORRIDOS]:[V_FUT_UTEIS]], L$5, FALSE)</f>
        <v>#N/A</v>
      </c>
    </row>
    <row r="3114" spans="1:12" hidden="1">
      <c r="A3114" s="19">
        <f t="shared" si="249"/>
        <v>3108</v>
      </c>
      <c r="B3114" s="20">
        <f t="shared" si="245"/>
        <v>0</v>
      </c>
      <c r="C3114" s="21">
        <f t="shared" si="246"/>
        <v>0</v>
      </c>
      <c r="D3114" s="22" t="e">
        <f>VLOOKUP($A3114, TAB_JUROS_U[[Q_DIAS_U_PARC_TIR]:[V_FUT_U_JURS CENARIO]], D$5, FALSE)</f>
        <v>#N/A</v>
      </c>
      <c r="E3114" s="22" t="e">
        <f>VLOOKUP($A3114,TAB_CORRECAO_U[[Q_DIAS_U_PARC_TIR]:[V_FUT_U_CORC-02]],E$5, FALSE)</f>
        <v>#N/A</v>
      </c>
      <c r="F3114" s="22" t="e">
        <f>VLOOKUP($A3114,TAB_AMORTIZACAO_U[[Q_DIAS_U_PARC_TIR]:[V_FUT_U_PCPL-02]], F$5, FALSE)</f>
        <v>#N/A</v>
      </c>
      <c r="H3114" s="20">
        <f t="shared" si="247"/>
        <v>0</v>
      </c>
      <c r="I3114" s="21">
        <f t="shared" si="248"/>
        <v>0</v>
      </c>
      <c r="J3114" s="22" t="e">
        <f>VLOOKUP($A3114, TAB_JUROS_C[[DIAS_CORRIDOS]:[V_FUT_UTEIS]], J$5, FALSE)</f>
        <v>#N/A</v>
      </c>
      <c r="K3114" s="22" t="e">
        <f>VLOOKUP($A3114, TAB_CORRECAO_C[[DIAS_CORRIDOS]:[V_FUT_UTEIS]],K$5, FALSE)</f>
        <v>#N/A</v>
      </c>
      <c r="L3114" s="22" t="e">
        <f>VLOOKUP($A3114, TAB_AMORTIZACAO_C[[DIAS_CORRIDOS]:[V_FUT_UTEIS]], L$5, FALSE)</f>
        <v>#N/A</v>
      </c>
    </row>
    <row r="3115" spans="1:12" hidden="1">
      <c r="A3115" s="19">
        <f t="shared" si="249"/>
        <v>3109</v>
      </c>
      <c r="B3115" s="20">
        <f t="shared" si="245"/>
        <v>0</v>
      </c>
      <c r="C3115" s="21">
        <f t="shared" si="246"/>
        <v>0</v>
      </c>
      <c r="D3115" s="22" t="e">
        <f>VLOOKUP($A3115, TAB_JUROS_U[[Q_DIAS_U_PARC_TIR]:[V_FUT_U_JURS CENARIO]], D$5, FALSE)</f>
        <v>#N/A</v>
      </c>
      <c r="E3115" s="22" t="e">
        <f>VLOOKUP($A3115,TAB_CORRECAO_U[[Q_DIAS_U_PARC_TIR]:[V_FUT_U_CORC-02]],E$5, FALSE)</f>
        <v>#N/A</v>
      </c>
      <c r="F3115" s="22" t="e">
        <f>VLOOKUP($A3115,TAB_AMORTIZACAO_U[[Q_DIAS_U_PARC_TIR]:[V_FUT_U_PCPL-02]], F$5, FALSE)</f>
        <v>#N/A</v>
      </c>
      <c r="H3115" s="20">
        <f t="shared" si="247"/>
        <v>0</v>
      </c>
      <c r="I3115" s="21">
        <f t="shared" si="248"/>
        <v>0</v>
      </c>
      <c r="J3115" s="22" t="e">
        <f>VLOOKUP($A3115, TAB_JUROS_C[[DIAS_CORRIDOS]:[V_FUT_UTEIS]], J$5, FALSE)</f>
        <v>#N/A</v>
      </c>
      <c r="K3115" s="22" t="e">
        <f>VLOOKUP($A3115, TAB_CORRECAO_C[[DIAS_CORRIDOS]:[V_FUT_UTEIS]],K$5, FALSE)</f>
        <v>#N/A</v>
      </c>
      <c r="L3115" s="22" t="e">
        <f>VLOOKUP($A3115, TAB_AMORTIZACAO_C[[DIAS_CORRIDOS]:[V_FUT_UTEIS]], L$5, FALSE)</f>
        <v>#N/A</v>
      </c>
    </row>
    <row r="3116" spans="1:12" hidden="1">
      <c r="A3116" s="19">
        <f t="shared" si="249"/>
        <v>3110</v>
      </c>
      <c r="B3116" s="20">
        <f t="shared" si="245"/>
        <v>0</v>
      </c>
      <c r="C3116" s="21">
        <f t="shared" si="246"/>
        <v>0</v>
      </c>
      <c r="D3116" s="22" t="e">
        <f>VLOOKUP($A3116, TAB_JUROS_U[[Q_DIAS_U_PARC_TIR]:[V_FUT_U_JURS CENARIO]], D$5, FALSE)</f>
        <v>#N/A</v>
      </c>
      <c r="E3116" s="22" t="e">
        <f>VLOOKUP($A3116,TAB_CORRECAO_U[[Q_DIAS_U_PARC_TIR]:[V_FUT_U_CORC-02]],E$5, FALSE)</f>
        <v>#N/A</v>
      </c>
      <c r="F3116" s="22" t="e">
        <f>VLOOKUP($A3116,TAB_AMORTIZACAO_U[[Q_DIAS_U_PARC_TIR]:[V_FUT_U_PCPL-02]], F$5, FALSE)</f>
        <v>#N/A</v>
      </c>
      <c r="H3116" s="20">
        <f t="shared" si="247"/>
        <v>0</v>
      </c>
      <c r="I3116" s="21">
        <f t="shared" si="248"/>
        <v>0</v>
      </c>
      <c r="J3116" s="22" t="e">
        <f>VLOOKUP($A3116, TAB_JUROS_C[[DIAS_CORRIDOS]:[V_FUT_UTEIS]], J$5, FALSE)</f>
        <v>#N/A</v>
      </c>
      <c r="K3116" s="22" t="e">
        <f>VLOOKUP($A3116, TAB_CORRECAO_C[[DIAS_CORRIDOS]:[V_FUT_UTEIS]],K$5, FALSE)</f>
        <v>#N/A</v>
      </c>
      <c r="L3116" s="22" t="e">
        <f>VLOOKUP($A3116, TAB_AMORTIZACAO_C[[DIAS_CORRIDOS]:[V_FUT_UTEIS]], L$5, FALSE)</f>
        <v>#N/A</v>
      </c>
    </row>
    <row r="3117" spans="1:12" hidden="1">
      <c r="A3117" s="19">
        <f t="shared" si="249"/>
        <v>3111</v>
      </c>
      <c r="B3117" s="20">
        <f t="shared" si="245"/>
        <v>0</v>
      </c>
      <c r="C3117" s="21">
        <f t="shared" si="246"/>
        <v>0</v>
      </c>
      <c r="D3117" s="22" t="e">
        <f>VLOOKUP($A3117, TAB_JUROS_U[[Q_DIAS_U_PARC_TIR]:[V_FUT_U_JURS CENARIO]], D$5, FALSE)</f>
        <v>#N/A</v>
      </c>
      <c r="E3117" s="22" t="e">
        <f>VLOOKUP($A3117,TAB_CORRECAO_U[[Q_DIAS_U_PARC_TIR]:[V_FUT_U_CORC-02]],E$5, FALSE)</f>
        <v>#N/A</v>
      </c>
      <c r="F3117" s="22" t="e">
        <f>VLOOKUP($A3117,TAB_AMORTIZACAO_U[[Q_DIAS_U_PARC_TIR]:[V_FUT_U_PCPL-02]], F$5, FALSE)</f>
        <v>#N/A</v>
      </c>
      <c r="H3117" s="20">
        <f t="shared" si="247"/>
        <v>0</v>
      </c>
      <c r="I3117" s="21">
        <f t="shared" si="248"/>
        <v>0</v>
      </c>
      <c r="J3117" s="22" t="e">
        <f>VLOOKUP($A3117, TAB_JUROS_C[[DIAS_CORRIDOS]:[V_FUT_UTEIS]], J$5, FALSE)</f>
        <v>#N/A</v>
      </c>
      <c r="K3117" s="22" t="e">
        <f>VLOOKUP($A3117, TAB_CORRECAO_C[[DIAS_CORRIDOS]:[V_FUT_UTEIS]],K$5, FALSE)</f>
        <v>#N/A</v>
      </c>
      <c r="L3117" s="22" t="e">
        <f>VLOOKUP($A3117, TAB_AMORTIZACAO_C[[DIAS_CORRIDOS]:[V_FUT_UTEIS]], L$5, FALSE)</f>
        <v>#N/A</v>
      </c>
    </row>
    <row r="3118" spans="1:12" hidden="1">
      <c r="A3118" s="19">
        <f t="shared" si="249"/>
        <v>3112</v>
      </c>
      <c r="B3118" s="20">
        <f t="shared" si="245"/>
        <v>0</v>
      </c>
      <c r="C3118" s="21">
        <f t="shared" si="246"/>
        <v>0</v>
      </c>
      <c r="D3118" s="22" t="e">
        <f>VLOOKUP($A3118, TAB_JUROS_U[[Q_DIAS_U_PARC_TIR]:[V_FUT_U_JURS CENARIO]], D$5, FALSE)</f>
        <v>#N/A</v>
      </c>
      <c r="E3118" s="22" t="e">
        <f>VLOOKUP($A3118,TAB_CORRECAO_U[[Q_DIAS_U_PARC_TIR]:[V_FUT_U_CORC-02]],E$5, FALSE)</f>
        <v>#N/A</v>
      </c>
      <c r="F3118" s="22" t="e">
        <f>VLOOKUP($A3118,TAB_AMORTIZACAO_U[[Q_DIAS_U_PARC_TIR]:[V_FUT_U_PCPL-02]], F$5, FALSE)</f>
        <v>#N/A</v>
      </c>
      <c r="H3118" s="20">
        <f t="shared" si="247"/>
        <v>0</v>
      </c>
      <c r="I3118" s="21">
        <f t="shared" si="248"/>
        <v>0</v>
      </c>
      <c r="J3118" s="22" t="e">
        <f>VLOOKUP($A3118, TAB_JUROS_C[[DIAS_CORRIDOS]:[V_FUT_UTEIS]], J$5, FALSE)</f>
        <v>#N/A</v>
      </c>
      <c r="K3118" s="22" t="e">
        <f>VLOOKUP($A3118, TAB_CORRECAO_C[[DIAS_CORRIDOS]:[V_FUT_UTEIS]],K$5, FALSE)</f>
        <v>#N/A</v>
      </c>
      <c r="L3118" s="22" t="e">
        <f>VLOOKUP($A3118, TAB_AMORTIZACAO_C[[DIAS_CORRIDOS]:[V_FUT_UTEIS]], L$5, FALSE)</f>
        <v>#N/A</v>
      </c>
    </row>
    <row r="3119" spans="1:12" hidden="1">
      <c r="A3119" s="19">
        <f t="shared" si="249"/>
        <v>3113</v>
      </c>
      <c r="B3119" s="20">
        <f t="shared" si="245"/>
        <v>0</v>
      </c>
      <c r="C3119" s="21">
        <f t="shared" si="246"/>
        <v>0</v>
      </c>
      <c r="D3119" s="22" t="e">
        <f>VLOOKUP($A3119, TAB_JUROS_U[[Q_DIAS_U_PARC_TIR]:[V_FUT_U_JURS CENARIO]], D$5, FALSE)</f>
        <v>#N/A</v>
      </c>
      <c r="E3119" s="22" t="e">
        <f>VLOOKUP($A3119,TAB_CORRECAO_U[[Q_DIAS_U_PARC_TIR]:[V_FUT_U_CORC-02]],E$5, FALSE)</f>
        <v>#N/A</v>
      </c>
      <c r="F3119" s="22" t="e">
        <f>VLOOKUP($A3119,TAB_AMORTIZACAO_U[[Q_DIAS_U_PARC_TIR]:[V_FUT_U_PCPL-02]], F$5, FALSE)</f>
        <v>#N/A</v>
      </c>
      <c r="H3119" s="20">
        <f t="shared" si="247"/>
        <v>0</v>
      </c>
      <c r="I3119" s="21">
        <f t="shared" si="248"/>
        <v>0</v>
      </c>
      <c r="J3119" s="22" t="e">
        <f>VLOOKUP($A3119, TAB_JUROS_C[[DIAS_CORRIDOS]:[V_FUT_UTEIS]], J$5, FALSE)</f>
        <v>#N/A</v>
      </c>
      <c r="K3119" s="22" t="e">
        <f>VLOOKUP($A3119, TAB_CORRECAO_C[[DIAS_CORRIDOS]:[V_FUT_UTEIS]],K$5, FALSE)</f>
        <v>#N/A</v>
      </c>
      <c r="L3119" s="22" t="e">
        <f>VLOOKUP($A3119, TAB_AMORTIZACAO_C[[DIAS_CORRIDOS]:[V_FUT_UTEIS]], L$5, FALSE)</f>
        <v>#N/A</v>
      </c>
    </row>
    <row r="3120" spans="1:12" hidden="1">
      <c r="A3120" s="19">
        <f t="shared" si="249"/>
        <v>3114</v>
      </c>
      <c r="B3120" s="20">
        <f t="shared" si="245"/>
        <v>0</v>
      </c>
      <c r="C3120" s="21">
        <f t="shared" si="246"/>
        <v>0</v>
      </c>
      <c r="D3120" s="22" t="e">
        <f>VLOOKUP($A3120, TAB_JUROS_U[[Q_DIAS_U_PARC_TIR]:[V_FUT_U_JURS CENARIO]], D$5, FALSE)</f>
        <v>#N/A</v>
      </c>
      <c r="E3120" s="22" t="e">
        <f>VLOOKUP($A3120,TAB_CORRECAO_U[[Q_DIAS_U_PARC_TIR]:[V_FUT_U_CORC-02]],E$5, FALSE)</f>
        <v>#N/A</v>
      </c>
      <c r="F3120" s="22" t="e">
        <f>VLOOKUP($A3120,TAB_AMORTIZACAO_U[[Q_DIAS_U_PARC_TIR]:[V_FUT_U_PCPL-02]], F$5, FALSE)</f>
        <v>#N/A</v>
      </c>
      <c r="H3120" s="20">
        <f t="shared" si="247"/>
        <v>0</v>
      </c>
      <c r="I3120" s="21">
        <f t="shared" si="248"/>
        <v>0</v>
      </c>
      <c r="J3120" s="22" t="e">
        <f>VLOOKUP($A3120, TAB_JUROS_C[[DIAS_CORRIDOS]:[V_FUT_UTEIS]], J$5, FALSE)</f>
        <v>#N/A</v>
      </c>
      <c r="K3120" s="22" t="e">
        <f>VLOOKUP($A3120, TAB_CORRECAO_C[[DIAS_CORRIDOS]:[V_FUT_UTEIS]],K$5, FALSE)</f>
        <v>#N/A</v>
      </c>
      <c r="L3120" s="22" t="e">
        <f>VLOOKUP($A3120, TAB_AMORTIZACAO_C[[DIAS_CORRIDOS]:[V_FUT_UTEIS]], L$5, FALSE)</f>
        <v>#N/A</v>
      </c>
    </row>
    <row r="3121" spans="1:12" hidden="1">
      <c r="A3121" s="19">
        <f t="shared" si="249"/>
        <v>3115</v>
      </c>
      <c r="B3121" s="20">
        <f t="shared" si="245"/>
        <v>0</v>
      </c>
      <c r="C3121" s="21">
        <f t="shared" si="246"/>
        <v>0</v>
      </c>
      <c r="D3121" s="22" t="e">
        <f>VLOOKUP($A3121, TAB_JUROS_U[[Q_DIAS_U_PARC_TIR]:[V_FUT_U_JURS CENARIO]], D$5, FALSE)</f>
        <v>#N/A</v>
      </c>
      <c r="E3121" s="22" t="e">
        <f>VLOOKUP($A3121,TAB_CORRECAO_U[[Q_DIAS_U_PARC_TIR]:[V_FUT_U_CORC-02]],E$5, FALSE)</f>
        <v>#N/A</v>
      </c>
      <c r="F3121" s="22" t="e">
        <f>VLOOKUP($A3121,TAB_AMORTIZACAO_U[[Q_DIAS_U_PARC_TIR]:[V_FUT_U_PCPL-02]], F$5, FALSE)</f>
        <v>#N/A</v>
      </c>
      <c r="H3121" s="20">
        <f t="shared" si="247"/>
        <v>251.27597226015465</v>
      </c>
      <c r="I3121" s="21">
        <f t="shared" si="248"/>
        <v>251.27597226015465</v>
      </c>
      <c r="J3121" s="22">
        <f>VLOOKUP($A3121, TAB_JUROS_C[[DIAS_CORRIDOS]:[V_FUT_UTEIS]], J$5, FALSE)</f>
        <v>12.490135597314765</v>
      </c>
      <c r="K3121" s="22">
        <f>VLOOKUP($A3121, TAB_CORRECAO_C[[DIAS_CORRIDOS]:[V_FUT_UTEIS]],K$5, FALSE)</f>
        <v>76.945174017104577</v>
      </c>
      <c r="L3121" s="22">
        <f>VLOOKUP($A3121, TAB_AMORTIZACAO_C[[DIAS_CORRIDOS]:[V_FUT_UTEIS]], L$5, FALSE)</f>
        <v>161.84066264573531</v>
      </c>
    </row>
    <row r="3122" spans="1:12" hidden="1">
      <c r="A3122" s="19">
        <f t="shared" si="249"/>
        <v>3116</v>
      </c>
      <c r="B3122" s="20">
        <f t="shared" si="245"/>
        <v>0</v>
      </c>
      <c r="C3122" s="21">
        <f t="shared" si="246"/>
        <v>0</v>
      </c>
      <c r="D3122" s="22" t="e">
        <f>VLOOKUP($A3122, TAB_JUROS_U[[Q_DIAS_U_PARC_TIR]:[V_FUT_U_JURS CENARIO]], D$5, FALSE)</f>
        <v>#N/A</v>
      </c>
      <c r="E3122" s="22" t="e">
        <f>VLOOKUP($A3122,TAB_CORRECAO_U[[Q_DIAS_U_PARC_TIR]:[V_FUT_U_CORC-02]],E$5, FALSE)</f>
        <v>#N/A</v>
      </c>
      <c r="F3122" s="22" t="e">
        <f>VLOOKUP($A3122,TAB_AMORTIZACAO_U[[Q_DIAS_U_PARC_TIR]:[V_FUT_U_PCPL-02]], F$5, FALSE)</f>
        <v>#N/A</v>
      </c>
      <c r="H3122" s="20">
        <f t="shared" si="247"/>
        <v>0</v>
      </c>
      <c r="I3122" s="21">
        <f t="shared" si="248"/>
        <v>0</v>
      </c>
      <c r="J3122" s="22" t="e">
        <f>VLOOKUP($A3122, TAB_JUROS_C[[DIAS_CORRIDOS]:[V_FUT_UTEIS]], J$5, FALSE)</f>
        <v>#N/A</v>
      </c>
      <c r="K3122" s="22" t="e">
        <f>VLOOKUP($A3122, TAB_CORRECAO_C[[DIAS_CORRIDOS]:[V_FUT_UTEIS]],K$5, FALSE)</f>
        <v>#N/A</v>
      </c>
      <c r="L3122" s="22" t="e">
        <f>VLOOKUP($A3122, TAB_AMORTIZACAO_C[[DIAS_CORRIDOS]:[V_FUT_UTEIS]], L$5, FALSE)</f>
        <v>#N/A</v>
      </c>
    </row>
    <row r="3123" spans="1:12" hidden="1">
      <c r="A3123" s="19">
        <f t="shared" si="249"/>
        <v>3117</v>
      </c>
      <c r="B3123" s="20">
        <f t="shared" si="245"/>
        <v>0</v>
      </c>
      <c r="C3123" s="21">
        <f t="shared" si="246"/>
        <v>0</v>
      </c>
      <c r="D3123" s="22" t="e">
        <f>VLOOKUP($A3123, TAB_JUROS_U[[Q_DIAS_U_PARC_TIR]:[V_FUT_U_JURS CENARIO]], D$5, FALSE)</f>
        <v>#N/A</v>
      </c>
      <c r="E3123" s="22" t="e">
        <f>VLOOKUP($A3123,TAB_CORRECAO_U[[Q_DIAS_U_PARC_TIR]:[V_FUT_U_CORC-02]],E$5, FALSE)</f>
        <v>#N/A</v>
      </c>
      <c r="F3123" s="22" t="e">
        <f>VLOOKUP($A3123,TAB_AMORTIZACAO_U[[Q_DIAS_U_PARC_TIR]:[V_FUT_U_PCPL-02]], F$5, FALSE)</f>
        <v>#N/A</v>
      </c>
      <c r="H3123" s="20">
        <f t="shared" si="247"/>
        <v>0</v>
      </c>
      <c r="I3123" s="21">
        <f t="shared" si="248"/>
        <v>0</v>
      </c>
      <c r="J3123" s="22" t="e">
        <f>VLOOKUP($A3123, TAB_JUROS_C[[DIAS_CORRIDOS]:[V_FUT_UTEIS]], J$5, FALSE)</f>
        <v>#N/A</v>
      </c>
      <c r="K3123" s="22" t="e">
        <f>VLOOKUP($A3123, TAB_CORRECAO_C[[DIAS_CORRIDOS]:[V_FUT_UTEIS]],K$5, FALSE)</f>
        <v>#N/A</v>
      </c>
      <c r="L3123" s="22" t="e">
        <f>VLOOKUP($A3123, TAB_AMORTIZACAO_C[[DIAS_CORRIDOS]:[V_FUT_UTEIS]], L$5, FALSE)</f>
        <v>#N/A</v>
      </c>
    </row>
    <row r="3124" spans="1:12" hidden="1">
      <c r="A3124" s="19">
        <f t="shared" si="249"/>
        <v>3118</v>
      </c>
      <c r="B3124" s="20">
        <f t="shared" si="245"/>
        <v>0</v>
      </c>
      <c r="C3124" s="21">
        <f t="shared" si="246"/>
        <v>0</v>
      </c>
      <c r="D3124" s="22" t="e">
        <f>VLOOKUP($A3124, TAB_JUROS_U[[Q_DIAS_U_PARC_TIR]:[V_FUT_U_JURS CENARIO]], D$5, FALSE)</f>
        <v>#N/A</v>
      </c>
      <c r="E3124" s="22" t="e">
        <f>VLOOKUP($A3124,TAB_CORRECAO_U[[Q_DIAS_U_PARC_TIR]:[V_FUT_U_CORC-02]],E$5, FALSE)</f>
        <v>#N/A</v>
      </c>
      <c r="F3124" s="22" t="e">
        <f>VLOOKUP($A3124,TAB_AMORTIZACAO_U[[Q_DIAS_U_PARC_TIR]:[V_FUT_U_PCPL-02]], F$5, FALSE)</f>
        <v>#N/A</v>
      </c>
      <c r="H3124" s="20">
        <f t="shared" si="247"/>
        <v>0</v>
      </c>
      <c r="I3124" s="21">
        <f t="shared" si="248"/>
        <v>0</v>
      </c>
      <c r="J3124" s="22" t="e">
        <f>VLOOKUP($A3124, TAB_JUROS_C[[DIAS_CORRIDOS]:[V_FUT_UTEIS]], J$5, FALSE)</f>
        <v>#N/A</v>
      </c>
      <c r="K3124" s="22" t="e">
        <f>VLOOKUP($A3124, TAB_CORRECAO_C[[DIAS_CORRIDOS]:[V_FUT_UTEIS]],K$5, FALSE)</f>
        <v>#N/A</v>
      </c>
      <c r="L3124" s="22" t="e">
        <f>VLOOKUP($A3124, TAB_AMORTIZACAO_C[[DIAS_CORRIDOS]:[V_FUT_UTEIS]], L$5, FALSE)</f>
        <v>#N/A</v>
      </c>
    </row>
    <row r="3125" spans="1:12" hidden="1">
      <c r="A3125" s="19">
        <f t="shared" si="249"/>
        <v>3119</v>
      </c>
      <c r="B3125" s="20">
        <f t="shared" si="245"/>
        <v>0</v>
      </c>
      <c r="C3125" s="21">
        <f t="shared" si="246"/>
        <v>0</v>
      </c>
      <c r="D3125" s="22" t="e">
        <f>VLOOKUP($A3125, TAB_JUROS_U[[Q_DIAS_U_PARC_TIR]:[V_FUT_U_JURS CENARIO]], D$5, FALSE)</f>
        <v>#N/A</v>
      </c>
      <c r="E3125" s="22" t="e">
        <f>VLOOKUP($A3125,TAB_CORRECAO_U[[Q_DIAS_U_PARC_TIR]:[V_FUT_U_CORC-02]],E$5, FALSE)</f>
        <v>#N/A</v>
      </c>
      <c r="F3125" s="22" t="e">
        <f>VLOOKUP($A3125,TAB_AMORTIZACAO_U[[Q_DIAS_U_PARC_TIR]:[V_FUT_U_PCPL-02]], F$5, FALSE)</f>
        <v>#N/A</v>
      </c>
      <c r="H3125" s="20">
        <f t="shared" si="247"/>
        <v>0</v>
      </c>
      <c r="I3125" s="21">
        <f t="shared" si="248"/>
        <v>0</v>
      </c>
      <c r="J3125" s="22" t="e">
        <f>VLOOKUP($A3125, TAB_JUROS_C[[DIAS_CORRIDOS]:[V_FUT_UTEIS]], J$5, FALSE)</f>
        <v>#N/A</v>
      </c>
      <c r="K3125" s="22" t="e">
        <f>VLOOKUP($A3125, TAB_CORRECAO_C[[DIAS_CORRIDOS]:[V_FUT_UTEIS]],K$5, FALSE)</f>
        <v>#N/A</v>
      </c>
      <c r="L3125" s="22" t="e">
        <f>VLOOKUP($A3125, TAB_AMORTIZACAO_C[[DIAS_CORRIDOS]:[V_FUT_UTEIS]], L$5, FALSE)</f>
        <v>#N/A</v>
      </c>
    </row>
    <row r="3126" spans="1:12" hidden="1">
      <c r="A3126" s="19">
        <f t="shared" si="249"/>
        <v>3120</v>
      </c>
      <c r="B3126" s="20">
        <f t="shared" si="245"/>
        <v>0</v>
      </c>
      <c r="C3126" s="21">
        <f t="shared" si="246"/>
        <v>0</v>
      </c>
      <c r="D3126" s="22" t="e">
        <f>VLOOKUP($A3126, TAB_JUROS_U[[Q_DIAS_U_PARC_TIR]:[V_FUT_U_JURS CENARIO]], D$5, FALSE)</f>
        <v>#N/A</v>
      </c>
      <c r="E3126" s="22" t="e">
        <f>VLOOKUP($A3126,TAB_CORRECAO_U[[Q_DIAS_U_PARC_TIR]:[V_FUT_U_CORC-02]],E$5, FALSE)</f>
        <v>#N/A</v>
      </c>
      <c r="F3126" s="22" t="e">
        <f>VLOOKUP($A3126,TAB_AMORTIZACAO_U[[Q_DIAS_U_PARC_TIR]:[V_FUT_U_PCPL-02]], F$5, FALSE)</f>
        <v>#N/A</v>
      </c>
      <c r="H3126" s="20">
        <f t="shared" si="247"/>
        <v>0</v>
      </c>
      <c r="I3126" s="21">
        <f t="shared" si="248"/>
        <v>0</v>
      </c>
      <c r="J3126" s="22" t="e">
        <f>VLOOKUP($A3126, TAB_JUROS_C[[DIAS_CORRIDOS]:[V_FUT_UTEIS]], J$5, FALSE)</f>
        <v>#N/A</v>
      </c>
      <c r="K3126" s="22" t="e">
        <f>VLOOKUP($A3126, TAB_CORRECAO_C[[DIAS_CORRIDOS]:[V_FUT_UTEIS]],K$5, FALSE)</f>
        <v>#N/A</v>
      </c>
      <c r="L3126" s="22" t="e">
        <f>VLOOKUP($A3126, TAB_AMORTIZACAO_C[[DIAS_CORRIDOS]:[V_FUT_UTEIS]], L$5, FALSE)</f>
        <v>#N/A</v>
      </c>
    </row>
    <row r="3127" spans="1:12" hidden="1">
      <c r="A3127" s="19">
        <f t="shared" si="249"/>
        <v>3121</v>
      </c>
      <c r="B3127" s="20">
        <f t="shared" si="245"/>
        <v>0</v>
      </c>
      <c r="C3127" s="21">
        <f t="shared" si="246"/>
        <v>0</v>
      </c>
      <c r="D3127" s="22" t="e">
        <f>VLOOKUP($A3127, TAB_JUROS_U[[Q_DIAS_U_PARC_TIR]:[V_FUT_U_JURS CENARIO]], D$5, FALSE)</f>
        <v>#N/A</v>
      </c>
      <c r="E3127" s="22" t="e">
        <f>VLOOKUP($A3127,TAB_CORRECAO_U[[Q_DIAS_U_PARC_TIR]:[V_FUT_U_CORC-02]],E$5, FALSE)</f>
        <v>#N/A</v>
      </c>
      <c r="F3127" s="22" t="e">
        <f>VLOOKUP($A3127,TAB_AMORTIZACAO_U[[Q_DIAS_U_PARC_TIR]:[V_FUT_U_PCPL-02]], F$5, FALSE)</f>
        <v>#N/A</v>
      </c>
      <c r="H3127" s="20">
        <f t="shared" si="247"/>
        <v>0</v>
      </c>
      <c r="I3127" s="21">
        <f t="shared" si="248"/>
        <v>0</v>
      </c>
      <c r="J3127" s="22" t="e">
        <f>VLOOKUP($A3127, TAB_JUROS_C[[DIAS_CORRIDOS]:[V_FUT_UTEIS]], J$5, FALSE)</f>
        <v>#N/A</v>
      </c>
      <c r="K3127" s="22" t="e">
        <f>VLOOKUP($A3127, TAB_CORRECAO_C[[DIAS_CORRIDOS]:[V_FUT_UTEIS]],K$5, FALSE)</f>
        <v>#N/A</v>
      </c>
      <c r="L3127" s="22" t="e">
        <f>VLOOKUP($A3127, TAB_AMORTIZACAO_C[[DIAS_CORRIDOS]:[V_FUT_UTEIS]], L$5, FALSE)</f>
        <v>#N/A</v>
      </c>
    </row>
    <row r="3128" spans="1:12" hidden="1">
      <c r="A3128" s="19">
        <f t="shared" si="249"/>
        <v>3122</v>
      </c>
      <c r="B3128" s="20">
        <f t="shared" si="245"/>
        <v>0</v>
      </c>
      <c r="C3128" s="21">
        <f t="shared" si="246"/>
        <v>0</v>
      </c>
      <c r="D3128" s="22" t="e">
        <f>VLOOKUP($A3128, TAB_JUROS_U[[Q_DIAS_U_PARC_TIR]:[V_FUT_U_JURS CENARIO]], D$5, FALSE)</f>
        <v>#N/A</v>
      </c>
      <c r="E3128" s="22" t="e">
        <f>VLOOKUP($A3128,TAB_CORRECAO_U[[Q_DIAS_U_PARC_TIR]:[V_FUT_U_CORC-02]],E$5, FALSE)</f>
        <v>#N/A</v>
      </c>
      <c r="F3128" s="22" t="e">
        <f>VLOOKUP($A3128,TAB_AMORTIZACAO_U[[Q_DIAS_U_PARC_TIR]:[V_FUT_U_PCPL-02]], F$5, FALSE)</f>
        <v>#N/A</v>
      </c>
      <c r="H3128" s="20">
        <f t="shared" si="247"/>
        <v>0</v>
      </c>
      <c r="I3128" s="21">
        <f t="shared" si="248"/>
        <v>0</v>
      </c>
      <c r="J3128" s="22" t="e">
        <f>VLOOKUP($A3128, TAB_JUROS_C[[DIAS_CORRIDOS]:[V_FUT_UTEIS]], J$5, FALSE)</f>
        <v>#N/A</v>
      </c>
      <c r="K3128" s="22" t="e">
        <f>VLOOKUP($A3128, TAB_CORRECAO_C[[DIAS_CORRIDOS]:[V_FUT_UTEIS]],K$5, FALSE)</f>
        <v>#N/A</v>
      </c>
      <c r="L3128" s="22" t="e">
        <f>VLOOKUP($A3128, TAB_AMORTIZACAO_C[[DIAS_CORRIDOS]:[V_FUT_UTEIS]], L$5, FALSE)</f>
        <v>#N/A</v>
      </c>
    </row>
    <row r="3129" spans="1:12" hidden="1">
      <c r="A3129" s="19">
        <f t="shared" si="249"/>
        <v>3123</v>
      </c>
      <c r="B3129" s="20">
        <f t="shared" si="245"/>
        <v>0</v>
      </c>
      <c r="C3129" s="21">
        <f t="shared" si="246"/>
        <v>0</v>
      </c>
      <c r="D3129" s="22" t="e">
        <f>VLOOKUP($A3129, TAB_JUROS_U[[Q_DIAS_U_PARC_TIR]:[V_FUT_U_JURS CENARIO]], D$5, FALSE)</f>
        <v>#N/A</v>
      </c>
      <c r="E3129" s="22" t="e">
        <f>VLOOKUP($A3129,TAB_CORRECAO_U[[Q_DIAS_U_PARC_TIR]:[V_FUT_U_CORC-02]],E$5, FALSE)</f>
        <v>#N/A</v>
      </c>
      <c r="F3129" s="22" t="e">
        <f>VLOOKUP($A3129,TAB_AMORTIZACAO_U[[Q_DIAS_U_PARC_TIR]:[V_FUT_U_PCPL-02]], F$5, FALSE)</f>
        <v>#N/A</v>
      </c>
      <c r="H3129" s="20">
        <f t="shared" si="247"/>
        <v>0</v>
      </c>
      <c r="I3129" s="21">
        <f t="shared" si="248"/>
        <v>0</v>
      </c>
      <c r="J3129" s="22" t="e">
        <f>VLOOKUP($A3129, TAB_JUROS_C[[DIAS_CORRIDOS]:[V_FUT_UTEIS]], J$5, FALSE)</f>
        <v>#N/A</v>
      </c>
      <c r="K3129" s="22" t="e">
        <f>VLOOKUP($A3129, TAB_CORRECAO_C[[DIAS_CORRIDOS]:[V_FUT_UTEIS]],K$5, FALSE)</f>
        <v>#N/A</v>
      </c>
      <c r="L3129" s="22" t="e">
        <f>VLOOKUP($A3129, TAB_AMORTIZACAO_C[[DIAS_CORRIDOS]:[V_FUT_UTEIS]], L$5, FALSE)</f>
        <v>#N/A</v>
      </c>
    </row>
    <row r="3130" spans="1:12" hidden="1">
      <c r="A3130" s="19">
        <f t="shared" si="249"/>
        <v>3124</v>
      </c>
      <c r="B3130" s="20">
        <f t="shared" si="245"/>
        <v>0</v>
      </c>
      <c r="C3130" s="21">
        <f t="shared" si="246"/>
        <v>0</v>
      </c>
      <c r="D3130" s="22" t="e">
        <f>VLOOKUP($A3130, TAB_JUROS_U[[Q_DIAS_U_PARC_TIR]:[V_FUT_U_JURS CENARIO]], D$5, FALSE)</f>
        <v>#N/A</v>
      </c>
      <c r="E3130" s="22" t="e">
        <f>VLOOKUP($A3130,TAB_CORRECAO_U[[Q_DIAS_U_PARC_TIR]:[V_FUT_U_CORC-02]],E$5, FALSE)</f>
        <v>#N/A</v>
      </c>
      <c r="F3130" s="22" t="e">
        <f>VLOOKUP($A3130,TAB_AMORTIZACAO_U[[Q_DIAS_U_PARC_TIR]:[V_FUT_U_PCPL-02]], F$5, FALSE)</f>
        <v>#N/A</v>
      </c>
      <c r="H3130" s="20">
        <f t="shared" si="247"/>
        <v>0</v>
      </c>
      <c r="I3130" s="21">
        <f t="shared" si="248"/>
        <v>0</v>
      </c>
      <c r="J3130" s="22" t="e">
        <f>VLOOKUP($A3130, TAB_JUROS_C[[DIAS_CORRIDOS]:[V_FUT_UTEIS]], J$5, FALSE)</f>
        <v>#N/A</v>
      </c>
      <c r="K3130" s="22" t="e">
        <f>VLOOKUP($A3130, TAB_CORRECAO_C[[DIAS_CORRIDOS]:[V_FUT_UTEIS]],K$5, FALSE)</f>
        <v>#N/A</v>
      </c>
      <c r="L3130" s="22" t="e">
        <f>VLOOKUP($A3130, TAB_AMORTIZACAO_C[[DIAS_CORRIDOS]:[V_FUT_UTEIS]], L$5, FALSE)</f>
        <v>#N/A</v>
      </c>
    </row>
    <row r="3131" spans="1:12" hidden="1">
      <c r="A3131" s="19">
        <f t="shared" si="249"/>
        <v>3125</v>
      </c>
      <c r="B3131" s="20">
        <f t="shared" si="245"/>
        <v>0</v>
      </c>
      <c r="C3131" s="21">
        <f t="shared" si="246"/>
        <v>0</v>
      </c>
      <c r="D3131" s="22" t="e">
        <f>VLOOKUP($A3131, TAB_JUROS_U[[Q_DIAS_U_PARC_TIR]:[V_FUT_U_JURS CENARIO]], D$5, FALSE)</f>
        <v>#N/A</v>
      </c>
      <c r="E3131" s="22" t="e">
        <f>VLOOKUP($A3131,TAB_CORRECAO_U[[Q_DIAS_U_PARC_TIR]:[V_FUT_U_CORC-02]],E$5, FALSE)</f>
        <v>#N/A</v>
      </c>
      <c r="F3131" s="22" t="e">
        <f>VLOOKUP($A3131,TAB_AMORTIZACAO_U[[Q_DIAS_U_PARC_TIR]:[V_FUT_U_PCPL-02]], F$5, FALSE)</f>
        <v>#N/A</v>
      </c>
      <c r="H3131" s="20">
        <f t="shared" si="247"/>
        <v>0</v>
      </c>
      <c r="I3131" s="21">
        <f t="shared" si="248"/>
        <v>0</v>
      </c>
      <c r="J3131" s="22" t="e">
        <f>VLOOKUP($A3131, TAB_JUROS_C[[DIAS_CORRIDOS]:[V_FUT_UTEIS]], J$5, FALSE)</f>
        <v>#N/A</v>
      </c>
      <c r="K3131" s="22" t="e">
        <f>VLOOKUP($A3131, TAB_CORRECAO_C[[DIAS_CORRIDOS]:[V_FUT_UTEIS]],K$5, FALSE)</f>
        <v>#N/A</v>
      </c>
      <c r="L3131" s="22" t="e">
        <f>VLOOKUP($A3131, TAB_AMORTIZACAO_C[[DIAS_CORRIDOS]:[V_FUT_UTEIS]], L$5, FALSE)</f>
        <v>#N/A</v>
      </c>
    </row>
    <row r="3132" spans="1:12" hidden="1">
      <c r="A3132" s="19">
        <f t="shared" si="249"/>
        <v>3126</v>
      </c>
      <c r="B3132" s="20">
        <f t="shared" si="245"/>
        <v>0</v>
      </c>
      <c r="C3132" s="21">
        <f t="shared" si="246"/>
        <v>0</v>
      </c>
      <c r="D3132" s="22" t="e">
        <f>VLOOKUP($A3132, TAB_JUROS_U[[Q_DIAS_U_PARC_TIR]:[V_FUT_U_JURS CENARIO]], D$5, FALSE)</f>
        <v>#N/A</v>
      </c>
      <c r="E3132" s="22" t="e">
        <f>VLOOKUP($A3132,TAB_CORRECAO_U[[Q_DIAS_U_PARC_TIR]:[V_FUT_U_CORC-02]],E$5, FALSE)</f>
        <v>#N/A</v>
      </c>
      <c r="F3132" s="22" t="e">
        <f>VLOOKUP($A3132,TAB_AMORTIZACAO_U[[Q_DIAS_U_PARC_TIR]:[V_FUT_U_PCPL-02]], F$5, FALSE)</f>
        <v>#N/A</v>
      </c>
      <c r="H3132" s="20">
        <f t="shared" si="247"/>
        <v>0</v>
      </c>
      <c r="I3132" s="21">
        <f t="shared" si="248"/>
        <v>0</v>
      </c>
      <c r="J3132" s="22" t="e">
        <f>VLOOKUP($A3132, TAB_JUROS_C[[DIAS_CORRIDOS]:[V_FUT_UTEIS]], J$5, FALSE)</f>
        <v>#N/A</v>
      </c>
      <c r="K3132" s="22" t="e">
        <f>VLOOKUP($A3132, TAB_CORRECAO_C[[DIAS_CORRIDOS]:[V_FUT_UTEIS]],K$5, FALSE)</f>
        <v>#N/A</v>
      </c>
      <c r="L3132" s="22" t="e">
        <f>VLOOKUP($A3132, TAB_AMORTIZACAO_C[[DIAS_CORRIDOS]:[V_FUT_UTEIS]], L$5, FALSE)</f>
        <v>#N/A</v>
      </c>
    </row>
    <row r="3133" spans="1:12" hidden="1">
      <c r="A3133" s="19">
        <f t="shared" si="249"/>
        <v>3127</v>
      </c>
      <c r="B3133" s="20">
        <f t="shared" si="245"/>
        <v>0</v>
      </c>
      <c r="C3133" s="21">
        <f t="shared" si="246"/>
        <v>0</v>
      </c>
      <c r="D3133" s="22" t="e">
        <f>VLOOKUP($A3133, TAB_JUROS_U[[Q_DIAS_U_PARC_TIR]:[V_FUT_U_JURS CENARIO]], D$5, FALSE)</f>
        <v>#N/A</v>
      </c>
      <c r="E3133" s="22" t="e">
        <f>VLOOKUP($A3133,TAB_CORRECAO_U[[Q_DIAS_U_PARC_TIR]:[V_FUT_U_CORC-02]],E$5, FALSE)</f>
        <v>#N/A</v>
      </c>
      <c r="F3133" s="22" t="e">
        <f>VLOOKUP($A3133,TAB_AMORTIZACAO_U[[Q_DIAS_U_PARC_TIR]:[V_FUT_U_PCPL-02]], F$5, FALSE)</f>
        <v>#N/A</v>
      </c>
      <c r="H3133" s="20">
        <f t="shared" si="247"/>
        <v>0</v>
      </c>
      <c r="I3133" s="21">
        <f t="shared" si="248"/>
        <v>0</v>
      </c>
      <c r="J3133" s="22" t="e">
        <f>VLOOKUP($A3133, TAB_JUROS_C[[DIAS_CORRIDOS]:[V_FUT_UTEIS]], J$5, FALSE)</f>
        <v>#N/A</v>
      </c>
      <c r="K3133" s="22" t="e">
        <f>VLOOKUP($A3133, TAB_CORRECAO_C[[DIAS_CORRIDOS]:[V_FUT_UTEIS]],K$5, FALSE)</f>
        <v>#N/A</v>
      </c>
      <c r="L3133" s="22" t="e">
        <f>VLOOKUP($A3133, TAB_AMORTIZACAO_C[[DIAS_CORRIDOS]:[V_FUT_UTEIS]], L$5, FALSE)</f>
        <v>#N/A</v>
      </c>
    </row>
    <row r="3134" spans="1:12" hidden="1">
      <c r="A3134" s="19">
        <f t="shared" si="249"/>
        <v>3128</v>
      </c>
      <c r="B3134" s="20">
        <f t="shared" si="245"/>
        <v>0</v>
      </c>
      <c r="C3134" s="21">
        <f t="shared" si="246"/>
        <v>0</v>
      </c>
      <c r="D3134" s="22" t="e">
        <f>VLOOKUP($A3134, TAB_JUROS_U[[Q_DIAS_U_PARC_TIR]:[V_FUT_U_JURS CENARIO]], D$5, FALSE)</f>
        <v>#N/A</v>
      </c>
      <c r="E3134" s="22" t="e">
        <f>VLOOKUP($A3134,TAB_CORRECAO_U[[Q_DIAS_U_PARC_TIR]:[V_FUT_U_CORC-02]],E$5, FALSE)</f>
        <v>#N/A</v>
      </c>
      <c r="F3134" s="22" t="e">
        <f>VLOOKUP($A3134,TAB_AMORTIZACAO_U[[Q_DIAS_U_PARC_TIR]:[V_FUT_U_PCPL-02]], F$5, FALSE)</f>
        <v>#N/A</v>
      </c>
      <c r="H3134" s="20">
        <f t="shared" si="247"/>
        <v>0</v>
      </c>
      <c r="I3134" s="21">
        <f t="shared" si="248"/>
        <v>0</v>
      </c>
      <c r="J3134" s="22" t="e">
        <f>VLOOKUP($A3134, TAB_JUROS_C[[DIAS_CORRIDOS]:[V_FUT_UTEIS]], J$5, FALSE)</f>
        <v>#N/A</v>
      </c>
      <c r="K3134" s="22" t="e">
        <f>VLOOKUP($A3134, TAB_CORRECAO_C[[DIAS_CORRIDOS]:[V_FUT_UTEIS]],K$5, FALSE)</f>
        <v>#N/A</v>
      </c>
      <c r="L3134" s="22" t="e">
        <f>VLOOKUP($A3134, TAB_AMORTIZACAO_C[[DIAS_CORRIDOS]:[V_FUT_UTEIS]], L$5, FALSE)</f>
        <v>#N/A</v>
      </c>
    </row>
    <row r="3135" spans="1:12" hidden="1">
      <c r="A3135" s="19">
        <f t="shared" si="249"/>
        <v>3129</v>
      </c>
      <c r="B3135" s="20">
        <f t="shared" si="245"/>
        <v>0</v>
      </c>
      <c r="C3135" s="21">
        <f t="shared" si="246"/>
        <v>0</v>
      </c>
      <c r="D3135" s="22" t="e">
        <f>VLOOKUP($A3135, TAB_JUROS_U[[Q_DIAS_U_PARC_TIR]:[V_FUT_U_JURS CENARIO]], D$5, FALSE)</f>
        <v>#N/A</v>
      </c>
      <c r="E3135" s="22" t="e">
        <f>VLOOKUP($A3135,TAB_CORRECAO_U[[Q_DIAS_U_PARC_TIR]:[V_FUT_U_CORC-02]],E$5, FALSE)</f>
        <v>#N/A</v>
      </c>
      <c r="F3135" s="22" t="e">
        <f>VLOOKUP($A3135,TAB_AMORTIZACAO_U[[Q_DIAS_U_PARC_TIR]:[V_FUT_U_PCPL-02]], F$5, FALSE)</f>
        <v>#N/A</v>
      </c>
      <c r="H3135" s="20">
        <f t="shared" si="247"/>
        <v>0</v>
      </c>
      <c r="I3135" s="21">
        <f t="shared" si="248"/>
        <v>0</v>
      </c>
      <c r="J3135" s="22" t="e">
        <f>VLOOKUP($A3135, TAB_JUROS_C[[DIAS_CORRIDOS]:[V_FUT_UTEIS]], J$5, FALSE)</f>
        <v>#N/A</v>
      </c>
      <c r="K3135" s="22" t="e">
        <f>VLOOKUP($A3135, TAB_CORRECAO_C[[DIAS_CORRIDOS]:[V_FUT_UTEIS]],K$5, FALSE)</f>
        <v>#N/A</v>
      </c>
      <c r="L3135" s="22" t="e">
        <f>VLOOKUP($A3135, TAB_AMORTIZACAO_C[[DIAS_CORRIDOS]:[V_FUT_UTEIS]], L$5, FALSE)</f>
        <v>#N/A</v>
      </c>
    </row>
    <row r="3136" spans="1:12" hidden="1">
      <c r="A3136" s="19">
        <f t="shared" si="249"/>
        <v>3130</v>
      </c>
      <c r="B3136" s="20">
        <f t="shared" si="245"/>
        <v>0</v>
      </c>
      <c r="C3136" s="21">
        <f t="shared" si="246"/>
        <v>0</v>
      </c>
      <c r="D3136" s="22" t="e">
        <f>VLOOKUP($A3136, TAB_JUROS_U[[Q_DIAS_U_PARC_TIR]:[V_FUT_U_JURS CENARIO]], D$5, FALSE)</f>
        <v>#N/A</v>
      </c>
      <c r="E3136" s="22" t="e">
        <f>VLOOKUP($A3136,TAB_CORRECAO_U[[Q_DIAS_U_PARC_TIR]:[V_FUT_U_CORC-02]],E$5, FALSE)</f>
        <v>#N/A</v>
      </c>
      <c r="F3136" s="22" t="e">
        <f>VLOOKUP($A3136,TAB_AMORTIZACAO_U[[Q_DIAS_U_PARC_TIR]:[V_FUT_U_PCPL-02]], F$5, FALSE)</f>
        <v>#N/A</v>
      </c>
      <c r="H3136" s="20">
        <f t="shared" si="247"/>
        <v>0</v>
      </c>
      <c r="I3136" s="21">
        <f t="shared" si="248"/>
        <v>0</v>
      </c>
      <c r="J3136" s="22" t="e">
        <f>VLOOKUP($A3136, TAB_JUROS_C[[DIAS_CORRIDOS]:[V_FUT_UTEIS]], J$5, FALSE)</f>
        <v>#N/A</v>
      </c>
      <c r="K3136" s="22" t="e">
        <f>VLOOKUP($A3136, TAB_CORRECAO_C[[DIAS_CORRIDOS]:[V_FUT_UTEIS]],K$5, FALSE)</f>
        <v>#N/A</v>
      </c>
      <c r="L3136" s="22" t="e">
        <f>VLOOKUP($A3136, TAB_AMORTIZACAO_C[[DIAS_CORRIDOS]:[V_FUT_UTEIS]], L$5, FALSE)</f>
        <v>#N/A</v>
      </c>
    </row>
    <row r="3137" spans="1:12" hidden="1">
      <c r="A3137" s="19">
        <f t="shared" si="249"/>
        <v>3131</v>
      </c>
      <c r="B3137" s="20">
        <f t="shared" si="245"/>
        <v>0</v>
      </c>
      <c r="C3137" s="21">
        <f t="shared" si="246"/>
        <v>0</v>
      </c>
      <c r="D3137" s="22" t="e">
        <f>VLOOKUP($A3137, TAB_JUROS_U[[Q_DIAS_U_PARC_TIR]:[V_FUT_U_JURS CENARIO]], D$5, FALSE)</f>
        <v>#N/A</v>
      </c>
      <c r="E3137" s="22" t="e">
        <f>VLOOKUP($A3137,TAB_CORRECAO_U[[Q_DIAS_U_PARC_TIR]:[V_FUT_U_CORC-02]],E$5, FALSE)</f>
        <v>#N/A</v>
      </c>
      <c r="F3137" s="22" t="e">
        <f>VLOOKUP($A3137,TAB_AMORTIZACAO_U[[Q_DIAS_U_PARC_TIR]:[V_FUT_U_PCPL-02]], F$5, FALSE)</f>
        <v>#N/A</v>
      </c>
      <c r="H3137" s="20">
        <f t="shared" si="247"/>
        <v>0</v>
      </c>
      <c r="I3137" s="21">
        <f t="shared" si="248"/>
        <v>0</v>
      </c>
      <c r="J3137" s="22" t="e">
        <f>VLOOKUP($A3137, TAB_JUROS_C[[DIAS_CORRIDOS]:[V_FUT_UTEIS]], J$5, FALSE)</f>
        <v>#N/A</v>
      </c>
      <c r="K3137" s="22" t="e">
        <f>VLOOKUP($A3137, TAB_CORRECAO_C[[DIAS_CORRIDOS]:[V_FUT_UTEIS]],K$5, FALSE)</f>
        <v>#N/A</v>
      </c>
      <c r="L3137" s="22" t="e">
        <f>VLOOKUP($A3137, TAB_AMORTIZACAO_C[[DIAS_CORRIDOS]:[V_FUT_UTEIS]], L$5, FALSE)</f>
        <v>#N/A</v>
      </c>
    </row>
    <row r="3138" spans="1:12" hidden="1">
      <c r="A3138" s="19">
        <f t="shared" si="249"/>
        <v>3132</v>
      </c>
      <c r="B3138" s="20">
        <f t="shared" si="245"/>
        <v>0</v>
      </c>
      <c r="C3138" s="21">
        <f t="shared" si="246"/>
        <v>0</v>
      </c>
      <c r="D3138" s="22" t="e">
        <f>VLOOKUP($A3138, TAB_JUROS_U[[Q_DIAS_U_PARC_TIR]:[V_FUT_U_JURS CENARIO]], D$5, FALSE)</f>
        <v>#N/A</v>
      </c>
      <c r="E3138" s="22" t="e">
        <f>VLOOKUP($A3138,TAB_CORRECAO_U[[Q_DIAS_U_PARC_TIR]:[V_FUT_U_CORC-02]],E$5, FALSE)</f>
        <v>#N/A</v>
      </c>
      <c r="F3138" s="22" t="e">
        <f>VLOOKUP($A3138,TAB_AMORTIZACAO_U[[Q_DIAS_U_PARC_TIR]:[V_FUT_U_PCPL-02]], F$5, FALSE)</f>
        <v>#N/A</v>
      </c>
      <c r="H3138" s="20">
        <f t="shared" si="247"/>
        <v>0</v>
      </c>
      <c r="I3138" s="21">
        <f t="shared" si="248"/>
        <v>0</v>
      </c>
      <c r="J3138" s="22" t="e">
        <f>VLOOKUP($A3138, TAB_JUROS_C[[DIAS_CORRIDOS]:[V_FUT_UTEIS]], J$5, FALSE)</f>
        <v>#N/A</v>
      </c>
      <c r="K3138" s="22" t="e">
        <f>VLOOKUP($A3138, TAB_CORRECAO_C[[DIAS_CORRIDOS]:[V_FUT_UTEIS]],K$5, FALSE)</f>
        <v>#N/A</v>
      </c>
      <c r="L3138" s="22" t="e">
        <f>VLOOKUP($A3138, TAB_AMORTIZACAO_C[[DIAS_CORRIDOS]:[V_FUT_UTEIS]], L$5, FALSE)</f>
        <v>#N/A</v>
      </c>
    </row>
    <row r="3139" spans="1:12" hidden="1">
      <c r="A3139" s="19">
        <f t="shared" si="249"/>
        <v>3133</v>
      </c>
      <c r="B3139" s="20">
        <f t="shared" si="245"/>
        <v>0</v>
      </c>
      <c r="C3139" s="21">
        <f t="shared" si="246"/>
        <v>0</v>
      </c>
      <c r="D3139" s="22" t="e">
        <f>VLOOKUP($A3139, TAB_JUROS_U[[Q_DIAS_U_PARC_TIR]:[V_FUT_U_JURS CENARIO]], D$5, FALSE)</f>
        <v>#N/A</v>
      </c>
      <c r="E3139" s="22" t="e">
        <f>VLOOKUP($A3139,TAB_CORRECAO_U[[Q_DIAS_U_PARC_TIR]:[V_FUT_U_CORC-02]],E$5, FALSE)</f>
        <v>#N/A</v>
      </c>
      <c r="F3139" s="22" t="e">
        <f>VLOOKUP($A3139,TAB_AMORTIZACAO_U[[Q_DIAS_U_PARC_TIR]:[V_FUT_U_PCPL-02]], F$5, FALSE)</f>
        <v>#N/A</v>
      </c>
      <c r="H3139" s="20">
        <f t="shared" si="247"/>
        <v>0</v>
      </c>
      <c r="I3139" s="21">
        <f t="shared" si="248"/>
        <v>0</v>
      </c>
      <c r="J3139" s="22" t="e">
        <f>VLOOKUP($A3139, TAB_JUROS_C[[DIAS_CORRIDOS]:[V_FUT_UTEIS]], J$5, FALSE)</f>
        <v>#N/A</v>
      </c>
      <c r="K3139" s="22" t="e">
        <f>VLOOKUP($A3139, TAB_CORRECAO_C[[DIAS_CORRIDOS]:[V_FUT_UTEIS]],K$5, FALSE)</f>
        <v>#N/A</v>
      </c>
      <c r="L3139" s="22" t="e">
        <f>VLOOKUP($A3139, TAB_AMORTIZACAO_C[[DIAS_CORRIDOS]:[V_FUT_UTEIS]], L$5, FALSE)</f>
        <v>#N/A</v>
      </c>
    </row>
    <row r="3140" spans="1:12" hidden="1">
      <c r="A3140" s="19">
        <f t="shared" si="249"/>
        <v>3134</v>
      </c>
      <c r="B3140" s="20">
        <f t="shared" si="245"/>
        <v>0</v>
      </c>
      <c r="C3140" s="21">
        <f t="shared" si="246"/>
        <v>0</v>
      </c>
      <c r="D3140" s="22" t="e">
        <f>VLOOKUP($A3140, TAB_JUROS_U[[Q_DIAS_U_PARC_TIR]:[V_FUT_U_JURS CENARIO]], D$5, FALSE)</f>
        <v>#N/A</v>
      </c>
      <c r="E3140" s="22" t="e">
        <f>VLOOKUP($A3140,TAB_CORRECAO_U[[Q_DIAS_U_PARC_TIR]:[V_FUT_U_CORC-02]],E$5, FALSE)</f>
        <v>#N/A</v>
      </c>
      <c r="F3140" s="22" t="e">
        <f>VLOOKUP($A3140,TAB_AMORTIZACAO_U[[Q_DIAS_U_PARC_TIR]:[V_FUT_U_PCPL-02]], F$5, FALSE)</f>
        <v>#N/A</v>
      </c>
      <c r="H3140" s="20">
        <f t="shared" si="247"/>
        <v>0</v>
      </c>
      <c r="I3140" s="21">
        <f t="shared" si="248"/>
        <v>0</v>
      </c>
      <c r="J3140" s="22" t="e">
        <f>VLOOKUP($A3140, TAB_JUROS_C[[DIAS_CORRIDOS]:[V_FUT_UTEIS]], J$5, FALSE)</f>
        <v>#N/A</v>
      </c>
      <c r="K3140" s="22" t="e">
        <f>VLOOKUP($A3140, TAB_CORRECAO_C[[DIAS_CORRIDOS]:[V_FUT_UTEIS]],K$5, FALSE)</f>
        <v>#N/A</v>
      </c>
      <c r="L3140" s="22" t="e">
        <f>VLOOKUP($A3140, TAB_AMORTIZACAO_C[[DIAS_CORRIDOS]:[V_FUT_UTEIS]], L$5, FALSE)</f>
        <v>#N/A</v>
      </c>
    </row>
    <row r="3141" spans="1:12" hidden="1">
      <c r="A3141" s="19">
        <f t="shared" si="249"/>
        <v>3135</v>
      </c>
      <c r="B3141" s="20">
        <f t="shared" si="245"/>
        <v>0</v>
      </c>
      <c r="C3141" s="21">
        <f t="shared" si="246"/>
        <v>0</v>
      </c>
      <c r="D3141" s="22" t="e">
        <f>VLOOKUP($A3141, TAB_JUROS_U[[Q_DIAS_U_PARC_TIR]:[V_FUT_U_JURS CENARIO]], D$5, FALSE)</f>
        <v>#N/A</v>
      </c>
      <c r="E3141" s="22" t="e">
        <f>VLOOKUP($A3141,TAB_CORRECAO_U[[Q_DIAS_U_PARC_TIR]:[V_FUT_U_CORC-02]],E$5, FALSE)</f>
        <v>#N/A</v>
      </c>
      <c r="F3141" s="22" t="e">
        <f>VLOOKUP($A3141,TAB_AMORTIZACAO_U[[Q_DIAS_U_PARC_TIR]:[V_FUT_U_PCPL-02]], F$5, FALSE)</f>
        <v>#N/A</v>
      </c>
      <c r="H3141" s="20">
        <f t="shared" si="247"/>
        <v>0</v>
      </c>
      <c r="I3141" s="21">
        <f t="shared" si="248"/>
        <v>0</v>
      </c>
      <c r="J3141" s="22" t="e">
        <f>VLOOKUP($A3141, TAB_JUROS_C[[DIAS_CORRIDOS]:[V_FUT_UTEIS]], J$5, FALSE)</f>
        <v>#N/A</v>
      </c>
      <c r="K3141" s="22" t="e">
        <f>VLOOKUP($A3141, TAB_CORRECAO_C[[DIAS_CORRIDOS]:[V_FUT_UTEIS]],K$5, FALSE)</f>
        <v>#N/A</v>
      </c>
      <c r="L3141" s="22" t="e">
        <f>VLOOKUP($A3141, TAB_AMORTIZACAO_C[[DIAS_CORRIDOS]:[V_FUT_UTEIS]], L$5, FALSE)</f>
        <v>#N/A</v>
      </c>
    </row>
    <row r="3142" spans="1:12" hidden="1">
      <c r="A3142" s="19">
        <f t="shared" si="249"/>
        <v>3136</v>
      </c>
      <c r="B3142" s="20">
        <f t="shared" si="245"/>
        <v>0</v>
      </c>
      <c r="C3142" s="21">
        <f t="shared" si="246"/>
        <v>0</v>
      </c>
      <c r="D3142" s="22" t="e">
        <f>VLOOKUP($A3142, TAB_JUROS_U[[Q_DIAS_U_PARC_TIR]:[V_FUT_U_JURS CENARIO]], D$5, FALSE)</f>
        <v>#N/A</v>
      </c>
      <c r="E3142" s="22" t="e">
        <f>VLOOKUP($A3142,TAB_CORRECAO_U[[Q_DIAS_U_PARC_TIR]:[V_FUT_U_CORC-02]],E$5, FALSE)</f>
        <v>#N/A</v>
      </c>
      <c r="F3142" s="22" t="e">
        <f>VLOOKUP($A3142,TAB_AMORTIZACAO_U[[Q_DIAS_U_PARC_TIR]:[V_FUT_U_PCPL-02]], F$5, FALSE)</f>
        <v>#N/A</v>
      </c>
      <c r="H3142" s="20">
        <f t="shared" si="247"/>
        <v>0</v>
      </c>
      <c r="I3142" s="21">
        <f t="shared" si="248"/>
        <v>0</v>
      </c>
      <c r="J3142" s="22" t="e">
        <f>VLOOKUP($A3142, TAB_JUROS_C[[DIAS_CORRIDOS]:[V_FUT_UTEIS]], J$5, FALSE)</f>
        <v>#N/A</v>
      </c>
      <c r="K3142" s="22" t="e">
        <f>VLOOKUP($A3142, TAB_CORRECAO_C[[DIAS_CORRIDOS]:[V_FUT_UTEIS]],K$5, FALSE)</f>
        <v>#N/A</v>
      </c>
      <c r="L3142" s="22" t="e">
        <f>VLOOKUP($A3142, TAB_AMORTIZACAO_C[[DIAS_CORRIDOS]:[V_FUT_UTEIS]], L$5, FALSE)</f>
        <v>#N/A</v>
      </c>
    </row>
    <row r="3143" spans="1:12" hidden="1">
      <c r="A3143" s="19">
        <f t="shared" si="249"/>
        <v>3137</v>
      </c>
      <c r="B3143" s="20">
        <f t="shared" si="245"/>
        <v>0</v>
      </c>
      <c r="C3143" s="21">
        <f t="shared" si="246"/>
        <v>0</v>
      </c>
      <c r="D3143" s="22" t="e">
        <f>VLOOKUP($A3143, TAB_JUROS_U[[Q_DIAS_U_PARC_TIR]:[V_FUT_U_JURS CENARIO]], D$5, FALSE)</f>
        <v>#N/A</v>
      </c>
      <c r="E3143" s="22" t="e">
        <f>VLOOKUP($A3143,TAB_CORRECAO_U[[Q_DIAS_U_PARC_TIR]:[V_FUT_U_CORC-02]],E$5, FALSE)</f>
        <v>#N/A</v>
      </c>
      <c r="F3143" s="22" t="e">
        <f>VLOOKUP($A3143,TAB_AMORTIZACAO_U[[Q_DIAS_U_PARC_TIR]:[V_FUT_U_PCPL-02]], F$5, FALSE)</f>
        <v>#N/A</v>
      </c>
      <c r="H3143" s="20">
        <f t="shared" si="247"/>
        <v>0</v>
      </c>
      <c r="I3143" s="21">
        <f t="shared" si="248"/>
        <v>0</v>
      </c>
      <c r="J3143" s="22" t="e">
        <f>VLOOKUP($A3143, TAB_JUROS_C[[DIAS_CORRIDOS]:[V_FUT_UTEIS]], J$5, FALSE)</f>
        <v>#N/A</v>
      </c>
      <c r="K3143" s="22" t="e">
        <f>VLOOKUP($A3143, TAB_CORRECAO_C[[DIAS_CORRIDOS]:[V_FUT_UTEIS]],K$5, FALSE)</f>
        <v>#N/A</v>
      </c>
      <c r="L3143" s="22" t="e">
        <f>VLOOKUP($A3143, TAB_AMORTIZACAO_C[[DIAS_CORRIDOS]:[V_FUT_UTEIS]], L$5, FALSE)</f>
        <v>#N/A</v>
      </c>
    </row>
    <row r="3144" spans="1:12" hidden="1">
      <c r="A3144" s="19">
        <f t="shared" si="249"/>
        <v>3138</v>
      </c>
      <c r="B3144" s="20">
        <f t="shared" si="245"/>
        <v>0</v>
      </c>
      <c r="C3144" s="21">
        <f t="shared" si="246"/>
        <v>0</v>
      </c>
      <c r="D3144" s="22" t="e">
        <f>VLOOKUP($A3144, TAB_JUROS_U[[Q_DIAS_U_PARC_TIR]:[V_FUT_U_JURS CENARIO]], D$5, FALSE)</f>
        <v>#N/A</v>
      </c>
      <c r="E3144" s="22" t="e">
        <f>VLOOKUP($A3144,TAB_CORRECAO_U[[Q_DIAS_U_PARC_TIR]:[V_FUT_U_CORC-02]],E$5, FALSE)</f>
        <v>#N/A</v>
      </c>
      <c r="F3144" s="22" t="e">
        <f>VLOOKUP($A3144,TAB_AMORTIZACAO_U[[Q_DIAS_U_PARC_TIR]:[V_FUT_U_PCPL-02]], F$5, FALSE)</f>
        <v>#N/A</v>
      </c>
      <c r="H3144" s="20">
        <f t="shared" si="247"/>
        <v>0</v>
      </c>
      <c r="I3144" s="21">
        <f t="shared" si="248"/>
        <v>0</v>
      </c>
      <c r="J3144" s="22" t="e">
        <f>VLOOKUP($A3144, TAB_JUROS_C[[DIAS_CORRIDOS]:[V_FUT_UTEIS]], J$5, FALSE)</f>
        <v>#N/A</v>
      </c>
      <c r="K3144" s="22" t="e">
        <f>VLOOKUP($A3144, TAB_CORRECAO_C[[DIAS_CORRIDOS]:[V_FUT_UTEIS]],K$5, FALSE)</f>
        <v>#N/A</v>
      </c>
      <c r="L3144" s="22" t="e">
        <f>VLOOKUP($A3144, TAB_AMORTIZACAO_C[[DIAS_CORRIDOS]:[V_FUT_UTEIS]], L$5, FALSE)</f>
        <v>#N/A</v>
      </c>
    </row>
    <row r="3145" spans="1:12" hidden="1">
      <c r="A3145" s="19">
        <f t="shared" si="249"/>
        <v>3139</v>
      </c>
      <c r="B3145" s="20">
        <f t="shared" ref="B3145:B3208" si="250">IF(ISERROR(C3145), 0, C3145)</f>
        <v>0</v>
      </c>
      <c r="C3145" s="21">
        <f t="shared" ref="C3145:C3208" si="251">SUMIF(D3145:F3145, "&gt;0", D3145:F3145)</f>
        <v>0</v>
      </c>
      <c r="D3145" s="22" t="e">
        <f>VLOOKUP($A3145, TAB_JUROS_U[[Q_DIAS_U_PARC_TIR]:[V_FUT_U_JURS CENARIO]], D$5, FALSE)</f>
        <v>#N/A</v>
      </c>
      <c r="E3145" s="22" t="e">
        <f>VLOOKUP($A3145,TAB_CORRECAO_U[[Q_DIAS_U_PARC_TIR]:[V_FUT_U_CORC-02]],E$5, FALSE)</f>
        <v>#N/A</v>
      </c>
      <c r="F3145" s="22" t="e">
        <f>VLOOKUP($A3145,TAB_AMORTIZACAO_U[[Q_DIAS_U_PARC_TIR]:[V_FUT_U_PCPL-02]], F$5, FALSE)</f>
        <v>#N/A</v>
      </c>
      <c r="H3145" s="20">
        <f t="shared" ref="H3145:H3208" si="252">IF(ISERROR(I3145), 0, I3145)</f>
        <v>0</v>
      </c>
      <c r="I3145" s="21">
        <f t="shared" ref="I3145:I3208" si="253">SUMIF(J3145:L3145, "&gt;0", J3145:L3145)</f>
        <v>0</v>
      </c>
      <c r="J3145" s="22" t="e">
        <f>VLOOKUP($A3145, TAB_JUROS_C[[DIAS_CORRIDOS]:[V_FUT_UTEIS]], J$5, FALSE)</f>
        <v>#N/A</v>
      </c>
      <c r="K3145" s="22" t="e">
        <f>VLOOKUP($A3145, TAB_CORRECAO_C[[DIAS_CORRIDOS]:[V_FUT_UTEIS]],K$5, FALSE)</f>
        <v>#N/A</v>
      </c>
      <c r="L3145" s="22" t="e">
        <f>VLOOKUP($A3145, TAB_AMORTIZACAO_C[[DIAS_CORRIDOS]:[V_FUT_UTEIS]], L$5, FALSE)</f>
        <v>#N/A</v>
      </c>
    </row>
    <row r="3146" spans="1:12" hidden="1">
      <c r="A3146" s="19">
        <f t="shared" ref="A3146:A3209" si="254">A3145+1</f>
        <v>3140</v>
      </c>
      <c r="B3146" s="20">
        <f t="shared" si="250"/>
        <v>0</v>
      </c>
      <c r="C3146" s="21">
        <f t="shared" si="251"/>
        <v>0</v>
      </c>
      <c r="D3146" s="22" t="e">
        <f>VLOOKUP($A3146, TAB_JUROS_U[[Q_DIAS_U_PARC_TIR]:[V_FUT_U_JURS CENARIO]], D$5, FALSE)</f>
        <v>#N/A</v>
      </c>
      <c r="E3146" s="22" t="e">
        <f>VLOOKUP($A3146,TAB_CORRECAO_U[[Q_DIAS_U_PARC_TIR]:[V_FUT_U_CORC-02]],E$5, FALSE)</f>
        <v>#N/A</v>
      </c>
      <c r="F3146" s="22" t="e">
        <f>VLOOKUP($A3146,TAB_AMORTIZACAO_U[[Q_DIAS_U_PARC_TIR]:[V_FUT_U_PCPL-02]], F$5, FALSE)</f>
        <v>#N/A</v>
      </c>
      <c r="H3146" s="20">
        <f t="shared" si="252"/>
        <v>0</v>
      </c>
      <c r="I3146" s="21">
        <f t="shared" si="253"/>
        <v>0</v>
      </c>
      <c r="J3146" s="22" t="e">
        <f>VLOOKUP($A3146, TAB_JUROS_C[[DIAS_CORRIDOS]:[V_FUT_UTEIS]], J$5, FALSE)</f>
        <v>#N/A</v>
      </c>
      <c r="K3146" s="22" t="e">
        <f>VLOOKUP($A3146, TAB_CORRECAO_C[[DIAS_CORRIDOS]:[V_FUT_UTEIS]],K$5, FALSE)</f>
        <v>#N/A</v>
      </c>
      <c r="L3146" s="22" t="e">
        <f>VLOOKUP($A3146, TAB_AMORTIZACAO_C[[DIAS_CORRIDOS]:[V_FUT_UTEIS]], L$5, FALSE)</f>
        <v>#N/A</v>
      </c>
    </row>
    <row r="3147" spans="1:12" hidden="1">
      <c r="A3147" s="19">
        <f t="shared" si="254"/>
        <v>3141</v>
      </c>
      <c r="B3147" s="20">
        <f t="shared" si="250"/>
        <v>0</v>
      </c>
      <c r="C3147" s="21">
        <f t="shared" si="251"/>
        <v>0</v>
      </c>
      <c r="D3147" s="22" t="e">
        <f>VLOOKUP($A3147, TAB_JUROS_U[[Q_DIAS_U_PARC_TIR]:[V_FUT_U_JURS CENARIO]], D$5, FALSE)</f>
        <v>#N/A</v>
      </c>
      <c r="E3147" s="22" t="e">
        <f>VLOOKUP($A3147,TAB_CORRECAO_U[[Q_DIAS_U_PARC_TIR]:[V_FUT_U_CORC-02]],E$5, FALSE)</f>
        <v>#N/A</v>
      </c>
      <c r="F3147" s="22" t="e">
        <f>VLOOKUP($A3147,TAB_AMORTIZACAO_U[[Q_DIAS_U_PARC_TIR]:[V_FUT_U_PCPL-02]], F$5, FALSE)</f>
        <v>#N/A</v>
      </c>
      <c r="H3147" s="20">
        <f t="shared" si="252"/>
        <v>0</v>
      </c>
      <c r="I3147" s="21">
        <f t="shared" si="253"/>
        <v>0</v>
      </c>
      <c r="J3147" s="22" t="e">
        <f>VLOOKUP($A3147, TAB_JUROS_C[[DIAS_CORRIDOS]:[V_FUT_UTEIS]], J$5, FALSE)</f>
        <v>#N/A</v>
      </c>
      <c r="K3147" s="22" t="e">
        <f>VLOOKUP($A3147, TAB_CORRECAO_C[[DIAS_CORRIDOS]:[V_FUT_UTEIS]],K$5, FALSE)</f>
        <v>#N/A</v>
      </c>
      <c r="L3147" s="22" t="e">
        <f>VLOOKUP($A3147, TAB_AMORTIZACAO_C[[DIAS_CORRIDOS]:[V_FUT_UTEIS]], L$5, FALSE)</f>
        <v>#N/A</v>
      </c>
    </row>
    <row r="3148" spans="1:12" hidden="1">
      <c r="A3148" s="19">
        <f t="shared" si="254"/>
        <v>3142</v>
      </c>
      <c r="B3148" s="20">
        <f t="shared" si="250"/>
        <v>0</v>
      </c>
      <c r="C3148" s="21">
        <f t="shared" si="251"/>
        <v>0</v>
      </c>
      <c r="D3148" s="22" t="e">
        <f>VLOOKUP($A3148, TAB_JUROS_U[[Q_DIAS_U_PARC_TIR]:[V_FUT_U_JURS CENARIO]], D$5, FALSE)</f>
        <v>#N/A</v>
      </c>
      <c r="E3148" s="22" t="e">
        <f>VLOOKUP($A3148,TAB_CORRECAO_U[[Q_DIAS_U_PARC_TIR]:[V_FUT_U_CORC-02]],E$5, FALSE)</f>
        <v>#N/A</v>
      </c>
      <c r="F3148" s="22" t="e">
        <f>VLOOKUP($A3148,TAB_AMORTIZACAO_U[[Q_DIAS_U_PARC_TIR]:[V_FUT_U_PCPL-02]], F$5, FALSE)</f>
        <v>#N/A</v>
      </c>
      <c r="H3148" s="20">
        <f t="shared" si="252"/>
        <v>0</v>
      </c>
      <c r="I3148" s="21">
        <f t="shared" si="253"/>
        <v>0</v>
      </c>
      <c r="J3148" s="22" t="e">
        <f>VLOOKUP($A3148, TAB_JUROS_C[[DIAS_CORRIDOS]:[V_FUT_UTEIS]], J$5, FALSE)</f>
        <v>#N/A</v>
      </c>
      <c r="K3148" s="22" t="e">
        <f>VLOOKUP($A3148, TAB_CORRECAO_C[[DIAS_CORRIDOS]:[V_FUT_UTEIS]],K$5, FALSE)</f>
        <v>#N/A</v>
      </c>
      <c r="L3148" s="22" t="e">
        <f>VLOOKUP($A3148, TAB_AMORTIZACAO_C[[DIAS_CORRIDOS]:[V_FUT_UTEIS]], L$5, FALSE)</f>
        <v>#N/A</v>
      </c>
    </row>
    <row r="3149" spans="1:12" hidden="1">
      <c r="A3149" s="19">
        <f t="shared" si="254"/>
        <v>3143</v>
      </c>
      <c r="B3149" s="20">
        <f t="shared" si="250"/>
        <v>0</v>
      </c>
      <c r="C3149" s="21">
        <f t="shared" si="251"/>
        <v>0</v>
      </c>
      <c r="D3149" s="22" t="e">
        <f>VLOOKUP($A3149, TAB_JUROS_U[[Q_DIAS_U_PARC_TIR]:[V_FUT_U_JURS CENARIO]], D$5, FALSE)</f>
        <v>#N/A</v>
      </c>
      <c r="E3149" s="22" t="e">
        <f>VLOOKUP($A3149,TAB_CORRECAO_U[[Q_DIAS_U_PARC_TIR]:[V_FUT_U_CORC-02]],E$5, FALSE)</f>
        <v>#N/A</v>
      </c>
      <c r="F3149" s="22" t="e">
        <f>VLOOKUP($A3149,TAB_AMORTIZACAO_U[[Q_DIAS_U_PARC_TIR]:[V_FUT_U_PCPL-02]], F$5, FALSE)</f>
        <v>#N/A</v>
      </c>
      <c r="H3149" s="20">
        <f t="shared" si="252"/>
        <v>0</v>
      </c>
      <c r="I3149" s="21">
        <f t="shared" si="253"/>
        <v>0</v>
      </c>
      <c r="J3149" s="22" t="e">
        <f>VLOOKUP($A3149, TAB_JUROS_C[[DIAS_CORRIDOS]:[V_FUT_UTEIS]], J$5, FALSE)</f>
        <v>#N/A</v>
      </c>
      <c r="K3149" s="22" t="e">
        <f>VLOOKUP($A3149, TAB_CORRECAO_C[[DIAS_CORRIDOS]:[V_FUT_UTEIS]],K$5, FALSE)</f>
        <v>#N/A</v>
      </c>
      <c r="L3149" s="22" t="e">
        <f>VLOOKUP($A3149, TAB_AMORTIZACAO_C[[DIAS_CORRIDOS]:[V_FUT_UTEIS]], L$5, FALSE)</f>
        <v>#N/A</v>
      </c>
    </row>
    <row r="3150" spans="1:12" hidden="1">
      <c r="A3150" s="19">
        <f t="shared" si="254"/>
        <v>3144</v>
      </c>
      <c r="B3150" s="20">
        <f t="shared" si="250"/>
        <v>0</v>
      </c>
      <c r="C3150" s="21">
        <f t="shared" si="251"/>
        <v>0</v>
      </c>
      <c r="D3150" s="22" t="e">
        <f>VLOOKUP($A3150, TAB_JUROS_U[[Q_DIAS_U_PARC_TIR]:[V_FUT_U_JURS CENARIO]], D$5, FALSE)</f>
        <v>#N/A</v>
      </c>
      <c r="E3150" s="22" t="e">
        <f>VLOOKUP($A3150,TAB_CORRECAO_U[[Q_DIAS_U_PARC_TIR]:[V_FUT_U_CORC-02]],E$5, FALSE)</f>
        <v>#N/A</v>
      </c>
      <c r="F3150" s="22" t="e">
        <f>VLOOKUP($A3150,TAB_AMORTIZACAO_U[[Q_DIAS_U_PARC_TIR]:[V_FUT_U_PCPL-02]], F$5, FALSE)</f>
        <v>#N/A</v>
      </c>
      <c r="H3150" s="20">
        <f t="shared" si="252"/>
        <v>0</v>
      </c>
      <c r="I3150" s="21">
        <f t="shared" si="253"/>
        <v>0</v>
      </c>
      <c r="J3150" s="22" t="e">
        <f>VLOOKUP($A3150, TAB_JUROS_C[[DIAS_CORRIDOS]:[V_FUT_UTEIS]], J$5, FALSE)</f>
        <v>#N/A</v>
      </c>
      <c r="K3150" s="22" t="e">
        <f>VLOOKUP($A3150, TAB_CORRECAO_C[[DIAS_CORRIDOS]:[V_FUT_UTEIS]],K$5, FALSE)</f>
        <v>#N/A</v>
      </c>
      <c r="L3150" s="22" t="e">
        <f>VLOOKUP($A3150, TAB_AMORTIZACAO_C[[DIAS_CORRIDOS]:[V_FUT_UTEIS]], L$5, FALSE)</f>
        <v>#N/A</v>
      </c>
    </row>
    <row r="3151" spans="1:12" hidden="1">
      <c r="A3151" s="19">
        <f t="shared" si="254"/>
        <v>3145</v>
      </c>
      <c r="B3151" s="20">
        <f t="shared" si="250"/>
        <v>0</v>
      </c>
      <c r="C3151" s="21">
        <f t="shared" si="251"/>
        <v>0</v>
      </c>
      <c r="D3151" s="22" t="e">
        <f>VLOOKUP($A3151, TAB_JUROS_U[[Q_DIAS_U_PARC_TIR]:[V_FUT_U_JURS CENARIO]], D$5, FALSE)</f>
        <v>#N/A</v>
      </c>
      <c r="E3151" s="22" t="e">
        <f>VLOOKUP($A3151,TAB_CORRECAO_U[[Q_DIAS_U_PARC_TIR]:[V_FUT_U_CORC-02]],E$5, FALSE)</f>
        <v>#N/A</v>
      </c>
      <c r="F3151" s="22" t="e">
        <f>VLOOKUP($A3151,TAB_AMORTIZACAO_U[[Q_DIAS_U_PARC_TIR]:[V_FUT_U_PCPL-02]], F$5, FALSE)</f>
        <v>#N/A</v>
      </c>
      <c r="H3151" s="20">
        <f t="shared" si="252"/>
        <v>0</v>
      </c>
      <c r="I3151" s="21">
        <f t="shared" si="253"/>
        <v>0</v>
      </c>
      <c r="J3151" s="22" t="e">
        <f>VLOOKUP($A3151, TAB_JUROS_C[[DIAS_CORRIDOS]:[V_FUT_UTEIS]], J$5, FALSE)</f>
        <v>#N/A</v>
      </c>
      <c r="K3151" s="22" t="e">
        <f>VLOOKUP($A3151, TAB_CORRECAO_C[[DIAS_CORRIDOS]:[V_FUT_UTEIS]],K$5, FALSE)</f>
        <v>#N/A</v>
      </c>
      <c r="L3151" s="22" t="e">
        <f>VLOOKUP($A3151, TAB_AMORTIZACAO_C[[DIAS_CORRIDOS]:[V_FUT_UTEIS]], L$5, FALSE)</f>
        <v>#N/A</v>
      </c>
    </row>
    <row r="3152" spans="1:12" hidden="1">
      <c r="A3152" s="19">
        <f t="shared" si="254"/>
        <v>3146</v>
      </c>
      <c r="B3152" s="20">
        <f t="shared" si="250"/>
        <v>0</v>
      </c>
      <c r="C3152" s="21">
        <f t="shared" si="251"/>
        <v>0</v>
      </c>
      <c r="D3152" s="22" t="e">
        <f>VLOOKUP($A3152, TAB_JUROS_U[[Q_DIAS_U_PARC_TIR]:[V_FUT_U_JURS CENARIO]], D$5, FALSE)</f>
        <v>#N/A</v>
      </c>
      <c r="E3152" s="22" t="e">
        <f>VLOOKUP($A3152,TAB_CORRECAO_U[[Q_DIAS_U_PARC_TIR]:[V_FUT_U_CORC-02]],E$5, FALSE)</f>
        <v>#N/A</v>
      </c>
      <c r="F3152" s="22" t="e">
        <f>VLOOKUP($A3152,TAB_AMORTIZACAO_U[[Q_DIAS_U_PARC_TIR]:[V_FUT_U_PCPL-02]], F$5, FALSE)</f>
        <v>#N/A</v>
      </c>
      <c r="H3152" s="20">
        <f t="shared" si="252"/>
        <v>254.78583482493767</v>
      </c>
      <c r="I3152" s="21">
        <f t="shared" si="253"/>
        <v>254.78583482493767</v>
      </c>
      <c r="J3152" s="22">
        <f>VLOOKUP($A3152, TAB_JUROS_C[[DIAS_CORRIDOS]:[V_FUT_UTEIS]], J$5, FALSE)</f>
        <v>13.829997270987256</v>
      </c>
      <c r="K3152" s="22">
        <f>VLOOKUP($A3152, TAB_CORRECAO_C[[DIAS_CORRIDOS]:[V_FUT_UTEIS]],K$5, FALSE)</f>
        <v>85.077452897813885</v>
      </c>
      <c r="L3152" s="22">
        <f>VLOOKUP($A3152, TAB_AMORTIZACAO_C[[DIAS_CORRIDOS]:[V_FUT_UTEIS]], L$5, FALSE)</f>
        <v>155.87838465613652</v>
      </c>
    </row>
    <row r="3153" spans="1:12" hidden="1">
      <c r="A3153" s="19">
        <f t="shared" si="254"/>
        <v>3147</v>
      </c>
      <c r="B3153" s="20">
        <f t="shared" si="250"/>
        <v>0</v>
      </c>
      <c r="C3153" s="21">
        <f t="shared" si="251"/>
        <v>0</v>
      </c>
      <c r="D3153" s="22" t="e">
        <f>VLOOKUP($A3153, TAB_JUROS_U[[Q_DIAS_U_PARC_TIR]:[V_FUT_U_JURS CENARIO]], D$5, FALSE)</f>
        <v>#N/A</v>
      </c>
      <c r="E3153" s="22" t="e">
        <f>VLOOKUP($A3153,TAB_CORRECAO_U[[Q_DIAS_U_PARC_TIR]:[V_FUT_U_CORC-02]],E$5, FALSE)</f>
        <v>#N/A</v>
      </c>
      <c r="F3153" s="22" t="e">
        <f>VLOOKUP($A3153,TAB_AMORTIZACAO_U[[Q_DIAS_U_PARC_TIR]:[V_FUT_U_PCPL-02]], F$5, FALSE)</f>
        <v>#N/A</v>
      </c>
      <c r="H3153" s="20">
        <f t="shared" si="252"/>
        <v>0</v>
      </c>
      <c r="I3153" s="21">
        <f t="shared" si="253"/>
        <v>0</v>
      </c>
      <c r="J3153" s="22" t="e">
        <f>VLOOKUP($A3153, TAB_JUROS_C[[DIAS_CORRIDOS]:[V_FUT_UTEIS]], J$5, FALSE)</f>
        <v>#N/A</v>
      </c>
      <c r="K3153" s="22" t="e">
        <f>VLOOKUP($A3153, TAB_CORRECAO_C[[DIAS_CORRIDOS]:[V_FUT_UTEIS]],K$5, FALSE)</f>
        <v>#N/A</v>
      </c>
      <c r="L3153" s="22" t="e">
        <f>VLOOKUP($A3153, TAB_AMORTIZACAO_C[[DIAS_CORRIDOS]:[V_FUT_UTEIS]], L$5, FALSE)</f>
        <v>#N/A</v>
      </c>
    </row>
    <row r="3154" spans="1:12" hidden="1">
      <c r="A3154" s="19">
        <f t="shared" si="254"/>
        <v>3148</v>
      </c>
      <c r="B3154" s="20">
        <f t="shared" si="250"/>
        <v>0</v>
      </c>
      <c r="C3154" s="21">
        <f t="shared" si="251"/>
        <v>0</v>
      </c>
      <c r="D3154" s="22" t="e">
        <f>VLOOKUP($A3154, TAB_JUROS_U[[Q_DIAS_U_PARC_TIR]:[V_FUT_U_JURS CENARIO]], D$5, FALSE)</f>
        <v>#N/A</v>
      </c>
      <c r="E3154" s="22" t="e">
        <f>VLOOKUP($A3154,TAB_CORRECAO_U[[Q_DIAS_U_PARC_TIR]:[V_FUT_U_CORC-02]],E$5, FALSE)</f>
        <v>#N/A</v>
      </c>
      <c r="F3154" s="22" t="e">
        <f>VLOOKUP($A3154,TAB_AMORTIZACAO_U[[Q_DIAS_U_PARC_TIR]:[V_FUT_U_PCPL-02]], F$5, FALSE)</f>
        <v>#N/A</v>
      </c>
      <c r="H3154" s="20">
        <f t="shared" si="252"/>
        <v>0</v>
      </c>
      <c r="I3154" s="21">
        <f t="shared" si="253"/>
        <v>0</v>
      </c>
      <c r="J3154" s="22" t="e">
        <f>VLOOKUP($A3154, TAB_JUROS_C[[DIAS_CORRIDOS]:[V_FUT_UTEIS]], J$5, FALSE)</f>
        <v>#N/A</v>
      </c>
      <c r="K3154" s="22" t="e">
        <f>VLOOKUP($A3154, TAB_CORRECAO_C[[DIAS_CORRIDOS]:[V_FUT_UTEIS]],K$5, FALSE)</f>
        <v>#N/A</v>
      </c>
      <c r="L3154" s="22" t="e">
        <f>VLOOKUP($A3154, TAB_AMORTIZACAO_C[[DIAS_CORRIDOS]:[V_FUT_UTEIS]], L$5, FALSE)</f>
        <v>#N/A</v>
      </c>
    </row>
    <row r="3155" spans="1:12" hidden="1">
      <c r="A3155" s="19">
        <f t="shared" si="254"/>
        <v>3149</v>
      </c>
      <c r="B3155" s="20">
        <f t="shared" si="250"/>
        <v>0</v>
      </c>
      <c r="C3155" s="21">
        <f t="shared" si="251"/>
        <v>0</v>
      </c>
      <c r="D3155" s="22" t="e">
        <f>VLOOKUP($A3155, TAB_JUROS_U[[Q_DIAS_U_PARC_TIR]:[V_FUT_U_JURS CENARIO]], D$5, FALSE)</f>
        <v>#N/A</v>
      </c>
      <c r="E3155" s="22" t="e">
        <f>VLOOKUP($A3155,TAB_CORRECAO_U[[Q_DIAS_U_PARC_TIR]:[V_FUT_U_CORC-02]],E$5, FALSE)</f>
        <v>#N/A</v>
      </c>
      <c r="F3155" s="22" t="e">
        <f>VLOOKUP($A3155,TAB_AMORTIZACAO_U[[Q_DIAS_U_PARC_TIR]:[V_FUT_U_PCPL-02]], F$5, FALSE)</f>
        <v>#N/A</v>
      </c>
      <c r="H3155" s="20">
        <f t="shared" si="252"/>
        <v>0</v>
      </c>
      <c r="I3155" s="21">
        <f t="shared" si="253"/>
        <v>0</v>
      </c>
      <c r="J3155" s="22" t="e">
        <f>VLOOKUP($A3155, TAB_JUROS_C[[DIAS_CORRIDOS]:[V_FUT_UTEIS]], J$5, FALSE)</f>
        <v>#N/A</v>
      </c>
      <c r="K3155" s="22" t="e">
        <f>VLOOKUP($A3155, TAB_CORRECAO_C[[DIAS_CORRIDOS]:[V_FUT_UTEIS]],K$5, FALSE)</f>
        <v>#N/A</v>
      </c>
      <c r="L3155" s="22" t="e">
        <f>VLOOKUP($A3155, TAB_AMORTIZACAO_C[[DIAS_CORRIDOS]:[V_FUT_UTEIS]], L$5, FALSE)</f>
        <v>#N/A</v>
      </c>
    </row>
    <row r="3156" spans="1:12" hidden="1">
      <c r="A3156" s="19">
        <f t="shared" si="254"/>
        <v>3150</v>
      </c>
      <c r="B3156" s="20">
        <f t="shared" si="250"/>
        <v>0</v>
      </c>
      <c r="C3156" s="21">
        <f t="shared" si="251"/>
        <v>0</v>
      </c>
      <c r="D3156" s="22" t="e">
        <f>VLOOKUP($A3156, TAB_JUROS_U[[Q_DIAS_U_PARC_TIR]:[V_FUT_U_JURS CENARIO]], D$5, FALSE)</f>
        <v>#N/A</v>
      </c>
      <c r="E3156" s="22" t="e">
        <f>VLOOKUP($A3156,TAB_CORRECAO_U[[Q_DIAS_U_PARC_TIR]:[V_FUT_U_CORC-02]],E$5, FALSE)</f>
        <v>#N/A</v>
      </c>
      <c r="F3156" s="22" t="e">
        <f>VLOOKUP($A3156,TAB_AMORTIZACAO_U[[Q_DIAS_U_PARC_TIR]:[V_FUT_U_PCPL-02]], F$5, FALSE)</f>
        <v>#N/A</v>
      </c>
      <c r="H3156" s="20">
        <f t="shared" si="252"/>
        <v>0</v>
      </c>
      <c r="I3156" s="21">
        <f t="shared" si="253"/>
        <v>0</v>
      </c>
      <c r="J3156" s="22" t="e">
        <f>VLOOKUP($A3156, TAB_JUROS_C[[DIAS_CORRIDOS]:[V_FUT_UTEIS]], J$5, FALSE)</f>
        <v>#N/A</v>
      </c>
      <c r="K3156" s="22" t="e">
        <f>VLOOKUP($A3156, TAB_CORRECAO_C[[DIAS_CORRIDOS]:[V_FUT_UTEIS]],K$5, FALSE)</f>
        <v>#N/A</v>
      </c>
      <c r="L3156" s="22" t="e">
        <f>VLOOKUP($A3156, TAB_AMORTIZACAO_C[[DIAS_CORRIDOS]:[V_FUT_UTEIS]], L$5, FALSE)</f>
        <v>#N/A</v>
      </c>
    </row>
    <row r="3157" spans="1:12" hidden="1">
      <c r="A3157" s="19">
        <f t="shared" si="254"/>
        <v>3151</v>
      </c>
      <c r="B3157" s="20">
        <f t="shared" si="250"/>
        <v>0</v>
      </c>
      <c r="C3157" s="21">
        <f t="shared" si="251"/>
        <v>0</v>
      </c>
      <c r="D3157" s="22" t="e">
        <f>VLOOKUP($A3157, TAB_JUROS_U[[Q_DIAS_U_PARC_TIR]:[V_FUT_U_JURS CENARIO]], D$5, FALSE)</f>
        <v>#N/A</v>
      </c>
      <c r="E3157" s="22" t="e">
        <f>VLOOKUP($A3157,TAB_CORRECAO_U[[Q_DIAS_U_PARC_TIR]:[V_FUT_U_CORC-02]],E$5, FALSE)</f>
        <v>#N/A</v>
      </c>
      <c r="F3157" s="22" t="e">
        <f>VLOOKUP($A3157,TAB_AMORTIZACAO_U[[Q_DIAS_U_PARC_TIR]:[V_FUT_U_PCPL-02]], F$5, FALSE)</f>
        <v>#N/A</v>
      </c>
      <c r="H3157" s="20">
        <f t="shared" si="252"/>
        <v>0</v>
      </c>
      <c r="I3157" s="21">
        <f t="shared" si="253"/>
        <v>0</v>
      </c>
      <c r="J3157" s="22" t="e">
        <f>VLOOKUP($A3157, TAB_JUROS_C[[DIAS_CORRIDOS]:[V_FUT_UTEIS]], J$5, FALSE)</f>
        <v>#N/A</v>
      </c>
      <c r="K3157" s="22" t="e">
        <f>VLOOKUP($A3157, TAB_CORRECAO_C[[DIAS_CORRIDOS]:[V_FUT_UTEIS]],K$5, FALSE)</f>
        <v>#N/A</v>
      </c>
      <c r="L3157" s="22" t="e">
        <f>VLOOKUP($A3157, TAB_AMORTIZACAO_C[[DIAS_CORRIDOS]:[V_FUT_UTEIS]], L$5, FALSE)</f>
        <v>#N/A</v>
      </c>
    </row>
    <row r="3158" spans="1:12" hidden="1">
      <c r="A3158" s="19">
        <f t="shared" si="254"/>
        <v>3152</v>
      </c>
      <c r="B3158" s="20">
        <f t="shared" si="250"/>
        <v>0</v>
      </c>
      <c r="C3158" s="21">
        <f t="shared" si="251"/>
        <v>0</v>
      </c>
      <c r="D3158" s="22" t="e">
        <f>VLOOKUP($A3158, TAB_JUROS_U[[Q_DIAS_U_PARC_TIR]:[V_FUT_U_JURS CENARIO]], D$5, FALSE)</f>
        <v>#N/A</v>
      </c>
      <c r="E3158" s="22" t="e">
        <f>VLOOKUP($A3158,TAB_CORRECAO_U[[Q_DIAS_U_PARC_TIR]:[V_FUT_U_CORC-02]],E$5, FALSE)</f>
        <v>#N/A</v>
      </c>
      <c r="F3158" s="22" t="e">
        <f>VLOOKUP($A3158,TAB_AMORTIZACAO_U[[Q_DIAS_U_PARC_TIR]:[V_FUT_U_PCPL-02]], F$5, FALSE)</f>
        <v>#N/A</v>
      </c>
      <c r="H3158" s="20">
        <f t="shared" si="252"/>
        <v>0</v>
      </c>
      <c r="I3158" s="21">
        <f t="shared" si="253"/>
        <v>0</v>
      </c>
      <c r="J3158" s="22" t="e">
        <f>VLOOKUP($A3158, TAB_JUROS_C[[DIAS_CORRIDOS]:[V_FUT_UTEIS]], J$5, FALSE)</f>
        <v>#N/A</v>
      </c>
      <c r="K3158" s="22" t="e">
        <f>VLOOKUP($A3158, TAB_CORRECAO_C[[DIAS_CORRIDOS]:[V_FUT_UTEIS]],K$5, FALSE)</f>
        <v>#N/A</v>
      </c>
      <c r="L3158" s="22" t="e">
        <f>VLOOKUP($A3158, TAB_AMORTIZACAO_C[[DIAS_CORRIDOS]:[V_FUT_UTEIS]], L$5, FALSE)</f>
        <v>#N/A</v>
      </c>
    </row>
    <row r="3159" spans="1:12" hidden="1">
      <c r="A3159" s="19">
        <f t="shared" si="254"/>
        <v>3153</v>
      </c>
      <c r="B3159" s="20">
        <f t="shared" si="250"/>
        <v>0</v>
      </c>
      <c r="C3159" s="21">
        <f t="shared" si="251"/>
        <v>0</v>
      </c>
      <c r="D3159" s="22" t="e">
        <f>VLOOKUP($A3159, TAB_JUROS_U[[Q_DIAS_U_PARC_TIR]:[V_FUT_U_JURS CENARIO]], D$5, FALSE)</f>
        <v>#N/A</v>
      </c>
      <c r="E3159" s="22" t="e">
        <f>VLOOKUP($A3159,TAB_CORRECAO_U[[Q_DIAS_U_PARC_TIR]:[V_FUT_U_CORC-02]],E$5, FALSE)</f>
        <v>#N/A</v>
      </c>
      <c r="F3159" s="22" t="e">
        <f>VLOOKUP($A3159,TAB_AMORTIZACAO_U[[Q_DIAS_U_PARC_TIR]:[V_FUT_U_PCPL-02]], F$5, FALSE)</f>
        <v>#N/A</v>
      </c>
      <c r="H3159" s="20">
        <f t="shared" si="252"/>
        <v>0</v>
      </c>
      <c r="I3159" s="21">
        <f t="shared" si="253"/>
        <v>0</v>
      </c>
      <c r="J3159" s="22" t="e">
        <f>VLOOKUP($A3159, TAB_JUROS_C[[DIAS_CORRIDOS]:[V_FUT_UTEIS]], J$5, FALSE)</f>
        <v>#N/A</v>
      </c>
      <c r="K3159" s="22" t="e">
        <f>VLOOKUP($A3159, TAB_CORRECAO_C[[DIAS_CORRIDOS]:[V_FUT_UTEIS]],K$5, FALSE)</f>
        <v>#N/A</v>
      </c>
      <c r="L3159" s="22" t="e">
        <f>VLOOKUP($A3159, TAB_AMORTIZACAO_C[[DIAS_CORRIDOS]:[V_FUT_UTEIS]], L$5, FALSE)</f>
        <v>#N/A</v>
      </c>
    </row>
    <row r="3160" spans="1:12" hidden="1">
      <c r="A3160" s="19">
        <f t="shared" si="254"/>
        <v>3154</v>
      </c>
      <c r="B3160" s="20">
        <f t="shared" si="250"/>
        <v>0</v>
      </c>
      <c r="C3160" s="21">
        <f t="shared" si="251"/>
        <v>0</v>
      </c>
      <c r="D3160" s="22" t="e">
        <f>VLOOKUP($A3160, TAB_JUROS_U[[Q_DIAS_U_PARC_TIR]:[V_FUT_U_JURS CENARIO]], D$5, FALSE)</f>
        <v>#N/A</v>
      </c>
      <c r="E3160" s="22" t="e">
        <f>VLOOKUP($A3160,TAB_CORRECAO_U[[Q_DIAS_U_PARC_TIR]:[V_FUT_U_CORC-02]],E$5, FALSE)</f>
        <v>#N/A</v>
      </c>
      <c r="F3160" s="22" t="e">
        <f>VLOOKUP($A3160,TAB_AMORTIZACAO_U[[Q_DIAS_U_PARC_TIR]:[V_FUT_U_PCPL-02]], F$5, FALSE)</f>
        <v>#N/A</v>
      </c>
      <c r="H3160" s="20">
        <f t="shared" si="252"/>
        <v>0</v>
      </c>
      <c r="I3160" s="21">
        <f t="shared" si="253"/>
        <v>0</v>
      </c>
      <c r="J3160" s="22" t="e">
        <f>VLOOKUP($A3160, TAB_JUROS_C[[DIAS_CORRIDOS]:[V_FUT_UTEIS]], J$5, FALSE)</f>
        <v>#N/A</v>
      </c>
      <c r="K3160" s="22" t="e">
        <f>VLOOKUP($A3160, TAB_CORRECAO_C[[DIAS_CORRIDOS]:[V_FUT_UTEIS]],K$5, FALSE)</f>
        <v>#N/A</v>
      </c>
      <c r="L3160" s="22" t="e">
        <f>VLOOKUP($A3160, TAB_AMORTIZACAO_C[[DIAS_CORRIDOS]:[V_FUT_UTEIS]], L$5, FALSE)</f>
        <v>#N/A</v>
      </c>
    </row>
    <row r="3161" spans="1:12" hidden="1">
      <c r="A3161" s="19">
        <f t="shared" si="254"/>
        <v>3155</v>
      </c>
      <c r="B3161" s="20">
        <f t="shared" si="250"/>
        <v>0</v>
      </c>
      <c r="C3161" s="21">
        <f t="shared" si="251"/>
        <v>0</v>
      </c>
      <c r="D3161" s="22" t="e">
        <f>VLOOKUP($A3161, TAB_JUROS_U[[Q_DIAS_U_PARC_TIR]:[V_FUT_U_JURS CENARIO]], D$5, FALSE)</f>
        <v>#N/A</v>
      </c>
      <c r="E3161" s="22" t="e">
        <f>VLOOKUP($A3161,TAB_CORRECAO_U[[Q_DIAS_U_PARC_TIR]:[V_FUT_U_CORC-02]],E$5, FALSE)</f>
        <v>#N/A</v>
      </c>
      <c r="F3161" s="22" t="e">
        <f>VLOOKUP($A3161,TAB_AMORTIZACAO_U[[Q_DIAS_U_PARC_TIR]:[V_FUT_U_PCPL-02]], F$5, FALSE)</f>
        <v>#N/A</v>
      </c>
      <c r="H3161" s="20">
        <f t="shared" si="252"/>
        <v>0</v>
      </c>
      <c r="I3161" s="21">
        <f t="shared" si="253"/>
        <v>0</v>
      </c>
      <c r="J3161" s="22" t="e">
        <f>VLOOKUP($A3161, TAB_JUROS_C[[DIAS_CORRIDOS]:[V_FUT_UTEIS]], J$5, FALSE)</f>
        <v>#N/A</v>
      </c>
      <c r="K3161" s="22" t="e">
        <f>VLOOKUP($A3161, TAB_CORRECAO_C[[DIAS_CORRIDOS]:[V_FUT_UTEIS]],K$5, FALSE)</f>
        <v>#N/A</v>
      </c>
      <c r="L3161" s="22" t="e">
        <f>VLOOKUP($A3161, TAB_AMORTIZACAO_C[[DIAS_CORRIDOS]:[V_FUT_UTEIS]], L$5, FALSE)</f>
        <v>#N/A</v>
      </c>
    </row>
    <row r="3162" spans="1:12" hidden="1">
      <c r="A3162" s="19">
        <f t="shared" si="254"/>
        <v>3156</v>
      </c>
      <c r="B3162" s="20">
        <f t="shared" si="250"/>
        <v>0</v>
      </c>
      <c r="C3162" s="21">
        <f t="shared" si="251"/>
        <v>0</v>
      </c>
      <c r="D3162" s="22" t="e">
        <f>VLOOKUP($A3162, TAB_JUROS_U[[Q_DIAS_U_PARC_TIR]:[V_FUT_U_JURS CENARIO]], D$5, FALSE)</f>
        <v>#N/A</v>
      </c>
      <c r="E3162" s="22" t="e">
        <f>VLOOKUP($A3162,TAB_CORRECAO_U[[Q_DIAS_U_PARC_TIR]:[V_FUT_U_CORC-02]],E$5, FALSE)</f>
        <v>#N/A</v>
      </c>
      <c r="F3162" s="22" t="e">
        <f>VLOOKUP($A3162,TAB_AMORTIZACAO_U[[Q_DIAS_U_PARC_TIR]:[V_FUT_U_PCPL-02]], F$5, FALSE)</f>
        <v>#N/A</v>
      </c>
      <c r="H3162" s="20">
        <f t="shared" si="252"/>
        <v>0</v>
      </c>
      <c r="I3162" s="21">
        <f t="shared" si="253"/>
        <v>0</v>
      </c>
      <c r="J3162" s="22" t="e">
        <f>VLOOKUP($A3162, TAB_JUROS_C[[DIAS_CORRIDOS]:[V_FUT_UTEIS]], J$5, FALSE)</f>
        <v>#N/A</v>
      </c>
      <c r="K3162" s="22" t="e">
        <f>VLOOKUP($A3162, TAB_CORRECAO_C[[DIAS_CORRIDOS]:[V_FUT_UTEIS]],K$5, FALSE)</f>
        <v>#N/A</v>
      </c>
      <c r="L3162" s="22" t="e">
        <f>VLOOKUP($A3162, TAB_AMORTIZACAO_C[[DIAS_CORRIDOS]:[V_FUT_UTEIS]], L$5, FALSE)</f>
        <v>#N/A</v>
      </c>
    </row>
    <row r="3163" spans="1:12" hidden="1">
      <c r="A3163" s="19">
        <f t="shared" si="254"/>
        <v>3157</v>
      </c>
      <c r="B3163" s="20">
        <f t="shared" si="250"/>
        <v>0</v>
      </c>
      <c r="C3163" s="21">
        <f t="shared" si="251"/>
        <v>0</v>
      </c>
      <c r="D3163" s="22" t="e">
        <f>VLOOKUP($A3163, TAB_JUROS_U[[Q_DIAS_U_PARC_TIR]:[V_FUT_U_JURS CENARIO]], D$5, FALSE)</f>
        <v>#N/A</v>
      </c>
      <c r="E3163" s="22" t="e">
        <f>VLOOKUP($A3163,TAB_CORRECAO_U[[Q_DIAS_U_PARC_TIR]:[V_FUT_U_CORC-02]],E$5, FALSE)</f>
        <v>#N/A</v>
      </c>
      <c r="F3163" s="22" t="e">
        <f>VLOOKUP($A3163,TAB_AMORTIZACAO_U[[Q_DIAS_U_PARC_TIR]:[V_FUT_U_PCPL-02]], F$5, FALSE)</f>
        <v>#N/A</v>
      </c>
      <c r="H3163" s="20">
        <f t="shared" si="252"/>
        <v>0</v>
      </c>
      <c r="I3163" s="21">
        <f t="shared" si="253"/>
        <v>0</v>
      </c>
      <c r="J3163" s="22" t="e">
        <f>VLOOKUP($A3163, TAB_JUROS_C[[DIAS_CORRIDOS]:[V_FUT_UTEIS]], J$5, FALSE)</f>
        <v>#N/A</v>
      </c>
      <c r="K3163" s="22" t="e">
        <f>VLOOKUP($A3163, TAB_CORRECAO_C[[DIAS_CORRIDOS]:[V_FUT_UTEIS]],K$5, FALSE)</f>
        <v>#N/A</v>
      </c>
      <c r="L3163" s="22" t="e">
        <f>VLOOKUP($A3163, TAB_AMORTIZACAO_C[[DIAS_CORRIDOS]:[V_FUT_UTEIS]], L$5, FALSE)</f>
        <v>#N/A</v>
      </c>
    </row>
    <row r="3164" spans="1:12" hidden="1">
      <c r="A3164" s="19">
        <f t="shared" si="254"/>
        <v>3158</v>
      </c>
      <c r="B3164" s="20">
        <f t="shared" si="250"/>
        <v>0</v>
      </c>
      <c r="C3164" s="21">
        <f t="shared" si="251"/>
        <v>0</v>
      </c>
      <c r="D3164" s="22" t="e">
        <f>VLOOKUP($A3164, TAB_JUROS_U[[Q_DIAS_U_PARC_TIR]:[V_FUT_U_JURS CENARIO]], D$5, FALSE)</f>
        <v>#N/A</v>
      </c>
      <c r="E3164" s="22" t="e">
        <f>VLOOKUP($A3164,TAB_CORRECAO_U[[Q_DIAS_U_PARC_TIR]:[V_FUT_U_CORC-02]],E$5, FALSE)</f>
        <v>#N/A</v>
      </c>
      <c r="F3164" s="22" t="e">
        <f>VLOOKUP($A3164,TAB_AMORTIZACAO_U[[Q_DIAS_U_PARC_TIR]:[V_FUT_U_PCPL-02]], F$5, FALSE)</f>
        <v>#N/A</v>
      </c>
      <c r="H3164" s="20">
        <f t="shared" si="252"/>
        <v>0</v>
      </c>
      <c r="I3164" s="21">
        <f t="shared" si="253"/>
        <v>0</v>
      </c>
      <c r="J3164" s="22" t="e">
        <f>VLOOKUP($A3164, TAB_JUROS_C[[DIAS_CORRIDOS]:[V_FUT_UTEIS]], J$5, FALSE)</f>
        <v>#N/A</v>
      </c>
      <c r="K3164" s="22" t="e">
        <f>VLOOKUP($A3164, TAB_CORRECAO_C[[DIAS_CORRIDOS]:[V_FUT_UTEIS]],K$5, FALSE)</f>
        <v>#N/A</v>
      </c>
      <c r="L3164" s="22" t="e">
        <f>VLOOKUP($A3164, TAB_AMORTIZACAO_C[[DIAS_CORRIDOS]:[V_FUT_UTEIS]], L$5, FALSE)</f>
        <v>#N/A</v>
      </c>
    </row>
    <row r="3165" spans="1:12" hidden="1">
      <c r="A3165" s="19">
        <f t="shared" si="254"/>
        <v>3159</v>
      </c>
      <c r="B3165" s="20">
        <f t="shared" si="250"/>
        <v>0</v>
      </c>
      <c r="C3165" s="21">
        <f t="shared" si="251"/>
        <v>0</v>
      </c>
      <c r="D3165" s="22" t="e">
        <f>VLOOKUP($A3165, TAB_JUROS_U[[Q_DIAS_U_PARC_TIR]:[V_FUT_U_JURS CENARIO]], D$5, FALSE)</f>
        <v>#N/A</v>
      </c>
      <c r="E3165" s="22" t="e">
        <f>VLOOKUP($A3165,TAB_CORRECAO_U[[Q_DIAS_U_PARC_TIR]:[V_FUT_U_CORC-02]],E$5, FALSE)</f>
        <v>#N/A</v>
      </c>
      <c r="F3165" s="22" t="e">
        <f>VLOOKUP($A3165,TAB_AMORTIZACAO_U[[Q_DIAS_U_PARC_TIR]:[V_FUT_U_PCPL-02]], F$5, FALSE)</f>
        <v>#N/A</v>
      </c>
      <c r="H3165" s="20">
        <f t="shared" si="252"/>
        <v>0</v>
      </c>
      <c r="I3165" s="21">
        <f t="shared" si="253"/>
        <v>0</v>
      </c>
      <c r="J3165" s="22" t="e">
        <f>VLOOKUP($A3165, TAB_JUROS_C[[DIAS_CORRIDOS]:[V_FUT_UTEIS]], J$5, FALSE)</f>
        <v>#N/A</v>
      </c>
      <c r="K3165" s="22" t="e">
        <f>VLOOKUP($A3165, TAB_CORRECAO_C[[DIAS_CORRIDOS]:[V_FUT_UTEIS]],K$5, FALSE)</f>
        <v>#N/A</v>
      </c>
      <c r="L3165" s="22" t="e">
        <f>VLOOKUP($A3165, TAB_AMORTIZACAO_C[[DIAS_CORRIDOS]:[V_FUT_UTEIS]], L$5, FALSE)</f>
        <v>#N/A</v>
      </c>
    </row>
    <row r="3166" spans="1:12" hidden="1">
      <c r="A3166" s="19">
        <f t="shared" si="254"/>
        <v>3160</v>
      </c>
      <c r="B3166" s="20">
        <f t="shared" si="250"/>
        <v>0</v>
      </c>
      <c r="C3166" s="21">
        <f t="shared" si="251"/>
        <v>0</v>
      </c>
      <c r="D3166" s="22" t="e">
        <f>VLOOKUP($A3166, TAB_JUROS_U[[Q_DIAS_U_PARC_TIR]:[V_FUT_U_JURS CENARIO]], D$5, FALSE)</f>
        <v>#N/A</v>
      </c>
      <c r="E3166" s="22" t="e">
        <f>VLOOKUP($A3166,TAB_CORRECAO_U[[Q_DIAS_U_PARC_TIR]:[V_FUT_U_CORC-02]],E$5, FALSE)</f>
        <v>#N/A</v>
      </c>
      <c r="F3166" s="22" t="e">
        <f>VLOOKUP($A3166,TAB_AMORTIZACAO_U[[Q_DIAS_U_PARC_TIR]:[V_FUT_U_PCPL-02]], F$5, FALSE)</f>
        <v>#N/A</v>
      </c>
      <c r="H3166" s="20">
        <f t="shared" si="252"/>
        <v>0</v>
      </c>
      <c r="I3166" s="21">
        <f t="shared" si="253"/>
        <v>0</v>
      </c>
      <c r="J3166" s="22" t="e">
        <f>VLOOKUP($A3166, TAB_JUROS_C[[DIAS_CORRIDOS]:[V_FUT_UTEIS]], J$5, FALSE)</f>
        <v>#N/A</v>
      </c>
      <c r="K3166" s="22" t="e">
        <f>VLOOKUP($A3166, TAB_CORRECAO_C[[DIAS_CORRIDOS]:[V_FUT_UTEIS]],K$5, FALSE)</f>
        <v>#N/A</v>
      </c>
      <c r="L3166" s="22" t="e">
        <f>VLOOKUP($A3166, TAB_AMORTIZACAO_C[[DIAS_CORRIDOS]:[V_FUT_UTEIS]], L$5, FALSE)</f>
        <v>#N/A</v>
      </c>
    </row>
    <row r="3167" spans="1:12" hidden="1">
      <c r="A3167" s="19">
        <f t="shared" si="254"/>
        <v>3161</v>
      </c>
      <c r="B3167" s="20">
        <f t="shared" si="250"/>
        <v>0</v>
      </c>
      <c r="C3167" s="21">
        <f t="shared" si="251"/>
        <v>0</v>
      </c>
      <c r="D3167" s="22" t="e">
        <f>VLOOKUP($A3167, TAB_JUROS_U[[Q_DIAS_U_PARC_TIR]:[V_FUT_U_JURS CENARIO]], D$5, FALSE)</f>
        <v>#N/A</v>
      </c>
      <c r="E3167" s="22" t="e">
        <f>VLOOKUP($A3167,TAB_CORRECAO_U[[Q_DIAS_U_PARC_TIR]:[V_FUT_U_CORC-02]],E$5, FALSE)</f>
        <v>#N/A</v>
      </c>
      <c r="F3167" s="22" t="e">
        <f>VLOOKUP($A3167,TAB_AMORTIZACAO_U[[Q_DIAS_U_PARC_TIR]:[V_FUT_U_PCPL-02]], F$5, FALSE)</f>
        <v>#N/A</v>
      </c>
      <c r="H3167" s="20">
        <f t="shared" si="252"/>
        <v>0</v>
      </c>
      <c r="I3167" s="21">
        <f t="shared" si="253"/>
        <v>0</v>
      </c>
      <c r="J3167" s="22" t="e">
        <f>VLOOKUP($A3167, TAB_JUROS_C[[DIAS_CORRIDOS]:[V_FUT_UTEIS]], J$5, FALSE)</f>
        <v>#N/A</v>
      </c>
      <c r="K3167" s="22" t="e">
        <f>VLOOKUP($A3167, TAB_CORRECAO_C[[DIAS_CORRIDOS]:[V_FUT_UTEIS]],K$5, FALSE)</f>
        <v>#N/A</v>
      </c>
      <c r="L3167" s="22" t="e">
        <f>VLOOKUP($A3167, TAB_AMORTIZACAO_C[[DIAS_CORRIDOS]:[V_FUT_UTEIS]], L$5, FALSE)</f>
        <v>#N/A</v>
      </c>
    </row>
    <row r="3168" spans="1:12" hidden="1">
      <c r="A3168" s="19">
        <f t="shared" si="254"/>
        <v>3162</v>
      </c>
      <c r="B3168" s="20">
        <f t="shared" si="250"/>
        <v>0</v>
      </c>
      <c r="C3168" s="21">
        <f t="shared" si="251"/>
        <v>0</v>
      </c>
      <c r="D3168" s="22" t="e">
        <f>VLOOKUP($A3168, TAB_JUROS_U[[Q_DIAS_U_PARC_TIR]:[V_FUT_U_JURS CENARIO]], D$5, FALSE)</f>
        <v>#N/A</v>
      </c>
      <c r="E3168" s="22" t="e">
        <f>VLOOKUP($A3168,TAB_CORRECAO_U[[Q_DIAS_U_PARC_TIR]:[V_FUT_U_CORC-02]],E$5, FALSE)</f>
        <v>#N/A</v>
      </c>
      <c r="F3168" s="22" t="e">
        <f>VLOOKUP($A3168,TAB_AMORTIZACAO_U[[Q_DIAS_U_PARC_TIR]:[V_FUT_U_PCPL-02]], F$5, FALSE)</f>
        <v>#N/A</v>
      </c>
      <c r="H3168" s="20">
        <f t="shared" si="252"/>
        <v>0</v>
      </c>
      <c r="I3168" s="21">
        <f t="shared" si="253"/>
        <v>0</v>
      </c>
      <c r="J3168" s="22" t="e">
        <f>VLOOKUP($A3168, TAB_JUROS_C[[DIAS_CORRIDOS]:[V_FUT_UTEIS]], J$5, FALSE)</f>
        <v>#N/A</v>
      </c>
      <c r="K3168" s="22" t="e">
        <f>VLOOKUP($A3168, TAB_CORRECAO_C[[DIAS_CORRIDOS]:[V_FUT_UTEIS]],K$5, FALSE)</f>
        <v>#N/A</v>
      </c>
      <c r="L3168" s="22" t="e">
        <f>VLOOKUP($A3168, TAB_AMORTIZACAO_C[[DIAS_CORRIDOS]:[V_FUT_UTEIS]], L$5, FALSE)</f>
        <v>#N/A</v>
      </c>
    </row>
    <row r="3169" spans="1:12" hidden="1">
      <c r="A3169" s="19">
        <f t="shared" si="254"/>
        <v>3163</v>
      </c>
      <c r="B3169" s="20">
        <f t="shared" si="250"/>
        <v>0</v>
      </c>
      <c r="C3169" s="21">
        <f t="shared" si="251"/>
        <v>0</v>
      </c>
      <c r="D3169" s="22" t="e">
        <f>VLOOKUP($A3169, TAB_JUROS_U[[Q_DIAS_U_PARC_TIR]:[V_FUT_U_JURS CENARIO]], D$5, FALSE)</f>
        <v>#N/A</v>
      </c>
      <c r="E3169" s="22" t="e">
        <f>VLOOKUP($A3169,TAB_CORRECAO_U[[Q_DIAS_U_PARC_TIR]:[V_FUT_U_CORC-02]],E$5, FALSE)</f>
        <v>#N/A</v>
      </c>
      <c r="F3169" s="22" t="e">
        <f>VLOOKUP($A3169,TAB_AMORTIZACAO_U[[Q_DIAS_U_PARC_TIR]:[V_FUT_U_PCPL-02]], F$5, FALSE)</f>
        <v>#N/A</v>
      </c>
      <c r="H3169" s="20">
        <f t="shared" si="252"/>
        <v>0</v>
      </c>
      <c r="I3169" s="21">
        <f t="shared" si="253"/>
        <v>0</v>
      </c>
      <c r="J3169" s="22" t="e">
        <f>VLOOKUP($A3169, TAB_JUROS_C[[DIAS_CORRIDOS]:[V_FUT_UTEIS]], J$5, FALSE)</f>
        <v>#N/A</v>
      </c>
      <c r="K3169" s="22" t="e">
        <f>VLOOKUP($A3169, TAB_CORRECAO_C[[DIAS_CORRIDOS]:[V_FUT_UTEIS]],K$5, FALSE)</f>
        <v>#N/A</v>
      </c>
      <c r="L3169" s="22" t="e">
        <f>VLOOKUP($A3169, TAB_AMORTIZACAO_C[[DIAS_CORRIDOS]:[V_FUT_UTEIS]], L$5, FALSE)</f>
        <v>#N/A</v>
      </c>
    </row>
    <row r="3170" spans="1:12" hidden="1">
      <c r="A3170" s="19">
        <f t="shared" si="254"/>
        <v>3164</v>
      </c>
      <c r="B3170" s="20">
        <f t="shared" si="250"/>
        <v>0</v>
      </c>
      <c r="C3170" s="21">
        <f t="shared" si="251"/>
        <v>0</v>
      </c>
      <c r="D3170" s="22" t="e">
        <f>VLOOKUP($A3170, TAB_JUROS_U[[Q_DIAS_U_PARC_TIR]:[V_FUT_U_JURS CENARIO]], D$5, FALSE)</f>
        <v>#N/A</v>
      </c>
      <c r="E3170" s="22" t="e">
        <f>VLOOKUP($A3170,TAB_CORRECAO_U[[Q_DIAS_U_PARC_TIR]:[V_FUT_U_CORC-02]],E$5, FALSE)</f>
        <v>#N/A</v>
      </c>
      <c r="F3170" s="22" t="e">
        <f>VLOOKUP($A3170,TAB_AMORTIZACAO_U[[Q_DIAS_U_PARC_TIR]:[V_FUT_U_PCPL-02]], F$5, FALSE)</f>
        <v>#N/A</v>
      </c>
      <c r="H3170" s="20">
        <f t="shared" si="252"/>
        <v>0</v>
      </c>
      <c r="I3170" s="21">
        <f t="shared" si="253"/>
        <v>0</v>
      </c>
      <c r="J3170" s="22" t="e">
        <f>VLOOKUP($A3170, TAB_JUROS_C[[DIAS_CORRIDOS]:[V_FUT_UTEIS]], J$5, FALSE)</f>
        <v>#N/A</v>
      </c>
      <c r="K3170" s="22" t="e">
        <f>VLOOKUP($A3170, TAB_CORRECAO_C[[DIAS_CORRIDOS]:[V_FUT_UTEIS]],K$5, FALSE)</f>
        <v>#N/A</v>
      </c>
      <c r="L3170" s="22" t="e">
        <f>VLOOKUP($A3170, TAB_AMORTIZACAO_C[[DIAS_CORRIDOS]:[V_FUT_UTEIS]], L$5, FALSE)</f>
        <v>#N/A</v>
      </c>
    </row>
    <row r="3171" spans="1:12" hidden="1">
      <c r="A3171" s="19">
        <f t="shared" si="254"/>
        <v>3165</v>
      </c>
      <c r="B3171" s="20">
        <f t="shared" si="250"/>
        <v>0</v>
      </c>
      <c r="C3171" s="21">
        <f t="shared" si="251"/>
        <v>0</v>
      </c>
      <c r="D3171" s="22" t="e">
        <f>VLOOKUP($A3171, TAB_JUROS_U[[Q_DIAS_U_PARC_TIR]:[V_FUT_U_JURS CENARIO]], D$5, FALSE)</f>
        <v>#N/A</v>
      </c>
      <c r="E3171" s="22" t="e">
        <f>VLOOKUP($A3171,TAB_CORRECAO_U[[Q_DIAS_U_PARC_TIR]:[V_FUT_U_CORC-02]],E$5, FALSE)</f>
        <v>#N/A</v>
      </c>
      <c r="F3171" s="22" t="e">
        <f>VLOOKUP($A3171,TAB_AMORTIZACAO_U[[Q_DIAS_U_PARC_TIR]:[V_FUT_U_PCPL-02]], F$5, FALSE)</f>
        <v>#N/A</v>
      </c>
      <c r="H3171" s="20">
        <f t="shared" si="252"/>
        <v>0</v>
      </c>
      <c r="I3171" s="21">
        <f t="shared" si="253"/>
        <v>0</v>
      </c>
      <c r="J3171" s="22" t="e">
        <f>VLOOKUP($A3171, TAB_JUROS_C[[DIAS_CORRIDOS]:[V_FUT_UTEIS]], J$5, FALSE)</f>
        <v>#N/A</v>
      </c>
      <c r="K3171" s="22" t="e">
        <f>VLOOKUP($A3171, TAB_CORRECAO_C[[DIAS_CORRIDOS]:[V_FUT_UTEIS]],K$5, FALSE)</f>
        <v>#N/A</v>
      </c>
      <c r="L3171" s="22" t="e">
        <f>VLOOKUP($A3171, TAB_AMORTIZACAO_C[[DIAS_CORRIDOS]:[V_FUT_UTEIS]], L$5, FALSE)</f>
        <v>#N/A</v>
      </c>
    </row>
    <row r="3172" spans="1:12" hidden="1">
      <c r="A3172" s="19">
        <f t="shared" si="254"/>
        <v>3166</v>
      </c>
      <c r="B3172" s="20">
        <f t="shared" si="250"/>
        <v>0</v>
      </c>
      <c r="C3172" s="21">
        <f t="shared" si="251"/>
        <v>0</v>
      </c>
      <c r="D3172" s="22" t="e">
        <f>VLOOKUP($A3172, TAB_JUROS_U[[Q_DIAS_U_PARC_TIR]:[V_FUT_U_JURS CENARIO]], D$5, FALSE)</f>
        <v>#N/A</v>
      </c>
      <c r="E3172" s="22" t="e">
        <f>VLOOKUP($A3172,TAB_CORRECAO_U[[Q_DIAS_U_PARC_TIR]:[V_FUT_U_CORC-02]],E$5, FALSE)</f>
        <v>#N/A</v>
      </c>
      <c r="F3172" s="22" t="e">
        <f>VLOOKUP($A3172,TAB_AMORTIZACAO_U[[Q_DIAS_U_PARC_TIR]:[V_FUT_U_PCPL-02]], F$5, FALSE)</f>
        <v>#N/A</v>
      </c>
      <c r="H3172" s="20">
        <f t="shared" si="252"/>
        <v>0</v>
      </c>
      <c r="I3172" s="21">
        <f t="shared" si="253"/>
        <v>0</v>
      </c>
      <c r="J3172" s="22" t="e">
        <f>VLOOKUP($A3172, TAB_JUROS_C[[DIAS_CORRIDOS]:[V_FUT_UTEIS]], J$5, FALSE)</f>
        <v>#N/A</v>
      </c>
      <c r="K3172" s="22" t="e">
        <f>VLOOKUP($A3172, TAB_CORRECAO_C[[DIAS_CORRIDOS]:[V_FUT_UTEIS]],K$5, FALSE)</f>
        <v>#N/A</v>
      </c>
      <c r="L3172" s="22" t="e">
        <f>VLOOKUP($A3172, TAB_AMORTIZACAO_C[[DIAS_CORRIDOS]:[V_FUT_UTEIS]], L$5, FALSE)</f>
        <v>#N/A</v>
      </c>
    </row>
    <row r="3173" spans="1:12" hidden="1">
      <c r="A3173" s="19">
        <f t="shared" si="254"/>
        <v>3167</v>
      </c>
      <c r="B3173" s="20">
        <f t="shared" si="250"/>
        <v>0</v>
      </c>
      <c r="C3173" s="21">
        <f t="shared" si="251"/>
        <v>0</v>
      </c>
      <c r="D3173" s="22" t="e">
        <f>VLOOKUP($A3173, TAB_JUROS_U[[Q_DIAS_U_PARC_TIR]:[V_FUT_U_JURS CENARIO]], D$5, FALSE)</f>
        <v>#N/A</v>
      </c>
      <c r="E3173" s="22" t="e">
        <f>VLOOKUP($A3173,TAB_CORRECAO_U[[Q_DIAS_U_PARC_TIR]:[V_FUT_U_CORC-02]],E$5, FALSE)</f>
        <v>#N/A</v>
      </c>
      <c r="F3173" s="22" t="e">
        <f>VLOOKUP($A3173,TAB_AMORTIZACAO_U[[Q_DIAS_U_PARC_TIR]:[V_FUT_U_PCPL-02]], F$5, FALSE)</f>
        <v>#N/A</v>
      </c>
      <c r="H3173" s="20">
        <f t="shared" si="252"/>
        <v>0</v>
      </c>
      <c r="I3173" s="21">
        <f t="shared" si="253"/>
        <v>0</v>
      </c>
      <c r="J3173" s="22" t="e">
        <f>VLOOKUP($A3173, TAB_JUROS_C[[DIAS_CORRIDOS]:[V_FUT_UTEIS]], J$5, FALSE)</f>
        <v>#N/A</v>
      </c>
      <c r="K3173" s="22" t="e">
        <f>VLOOKUP($A3173, TAB_CORRECAO_C[[DIAS_CORRIDOS]:[V_FUT_UTEIS]],K$5, FALSE)</f>
        <v>#N/A</v>
      </c>
      <c r="L3173" s="22" t="e">
        <f>VLOOKUP($A3173, TAB_AMORTIZACAO_C[[DIAS_CORRIDOS]:[V_FUT_UTEIS]], L$5, FALSE)</f>
        <v>#N/A</v>
      </c>
    </row>
    <row r="3174" spans="1:12" hidden="1">
      <c r="A3174" s="19">
        <f t="shared" si="254"/>
        <v>3168</v>
      </c>
      <c r="B3174" s="20">
        <f t="shared" si="250"/>
        <v>0</v>
      </c>
      <c r="C3174" s="21">
        <f t="shared" si="251"/>
        <v>0</v>
      </c>
      <c r="D3174" s="22" t="e">
        <f>VLOOKUP($A3174, TAB_JUROS_U[[Q_DIAS_U_PARC_TIR]:[V_FUT_U_JURS CENARIO]], D$5, FALSE)</f>
        <v>#N/A</v>
      </c>
      <c r="E3174" s="22" t="e">
        <f>VLOOKUP($A3174,TAB_CORRECAO_U[[Q_DIAS_U_PARC_TIR]:[V_FUT_U_CORC-02]],E$5, FALSE)</f>
        <v>#N/A</v>
      </c>
      <c r="F3174" s="22" t="e">
        <f>VLOOKUP($A3174,TAB_AMORTIZACAO_U[[Q_DIAS_U_PARC_TIR]:[V_FUT_U_PCPL-02]], F$5, FALSE)</f>
        <v>#N/A</v>
      </c>
      <c r="H3174" s="20">
        <f t="shared" si="252"/>
        <v>0</v>
      </c>
      <c r="I3174" s="21">
        <f t="shared" si="253"/>
        <v>0</v>
      </c>
      <c r="J3174" s="22" t="e">
        <f>VLOOKUP($A3174, TAB_JUROS_C[[DIAS_CORRIDOS]:[V_FUT_UTEIS]], J$5, FALSE)</f>
        <v>#N/A</v>
      </c>
      <c r="K3174" s="22" t="e">
        <f>VLOOKUP($A3174, TAB_CORRECAO_C[[DIAS_CORRIDOS]:[V_FUT_UTEIS]],K$5, FALSE)</f>
        <v>#N/A</v>
      </c>
      <c r="L3174" s="22" t="e">
        <f>VLOOKUP($A3174, TAB_AMORTIZACAO_C[[DIAS_CORRIDOS]:[V_FUT_UTEIS]], L$5, FALSE)</f>
        <v>#N/A</v>
      </c>
    </row>
    <row r="3175" spans="1:12" hidden="1">
      <c r="A3175" s="19">
        <f t="shared" si="254"/>
        <v>3169</v>
      </c>
      <c r="B3175" s="20">
        <f t="shared" si="250"/>
        <v>0</v>
      </c>
      <c r="C3175" s="21">
        <f t="shared" si="251"/>
        <v>0</v>
      </c>
      <c r="D3175" s="22" t="e">
        <f>VLOOKUP($A3175, TAB_JUROS_U[[Q_DIAS_U_PARC_TIR]:[V_FUT_U_JURS CENARIO]], D$5, FALSE)</f>
        <v>#N/A</v>
      </c>
      <c r="E3175" s="22" t="e">
        <f>VLOOKUP($A3175,TAB_CORRECAO_U[[Q_DIAS_U_PARC_TIR]:[V_FUT_U_CORC-02]],E$5, FALSE)</f>
        <v>#N/A</v>
      </c>
      <c r="F3175" s="22" t="e">
        <f>VLOOKUP($A3175,TAB_AMORTIZACAO_U[[Q_DIAS_U_PARC_TIR]:[V_FUT_U_PCPL-02]], F$5, FALSE)</f>
        <v>#N/A</v>
      </c>
      <c r="H3175" s="20">
        <f t="shared" si="252"/>
        <v>0</v>
      </c>
      <c r="I3175" s="21">
        <f t="shared" si="253"/>
        <v>0</v>
      </c>
      <c r="J3175" s="22" t="e">
        <f>VLOOKUP($A3175, TAB_JUROS_C[[DIAS_CORRIDOS]:[V_FUT_UTEIS]], J$5, FALSE)</f>
        <v>#N/A</v>
      </c>
      <c r="K3175" s="22" t="e">
        <f>VLOOKUP($A3175, TAB_CORRECAO_C[[DIAS_CORRIDOS]:[V_FUT_UTEIS]],K$5, FALSE)</f>
        <v>#N/A</v>
      </c>
      <c r="L3175" s="22" t="e">
        <f>VLOOKUP($A3175, TAB_AMORTIZACAO_C[[DIAS_CORRIDOS]:[V_FUT_UTEIS]], L$5, FALSE)</f>
        <v>#N/A</v>
      </c>
    </row>
    <row r="3176" spans="1:12" hidden="1">
      <c r="A3176" s="19">
        <f t="shared" si="254"/>
        <v>3170</v>
      </c>
      <c r="B3176" s="20">
        <f t="shared" si="250"/>
        <v>0</v>
      </c>
      <c r="C3176" s="21">
        <f t="shared" si="251"/>
        <v>0</v>
      </c>
      <c r="D3176" s="22" t="e">
        <f>VLOOKUP($A3176, TAB_JUROS_U[[Q_DIAS_U_PARC_TIR]:[V_FUT_U_JURS CENARIO]], D$5, FALSE)</f>
        <v>#N/A</v>
      </c>
      <c r="E3176" s="22" t="e">
        <f>VLOOKUP($A3176,TAB_CORRECAO_U[[Q_DIAS_U_PARC_TIR]:[V_FUT_U_CORC-02]],E$5, FALSE)</f>
        <v>#N/A</v>
      </c>
      <c r="F3176" s="22" t="e">
        <f>VLOOKUP($A3176,TAB_AMORTIZACAO_U[[Q_DIAS_U_PARC_TIR]:[V_FUT_U_PCPL-02]], F$5, FALSE)</f>
        <v>#N/A</v>
      </c>
      <c r="H3176" s="20">
        <f t="shared" si="252"/>
        <v>0</v>
      </c>
      <c r="I3176" s="21">
        <f t="shared" si="253"/>
        <v>0</v>
      </c>
      <c r="J3176" s="22" t="e">
        <f>VLOOKUP($A3176, TAB_JUROS_C[[DIAS_CORRIDOS]:[V_FUT_UTEIS]], J$5, FALSE)</f>
        <v>#N/A</v>
      </c>
      <c r="K3176" s="22" t="e">
        <f>VLOOKUP($A3176, TAB_CORRECAO_C[[DIAS_CORRIDOS]:[V_FUT_UTEIS]],K$5, FALSE)</f>
        <v>#N/A</v>
      </c>
      <c r="L3176" s="22" t="e">
        <f>VLOOKUP($A3176, TAB_AMORTIZACAO_C[[DIAS_CORRIDOS]:[V_FUT_UTEIS]], L$5, FALSE)</f>
        <v>#N/A</v>
      </c>
    </row>
    <row r="3177" spans="1:12" hidden="1">
      <c r="A3177" s="19">
        <f t="shared" si="254"/>
        <v>3171</v>
      </c>
      <c r="B3177" s="20">
        <f t="shared" si="250"/>
        <v>0</v>
      </c>
      <c r="C3177" s="21">
        <f t="shared" si="251"/>
        <v>0</v>
      </c>
      <c r="D3177" s="22" t="e">
        <f>VLOOKUP($A3177, TAB_JUROS_U[[Q_DIAS_U_PARC_TIR]:[V_FUT_U_JURS CENARIO]], D$5, FALSE)</f>
        <v>#N/A</v>
      </c>
      <c r="E3177" s="22" t="e">
        <f>VLOOKUP($A3177,TAB_CORRECAO_U[[Q_DIAS_U_PARC_TIR]:[V_FUT_U_CORC-02]],E$5, FALSE)</f>
        <v>#N/A</v>
      </c>
      <c r="F3177" s="22" t="e">
        <f>VLOOKUP($A3177,TAB_AMORTIZACAO_U[[Q_DIAS_U_PARC_TIR]:[V_FUT_U_PCPL-02]], F$5, FALSE)</f>
        <v>#N/A</v>
      </c>
      <c r="H3177" s="20">
        <f t="shared" si="252"/>
        <v>0</v>
      </c>
      <c r="I3177" s="21">
        <f t="shared" si="253"/>
        <v>0</v>
      </c>
      <c r="J3177" s="22" t="e">
        <f>VLOOKUP($A3177, TAB_JUROS_C[[DIAS_CORRIDOS]:[V_FUT_UTEIS]], J$5, FALSE)</f>
        <v>#N/A</v>
      </c>
      <c r="K3177" s="22" t="e">
        <f>VLOOKUP($A3177, TAB_CORRECAO_C[[DIAS_CORRIDOS]:[V_FUT_UTEIS]],K$5, FALSE)</f>
        <v>#N/A</v>
      </c>
      <c r="L3177" s="22" t="e">
        <f>VLOOKUP($A3177, TAB_AMORTIZACAO_C[[DIAS_CORRIDOS]:[V_FUT_UTEIS]], L$5, FALSE)</f>
        <v>#N/A</v>
      </c>
    </row>
    <row r="3178" spans="1:12" hidden="1">
      <c r="A3178" s="19">
        <f t="shared" si="254"/>
        <v>3172</v>
      </c>
      <c r="B3178" s="20">
        <f t="shared" si="250"/>
        <v>0</v>
      </c>
      <c r="C3178" s="21">
        <f t="shared" si="251"/>
        <v>0</v>
      </c>
      <c r="D3178" s="22" t="e">
        <f>VLOOKUP($A3178, TAB_JUROS_U[[Q_DIAS_U_PARC_TIR]:[V_FUT_U_JURS CENARIO]], D$5, FALSE)</f>
        <v>#N/A</v>
      </c>
      <c r="E3178" s="22" t="e">
        <f>VLOOKUP($A3178,TAB_CORRECAO_U[[Q_DIAS_U_PARC_TIR]:[V_FUT_U_CORC-02]],E$5, FALSE)</f>
        <v>#N/A</v>
      </c>
      <c r="F3178" s="22" t="e">
        <f>VLOOKUP($A3178,TAB_AMORTIZACAO_U[[Q_DIAS_U_PARC_TIR]:[V_FUT_U_PCPL-02]], F$5, FALSE)</f>
        <v>#N/A</v>
      </c>
      <c r="H3178" s="20">
        <f t="shared" si="252"/>
        <v>0</v>
      </c>
      <c r="I3178" s="21">
        <f t="shared" si="253"/>
        <v>0</v>
      </c>
      <c r="J3178" s="22" t="e">
        <f>VLOOKUP($A3178, TAB_JUROS_C[[DIAS_CORRIDOS]:[V_FUT_UTEIS]], J$5, FALSE)</f>
        <v>#N/A</v>
      </c>
      <c r="K3178" s="22" t="e">
        <f>VLOOKUP($A3178, TAB_CORRECAO_C[[DIAS_CORRIDOS]:[V_FUT_UTEIS]],K$5, FALSE)</f>
        <v>#N/A</v>
      </c>
      <c r="L3178" s="22" t="e">
        <f>VLOOKUP($A3178, TAB_AMORTIZACAO_C[[DIAS_CORRIDOS]:[V_FUT_UTEIS]], L$5, FALSE)</f>
        <v>#N/A</v>
      </c>
    </row>
    <row r="3179" spans="1:12" hidden="1">
      <c r="A3179" s="19">
        <f t="shared" si="254"/>
        <v>3173</v>
      </c>
      <c r="B3179" s="20">
        <f t="shared" si="250"/>
        <v>0</v>
      </c>
      <c r="C3179" s="21">
        <f t="shared" si="251"/>
        <v>0</v>
      </c>
      <c r="D3179" s="22" t="e">
        <f>VLOOKUP($A3179, TAB_JUROS_U[[Q_DIAS_U_PARC_TIR]:[V_FUT_U_JURS CENARIO]], D$5, FALSE)</f>
        <v>#N/A</v>
      </c>
      <c r="E3179" s="22" t="e">
        <f>VLOOKUP($A3179,TAB_CORRECAO_U[[Q_DIAS_U_PARC_TIR]:[V_FUT_U_CORC-02]],E$5, FALSE)</f>
        <v>#N/A</v>
      </c>
      <c r="F3179" s="22" t="e">
        <f>VLOOKUP($A3179,TAB_AMORTIZACAO_U[[Q_DIAS_U_PARC_TIR]:[V_FUT_U_PCPL-02]], F$5, FALSE)</f>
        <v>#N/A</v>
      </c>
      <c r="H3179" s="20">
        <f t="shared" si="252"/>
        <v>0</v>
      </c>
      <c r="I3179" s="21">
        <f t="shared" si="253"/>
        <v>0</v>
      </c>
      <c r="J3179" s="22" t="e">
        <f>VLOOKUP($A3179, TAB_JUROS_C[[DIAS_CORRIDOS]:[V_FUT_UTEIS]], J$5, FALSE)</f>
        <v>#N/A</v>
      </c>
      <c r="K3179" s="22" t="e">
        <f>VLOOKUP($A3179, TAB_CORRECAO_C[[DIAS_CORRIDOS]:[V_FUT_UTEIS]],K$5, FALSE)</f>
        <v>#N/A</v>
      </c>
      <c r="L3179" s="22" t="e">
        <f>VLOOKUP($A3179, TAB_AMORTIZACAO_C[[DIAS_CORRIDOS]:[V_FUT_UTEIS]], L$5, FALSE)</f>
        <v>#N/A</v>
      </c>
    </row>
    <row r="3180" spans="1:12" hidden="1">
      <c r="A3180" s="19">
        <f t="shared" si="254"/>
        <v>3174</v>
      </c>
      <c r="B3180" s="20">
        <f t="shared" si="250"/>
        <v>0</v>
      </c>
      <c r="C3180" s="21">
        <f t="shared" si="251"/>
        <v>0</v>
      </c>
      <c r="D3180" s="22" t="e">
        <f>VLOOKUP($A3180, TAB_JUROS_U[[Q_DIAS_U_PARC_TIR]:[V_FUT_U_JURS CENARIO]], D$5, FALSE)</f>
        <v>#N/A</v>
      </c>
      <c r="E3180" s="22" t="e">
        <f>VLOOKUP($A3180,TAB_CORRECAO_U[[Q_DIAS_U_PARC_TIR]:[V_FUT_U_CORC-02]],E$5, FALSE)</f>
        <v>#N/A</v>
      </c>
      <c r="F3180" s="22" t="e">
        <f>VLOOKUP($A3180,TAB_AMORTIZACAO_U[[Q_DIAS_U_PARC_TIR]:[V_FUT_U_PCPL-02]], F$5, FALSE)</f>
        <v>#N/A</v>
      </c>
      <c r="H3180" s="20">
        <f t="shared" si="252"/>
        <v>0</v>
      </c>
      <c r="I3180" s="21">
        <f t="shared" si="253"/>
        <v>0</v>
      </c>
      <c r="J3180" s="22" t="e">
        <f>VLOOKUP($A3180, TAB_JUROS_C[[DIAS_CORRIDOS]:[V_FUT_UTEIS]], J$5, FALSE)</f>
        <v>#N/A</v>
      </c>
      <c r="K3180" s="22" t="e">
        <f>VLOOKUP($A3180, TAB_CORRECAO_C[[DIAS_CORRIDOS]:[V_FUT_UTEIS]],K$5, FALSE)</f>
        <v>#N/A</v>
      </c>
      <c r="L3180" s="22" t="e">
        <f>VLOOKUP($A3180, TAB_AMORTIZACAO_C[[DIAS_CORRIDOS]:[V_FUT_UTEIS]], L$5, FALSE)</f>
        <v>#N/A</v>
      </c>
    </row>
    <row r="3181" spans="1:12" hidden="1">
      <c r="A3181" s="19">
        <f t="shared" si="254"/>
        <v>3175</v>
      </c>
      <c r="B3181" s="20">
        <f t="shared" si="250"/>
        <v>0</v>
      </c>
      <c r="C3181" s="21">
        <f t="shared" si="251"/>
        <v>0</v>
      </c>
      <c r="D3181" s="22" t="e">
        <f>VLOOKUP($A3181, TAB_JUROS_U[[Q_DIAS_U_PARC_TIR]:[V_FUT_U_JURS CENARIO]], D$5, FALSE)</f>
        <v>#N/A</v>
      </c>
      <c r="E3181" s="22" t="e">
        <f>VLOOKUP($A3181,TAB_CORRECAO_U[[Q_DIAS_U_PARC_TIR]:[V_FUT_U_CORC-02]],E$5, FALSE)</f>
        <v>#N/A</v>
      </c>
      <c r="F3181" s="22" t="e">
        <f>VLOOKUP($A3181,TAB_AMORTIZACAO_U[[Q_DIAS_U_PARC_TIR]:[V_FUT_U_PCPL-02]], F$5, FALSE)</f>
        <v>#N/A</v>
      </c>
      <c r="H3181" s="20">
        <f t="shared" si="252"/>
        <v>0</v>
      </c>
      <c r="I3181" s="21">
        <f t="shared" si="253"/>
        <v>0</v>
      </c>
      <c r="J3181" s="22" t="e">
        <f>VLOOKUP($A3181, TAB_JUROS_C[[DIAS_CORRIDOS]:[V_FUT_UTEIS]], J$5, FALSE)</f>
        <v>#N/A</v>
      </c>
      <c r="K3181" s="22" t="e">
        <f>VLOOKUP($A3181, TAB_CORRECAO_C[[DIAS_CORRIDOS]:[V_FUT_UTEIS]],K$5, FALSE)</f>
        <v>#N/A</v>
      </c>
      <c r="L3181" s="22" t="e">
        <f>VLOOKUP($A3181, TAB_AMORTIZACAO_C[[DIAS_CORRIDOS]:[V_FUT_UTEIS]], L$5, FALSE)</f>
        <v>#N/A</v>
      </c>
    </row>
    <row r="3182" spans="1:12" hidden="1">
      <c r="A3182" s="19">
        <f t="shared" si="254"/>
        <v>3176</v>
      </c>
      <c r="B3182" s="20">
        <f t="shared" si="250"/>
        <v>0</v>
      </c>
      <c r="C3182" s="21">
        <f t="shared" si="251"/>
        <v>0</v>
      </c>
      <c r="D3182" s="22" t="e">
        <f>VLOOKUP($A3182, TAB_JUROS_U[[Q_DIAS_U_PARC_TIR]:[V_FUT_U_JURS CENARIO]], D$5, FALSE)</f>
        <v>#N/A</v>
      </c>
      <c r="E3182" s="22" t="e">
        <f>VLOOKUP($A3182,TAB_CORRECAO_U[[Q_DIAS_U_PARC_TIR]:[V_FUT_U_CORC-02]],E$5, FALSE)</f>
        <v>#N/A</v>
      </c>
      <c r="F3182" s="22" t="e">
        <f>VLOOKUP($A3182,TAB_AMORTIZACAO_U[[Q_DIAS_U_PARC_TIR]:[V_FUT_U_PCPL-02]], F$5, FALSE)</f>
        <v>#N/A</v>
      </c>
      <c r="H3182" s="20">
        <f t="shared" si="252"/>
        <v>0</v>
      </c>
      <c r="I3182" s="21">
        <f t="shared" si="253"/>
        <v>0</v>
      </c>
      <c r="J3182" s="22" t="e">
        <f>VLOOKUP($A3182, TAB_JUROS_C[[DIAS_CORRIDOS]:[V_FUT_UTEIS]], J$5, FALSE)</f>
        <v>#N/A</v>
      </c>
      <c r="K3182" s="22" t="e">
        <f>VLOOKUP($A3182, TAB_CORRECAO_C[[DIAS_CORRIDOS]:[V_FUT_UTEIS]],K$5, FALSE)</f>
        <v>#N/A</v>
      </c>
      <c r="L3182" s="22" t="e">
        <f>VLOOKUP($A3182, TAB_AMORTIZACAO_C[[DIAS_CORRIDOS]:[V_FUT_UTEIS]], L$5, FALSE)</f>
        <v>#N/A</v>
      </c>
    </row>
    <row r="3183" spans="1:12" hidden="1">
      <c r="A3183" s="19">
        <f t="shared" si="254"/>
        <v>3177</v>
      </c>
      <c r="B3183" s="20">
        <f t="shared" si="250"/>
        <v>0</v>
      </c>
      <c r="C3183" s="21">
        <f t="shared" si="251"/>
        <v>0</v>
      </c>
      <c r="D3183" s="22" t="e">
        <f>VLOOKUP($A3183, TAB_JUROS_U[[Q_DIAS_U_PARC_TIR]:[V_FUT_U_JURS CENARIO]], D$5, FALSE)</f>
        <v>#N/A</v>
      </c>
      <c r="E3183" s="22" t="e">
        <f>VLOOKUP($A3183,TAB_CORRECAO_U[[Q_DIAS_U_PARC_TIR]:[V_FUT_U_CORC-02]],E$5, FALSE)</f>
        <v>#N/A</v>
      </c>
      <c r="F3183" s="22" t="e">
        <f>VLOOKUP($A3183,TAB_AMORTIZACAO_U[[Q_DIAS_U_PARC_TIR]:[V_FUT_U_PCPL-02]], F$5, FALSE)</f>
        <v>#N/A</v>
      </c>
      <c r="H3183" s="20">
        <f t="shared" si="252"/>
        <v>0</v>
      </c>
      <c r="I3183" s="21">
        <f t="shared" si="253"/>
        <v>0</v>
      </c>
      <c r="J3183" s="22" t="e">
        <f>VLOOKUP($A3183, TAB_JUROS_C[[DIAS_CORRIDOS]:[V_FUT_UTEIS]], J$5, FALSE)</f>
        <v>#N/A</v>
      </c>
      <c r="K3183" s="22" t="e">
        <f>VLOOKUP($A3183, TAB_CORRECAO_C[[DIAS_CORRIDOS]:[V_FUT_UTEIS]],K$5, FALSE)</f>
        <v>#N/A</v>
      </c>
      <c r="L3183" s="22" t="e">
        <f>VLOOKUP($A3183, TAB_AMORTIZACAO_C[[DIAS_CORRIDOS]:[V_FUT_UTEIS]], L$5, FALSE)</f>
        <v>#N/A</v>
      </c>
    </row>
    <row r="3184" spans="1:12" hidden="1">
      <c r="A3184" s="19">
        <f t="shared" si="254"/>
        <v>3178</v>
      </c>
      <c r="B3184" s="20">
        <f t="shared" si="250"/>
        <v>0</v>
      </c>
      <c r="C3184" s="21">
        <f t="shared" si="251"/>
        <v>0</v>
      </c>
      <c r="D3184" s="22" t="e">
        <f>VLOOKUP($A3184, TAB_JUROS_U[[Q_DIAS_U_PARC_TIR]:[V_FUT_U_JURS CENARIO]], D$5, FALSE)</f>
        <v>#N/A</v>
      </c>
      <c r="E3184" s="22" t="e">
        <f>VLOOKUP($A3184,TAB_CORRECAO_U[[Q_DIAS_U_PARC_TIR]:[V_FUT_U_CORC-02]],E$5, FALSE)</f>
        <v>#N/A</v>
      </c>
      <c r="F3184" s="22" t="e">
        <f>VLOOKUP($A3184,TAB_AMORTIZACAO_U[[Q_DIAS_U_PARC_TIR]:[V_FUT_U_PCPL-02]], F$5, FALSE)</f>
        <v>#N/A</v>
      </c>
      <c r="H3184" s="20">
        <f t="shared" si="252"/>
        <v>243.56288047624403</v>
      </c>
      <c r="I3184" s="21">
        <f t="shared" si="253"/>
        <v>243.56288047624403</v>
      </c>
      <c r="J3184" s="22">
        <f>VLOOKUP($A3184, TAB_JUROS_C[[DIAS_CORRIDOS]:[V_FUT_UTEIS]], J$5, FALSE)</f>
        <v>12.710650675461455</v>
      </c>
      <c r="K3184" s="22">
        <f>VLOOKUP($A3184, TAB_CORRECAO_C[[DIAS_CORRIDOS]:[V_FUT_UTEIS]],K$5, FALSE)</f>
        <v>78.219169376354401</v>
      </c>
      <c r="L3184" s="22">
        <f>VLOOKUP($A3184, TAB_AMORTIZACAO_C[[DIAS_CORRIDOS]:[V_FUT_UTEIS]], L$5, FALSE)</f>
        <v>152.63306042442818</v>
      </c>
    </row>
    <row r="3185" spans="1:12" hidden="1">
      <c r="A3185" s="19">
        <f t="shared" si="254"/>
        <v>3179</v>
      </c>
      <c r="B3185" s="20">
        <f t="shared" si="250"/>
        <v>0</v>
      </c>
      <c r="C3185" s="21">
        <f t="shared" si="251"/>
        <v>0</v>
      </c>
      <c r="D3185" s="22" t="e">
        <f>VLOOKUP($A3185, TAB_JUROS_U[[Q_DIAS_U_PARC_TIR]:[V_FUT_U_JURS CENARIO]], D$5, FALSE)</f>
        <v>#N/A</v>
      </c>
      <c r="E3185" s="22" t="e">
        <f>VLOOKUP($A3185,TAB_CORRECAO_U[[Q_DIAS_U_PARC_TIR]:[V_FUT_U_CORC-02]],E$5, FALSE)</f>
        <v>#N/A</v>
      </c>
      <c r="F3185" s="22" t="e">
        <f>VLOOKUP($A3185,TAB_AMORTIZACAO_U[[Q_DIAS_U_PARC_TIR]:[V_FUT_U_PCPL-02]], F$5, FALSE)</f>
        <v>#N/A</v>
      </c>
      <c r="H3185" s="20">
        <f t="shared" si="252"/>
        <v>0</v>
      </c>
      <c r="I3185" s="21">
        <f t="shared" si="253"/>
        <v>0</v>
      </c>
      <c r="J3185" s="22" t="e">
        <f>VLOOKUP($A3185, TAB_JUROS_C[[DIAS_CORRIDOS]:[V_FUT_UTEIS]], J$5, FALSE)</f>
        <v>#N/A</v>
      </c>
      <c r="K3185" s="22" t="e">
        <f>VLOOKUP($A3185, TAB_CORRECAO_C[[DIAS_CORRIDOS]:[V_FUT_UTEIS]],K$5, FALSE)</f>
        <v>#N/A</v>
      </c>
      <c r="L3185" s="22" t="e">
        <f>VLOOKUP($A3185, TAB_AMORTIZACAO_C[[DIAS_CORRIDOS]:[V_FUT_UTEIS]], L$5, FALSE)</f>
        <v>#N/A</v>
      </c>
    </row>
    <row r="3186" spans="1:12" hidden="1">
      <c r="A3186" s="19">
        <f t="shared" si="254"/>
        <v>3180</v>
      </c>
      <c r="B3186" s="20">
        <f t="shared" si="250"/>
        <v>0</v>
      </c>
      <c r="C3186" s="21">
        <f t="shared" si="251"/>
        <v>0</v>
      </c>
      <c r="D3186" s="22" t="e">
        <f>VLOOKUP($A3186, TAB_JUROS_U[[Q_DIAS_U_PARC_TIR]:[V_FUT_U_JURS CENARIO]], D$5, FALSE)</f>
        <v>#N/A</v>
      </c>
      <c r="E3186" s="22" t="e">
        <f>VLOOKUP($A3186,TAB_CORRECAO_U[[Q_DIAS_U_PARC_TIR]:[V_FUT_U_CORC-02]],E$5, FALSE)</f>
        <v>#N/A</v>
      </c>
      <c r="F3186" s="22" t="e">
        <f>VLOOKUP($A3186,TAB_AMORTIZACAO_U[[Q_DIAS_U_PARC_TIR]:[V_FUT_U_PCPL-02]], F$5, FALSE)</f>
        <v>#N/A</v>
      </c>
      <c r="H3186" s="20">
        <f t="shared" si="252"/>
        <v>0</v>
      </c>
      <c r="I3186" s="21">
        <f t="shared" si="253"/>
        <v>0</v>
      </c>
      <c r="J3186" s="22" t="e">
        <f>VLOOKUP($A3186, TAB_JUROS_C[[DIAS_CORRIDOS]:[V_FUT_UTEIS]], J$5, FALSE)</f>
        <v>#N/A</v>
      </c>
      <c r="K3186" s="22" t="e">
        <f>VLOOKUP($A3186, TAB_CORRECAO_C[[DIAS_CORRIDOS]:[V_FUT_UTEIS]],K$5, FALSE)</f>
        <v>#N/A</v>
      </c>
      <c r="L3186" s="22" t="e">
        <f>VLOOKUP($A3186, TAB_AMORTIZACAO_C[[DIAS_CORRIDOS]:[V_FUT_UTEIS]], L$5, FALSE)</f>
        <v>#N/A</v>
      </c>
    </row>
    <row r="3187" spans="1:12" hidden="1">
      <c r="A3187" s="19">
        <f t="shared" si="254"/>
        <v>3181</v>
      </c>
      <c r="B3187" s="20">
        <f t="shared" si="250"/>
        <v>0</v>
      </c>
      <c r="C3187" s="21">
        <f t="shared" si="251"/>
        <v>0</v>
      </c>
      <c r="D3187" s="22" t="e">
        <f>VLOOKUP($A3187, TAB_JUROS_U[[Q_DIAS_U_PARC_TIR]:[V_FUT_U_JURS CENARIO]], D$5, FALSE)</f>
        <v>#N/A</v>
      </c>
      <c r="E3187" s="22" t="e">
        <f>VLOOKUP($A3187,TAB_CORRECAO_U[[Q_DIAS_U_PARC_TIR]:[V_FUT_U_CORC-02]],E$5, FALSE)</f>
        <v>#N/A</v>
      </c>
      <c r="F3187" s="22" t="e">
        <f>VLOOKUP($A3187,TAB_AMORTIZACAO_U[[Q_DIAS_U_PARC_TIR]:[V_FUT_U_PCPL-02]], F$5, FALSE)</f>
        <v>#N/A</v>
      </c>
      <c r="H3187" s="20">
        <f t="shared" si="252"/>
        <v>0</v>
      </c>
      <c r="I3187" s="21">
        <f t="shared" si="253"/>
        <v>0</v>
      </c>
      <c r="J3187" s="22" t="e">
        <f>VLOOKUP($A3187, TAB_JUROS_C[[DIAS_CORRIDOS]:[V_FUT_UTEIS]], J$5, FALSE)</f>
        <v>#N/A</v>
      </c>
      <c r="K3187" s="22" t="e">
        <f>VLOOKUP($A3187, TAB_CORRECAO_C[[DIAS_CORRIDOS]:[V_FUT_UTEIS]],K$5, FALSE)</f>
        <v>#N/A</v>
      </c>
      <c r="L3187" s="22" t="e">
        <f>VLOOKUP($A3187, TAB_AMORTIZACAO_C[[DIAS_CORRIDOS]:[V_FUT_UTEIS]], L$5, FALSE)</f>
        <v>#N/A</v>
      </c>
    </row>
    <row r="3188" spans="1:12" hidden="1">
      <c r="A3188" s="19">
        <f t="shared" si="254"/>
        <v>3182</v>
      </c>
      <c r="B3188" s="20">
        <f t="shared" si="250"/>
        <v>0</v>
      </c>
      <c r="C3188" s="21">
        <f t="shared" si="251"/>
        <v>0</v>
      </c>
      <c r="D3188" s="22" t="e">
        <f>VLOOKUP($A3188, TAB_JUROS_U[[Q_DIAS_U_PARC_TIR]:[V_FUT_U_JURS CENARIO]], D$5, FALSE)</f>
        <v>#N/A</v>
      </c>
      <c r="E3188" s="22" t="e">
        <f>VLOOKUP($A3188,TAB_CORRECAO_U[[Q_DIAS_U_PARC_TIR]:[V_FUT_U_CORC-02]],E$5, FALSE)</f>
        <v>#N/A</v>
      </c>
      <c r="F3188" s="22" t="e">
        <f>VLOOKUP($A3188,TAB_AMORTIZACAO_U[[Q_DIAS_U_PARC_TIR]:[V_FUT_U_PCPL-02]], F$5, FALSE)</f>
        <v>#N/A</v>
      </c>
      <c r="H3188" s="20">
        <f t="shared" si="252"/>
        <v>0</v>
      </c>
      <c r="I3188" s="21">
        <f t="shared" si="253"/>
        <v>0</v>
      </c>
      <c r="J3188" s="22" t="e">
        <f>VLOOKUP($A3188, TAB_JUROS_C[[DIAS_CORRIDOS]:[V_FUT_UTEIS]], J$5, FALSE)</f>
        <v>#N/A</v>
      </c>
      <c r="K3188" s="22" t="e">
        <f>VLOOKUP($A3188, TAB_CORRECAO_C[[DIAS_CORRIDOS]:[V_FUT_UTEIS]],K$5, FALSE)</f>
        <v>#N/A</v>
      </c>
      <c r="L3188" s="22" t="e">
        <f>VLOOKUP($A3188, TAB_AMORTIZACAO_C[[DIAS_CORRIDOS]:[V_FUT_UTEIS]], L$5, FALSE)</f>
        <v>#N/A</v>
      </c>
    </row>
    <row r="3189" spans="1:12" hidden="1">
      <c r="A3189" s="19">
        <f t="shared" si="254"/>
        <v>3183</v>
      </c>
      <c r="B3189" s="20">
        <f t="shared" si="250"/>
        <v>0</v>
      </c>
      <c r="C3189" s="21">
        <f t="shared" si="251"/>
        <v>0</v>
      </c>
      <c r="D3189" s="22" t="e">
        <f>VLOOKUP($A3189, TAB_JUROS_U[[Q_DIAS_U_PARC_TIR]:[V_FUT_U_JURS CENARIO]], D$5, FALSE)</f>
        <v>#N/A</v>
      </c>
      <c r="E3189" s="22" t="e">
        <f>VLOOKUP($A3189,TAB_CORRECAO_U[[Q_DIAS_U_PARC_TIR]:[V_FUT_U_CORC-02]],E$5, FALSE)</f>
        <v>#N/A</v>
      </c>
      <c r="F3189" s="22" t="e">
        <f>VLOOKUP($A3189,TAB_AMORTIZACAO_U[[Q_DIAS_U_PARC_TIR]:[V_FUT_U_PCPL-02]], F$5, FALSE)</f>
        <v>#N/A</v>
      </c>
      <c r="H3189" s="20">
        <f t="shared" si="252"/>
        <v>0</v>
      </c>
      <c r="I3189" s="21">
        <f t="shared" si="253"/>
        <v>0</v>
      </c>
      <c r="J3189" s="22" t="e">
        <f>VLOOKUP($A3189, TAB_JUROS_C[[DIAS_CORRIDOS]:[V_FUT_UTEIS]], J$5, FALSE)</f>
        <v>#N/A</v>
      </c>
      <c r="K3189" s="22" t="e">
        <f>VLOOKUP($A3189, TAB_CORRECAO_C[[DIAS_CORRIDOS]:[V_FUT_UTEIS]],K$5, FALSE)</f>
        <v>#N/A</v>
      </c>
      <c r="L3189" s="22" t="e">
        <f>VLOOKUP($A3189, TAB_AMORTIZACAO_C[[DIAS_CORRIDOS]:[V_FUT_UTEIS]], L$5, FALSE)</f>
        <v>#N/A</v>
      </c>
    </row>
    <row r="3190" spans="1:12" hidden="1">
      <c r="A3190" s="19">
        <f t="shared" si="254"/>
        <v>3184</v>
      </c>
      <c r="B3190" s="20">
        <f t="shared" si="250"/>
        <v>0</v>
      </c>
      <c r="C3190" s="21">
        <f t="shared" si="251"/>
        <v>0</v>
      </c>
      <c r="D3190" s="22" t="e">
        <f>VLOOKUP($A3190, TAB_JUROS_U[[Q_DIAS_U_PARC_TIR]:[V_FUT_U_JURS CENARIO]], D$5, FALSE)</f>
        <v>#N/A</v>
      </c>
      <c r="E3190" s="22" t="e">
        <f>VLOOKUP($A3190,TAB_CORRECAO_U[[Q_DIAS_U_PARC_TIR]:[V_FUT_U_CORC-02]],E$5, FALSE)</f>
        <v>#N/A</v>
      </c>
      <c r="F3190" s="22" t="e">
        <f>VLOOKUP($A3190,TAB_AMORTIZACAO_U[[Q_DIAS_U_PARC_TIR]:[V_FUT_U_PCPL-02]], F$5, FALSE)</f>
        <v>#N/A</v>
      </c>
      <c r="H3190" s="20">
        <f t="shared" si="252"/>
        <v>0</v>
      </c>
      <c r="I3190" s="21">
        <f t="shared" si="253"/>
        <v>0</v>
      </c>
      <c r="J3190" s="22" t="e">
        <f>VLOOKUP($A3190, TAB_JUROS_C[[DIAS_CORRIDOS]:[V_FUT_UTEIS]], J$5, FALSE)</f>
        <v>#N/A</v>
      </c>
      <c r="K3190" s="22" t="e">
        <f>VLOOKUP($A3190, TAB_CORRECAO_C[[DIAS_CORRIDOS]:[V_FUT_UTEIS]],K$5, FALSE)</f>
        <v>#N/A</v>
      </c>
      <c r="L3190" s="22" t="e">
        <f>VLOOKUP($A3190, TAB_AMORTIZACAO_C[[DIAS_CORRIDOS]:[V_FUT_UTEIS]], L$5, FALSE)</f>
        <v>#N/A</v>
      </c>
    </row>
    <row r="3191" spans="1:12" hidden="1">
      <c r="A3191" s="19">
        <f t="shared" si="254"/>
        <v>3185</v>
      </c>
      <c r="B3191" s="20">
        <f t="shared" si="250"/>
        <v>0</v>
      </c>
      <c r="C3191" s="21">
        <f t="shared" si="251"/>
        <v>0</v>
      </c>
      <c r="D3191" s="22" t="e">
        <f>VLOOKUP($A3191, TAB_JUROS_U[[Q_DIAS_U_PARC_TIR]:[V_FUT_U_JURS CENARIO]], D$5, FALSE)</f>
        <v>#N/A</v>
      </c>
      <c r="E3191" s="22" t="e">
        <f>VLOOKUP($A3191,TAB_CORRECAO_U[[Q_DIAS_U_PARC_TIR]:[V_FUT_U_CORC-02]],E$5, FALSE)</f>
        <v>#N/A</v>
      </c>
      <c r="F3191" s="22" t="e">
        <f>VLOOKUP($A3191,TAB_AMORTIZACAO_U[[Q_DIAS_U_PARC_TIR]:[V_FUT_U_PCPL-02]], F$5, FALSE)</f>
        <v>#N/A</v>
      </c>
      <c r="H3191" s="20">
        <f t="shared" si="252"/>
        <v>0</v>
      </c>
      <c r="I3191" s="21">
        <f t="shared" si="253"/>
        <v>0</v>
      </c>
      <c r="J3191" s="22" t="e">
        <f>VLOOKUP($A3191, TAB_JUROS_C[[DIAS_CORRIDOS]:[V_FUT_UTEIS]], J$5, FALSE)</f>
        <v>#N/A</v>
      </c>
      <c r="K3191" s="22" t="e">
        <f>VLOOKUP($A3191, TAB_CORRECAO_C[[DIAS_CORRIDOS]:[V_FUT_UTEIS]],K$5, FALSE)</f>
        <v>#N/A</v>
      </c>
      <c r="L3191" s="22" t="e">
        <f>VLOOKUP($A3191, TAB_AMORTIZACAO_C[[DIAS_CORRIDOS]:[V_FUT_UTEIS]], L$5, FALSE)</f>
        <v>#N/A</v>
      </c>
    </row>
    <row r="3192" spans="1:12" hidden="1">
      <c r="A3192" s="19">
        <f t="shared" si="254"/>
        <v>3186</v>
      </c>
      <c r="B3192" s="20">
        <f t="shared" si="250"/>
        <v>0</v>
      </c>
      <c r="C3192" s="21">
        <f t="shared" si="251"/>
        <v>0</v>
      </c>
      <c r="D3192" s="22" t="e">
        <f>VLOOKUP($A3192, TAB_JUROS_U[[Q_DIAS_U_PARC_TIR]:[V_FUT_U_JURS CENARIO]], D$5, FALSE)</f>
        <v>#N/A</v>
      </c>
      <c r="E3192" s="22" t="e">
        <f>VLOOKUP($A3192,TAB_CORRECAO_U[[Q_DIAS_U_PARC_TIR]:[V_FUT_U_CORC-02]],E$5, FALSE)</f>
        <v>#N/A</v>
      </c>
      <c r="F3192" s="22" t="e">
        <f>VLOOKUP($A3192,TAB_AMORTIZACAO_U[[Q_DIAS_U_PARC_TIR]:[V_FUT_U_PCPL-02]], F$5, FALSE)</f>
        <v>#N/A</v>
      </c>
      <c r="H3192" s="20">
        <f t="shared" si="252"/>
        <v>0</v>
      </c>
      <c r="I3192" s="21">
        <f t="shared" si="253"/>
        <v>0</v>
      </c>
      <c r="J3192" s="22" t="e">
        <f>VLOOKUP($A3192, TAB_JUROS_C[[DIAS_CORRIDOS]:[V_FUT_UTEIS]], J$5, FALSE)</f>
        <v>#N/A</v>
      </c>
      <c r="K3192" s="22" t="e">
        <f>VLOOKUP($A3192, TAB_CORRECAO_C[[DIAS_CORRIDOS]:[V_FUT_UTEIS]],K$5, FALSE)</f>
        <v>#N/A</v>
      </c>
      <c r="L3192" s="22" t="e">
        <f>VLOOKUP($A3192, TAB_AMORTIZACAO_C[[DIAS_CORRIDOS]:[V_FUT_UTEIS]], L$5, FALSE)</f>
        <v>#N/A</v>
      </c>
    </row>
    <row r="3193" spans="1:12" hidden="1">
      <c r="A3193" s="19">
        <f t="shared" si="254"/>
        <v>3187</v>
      </c>
      <c r="B3193" s="20">
        <f t="shared" si="250"/>
        <v>0</v>
      </c>
      <c r="C3193" s="21">
        <f t="shared" si="251"/>
        <v>0</v>
      </c>
      <c r="D3193" s="22" t="e">
        <f>VLOOKUP($A3193, TAB_JUROS_U[[Q_DIAS_U_PARC_TIR]:[V_FUT_U_JURS CENARIO]], D$5, FALSE)</f>
        <v>#N/A</v>
      </c>
      <c r="E3193" s="22" t="e">
        <f>VLOOKUP($A3193,TAB_CORRECAO_U[[Q_DIAS_U_PARC_TIR]:[V_FUT_U_CORC-02]],E$5, FALSE)</f>
        <v>#N/A</v>
      </c>
      <c r="F3193" s="22" t="e">
        <f>VLOOKUP($A3193,TAB_AMORTIZACAO_U[[Q_DIAS_U_PARC_TIR]:[V_FUT_U_PCPL-02]], F$5, FALSE)</f>
        <v>#N/A</v>
      </c>
      <c r="H3193" s="20">
        <f t="shared" si="252"/>
        <v>0</v>
      </c>
      <c r="I3193" s="21">
        <f t="shared" si="253"/>
        <v>0</v>
      </c>
      <c r="J3193" s="22" t="e">
        <f>VLOOKUP($A3193, TAB_JUROS_C[[DIAS_CORRIDOS]:[V_FUT_UTEIS]], J$5, FALSE)</f>
        <v>#N/A</v>
      </c>
      <c r="K3193" s="22" t="e">
        <f>VLOOKUP($A3193, TAB_CORRECAO_C[[DIAS_CORRIDOS]:[V_FUT_UTEIS]],K$5, FALSE)</f>
        <v>#N/A</v>
      </c>
      <c r="L3193" s="22" t="e">
        <f>VLOOKUP($A3193, TAB_AMORTIZACAO_C[[DIAS_CORRIDOS]:[V_FUT_UTEIS]], L$5, FALSE)</f>
        <v>#N/A</v>
      </c>
    </row>
    <row r="3194" spans="1:12" hidden="1">
      <c r="A3194" s="19">
        <f t="shared" si="254"/>
        <v>3188</v>
      </c>
      <c r="B3194" s="20">
        <f t="shared" si="250"/>
        <v>0</v>
      </c>
      <c r="C3194" s="21">
        <f t="shared" si="251"/>
        <v>0</v>
      </c>
      <c r="D3194" s="22" t="e">
        <f>VLOOKUP($A3194, TAB_JUROS_U[[Q_DIAS_U_PARC_TIR]:[V_FUT_U_JURS CENARIO]], D$5, FALSE)</f>
        <v>#N/A</v>
      </c>
      <c r="E3194" s="22" t="e">
        <f>VLOOKUP($A3194,TAB_CORRECAO_U[[Q_DIAS_U_PARC_TIR]:[V_FUT_U_CORC-02]],E$5, FALSE)</f>
        <v>#N/A</v>
      </c>
      <c r="F3194" s="22" t="e">
        <f>VLOOKUP($A3194,TAB_AMORTIZACAO_U[[Q_DIAS_U_PARC_TIR]:[V_FUT_U_PCPL-02]], F$5, FALSE)</f>
        <v>#N/A</v>
      </c>
      <c r="H3194" s="20">
        <f t="shared" si="252"/>
        <v>0</v>
      </c>
      <c r="I3194" s="21">
        <f t="shared" si="253"/>
        <v>0</v>
      </c>
      <c r="J3194" s="22" t="e">
        <f>VLOOKUP($A3194, TAB_JUROS_C[[DIAS_CORRIDOS]:[V_FUT_UTEIS]], J$5, FALSE)</f>
        <v>#N/A</v>
      </c>
      <c r="K3194" s="22" t="e">
        <f>VLOOKUP($A3194, TAB_CORRECAO_C[[DIAS_CORRIDOS]:[V_FUT_UTEIS]],K$5, FALSE)</f>
        <v>#N/A</v>
      </c>
      <c r="L3194" s="22" t="e">
        <f>VLOOKUP($A3194, TAB_AMORTIZACAO_C[[DIAS_CORRIDOS]:[V_FUT_UTEIS]], L$5, FALSE)</f>
        <v>#N/A</v>
      </c>
    </row>
    <row r="3195" spans="1:12" hidden="1">
      <c r="A3195" s="19">
        <f t="shared" si="254"/>
        <v>3189</v>
      </c>
      <c r="B3195" s="20">
        <f t="shared" si="250"/>
        <v>0</v>
      </c>
      <c r="C3195" s="21">
        <f t="shared" si="251"/>
        <v>0</v>
      </c>
      <c r="D3195" s="22" t="e">
        <f>VLOOKUP($A3195, TAB_JUROS_U[[Q_DIAS_U_PARC_TIR]:[V_FUT_U_JURS CENARIO]], D$5, FALSE)</f>
        <v>#N/A</v>
      </c>
      <c r="E3195" s="22" t="e">
        <f>VLOOKUP($A3195,TAB_CORRECAO_U[[Q_DIAS_U_PARC_TIR]:[V_FUT_U_CORC-02]],E$5, FALSE)</f>
        <v>#N/A</v>
      </c>
      <c r="F3195" s="22" t="e">
        <f>VLOOKUP($A3195,TAB_AMORTIZACAO_U[[Q_DIAS_U_PARC_TIR]:[V_FUT_U_PCPL-02]], F$5, FALSE)</f>
        <v>#N/A</v>
      </c>
      <c r="H3195" s="20">
        <f t="shared" si="252"/>
        <v>0</v>
      </c>
      <c r="I3195" s="21">
        <f t="shared" si="253"/>
        <v>0</v>
      </c>
      <c r="J3195" s="22" t="e">
        <f>VLOOKUP($A3195, TAB_JUROS_C[[DIAS_CORRIDOS]:[V_FUT_UTEIS]], J$5, FALSE)</f>
        <v>#N/A</v>
      </c>
      <c r="K3195" s="22" t="e">
        <f>VLOOKUP($A3195, TAB_CORRECAO_C[[DIAS_CORRIDOS]:[V_FUT_UTEIS]],K$5, FALSE)</f>
        <v>#N/A</v>
      </c>
      <c r="L3195" s="22" t="e">
        <f>VLOOKUP($A3195, TAB_AMORTIZACAO_C[[DIAS_CORRIDOS]:[V_FUT_UTEIS]], L$5, FALSE)</f>
        <v>#N/A</v>
      </c>
    </row>
    <row r="3196" spans="1:12" hidden="1">
      <c r="A3196" s="19">
        <f t="shared" si="254"/>
        <v>3190</v>
      </c>
      <c r="B3196" s="20">
        <f t="shared" si="250"/>
        <v>0</v>
      </c>
      <c r="C3196" s="21">
        <f t="shared" si="251"/>
        <v>0</v>
      </c>
      <c r="D3196" s="22" t="e">
        <f>VLOOKUP($A3196, TAB_JUROS_U[[Q_DIAS_U_PARC_TIR]:[V_FUT_U_JURS CENARIO]], D$5, FALSE)</f>
        <v>#N/A</v>
      </c>
      <c r="E3196" s="22" t="e">
        <f>VLOOKUP($A3196,TAB_CORRECAO_U[[Q_DIAS_U_PARC_TIR]:[V_FUT_U_CORC-02]],E$5, FALSE)</f>
        <v>#N/A</v>
      </c>
      <c r="F3196" s="22" t="e">
        <f>VLOOKUP($A3196,TAB_AMORTIZACAO_U[[Q_DIAS_U_PARC_TIR]:[V_FUT_U_PCPL-02]], F$5, FALSE)</f>
        <v>#N/A</v>
      </c>
      <c r="H3196" s="20">
        <f t="shared" si="252"/>
        <v>0</v>
      </c>
      <c r="I3196" s="21">
        <f t="shared" si="253"/>
        <v>0</v>
      </c>
      <c r="J3196" s="22" t="e">
        <f>VLOOKUP($A3196, TAB_JUROS_C[[DIAS_CORRIDOS]:[V_FUT_UTEIS]], J$5, FALSE)</f>
        <v>#N/A</v>
      </c>
      <c r="K3196" s="22" t="e">
        <f>VLOOKUP($A3196, TAB_CORRECAO_C[[DIAS_CORRIDOS]:[V_FUT_UTEIS]],K$5, FALSE)</f>
        <v>#N/A</v>
      </c>
      <c r="L3196" s="22" t="e">
        <f>VLOOKUP($A3196, TAB_AMORTIZACAO_C[[DIAS_CORRIDOS]:[V_FUT_UTEIS]], L$5, FALSE)</f>
        <v>#N/A</v>
      </c>
    </row>
    <row r="3197" spans="1:12" hidden="1">
      <c r="A3197" s="19">
        <f t="shared" si="254"/>
        <v>3191</v>
      </c>
      <c r="B3197" s="20">
        <f t="shared" si="250"/>
        <v>0</v>
      </c>
      <c r="C3197" s="21">
        <f t="shared" si="251"/>
        <v>0</v>
      </c>
      <c r="D3197" s="22" t="e">
        <f>VLOOKUP($A3197, TAB_JUROS_U[[Q_DIAS_U_PARC_TIR]:[V_FUT_U_JURS CENARIO]], D$5, FALSE)</f>
        <v>#N/A</v>
      </c>
      <c r="E3197" s="22" t="e">
        <f>VLOOKUP($A3197,TAB_CORRECAO_U[[Q_DIAS_U_PARC_TIR]:[V_FUT_U_CORC-02]],E$5, FALSE)</f>
        <v>#N/A</v>
      </c>
      <c r="F3197" s="22" t="e">
        <f>VLOOKUP($A3197,TAB_AMORTIZACAO_U[[Q_DIAS_U_PARC_TIR]:[V_FUT_U_PCPL-02]], F$5, FALSE)</f>
        <v>#N/A</v>
      </c>
      <c r="H3197" s="20">
        <f t="shared" si="252"/>
        <v>0</v>
      </c>
      <c r="I3197" s="21">
        <f t="shared" si="253"/>
        <v>0</v>
      </c>
      <c r="J3197" s="22" t="e">
        <f>VLOOKUP($A3197, TAB_JUROS_C[[DIAS_CORRIDOS]:[V_FUT_UTEIS]], J$5, FALSE)</f>
        <v>#N/A</v>
      </c>
      <c r="K3197" s="22" t="e">
        <f>VLOOKUP($A3197, TAB_CORRECAO_C[[DIAS_CORRIDOS]:[V_FUT_UTEIS]],K$5, FALSE)</f>
        <v>#N/A</v>
      </c>
      <c r="L3197" s="22" t="e">
        <f>VLOOKUP($A3197, TAB_AMORTIZACAO_C[[DIAS_CORRIDOS]:[V_FUT_UTEIS]], L$5, FALSE)</f>
        <v>#N/A</v>
      </c>
    </row>
    <row r="3198" spans="1:12" hidden="1">
      <c r="A3198" s="19">
        <f t="shared" si="254"/>
        <v>3192</v>
      </c>
      <c r="B3198" s="20">
        <f t="shared" si="250"/>
        <v>0</v>
      </c>
      <c r="C3198" s="21">
        <f t="shared" si="251"/>
        <v>0</v>
      </c>
      <c r="D3198" s="22" t="e">
        <f>VLOOKUP($A3198, TAB_JUROS_U[[Q_DIAS_U_PARC_TIR]:[V_FUT_U_JURS CENARIO]], D$5, FALSE)</f>
        <v>#N/A</v>
      </c>
      <c r="E3198" s="22" t="e">
        <f>VLOOKUP($A3198,TAB_CORRECAO_U[[Q_DIAS_U_PARC_TIR]:[V_FUT_U_CORC-02]],E$5, FALSE)</f>
        <v>#N/A</v>
      </c>
      <c r="F3198" s="22" t="e">
        <f>VLOOKUP($A3198,TAB_AMORTIZACAO_U[[Q_DIAS_U_PARC_TIR]:[V_FUT_U_PCPL-02]], F$5, FALSE)</f>
        <v>#N/A</v>
      </c>
      <c r="H3198" s="20">
        <f t="shared" si="252"/>
        <v>0</v>
      </c>
      <c r="I3198" s="21">
        <f t="shared" si="253"/>
        <v>0</v>
      </c>
      <c r="J3198" s="22" t="e">
        <f>VLOOKUP($A3198, TAB_JUROS_C[[DIAS_CORRIDOS]:[V_FUT_UTEIS]], J$5, FALSE)</f>
        <v>#N/A</v>
      </c>
      <c r="K3198" s="22" t="e">
        <f>VLOOKUP($A3198, TAB_CORRECAO_C[[DIAS_CORRIDOS]:[V_FUT_UTEIS]],K$5, FALSE)</f>
        <v>#N/A</v>
      </c>
      <c r="L3198" s="22" t="e">
        <f>VLOOKUP($A3198, TAB_AMORTIZACAO_C[[DIAS_CORRIDOS]:[V_FUT_UTEIS]], L$5, FALSE)</f>
        <v>#N/A</v>
      </c>
    </row>
    <row r="3199" spans="1:12" hidden="1">
      <c r="A3199" s="19">
        <f t="shared" si="254"/>
        <v>3193</v>
      </c>
      <c r="B3199" s="20">
        <f t="shared" si="250"/>
        <v>0</v>
      </c>
      <c r="C3199" s="21">
        <f t="shared" si="251"/>
        <v>0</v>
      </c>
      <c r="D3199" s="22" t="e">
        <f>VLOOKUP($A3199, TAB_JUROS_U[[Q_DIAS_U_PARC_TIR]:[V_FUT_U_JURS CENARIO]], D$5, FALSE)</f>
        <v>#N/A</v>
      </c>
      <c r="E3199" s="22" t="e">
        <f>VLOOKUP($A3199,TAB_CORRECAO_U[[Q_DIAS_U_PARC_TIR]:[V_FUT_U_CORC-02]],E$5, FALSE)</f>
        <v>#N/A</v>
      </c>
      <c r="F3199" s="22" t="e">
        <f>VLOOKUP($A3199,TAB_AMORTIZACAO_U[[Q_DIAS_U_PARC_TIR]:[V_FUT_U_PCPL-02]], F$5, FALSE)</f>
        <v>#N/A</v>
      </c>
      <c r="H3199" s="20">
        <f t="shared" si="252"/>
        <v>0</v>
      </c>
      <c r="I3199" s="21">
        <f t="shared" si="253"/>
        <v>0</v>
      </c>
      <c r="J3199" s="22" t="e">
        <f>VLOOKUP($A3199, TAB_JUROS_C[[DIAS_CORRIDOS]:[V_FUT_UTEIS]], J$5, FALSE)</f>
        <v>#N/A</v>
      </c>
      <c r="K3199" s="22" t="e">
        <f>VLOOKUP($A3199, TAB_CORRECAO_C[[DIAS_CORRIDOS]:[V_FUT_UTEIS]],K$5, FALSE)</f>
        <v>#N/A</v>
      </c>
      <c r="L3199" s="22" t="e">
        <f>VLOOKUP($A3199, TAB_AMORTIZACAO_C[[DIAS_CORRIDOS]:[V_FUT_UTEIS]], L$5, FALSE)</f>
        <v>#N/A</v>
      </c>
    </row>
    <row r="3200" spans="1:12" hidden="1">
      <c r="A3200" s="19">
        <f t="shared" si="254"/>
        <v>3194</v>
      </c>
      <c r="B3200" s="20">
        <f t="shared" si="250"/>
        <v>0</v>
      </c>
      <c r="C3200" s="21">
        <f t="shared" si="251"/>
        <v>0</v>
      </c>
      <c r="D3200" s="22" t="e">
        <f>VLOOKUP($A3200, TAB_JUROS_U[[Q_DIAS_U_PARC_TIR]:[V_FUT_U_JURS CENARIO]], D$5, FALSE)</f>
        <v>#N/A</v>
      </c>
      <c r="E3200" s="22" t="e">
        <f>VLOOKUP($A3200,TAB_CORRECAO_U[[Q_DIAS_U_PARC_TIR]:[V_FUT_U_CORC-02]],E$5, FALSE)</f>
        <v>#N/A</v>
      </c>
      <c r="F3200" s="22" t="e">
        <f>VLOOKUP($A3200,TAB_AMORTIZACAO_U[[Q_DIAS_U_PARC_TIR]:[V_FUT_U_PCPL-02]], F$5, FALSE)</f>
        <v>#N/A</v>
      </c>
      <c r="H3200" s="20">
        <f t="shared" si="252"/>
        <v>0</v>
      </c>
      <c r="I3200" s="21">
        <f t="shared" si="253"/>
        <v>0</v>
      </c>
      <c r="J3200" s="22" t="e">
        <f>VLOOKUP($A3200, TAB_JUROS_C[[DIAS_CORRIDOS]:[V_FUT_UTEIS]], J$5, FALSE)</f>
        <v>#N/A</v>
      </c>
      <c r="K3200" s="22" t="e">
        <f>VLOOKUP($A3200, TAB_CORRECAO_C[[DIAS_CORRIDOS]:[V_FUT_UTEIS]],K$5, FALSE)</f>
        <v>#N/A</v>
      </c>
      <c r="L3200" s="22" t="e">
        <f>VLOOKUP($A3200, TAB_AMORTIZACAO_C[[DIAS_CORRIDOS]:[V_FUT_UTEIS]], L$5, FALSE)</f>
        <v>#N/A</v>
      </c>
    </row>
    <row r="3201" spans="1:12" hidden="1">
      <c r="A3201" s="19">
        <f t="shared" si="254"/>
        <v>3195</v>
      </c>
      <c r="B3201" s="20">
        <f t="shared" si="250"/>
        <v>0</v>
      </c>
      <c r="C3201" s="21">
        <f t="shared" si="251"/>
        <v>0</v>
      </c>
      <c r="D3201" s="22" t="e">
        <f>VLOOKUP($A3201, TAB_JUROS_U[[Q_DIAS_U_PARC_TIR]:[V_FUT_U_JURS CENARIO]], D$5, FALSE)</f>
        <v>#N/A</v>
      </c>
      <c r="E3201" s="22" t="e">
        <f>VLOOKUP($A3201,TAB_CORRECAO_U[[Q_DIAS_U_PARC_TIR]:[V_FUT_U_CORC-02]],E$5, FALSE)</f>
        <v>#N/A</v>
      </c>
      <c r="F3201" s="22" t="e">
        <f>VLOOKUP($A3201,TAB_AMORTIZACAO_U[[Q_DIAS_U_PARC_TIR]:[V_FUT_U_PCPL-02]], F$5, FALSE)</f>
        <v>#N/A</v>
      </c>
      <c r="H3201" s="20">
        <f t="shared" si="252"/>
        <v>0</v>
      </c>
      <c r="I3201" s="21">
        <f t="shared" si="253"/>
        <v>0</v>
      </c>
      <c r="J3201" s="22" t="e">
        <f>VLOOKUP($A3201, TAB_JUROS_C[[DIAS_CORRIDOS]:[V_FUT_UTEIS]], J$5, FALSE)</f>
        <v>#N/A</v>
      </c>
      <c r="K3201" s="22" t="e">
        <f>VLOOKUP($A3201, TAB_CORRECAO_C[[DIAS_CORRIDOS]:[V_FUT_UTEIS]],K$5, FALSE)</f>
        <v>#N/A</v>
      </c>
      <c r="L3201" s="22" t="e">
        <f>VLOOKUP($A3201, TAB_AMORTIZACAO_C[[DIAS_CORRIDOS]:[V_FUT_UTEIS]], L$5, FALSE)</f>
        <v>#N/A</v>
      </c>
    </row>
    <row r="3202" spans="1:12" hidden="1">
      <c r="A3202" s="19">
        <f t="shared" si="254"/>
        <v>3196</v>
      </c>
      <c r="B3202" s="20">
        <f t="shared" si="250"/>
        <v>0</v>
      </c>
      <c r="C3202" s="21">
        <f t="shared" si="251"/>
        <v>0</v>
      </c>
      <c r="D3202" s="22" t="e">
        <f>VLOOKUP($A3202, TAB_JUROS_U[[Q_DIAS_U_PARC_TIR]:[V_FUT_U_JURS CENARIO]], D$5, FALSE)</f>
        <v>#N/A</v>
      </c>
      <c r="E3202" s="22" t="e">
        <f>VLOOKUP($A3202,TAB_CORRECAO_U[[Q_DIAS_U_PARC_TIR]:[V_FUT_U_CORC-02]],E$5, FALSE)</f>
        <v>#N/A</v>
      </c>
      <c r="F3202" s="22" t="e">
        <f>VLOOKUP($A3202,TAB_AMORTIZACAO_U[[Q_DIAS_U_PARC_TIR]:[V_FUT_U_PCPL-02]], F$5, FALSE)</f>
        <v>#N/A</v>
      </c>
      <c r="H3202" s="20">
        <f t="shared" si="252"/>
        <v>0</v>
      </c>
      <c r="I3202" s="21">
        <f t="shared" si="253"/>
        <v>0</v>
      </c>
      <c r="J3202" s="22" t="e">
        <f>VLOOKUP($A3202, TAB_JUROS_C[[DIAS_CORRIDOS]:[V_FUT_UTEIS]], J$5, FALSE)</f>
        <v>#N/A</v>
      </c>
      <c r="K3202" s="22" t="e">
        <f>VLOOKUP($A3202, TAB_CORRECAO_C[[DIAS_CORRIDOS]:[V_FUT_UTEIS]],K$5, FALSE)</f>
        <v>#N/A</v>
      </c>
      <c r="L3202" s="22" t="e">
        <f>VLOOKUP($A3202, TAB_AMORTIZACAO_C[[DIAS_CORRIDOS]:[V_FUT_UTEIS]], L$5, FALSE)</f>
        <v>#N/A</v>
      </c>
    </row>
    <row r="3203" spans="1:12" hidden="1">
      <c r="A3203" s="19">
        <f t="shared" si="254"/>
        <v>3197</v>
      </c>
      <c r="B3203" s="20">
        <f t="shared" si="250"/>
        <v>0</v>
      </c>
      <c r="C3203" s="21">
        <f t="shared" si="251"/>
        <v>0</v>
      </c>
      <c r="D3203" s="22" t="e">
        <f>VLOOKUP($A3203, TAB_JUROS_U[[Q_DIAS_U_PARC_TIR]:[V_FUT_U_JURS CENARIO]], D$5, FALSE)</f>
        <v>#N/A</v>
      </c>
      <c r="E3203" s="22" t="e">
        <f>VLOOKUP($A3203,TAB_CORRECAO_U[[Q_DIAS_U_PARC_TIR]:[V_FUT_U_CORC-02]],E$5, FALSE)</f>
        <v>#N/A</v>
      </c>
      <c r="F3203" s="22" t="e">
        <f>VLOOKUP($A3203,TAB_AMORTIZACAO_U[[Q_DIAS_U_PARC_TIR]:[V_FUT_U_PCPL-02]], F$5, FALSE)</f>
        <v>#N/A</v>
      </c>
      <c r="H3203" s="20">
        <f t="shared" si="252"/>
        <v>0</v>
      </c>
      <c r="I3203" s="21">
        <f t="shared" si="253"/>
        <v>0</v>
      </c>
      <c r="J3203" s="22" t="e">
        <f>VLOOKUP($A3203, TAB_JUROS_C[[DIAS_CORRIDOS]:[V_FUT_UTEIS]], J$5, FALSE)</f>
        <v>#N/A</v>
      </c>
      <c r="K3203" s="22" t="e">
        <f>VLOOKUP($A3203, TAB_CORRECAO_C[[DIAS_CORRIDOS]:[V_FUT_UTEIS]],K$5, FALSE)</f>
        <v>#N/A</v>
      </c>
      <c r="L3203" s="22" t="e">
        <f>VLOOKUP($A3203, TAB_AMORTIZACAO_C[[DIAS_CORRIDOS]:[V_FUT_UTEIS]], L$5, FALSE)</f>
        <v>#N/A</v>
      </c>
    </row>
    <row r="3204" spans="1:12" hidden="1">
      <c r="A3204" s="19">
        <f t="shared" si="254"/>
        <v>3198</v>
      </c>
      <c r="B3204" s="20">
        <f t="shared" si="250"/>
        <v>0</v>
      </c>
      <c r="C3204" s="21">
        <f t="shared" si="251"/>
        <v>0</v>
      </c>
      <c r="D3204" s="22" t="e">
        <f>VLOOKUP($A3204, TAB_JUROS_U[[Q_DIAS_U_PARC_TIR]:[V_FUT_U_JURS CENARIO]], D$5, FALSE)</f>
        <v>#N/A</v>
      </c>
      <c r="E3204" s="22" t="e">
        <f>VLOOKUP($A3204,TAB_CORRECAO_U[[Q_DIAS_U_PARC_TIR]:[V_FUT_U_CORC-02]],E$5, FALSE)</f>
        <v>#N/A</v>
      </c>
      <c r="F3204" s="22" t="e">
        <f>VLOOKUP($A3204,TAB_AMORTIZACAO_U[[Q_DIAS_U_PARC_TIR]:[V_FUT_U_PCPL-02]], F$5, FALSE)</f>
        <v>#N/A</v>
      </c>
      <c r="H3204" s="20">
        <f t="shared" si="252"/>
        <v>0</v>
      </c>
      <c r="I3204" s="21">
        <f t="shared" si="253"/>
        <v>0</v>
      </c>
      <c r="J3204" s="22" t="e">
        <f>VLOOKUP($A3204, TAB_JUROS_C[[DIAS_CORRIDOS]:[V_FUT_UTEIS]], J$5, FALSE)</f>
        <v>#N/A</v>
      </c>
      <c r="K3204" s="22" t="e">
        <f>VLOOKUP($A3204, TAB_CORRECAO_C[[DIAS_CORRIDOS]:[V_FUT_UTEIS]],K$5, FALSE)</f>
        <v>#N/A</v>
      </c>
      <c r="L3204" s="22" t="e">
        <f>VLOOKUP($A3204, TAB_AMORTIZACAO_C[[DIAS_CORRIDOS]:[V_FUT_UTEIS]], L$5, FALSE)</f>
        <v>#N/A</v>
      </c>
    </row>
    <row r="3205" spans="1:12" hidden="1">
      <c r="A3205" s="19">
        <f t="shared" si="254"/>
        <v>3199</v>
      </c>
      <c r="B3205" s="20">
        <f t="shared" si="250"/>
        <v>0</v>
      </c>
      <c r="C3205" s="21">
        <f t="shared" si="251"/>
        <v>0</v>
      </c>
      <c r="D3205" s="22" t="e">
        <f>VLOOKUP($A3205, TAB_JUROS_U[[Q_DIAS_U_PARC_TIR]:[V_FUT_U_JURS CENARIO]], D$5, FALSE)</f>
        <v>#N/A</v>
      </c>
      <c r="E3205" s="22" t="e">
        <f>VLOOKUP($A3205,TAB_CORRECAO_U[[Q_DIAS_U_PARC_TIR]:[V_FUT_U_CORC-02]],E$5, FALSE)</f>
        <v>#N/A</v>
      </c>
      <c r="F3205" s="22" t="e">
        <f>VLOOKUP($A3205,TAB_AMORTIZACAO_U[[Q_DIAS_U_PARC_TIR]:[V_FUT_U_PCPL-02]], F$5, FALSE)</f>
        <v>#N/A</v>
      </c>
      <c r="H3205" s="20">
        <f t="shared" si="252"/>
        <v>0</v>
      </c>
      <c r="I3205" s="21">
        <f t="shared" si="253"/>
        <v>0</v>
      </c>
      <c r="J3205" s="22" t="e">
        <f>VLOOKUP($A3205, TAB_JUROS_C[[DIAS_CORRIDOS]:[V_FUT_UTEIS]], J$5, FALSE)</f>
        <v>#N/A</v>
      </c>
      <c r="K3205" s="22" t="e">
        <f>VLOOKUP($A3205, TAB_CORRECAO_C[[DIAS_CORRIDOS]:[V_FUT_UTEIS]],K$5, FALSE)</f>
        <v>#N/A</v>
      </c>
      <c r="L3205" s="22" t="e">
        <f>VLOOKUP($A3205, TAB_AMORTIZACAO_C[[DIAS_CORRIDOS]:[V_FUT_UTEIS]], L$5, FALSE)</f>
        <v>#N/A</v>
      </c>
    </row>
    <row r="3206" spans="1:12" hidden="1">
      <c r="A3206" s="19">
        <f t="shared" si="254"/>
        <v>3200</v>
      </c>
      <c r="B3206" s="20">
        <f t="shared" si="250"/>
        <v>0</v>
      </c>
      <c r="C3206" s="21">
        <f t="shared" si="251"/>
        <v>0</v>
      </c>
      <c r="D3206" s="22" t="e">
        <f>VLOOKUP($A3206, TAB_JUROS_U[[Q_DIAS_U_PARC_TIR]:[V_FUT_U_JURS CENARIO]], D$5, FALSE)</f>
        <v>#N/A</v>
      </c>
      <c r="E3206" s="22" t="e">
        <f>VLOOKUP($A3206,TAB_CORRECAO_U[[Q_DIAS_U_PARC_TIR]:[V_FUT_U_CORC-02]],E$5, FALSE)</f>
        <v>#N/A</v>
      </c>
      <c r="F3206" s="22" t="e">
        <f>VLOOKUP($A3206,TAB_AMORTIZACAO_U[[Q_DIAS_U_PARC_TIR]:[V_FUT_U_PCPL-02]], F$5, FALSE)</f>
        <v>#N/A</v>
      </c>
      <c r="H3206" s="20">
        <f t="shared" si="252"/>
        <v>0</v>
      </c>
      <c r="I3206" s="21">
        <f t="shared" si="253"/>
        <v>0</v>
      </c>
      <c r="J3206" s="22" t="e">
        <f>VLOOKUP($A3206, TAB_JUROS_C[[DIAS_CORRIDOS]:[V_FUT_UTEIS]], J$5, FALSE)</f>
        <v>#N/A</v>
      </c>
      <c r="K3206" s="22" t="e">
        <f>VLOOKUP($A3206, TAB_CORRECAO_C[[DIAS_CORRIDOS]:[V_FUT_UTEIS]],K$5, FALSE)</f>
        <v>#N/A</v>
      </c>
      <c r="L3206" s="22" t="e">
        <f>VLOOKUP($A3206, TAB_AMORTIZACAO_C[[DIAS_CORRIDOS]:[V_FUT_UTEIS]], L$5, FALSE)</f>
        <v>#N/A</v>
      </c>
    </row>
    <row r="3207" spans="1:12" hidden="1">
      <c r="A3207" s="19">
        <f t="shared" si="254"/>
        <v>3201</v>
      </c>
      <c r="B3207" s="20">
        <f t="shared" si="250"/>
        <v>0</v>
      </c>
      <c r="C3207" s="21">
        <f t="shared" si="251"/>
        <v>0</v>
      </c>
      <c r="D3207" s="22" t="e">
        <f>VLOOKUP($A3207, TAB_JUROS_U[[Q_DIAS_U_PARC_TIR]:[V_FUT_U_JURS CENARIO]], D$5, FALSE)</f>
        <v>#N/A</v>
      </c>
      <c r="E3207" s="22" t="e">
        <f>VLOOKUP($A3207,TAB_CORRECAO_U[[Q_DIAS_U_PARC_TIR]:[V_FUT_U_CORC-02]],E$5, FALSE)</f>
        <v>#N/A</v>
      </c>
      <c r="F3207" s="22" t="e">
        <f>VLOOKUP($A3207,TAB_AMORTIZACAO_U[[Q_DIAS_U_PARC_TIR]:[V_FUT_U_PCPL-02]], F$5, FALSE)</f>
        <v>#N/A</v>
      </c>
      <c r="H3207" s="20">
        <f t="shared" si="252"/>
        <v>0</v>
      </c>
      <c r="I3207" s="21">
        <f t="shared" si="253"/>
        <v>0</v>
      </c>
      <c r="J3207" s="22" t="e">
        <f>VLOOKUP($A3207, TAB_JUROS_C[[DIAS_CORRIDOS]:[V_FUT_UTEIS]], J$5, FALSE)</f>
        <v>#N/A</v>
      </c>
      <c r="K3207" s="22" t="e">
        <f>VLOOKUP($A3207, TAB_CORRECAO_C[[DIAS_CORRIDOS]:[V_FUT_UTEIS]],K$5, FALSE)</f>
        <v>#N/A</v>
      </c>
      <c r="L3207" s="22" t="e">
        <f>VLOOKUP($A3207, TAB_AMORTIZACAO_C[[DIAS_CORRIDOS]:[V_FUT_UTEIS]], L$5, FALSE)</f>
        <v>#N/A</v>
      </c>
    </row>
    <row r="3208" spans="1:12" hidden="1">
      <c r="A3208" s="19">
        <f t="shared" si="254"/>
        <v>3202</v>
      </c>
      <c r="B3208" s="20">
        <f t="shared" si="250"/>
        <v>0</v>
      </c>
      <c r="C3208" s="21">
        <f t="shared" si="251"/>
        <v>0</v>
      </c>
      <c r="D3208" s="22" t="e">
        <f>VLOOKUP($A3208, TAB_JUROS_U[[Q_DIAS_U_PARC_TIR]:[V_FUT_U_JURS CENARIO]], D$5, FALSE)</f>
        <v>#N/A</v>
      </c>
      <c r="E3208" s="22" t="e">
        <f>VLOOKUP($A3208,TAB_CORRECAO_U[[Q_DIAS_U_PARC_TIR]:[V_FUT_U_CORC-02]],E$5, FALSE)</f>
        <v>#N/A</v>
      </c>
      <c r="F3208" s="22" t="e">
        <f>VLOOKUP($A3208,TAB_AMORTIZACAO_U[[Q_DIAS_U_PARC_TIR]:[V_FUT_U_PCPL-02]], F$5, FALSE)</f>
        <v>#N/A</v>
      </c>
      <c r="H3208" s="20">
        <f t="shared" si="252"/>
        <v>0</v>
      </c>
      <c r="I3208" s="21">
        <f t="shared" si="253"/>
        <v>0</v>
      </c>
      <c r="J3208" s="22" t="e">
        <f>VLOOKUP($A3208, TAB_JUROS_C[[DIAS_CORRIDOS]:[V_FUT_UTEIS]], J$5, FALSE)</f>
        <v>#N/A</v>
      </c>
      <c r="K3208" s="22" t="e">
        <f>VLOOKUP($A3208, TAB_CORRECAO_C[[DIAS_CORRIDOS]:[V_FUT_UTEIS]],K$5, FALSE)</f>
        <v>#N/A</v>
      </c>
      <c r="L3208" s="22" t="e">
        <f>VLOOKUP($A3208, TAB_AMORTIZACAO_C[[DIAS_CORRIDOS]:[V_FUT_UTEIS]], L$5, FALSE)</f>
        <v>#N/A</v>
      </c>
    </row>
    <row r="3209" spans="1:12" hidden="1">
      <c r="A3209" s="19">
        <f t="shared" si="254"/>
        <v>3203</v>
      </c>
      <c r="B3209" s="20">
        <f t="shared" ref="B3209:B3272" si="255">IF(ISERROR(C3209), 0, C3209)</f>
        <v>0</v>
      </c>
      <c r="C3209" s="21">
        <f t="shared" ref="C3209:C3272" si="256">SUMIF(D3209:F3209, "&gt;0", D3209:F3209)</f>
        <v>0</v>
      </c>
      <c r="D3209" s="22" t="e">
        <f>VLOOKUP($A3209, TAB_JUROS_U[[Q_DIAS_U_PARC_TIR]:[V_FUT_U_JURS CENARIO]], D$5, FALSE)</f>
        <v>#N/A</v>
      </c>
      <c r="E3209" s="22" t="e">
        <f>VLOOKUP($A3209,TAB_CORRECAO_U[[Q_DIAS_U_PARC_TIR]:[V_FUT_U_CORC-02]],E$5, FALSE)</f>
        <v>#N/A</v>
      </c>
      <c r="F3209" s="22" t="e">
        <f>VLOOKUP($A3209,TAB_AMORTIZACAO_U[[Q_DIAS_U_PARC_TIR]:[V_FUT_U_PCPL-02]], F$5, FALSE)</f>
        <v>#N/A</v>
      </c>
      <c r="H3209" s="20">
        <f t="shared" ref="H3209:H3272" si="257">IF(ISERROR(I3209), 0, I3209)</f>
        <v>0</v>
      </c>
      <c r="I3209" s="21">
        <f t="shared" ref="I3209:I3272" si="258">SUMIF(J3209:L3209, "&gt;0", J3209:L3209)</f>
        <v>0</v>
      </c>
      <c r="J3209" s="22" t="e">
        <f>VLOOKUP($A3209, TAB_JUROS_C[[DIAS_CORRIDOS]:[V_FUT_UTEIS]], J$5, FALSE)</f>
        <v>#N/A</v>
      </c>
      <c r="K3209" s="22" t="e">
        <f>VLOOKUP($A3209, TAB_CORRECAO_C[[DIAS_CORRIDOS]:[V_FUT_UTEIS]],K$5, FALSE)</f>
        <v>#N/A</v>
      </c>
      <c r="L3209" s="22" t="e">
        <f>VLOOKUP($A3209, TAB_AMORTIZACAO_C[[DIAS_CORRIDOS]:[V_FUT_UTEIS]], L$5, FALSE)</f>
        <v>#N/A</v>
      </c>
    </row>
    <row r="3210" spans="1:12" hidden="1">
      <c r="A3210" s="19">
        <f t="shared" ref="A3210:A3273" si="259">A3209+1</f>
        <v>3204</v>
      </c>
      <c r="B3210" s="20">
        <f t="shared" si="255"/>
        <v>0</v>
      </c>
      <c r="C3210" s="21">
        <f t="shared" si="256"/>
        <v>0</v>
      </c>
      <c r="D3210" s="22" t="e">
        <f>VLOOKUP($A3210, TAB_JUROS_U[[Q_DIAS_U_PARC_TIR]:[V_FUT_U_JURS CENARIO]], D$5, FALSE)</f>
        <v>#N/A</v>
      </c>
      <c r="E3210" s="22" t="e">
        <f>VLOOKUP($A3210,TAB_CORRECAO_U[[Q_DIAS_U_PARC_TIR]:[V_FUT_U_CORC-02]],E$5, FALSE)</f>
        <v>#N/A</v>
      </c>
      <c r="F3210" s="22" t="e">
        <f>VLOOKUP($A3210,TAB_AMORTIZACAO_U[[Q_DIAS_U_PARC_TIR]:[V_FUT_U_PCPL-02]], F$5, FALSE)</f>
        <v>#N/A</v>
      </c>
      <c r="H3210" s="20">
        <f t="shared" si="257"/>
        <v>0</v>
      </c>
      <c r="I3210" s="21">
        <f t="shared" si="258"/>
        <v>0</v>
      </c>
      <c r="J3210" s="22" t="e">
        <f>VLOOKUP($A3210, TAB_JUROS_C[[DIAS_CORRIDOS]:[V_FUT_UTEIS]], J$5, FALSE)</f>
        <v>#N/A</v>
      </c>
      <c r="K3210" s="22" t="e">
        <f>VLOOKUP($A3210, TAB_CORRECAO_C[[DIAS_CORRIDOS]:[V_FUT_UTEIS]],K$5, FALSE)</f>
        <v>#N/A</v>
      </c>
      <c r="L3210" s="22" t="e">
        <f>VLOOKUP($A3210, TAB_AMORTIZACAO_C[[DIAS_CORRIDOS]:[V_FUT_UTEIS]], L$5, FALSE)</f>
        <v>#N/A</v>
      </c>
    </row>
    <row r="3211" spans="1:12" hidden="1">
      <c r="A3211" s="19">
        <f t="shared" si="259"/>
        <v>3205</v>
      </c>
      <c r="B3211" s="20">
        <f t="shared" si="255"/>
        <v>0</v>
      </c>
      <c r="C3211" s="21">
        <f t="shared" si="256"/>
        <v>0</v>
      </c>
      <c r="D3211" s="22" t="e">
        <f>VLOOKUP($A3211, TAB_JUROS_U[[Q_DIAS_U_PARC_TIR]:[V_FUT_U_JURS CENARIO]], D$5, FALSE)</f>
        <v>#N/A</v>
      </c>
      <c r="E3211" s="22" t="e">
        <f>VLOOKUP($A3211,TAB_CORRECAO_U[[Q_DIAS_U_PARC_TIR]:[V_FUT_U_CORC-02]],E$5, FALSE)</f>
        <v>#N/A</v>
      </c>
      <c r="F3211" s="22" t="e">
        <f>VLOOKUP($A3211,TAB_AMORTIZACAO_U[[Q_DIAS_U_PARC_TIR]:[V_FUT_U_PCPL-02]], F$5, FALSE)</f>
        <v>#N/A</v>
      </c>
      <c r="H3211" s="20">
        <f t="shared" si="257"/>
        <v>0</v>
      </c>
      <c r="I3211" s="21">
        <f t="shared" si="258"/>
        <v>0</v>
      </c>
      <c r="J3211" s="22" t="e">
        <f>VLOOKUP($A3211, TAB_JUROS_C[[DIAS_CORRIDOS]:[V_FUT_UTEIS]], J$5, FALSE)</f>
        <v>#N/A</v>
      </c>
      <c r="K3211" s="22" t="e">
        <f>VLOOKUP($A3211, TAB_CORRECAO_C[[DIAS_CORRIDOS]:[V_FUT_UTEIS]],K$5, FALSE)</f>
        <v>#N/A</v>
      </c>
      <c r="L3211" s="22" t="e">
        <f>VLOOKUP($A3211, TAB_AMORTIZACAO_C[[DIAS_CORRIDOS]:[V_FUT_UTEIS]], L$5, FALSE)</f>
        <v>#N/A</v>
      </c>
    </row>
    <row r="3212" spans="1:12" hidden="1">
      <c r="A3212" s="19">
        <f t="shared" si="259"/>
        <v>3206</v>
      </c>
      <c r="B3212" s="20">
        <f t="shared" si="255"/>
        <v>0</v>
      </c>
      <c r="C3212" s="21">
        <f t="shared" si="256"/>
        <v>0</v>
      </c>
      <c r="D3212" s="22" t="e">
        <f>VLOOKUP($A3212, TAB_JUROS_U[[Q_DIAS_U_PARC_TIR]:[V_FUT_U_JURS CENARIO]], D$5, FALSE)</f>
        <v>#N/A</v>
      </c>
      <c r="E3212" s="22" t="e">
        <f>VLOOKUP($A3212,TAB_CORRECAO_U[[Q_DIAS_U_PARC_TIR]:[V_FUT_U_CORC-02]],E$5, FALSE)</f>
        <v>#N/A</v>
      </c>
      <c r="F3212" s="22" t="e">
        <f>VLOOKUP($A3212,TAB_AMORTIZACAO_U[[Q_DIAS_U_PARC_TIR]:[V_FUT_U_PCPL-02]], F$5, FALSE)</f>
        <v>#N/A</v>
      </c>
      <c r="H3212" s="20">
        <f t="shared" si="257"/>
        <v>0</v>
      </c>
      <c r="I3212" s="21">
        <f t="shared" si="258"/>
        <v>0</v>
      </c>
      <c r="J3212" s="22" t="e">
        <f>VLOOKUP($A3212, TAB_JUROS_C[[DIAS_CORRIDOS]:[V_FUT_UTEIS]], J$5, FALSE)</f>
        <v>#N/A</v>
      </c>
      <c r="K3212" s="22" t="e">
        <f>VLOOKUP($A3212, TAB_CORRECAO_C[[DIAS_CORRIDOS]:[V_FUT_UTEIS]],K$5, FALSE)</f>
        <v>#N/A</v>
      </c>
      <c r="L3212" s="22" t="e">
        <f>VLOOKUP($A3212, TAB_AMORTIZACAO_C[[DIAS_CORRIDOS]:[V_FUT_UTEIS]], L$5, FALSE)</f>
        <v>#N/A</v>
      </c>
    </row>
    <row r="3213" spans="1:12" hidden="1">
      <c r="A3213" s="19">
        <f t="shared" si="259"/>
        <v>3207</v>
      </c>
      <c r="B3213" s="20">
        <f t="shared" si="255"/>
        <v>0</v>
      </c>
      <c r="C3213" s="21">
        <f t="shared" si="256"/>
        <v>0</v>
      </c>
      <c r="D3213" s="22" t="e">
        <f>VLOOKUP($A3213, TAB_JUROS_U[[Q_DIAS_U_PARC_TIR]:[V_FUT_U_JURS CENARIO]], D$5, FALSE)</f>
        <v>#N/A</v>
      </c>
      <c r="E3213" s="22" t="e">
        <f>VLOOKUP($A3213,TAB_CORRECAO_U[[Q_DIAS_U_PARC_TIR]:[V_FUT_U_CORC-02]],E$5, FALSE)</f>
        <v>#N/A</v>
      </c>
      <c r="F3213" s="22" t="e">
        <f>VLOOKUP($A3213,TAB_AMORTIZACAO_U[[Q_DIAS_U_PARC_TIR]:[V_FUT_U_PCPL-02]], F$5, FALSE)</f>
        <v>#N/A</v>
      </c>
      <c r="H3213" s="20">
        <f t="shared" si="257"/>
        <v>233.05181863693619</v>
      </c>
      <c r="I3213" s="21">
        <f t="shared" si="258"/>
        <v>233.05181863693619</v>
      </c>
      <c r="J3213" s="22">
        <f>VLOOKUP($A3213, TAB_JUROS_C[[DIAS_CORRIDOS]:[V_FUT_UTEIS]], J$5, FALSE)</f>
        <v>11.659110415275245</v>
      </c>
      <c r="K3213" s="22">
        <f>VLOOKUP($A3213, TAB_CORRECAO_C[[DIAS_CORRIDOS]:[V_FUT_UTEIS]],K$5, FALSE)</f>
        <v>71.77343691354389</v>
      </c>
      <c r="L3213" s="22">
        <f>VLOOKUP($A3213, TAB_AMORTIZACAO_C[[DIAS_CORRIDOS]:[V_FUT_UTEIS]], L$5, FALSE)</f>
        <v>149.61927130811705</v>
      </c>
    </row>
    <row r="3214" spans="1:12" hidden="1">
      <c r="A3214" s="19">
        <f t="shared" si="259"/>
        <v>3208</v>
      </c>
      <c r="B3214" s="20">
        <f t="shared" si="255"/>
        <v>0</v>
      </c>
      <c r="C3214" s="21">
        <f t="shared" si="256"/>
        <v>0</v>
      </c>
      <c r="D3214" s="22" t="e">
        <f>VLOOKUP($A3214, TAB_JUROS_U[[Q_DIAS_U_PARC_TIR]:[V_FUT_U_JURS CENARIO]], D$5, FALSE)</f>
        <v>#N/A</v>
      </c>
      <c r="E3214" s="22" t="e">
        <f>VLOOKUP($A3214,TAB_CORRECAO_U[[Q_DIAS_U_PARC_TIR]:[V_FUT_U_CORC-02]],E$5, FALSE)</f>
        <v>#N/A</v>
      </c>
      <c r="F3214" s="22" t="e">
        <f>VLOOKUP($A3214,TAB_AMORTIZACAO_U[[Q_DIAS_U_PARC_TIR]:[V_FUT_U_PCPL-02]], F$5, FALSE)</f>
        <v>#N/A</v>
      </c>
      <c r="H3214" s="20">
        <f t="shared" si="257"/>
        <v>0</v>
      </c>
      <c r="I3214" s="21">
        <f t="shared" si="258"/>
        <v>0</v>
      </c>
      <c r="J3214" s="22" t="e">
        <f>VLOOKUP($A3214, TAB_JUROS_C[[DIAS_CORRIDOS]:[V_FUT_UTEIS]], J$5, FALSE)</f>
        <v>#N/A</v>
      </c>
      <c r="K3214" s="22" t="e">
        <f>VLOOKUP($A3214, TAB_CORRECAO_C[[DIAS_CORRIDOS]:[V_FUT_UTEIS]],K$5, FALSE)</f>
        <v>#N/A</v>
      </c>
      <c r="L3214" s="22" t="e">
        <f>VLOOKUP($A3214, TAB_AMORTIZACAO_C[[DIAS_CORRIDOS]:[V_FUT_UTEIS]], L$5, FALSE)</f>
        <v>#N/A</v>
      </c>
    </row>
    <row r="3215" spans="1:12" hidden="1">
      <c r="A3215" s="19">
        <f t="shared" si="259"/>
        <v>3209</v>
      </c>
      <c r="B3215" s="20">
        <f t="shared" si="255"/>
        <v>0</v>
      </c>
      <c r="C3215" s="21">
        <f t="shared" si="256"/>
        <v>0</v>
      </c>
      <c r="D3215" s="22" t="e">
        <f>VLOOKUP($A3215, TAB_JUROS_U[[Q_DIAS_U_PARC_TIR]:[V_FUT_U_JURS CENARIO]], D$5, FALSE)</f>
        <v>#N/A</v>
      </c>
      <c r="E3215" s="22" t="e">
        <f>VLOOKUP($A3215,TAB_CORRECAO_U[[Q_DIAS_U_PARC_TIR]:[V_FUT_U_CORC-02]],E$5, FALSE)</f>
        <v>#N/A</v>
      </c>
      <c r="F3215" s="22" t="e">
        <f>VLOOKUP($A3215,TAB_AMORTIZACAO_U[[Q_DIAS_U_PARC_TIR]:[V_FUT_U_PCPL-02]], F$5, FALSE)</f>
        <v>#N/A</v>
      </c>
      <c r="H3215" s="20">
        <f t="shared" si="257"/>
        <v>0</v>
      </c>
      <c r="I3215" s="21">
        <f t="shared" si="258"/>
        <v>0</v>
      </c>
      <c r="J3215" s="22" t="e">
        <f>VLOOKUP($A3215, TAB_JUROS_C[[DIAS_CORRIDOS]:[V_FUT_UTEIS]], J$5, FALSE)</f>
        <v>#N/A</v>
      </c>
      <c r="K3215" s="22" t="e">
        <f>VLOOKUP($A3215, TAB_CORRECAO_C[[DIAS_CORRIDOS]:[V_FUT_UTEIS]],K$5, FALSE)</f>
        <v>#N/A</v>
      </c>
      <c r="L3215" s="22" t="e">
        <f>VLOOKUP($A3215, TAB_AMORTIZACAO_C[[DIAS_CORRIDOS]:[V_FUT_UTEIS]], L$5, FALSE)</f>
        <v>#N/A</v>
      </c>
    </row>
    <row r="3216" spans="1:12" hidden="1">
      <c r="A3216" s="19">
        <f t="shared" si="259"/>
        <v>3210</v>
      </c>
      <c r="B3216" s="20">
        <f t="shared" si="255"/>
        <v>0</v>
      </c>
      <c r="C3216" s="21">
        <f t="shared" si="256"/>
        <v>0</v>
      </c>
      <c r="D3216" s="22" t="e">
        <f>VLOOKUP($A3216, TAB_JUROS_U[[Q_DIAS_U_PARC_TIR]:[V_FUT_U_JURS CENARIO]], D$5, FALSE)</f>
        <v>#N/A</v>
      </c>
      <c r="E3216" s="22" t="e">
        <f>VLOOKUP($A3216,TAB_CORRECAO_U[[Q_DIAS_U_PARC_TIR]:[V_FUT_U_CORC-02]],E$5, FALSE)</f>
        <v>#N/A</v>
      </c>
      <c r="F3216" s="22" t="e">
        <f>VLOOKUP($A3216,TAB_AMORTIZACAO_U[[Q_DIAS_U_PARC_TIR]:[V_FUT_U_PCPL-02]], F$5, FALSE)</f>
        <v>#N/A</v>
      </c>
      <c r="H3216" s="20">
        <f t="shared" si="257"/>
        <v>0</v>
      </c>
      <c r="I3216" s="21">
        <f t="shared" si="258"/>
        <v>0</v>
      </c>
      <c r="J3216" s="22" t="e">
        <f>VLOOKUP($A3216, TAB_JUROS_C[[DIAS_CORRIDOS]:[V_FUT_UTEIS]], J$5, FALSE)</f>
        <v>#N/A</v>
      </c>
      <c r="K3216" s="22" t="e">
        <f>VLOOKUP($A3216, TAB_CORRECAO_C[[DIAS_CORRIDOS]:[V_FUT_UTEIS]],K$5, FALSE)</f>
        <v>#N/A</v>
      </c>
      <c r="L3216" s="22" t="e">
        <f>VLOOKUP($A3216, TAB_AMORTIZACAO_C[[DIAS_CORRIDOS]:[V_FUT_UTEIS]], L$5, FALSE)</f>
        <v>#N/A</v>
      </c>
    </row>
    <row r="3217" spans="1:12" hidden="1">
      <c r="A3217" s="19">
        <f t="shared" si="259"/>
        <v>3211</v>
      </c>
      <c r="B3217" s="20">
        <f t="shared" si="255"/>
        <v>0</v>
      </c>
      <c r="C3217" s="21">
        <f t="shared" si="256"/>
        <v>0</v>
      </c>
      <c r="D3217" s="22" t="e">
        <f>VLOOKUP($A3217, TAB_JUROS_U[[Q_DIAS_U_PARC_TIR]:[V_FUT_U_JURS CENARIO]], D$5, FALSE)</f>
        <v>#N/A</v>
      </c>
      <c r="E3217" s="22" t="e">
        <f>VLOOKUP($A3217,TAB_CORRECAO_U[[Q_DIAS_U_PARC_TIR]:[V_FUT_U_CORC-02]],E$5, FALSE)</f>
        <v>#N/A</v>
      </c>
      <c r="F3217" s="22" t="e">
        <f>VLOOKUP($A3217,TAB_AMORTIZACAO_U[[Q_DIAS_U_PARC_TIR]:[V_FUT_U_PCPL-02]], F$5, FALSE)</f>
        <v>#N/A</v>
      </c>
      <c r="H3217" s="20">
        <f t="shared" si="257"/>
        <v>0</v>
      </c>
      <c r="I3217" s="21">
        <f t="shared" si="258"/>
        <v>0</v>
      </c>
      <c r="J3217" s="22" t="e">
        <f>VLOOKUP($A3217, TAB_JUROS_C[[DIAS_CORRIDOS]:[V_FUT_UTEIS]], J$5, FALSE)</f>
        <v>#N/A</v>
      </c>
      <c r="K3217" s="22" t="e">
        <f>VLOOKUP($A3217, TAB_CORRECAO_C[[DIAS_CORRIDOS]:[V_FUT_UTEIS]],K$5, FALSE)</f>
        <v>#N/A</v>
      </c>
      <c r="L3217" s="22" t="e">
        <f>VLOOKUP($A3217, TAB_AMORTIZACAO_C[[DIAS_CORRIDOS]:[V_FUT_UTEIS]], L$5, FALSE)</f>
        <v>#N/A</v>
      </c>
    </row>
    <row r="3218" spans="1:12" hidden="1">
      <c r="A3218" s="19">
        <f t="shared" si="259"/>
        <v>3212</v>
      </c>
      <c r="B3218" s="20">
        <f t="shared" si="255"/>
        <v>0</v>
      </c>
      <c r="C3218" s="21">
        <f t="shared" si="256"/>
        <v>0</v>
      </c>
      <c r="D3218" s="22" t="e">
        <f>VLOOKUP($A3218, TAB_JUROS_U[[Q_DIAS_U_PARC_TIR]:[V_FUT_U_JURS CENARIO]], D$5, FALSE)</f>
        <v>#N/A</v>
      </c>
      <c r="E3218" s="22" t="e">
        <f>VLOOKUP($A3218,TAB_CORRECAO_U[[Q_DIAS_U_PARC_TIR]:[V_FUT_U_CORC-02]],E$5, FALSE)</f>
        <v>#N/A</v>
      </c>
      <c r="F3218" s="22" t="e">
        <f>VLOOKUP($A3218,TAB_AMORTIZACAO_U[[Q_DIAS_U_PARC_TIR]:[V_FUT_U_PCPL-02]], F$5, FALSE)</f>
        <v>#N/A</v>
      </c>
      <c r="H3218" s="20">
        <f t="shared" si="257"/>
        <v>0</v>
      </c>
      <c r="I3218" s="21">
        <f t="shared" si="258"/>
        <v>0</v>
      </c>
      <c r="J3218" s="22" t="e">
        <f>VLOOKUP($A3218, TAB_JUROS_C[[DIAS_CORRIDOS]:[V_FUT_UTEIS]], J$5, FALSE)</f>
        <v>#N/A</v>
      </c>
      <c r="K3218" s="22" t="e">
        <f>VLOOKUP($A3218, TAB_CORRECAO_C[[DIAS_CORRIDOS]:[V_FUT_UTEIS]],K$5, FALSE)</f>
        <v>#N/A</v>
      </c>
      <c r="L3218" s="22" t="e">
        <f>VLOOKUP($A3218, TAB_AMORTIZACAO_C[[DIAS_CORRIDOS]:[V_FUT_UTEIS]], L$5, FALSE)</f>
        <v>#N/A</v>
      </c>
    </row>
    <row r="3219" spans="1:12" hidden="1">
      <c r="A3219" s="19">
        <f t="shared" si="259"/>
        <v>3213</v>
      </c>
      <c r="B3219" s="20">
        <f t="shared" si="255"/>
        <v>0</v>
      </c>
      <c r="C3219" s="21">
        <f t="shared" si="256"/>
        <v>0</v>
      </c>
      <c r="D3219" s="22" t="e">
        <f>VLOOKUP($A3219, TAB_JUROS_U[[Q_DIAS_U_PARC_TIR]:[V_FUT_U_JURS CENARIO]], D$5, FALSE)</f>
        <v>#N/A</v>
      </c>
      <c r="E3219" s="22" t="e">
        <f>VLOOKUP($A3219,TAB_CORRECAO_U[[Q_DIAS_U_PARC_TIR]:[V_FUT_U_CORC-02]],E$5, FALSE)</f>
        <v>#N/A</v>
      </c>
      <c r="F3219" s="22" t="e">
        <f>VLOOKUP($A3219,TAB_AMORTIZACAO_U[[Q_DIAS_U_PARC_TIR]:[V_FUT_U_PCPL-02]], F$5, FALSE)</f>
        <v>#N/A</v>
      </c>
      <c r="H3219" s="20">
        <f t="shared" si="257"/>
        <v>0</v>
      </c>
      <c r="I3219" s="21">
        <f t="shared" si="258"/>
        <v>0</v>
      </c>
      <c r="J3219" s="22" t="e">
        <f>VLOOKUP($A3219, TAB_JUROS_C[[DIAS_CORRIDOS]:[V_FUT_UTEIS]], J$5, FALSE)</f>
        <v>#N/A</v>
      </c>
      <c r="K3219" s="22" t="e">
        <f>VLOOKUP($A3219, TAB_CORRECAO_C[[DIAS_CORRIDOS]:[V_FUT_UTEIS]],K$5, FALSE)</f>
        <v>#N/A</v>
      </c>
      <c r="L3219" s="22" t="e">
        <f>VLOOKUP($A3219, TAB_AMORTIZACAO_C[[DIAS_CORRIDOS]:[V_FUT_UTEIS]], L$5, FALSE)</f>
        <v>#N/A</v>
      </c>
    </row>
    <row r="3220" spans="1:12" hidden="1">
      <c r="A3220" s="19">
        <f t="shared" si="259"/>
        <v>3214</v>
      </c>
      <c r="B3220" s="20">
        <f t="shared" si="255"/>
        <v>0</v>
      </c>
      <c r="C3220" s="21">
        <f t="shared" si="256"/>
        <v>0</v>
      </c>
      <c r="D3220" s="22" t="e">
        <f>VLOOKUP($A3220, TAB_JUROS_U[[Q_DIAS_U_PARC_TIR]:[V_FUT_U_JURS CENARIO]], D$5, FALSE)</f>
        <v>#N/A</v>
      </c>
      <c r="E3220" s="22" t="e">
        <f>VLOOKUP($A3220,TAB_CORRECAO_U[[Q_DIAS_U_PARC_TIR]:[V_FUT_U_CORC-02]],E$5, FALSE)</f>
        <v>#N/A</v>
      </c>
      <c r="F3220" s="22" t="e">
        <f>VLOOKUP($A3220,TAB_AMORTIZACAO_U[[Q_DIAS_U_PARC_TIR]:[V_FUT_U_PCPL-02]], F$5, FALSE)</f>
        <v>#N/A</v>
      </c>
      <c r="H3220" s="20">
        <f t="shared" si="257"/>
        <v>0</v>
      </c>
      <c r="I3220" s="21">
        <f t="shared" si="258"/>
        <v>0</v>
      </c>
      <c r="J3220" s="22" t="e">
        <f>VLOOKUP($A3220, TAB_JUROS_C[[DIAS_CORRIDOS]:[V_FUT_UTEIS]], J$5, FALSE)</f>
        <v>#N/A</v>
      </c>
      <c r="K3220" s="22" t="e">
        <f>VLOOKUP($A3220, TAB_CORRECAO_C[[DIAS_CORRIDOS]:[V_FUT_UTEIS]],K$5, FALSE)</f>
        <v>#N/A</v>
      </c>
      <c r="L3220" s="22" t="e">
        <f>VLOOKUP($A3220, TAB_AMORTIZACAO_C[[DIAS_CORRIDOS]:[V_FUT_UTEIS]], L$5, FALSE)</f>
        <v>#N/A</v>
      </c>
    </row>
    <row r="3221" spans="1:12" hidden="1">
      <c r="A3221" s="19">
        <f t="shared" si="259"/>
        <v>3215</v>
      </c>
      <c r="B3221" s="20">
        <f t="shared" si="255"/>
        <v>0</v>
      </c>
      <c r="C3221" s="21">
        <f t="shared" si="256"/>
        <v>0</v>
      </c>
      <c r="D3221" s="22" t="e">
        <f>VLOOKUP($A3221, TAB_JUROS_U[[Q_DIAS_U_PARC_TIR]:[V_FUT_U_JURS CENARIO]], D$5, FALSE)</f>
        <v>#N/A</v>
      </c>
      <c r="E3221" s="22" t="e">
        <f>VLOOKUP($A3221,TAB_CORRECAO_U[[Q_DIAS_U_PARC_TIR]:[V_FUT_U_CORC-02]],E$5, FALSE)</f>
        <v>#N/A</v>
      </c>
      <c r="F3221" s="22" t="e">
        <f>VLOOKUP($A3221,TAB_AMORTIZACAO_U[[Q_DIAS_U_PARC_TIR]:[V_FUT_U_PCPL-02]], F$5, FALSE)</f>
        <v>#N/A</v>
      </c>
      <c r="H3221" s="20">
        <f t="shared" si="257"/>
        <v>0</v>
      </c>
      <c r="I3221" s="21">
        <f t="shared" si="258"/>
        <v>0</v>
      </c>
      <c r="J3221" s="22" t="e">
        <f>VLOOKUP($A3221, TAB_JUROS_C[[DIAS_CORRIDOS]:[V_FUT_UTEIS]], J$5, FALSE)</f>
        <v>#N/A</v>
      </c>
      <c r="K3221" s="22" t="e">
        <f>VLOOKUP($A3221, TAB_CORRECAO_C[[DIAS_CORRIDOS]:[V_FUT_UTEIS]],K$5, FALSE)</f>
        <v>#N/A</v>
      </c>
      <c r="L3221" s="22" t="e">
        <f>VLOOKUP($A3221, TAB_AMORTIZACAO_C[[DIAS_CORRIDOS]:[V_FUT_UTEIS]], L$5, FALSE)</f>
        <v>#N/A</v>
      </c>
    </row>
    <row r="3222" spans="1:12" hidden="1">
      <c r="A3222" s="19">
        <f t="shared" si="259"/>
        <v>3216</v>
      </c>
      <c r="B3222" s="20">
        <f t="shared" si="255"/>
        <v>0</v>
      </c>
      <c r="C3222" s="21">
        <f t="shared" si="256"/>
        <v>0</v>
      </c>
      <c r="D3222" s="22" t="e">
        <f>VLOOKUP($A3222, TAB_JUROS_U[[Q_DIAS_U_PARC_TIR]:[V_FUT_U_JURS CENARIO]], D$5, FALSE)</f>
        <v>#N/A</v>
      </c>
      <c r="E3222" s="22" t="e">
        <f>VLOOKUP($A3222,TAB_CORRECAO_U[[Q_DIAS_U_PARC_TIR]:[V_FUT_U_CORC-02]],E$5, FALSE)</f>
        <v>#N/A</v>
      </c>
      <c r="F3222" s="22" t="e">
        <f>VLOOKUP($A3222,TAB_AMORTIZACAO_U[[Q_DIAS_U_PARC_TIR]:[V_FUT_U_PCPL-02]], F$5, FALSE)</f>
        <v>#N/A</v>
      </c>
      <c r="H3222" s="20">
        <f t="shared" si="257"/>
        <v>0</v>
      </c>
      <c r="I3222" s="21">
        <f t="shared" si="258"/>
        <v>0</v>
      </c>
      <c r="J3222" s="22" t="e">
        <f>VLOOKUP($A3222, TAB_JUROS_C[[DIAS_CORRIDOS]:[V_FUT_UTEIS]], J$5, FALSE)</f>
        <v>#N/A</v>
      </c>
      <c r="K3222" s="22" t="e">
        <f>VLOOKUP($A3222, TAB_CORRECAO_C[[DIAS_CORRIDOS]:[V_FUT_UTEIS]],K$5, FALSE)</f>
        <v>#N/A</v>
      </c>
      <c r="L3222" s="22" t="e">
        <f>VLOOKUP($A3222, TAB_AMORTIZACAO_C[[DIAS_CORRIDOS]:[V_FUT_UTEIS]], L$5, FALSE)</f>
        <v>#N/A</v>
      </c>
    </row>
    <row r="3223" spans="1:12" hidden="1">
      <c r="A3223" s="19">
        <f t="shared" si="259"/>
        <v>3217</v>
      </c>
      <c r="B3223" s="20">
        <f t="shared" si="255"/>
        <v>0</v>
      </c>
      <c r="C3223" s="21">
        <f t="shared" si="256"/>
        <v>0</v>
      </c>
      <c r="D3223" s="22" t="e">
        <f>VLOOKUP($A3223, TAB_JUROS_U[[Q_DIAS_U_PARC_TIR]:[V_FUT_U_JURS CENARIO]], D$5, FALSE)</f>
        <v>#N/A</v>
      </c>
      <c r="E3223" s="22" t="e">
        <f>VLOOKUP($A3223,TAB_CORRECAO_U[[Q_DIAS_U_PARC_TIR]:[V_FUT_U_CORC-02]],E$5, FALSE)</f>
        <v>#N/A</v>
      </c>
      <c r="F3223" s="22" t="e">
        <f>VLOOKUP($A3223,TAB_AMORTIZACAO_U[[Q_DIAS_U_PARC_TIR]:[V_FUT_U_PCPL-02]], F$5, FALSE)</f>
        <v>#N/A</v>
      </c>
      <c r="H3223" s="20">
        <f t="shared" si="257"/>
        <v>0</v>
      </c>
      <c r="I3223" s="21">
        <f t="shared" si="258"/>
        <v>0</v>
      </c>
      <c r="J3223" s="22" t="e">
        <f>VLOOKUP($A3223, TAB_JUROS_C[[DIAS_CORRIDOS]:[V_FUT_UTEIS]], J$5, FALSE)</f>
        <v>#N/A</v>
      </c>
      <c r="K3223" s="22" t="e">
        <f>VLOOKUP($A3223, TAB_CORRECAO_C[[DIAS_CORRIDOS]:[V_FUT_UTEIS]],K$5, FALSE)</f>
        <v>#N/A</v>
      </c>
      <c r="L3223" s="22" t="e">
        <f>VLOOKUP($A3223, TAB_AMORTIZACAO_C[[DIAS_CORRIDOS]:[V_FUT_UTEIS]], L$5, FALSE)</f>
        <v>#N/A</v>
      </c>
    </row>
    <row r="3224" spans="1:12" hidden="1">
      <c r="A3224" s="19">
        <f t="shared" si="259"/>
        <v>3218</v>
      </c>
      <c r="B3224" s="20">
        <f t="shared" si="255"/>
        <v>0</v>
      </c>
      <c r="C3224" s="21">
        <f t="shared" si="256"/>
        <v>0</v>
      </c>
      <c r="D3224" s="22" t="e">
        <f>VLOOKUP($A3224, TAB_JUROS_U[[Q_DIAS_U_PARC_TIR]:[V_FUT_U_JURS CENARIO]], D$5, FALSE)</f>
        <v>#N/A</v>
      </c>
      <c r="E3224" s="22" t="e">
        <f>VLOOKUP($A3224,TAB_CORRECAO_U[[Q_DIAS_U_PARC_TIR]:[V_FUT_U_CORC-02]],E$5, FALSE)</f>
        <v>#N/A</v>
      </c>
      <c r="F3224" s="22" t="e">
        <f>VLOOKUP($A3224,TAB_AMORTIZACAO_U[[Q_DIAS_U_PARC_TIR]:[V_FUT_U_PCPL-02]], F$5, FALSE)</f>
        <v>#N/A</v>
      </c>
      <c r="H3224" s="20">
        <f t="shared" si="257"/>
        <v>0</v>
      </c>
      <c r="I3224" s="21">
        <f t="shared" si="258"/>
        <v>0</v>
      </c>
      <c r="J3224" s="22" t="e">
        <f>VLOOKUP($A3224, TAB_JUROS_C[[DIAS_CORRIDOS]:[V_FUT_UTEIS]], J$5, FALSE)</f>
        <v>#N/A</v>
      </c>
      <c r="K3224" s="22" t="e">
        <f>VLOOKUP($A3224, TAB_CORRECAO_C[[DIAS_CORRIDOS]:[V_FUT_UTEIS]],K$5, FALSE)</f>
        <v>#N/A</v>
      </c>
      <c r="L3224" s="22" t="e">
        <f>VLOOKUP($A3224, TAB_AMORTIZACAO_C[[DIAS_CORRIDOS]:[V_FUT_UTEIS]], L$5, FALSE)</f>
        <v>#N/A</v>
      </c>
    </row>
    <row r="3225" spans="1:12" hidden="1">
      <c r="A3225" s="19">
        <f t="shared" si="259"/>
        <v>3219</v>
      </c>
      <c r="B3225" s="20">
        <f t="shared" si="255"/>
        <v>0</v>
      </c>
      <c r="C3225" s="21">
        <f t="shared" si="256"/>
        <v>0</v>
      </c>
      <c r="D3225" s="22" t="e">
        <f>VLOOKUP($A3225, TAB_JUROS_U[[Q_DIAS_U_PARC_TIR]:[V_FUT_U_JURS CENARIO]], D$5, FALSE)</f>
        <v>#N/A</v>
      </c>
      <c r="E3225" s="22" t="e">
        <f>VLOOKUP($A3225,TAB_CORRECAO_U[[Q_DIAS_U_PARC_TIR]:[V_FUT_U_CORC-02]],E$5, FALSE)</f>
        <v>#N/A</v>
      </c>
      <c r="F3225" s="22" t="e">
        <f>VLOOKUP($A3225,TAB_AMORTIZACAO_U[[Q_DIAS_U_PARC_TIR]:[V_FUT_U_PCPL-02]], F$5, FALSE)</f>
        <v>#N/A</v>
      </c>
      <c r="H3225" s="20">
        <f t="shared" si="257"/>
        <v>0</v>
      </c>
      <c r="I3225" s="21">
        <f t="shared" si="258"/>
        <v>0</v>
      </c>
      <c r="J3225" s="22" t="e">
        <f>VLOOKUP($A3225, TAB_JUROS_C[[DIAS_CORRIDOS]:[V_FUT_UTEIS]], J$5, FALSE)</f>
        <v>#N/A</v>
      </c>
      <c r="K3225" s="22" t="e">
        <f>VLOOKUP($A3225, TAB_CORRECAO_C[[DIAS_CORRIDOS]:[V_FUT_UTEIS]],K$5, FALSE)</f>
        <v>#N/A</v>
      </c>
      <c r="L3225" s="22" t="e">
        <f>VLOOKUP($A3225, TAB_AMORTIZACAO_C[[DIAS_CORRIDOS]:[V_FUT_UTEIS]], L$5, FALSE)</f>
        <v>#N/A</v>
      </c>
    </row>
    <row r="3226" spans="1:12" hidden="1">
      <c r="A3226" s="19">
        <f t="shared" si="259"/>
        <v>3220</v>
      </c>
      <c r="B3226" s="20">
        <f t="shared" si="255"/>
        <v>0</v>
      </c>
      <c r="C3226" s="21">
        <f t="shared" si="256"/>
        <v>0</v>
      </c>
      <c r="D3226" s="22" t="e">
        <f>VLOOKUP($A3226, TAB_JUROS_U[[Q_DIAS_U_PARC_TIR]:[V_FUT_U_JURS CENARIO]], D$5, FALSE)</f>
        <v>#N/A</v>
      </c>
      <c r="E3226" s="22" t="e">
        <f>VLOOKUP($A3226,TAB_CORRECAO_U[[Q_DIAS_U_PARC_TIR]:[V_FUT_U_CORC-02]],E$5, FALSE)</f>
        <v>#N/A</v>
      </c>
      <c r="F3226" s="22" t="e">
        <f>VLOOKUP($A3226,TAB_AMORTIZACAO_U[[Q_DIAS_U_PARC_TIR]:[V_FUT_U_PCPL-02]], F$5, FALSE)</f>
        <v>#N/A</v>
      </c>
      <c r="H3226" s="20">
        <f t="shared" si="257"/>
        <v>0</v>
      </c>
      <c r="I3226" s="21">
        <f t="shared" si="258"/>
        <v>0</v>
      </c>
      <c r="J3226" s="22" t="e">
        <f>VLOOKUP($A3226, TAB_JUROS_C[[DIAS_CORRIDOS]:[V_FUT_UTEIS]], J$5, FALSE)</f>
        <v>#N/A</v>
      </c>
      <c r="K3226" s="22" t="e">
        <f>VLOOKUP($A3226, TAB_CORRECAO_C[[DIAS_CORRIDOS]:[V_FUT_UTEIS]],K$5, FALSE)</f>
        <v>#N/A</v>
      </c>
      <c r="L3226" s="22" t="e">
        <f>VLOOKUP($A3226, TAB_AMORTIZACAO_C[[DIAS_CORRIDOS]:[V_FUT_UTEIS]], L$5, FALSE)</f>
        <v>#N/A</v>
      </c>
    </row>
    <row r="3227" spans="1:12" hidden="1">
      <c r="A3227" s="19">
        <f t="shared" si="259"/>
        <v>3221</v>
      </c>
      <c r="B3227" s="20">
        <f t="shared" si="255"/>
        <v>0</v>
      </c>
      <c r="C3227" s="21">
        <f t="shared" si="256"/>
        <v>0</v>
      </c>
      <c r="D3227" s="22" t="e">
        <f>VLOOKUP($A3227, TAB_JUROS_U[[Q_DIAS_U_PARC_TIR]:[V_FUT_U_JURS CENARIO]], D$5, FALSE)</f>
        <v>#N/A</v>
      </c>
      <c r="E3227" s="22" t="e">
        <f>VLOOKUP($A3227,TAB_CORRECAO_U[[Q_DIAS_U_PARC_TIR]:[V_FUT_U_CORC-02]],E$5, FALSE)</f>
        <v>#N/A</v>
      </c>
      <c r="F3227" s="22" t="e">
        <f>VLOOKUP($A3227,TAB_AMORTIZACAO_U[[Q_DIAS_U_PARC_TIR]:[V_FUT_U_PCPL-02]], F$5, FALSE)</f>
        <v>#N/A</v>
      </c>
      <c r="H3227" s="20">
        <f t="shared" si="257"/>
        <v>0</v>
      </c>
      <c r="I3227" s="21">
        <f t="shared" si="258"/>
        <v>0</v>
      </c>
      <c r="J3227" s="22" t="e">
        <f>VLOOKUP($A3227, TAB_JUROS_C[[DIAS_CORRIDOS]:[V_FUT_UTEIS]], J$5, FALSE)</f>
        <v>#N/A</v>
      </c>
      <c r="K3227" s="22" t="e">
        <f>VLOOKUP($A3227, TAB_CORRECAO_C[[DIAS_CORRIDOS]:[V_FUT_UTEIS]],K$5, FALSE)</f>
        <v>#N/A</v>
      </c>
      <c r="L3227" s="22" t="e">
        <f>VLOOKUP($A3227, TAB_AMORTIZACAO_C[[DIAS_CORRIDOS]:[V_FUT_UTEIS]], L$5, FALSE)</f>
        <v>#N/A</v>
      </c>
    </row>
    <row r="3228" spans="1:12" hidden="1">
      <c r="A3228" s="19">
        <f t="shared" si="259"/>
        <v>3222</v>
      </c>
      <c r="B3228" s="20">
        <f t="shared" si="255"/>
        <v>0</v>
      </c>
      <c r="C3228" s="21">
        <f t="shared" si="256"/>
        <v>0</v>
      </c>
      <c r="D3228" s="22" t="e">
        <f>VLOOKUP($A3228, TAB_JUROS_U[[Q_DIAS_U_PARC_TIR]:[V_FUT_U_JURS CENARIO]], D$5, FALSE)</f>
        <v>#N/A</v>
      </c>
      <c r="E3228" s="22" t="e">
        <f>VLOOKUP($A3228,TAB_CORRECAO_U[[Q_DIAS_U_PARC_TIR]:[V_FUT_U_CORC-02]],E$5, FALSE)</f>
        <v>#N/A</v>
      </c>
      <c r="F3228" s="22" t="e">
        <f>VLOOKUP($A3228,TAB_AMORTIZACAO_U[[Q_DIAS_U_PARC_TIR]:[V_FUT_U_PCPL-02]], F$5, FALSE)</f>
        <v>#N/A</v>
      </c>
      <c r="H3228" s="20">
        <f t="shared" si="257"/>
        <v>0</v>
      </c>
      <c r="I3228" s="21">
        <f t="shared" si="258"/>
        <v>0</v>
      </c>
      <c r="J3228" s="22" t="e">
        <f>VLOOKUP($A3228, TAB_JUROS_C[[DIAS_CORRIDOS]:[V_FUT_UTEIS]], J$5, FALSE)</f>
        <v>#N/A</v>
      </c>
      <c r="K3228" s="22" t="e">
        <f>VLOOKUP($A3228, TAB_CORRECAO_C[[DIAS_CORRIDOS]:[V_FUT_UTEIS]],K$5, FALSE)</f>
        <v>#N/A</v>
      </c>
      <c r="L3228" s="22" t="e">
        <f>VLOOKUP($A3228, TAB_AMORTIZACAO_C[[DIAS_CORRIDOS]:[V_FUT_UTEIS]], L$5, FALSE)</f>
        <v>#N/A</v>
      </c>
    </row>
    <row r="3229" spans="1:12" hidden="1">
      <c r="A3229" s="19">
        <f t="shared" si="259"/>
        <v>3223</v>
      </c>
      <c r="B3229" s="20">
        <f t="shared" si="255"/>
        <v>0</v>
      </c>
      <c r="C3229" s="21">
        <f t="shared" si="256"/>
        <v>0</v>
      </c>
      <c r="D3229" s="22" t="e">
        <f>VLOOKUP($A3229, TAB_JUROS_U[[Q_DIAS_U_PARC_TIR]:[V_FUT_U_JURS CENARIO]], D$5, FALSE)</f>
        <v>#N/A</v>
      </c>
      <c r="E3229" s="22" t="e">
        <f>VLOOKUP($A3229,TAB_CORRECAO_U[[Q_DIAS_U_PARC_TIR]:[V_FUT_U_CORC-02]],E$5, FALSE)</f>
        <v>#N/A</v>
      </c>
      <c r="F3229" s="22" t="e">
        <f>VLOOKUP($A3229,TAB_AMORTIZACAO_U[[Q_DIAS_U_PARC_TIR]:[V_FUT_U_PCPL-02]], F$5, FALSE)</f>
        <v>#N/A</v>
      </c>
      <c r="H3229" s="20">
        <f t="shared" si="257"/>
        <v>0</v>
      </c>
      <c r="I3229" s="21">
        <f t="shared" si="258"/>
        <v>0</v>
      </c>
      <c r="J3229" s="22" t="e">
        <f>VLOOKUP($A3229, TAB_JUROS_C[[DIAS_CORRIDOS]:[V_FUT_UTEIS]], J$5, FALSE)</f>
        <v>#N/A</v>
      </c>
      <c r="K3229" s="22" t="e">
        <f>VLOOKUP($A3229, TAB_CORRECAO_C[[DIAS_CORRIDOS]:[V_FUT_UTEIS]],K$5, FALSE)</f>
        <v>#N/A</v>
      </c>
      <c r="L3229" s="22" t="e">
        <f>VLOOKUP($A3229, TAB_AMORTIZACAO_C[[DIAS_CORRIDOS]:[V_FUT_UTEIS]], L$5, FALSE)</f>
        <v>#N/A</v>
      </c>
    </row>
    <row r="3230" spans="1:12" hidden="1">
      <c r="A3230" s="19">
        <f t="shared" si="259"/>
        <v>3224</v>
      </c>
      <c r="B3230" s="20">
        <f t="shared" si="255"/>
        <v>0</v>
      </c>
      <c r="C3230" s="21">
        <f t="shared" si="256"/>
        <v>0</v>
      </c>
      <c r="D3230" s="22" t="e">
        <f>VLOOKUP($A3230, TAB_JUROS_U[[Q_DIAS_U_PARC_TIR]:[V_FUT_U_JURS CENARIO]], D$5, FALSE)</f>
        <v>#N/A</v>
      </c>
      <c r="E3230" s="22" t="e">
        <f>VLOOKUP($A3230,TAB_CORRECAO_U[[Q_DIAS_U_PARC_TIR]:[V_FUT_U_CORC-02]],E$5, FALSE)</f>
        <v>#N/A</v>
      </c>
      <c r="F3230" s="22" t="e">
        <f>VLOOKUP($A3230,TAB_AMORTIZACAO_U[[Q_DIAS_U_PARC_TIR]:[V_FUT_U_PCPL-02]], F$5, FALSE)</f>
        <v>#N/A</v>
      </c>
      <c r="H3230" s="20">
        <f t="shared" si="257"/>
        <v>0</v>
      </c>
      <c r="I3230" s="21">
        <f t="shared" si="258"/>
        <v>0</v>
      </c>
      <c r="J3230" s="22" t="e">
        <f>VLOOKUP($A3230, TAB_JUROS_C[[DIAS_CORRIDOS]:[V_FUT_UTEIS]], J$5, FALSE)</f>
        <v>#N/A</v>
      </c>
      <c r="K3230" s="22" t="e">
        <f>VLOOKUP($A3230, TAB_CORRECAO_C[[DIAS_CORRIDOS]:[V_FUT_UTEIS]],K$5, FALSE)</f>
        <v>#N/A</v>
      </c>
      <c r="L3230" s="22" t="e">
        <f>VLOOKUP($A3230, TAB_AMORTIZACAO_C[[DIAS_CORRIDOS]:[V_FUT_UTEIS]], L$5, FALSE)</f>
        <v>#N/A</v>
      </c>
    </row>
    <row r="3231" spans="1:12" hidden="1">
      <c r="A3231" s="19">
        <f t="shared" si="259"/>
        <v>3225</v>
      </c>
      <c r="B3231" s="20">
        <f t="shared" si="255"/>
        <v>0</v>
      </c>
      <c r="C3231" s="21">
        <f t="shared" si="256"/>
        <v>0</v>
      </c>
      <c r="D3231" s="22" t="e">
        <f>VLOOKUP($A3231, TAB_JUROS_U[[Q_DIAS_U_PARC_TIR]:[V_FUT_U_JURS CENARIO]], D$5, FALSE)</f>
        <v>#N/A</v>
      </c>
      <c r="E3231" s="22" t="e">
        <f>VLOOKUP($A3231,TAB_CORRECAO_U[[Q_DIAS_U_PARC_TIR]:[V_FUT_U_CORC-02]],E$5, FALSE)</f>
        <v>#N/A</v>
      </c>
      <c r="F3231" s="22" t="e">
        <f>VLOOKUP($A3231,TAB_AMORTIZACAO_U[[Q_DIAS_U_PARC_TIR]:[V_FUT_U_PCPL-02]], F$5, FALSE)</f>
        <v>#N/A</v>
      </c>
      <c r="H3231" s="20">
        <f t="shared" si="257"/>
        <v>0</v>
      </c>
      <c r="I3231" s="21">
        <f t="shared" si="258"/>
        <v>0</v>
      </c>
      <c r="J3231" s="22" t="e">
        <f>VLOOKUP($A3231, TAB_JUROS_C[[DIAS_CORRIDOS]:[V_FUT_UTEIS]], J$5, FALSE)</f>
        <v>#N/A</v>
      </c>
      <c r="K3231" s="22" t="e">
        <f>VLOOKUP($A3231, TAB_CORRECAO_C[[DIAS_CORRIDOS]:[V_FUT_UTEIS]],K$5, FALSE)</f>
        <v>#N/A</v>
      </c>
      <c r="L3231" s="22" t="e">
        <f>VLOOKUP($A3231, TAB_AMORTIZACAO_C[[DIAS_CORRIDOS]:[V_FUT_UTEIS]], L$5, FALSE)</f>
        <v>#N/A</v>
      </c>
    </row>
    <row r="3232" spans="1:12" hidden="1">
      <c r="A3232" s="19">
        <f t="shared" si="259"/>
        <v>3226</v>
      </c>
      <c r="B3232" s="20">
        <f t="shared" si="255"/>
        <v>0</v>
      </c>
      <c r="C3232" s="21">
        <f t="shared" si="256"/>
        <v>0</v>
      </c>
      <c r="D3232" s="22" t="e">
        <f>VLOOKUP($A3232, TAB_JUROS_U[[Q_DIAS_U_PARC_TIR]:[V_FUT_U_JURS CENARIO]], D$5, FALSE)</f>
        <v>#N/A</v>
      </c>
      <c r="E3232" s="22" t="e">
        <f>VLOOKUP($A3232,TAB_CORRECAO_U[[Q_DIAS_U_PARC_TIR]:[V_FUT_U_CORC-02]],E$5, FALSE)</f>
        <v>#N/A</v>
      </c>
      <c r="F3232" s="22" t="e">
        <f>VLOOKUP($A3232,TAB_AMORTIZACAO_U[[Q_DIAS_U_PARC_TIR]:[V_FUT_U_PCPL-02]], F$5, FALSE)</f>
        <v>#N/A</v>
      </c>
      <c r="H3232" s="20">
        <f t="shared" si="257"/>
        <v>0</v>
      </c>
      <c r="I3232" s="21">
        <f t="shared" si="258"/>
        <v>0</v>
      </c>
      <c r="J3232" s="22" t="e">
        <f>VLOOKUP($A3232, TAB_JUROS_C[[DIAS_CORRIDOS]:[V_FUT_UTEIS]], J$5, FALSE)</f>
        <v>#N/A</v>
      </c>
      <c r="K3232" s="22" t="e">
        <f>VLOOKUP($A3232, TAB_CORRECAO_C[[DIAS_CORRIDOS]:[V_FUT_UTEIS]],K$5, FALSE)</f>
        <v>#N/A</v>
      </c>
      <c r="L3232" s="22" t="e">
        <f>VLOOKUP($A3232, TAB_AMORTIZACAO_C[[DIAS_CORRIDOS]:[V_FUT_UTEIS]], L$5, FALSE)</f>
        <v>#N/A</v>
      </c>
    </row>
    <row r="3233" spans="1:12" hidden="1">
      <c r="A3233" s="19">
        <f t="shared" si="259"/>
        <v>3227</v>
      </c>
      <c r="B3233" s="20">
        <f t="shared" si="255"/>
        <v>0</v>
      </c>
      <c r="C3233" s="21">
        <f t="shared" si="256"/>
        <v>0</v>
      </c>
      <c r="D3233" s="22" t="e">
        <f>VLOOKUP($A3233, TAB_JUROS_U[[Q_DIAS_U_PARC_TIR]:[V_FUT_U_JURS CENARIO]], D$5, FALSE)</f>
        <v>#N/A</v>
      </c>
      <c r="E3233" s="22" t="e">
        <f>VLOOKUP($A3233,TAB_CORRECAO_U[[Q_DIAS_U_PARC_TIR]:[V_FUT_U_CORC-02]],E$5, FALSE)</f>
        <v>#N/A</v>
      </c>
      <c r="F3233" s="22" t="e">
        <f>VLOOKUP($A3233,TAB_AMORTIZACAO_U[[Q_DIAS_U_PARC_TIR]:[V_FUT_U_PCPL-02]], F$5, FALSE)</f>
        <v>#N/A</v>
      </c>
      <c r="H3233" s="20">
        <f t="shared" si="257"/>
        <v>0</v>
      </c>
      <c r="I3233" s="21">
        <f t="shared" si="258"/>
        <v>0</v>
      </c>
      <c r="J3233" s="22" t="e">
        <f>VLOOKUP($A3233, TAB_JUROS_C[[DIAS_CORRIDOS]:[V_FUT_UTEIS]], J$5, FALSE)</f>
        <v>#N/A</v>
      </c>
      <c r="K3233" s="22" t="e">
        <f>VLOOKUP($A3233, TAB_CORRECAO_C[[DIAS_CORRIDOS]:[V_FUT_UTEIS]],K$5, FALSE)</f>
        <v>#N/A</v>
      </c>
      <c r="L3233" s="22" t="e">
        <f>VLOOKUP($A3233, TAB_AMORTIZACAO_C[[DIAS_CORRIDOS]:[V_FUT_UTEIS]], L$5, FALSE)</f>
        <v>#N/A</v>
      </c>
    </row>
    <row r="3234" spans="1:12" hidden="1">
      <c r="A3234" s="19">
        <f t="shared" si="259"/>
        <v>3228</v>
      </c>
      <c r="B3234" s="20">
        <f t="shared" si="255"/>
        <v>0</v>
      </c>
      <c r="C3234" s="21">
        <f t="shared" si="256"/>
        <v>0</v>
      </c>
      <c r="D3234" s="22" t="e">
        <f>VLOOKUP($A3234, TAB_JUROS_U[[Q_DIAS_U_PARC_TIR]:[V_FUT_U_JURS CENARIO]], D$5, FALSE)</f>
        <v>#N/A</v>
      </c>
      <c r="E3234" s="22" t="e">
        <f>VLOOKUP($A3234,TAB_CORRECAO_U[[Q_DIAS_U_PARC_TIR]:[V_FUT_U_CORC-02]],E$5, FALSE)</f>
        <v>#N/A</v>
      </c>
      <c r="F3234" s="22" t="e">
        <f>VLOOKUP($A3234,TAB_AMORTIZACAO_U[[Q_DIAS_U_PARC_TIR]:[V_FUT_U_PCPL-02]], F$5, FALSE)</f>
        <v>#N/A</v>
      </c>
      <c r="H3234" s="20">
        <f t="shared" si="257"/>
        <v>0</v>
      </c>
      <c r="I3234" s="21">
        <f t="shared" si="258"/>
        <v>0</v>
      </c>
      <c r="J3234" s="22" t="e">
        <f>VLOOKUP($A3234, TAB_JUROS_C[[DIAS_CORRIDOS]:[V_FUT_UTEIS]], J$5, FALSE)</f>
        <v>#N/A</v>
      </c>
      <c r="K3234" s="22" t="e">
        <f>VLOOKUP($A3234, TAB_CORRECAO_C[[DIAS_CORRIDOS]:[V_FUT_UTEIS]],K$5, FALSE)</f>
        <v>#N/A</v>
      </c>
      <c r="L3234" s="22" t="e">
        <f>VLOOKUP($A3234, TAB_AMORTIZACAO_C[[DIAS_CORRIDOS]:[V_FUT_UTEIS]], L$5, FALSE)</f>
        <v>#N/A</v>
      </c>
    </row>
    <row r="3235" spans="1:12" hidden="1">
      <c r="A3235" s="19">
        <f t="shared" si="259"/>
        <v>3229</v>
      </c>
      <c r="B3235" s="20">
        <f t="shared" si="255"/>
        <v>0</v>
      </c>
      <c r="C3235" s="21">
        <f t="shared" si="256"/>
        <v>0</v>
      </c>
      <c r="D3235" s="22" t="e">
        <f>VLOOKUP($A3235, TAB_JUROS_U[[Q_DIAS_U_PARC_TIR]:[V_FUT_U_JURS CENARIO]], D$5, FALSE)</f>
        <v>#N/A</v>
      </c>
      <c r="E3235" s="22" t="e">
        <f>VLOOKUP($A3235,TAB_CORRECAO_U[[Q_DIAS_U_PARC_TIR]:[V_FUT_U_CORC-02]],E$5, FALSE)</f>
        <v>#N/A</v>
      </c>
      <c r="F3235" s="22" t="e">
        <f>VLOOKUP($A3235,TAB_AMORTIZACAO_U[[Q_DIAS_U_PARC_TIR]:[V_FUT_U_PCPL-02]], F$5, FALSE)</f>
        <v>#N/A</v>
      </c>
      <c r="H3235" s="20">
        <f t="shared" si="257"/>
        <v>0</v>
      </c>
      <c r="I3235" s="21">
        <f t="shared" si="258"/>
        <v>0</v>
      </c>
      <c r="J3235" s="22" t="e">
        <f>VLOOKUP($A3235, TAB_JUROS_C[[DIAS_CORRIDOS]:[V_FUT_UTEIS]], J$5, FALSE)</f>
        <v>#N/A</v>
      </c>
      <c r="K3235" s="22" t="e">
        <f>VLOOKUP($A3235, TAB_CORRECAO_C[[DIAS_CORRIDOS]:[V_FUT_UTEIS]],K$5, FALSE)</f>
        <v>#N/A</v>
      </c>
      <c r="L3235" s="22" t="e">
        <f>VLOOKUP($A3235, TAB_AMORTIZACAO_C[[DIAS_CORRIDOS]:[V_FUT_UTEIS]], L$5, FALSE)</f>
        <v>#N/A</v>
      </c>
    </row>
    <row r="3236" spans="1:12" hidden="1">
      <c r="A3236" s="19">
        <f t="shared" si="259"/>
        <v>3230</v>
      </c>
      <c r="B3236" s="20">
        <f t="shared" si="255"/>
        <v>0</v>
      </c>
      <c r="C3236" s="21">
        <f t="shared" si="256"/>
        <v>0</v>
      </c>
      <c r="D3236" s="22" t="e">
        <f>VLOOKUP($A3236, TAB_JUROS_U[[Q_DIAS_U_PARC_TIR]:[V_FUT_U_JURS CENARIO]], D$5, FALSE)</f>
        <v>#N/A</v>
      </c>
      <c r="E3236" s="22" t="e">
        <f>VLOOKUP($A3236,TAB_CORRECAO_U[[Q_DIAS_U_PARC_TIR]:[V_FUT_U_CORC-02]],E$5, FALSE)</f>
        <v>#N/A</v>
      </c>
      <c r="F3236" s="22" t="e">
        <f>VLOOKUP($A3236,TAB_AMORTIZACAO_U[[Q_DIAS_U_PARC_TIR]:[V_FUT_U_PCPL-02]], F$5, FALSE)</f>
        <v>#N/A</v>
      </c>
      <c r="H3236" s="20">
        <f t="shared" si="257"/>
        <v>0</v>
      </c>
      <c r="I3236" s="21">
        <f t="shared" si="258"/>
        <v>0</v>
      </c>
      <c r="J3236" s="22" t="e">
        <f>VLOOKUP($A3236, TAB_JUROS_C[[DIAS_CORRIDOS]:[V_FUT_UTEIS]], J$5, FALSE)</f>
        <v>#N/A</v>
      </c>
      <c r="K3236" s="22" t="e">
        <f>VLOOKUP($A3236, TAB_CORRECAO_C[[DIAS_CORRIDOS]:[V_FUT_UTEIS]],K$5, FALSE)</f>
        <v>#N/A</v>
      </c>
      <c r="L3236" s="22" t="e">
        <f>VLOOKUP($A3236, TAB_AMORTIZACAO_C[[DIAS_CORRIDOS]:[V_FUT_UTEIS]], L$5, FALSE)</f>
        <v>#N/A</v>
      </c>
    </row>
    <row r="3237" spans="1:12" hidden="1">
      <c r="A3237" s="19">
        <f t="shared" si="259"/>
        <v>3231</v>
      </c>
      <c r="B3237" s="20">
        <f t="shared" si="255"/>
        <v>0</v>
      </c>
      <c r="C3237" s="21">
        <f t="shared" si="256"/>
        <v>0</v>
      </c>
      <c r="D3237" s="22" t="e">
        <f>VLOOKUP($A3237, TAB_JUROS_U[[Q_DIAS_U_PARC_TIR]:[V_FUT_U_JURS CENARIO]], D$5, FALSE)</f>
        <v>#N/A</v>
      </c>
      <c r="E3237" s="22" t="e">
        <f>VLOOKUP($A3237,TAB_CORRECAO_U[[Q_DIAS_U_PARC_TIR]:[V_FUT_U_CORC-02]],E$5, FALSE)</f>
        <v>#N/A</v>
      </c>
      <c r="F3237" s="22" t="e">
        <f>VLOOKUP($A3237,TAB_AMORTIZACAO_U[[Q_DIAS_U_PARC_TIR]:[V_FUT_U_PCPL-02]], F$5, FALSE)</f>
        <v>#N/A</v>
      </c>
      <c r="H3237" s="20">
        <f t="shared" si="257"/>
        <v>0</v>
      </c>
      <c r="I3237" s="21">
        <f t="shared" si="258"/>
        <v>0</v>
      </c>
      <c r="J3237" s="22" t="e">
        <f>VLOOKUP($A3237, TAB_JUROS_C[[DIAS_CORRIDOS]:[V_FUT_UTEIS]], J$5, FALSE)</f>
        <v>#N/A</v>
      </c>
      <c r="K3237" s="22" t="e">
        <f>VLOOKUP($A3237, TAB_CORRECAO_C[[DIAS_CORRIDOS]:[V_FUT_UTEIS]],K$5, FALSE)</f>
        <v>#N/A</v>
      </c>
      <c r="L3237" s="22" t="e">
        <f>VLOOKUP($A3237, TAB_AMORTIZACAO_C[[DIAS_CORRIDOS]:[V_FUT_UTEIS]], L$5, FALSE)</f>
        <v>#N/A</v>
      </c>
    </row>
    <row r="3238" spans="1:12" hidden="1">
      <c r="A3238" s="19">
        <f t="shared" si="259"/>
        <v>3232</v>
      </c>
      <c r="B3238" s="20">
        <f t="shared" si="255"/>
        <v>0</v>
      </c>
      <c r="C3238" s="21">
        <f t="shared" si="256"/>
        <v>0</v>
      </c>
      <c r="D3238" s="22" t="e">
        <f>VLOOKUP($A3238, TAB_JUROS_U[[Q_DIAS_U_PARC_TIR]:[V_FUT_U_JURS CENARIO]], D$5, FALSE)</f>
        <v>#N/A</v>
      </c>
      <c r="E3238" s="22" t="e">
        <f>VLOOKUP($A3238,TAB_CORRECAO_U[[Q_DIAS_U_PARC_TIR]:[V_FUT_U_CORC-02]],E$5, FALSE)</f>
        <v>#N/A</v>
      </c>
      <c r="F3238" s="22" t="e">
        <f>VLOOKUP($A3238,TAB_AMORTIZACAO_U[[Q_DIAS_U_PARC_TIR]:[V_FUT_U_PCPL-02]], F$5, FALSE)</f>
        <v>#N/A</v>
      </c>
      <c r="H3238" s="20">
        <f t="shared" si="257"/>
        <v>0</v>
      </c>
      <c r="I3238" s="21">
        <f t="shared" si="258"/>
        <v>0</v>
      </c>
      <c r="J3238" s="22" t="e">
        <f>VLOOKUP($A3238, TAB_JUROS_C[[DIAS_CORRIDOS]:[V_FUT_UTEIS]], J$5, FALSE)</f>
        <v>#N/A</v>
      </c>
      <c r="K3238" s="22" t="e">
        <f>VLOOKUP($A3238, TAB_CORRECAO_C[[DIAS_CORRIDOS]:[V_FUT_UTEIS]],K$5, FALSE)</f>
        <v>#N/A</v>
      </c>
      <c r="L3238" s="22" t="e">
        <f>VLOOKUP($A3238, TAB_AMORTIZACAO_C[[DIAS_CORRIDOS]:[V_FUT_UTEIS]], L$5, FALSE)</f>
        <v>#N/A</v>
      </c>
    </row>
    <row r="3239" spans="1:12" hidden="1">
      <c r="A3239" s="19">
        <f t="shared" si="259"/>
        <v>3233</v>
      </c>
      <c r="B3239" s="20">
        <f t="shared" si="255"/>
        <v>0</v>
      </c>
      <c r="C3239" s="21">
        <f t="shared" si="256"/>
        <v>0</v>
      </c>
      <c r="D3239" s="22" t="e">
        <f>VLOOKUP($A3239, TAB_JUROS_U[[Q_DIAS_U_PARC_TIR]:[V_FUT_U_JURS CENARIO]], D$5, FALSE)</f>
        <v>#N/A</v>
      </c>
      <c r="E3239" s="22" t="e">
        <f>VLOOKUP($A3239,TAB_CORRECAO_U[[Q_DIAS_U_PARC_TIR]:[V_FUT_U_CORC-02]],E$5, FALSE)</f>
        <v>#N/A</v>
      </c>
      <c r="F3239" s="22" t="e">
        <f>VLOOKUP($A3239,TAB_AMORTIZACAO_U[[Q_DIAS_U_PARC_TIR]:[V_FUT_U_PCPL-02]], F$5, FALSE)</f>
        <v>#N/A</v>
      </c>
      <c r="H3239" s="20">
        <f t="shared" si="257"/>
        <v>0</v>
      </c>
      <c r="I3239" s="21">
        <f t="shared" si="258"/>
        <v>0</v>
      </c>
      <c r="J3239" s="22" t="e">
        <f>VLOOKUP($A3239, TAB_JUROS_C[[DIAS_CORRIDOS]:[V_FUT_UTEIS]], J$5, FALSE)</f>
        <v>#N/A</v>
      </c>
      <c r="K3239" s="22" t="e">
        <f>VLOOKUP($A3239, TAB_CORRECAO_C[[DIAS_CORRIDOS]:[V_FUT_UTEIS]],K$5, FALSE)</f>
        <v>#N/A</v>
      </c>
      <c r="L3239" s="22" t="e">
        <f>VLOOKUP($A3239, TAB_AMORTIZACAO_C[[DIAS_CORRIDOS]:[V_FUT_UTEIS]], L$5, FALSE)</f>
        <v>#N/A</v>
      </c>
    </row>
    <row r="3240" spans="1:12" hidden="1">
      <c r="A3240" s="19">
        <f t="shared" si="259"/>
        <v>3234</v>
      </c>
      <c r="B3240" s="20">
        <f t="shared" si="255"/>
        <v>0</v>
      </c>
      <c r="C3240" s="21">
        <f t="shared" si="256"/>
        <v>0</v>
      </c>
      <c r="D3240" s="22" t="e">
        <f>VLOOKUP($A3240, TAB_JUROS_U[[Q_DIAS_U_PARC_TIR]:[V_FUT_U_JURS CENARIO]], D$5, FALSE)</f>
        <v>#N/A</v>
      </c>
      <c r="E3240" s="22" t="e">
        <f>VLOOKUP($A3240,TAB_CORRECAO_U[[Q_DIAS_U_PARC_TIR]:[V_FUT_U_CORC-02]],E$5, FALSE)</f>
        <v>#N/A</v>
      </c>
      <c r="F3240" s="22" t="e">
        <f>VLOOKUP($A3240,TAB_AMORTIZACAO_U[[Q_DIAS_U_PARC_TIR]:[V_FUT_U_PCPL-02]], F$5, FALSE)</f>
        <v>#N/A</v>
      </c>
      <c r="H3240" s="20">
        <f t="shared" si="257"/>
        <v>0</v>
      </c>
      <c r="I3240" s="21">
        <f t="shared" si="258"/>
        <v>0</v>
      </c>
      <c r="J3240" s="22" t="e">
        <f>VLOOKUP($A3240, TAB_JUROS_C[[DIAS_CORRIDOS]:[V_FUT_UTEIS]], J$5, FALSE)</f>
        <v>#N/A</v>
      </c>
      <c r="K3240" s="22" t="e">
        <f>VLOOKUP($A3240, TAB_CORRECAO_C[[DIAS_CORRIDOS]:[V_FUT_UTEIS]],K$5, FALSE)</f>
        <v>#N/A</v>
      </c>
      <c r="L3240" s="22" t="e">
        <f>VLOOKUP($A3240, TAB_AMORTIZACAO_C[[DIAS_CORRIDOS]:[V_FUT_UTEIS]], L$5, FALSE)</f>
        <v>#N/A</v>
      </c>
    </row>
    <row r="3241" spans="1:12" hidden="1">
      <c r="A3241" s="19">
        <f t="shared" si="259"/>
        <v>3235</v>
      </c>
      <c r="B3241" s="20">
        <f t="shared" si="255"/>
        <v>0</v>
      </c>
      <c r="C3241" s="21">
        <f t="shared" si="256"/>
        <v>0</v>
      </c>
      <c r="D3241" s="22" t="e">
        <f>VLOOKUP($A3241, TAB_JUROS_U[[Q_DIAS_U_PARC_TIR]:[V_FUT_U_JURS CENARIO]], D$5, FALSE)</f>
        <v>#N/A</v>
      </c>
      <c r="E3241" s="22" t="e">
        <f>VLOOKUP($A3241,TAB_CORRECAO_U[[Q_DIAS_U_PARC_TIR]:[V_FUT_U_CORC-02]],E$5, FALSE)</f>
        <v>#N/A</v>
      </c>
      <c r="F3241" s="22" t="e">
        <f>VLOOKUP($A3241,TAB_AMORTIZACAO_U[[Q_DIAS_U_PARC_TIR]:[V_FUT_U_PCPL-02]], F$5, FALSE)</f>
        <v>#N/A</v>
      </c>
      <c r="H3241" s="20">
        <f t="shared" si="257"/>
        <v>0</v>
      </c>
      <c r="I3241" s="21">
        <f t="shared" si="258"/>
        <v>0</v>
      </c>
      <c r="J3241" s="22" t="e">
        <f>VLOOKUP($A3241, TAB_JUROS_C[[DIAS_CORRIDOS]:[V_FUT_UTEIS]], J$5, FALSE)</f>
        <v>#N/A</v>
      </c>
      <c r="K3241" s="22" t="e">
        <f>VLOOKUP($A3241, TAB_CORRECAO_C[[DIAS_CORRIDOS]:[V_FUT_UTEIS]],K$5, FALSE)</f>
        <v>#N/A</v>
      </c>
      <c r="L3241" s="22" t="e">
        <f>VLOOKUP($A3241, TAB_AMORTIZACAO_C[[DIAS_CORRIDOS]:[V_FUT_UTEIS]], L$5, FALSE)</f>
        <v>#N/A</v>
      </c>
    </row>
    <row r="3242" spans="1:12" hidden="1">
      <c r="A3242" s="19">
        <f t="shared" si="259"/>
        <v>3236</v>
      </c>
      <c r="B3242" s="20">
        <f t="shared" si="255"/>
        <v>0</v>
      </c>
      <c r="C3242" s="21">
        <f t="shared" si="256"/>
        <v>0</v>
      </c>
      <c r="D3242" s="22" t="e">
        <f>VLOOKUP($A3242, TAB_JUROS_U[[Q_DIAS_U_PARC_TIR]:[V_FUT_U_JURS CENARIO]], D$5, FALSE)</f>
        <v>#N/A</v>
      </c>
      <c r="E3242" s="22" t="e">
        <f>VLOOKUP($A3242,TAB_CORRECAO_U[[Q_DIAS_U_PARC_TIR]:[V_FUT_U_CORC-02]],E$5, FALSE)</f>
        <v>#N/A</v>
      </c>
      <c r="F3242" s="22" t="e">
        <f>VLOOKUP($A3242,TAB_AMORTIZACAO_U[[Q_DIAS_U_PARC_TIR]:[V_FUT_U_PCPL-02]], F$5, FALSE)</f>
        <v>#N/A</v>
      </c>
      <c r="H3242" s="20">
        <f t="shared" si="257"/>
        <v>0</v>
      </c>
      <c r="I3242" s="21">
        <f t="shared" si="258"/>
        <v>0</v>
      </c>
      <c r="J3242" s="22" t="e">
        <f>VLOOKUP($A3242, TAB_JUROS_C[[DIAS_CORRIDOS]:[V_FUT_UTEIS]], J$5, FALSE)</f>
        <v>#N/A</v>
      </c>
      <c r="K3242" s="22" t="e">
        <f>VLOOKUP($A3242, TAB_CORRECAO_C[[DIAS_CORRIDOS]:[V_FUT_UTEIS]],K$5, FALSE)</f>
        <v>#N/A</v>
      </c>
      <c r="L3242" s="22" t="e">
        <f>VLOOKUP($A3242, TAB_AMORTIZACAO_C[[DIAS_CORRIDOS]:[V_FUT_UTEIS]], L$5, FALSE)</f>
        <v>#N/A</v>
      </c>
    </row>
    <row r="3243" spans="1:12" hidden="1">
      <c r="A3243" s="19">
        <f t="shared" si="259"/>
        <v>3237</v>
      </c>
      <c r="B3243" s="20">
        <f t="shared" si="255"/>
        <v>0</v>
      </c>
      <c r="C3243" s="21">
        <f t="shared" si="256"/>
        <v>0</v>
      </c>
      <c r="D3243" s="22" t="e">
        <f>VLOOKUP($A3243, TAB_JUROS_U[[Q_DIAS_U_PARC_TIR]:[V_FUT_U_JURS CENARIO]], D$5, FALSE)</f>
        <v>#N/A</v>
      </c>
      <c r="E3243" s="22" t="e">
        <f>VLOOKUP($A3243,TAB_CORRECAO_U[[Q_DIAS_U_PARC_TIR]:[V_FUT_U_CORC-02]],E$5, FALSE)</f>
        <v>#N/A</v>
      </c>
      <c r="F3243" s="22" t="e">
        <f>VLOOKUP($A3243,TAB_AMORTIZACAO_U[[Q_DIAS_U_PARC_TIR]:[V_FUT_U_PCPL-02]], F$5, FALSE)</f>
        <v>#N/A</v>
      </c>
      <c r="H3243" s="20">
        <f t="shared" si="257"/>
        <v>0</v>
      </c>
      <c r="I3243" s="21">
        <f t="shared" si="258"/>
        <v>0</v>
      </c>
      <c r="J3243" s="22" t="e">
        <f>VLOOKUP($A3243, TAB_JUROS_C[[DIAS_CORRIDOS]:[V_FUT_UTEIS]], J$5, FALSE)</f>
        <v>#N/A</v>
      </c>
      <c r="K3243" s="22" t="e">
        <f>VLOOKUP($A3243, TAB_CORRECAO_C[[DIAS_CORRIDOS]:[V_FUT_UTEIS]],K$5, FALSE)</f>
        <v>#N/A</v>
      </c>
      <c r="L3243" s="22" t="e">
        <f>VLOOKUP($A3243, TAB_AMORTIZACAO_C[[DIAS_CORRIDOS]:[V_FUT_UTEIS]], L$5, FALSE)</f>
        <v>#N/A</v>
      </c>
    </row>
    <row r="3244" spans="1:12" hidden="1">
      <c r="A3244" s="19">
        <f t="shared" si="259"/>
        <v>3238</v>
      </c>
      <c r="B3244" s="20">
        <f t="shared" si="255"/>
        <v>0</v>
      </c>
      <c r="C3244" s="21">
        <f t="shared" si="256"/>
        <v>0</v>
      </c>
      <c r="D3244" s="22" t="e">
        <f>VLOOKUP($A3244, TAB_JUROS_U[[Q_DIAS_U_PARC_TIR]:[V_FUT_U_JURS CENARIO]], D$5, FALSE)</f>
        <v>#N/A</v>
      </c>
      <c r="E3244" s="22" t="e">
        <f>VLOOKUP($A3244,TAB_CORRECAO_U[[Q_DIAS_U_PARC_TIR]:[V_FUT_U_CORC-02]],E$5, FALSE)</f>
        <v>#N/A</v>
      </c>
      <c r="F3244" s="22" t="e">
        <f>VLOOKUP($A3244,TAB_AMORTIZACAO_U[[Q_DIAS_U_PARC_TIR]:[V_FUT_U_PCPL-02]], F$5, FALSE)</f>
        <v>#N/A</v>
      </c>
      <c r="H3244" s="20">
        <f t="shared" si="257"/>
        <v>232.49766099707131</v>
      </c>
      <c r="I3244" s="21">
        <f t="shared" si="258"/>
        <v>232.49766099707131</v>
      </c>
      <c r="J3244" s="22">
        <f>VLOOKUP($A3244, TAB_JUROS_C[[DIAS_CORRIDOS]:[V_FUT_UTEIS]], J$5, FALSE)</f>
        <v>12.273950165996109</v>
      </c>
      <c r="K3244" s="22">
        <f>VLOOKUP($A3244, TAB_CORRECAO_C[[DIAS_CORRIDOS]:[V_FUT_UTEIS]],K$5, FALSE)</f>
        <v>75.505178826626448</v>
      </c>
      <c r="L3244" s="22">
        <f>VLOOKUP($A3244, TAB_AMORTIZACAO_C[[DIAS_CORRIDOS]:[V_FUT_UTEIS]], L$5, FALSE)</f>
        <v>144.71853200444875</v>
      </c>
    </row>
    <row r="3245" spans="1:12" hidden="1">
      <c r="A3245" s="19">
        <f t="shared" si="259"/>
        <v>3239</v>
      </c>
      <c r="B3245" s="20">
        <f t="shared" si="255"/>
        <v>0</v>
      </c>
      <c r="C3245" s="21">
        <f t="shared" si="256"/>
        <v>0</v>
      </c>
      <c r="D3245" s="22" t="e">
        <f>VLOOKUP($A3245, TAB_JUROS_U[[Q_DIAS_U_PARC_TIR]:[V_FUT_U_JURS CENARIO]], D$5, FALSE)</f>
        <v>#N/A</v>
      </c>
      <c r="E3245" s="22" t="e">
        <f>VLOOKUP($A3245,TAB_CORRECAO_U[[Q_DIAS_U_PARC_TIR]:[V_FUT_U_CORC-02]],E$5, FALSE)</f>
        <v>#N/A</v>
      </c>
      <c r="F3245" s="22" t="e">
        <f>VLOOKUP($A3245,TAB_AMORTIZACAO_U[[Q_DIAS_U_PARC_TIR]:[V_FUT_U_PCPL-02]], F$5, FALSE)</f>
        <v>#N/A</v>
      </c>
      <c r="H3245" s="20">
        <f t="shared" si="257"/>
        <v>0</v>
      </c>
      <c r="I3245" s="21">
        <f t="shared" si="258"/>
        <v>0</v>
      </c>
      <c r="J3245" s="22" t="e">
        <f>VLOOKUP($A3245, TAB_JUROS_C[[DIAS_CORRIDOS]:[V_FUT_UTEIS]], J$5, FALSE)</f>
        <v>#N/A</v>
      </c>
      <c r="K3245" s="22" t="e">
        <f>VLOOKUP($A3245, TAB_CORRECAO_C[[DIAS_CORRIDOS]:[V_FUT_UTEIS]],K$5, FALSE)</f>
        <v>#N/A</v>
      </c>
      <c r="L3245" s="22" t="e">
        <f>VLOOKUP($A3245, TAB_AMORTIZACAO_C[[DIAS_CORRIDOS]:[V_FUT_UTEIS]], L$5, FALSE)</f>
        <v>#N/A</v>
      </c>
    </row>
    <row r="3246" spans="1:12" hidden="1">
      <c r="A3246" s="19">
        <f t="shared" si="259"/>
        <v>3240</v>
      </c>
      <c r="B3246" s="20">
        <f t="shared" si="255"/>
        <v>0</v>
      </c>
      <c r="C3246" s="21">
        <f t="shared" si="256"/>
        <v>0</v>
      </c>
      <c r="D3246" s="22" t="e">
        <f>VLOOKUP($A3246, TAB_JUROS_U[[Q_DIAS_U_PARC_TIR]:[V_FUT_U_JURS CENARIO]], D$5, FALSE)</f>
        <v>#N/A</v>
      </c>
      <c r="E3246" s="22" t="e">
        <f>VLOOKUP($A3246,TAB_CORRECAO_U[[Q_DIAS_U_PARC_TIR]:[V_FUT_U_CORC-02]],E$5, FALSE)</f>
        <v>#N/A</v>
      </c>
      <c r="F3246" s="22" t="e">
        <f>VLOOKUP($A3246,TAB_AMORTIZACAO_U[[Q_DIAS_U_PARC_TIR]:[V_FUT_U_PCPL-02]], F$5, FALSE)</f>
        <v>#N/A</v>
      </c>
      <c r="H3246" s="20">
        <f t="shared" si="257"/>
        <v>0</v>
      </c>
      <c r="I3246" s="21">
        <f t="shared" si="258"/>
        <v>0</v>
      </c>
      <c r="J3246" s="22" t="e">
        <f>VLOOKUP($A3246, TAB_JUROS_C[[DIAS_CORRIDOS]:[V_FUT_UTEIS]], J$5, FALSE)</f>
        <v>#N/A</v>
      </c>
      <c r="K3246" s="22" t="e">
        <f>VLOOKUP($A3246, TAB_CORRECAO_C[[DIAS_CORRIDOS]:[V_FUT_UTEIS]],K$5, FALSE)</f>
        <v>#N/A</v>
      </c>
      <c r="L3246" s="22" t="e">
        <f>VLOOKUP($A3246, TAB_AMORTIZACAO_C[[DIAS_CORRIDOS]:[V_FUT_UTEIS]], L$5, FALSE)</f>
        <v>#N/A</v>
      </c>
    </row>
    <row r="3247" spans="1:12" hidden="1">
      <c r="A3247" s="19">
        <f t="shared" si="259"/>
        <v>3241</v>
      </c>
      <c r="B3247" s="20">
        <f t="shared" si="255"/>
        <v>0</v>
      </c>
      <c r="C3247" s="21">
        <f t="shared" si="256"/>
        <v>0</v>
      </c>
      <c r="D3247" s="22" t="e">
        <f>VLOOKUP($A3247, TAB_JUROS_U[[Q_DIAS_U_PARC_TIR]:[V_FUT_U_JURS CENARIO]], D$5, FALSE)</f>
        <v>#N/A</v>
      </c>
      <c r="E3247" s="22" t="e">
        <f>VLOOKUP($A3247,TAB_CORRECAO_U[[Q_DIAS_U_PARC_TIR]:[V_FUT_U_CORC-02]],E$5, FALSE)</f>
        <v>#N/A</v>
      </c>
      <c r="F3247" s="22" t="e">
        <f>VLOOKUP($A3247,TAB_AMORTIZACAO_U[[Q_DIAS_U_PARC_TIR]:[V_FUT_U_PCPL-02]], F$5, FALSE)</f>
        <v>#N/A</v>
      </c>
      <c r="H3247" s="20">
        <f t="shared" si="257"/>
        <v>0</v>
      </c>
      <c r="I3247" s="21">
        <f t="shared" si="258"/>
        <v>0</v>
      </c>
      <c r="J3247" s="22" t="e">
        <f>VLOOKUP($A3247, TAB_JUROS_C[[DIAS_CORRIDOS]:[V_FUT_UTEIS]], J$5, FALSE)</f>
        <v>#N/A</v>
      </c>
      <c r="K3247" s="22" t="e">
        <f>VLOOKUP($A3247, TAB_CORRECAO_C[[DIAS_CORRIDOS]:[V_FUT_UTEIS]],K$5, FALSE)</f>
        <v>#N/A</v>
      </c>
      <c r="L3247" s="22" t="e">
        <f>VLOOKUP($A3247, TAB_AMORTIZACAO_C[[DIAS_CORRIDOS]:[V_FUT_UTEIS]], L$5, FALSE)</f>
        <v>#N/A</v>
      </c>
    </row>
    <row r="3248" spans="1:12" hidden="1">
      <c r="A3248" s="19">
        <f t="shared" si="259"/>
        <v>3242</v>
      </c>
      <c r="B3248" s="20">
        <f t="shared" si="255"/>
        <v>0</v>
      </c>
      <c r="C3248" s="21">
        <f t="shared" si="256"/>
        <v>0</v>
      </c>
      <c r="D3248" s="22" t="e">
        <f>VLOOKUP($A3248, TAB_JUROS_U[[Q_DIAS_U_PARC_TIR]:[V_FUT_U_JURS CENARIO]], D$5, FALSE)</f>
        <v>#N/A</v>
      </c>
      <c r="E3248" s="22" t="e">
        <f>VLOOKUP($A3248,TAB_CORRECAO_U[[Q_DIAS_U_PARC_TIR]:[V_FUT_U_CORC-02]],E$5, FALSE)</f>
        <v>#N/A</v>
      </c>
      <c r="F3248" s="22" t="e">
        <f>VLOOKUP($A3248,TAB_AMORTIZACAO_U[[Q_DIAS_U_PARC_TIR]:[V_FUT_U_PCPL-02]], F$5, FALSE)</f>
        <v>#N/A</v>
      </c>
      <c r="H3248" s="20">
        <f t="shared" si="257"/>
        <v>0</v>
      </c>
      <c r="I3248" s="21">
        <f t="shared" si="258"/>
        <v>0</v>
      </c>
      <c r="J3248" s="22" t="e">
        <f>VLOOKUP($A3248, TAB_JUROS_C[[DIAS_CORRIDOS]:[V_FUT_UTEIS]], J$5, FALSE)</f>
        <v>#N/A</v>
      </c>
      <c r="K3248" s="22" t="e">
        <f>VLOOKUP($A3248, TAB_CORRECAO_C[[DIAS_CORRIDOS]:[V_FUT_UTEIS]],K$5, FALSE)</f>
        <v>#N/A</v>
      </c>
      <c r="L3248" s="22" t="e">
        <f>VLOOKUP($A3248, TAB_AMORTIZACAO_C[[DIAS_CORRIDOS]:[V_FUT_UTEIS]], L$5, FALSE)</f>
        <v>#N/A</v>
      </c>
    </row>
    <row r="3249" spans="1:12" hidden="1">
      <c r="A3249" s="19">
        <f t="shared" si="259"/>
        <v>3243</v>
      </c>
      <c r="B3249" s="20">
        <f t="shared" si="255"/>
        <v>0</v>
      </c>
      <c r="C3249" s="21">
        <f t="shared" si="256"/>
        <v>0</v>
      </c>
      <c r="D3249" s="22" t="e">
        <f>VLOOKUP($A3249, TAB_JUROS_U[[Q_DIAS_U_PARC_TIR]:[V_FUT_U_JURS CENARIO]], D$5, FALSE)</f>
        <v>#N/A</v>
      </c>
      <c r="E3249" s="22" t="e">
        <f>VLOOKUP($A3249,TAB_CORRECAO_U[[Q_DIAS_U_PARC_TIR]:[V_FUT_U_CORC-02]],E$5, FALSE)</f>
        <v>#N/A</v>
      </c>
      <c r="F3249" s="22" t="e">
        <f>VLOOKUP($A3249,TAB_AMORTIZACAO_U[[Q_DIAS_U_PARC_TIR]:[V_FUT_U_PCPL-02]], F$5, FALSE)</f>
        <v>#N/A</v>
      </c>
      <c r="H3249" s="20">
        <f t="shared" si="257"/>
        <v>0</v>
      </c>
      <c r="I3249" s="21">
        <f t="shared" si="258"/>
        <v>0</v>
      </c>
      <c r="J3249" s="22" t="e">
        <f>VLOOKUP($A3249, TAB_JUROS_C[[DIAS_CORRIDOS]:[V_FUT_UTEIS]], J$5, FALSE)</f>
        <v>#N/A</v>
      </c>
      <c r="K3249" s="22" t="e">
        <f>VLOOKUP($A3249, TAB_CORRECAO_C[[DIAS_CORRIDOS]:[V_FUT_UTEIS]],K$5, FALSE)</f>
        <v>#N/A</v>
      </c>
      <c r="L3249" s="22" t="e">
        <f>VLOOKUP($A3249, TAB_AMORTIZACAO_C[[DIAS_CORRIDOS]:[V_FUT_UTEIS]], L$5, FALSE)</f>
        <v>#N/A</v>
      </c>
    </row>
    <row r="3250" spans="1:12" hidden="1">
      <c r="A3250" s="19">
        <f t="shared" si="259"/>
        <v>3244</v>
      </c>
      <c r="B3250" s="20">
        <f t="shared" si="255"/>
        <v>0</v>
      </c>
      <c r="C3250" s="21">
        <f t="shared" si="256"/>
        <v>0</v>
      </c>
      <c r="D3250" s="22" t="e">
        <f>VLOOKUP($A3250, TAB_JUROS_U[[Q_DIAS_U_PARC_TIR]:[V_FUT_U_JURS CENARIO]], D$5, FALSE)</f>
        <v>#N/A</v>
      </c>
      <c r="E3250" s="22" t="e">
        <f>VLOOKUP($A3250,TAB_CORRECAO_U[[Q_DIAS_U_PARC_TIR]:[V_FUT_U_CORC-02]],E$5, FALSE)</f>
        <v>#N/A</v>
      </c>
      <c r="F3250" s="22" t="e">
        <f>VLOOKUP($A3250,TAB_AMORTIZACAO_U[[Q_DIAS_U_PARC_TIR]:[V_FUT_U_PCPL-02]], F$5, FALSE)</f>
        <v>#N/A</v>
      </c>
      <c r="H3250" s="20">
        <f t="shared" si="257"/>
        <v>0</v>
      </c>
      <c r="I3250" s="21">
        <f t="shared" si="258"/>
        <v>0</v>
      </c>
      <c r="J3250" s="22" t="e">
        <f>VLOOKUP($A3250, TAB_JUROS_C[[DIAS_CORRIDOS]:[V_FUT_UTEIS]], J$5, FALSE)</f>
        <v>#N/A</v>
      </c>
      <c r="K3250" s="22" t="e">
        <f>VLOOKUP($A3250, TAB_CORRECAO_C[[DIAS_CORRIDOS]:[V_FUT_UTEIS]],K$5, FALSE)</f>
        <v>#N/A</v>
      </c>
      <c r="L3250" s="22" t="e">
        <f>VLOOKUP($A3250, TAB_AMORTIZACAO_C[[DIAS_CORRIDOS]:[V_FUT_UTEIS]], L$5, FALSE)</f>
        <v>#N/A</v>
      </c>
    </row>
    <row r="3251" spans="1:12" hidden="1">
      <c r="A3251" s="19">
        <f t="shared" si="259"/>
        <v>3245</v>
      </c>
      <c r="B3251" s="20">
        <f t="shared" si="255"/>
        <v>0</v>
      </c>
      <c r="C3251" s="21">
        <f t="shared" si="256"/>
        <v>0</v>
      </c>
      <c r="D3251" s="22" t="e">
        <f>VLOOKUP($A3251, TAB_JUROS_U[[Q_DIAS_U_PARC_TIR]:[V_FUT_U_JURS CENARIO]], D$5, FALSE)</f>
        <v>#N/A</v>
      </c>
      <c r="E3251" s="22" t="e">
        <f>VLOOKUP($A3251,TAB_CORRECAO_U[[Q_DIAS_U_PARC_TIR]:[V_FUT_U_CORC-02]],E$5, FALSE)</f>
        <v>#N/A</v>
      </c>
      <c r="F3251" s="22" t="e">
        <f>VLOOKUP($A3251,TAB_AMORTIZACAO_U[[Q_DIAS_U_PARC_TIR]:[V_FUT_U_PCPL-02]], F$5, FALSE)</f>
        <v>#N/A</v>
      </c>
      <c r="H3251" s="20">
        <f t="shared" si="257"/>
        <v>0</v>
      </c>
      <c r="I3251" s="21">
        <f t="shared" si="258"/>
        <v>0</v>
      </c>
      <c r="J3251" s="22" t="e">
        <f>VLOOKUP($A3251, TAB_JUROS_C[[DIAS_CORRIDOS]:[V_FUT_UTEIS]], J$5, FALSE)</f>
        <v>#N/A</v>
      </c>
      <c r="K3251" s="22" t="e">
        <f>VLOOKUP($A3251, TAB_CORRECAO_C[[DIAS_CORRIDOS]:[V_FUT_UTEIS]],K$5, FALSE)</f>
        <v>#N/A</v>
      </c>
      <c r="L3251" s="22" t="e">
        <f>VLOOKUP($A3251, TAB_AMORTIZACAO_C[[DIAS_CORRIDOS]:[V_FUT_UTEIS]], L$5, FALSE)</f>
        <v>#N/A</v>
      </c>
    </row>
    <row r="3252" spans="1:12" hidden="1">
      <c r="A3252" s="19">
        <f t="shared" si="259"/>
        <v>3246</v>
      </c>
      <c r="B3252" s="20">
        <f t="shared" si="255"/>
        <v>0</v>
      </c>
      <c r="C3252" s="21">
        <f t="shared" si="256"/>
        <v>0</v>
      </c>
      <c r="D3252" s="22" t="e">
        <f>VLOOKUP($A3252, TAB_JUROS_U[[Q_DIAS_U_PARC_TIR]:[V_FUT_U_JURS CENARIO]], D$5, FALSE)</f>
        <v>#N/A</v>
      </c>
      <c r="E3252" s="22" t="e">
        <f>VLOOKUP($A3252,TAB_CORRECAO_U[[Q_DIAS_U_PARC_TIR]:[V_FUT_U_CORC-02]],E$5, FALSE)</f>
        <v>#N/A</v>
      </c>
      <c r="F3252" s="22" t="e">
        <f>VLOOKUP($A3252,TAB_AMORTIZACAO_U[[Q_DIAS_U_PARC_TIR]:[V_FUT_U_PCPL-02]], F$5, FALSE)</f>
        <v>#N/A</v>
      </c>
      <c r="H3252" s="20">
        <f t="shared" si="257"/>
        <v>0</v>
      </c>
      <c r="I3252" s="21">
        <f t="shared" si="258"/>
        <v>0</v>
      </c>
      <c r="J3252" s="22" t="e">
        <f>VLOOKUP($A3252, TAB_JUROS_C[[DIAS_CORRIDOS]:[V_FUT_UTEIS]], J$5, FALSE)</f>
        <v>#N/A</v>
      </c>
      <c r="K3252" s="22" t="e">
        <f>VLOOKUP($A3252, TAB_CORRECAO_C[[DIAS_CORRIDOS]:[V_FUT_UTEIS]],K$5, FALSE)</f>
        <v>#N/A</v>
      </c>
      <c r="L3252" s="22" t="e">
        <f>VLOOKUP($A3252, TAB_AMORTIZACAO_C[[DIAS_CORRIDOS]:[V_FUT_UTEIS]], L$5, FALSE)</f>
        <v>#N/A</v>
      </c>
    </row>
    <row r="3253" spans="1:12" hidden="1">
      <c r="A3253" s="19">
        <f t="shared" si="259"/>
        <v>3247</v>
      </c>
      <c r="B3253" s="20">
        <f t="shared" si="255"/>
        <v>0</v>
      </c>
      <c r="C3253" s="21">
        <f t="shared" si="256"/>
        <v>0</v>
      </c>
      <c r="D3253" s="22" t="e">
        <f>VLOOKUP($A3253, TAB_JUROS_U[[Q_DIAS_U_PARC_TIR]:[V_FUT_U_JURS CENARIO]], D$5, FALSE)</f>
        <v>#N/A</v>
      </c>
      <c r="E3253" s="22" t="e">
        <f>VLOOKUP($A3253,TAB_CORRECAO_U[[Q_DIAS_U_PARC_TIR]:[V_FUT_U_CORC-02]],E$5, FALSE)</f>
        <v>#N/A</v>
      </c>
      <c r="F3253" s="22" t="e">
        <f>VLOOKUP($A3253,TAB_AMORTIZACAO_U[[Q_DIAS_U_PARC_TIR]:[V_FUT_U_PCPL-02]], F$5, FALSE)</f>
        <v>#N/A</v>
      </c>
      <c r="H3253" s="20">
        <f t="shared" si="257"/>
        <v>0</v>
      </c>
      <c r="I3253" s="21">
        <f t="shared" si="258"/>
        <v>0</v>
      </c>
      <c r="J3253" s="22" t="e">
        <f>VLOOKUP($A3253, TAB_JUROS_C[[DIAS_CORRIDOS]:[V_FUT_UTEIS]], J$5, FALSE)</f>
        <v>#N/A</v>
      </c>
      <c r="K3253" s="22" t="e">
        <f>VLOOKUP($A3253, TAB_CORRECAO_C[[DIAS_CORRIDOS]:[V_FUT_UTEIS]],K$5, FALSE)</f>
        <v>#N/A</v>
      </c>
      <c r="L3253" s="22" t="e">
        <f>VLOOKUP($A3253, TAB_AMORTIZACAO_C[[DIAS_CORRIDOS]:[V_FUT_UTEIS]], L$5, FALSE)</f>
        <v>#N/A</v>
      </c>
    </row>
    <row r="3254" spans="1:12" hidden="1">
      <c r="A3254" s="19">
        <f t="shared" si="259"/>
        <v>3248</v>
      </c>
      <c r="B3254" s="20">
        <f t="shared" si="255"/>
        <v>0</v>
      </c>
      <c r="C3254" s="21">
        <f t="shared" si="256"/>
        <v>0</v>
      </c>
      <c r="D3254" s="22" t="e">
        <f>VLOOKUP($A3254, TAB_JUROS_U[[Q_DIAS_U_PARC_TIR]:[V_FUT_U_JURS CENARIO]], D$5, FALSE)</f>
        <v>#N/A</v>
      </c>
      <c r="E3254" s="22" t="e">
        <f>VLOOKUP($A3254,TAB_CORRECAO_U[[Q_DIAS_U_PARC_TIR]:[V_FUT_U_CORC-02]],E$5, FALSE)</f>
        <v>#N/A</v>
      </c>
      <c r="F3254" s="22" t="e">
        <f>VLOOKUP($A3254,TAB_AMORTIZACAO_U[[Q_DIAS_U_PARC_TIR]:[V_FUT_U_PCPL-02]], F$5, FALSE)</f>
        <v>#N/A</v>
      </c>
      <c r="H3254" s="20">
        <f t="shared" si="257"/>
        <v>0</v>
      </c>
      <c r="I3254" s="21">
        <f t="shared" si="258"/>
        <v>0</v>
      </c>
      <c r="J3254" s="22" t="e">
        <f>VLOOKUP($A3254, TAB_JUROS_C[[DIAS_CORRIDOS]:[V_FUT_UTEIS]], J$5, FALSE)</f>
        <v>#N/A</v>
      </c>
      <c r="K3254" s="22" t="e">
        <f>VLOOKUP($A3254, TAB_CORRECAO_C[[DIAS_CORRIDOS]:[V_FUT_UTEIS]],K$5, FALSE)</f>
        <v>#N/A</v>
      </c>
      <c r="L3254" s="22" t="e">
        <f>VLOOKUP($A3254, TAB_AMORTIZACAO_C[[DIAS_CORRIDOS]:[V_FUT_UTEIS]], L$5, FALSE)</f>
        <v>#N/A</v>
      </c>
    </row>
    <row r="3255" spans="1:12" hidden="1">
      <c r="A3255" s="19">
        <f t="shared" si="259"/>
        <v>3249</v>
      </c>
      <c r="B3255" s="20">
        <f t="shared" si="255"/>
        <v>0</v>
      </c>
      <c r="C3255" s="21">
        <f t="shared" si="256"/>
        <v>0</v>
      </c>
      <c r="D3255" s="22" t="e">
        <f>VLOOKUP($A3255, TAB_JUROS_U[[Q_DIAS_U_PARC_TIR]:[V_FUT_U_JURS CENARIO]], D$5, FALSE)</f>
        <v>#N/A</v>
      </c>
      <c r="E3255" s="22" t="e">
        <f>VLOOKUP($A3255,TAB_CORRECAO_U[[Q_DIAS_U_PARC_TIR]:[V_FUT_U_CORC-02]],E$5, FALSE)</f>
        <v>#N/A</v>
      </c>
      <c r="F3255" s="22" t="e">
        <f>VLOOKUP($A3255,TAB_AMORTIZACAO_U[[Q_DIAS_U_PARC_TIR]:[V_FUT_U_PCPL-02]], F$5, FALSE)</f>
        <v>#N/A</v>
      </c>
      <c r="H3255" s="20">
        <f t="shared" si="257"/>
        <v>0</v>
      </c>
      <c r="I3255" s="21">
        <f t="shared" si="258"/>
        <v>0</v>
      </c>
      <c r="J3255" s="22" t="e">
        <f>VLOOKUP($A3255, TAB_JUROS_C[[DIAS_CORRIDOS]:[V_FUT_UTEIS]], J$5, FALSE)</f>
        <v>#N/A</v>
      </c>
      <c r="K3255" s="22" t="e">
        <f>VLOOKUP($A3255, TAB_CORRECAO_C[[DIAS_CORRIDOS]:[V_FUT_UTEIS]],K$5, FALSE)</f>
        <v>#N/A</v>
      </c>
      <c r="L3255" s="22" t="e">
        <f>VLOOKUP($A3255, TAB_AMORTIZACAO_C[[DIAS_CORRIDOS]:[V_FUT_UTEIS]], L$5, FALSE)</f>
        <v>#N/A</v>
      </c>
    </row>
    <row r="3256" spans="1:12" hidden="1">
      <c r="A3256" s="19">
        <f t="shared" si="259"/>
        <v>3250</v>
      </c>
      <c r="B3256" s="20">
        <f t="shared" si="255"/>
        <v>0</v>
      </c>
      <c r="C3256" s="21">
        <f t="shared" si="256"/>
        <v>0</v>
      </c>
      <c r="D3256" s="22" t="e">
        <f>VLOOKUP($A3256, TAB_JUROS_U[[Q_DIAS_U_PARC_TIR]:[V_FUT_U_JURS CENARIO]], D$5, FALSE)</f>
        <v>#N/A</v>
      </c>
      <c r="E3256" s="22" t="e">
        <f>VLOOKUP($A3256,TAB_CORRECAO_U[[Q_DIAS_U_PARC_TIR]:[V_FUT_U_CORC-02]],E$5, FALSE)</f>
        <v>#N/A</v>
      </c>
      <c r="F3256" s="22" t="e">
        <f>VLOOKUP($A3256,TAB_AMORTIZACAO_U[[Q_DIAS_U_PARC_TIR]:[V_FUT_U_PCPL-02]], F$5, FALSE)</f>
        <v>#N/A</v>
      </c>
      <c r="H3256" s="20">
        <f t="shared" si="257"/>
        <v>0</v>
      </c>
      <c r="I3256" s="21">
        <f t="shared" si="258"/>
        <v>0</v>
      </c>
      <c r="J3256" s="22" t="e">
        <f>VLOOKUP($A3256, TAB_JUROS_C[[DIAS_CORRIDOS]:[V_FUT_UTEIS]], J$5, FALSE)</f>
        <v>#N/A</v>
      </c>
      <c r="K3256" s="22" t="e">
        <f>VLOOKUP($A3256, TAB_CORRECAO_C[[DIAS_CORRIDOS]:[V_FUT_UTEIS]],K$5, FALSE)</f>
        <v>#N/A</v>
      </c>
      <c r="L3256" s="22" t="e">
        <f>VLOOKUP($A3256, TAB_AMORTIZACAO_C[[DIAS_CORRIDOS]:[V_FUT_UTEIS]], L$5, FALSE)</f>
        <v>#N/A</v>
      </c>
    </row>
    <row r="3257" spans="1:12" hidden="1">
      <c r="A3257" s="19">
        <f t="shared" si="259"/>
        <v>3251</v>
      </c>
      <c r="B3257" s="20">
        <f t="shared" si="255"/>
        <v>0</v>
      </c>
      <c r="C3257" s="21">
        <f t="shared" si="256"/>
        <v>0</v>
      </c>
      <c r="D3257" s="22" t="e">
        <f>VLOOKUP($A3257, TAB_JUROS_U[[Q_DIAS_U_PARC_TIR]:[V_FUT_U_JURS CENARIO]], D$5, FALSE)</f>
        <v>#N/A</v>
      </c>
      <c r="E3257" s="22" t="e">
        <f>VLOOKUP($A3257,TAB_CORRECAO_U[[Q_DIAS_U_PARC_TIR]:[V_FUT_U_CORC-02]],E$5, FALSE)</f>
        <v>#N/A</v>
      </c>
      <c r="F3257" s="22" t="e">
        <f>VLOOKUP($A3257,TAB_AMORTIZACAO_U[[Q_DIAS_U_PARC_TIR]:[V_FUT_U_PCPL-02]], F$5, FALSE)</f>
        <v>#N/A</v>
      </c>
      <c r="H3257" s="20">
        <f t="shared" si="257"/>
        <v>0</v>
      </c>
      <c r="I3257" s="21">
        <f t="shared" si="258"/>
        <v>0</v>
      </c>
      <c r="J3257" s="22" t="e">
        <f>VLOOKUP($A3257, TAB_JUROS_C[[DIAS_CORRIDOS]:[V_FUT_UTEIS]], J$5, FALSE)</f>
        <v>#N/A</v>
      </c>
      <c r="K3257" s="22" t="e">
        <f>VLOOKUP($A3257, TAB_CORRECAO_C[[DIAS_CORRIDOS]:[V_FUT_UTEIS]],K$5, FALSE)</f>
        <v>#N/A</v>
      </c>
      <c r="L3257" s="22" t="e">
        <f>VLOOKUP($A3257, TAB_AMORTIZACAO_C[[DIAS_CORRIDOS]:[V_FUT_UTEIS]], L$5, FALSE)</f>
        <v>#N/A</v>
      </c>
    </row>
    <row r="3258" spans="1:12" hidden="1">
      <c r="A3258" s="19">
        <f t="shared" si="259"/>
        <v>3252</v>
      </c>
      <c r="B3258" s="20">
        <f t="shared" si="255"/>
        <v>0</v>
      </c>
      <c r="C3258" s="21">
        <f t="shared" si="256"/>
        <v>0</v>
      </c>
      <c r="D3258" s="22" t="e">
        <f>VLOOKUP($A3258, TAB_JUROS_U[[Q_DIAS_U_PARC_TIR]:[V_FUT_U_JURS CENARIO]], D$5, FALSE)</f>
        <v>#N/A</v>
      </c>
      <c r="E3258" s="22" t="e">
        <f>VLOOKUP($A3258,TAB_CORRECAO_U[[Q_DIAS_U_PARC_TIR]:[V_FUT_U_CORC-02]],E$5, FALSE)</f>
        <v>#N/A</v>
      </c>
      <c r="F3258" s="22" t="e">
        <f>VLOOKUP($A3258,TAB_AMORTIZACAO_U[[Q_DIAS_U_PARC_TIR]:[V_FUT_U_PCPL-02]], F$5, FALSE)</f>
        <v>#N/A</v>
      </c>
      <c r="H3258" s="20">
        <f t="shared" si="257"/>
        <v>0</v>
      </c>
      <c r="I3258" s="21">
        <f t="shared" si="258"/>
        <v>0</v>
      </c>
      <c r="J3258" s="22" t="e">
        <f>VLOOKUP($A3258, TAB_JUROS_C[[DIAS_CORRIDOS]:[V_FUT_UTEIS]], J$5, FALSE)</f>
        <v>#N/A</v>
      </c>
      <c r="K3258" s="22" t="e">
        <f>VLOOKUP($A3258, TAB_CORRECAO_C[[DIAS_CORRIDOS]:[V_FUT_UTEIS]],K$5, FALSE)</f>
        <v>#N/A</v>
      </c>
      <c r="L3258" s="22" t="e">
        <f>VLOOKUP($A3258, TAB_AMORTIZACAO_C[[DIAS_CORRIDOS]:[V_FUT_UTEIS]], L$5, FALSE)</f>
        <v>#N/A</v>
      </c>
    </row>
    <row r="3259" spans="1:12" hidden="1">
      <c r="A3259" s="19">
        <f t="shared" si="259"/>
        <v>3253</v>
      </c>
      <c r="B3259" s="20">
        <f t="shared" si="255"/>
        <v>0</v>
      </c>
      <c r="C3259" s="21">
        <f t="shared" si="256"/>
        <v>0</v>
      </c>
      <c r="D3259" s="22" t="e">
        <f>VLOOKUP($A3259, TAB_JUROS_U[[Q_DIAS_U_PARC_TIR]:[V_FUT_U_JURS CENARIO]], D$5, FALSE)</f>
        <v>#N/A</v>
      </c>
      <c r="E3259" s="22" t="e">
        <f>VLOOKUP($A3259,TAB_CORRECAO_U[[Q_DIAS_U_PARC_TIR]:[V_FUT_U_CORC-02]],E$5, FALSE)</f>
        <v>#N/A</v>
      </c>
      <c r="F3259" s="22" t="e">
        <f>VLOOKUP($A3259,TAB_AMORTIZACAO_U[[Q_DIAS_U_PARC_TIR]:[V_FUT_U_PCPL-02]], F$5, FALSE)</f>
        <v>#N/A</v>
      </c>
      <c r="H3259" s="20">
        <f t="shared" si="257"/>
        <v>0</v>
      </c>
      <c r="I3259" s="21">
        <f t="shared" si="258"/>
        <v>0</v>
      </c>
      <c r="J3259" s="22" t="e">
        <f>VLOOKUP($A3259, TAB_JUROS_C[[DIAS_CORRIDOS]:[V_FUT_UTEIS]], J$5, FALSE)</f>
        <v>#N/A</v>
      </c>
      <c r="K3259" s="22" t="e">
        <f>VLOOKUP($A3259, TAB_CORRECAO_C[[DIAS_CORRIDOS]:[V_FUT_UTEIS]],K$5, FALSE)</f>
        <v>#N/A</v>
      </c>
      <c r="L3259" s="22" t="e">
        <f>VLOOKUP($A3259, TAB_AMORTIZACAO_C[[DIAS_CORRIDOS]:[V_FUT_UTEIS]], L$5, FALSE)</f>
        <v>#N/A</v>
      </c>
    </row>
    <row r="3260" spans="1:12" hidden="1">
      <c r="A3260" s="19">
        <f t="shared" si="259"/>
        <v>3254</v>
      </c>
      <c r="B3260" s="20">
        <f t="shared" si="255"/>
        <v>0</v>
      </c>
      <c r="C3260" s="21">
        <f t="shared" si="256"/>
        <v>0</v>
      </c>
      <c r="D3260" s="22" t="e">
        <f>VLOOKUP($A3260, TAB_JUROS_U[[Q_DIAS_U_PARC_TIR]:[V_FUT_U_JURS CENARIO]], D$5, FALSE)</f>
        <v>#N/A</v>
      </c>
      <c r="E3260" s="22" t="e">
        <f>VLOOKUP($A3260,TAB_CORRECAO_U[[Q_DIAS_U_PARC_TIR]:[V_FUT_U_CORC-02]],E$5, FALSE)</f>
        <v>#N/A</v>
      </c>
      <c r="F3260" s="22" t="e">
        <f>VLOOKUP($A3260,TAB_AMORTIZACAO_U[[Q_DIAS_U_PARC_TIR]:[V_FUT_U_PCPL-02]], F$5, FALSE)</f>
        <v>#N/A</v>
      </c>
      <c r="H3260" s="20">
        <f t="shared" si="257"/>
        <v>0</v>
      </c>
      <c r="I3260" s="21">
        <f t="shared" si="258"/>
        <v>0</v>
      </c>
      <c r="J3260" s="22" t="e">
        <f>VLOOKUP($A3260, TAB_JUROS_C[[DIAS_CORRIDOS]:[V_FUT_UTEIS]], J$5, FALSE)</f>
        <v>#N/A</v>
      </c>
      <c r="K3260" s="22" t="e">
        <f>VLOOKUP($A3260, TAB_CORRECAO_C[[DIAS_CORRIDOS]:[V_FUT_UTEIS]],K$5, FALSE)</f>
        <v>#N/A</v>
      </c>
      <c r="L3260" s="22" t="e">
        <f>VLOOKUP($A3260, TAB_AMORTIZACAO_C[[DIAS_CORRIDOS]:[V_FUT_UTEIS]], L$5, FALSE)</f>
        <v>#N/A</v>
      </c>
    </row>
    <row r="3261" spans="1:12" hidden="1">
      <c r="A3261" s="19">
        <f t="shared" si="259"/>
        <v>3255</v>
      </c>
      <c r="B3261" s="20">
        <f t="shared" si="255"/>
        <v>0</v>
      </c>
      <c r="C3261" s="21">
        <f t="shared" si="256"/>
        <v>0</v>
      </c>
      <c r="D3261" s="22" t="e">
        <f>VLOOKUP($A3261, TAB_JUROS_U[[Q_DIAS_U_PARC_TIR]:[V_FUT_U_JURS CENARIO]], D$5, FALSE)</f>
        <v>#N/A</v>
      </c>
      <c r="E3261" s="22" t="e">
        <f>VLOOKUP($A3261,TAB_CORRECAO_U[[Q_DIAS_U_PARC_TIR]:[V_FUT_U_CORC-02]],E$5, FALSE)</f>
        <v>#N/A</v>
      </c>
      <c r="F3261" s="22" t="e">
        <f>VLOOKUP($A3261,TAB_AMORTIZACAO_U[[Q_DIAS_U_PARC_TIR]:[V_FUT_U_PCPL-02]], F$5, FALSE)</f>
        <v>#N/A</v>
      </c>
      <c r="H3261" s="20">
        <f t="shared" si="257"/>
        <v>0</v>
      </c>
      <c r="I3261" s="21">
        <f t="shared" si="258"/>
        <v>0</v>
      </c>
      <c r="J3261" s="22" t="e">
        <f>VLOOKUP($A3261, TAB_JUROS_C[[DIAS_CORRIDOS]:[V_FUT_UTEIS]], J$5, FALSE)</f>
        <v>#N/A</v>
      </c>
      <c r="K3261" s="22" t="e">
        <f>VLOOKUP($A3261, TAB_CORRECAO_C[[DIAS_CORRIDOS]:[V_FUT_UTEIS]],K$5, FALSE)</f>
        <v>#N/A</v>
      </c>
      <c r="L3261" s="22" t="e">
        <f>VLOOKUP($A3261, TAB_AMORTIZACAO_C[[DIAS_CORRIDOS]:[V_FUT_UTEIS]], L$5, FALSE)</f>
        <v>#N/A</v>
      </c>
    </row>
    <row r="3262" spans="1:12" hidden="1">
      <c r="A3262" s="19">
        <f t="shared" si="259"/>
        <v>3256</v>
      </c>
      <c r="B3262" s="20">
        <f t="shared" si="255"/>
        <v>0</v>
      </c>
      <c r="C3262" s="21">
        <f t="shared" si="256"/>
        <v>0</v>
      </c>
      <c r="D3262" s="22" t="e">
        <f>VLOOKUP($A3262, TAB_JUROS_U[[Q_DIAS_U_PARC_TIR]:[V_FUT_U_JURS CENARIO]], D$5, FALSE)</f>
        <v>#N/A</v>
      </c>
      <c r="E3262" s="22" t="e">
        <f>VLOOKUP($A3262,TAB_CORRECAO_U[[Q_DIAS_U_PARC_TIR]:[V_FUT_U_CORC-02]],E$5, FALSE)</f>
        <v>#N/A</v>
      </c>
      <c r="F3262" s="22" t="e">
        <f>VLOOKUP($A3262,TAB_AMORTIZACAO_U[[Q_DIAS_U_PARC_TIR]:[V_FUT_U_PCPL-02]], F$5, FALSE)</f>
        <v>#N/A</v>
      </c>
      <c r="H3262" s="20">
        <f t="shared" si="257"/>
        <v>0</v>
      </c>
      <c r="I3262" s="21">
        <f t="shared" si="258"/>
        <v>0</v>
      </c>
      <c r="J3262" s="22" t="e">
        <f>VLOOKUP($A3262, TAB_JUROS_C[[DIAS_CORRIDOS]:[V_FUT_UTEIS]], J$5, FALSE)</f>
        <v>#N/A</v>
      </c>
      <c r="K3262" s="22" t="e">
        <f>VLOOKUP($A3262, TAB_CORRECAO_C[[DIAS_CORRIDOS]:[V_FUT_UTEIS]],K$5, FALSE)</f>
        <v>#N/A</v>
      </c>
      <c r="L3262" s="22" t="e">
        <f>VLOOKUP($A3262, TAB_AMORTIZACAO_C[[DIAS_CORRIDOS]:[V_FUT_UTEIS]], L$5, FALSE)</f>
        <v>#N/A</v>
      </c>
    </row>
    <row r="3263" spans="1:12" hidden="1">
      <c r="A3263" s="19">
        <f t="shared" si="259"/>
        <v>3257</v>
      </c>
      <c r="B3263" s="20">
        <f t="shared" si="255"/>
        <v>0</v>
      </c>
      <c r="C3263" s="21">
        <f t="shared" si="256"/>
        <v>0</v>
      </c>
      <c r="D3263" s="22" t="e">
        <f>VLOOKUP($A3263, TAB_JUROS_U[[Q_DIAS_U_PARC_TIR]:[V_FUT_U_JURS CENARIO]], D$5, FALSE)</f>
        <v>#N/A</v>
      </c>
      <c r="E3263" s="22" t="e">
        <f>VLOOKUP($A3263,TAB_CORRECAO_U[[Q_DIAS_U_PARC_TIR]:[V_FUT_U_CORC-02]],E$5, FALSE)</f>
        <v>#N/A</v>
      </c>
      <c r="F3263" s="22" t="e">
        <f>VLOOKUP($A3263,TAB_AMORTIZACAO_U[[Q_DIAS_U_PARC_TIR]:[V_FUT_U_PCPL-02]], F$5, FALSE)</f>
        <v>#N/A</v>
      </c>
      <c r="H3263" s="20">
        <f t="shared" si="257"/>
        <v>0</v>
      </c>
      <c r="I3263" s="21">
        <f t="shared" si="258"/>
        <v>0</v>
      </c>
      <c r="J3263" s="22" t="e">
        <f>VLOOKUP($A3263, TAB_JUROS_C[[DIAS_CORRIDOS]:[V_FUT_UTEIS]], J$5, FALSE)</f>
        <v>#N/A</v>
      </c>
      <c r="K3263" s="22" t="e">
        <f>VLOOKUP($A3263, TAB_CORRECAO_C[[DIAS_CORRIDOS]:[V_FUT_UTEIS]],K$5, FALSE)</f>
        <v>#N/A</v>
      </c>
      <c r="L3263" s="22" t="e">
        <f>VLOOKUP($A3263, TAB_AMORTIZACAO_C[[DIAS_CORRIDOS]:[V_FUT_UTEIS]], L$5, FALSE)</f>
        <v>#N/A</v>
      </c>
    </row>
    <row r="3264" spans="1:12" hidden="1">
      <c r="A3264" s="19">
        <f t="shared" si="259"/>
        <v>3258</v>
      </c>
      <c r="B3264" s="20">
        <f t="shared" si="255"/>
        <v>0</v>
      </c>
      <c r="C3264" s="21">
        <f t="shared" si="256"/>
        <v>0</v>
      </c>
      <c r="D3264" s="22" t="e">
        <f>VLOOKUP($A3264, TAB_JUROS_U[[Q_DIAS_U_PARC_TIR]:[V_FUT_U_JURS CENARIO]], D$5, FALSE)</f>
        <v>#N/A</v>
      </c>
      <c r="E3264" s="22" t="e">
        <f>VLOOKUP($A3264,TAB_CORRECAO_U[[Q_DIAS_U_PARC_TIR]:[V_FUT_U_CORC-02]],E$5, FALSE)</f>
        <v>#N/A</v>
      </c>
      <c r="F3264" s="22" t="e">
        <f>VLOOKUP($A3264,TAB_AMORTIZACAO_U[[Q_DIAS_U_PARC_TIR]:[V_FUT_U_PCPL-02]], F$5, FALSE)</f>
        <v>#N/A</v>
      </c>
      <c r="H3264" s="20">
        <f t="shared" si="257"/>
        <v>0</v>
      </c>
      <c r="I3264" s="21">
        <f t="shared" si="258"/>
        <v>0</v>
      </c>
      <c r="J3264" s="22" t="e">
        <f>VLOOKUP($A3264, TAB_JUROS_C[[DIAS_CORRIDOS]:[V_FUT_UTEIS]], J$5, FALSE)</f>
        <v>#N/A</v>
      </c>
      <c r="K3264" s="22" t="e">
        <f>VLOOKUP($A3264, TAB_CORRECAO_C[[DIAS_CORRIDOS]:[V_FUT_UTEIS]],K$5, FALSE)</f>
        <v>#N/A</v>
      </c>
      <c r="L3264" s="22" t="e">
        <f>VLOOKUP($A3264, TAB_AMORTIZACAO_C[[DIAS_CORRIDOS]:[V_FUT_UTEIS]], L$5, FALSE)</f>
        <v>#N/A</v>
      </c>
    </row>
    <row r="3265" spans="1:12" hidden="1">
      <c r="A3265" s="19">
        <f t="shared" si="259"/>
        <v>3259</v>
      </c>
      <c r="B3265" s="20">
        <f t="shared" si="255"/>
        <v>0</v>
      </c>
      <c r="C3265" s="21">
        <f t="shared" si="256"/>
        <v>0</v>
      </c>
      <c r="D3265" s="22" t="e">
        <f>VLOOKUP($A3265, TAB_JUROS_U[[Q_DIAS_U_PARC_TIR]:[V_FUT_U_JURS CENARIO]], D$5, FALSE)</f>
        <v>#N/A</v>
      </c>
      <c r="E3265" s="22" t="e">
        <f>VLOOKUP($A3265,TAB_CORRECAO_U[[Q_DIAS_U_PARC_TIR]:[V_FUT_U_CORC-02]],E$5, FALSE)</f>
        <v>#N/A</v>
      </c>
      <c r="F3265" s="22" t="e">
        <f>VLOOKUP($A3265,TAB_AMORTIZACAO_U[[Q_DIAS_U_PARC_TIR]:[V_FUT_U_PCPL-02]], F$5, FALSE)</f>
        <v>#N/A</v>
      </c>
      <c r="H3265" s="20">
        <f t="shared" si="257"/>
        <v>0</v>
      </c>
      <c r="I3265" s="21">
        <f t="shared" si="258"/>
        <v>0</v>
      </c>
      <c r="J3265" s="22" t="e">
        <f>VLOOKUP($A3265, TAB_JUROS_C[[DIAS_CORRIDOS]:[V_FUT_UTEIS]], J$5, FALSE)</f>
        <v>#N/A</v>
      </c>
      <c r="K3265" s="22" t="e">
        <f>VLOOKUP($A3265, TAB_CORRECAO_C[[DIAS_CORRIDOS]:[V_FUT_UTEIS]],K$5, FALSE)</f>
        <v>#N/A</v>
      </c>
      <c r="L3265" s="22" t="e">
        <f>VLOOKUP($A3265, TAB_AMORTIZACAO_C[[DIAS_CORRIDOS]:[V_FUT_UTEIS]], L$5, FALSE)</f>
        <v>#N/A</v>
      </c>
    </row>
    <row r="3266" spans="1:12" hidden="1">
      <c r="A3266" s="19">
        <f t="shared" si="259"/>
        <v>3260</v>
      </c>
      <c r="B3266" s="20">
        <f t="shared" si="255"/>
        <v>0</v>
      </c>
      <c r="C3266" s="21">
        <f t="shared" si="256"/>
        <v>0</v>
      </c>
      <c r="D3266" s="22" t="e">
        <f>VLOOKUP($A3266, TAB_JUROS_U[[Q_DIAS_U_PARC_TIR]:[V_FUT_U_JURS CENARIO]], D$5, FALSE)</f>
        <v>#N/A</v>
      </c>
      <c r="E3266" s="22" t="e">
        <f>VLOOKUP($A3266,TAB_CORRECAO_U[[Q_DIAS_U_PARC_TIR]:[V_FUT_U_CORC-02]],E$5, FALSE)</f>
        <v>#N/A</v>
      </c>
      <c r="F3266" s="22" t="e">
        <f>VLOOKUP($A3266,TAB_AMORTIZACAO_U[[Q_DIAS_U_PARC_TIR]:[V_FUT_U_PCPL-02]], F$5, FALSE)</f>
        <v>#N/A</v>
      </c>
      <c r="H3266" s="20">
        <f t="shared" si="257"/>
        <v>0</v>
      </c>
      <c r="I3266" s="21">
        <f t="shared" si="258"/>
        <v>0</v>
      </c>
      <c r="J3266" s="22" t="e">
        <f>VLOOKUP($A3266, TAB_JUROS_C[[DIAS_CORRIDOS]:[V_FUT_UTEIS]], J$5, FALSE)</f>
        <v>#N/A</v>
      </c>
      <c r="K3266" s="22" t="e">
        <f>VLOOKUP($A3266, TAB_CORRECAO_C[[DIAS_CORRIDOS]:[V_FUT_UTEIS]],K$5, FALSE)</f>
        <v>#N/A</v>
      </c>
      <c r="L3266" s="22" t="e">
        <f>VLOOKUP($A3266, TAB_AMORTIZACAO_C[[DIAS_CORRIDOS]:[V_FUT_UTEIS]], L$5, FALSE)</f>
        <v>#N/A</v>
      </c>
    </row>
    <row r="3267" spans="1:12" hidden="1">
      <c r="A3267" s="19">
        <f t="shared" si="259"/>
        <v>3261</v>
      </c>
      <c r="B3267" s="20">
        <f t="shared" si="255"/>
        <v>0</v>
      </c>
      <c r="C3267" s="21">
        <f t="shared" si="256"/>
        <v>0</v>
      </c>
      <c r="D3267" s="22" t="e">
        <f>VLOOKUP($A3267, TAB_JUROS_U[[Q_DIAS_U_PARC_TIR]:[V_FUT_U_JURS CENARIO]], D$5, FALSE)</f>
        <v>#N/A</v>
      </c>
      <c r="E3267" s="22" t="e">
        <f>VLOOKUP($A3267,TAB_CORRECAO_U[[Q_DIAS_U_PARC_TIR]:[V_FUT_U_CORC-02]],E$5, FALSE)</f>
        <v>#N/A</v>
      </c>
      <c r="F3267" s="22" t="e">
        <f>VLOOKUP($A3267,TAB_AMORTIZACAO_U[[Q_DIAS_U_PARC_TIR]:[V_FUT_U_PCPL-02]], F$5, FALSE)</f>
        <v>#N/A</v>
      </c>
      <c r="H3267" s="20">
        <f t="shared" si="257"/>
        <v>0</v>
      </c>
      <c r="I3267" s="21">
        <f t="shared" si="258"/>
        <v>0</v>
      </c>
      <c r="J3267" s="22" t="e">
        <f>VLOOKUP($A3267, TAB_JUROS_C[[DIAS_CORRIDOS]:[V_FUT_UTEIS]], J$5, FALSE)</f>
        <v>#N/A</v>
      </c>
      <c r="K3267" s="22" t="e">
        <f>VLOOKUP($A3267, TAB_CORRECAO_C[[DIAS_CORRIDOS]:[V_FUT_UTEIS]],K$5, FALSE)</f>
        <v>#N/A</v>
      </c>
      <c r="L3267" s="22" t="e">
        <f>VLOOKUP($A3267, TAB_AMORTIZACAO_C[[DIAS_CORRIDOS]:[V_FUT_UTEIS]], L$5, FALSE)</f>
        <v>#N/A</v>
      </c>
    </row>
    <row r="3268" spans="1:12" hidden="1">
      <c r="A3268" s="19">
        <f t="shared" si="259"/>
        <v>3262</v>
      </c>
      <c r="B3268" s="20">
        <f t="shared" si="255"/>
        <v>0</v>
      </c>
      <c r="C3268" s="21">
        <f t="shared" si="256"/>
        <v>0</v>
      </c>
      <c r="D3268" s="22" t="e">
        <f>VLOOKUP($A3268, TAB_JUROS_U[[Q_DIAS_U_PARC_TIR]:[V_FUT_U_JURS CENARIO]], D$5, FALSE)</f>
        <v>#N/A</v>
      </c>
      <c r="E3268" s="22" t="e">
        <f>VLOOKUP($A3268,TAB_CORRECAO_U[[Q_DIAS_U_PARC_TIR]:[V_FUT_U_CORC-02]],E$5, FALSE)</f>
        <v>#N/A</v>
      </c>
      <c r="F3268" s="22" t="e">
        <f>VLOOKUP($A3268,TAB_AMORTIZACAO_U[[Q_DIAS_U_PARC_TIR]:[V_FUT_U_PCPL-02]], F$5, FALSE)</f>
        <v>#N/A</v>
      </c>
      <c r="H3268" s="20">
        <f t="shared" si="257"/>
        <v>0</v>
      </c>
      <c r="I3268" s="21">
        <f t="shared" si="258"/>
        <v>0</v>
      </c>
      <c r="J3268" s="22" t="e">
        <f>VLOOKUP($A3268, TAB_JUROS_C[[DIAS_CORRIDOS]:[V_FUT_UTEIS]], J$5, FALSE)</f>
        <v>#N/A</v>
      </c>
      <c r="K3268" s="22" t="e">
        <f>VLOOKUP($A3268, TAB_CORRECAO_C[[DIAS_CORRIDOS]:[V_FUT_UTEIS]],K$5, FALSE)</f>
        <v>#N/A</v>
      </c>
      <c r="L3268" s="22" t="e">
        <f>VLOOKUP($A3268, TAB_AMORTIZACAO_C[[DIAS_CORRIDOS]:[V_FUT_UTEIS]], L$5, FALSE)</f>
        <v>#N/A</v>
      </c>
    </row>
    <row r="3269" spans="1:12" hidden="1">
      <c r="A3269" s="19">
        <f t="shared" si="259"/>
        <v>3263</v>
      </c>
      <c r="B3269" s="20">
        <f t="shared" si="255"/>
        <v>0</v>
      </c>
      <c r="C3269" s="21">
        <f t="shared" si="256"/>
        <v>0</v>
      </c>
      <c r="D3269" s="22" t="e">
        <f>VLOOKUP($A3269, TAB_JUROS_U[[Q_DIAS_U_PARC_TIR]:[V_FUT_U_JURS CENARIO]], D$5, FALSE)</f>
        <v>#N/A</v>
      </c>
      <c r="E3269" s="22" t="e">
        <f>VLOOKUP($A3269,TAB_CORRECAO_U[[Q_DIAS_U_PARC_TIR]:[V_FUT_U_CORC-02]],E$5, FALSE)</f>
        <v>#N/A</v>
      </c>
      <c r="F3269" s="22" t="e">
        <f>VLOOKUP($A3269,TAB_AMORTIZACAO_U[[Q_DIAS_U_PARC_TIR]:[V_FUT_U_PCPL-02]], F$5, FALSE)</f>
        <v>#N/A</v>
      </c>
      <c r="H3269" s="20">
        <f t="shared" si="257"/>
        <v>0</v>
      </c>
      <c r="I3269" s="21">
        <f t="shared" si="258"/>
        <v>0</v>
      </c>
      <c r="J3269" s="22" t="e">
        <f>VLOOKUP($A3269, TAB_JUROS_C[[DIAS_CORRIDOS]:[V_FUT_UTEIS]], J$5, FALSE)</f>
        <v>#N/A</v>
      </c>
      <c r="K3269" s="22" t="e">
        <f>VLOOKUP($A3269, TAB_CORRECAO_C[[DIAS_CORRIDOS]:[V_FUT_UTEIS]],K$5, FALSE)</f>
        <v>#N/A</v>
      </c>
      <c r="L3269" s="22" t="e">
        <f>VLOOKUP($A3269, TAB_AMORTIZACAO_C[[DIAS_CORRIDOS]:[V_FUT_UTEIS]], L$5, FALSE)</f>
        <v>#N/A</v>
      </c>
    </row>
    <row r="3270" spans="1:12" hidden="1">
      <c r="A3270" s="19">
        <f t="shared" si="259"/>
        <v>3264</v>
      </c>
      <c r="B3270" s="20">
        <f t="shared" si="255"/>
        <v>0</v>
      </c>
      <c r="C3270" s="21">
        <f t="shared" si="256"/>
        <v>0</v>
      </c>
      <c r="D3270" s="22" t="e">
        <f>VLOOKUP($A3270, TAB_JUROS_U[[Q_DIAS_U_PARC_TIR]:[V_FUT_U_JURS CENARIO]], D$5, FALSE)</f>
        <v>#N/A</v>
      </c>
      <c r="E3270" s="22" t="e">
        <f>VLOOKUP($A3270,TAB_CORRECAO_U[[Q_DIAS_U_PARC_TIR]:[V_FUT_U_CORC-02]],E$5, FALSE)</f>
        <v>#N/A</v>
      </c>
      <c r="F3270" s="22" t="e">
        <f>VLOOKUP($A3270,TAB_AMORTIZACAO_U[[Q_DIAS_U_PARC_TIR]:[V_FUT_U_PCPL-02]], F$5, FALSE)</f>
        <v>#N/A</v>
      </c>
      <c r="H3270" s="20">
        <f t="shared" si="257"/>
        <v>0</v>
      </c>
      <c r="I3270" s="21">
        <f t="shared" si="258"/>
        <v>0</v>
      </c>
      <c r="J3270" s="22" t="e">
        <f>VLOOKUP($A3270, TAB_JUROS_C[[DIAS_CORRIDOS]:[V_FUT_UTEIS]], J$5, FALSE)</f>
        <v>#N/A</v>
      </c>
      <c r="K3270" s="22" t="e">
        <f>VLOOKUP($A3270, TAB_CORRECAO_C[[DIAS_CORRIDOS]:[V_FUT_UTEIS]],K$5, FALSE)</f>
        <v>#N/A</v>
      </c>
      <c r="L3270" s="22" t="e">
        <f>VLOOKUP($A3270, TAB_AMORTIZACAO_C[[DIAS_CORRIDOS]:[V_FUT_UTEIS]], L$5, FALSE)</f>
        <v>#N/A</v>
      </c>
    </row>
    <row r="3271" spans="1:12" hidden="1">
      <c r="A3271" s="19">
        <f t="shared" si="259"/>
        <v>3265</v>
      </c>
      <c r="B3271" s="20">
        <f t="shared" si="255"/>
        <v>0</v>
      </c>
      <c r="C3271" s="21">
        <f t="shared" si="256"/>
        <v>0</v>
      </c>
      <c r="D3271" s="22" t="e">
        <f>VLOOKUP($A3271, TAB_JUROS_U[[Q_DIAS_U_PARC_TIR]:[V_FUT_U_JURS CENARIO]], D$5, FALSE)</f>
        <v>#N/A</v>
      </c>
      <c r="E3271" s="22" t="e">
        <f>VLOOKUP($A3271,TAB_CORRECAO_U[[Q_DIAS_U_PARC_TIR]:[V_FUT_U_CORC-02]],E$5, FALSE)</f>
        <v>#N/A</v>
      </c>
      <c r="F3271" s="22" t="e">
        <f>VLOOKUP($A3271,TAB_AMORTIZACAO_U[[Q_DIAS_U_PARC_TIR]:[V_FUT_U_PCPL-02]], F$5, FALSE)</f>
        <v>#N/A</v>
      </c>
      <c r="H3271" s="20">
        <f t="shared" si="257"/>
        <v>0</v>
      </c>
      <c r="I3271" s="21">
        <f t="shared" si="258"/>
        <v>0</v>
      </c>
      <c r="J3271" s="22" t="e">
        <f>VLOOKUP($A3271, TAB_JUROS_C[[DIAS_CORRIDOS]:[V_FUT_UTEIS]], J$5, FALSE)</f>
        <v>#N/A</v>
      </c>
      <c r="K3271" s="22" t="e">
        <f>VLOOKUP($A3271, TAB_CORRECAO_C[[DIAS_CORRIDOS]:[V_FUT_UTEIS]],K$5, FALSE)</f>
        <v>#N/A</v>
      </c>
      <c r="L3271" s="22" t="e">
        <f>VLOOKUP($A3271, TAB_AMORTIZACAO_C[[DIAS_CORRIDOS]:[V_FUT_UTEIS]], L$5, FALSE)</f>
        <v>#N/A</v>
      </c>
    </row>
    <row r="3272" spans="1:12" hidden="1">
      <c r="A3272" s="19">
        <f t="shared" si="259"/>
        <v>3266</v>
      </c>
      <c r="B3272" s="20">
        <f t="shared" si="255"/>
        <v>0</v>
      </c>
      <c r="C3272" s="21">
        <f t="shared" si="256"/>
        <v>0</v>
      </c>
      <c r="D3272" s="22" t="e">
        <f>VLOOKUP($A3272, TAB_JUROS_U[[Q_DIAS_U_PARC_TIR]:[V_FUT_U_JURS CENARIO]], D$5, FALSE)</f>
        <v>#N/A</v>
      </c>
      <c r="E3272" s="22" t="e">
        <f>VLOOKUP($A3272,TAB_CORRECAO_U[[Q_DIAS_U_PARC_TIR]:[V_FUT_U_CORC-02]],E$5, FALSE)</f>
        <v>#N/A</v>
      </c>
      <c r="F3272" s="22" t="e">
        <f>VLOOKUP($A3272,TAB_AMORTIZACAO_U[[Q_DIAS_U_PARC_TIR]:[V_FUT_U_PCPL-02]], F$5, FALSE)</f>
        <v>#N/A</v>
      </c>
      <c r="H3272" s="20">
        <f t="shared" si="257"/>
        <v>0</v>
      </c>
      <c r="I3272" s="21">
        <f t="shared" si="258"/>
        <v>0</v>
      </c>
      <c r="J3272" s="22" t="e">
        <f>VLOOKUP($A3272, TAB_JUROS_C[[DIAS_CORRIDOS]:[V_FUT_UTEIS]], J$5, FALSE)</f>
        <v>#N/A</v>
      </c>
      <c r="K3272" s="22" t="e">
        <f>VLOOKUP($A3272, TAB_CORRECAO_C[[DIAS_CORRIDOS]:[V_FUT_UTEIS]],K$5, FALSE)</f>
        <v>#N/A</v>
      </c>
      <c r="L3272" s="22" t="e">
        <f>VLOOKUP($A3272, TAB_AMORTIZACAO_C[[DIAS_CORRIDOS]:[V_FUT_UTEIS]], L$5, FALSE)</f>
        <v>#N/A</v>
      </c>
    </row>
    <row r="3273" spans="1:12" hidden="1">
      <c r="A3273" s="19">
        <f t="shared" si="259"/>
        <v>3267</v>
      </c>
      <c r="B3273" s="20">
        <f t="shared" ref="B3273:B3336" si="260">IF(ISERROR(C3273), 0, C3273)</f>
        <v>0</v>
      </c>
      <c r="C3273" s="21">
        <f t="shared" ref="C3273:C3336" si="261">SUMIF(D3273:F3273, "&gt;0", D3273:F3273)</f>
        <v>0</v>
      </c>
      <c r="D3273" s="22" t="e">
        <f>VLOOKUP($A3273, TAB_JUROS_U[[Q_DIAS_U_PARC_TIR]:[V_FUT_U_JURS CENARIO]], D$5, FALSE)</f>
        <v>#N/A</v>
      </c>
      <c r="E3273" s="22" t="e">
        <f>VLOOKUP($A3273,TAB_CORRECAO_U[[Q_DIAS_U_PARC_TIR]:[V_FUT_U_CORC-02]],E$5, FALSE)</f>
        <v>#N/A</v>
      </c>
      <c r="F3273" s="22" t="e">
        <f>VLOOKUP($A3273,TAB_AMORTIZACAO_U[[Q_DIAS_U_PARC_TIR]:[V_FUT_U_PCPL-02]], F$5, FALSE)</f>
        <v>#N/A</v>
      </c>
      <c r="H3273" s="20">
        <f t="shared" ref="H3273:H3336" si="262">IF(ISERROR(I3273), 0, I3273)</f>
        <v>0</v>
      </c>
      <c r="I3273" s="21">
        <f t="shared" ref="I3273:I3336" si="263">SUMIF(J3273:L3273, "&gt;0", J3273:L3273)</f>
        <v>0</v>
      </c>
      <c r="J3273" s="22" t="e">
        <f>VLOOKUP($A3273, TAB_JUROS_C[[DIAS_CORRIDOS]:[V_FUT_UTEIS]], J$5, FALSE)</f>
        <v>#N/A</v>
      </c>
      <c r="K3273" s="22" t="e">
        <f>VLOOKUP($A3273, TAB_CORRECAO_C[[DIAS_CORRIDOS]:[V_FUT_UTEIS]],K$5, FALSE)</f>
        <v>#N/A</v>
      </c>
      <c r="L3273" s="22" t="e">
        <f>VLOOKUP($A3273, TAB_AMORTIZACAO_C[[DIAS_CORRIDOS]:[V_FUT_UTEIS]], L$5, FALSE)</f>
        <v>#N/A</v>
      </c>
    </row>
    <row r="3274" spans="1:12" hidden="1">
      <c r="A3274" s="19">
        <f t="shared" ref="A3274:A3337" si="264">A3273+1</f>
        <v>3268</v>
      </c>
      <c r="B3274" s="20">
        <f t="shared" si="260"/>
        <v>0</v>
      </c>
      <c r="C3274" s="21">
        <f t="shared" si="261"/>
        <v>0</v>
      </c>
      <c r="D3274" s="22" t="e">
        <f>VLOOKUP($A3274, TAB_JUROS_U[[Q_DIAS_U_PARC_TIR]:[V_FUT_U_JURS CENARIO]], D$5, FALSE)</f>
        <v>#N/A</v>
      </c>
      <c r="E3274" s="22" t="e">
        <f>VLOOKUP($A3274,TAB_CORRECAO_U[[Q_DIAS_U_PARC_TIR]:[V_FUT_U_CORC-02]],E$5, FALSE)</f>
        <v>#N/A</v>
      </c>
      <c r="F3274" s="22" t="e">
        <f>VLOOKUP($A3274,TAB_AMORTIZACAO_U[[Q_DIAS_U_PARC_TIR]:[V_FUT_U_PCPL-02]], F$5, FALSE)</f>
        <v>#N/A</v>
      </c>
      <c r="H3274" s="20">
        <f t="shared" si="262"/>
        <v>0</v>
      </c>
      <c r="I3274" s="21">
        <f t="shared" si="263"/>
        <v>0</v>
      </c>
      <c r="J3274" s="22" t="e">
        <f>VLOOKUP($A3274, TAB_JUROS_C[[DIAS_CORRIDOS]:[V_FUT_UTEIS]], J$5, FALSE)</f>
        <v>#N/A</v>
      </c>
      <c r="K3274" s="22" t="e">
        <f>VLOOKUP($A3274, TAB_CORRECAO_C[[DIAS_CORRIDOS]:[V_FUT_UTEIS]],K$5, FALSE)</f>
        <v>#N/A</v>
      </c>
      <c r="L3274" s="22" t="e">
        <f>VLOOKUP($A3274, TAB_AMORTIZACAO_C[[DIAS_CORRIDOS]:[V_FUT_UTEIS]], L$5, FALSE)</f>
        <v>#N/A</v>
      </c>
    </row>
    <row r="3275" spans="1:12" hidden="1">
      <c r="A3275" s="19">
        <f t="shared" si="264"/>
        <v>3269</v>
      </c>
      <c r="B3275" s="20">
        <f t="shared" si="260"/>
        <v>0</v>
      </c>
      <c r="C3275" s="21">
        <f t="shared" si="261"/>
        <v>0</v>
      </c>
      <c r="D3275" s="22" t="e">
        <f>VLOOKUP($A3275, TAB_JUROS_U[[Q_DIAS_U_PARC_TIR]:[V_FUT_U_JURS CENARIO]], D$5, FALSE)</f>
        <v>#N/A</v>
      </c>
      <c r="E3275" s="22" t="e">
        <f>VLOOKUP($A3275,TAB_CORRECAO_U[[Q_DIAS_U_PARC_TIR]:[V_FUT_U_CORC-02]],E$5, FALSE)</f>
        <v>#N/A</v>
      </c>
      <c r="F3275" s="22" t="e">
        <f>VLOOKUP($A3275,TAB_AMORTIZACAO_U[[Q_DIAS_U_PARC_TIR]:[V_FUT_U_PCPL-02]], F$5, FALSE)</f>
        <v>#N/A</v>
      </c>
      <c r="H3275" s="20">
        <f t="shared" si="262"/>
        <v>216.35343944845155</v>
      </c>
      <c r="I3275" s="21">
        <f t="shared" si="263"/>
        <v>216.35343944845155</v>
      </c>
      <c r="J3275" s="22">
        <f>VLOOKUP($A3275, TAB_JUROS_C[[DIAS_CORRIDOS]:[V_FUT_UTEIS]], J$5, FALSE)</f>
        <v>10.241364703673412</v>
      </c>
      <c r="K3275" s="22">
        <f>VLOOKUP($A3275, TAB_CORRECAO_C[[DIAS_CORRIDOS]:[V_FUT_UTEIS]],K$5, FALSE)</f>
        <v>63.067982533033096</v>
      </c>
      <c r="L3275" s="22">
        <f>VLOOKUP($A3275, TAB_AMORTIZACAO_C[[DIAS_CORRIDOS]:[V_FUT_UTEIS]], L$5, FALSE)</f>
        <v>143.04409221174504</v>
      </c>
    </row>
    <row r="3276" spans="1:12" hidden="1">
      <c r="A3276" s="19">
        <f t="shared" si="264"/>
        <v>3270</v>
      </c>
      <c r="B3276" s="20">
        <f t="shared" si="260"/>
        <v>0</v>
      </c>
      <c r="C3276" s="21">
        <f t="shared" si="261"/>
        <v>0</v>
      </c>
      <c r="D3276" s="22" t="e">
        <f>VLOOKUP($A3276, TAB_JUROS_U[[Q_DIAS_U_PARC_TIR]:[V_FUT_U_JURS CENARIO]], D$5, FALSE)</f>
        <v>#N/A</v>
      </c>
      <c r="E3276" s="22" t="e">
        <f>VLOOKUP($A3276,TAB_CORRECAO_U[[Q_DIAS_U_PARC_TIR]:[V_FUT_U_CORC-02]],E$5, FALSE)</f>
        <v>#N/A</v>
      </c>
      <c r="F3276" s="22" t="e">
        <f>VLOOKUP($A3276,TAB_AMORTIZACAO_U[[Q_DIAS_U_PARC_TIR]:[V_FUT_U_PCPL-02]], F$5, FALSE)</f>
        <v>#N/A</v>
      </c>
      <c r="H3276" s="20">
        <f t="shared" si="262"/>
        <v>0</v>
      </c>
      <c r="I3276" s="21">
        <f t="shared" si="263"/>
        <v>0</v>
      </c>
      <c r="J3276" s="22" t="e">
        <f>VLOOKUP($A3276, TAB_JUROS_C[[DIAS_CORRIDOS]:[V_FUT_UTEIS]], J$5, FALSE)</f>
        <v>#N/A</v>
      </c>
      <c r="K3276" s="22" t="e">
        <f>VLOOKUP($A3276, TAB_CORRECAO_C[[DIAS_CORRIDOS]:[V_FUT_UTEIS]],K$5, FALSE)</f>
        <v>#N/A</v>
      </c>
      <c r="L3276" s="22" t="e">
        <f>VLOOKUP($A3276, TAB_AMORTIZACAO_C[[DIAS_CORRIDOS]:[V_FUT_UTEIS]], L$5, FALSE)</f>
        <v>#N/A</v>
      </c>
    </row>
    <row r="3277" spans="1:12" hidden="1">
      <c r="A3277" s="19">
        <f t="shared" si="264"/>
        <v>3271</v>
      </c>
      <c r="B3277" s="20">
        <f t="shared" si="260"/>
        <v>0</v>
      </c>
      <c r="C3277" s="21">
        <f t="shared" si="261"/>
        <v>0</v>
      </c>
      <c r="D3277" s="22" t="e">
        <f>VLOOKUP($A3277, TAB_JUROS_U[[Q_DIAS_U_PARC_TIR]:[V_FUT_U_JURS CENARIO]], D$5, FALSE)</f>
        <v>#N/A</v>
      </c>
      <c r="E3277" s="22" t="e">
        <f>VLOOKUP($A3277,TAB_CORRECAO_U[[Q_DIAS_U_PARC_TIR]:[V_FUT_U_CORC-02]],E$5, FALSE)</f>
        <v>#N/A</v>
      </c>
      <c r="F3277" s="22" t="e">
        <f>VLOOKUP($A3277,TAB_AMORTIZACAO_U[[Q_DIAS_U_PARC_TIR]:[V_FUT_U_PCPL-02]], F$5, FALSE)</f>
        <v>#N/A</v>
      </c>
      <c r="H3277" s="20">
        <f t="shared" si="262"/>
        <v>0</v>
      </c>
      <c r="I3277" s="21">
        <f t="shared" si="263"/>
        <v>0</v>
      </c>
      <c r="J3277" s="22" t="e">
        <f>VLOOKUP($A3277, TAB_JUROS_C[[DIAS_CORRIDOS]:[V_FUT_UTEIS]], J$5, FALSE)</f>
        <v>#N/A</v>
      </c>
      <c r="K3277" s="22" t="e">
        <f>VLOOKUP($A3277, TAB_CORRECAO_C[[DIAS_CORRIDOS]:[V_FUT_UTEIS]],K$5, FALSE)</f>
        <v>#N/A</v>
      </c>
      <c r="L3277" s="22" t="e">
        <f>VLOOKUP($A3277, TAB_AMORTIZACAO_C[[DIAS_CORRIDOS]:[V_FUT_UTEIS]], L$5, FALSE)</f>
        <v>#N/A</v>
      </c>
    </row>
    <row r="3278" spans="1:12" hidden="1">
      <c r="A3278" s="19">
        <f t="shared" si="264"/>
        <v>3272</v>
      </c>
      <c r="B3278" s="20">
        <f t="shared" si="260"/>
        <v>0</v>
      </c>
      <c r="C3278" s="21">
        <f t="shared" si="261"/>
        <v>0</v>
      </c>
      <c r="D3278" s="22" t="e">
        <f>VLOOKUP($A3278, TAB_JUROS_U[[Q_DIAS_U_PARC_TIR]:[V_FUT_U_JURS CENARIO]], D$5, FALSE)</f>
        <v>#N/A</v>
      </c>
      <c r="E3278" s="22" t="e">
        <f>VLOOKUP($A3278,TAB_CORRECAO_U[[Q_DIAS_U_PARC_TIR]:[V_FUT_U_CORC-02]],E$5, FALSE)</f>
        <v>#N/A</v>
      </c>
      <c r="F3278" s="22" t="e">
        <f>VLOOKUP($A3278,TAB_AMORTIZACAO_U[[Q_DIAS_U_PARC_TIR]:[V_FUT_U_PCPL-02]], F$5, FALSE)</f>
        <v>#N/A</v>
      </c>
      <c r="H3278" s="20">
        <f t="shared" si="262"/>
        <v>0</v>
      </c>
      <c r="I3278" s="21">
        <f t="shared" si="263"/>
        <v>0</v>
      </c>
      <c r="J3278" s="22" t="e">
        <f>VLOOKUP($A3278, TAB_JUROS_C[[DIAS_CORRIDOS]:[V_FUT_UTEIS]], J$5, FALSE)</f>
        <v>#N/A</v>
      </c>
      <c r="K3278" s="22" t="e">
        <f>VLOOKUP($A3278, TAB_CORRECAO_C[[DIAS_CORRIDOS]:[V_FUT_UTEIS]],K$5, FALSE)</f>
        <v>#N/A</v>
      </c>
      <c r="L3278" s="22" t="e">
        <f>VLOOKUP($A3278, TAB_AMORTIZACAO_C[[DIAS_CORRIDOS]:[V_FUT_UTEIS]], L$5, FALSE)</f>
        <v>#N/A</v>
      </c>
    </row>
    <row r="3279" spans="1:12" hidden="1">
      <c r="A3279" s="19">
        <f t="shared" si="264"/>
        <v>3273</v>
      </c>
      <c r="B3279" s="20">
        <f t="shared" si="260"/>
        <v>0</v>
      </c>
      <c r="C3279" s="21">
        <f t="shared" si="261"/>
        <v>0</v>
      </c>
      <c r="D3279" s="22" t="e">
        <f>VLOOKUP($A3279, TAB_JUROS_U[[Q_DIAS_U_PARC_TIR]:[V_FUT_U_JURS CENARIO]], D$5, FALSE)</f>
        <v>#N/A</v>
      </c>
      <c r="E3279" s="22" t="e">
        <f>VLOOKUP($A3279,TAB_CORRECAO_U[[Q_DIAS_U_PARC_TIR]:[V_FUT_U_CORC-02]],E$5, FALSE)</f>
        <v>#N/A</v>
      </c>
      <c r="F3279" s="22" t="e">
        <f>VLOOKUP($A3279,TAB_AMORTIZACAO_U[[Q_DIAS_U_PARC_TIR]:[V_FUT_U_PCPL-02]], F$5, FALSE)</f>
        <v>#N/A</v>
      </c>
      <c r="H3279" s="20">
        <f t="shared" si="262"/>
        <v>0</v>
      </c>
      <c r="I3279" s="21">
        <f t="shared" si="263"/>
        <v>0</v>
      </c>
      <c r="J3279" s="22" t="e">
        <f>VLOOKUP($A3279, TAB_JUROS_C[[DIAS_CORRIDOS]:[V_FUT_UTEIS]], J$5, FALSE)</f>
        <v>#N/A</v>
      </c>
      <c r="K3279" s="22" t="e">
        <f>VLOOKUP($A3279, TAB_CORRECAO_C[[DIAS_CORRIDOS]:[V_FUT_UTEIS]],K$5, FALSE)</f>
        <v>#N/A</v>
      </c>
      <c r="L3279" s="22" t="e">
        <f>VLOOKUP($A3279, TAB_AMORTIZACAO_C[[DIAS_CORRIDOS]:[V_FUT_UTEIS]], L$5, FALSE)</f>
        <v>#N/A</v>
      </c>
    </row>
    <row r="3280" spans="1:12" hidden="1">
      <c r="A3280" s="19">
        <f t="shared" si="264"/>
        <v>3274</v>
      </c>
      <c r="B3280" s="20">
        <f t="shared" si="260"/>
        <v>0</v>
      </c>
      <c r="C3280" s="21">
        <f t="shared" si="261"/>
        <v>0</v>
      </c>
      <c r="D3280" s="22" t="e">
        <f>VLOOKUP($A3280, TAB_JUROS_U[[Q_DIAS_U_PARC_TIR]:[V_FUT_U_JURS CENARIO]], D$5, FALSE)</f>
        <v>#N/A</v>
      </c>
      <c r="E3280" s="22" t="e">
        <f>VLOOKUP($A3280,TAB_CORRECAO_U[[Q_DIAS_U_PARC_TIR]:[V_FUT_U_CORC-02]],E$5, FALSE)</f>
        <v>#N/A</v>
      </c>
      <c r="F3280" s="22" t="e">
        <f>VLOOKUP($A3280,TAB_AMORTIZACAO_U[[Q_DIAS_U_PARC_TIR]:[V_FUT_U_PCPL-02]], F$5, FALSE)</f>
        <v>#N/A</v>
      </c>
      <c r="H3280" s="20">
        <f t="shared" si="262"/>
        <v>0</v>
      </c>
      <c r="I3280" s="21">
        <f t="shared" si="263"/>
        <v>0</v>
      </c>
      <c r="J3280" s="22" t="e">
        <f>VLOOKUP($A3280, TAB_JUROS_C[[DIAS_CORRIDOS]:[V_FUT_UTEIS]], J$5, FALSE)</f>
        <v>#N/A</v>
      </c>
      <c r="K3280" s="22" t="e">
        <f>VLOOKUP($A3280, TAB_CORRECAO_C[[DIAS_CORRIDOS]:[V_FUT_UTEIS]],K$5, FALSE)</f>
        <v>#N/A</v>
      </c>
      <c r="L3280" s="22" t="e">
        <f>VLOOKUP($A3280, TAB_AMORTIZACAO_C[[DIAS_CORRIDOS]:[V_FUT_UTEIS]], L$5, FALSE)</f>
        <v>#N/A</v>
      </c>
    </row>
    <row r="3281" spans="1:12" hidden="1">
      <c r="A3281" s="19">
        <f t="shared" si="264"/>
        <v>3275</v>
      </c>
      <c r="B3281" s="20">
        <f t="shared" si="260"/>
        <v>0</v>
      </c>
      <c r="C3281" s="21">
        <f t="shared" si="261"/>
        <v>0</v>
      </c>
      <c r="D3281" s="22" t="e">
        <f>VLOOKUP($A3281, TAB_JUROS_U[[Q_DIAS_U_PARC_TIR]:[V_FUT_U_JURS CENARIO]], D$5, FALSE)</f>
        <v>#N/A</v>
      </c>
      <c r="E3281" s="22" t="e">
        <f>VLOOKUP($A3281,TAB_CORRECAO_U[[Q_DIAS_U_PARC_TIR]:[V_FUT_U_CORC-02]],E$5, FALSE)</f>
        <v>#N/A</v>
      </c>
      <c r="F3281" s="22" t="e">
        <f>VLOOKUP($A3281,TAB_AMORTIZACAO_U[[Q_DIAS_U_PARC_TIR]:[V_FUT_U_PCPL-02]], F$5, FALSE)</f>
        <v>#N/A</v>
      </c>
      <c r="H3281" s="20">
        <f t="shared" si="262"/>
        <v>0</v>
      </c>
      <c r="I3281" s="21">
        <f t="shared" si="263"/>
        <v>0</v>
      </c>
      <c r="J3281" s="22" t="e">
        <f>VLOOKUP($A3281, TAB_JUROS_C[[DIAS_CORRIDOS]:[V_FUT_UTEIS]], J$5, FALSE)</f>
        <v>#N/A</v>
      </c>
      <c r="K3281" s="22" t="e">
        <f>VLOOKUP($A3281, TAB_CORRECAO_C[[DIAS_CORRIDOS]:[V_FUT_UTEIS]],K$5, FALSE)</f>
        <v>#N/A</v>
      </c>
      <c r="L3281" s="22" t="e">
        <f>VLOOKUP($A3281, TAB_AMORTIZACAO_C[[DIAS_CORRIDOS]:[V_FUT_UTEIS]], L$5, FALSE)</f>
        <v>#N/A</v>
      </c>
    </row>
    <row r="3282" spans="1:12" hidden="1">
      <c r="A3282" s="19">
        <f t="shared" si="264"/>
        <v>3276</v>
      </c>
      <c r="B3282" s="20">
        <f t="shared" si="260"/>
        <v>0</v>
      </c>
      <c r="C3282" s="21">
        <f t="shared" si="261"/>
        <v>0</v>
      </c>
      <c r="D3282" s="22" t="e">
        <f>VLOOKUP($A3282, TAB_JUROS_U[[Q_DIAS_U_PARC_TIR]:[V_FUT_U_JURS CENARIO]], D$5, FALSE)</f>
        <v>#N/A</v>
      </c>
      <c r="E3282" s="22" t="e">
        <f>VLOOKUP($A3282,TAB_CORRECAO_U[[Q_DIAS_U_PARC_TIR]:[V_FUT_U_CORC-02]],E$5, FALSE)</f>
        <v>#N/A</v>
      </c>
      <c r="F3282" s="22" t="e">
        <f>VLOOKUP($A3282,TAB_AMORTIZACAO_U[[Q_DIAS_U_PARC_TIR]:[V_FUT_U_PCPL-02]], F$5, FALSE)</f>
        <v>#N/A</v>
      </c>
      <c r="H3282" s="20">
        <f t="shared" si="262"/>
        <v>0</v>
      </c>
      <c r="I3282" s="21">
        <f t="shared" si="263"/>
        <v>0</v>
      </c>
      <c r="J3282" s="22" t="e">
        <f>VLOOKUP($A3282, TAB_JUROS_C[[DIAS_CORRIDOS]:[V_FUT_UTEIS]], J$5, FALSE)</f>
        <v>#N/A</v>
      </c>
      <c r="K3282" s="22" t="e">
        <f>VLOOKUP($A3282, TAB_CORRECAO_C[[DIAS_CORRIDOS]:[V_FUT_UTEIS]],K$5, FALSE)</f>
        <v>#N/A</v>
      </c>
      <c r="L3282" s="22" t="e">
        <f>VLOOKUP($A3282, TAB_AMORTIZACAO_C[[DIAS_CORRIDOS]:[V_FUT_UTEIS]], L$5, FALSE)</f>
        <v>#N/A</v>
      </c>
    </row>
    <row r="3283" spans="1:12" hidden="1">
      <c r="A3283" s="19">
        <f t="shared" si="264"/>
        <v>3277</v>
      </c>
      <c r="B3283" s="20">
        <f t="shared" si="260"/>
        <v>0</v>
      </c>
      <c r="C3283" s="21">
        <f t="shared" si="261"/>
        <v>0</v>
      </c>
      <c r="D3283" s="22" t="e">
        <f>VLOOKUP($A3283, TAB_JUROS_U[[Q_DIAS_U_PARC_TIR]:[V_FUT_U_JURS CENARIO]], D$5, FALSE)</f>
        <v>#N/A</v>
      </c>
      <c r="E3283" s="22" t="e">
        <f>VLOOKUP($A3283,TAB_CORRECAO_U[[Q_DIAS_U_PARC_TIR]:[V_FUT_U_CORC-02]],E$5, FALSE)</f>
        <v>#N/A</v>
      </c>
      <c r="F3283" s="22" t="e">
        <f>VLOOKUP($A3283,TAB_AMORTIZACAO_U[[Q_DIAS_U_PARC_TIR]:[V_FUT_U_PCPL-02]], F$5, FALSE)</f>
        <v>#N/A</v>
      </c>
      <c r="H3283" s="20">
        <f t="shared" si="262"/>
        <v>0</v>
      </c>
      <c r="I3283" s="21">
        <f t="shared" si="263"/>
        <v>0</v>
      </c>
      <c r="J3283" s="22" t="e">
        <f>VLOOKUP($A3283, TAB_JUROS_C[[DIAS_CORRIDOS]:[V_FUT_UTEIS]], J$5, FALSE)</f>
        <v>#N/A</v>
      </c>
      <c r="K3283" s="22" t="e">
        <f>VLOOKUP($A3283, TAB_CORRECAO_C[[DIAS_CORRIDOS]:[V_FUT_UTEIS]],K$5, FALSE)</f>
        <v>#N/A</v>
      </c>
      <c r="L3283" s="22" t="e">
        <f>VLOOKUP($A3283, TAB_AMORTIZACAO_C[[DIAS_CORRIDOS]:[V_FUT_UTEIS]], L$5, FALSE)</f>
        <v>#N/A</v>
      </c>
    </row>
    <row r="3284" spans="1:12" hidden="1">
      <c r="A3284" s="19">
        <f t="shared" si="264"/>
        <v>3278</v>
      </c>
      <c r="B3284" s="20">
        <f t="shared" si="260"/>
        <v>0</v>
      </c>
      <c r="C3284" s="21">
        <f t="shared" si="261"/>
        <v>0</v>
      </c>
      <c r="D3284" s="22" t="e">
        <f>VLOOKUP($A3284, TAB_JUROS_U[[Q_DIAS_U_PARC_TIR]:[V_FUT_U_JURS CENARIO]], D$5, FALSE)</f>
        <v>#N/A</v>
      </c>
      <c r="E3284" s="22" t="e">
        <f>VLOOKUP($A3284,TAB_CORRECAO_U[[Q_DIAS_U_PARC_TIR]:[V_FUT_U_CORC-02]],E$5, FALSE)</f>
        <v>#N/A</v>
      </c>
      <c r="F3284" s="22" t="e">
        <f>VLOOKUP($A3284,TAB_AMORTIZACAO_U[[Q_DIAS_U_PARC_TIR]:[V_FUT_U_PCPL-02]], F$5, FALSE)</f>
        <v>#N/A</v>
      </c>
      <c r="H3284" s="20">
        <f t="shared" si="262"/>
        <v>0</v>
      </c>
      <c r="I3284" s="21">
        <f t="shared" si="263"/>
        <v>0</v>
      </c>
      <c r="J3284" s="22" t="e">
        <f>VLOOKUP($A3284, TAB_JUROS_C[[DIAS_CORRIDOS]:[V_FUT_UTEIS]], J$5, FALSE)</f>
        <v>#N/A</v>
      </c>
      <c r="K3284" s="22" t="e">
        <f>VLOOKUP($A3284, TAB_CORRECAO_C[[DIAS_CORRIDOS]:[V_FUT_UTEIS]],K$5, FALSE)</f>
        <v>#N/A</v>
      </c>
      <c r="L3284" s="22" t="e">
        <f>VLOOKUP($A3284, TAB_AMORTIZACAO_C[[DIAS_CORRIDOS]:[V_FUT_UTEIS]], L$5, FALSE)</f>
        <v>#N/A</v>
      </c>
    </row>
    <row r="3285" spans="1:12" hidden="1">
      <c r="A3285" s="19">
        <f t="shared" si="264"/>
        <v>3279</v>
      </c>
      <c r="B3285" s="20">
        <f t="shared" si="260"/>
        <v>0</v>
      </c>
      <c r="C3285" s="21">
        <f t="shared" si="261"/>
        <v>0</v>
      </c>
      <c r="D3285" s="22" t="e">
        <f>VLOOKUP($A3285, TAB_JUROS_U[[Q_DIAS_U_PARC_TIR]:[V_FUT_U_JURS CENARIO]], D$5, FALSE)</f>
        <v>#N/A</v>
      </c>
      <c r="E3285" s="22" t="e">
        <f>VLOOKUP($A3285,TAB_CORRECAO_U[[Q_DIAS_U_PARC_TIR]:[V_FUT_U_CORC-02]],E$5, FALSE)</f>
        <v>#N/A</v>
      </c>
      <c r="F3285" s="22" t="e">
        <f>VLOOKUP($A3285,TAB_AMORTIZACAO_U[[Q_DIAS_U_PARC_TIR]:[V_FUT_U_PCPL-02]], F$5, FALSE)</f>
        <v>#N/A</v>
      </c>
      <c r="H3285" s="20">
        <f t="shared" si="262"/>
        <v>0</v>
      </c>
      <c r="I3285" s="21">
        <f t="shared" si="263"/>
        <v>0</v>
      </c>
      <c r="J3285" s="22" t="e">
        <f>VLOOKUP($A3285, TAB_JUROS_C[[DIAS_CORRIDOS]:[V_FUT_UTEIS]], J$5, FALSE)</f>
        <v>#N/A</v>
      </c>
      <c r="K3285" s="22" t="e">
        <f>VLOOKUP($A3285, TAB_CORRECAO_C[[DIAS_CORRIDOS]:[V_FUT_UTEIS]],K$5, FALSE)</f>
        <v>#N/A</v>
      </c>
      <c r="L3285" s="22" t="e">
        <f>VLOOKUP($A3285, TAB_AMORTIZACAO_C[[DIAS_CORRIDOS]:[V_FUT_UTEIS]], L$5, FALSE)</f>
        <v>#N/A</v>
      </c>
    </row>
    <row r="3286" spans="1:12" hidden="1">
      <c r="A3286" s="19">
        <f t="shared" si="264"/>
        <v>3280</v>
      </c>
      <c r="B3286" s="20">
        <f t="shared" si="260"/>
        <v>0</v>
      </c>
      <c r="C3286" s="21">
        <f t="shared" si="261"/>
        <v>0</v>
      </c>
      <c r="D3286" s="22" t="e">
        <f>VLOOKUP($A3286, TAB_JUROS_U[[Q_DIAS_U_PARC_TIR]:[V_FUT_U_JURS CENARIO]], D$5, FALSE)</f>
        <v>#N/A</v>
      </c>
      <c r="E3286" s="22" t="e">
        <f>VLOOKUP($A3286,TAB_CORRECAO_U[[Q_DIAS_U_PARC_TIR]:[V_FUT_U_CORC-02]],E$5, FALSE)</f>
        <v>#N/A</v>
      </c>
      <c r="F3286" s="22" t="e">
        <f>VLOOKUP($A3286,TAB_AMORTIZACAO_U[[Q_DIAS_U_PARC_TIR]:[V_FUT_U_PCPL-02]], F$5, FALSE)</f>
        <v>#N/A</v>
      </c>
      <c r="H3286" s="20">
        <f t="shared" si="262"/>
        <v>0</v>
      </c>
      <c r="I3286" s="21">
        <f t="shared" si="263"/>
        <v>0</v>
      </c>
      <c r="J3286" s="22" t="e">
        <f>VLOOKUP($A3286, TAB_JUROS_C[[DIAS_CORRIDOS]:[V_FUT_UTEIS]], J$5, FALSE)</f>
        <v>#N/A</v>
      </c>
      <c r="K3286" s="22" t="e">
        <f>VLOOKUP($A3286, TAB_CORRECAO_C[[DIAS_CORRIDOS]:[V_FUT_UTEIS]],K$5, FALSE)</f>
        <v>#N/A</v>
      </c>
      <c r="L3286" s="22" t="e">
        <f>VLOOKUP($A3286, TAB_AMORTIZACAO_C[[DIAS_CORRIDOS]:[V_FUT_UTEIS]], L$5, FALSE)</f>
        <v>#N/A</v>
      </c>
    </row>
    <row r="3287" spans="1:12" hidden="1">
      <c r="A3287" s="19">
        <f t="shared" si="264"/>
        <v>3281</v>
      </c>
      <c r="B3287" s="20">
        <f t="shared" si="260"/>
        <v>0</v>
      </c>
      <c r="C3287" s="21">
        <f t="shared" si="261"/>
        <v>0</v>
      </c>
      <c r="D3287" s="22" t="e">
        <f>VLOOKUP($A3287, TAB_JUROS_U[[Q_DIAS_U_PARC_TIR]:[V_FUT_U_JURS CENARIO]], D$5, FALSE)</f>
        <v>#N/A</v>
      </c>
      <c r="E3287" s="22" t="e">
        <f>VLOOKUP($A3287,TAB_CORRECAO_U[[Q_DIAS_U_PARC_TIR]:[V_FUT_U_CORC-02]],E$5, FALSE)</f>
        <v>#N/A</v>
      </c>
      <c r="F3287" s="22" t="e">
        <f>VLOOKUP($A3287,TAB_AMORTIZACAO_U[[Q_DIAS_U_PARC_TIR]:[V_FUT_U_PCPL-02]], F$5, FALSE)</f>
        <v>#N/A</v>
      </c>
      <c r="H3287" s="20">
        <f t="shared" si="262"/>
        <v>0</v>
      </c>
      <c r="I3287" s="21">
        <f t="shared" si="263"/>
        <v>0</v>
      </c>
      <c r="J3287" s="22" t="e">
        <f>VLOOKUP($A3287, TAB_JUROS_C[[DIAS_CORRIDOS]:[V_FUT_UTEIS]], J$5, FALSE)</f>
        <v>#N/A</v>
      </c>
      <c r="K3287" s="22" t="e">
        <f>VLOOKUP($A3287, TAB_CORRECAO_C[[DIAS_CORRIDOS]:[V_FUT_UTEIS]],K$5, FALSE)</f>
        <v>#N/A</v>
      </c>
      <c r="L3287" s="22" t="e">
        <f>VLOOKUP($A3287, TAB_AMORTIZACAO_C[[DIAS_CORRIDOS]:[V_FUT_UTEIS]], L$5, FALSE)</f>
        <v>#N/A</v>
      </c>
    </row>
    <row r="3288" spans="1:12" hidden="1">
      <c r="A3288" s="19">
        <f t="shared" si="264"/>
        <v>3282</v>
      </c>
      <c r="B3288" s="20">
        <f t="shared" si="260"/>
        <v>0</v>
      </c>
      <c r="C3288" s="21">
        <f t="shared" si="261"/>
        <v>0</v>
      </c>
      <c r="D3288" s="22" t="e">
        <f>VLOOKUP($A3288, TAB_JUROS_U[[Q_DIAS_U_PARC_TIR]:[V_FUT_U_JURS CENARIO]], D$5, FALSE)</f>
        <v>#N/A</v>
      </c>
      <c r="E3288" s="22" t="e">
        <f>VLOOKUP($A3288,TAB_CORRECAO_U[[Q_DIAS_U_PARC_TIR]:[V_FUT_U_CORC-02]],E$5, FALSE)</f>
        <v>#N/A</v>
      </c>
      <c r="F3288" s="22" t="e">
        <f>VLOOKUP($A3288,TAB_AMORTIZACAO_U[[Q_DIAS_U_PARC_TIR]:[V_FUT_U_PCPL-02]], F$5, FALSE)</f>
        <v>#N/A</v>
      </c>
      <c r="H3288" s="20">
        <f t="shared" si="262"/>
        <v>0</v>
      </c>
      <c r="I3288" s="21">
        <f t="shared" si="263"/>
        <v>0</v>
      </c>
      <c r="J3288" s="22" t="e">
        <f>VLOOKUP($A3288, TAB_JUROS_C[[DIAS_CORRIDOS]:[V_FUT_UTEIS]], J$5, FALSE)</f>
        <v>#N/A</v>
      </c>
      <c r="K3288" s="22" t="e">
        <f>VLOOKUP($A3288, TAB_CORRECAO_C[[DIAS_CORRIDOS]:[V_FUT_UTEIS]],K$5, FALSE)</f>
        <v>#N/A</v>
      </c>
      <c r="L3288" s="22" t="e">
        <f>VLOOKUP($A3288, TAB_AMORTIZACAO_C[[DIAS_CORRIDOS]:[V_FUT_UTEIS]], L$5, FALSE)</f>
        <v>#N/A</v>
      </c>
    </row>
    <row r="3289" spans="1:12" hidden="1">
      <c r="A3289" s="19">
        <f t="shared" si="264"/>
        <v>3283</v>
      </c>
      <c r="B3289" s="20">
        <f t="shared" si="260"/>
        <v>0</v>
      </c>
      <c r="C3289" s="21">
        <f t="shared" si="261"/>
        <v>0</v>
      </c>
      <c r="D3289" s="22" t="e">
        <f>VLOOKUP($A3289, TAB_JUROS_U[[Q_DIAS_U_PARC_TIR]:[V_FUT_U_JURS CENARIO]], D$5, FALSE)</f>
        <v>#N/A</v>
      </c>
      <c r="E3289" s="22" t="e">
        <f>VLOOKUP($A3289,TAB_CORRECAO_U[[Q_DIAS_U_PARC_TIR]:[V_FUT_U_CORC-02]],E$5, FALSE)</f>
        <v>#N/A</v>
      </c>
      <c r="F3289" s="22" t="e">
        <f>VLOOKUP($A3289,TAB_AMORTIZACAO_U[[Q_DIAS_U_PARC_TIR]:[V_FUT_U_PCPL-02]], F$5, FALSE)</f>
        <v>#N/A</v>
      </c>
      <c r="H3289" s="20">
        <f t="shared" si="262"/>
        <v>0</v>
      </c>
      <c r="I3289" s="21">
        <f t="shared" si="263"/>
        <v>0</v>
      </c>
      <c r="J3289" s="22" t="e">
        <f>VLOOKUP($A3289, TAB_JUROS_C[[DIAS_CORRIDOS]:[V_FUT_UTEIS]], J$5, FALSE)</f>
        <v>#N/A</v>
      </c>
      <c r="K3289" s="22" t="e">
        <f>VLOOKUP($A3289, TAB_CORRECAO_C[[DIAS_CORRIDOS]:[V_FUT_UTEIS]],K$5, FALSE)</f>
        <v>#N/A</v>
      </c>
      <c r="L3289" s="22" t="e">
        <f>VLOOKUP($A3289, TAB_AMORTIZACAO_C[[DIAS_CORRIDOS]:[V_FUT_UTEIS]], L$5, FALSE)</f>
        <v>#N/A</v>
      </c>
    </row>
    <row r="3290" spans="1:12" hidden="1">
      <c r="A3290" s="19">
        <f t="shared" si="264"/>
        <v>3284</v>
      </c>
      <c r="B3290" s="20">
        <f t="shared" si="260"/>
        <v>0</v>
      </c>
      <c r="C3290" s="21">
        <f t="shared" si="261"/>
        <v>0</v>
      </c>
      <c r="D3290" s="22" t="e">
        <f>VLOOKUP($A3290, TAB_JUROS_U[[Q_DIAS_U_PARC_TIR]:[V_FUT_U_JURS CENARIO]], D$5, FALSE)</f>
        <v>#N/A</v>
      </c>
      <c r="E3290" s="22" t="e">
        <f>VLOOKUP($A3290,TAB_CORRECAO_U[[Q_DIAS_U_PARC_TIR]:[V_FUT_U_CORC-02]],E$5, FALSE)</f>
        <v>#N/A</v>
      </c>
      <c r="F3290" s="22" t="e">
        <f>VLOOKUP($A3290,TAB_AMORTIZACAO_U[[Q_DIAS_U_PARC_TIR]:[V_FUT_U_PCPL-02]], F$5, FALSE)</f>
        <v>#N/A</v>
      </c>
      <c r="H3290" s="20">
        <f t="shared" si="262"/>
        <v>0</v>
      </c>
      <c r="I3290" s="21">
        <f t="shared" si="263"/>
        <v>0</v>
      </c>
      <c r="J3290" s="22" t="e">
        <f>VLOOKUP($A3290, TAB_JUROS_C[[DIAS_CORRIDOS]:[V_FUT_UTEIS]], J$5, FALSE)</f>
        <v>#N/A</v>
      </c>
      <c r="K3290" s="22" t="e">
        <f>VLOOKUP($A3290, TAB_CORRECAO_C[[DIAS_CORRIDOS]:[V_FUT_UTEIS]],K$5, FALSE)</f>
        <v>#N/A</v>
      </c>
      <c r="L3290" s="22" t="e">
        <f>VLOOKUP($A3290, TAB_AMORTIZACAO_C[[DIAS_CORRIDOS]:[V_FUT_UTEIS]], L$5, FALSE)</f>
        <v>#N/A</v>
      </c>
    </row>
    <row r="3291" spans="1:12" hidden="1">
      <c r="A3291" s="19">
        <f t="shared" si="264"/>
        <v>3285</v>
      </c>
      <c r="B3291" s="20">
        <f t="shared" si="260"/>
        <v>0</v>
      </c>
      <c r="C3291" s="21">
        <f t="shared" si="261"/>
        <v>0</v>
      </c>
      <c r="D3291" s="22" t="e">
        <f>VLOOKUP($A3291, TAB_JUROS_U[[Q_DIAS_U_PARC_TIR]:[V_FUT_U_JURS CENARIO]], D$5, FALSE)</f>
        <v>#N/A</v>
      </c>
      <c r="E3291" s="22" t="e">
        <f>VLOOKUP($A3291,TAB_CORRECAO_U[[Q_DIAS_U_PARC_TIR]:[V_FUT_U_CORC-02]],E$5, FALSE)</f>
        <v>#N/A</v>
      </c>
      <c r="F3291" s="22" t="e">
        <f>VLOOKUP($A3291,TAB_AMORTIZACAO_U[[Q_DIAS_U_PARC_TIR]:[V_FUT_U_PCPL-02]], F$5, FALSE)</f>
        <v>#N/A</v>
      </c>
      <c r="H3291" s="20">
        <f t="shared" si="262"/>
        <v>0</v>
      </c>
      <c r="I3291" s="21">
        <f t="shared" si="263"/>
        <v>0</v>
      </c>
      <c r="J3291" s="22" t="e">
        <f>VLOOKUP($A3291, TAB_JUROS_C[[DIAS_CORRIDOS]:[V_FUT_UTEIS]], J$5, FALSE)</f>
        <v>#N/A</v>
      </c>
      <c r="K3291" s="22" t="e">
        <f>VLOOKUP($A3291, TAB_CORRECAO_C[[DIAS_CORRIDOS]:[V_FUT_UTEIS]],K$5, FALSE)</f>
        <v>#N/A</v>
      </c>
      <c r="L3291" s="22" t="e">
        <f>VLOOKUP($A3291, TAB_AMORTIZACAO_C[[DIAS_CORRIDOS]:[V_FUT_UTEIS]], L$5, FALSE)</f>
        <v>#N/A</v>
      </c>
    </row>
    <row r="3292" spans="1:12" hidden="1">
      <c r="A3292" s="19">
        <f t="shared" si="264"/>
        <v>3286</v>
      </c>
      <c r="B3292" s="20">
        <f t="shared" si="260"/>
        <v>0</v>
      </c>
      <c r="C3292" s="21">
        <f t="shared" si="261"/>
        <v>0</v>
      </c>
      <c r="D3292" s="22" t="e">
        <f>VLOOKUP($A3292, TAB_JUROS_U[[Q_DIAS_U_PARC_TIR]:[V_FUT_U_JURS CENARIO]], D$5, FALSE)</f>
        <v>#N/A</v>
      </c>
      <c r="E3292" s="22" t="e">
        <f>VLOOKUP($A3292,TAB_CORRECAO_U[[Q_DIAS_U_PARC_TIR]:[V_FUT_U_CORC-02]],E$5, FALSE)</f>
        <v>#N/A</v>
      </c>
      <c r="F3292" s="22" t="e">
        <f>VLOOKUP($A3292,TAB_AMORTIZACAO_U[[Q_DIAS_U_PARC_TIR]:[V_FUT_U_PCPL-02]], F$5, FALSE)</f>
        <v>#N/A</v>
      </c>
      <c r="H3292" s="20">
        <f t="shared" si="262"/>
        <v>0</v>
      </c>
      <c r="I3292" s="21">
        <f t="shared" si="263"/>
        <v>0</v>
      </c>
      <c r="J3292" s="22" t="e">
        <f>VLOOKUP($A3292, TAB_JUROS_C[[DIAS_CORRIDOS]:[V_FUT_UTEIS]], J$5, FALSE)</f>
        <v>#N/A</v>
      </c>
      <c r="K3292" s="22" t="e">
        <f>VLOOKUP($A3292, TAB_CORRECAO_C[[DIAS_CORRIDOS]:[V_FUT_UTEIS]],K$5, FALSE)</f>
        <v>#N/A</v>
      </c>
      <c r="L3292" s="22" t="e">
        <f>VLOOKUP($A3292, TAB_AMORTIZACAO_C[[DIAS_CORRIDOS]:[V_FUT_UTEIS]], L$5, FALSE)</f>
        <v>#N/A</v>
      </c>
    </row>
    <row r="3293" spans="1:12" hidden="1">
      <c r="A3293" s="19">
        <f t="shared" si="264"/>
        <v>3287</v>
      </c>
      <c r="B3293" s="20">
        <f t="shared" si="260"/>
        <v>0</v>
      </c>
      <c r="C3293" s="21">
        <f t="shared" si="261"/>
        <v>0</v>
      </c>
      <c r="D3293" s="22" t="e">
        <f>VLOOKUP($A3293, TAB_JUROS_U[[Q_DIAS_U_PARC_TIR]:[V_FUT_U_JURS CENARIO]], D$5, FALSE)</f>
        <v>#N/A</v>
      </c>
      <c r="E3293" s="22" t="e">
        <f>VLOOKUP($A3293,TAB_CORRECAO_U[[Q_DIAS_U_PARC_TIR]:[V_FUT_U_CORC-02]],E$5, FALSE)</f>
        <v>#N/A</v>
      </c>
      <c r="F3293" s="22" t="e">
        <f>VLOOKUP($A3293,TAB_AMORTIZACAO_U[[Q_DIAS_U_PARC_TIR]:[V_FUT_U_PCPL-02]], F$5, FALSE)</f>
        <v>#N/A</v>
      </c>
      <c r="H3293" s="20">
        <f t="shared" si="262"/>
        <v>0</v>
      </c>
      <c r="I3293" s="21">
        <f t="shared" si="263"/>
        <v>0</v>
      </c>
      <c r="J3293" s="22" t="e">
        <f>VLOOKUP($A3293, TAB_JUROS_C[[DIAS_CORRIDOS]:[V_FUT_UTEIS]], J$5, FALSE)</f>
        <v>#N/A</v>
      </c>
      <c r="K3293" s="22" t="e">
        <f>VLOOKUP($A3293, TAB_CORRECAO_C[[DIAS_CORRIDOS]:[V_FUT_UTEIS]],K$5, FALSE)</f>
        <v>#N/A</v>
      </c>
      <c r="L3293" s="22" t="e">
        <f>VLOOKUP($A3293, TAB_AMORTIZACAO_C[[DIAS_CORRIDOS]:[V_FUT_UTEIS]], L$5, FALSE)</f>
        <v>#N/A</v>
      </c>
    </row>
    <row r="3294" spans="1:12" hidden="1">
      <c r="A3294" s="19">
        <f t="shared" si="264"/>
        <v>3288</v>
      </c>
      <c r="B3294" s="20">
        <f t="shared" si="260"/>
        <v>0</v>
      </c>
      <c r="C3294" s="21">
        <f t="shared" si="261"/>
        <v>0</v>
      </c>
      <c r="D3294" s="22" t="e">
        <f>VLOOKUP($A3294, TAB_JUROS_U[[Q_DIAS_U_PARC_TIR]:[V_FUT_U_JURS CENARIO]], D$5, FALSE)</f>
        <v>#N/A</v>
      </c>
      <c r="E3294" s="22" t="e">
        <f>VLOOKUP($A3294,TAB_CORRECAO_U[[Q_DIAS_U_PARC_TIR]:[V_FUT_U_CORC-02]],E$5, FALSE)</f>
        <v>#N/A</v>
      </c>
      <c r="F3294" s="22" t="e">
        <f>VLOOKUP($A3294,TAB_AMORTIZACAO_U[[Q_DIAS_U_PARC_TIR]:[V_FUT_U_PCPL-02]], F$5, FALSE)</f>
        <v>#N/A</v>
      </c>
      <c r="H3294" s="20">
        <f t="shared" si="262"/>
        <v>0</v>
      </c>
      <c r="I3294" s="21">
        <f t="shared" si="263"/>
        <v>0</v>
      </c>
      <c r="J3294" s="22" t="e">
        <f>VLOOKUP($A3294, TAB_JUROS_C[[DIAS_CORRIDOS]:[V_FUT_UTEIS]], J$5, FALSE)</f>
        <v>#N/A</v>
      </c>
      <c r="K3294" s="22" t="e">
        <f>VLOOKUP($A3294, TAB_CORRECAO_C[[DIAS_CORRIDOS]:[V_FUT_UTEIS]],K$5, FALSE)</f>
        <v>#N/A</v>
      </c>
      <c r="L3294" s="22" t="e">
        <f>VLOOKUP($A3294, TAB_AMORTIZACAO_C[[DIAS_CORRIDOS]:[V_FUT_UTEIS]], L$5, FALSE)</f>
        <v>#N/A</v>
      </c>
    </row>
    <row r="3295" spans="1:12" hidden="1">
      <c r="A3295" s="19">
        <f t="shared" si="264"/>
        <v>3289</v>
      </c>
      <c r="B3295" s="20">
        <f t="shared" si="260"/>
        <v>0</v>
      </c>
      <c r="C3295" s="21">
        <f t="shared" si="261"/>
        <v>0</v>
      </c>
      <c r="D3295" s="22" t="e">
        <f>VLOOKUP($A3295, TAB_JUROS_U[[Q_DIAS_U_PARC_TIR]:[V_FUT_U_JURS CENARIO]], D$5, FALSE)</f>
        <v>#N/A</v>
      </c>
      <c r="E3295" s="22" t="e">
        <f>VLOOKUP($A3295,TAB_CORRECAO_U[[Q_DIAS_U_PARC_TIR]:[V_FUT_U_CORC-02]],E$5, FALSE)</f>
        <v>#N/A</v>
      </c>
      <c r="F3295" s="22" t="e">
        <f>VLOOKUP($A3295,TAB_AMORTIZACAO_U[[Q_DIAS_U_PARC_TIR]:[V_FUT_U_PCPL-02]], F$5, FALSE)</f>
        <v>#N/A</v>
      </c>
      <c r="H3295" s="20">
        <f t="shared" si="262"/>
        <v>0</v>
      </c>
      <c r="I3295" s="21">
        <f t="shared" si="263"/>
        <v>0</v>
      </c>
      <c r="J3295" s="22" t="e">
        <f>VLOOKUP($A3295, TAB_JUROS_C[[DIAS_CORRIDOS]:[V_FUT_UTEIS]], J$5, FALSE)</f>
        <v>#N/A</v>
      </c>
      <c r="K3295" s="22" t="e">
        <f>VLOOKUP($A3295, TAB_CORRECAO_C[[DIAS_CORRIDOS]:[V_FUT_UTEIS]],K$5, FALSE)</f>
        <v>#N/A</v>
      </c>
      <c r="L3295" s="22" t="e">
        <f>VLOOKUP($A3295, TAB_AMORTIZACAO_C[[DIAS_CORRIDOS]:[V_FUT_UTEIS]], L$5, FALSE)</f>
        <v>#N/A</v>
      </c>
    </row>
    <row r="3296" spans="1:12" hidden="1">
      <c r="A3296" s="19">
        <f t="shared" si="264"/>
        <v>3290</v>
      </c>
      <c r="B3296" s="20">
        <f t="shared" si="260"/>
        <v>0</v>
      </c>
      <c r="C3296" s="21">
        <f t="shared" si="261"/>
        <v>0</v>
      </c>
      <c r="D3296" s="22" t="e">
        <f>VLOOKUP($A3296, TAB_JUROS_U[[Q_DIAS_U_PARC_TIR]:[V_FUT_U_JURS CENARIO]], D$5, FALSE)</f>
        <v>#N/A</v>
      </c>
      <c r="E3296" s="22" t="e">
        <f>VLOOKUP($A3296,TAB_CORRECAO_U[[Q_DIAS_U_PARC_TIR]:[V_FUT_U_CORC-02]],E$5, FALSE)</f>
        <v>#N/A</v>
      </c>
      <c r="F3296" s="22" t="e">
        <f>VLOOKUP($A3296,TAB_AMORTIZACAO_U[[Q_DIAS_U_PARC_TIR]:[V_FUT_U_PCPL-02]], F$5, FALSE)</f>
        <v>#N/A</v>
      </c>
      <c r="H3296" s="20">
        <f t="shared" si="262"/>
        <v>0</v>
      </c>
      <c r="I3296" s="21">
        <f t="shared" si="263"/>
        <v>0</v>
      </c>
      <c r="J3296" s="22" t="e">
        <f>VLOOKUP($A3296, TAB_JUROS_C[[DIAS_CORRIDOS]:[V_FUT_UTEIS]], J$5, FALSE)</f>
        <v>#N/A</v>
      </c>
      <c r="K3296" s="22" t="e">
        <f>VLOOKUP($A3296, TAB_CORRECAO_C[[DIAS_CORRIDOS]:[V_FUT_UTEIS]],K$5, FALSE)</f>
        <v>#N/A</v>
      </c>
      <c r="L3296" s="22" t="e">
        <f>VLOOKUP($A3296, TAB_AMORTIZACAO_C[[DIAS_CORRIDOS]:[V_FUT_UTEIS]], L$5, FALSE)</f>
        <v>#N/A</v>
      </c>
    </row>
    <row r="3297" spans="1:12" hidden="1">
      <c r="A3297" s="19">
        <f t="shared" si="264"/>
        <v>3291</v>
      </c>
      <c r="B3297" s="20">
        <f t="shared" si="260"/>
        <v>0</v>
      </c>
      <c r="C3297" s="21">
        <f t="shared" si="261"/>
        <v>0</v>
      </c>
      <c r="D3297" s="22" t="e">
        <f>VLOOKUP($A3297, TAB_JUROS_U[[Q_DIAS_U_PARC_TIR]:[V_FUT_U_JURS CENARIO]], D$5, FALSE)</f>
        <v>#N/A</v>
      </c>
      <c r="E3297" s="22" t="e">
        <f>VLOOKUP($A3297,TAB_CORRECAO_U[[Q_DIAS_U_PARC_TIR]:[V_FUT_U_CORC-02]],E$5, FALSE)</f>
        <v>#N/A</v>
      </c>
      <c r="F3297" s="22" t="e">
        <f>VLOOKUP($A3297,TAB_AMORTIZACAO_U[[Q_DIAS_U_PARC_TIR]:[V_FUT_U_PCPL-02]], F$5, FALSE)</f>
        <v>#N/A</v>
      </c>
      <c r="H3297" s="20">
        <f t="shared" si="262"/>
        <v>0</v>
      </c>
      <c r="I3297" s="21">
        <f t="shared" si="263"/>
        <v>0</v>
      </c>
      <c r="J3297" s="22" t="e">
        <f>VLOOKUP($A3297, TAB_JUROS_C[[DIAS_CORRIDOS]:[V_FUT_UTEIS]], J$5, FALSE)</f>
        <v>#N/A</v>
      </c>
      <c r="K3297" s="22" t="e">
        <f>VLOOKUP($A3297, TAB_CORRECAO_C[[DIAS_CORRIDOS]:[V_FUT_UTEIS]],K$5, FALSE)</f>
        <v>#N/A</v>
      </c>
      <c r="L3297" s="22" t="e">
        <f>VLOOKUP($A3297, TAB_AMORTIZACAO_C[[DIAS_CORRIDOS]:[V_FUT_UTEIS]], L$5, FALSE)</f>
        <v>#N/A</v>
      </c>
    </row>
    <row r="3298" spans="1:12" hidden="1">
      <c r="A3298" s="19">
        <f t="shared" si="264"/>
        <v>3292</v>
      </c>
      <c r="B3298" s="20">
        <f t="shared" si="260"/>
        <v>0</v>
      </c>
      <c r="C3298" s="21">
        <f t="shared" si="261"/>
        <v>0</v>
      </c>
      <c r="D3298" s="22" t="e">
        <f>VLOOKUP($A3298, TAB_JUROS_U[[Q_DIAS_U_PARC_TIR]:[V_FUT_U_JURS CENARIO]], D$5, FALSE)</f>
        <v>#N/A</v>
      </c>
      <c r="E3298" s="22" t="e">
        <f>VLOOKUP($A3298,TAB_CORRECAO_U[[Q_DIAS_U_PARC_TIR]:[V_FUT_U_CORC-02]],E$5, FALSE)</f>
        <v>#N/A</v>
      </c>
      <c r="F3298" s="22" t="e">
        <f>VLOOKUP($A3298,TAB_AMORTIZACAO_U[[Q_DIAS_U_PARC_TIR]:[V_FUT_U_PCPL-02]], F$5, FALSE)</f>
        <v>#N/A</v>
      </c>
      <c r="H3298" s="20">
        <f t="shared" si="262"/>
        <v>0</v>
      </c>
      <c r="I3298" s="21">
        <f t="shared" si="263"/>
        <v>0</v>
      </c>
      <c r="J3298" s="22" t="e">
        <f>VLOOKUP($A3298, TAB_JUROS_C[[DIAS_CORRIDOS]:[V_FUT_UTEIS]], J$5, FALSE)</f>
        <v>#N/A</v>
      </c>
      <c r="K3298" s="22" t="e">
        <f>VLOOKUP($A3298, TAB_CORRECAO_C[[DIAS_CORRIDOS]:[V_FUT_UTEIS]],K$5, FALSE)</f>
        <v>#N/A</v>
      </c>
      <c r="L3298" s="22" t="e">
        <f>VLOOKUP($A3298, TAB_AMORTIZACAO_C[[DIAS_CORRIDOS]:[V_FUT_UTEIS]], L$5, FALSE)</f>
        <v>#N/A</v>
      </c>
    </row>
    <row r="3299" spans="1:12" hidden="1">
      <c r="A3299" s="19">
        <f t="shared" si="264"/>
        <v>3293</v>
      </c>
      <c r="B3299" s="20">
        <f t="shared" si="260"/>
        <v>0</v>
      </c>
      <c r="C3299" s="21">
        <f t="shared" si="261"/>
        <v>0</v>
      </c>
      <c r="D3299" s="22" t="e">
        <f>VLOOKUP($A3299, TAB_JUROS_U[[Q_DIAS_U_PARC_TIR]:[V_FUT_U_JURS CENARIO]], D$5, FALSE)</f>
        <v>#N/A</v>
      </c>
      <c r="E3299" s="22" t="e">
        <f>VLOOKUP($A3299,TAB_CORRECAO_U[[Q_DIAS_U_PARC_TIR]:[V_FUT_U_CORC-02]],E$5, FALSE)</f>
        <v>#N/A</v>
      </c>
      <c r="F3299" s="22" t="e">
        <f>VLOOKUP($A3299,TAB_AMORTIZACAO_U[[Q_DIAS_U_PARC_TIR]:[V_FUT_U_PCPL-02]], F$5, FALSE)</f>
        <v>#N/A</v>
      </c>
      <c r="H3299" s="20">
        <f t="shared" si="262"/>
        <v>0</v>
      </c>
      <c r="I3299" s="21">
        <f t="shared" si="263"/>
        <v>0</v>
      </c>
      <c r="J3299" s="22" t="e">
        <f>VLOOKUP($A3299, TAB_JUROS_C[[DIAS_CORRIDOS]:[V_FUT_UTEIS]], J$5, FALSE)</f>
        <v>#N/A</v>
      </c>
      <c r="K3299" s="22" t="e">
        <f>VLOOKUP($A3299, TAB_CORRECAO_C[[DIAS_CORRIDOS]:[V_FUT_UTEIS]],K$5, FALSE)</f>
        <v>#N/A</v>
      </c>
      <c r="L3299" s="22" t="e">
        <f>VLOOKUP($A3299, TAB_AMORTIZACAO_C[[DIAS_CORRIDOS]:[V_FUT_UTEIS]], L$5, FALSE)</f>
        <v>#N/A</v>
      </c>
    </row>
    <row r="3300" spans="1:12" hidden="1">
      <c r="A3300" s="19">
        <f t="shared" si="264"/>
        <v>3294</v>
      </c>
      <c r="B3300" s="20">
        <f t="shared" si="260"/>
        <v>0</v>
      </c>
      <c r="C3300" s="21">
        <f t="shared" si="261"/>
        <v>0</v>
      </c>
      <c r="D3300" s="22" t="e">
        <f>VLOOKUP($A3300, TAB_JUROS_U[[Q_DIAS_U_PARC_TIR]:[V_FUT_U_JURS CENARIO]], D$5, FALSE)</f>
        <v>#N/A</v>
      </c>
      <c r="E3300" s="22" t="e">
        <f>VLOOKUP($A3300,TAB_CORRECAO_U[[Q_DIAS_U_PARC_TIR]:[V_FUT_U_CORC-02]],E$5, FALSE)</f>
        <v>#N/A</v>
      </c>
      <c r="F3300" s="22" t="e">
        <f>VLOOKUP($A3300,TAB_AMORTIZACAO_U[[Q_DIAS_U_PARC_TIR]:[V_FUT_U_PCPL-02]], F$5, FALSE)</f>
        <v>#N/A</v>
      </c>
      <c r="H3300" s="20">
        <f t="shared" si="262"/>
        <v>0</v>
      </c>
      <c r="I3300" s="21">
        <f t="shared" si="263"/>
        <v>0</v>
      </c>
      <c r="J3300" s="22" t="e">
        <f>VLOOKUP($A3300, TAB_JUROS_C[[DIAS_CORRIDOS]:[V_FUT_UTEIS]], J$5, FALSE)</f>
        <v>#N/A</v>
      </c>
      <c r="K3300" s="22" t="e">
        <f>VLOOKUP($A3300, TAB_CORRECAO_C[[DIAS_CORRIDOS]:[V_FUT_UTEIS]],K$5, FALSE)</f>
        <v>#N/A</v>
      </c>
      <c r="L3300" s="22" t="e">
        <f>VLOOKUP($A3300, TAB_AMORTIZACAO_C[[DIAS_CORRIDOS]:[V_FUT_UTEIS]], L$5, FALSE)</f>
        <v>#N/A</v>
      </c>
    </row>
    <row r="3301" spans="1:12" hidden="1">
      <c r="A3301" s="19">
        <f t="shared" si="264"/>
        <v>3295</v>
      </c>
      <c r="B3301" s="20">
        <f t="shared" si="260"/>
        <v>0</v>
      </c>
      <c r="C3301" s="21">
        <f t="shared" si="261"/>
        <v>0</v>
      </c>
      <c r="D3301" s="22" t="e">
        <f>VLOOKUP($A3301, TAB_JUROS_U[[Q_DIAS_U_PARC_TIR]:[V_FUT_U_JURS CENARIO]], D$5, FALSE)</f>
        <v>#N/A</v>
      </c>
      <c r="E3301" s="22" t="e">
        <f>VLOOKUP($A3301,TAB_CORRECAO_U[[Q_DIAS_U_PARC_TIR]:[V_FUT_U_CORC-02]],E$5, FALSE)</f>
        <v>#N/A</v>
      </c>
      <c r="F3301" s="22" t="e">
        <f>VLOOKUP($A3301,TAB_AMORTIZACAO_U[[Q_DIAS_U_PARC_TIR]:[V_FUT_U_PCPL-02]], F$5, FALSE)</f>
        <v>#N/A</v>
      </c>
      <c r="H3301" s="20">
        <f t="shared" si="262"/>
        <v>0</v>
      </c>
      <c r="I3301" s="21">
        <f t="shared" si="263"/>
        <v>0</v>
      </c>
      <c r="J3301" s="22" t="e">
        <f>VLOOKUP($A3301, TAB_JUROS_C[[DIAS_CORRIDOS]:[V_FUT_UTEIS]], J$5, FALSE)</f>
        <v>#N/A</v>
      </c>
      <c r="K3301" s="22" t="e">
        <f>VLOOKUP($A3301, TAB_CORRECAO_C[[DIAS_CORRIDOS]:[V_FUT_UTEIS]],K$5, FALSE)</f>
        <v>#N/A</v>
      </c>
      <c r="L3301" s="22" t="e">
        <f>VLOOKUP($A3301, TAB_AMORTIZACAO_C[[DIAS_CORRIDOS]:[V_FUT_UTEIS]], L$5, FALSE)</f>
        <v>#N/A</v>
      </c>
    </row>
    <row r="3302" spans="1:12" hidden="1">
      <c r="A3302" s="19">
        <f t="shared" si="264"/>
        <v>3296</v>
      </c>
      <c r="B3302" s="20">
        <f t="shared" si="260"/>
        <v>0</v>
      </c>
      <c r="C3302" s="21">
        <f t="shared" si="261"/>
        <v>0</v>
      </c>
      <c r="D3302" s="22" t="e">
        <f>VLOOKUP($A3302, TAB_JUROS_U[[Q_DIAS_U_PARC_TIR]:[V_FUT_U_JURS CENARIO]], D$5, FALSE)</f>
        <v>#N/A</v>
      </c>
      <c r="E3302" s="22" t="e">
        <f>VLOOKUP($A3302,TAB_CORRECAO_U[[Q_DIAS_U_PARC_TIR]:[V_FUT_U_CORC-02]],E$5, FALSE)</f>
        <v>#N/A</v>
      </c>
      <c r="F3302" s="22" t="e">
        <f>VLOOKUP($A3302,TAB_AMORTIZACAO_U[[Q_DIAS_U_PARC_TIR]:[V_FUT_U_PCPL-02]], F$5, FALSE)</f>
        <v>#N/A</v>
      </c>
      <c r="H3302" s="20">
        <f t="shared" si="262"/>
        <v>0</v>
      </c>
      <c r="I3302" s="21">
        <f t="shared" si="263"/>
        <v>0</v>
      </c>
      <c r="J3302" s="22" t="e">
        <f>VLOOKUP($A3302, TAB_JUROS_C[[DIAS_CORRIDOS]:[V_FUT_UTEIS]], J$5, FALSE)</f>
        <v>#N/A</v>
      </c>
      <c r="K3302" s="22" t="e">
        <f>VLOOKUP($A3302, TAB_CORRECAO_C[[DIAS_CORRIDOS]:[V_FUT_UTEIS]],K$5, FALSE)</f>
        <v>#N/A</v>
      </c>
      <c r="L3302" s="22" t="e">
        <f>VLOOKUP($A3302, TAB_AMORTIZACAO_C[[DIAS_CORRIDOS]:[V_FUT_UTEIS]], L$5, FALSE)</f>
        <v>#N/A</v>
      </c>
    </row>
    <row r="3303" spans="1:12" hidden="1">
      <c r="A3303" s="19">
        <f t="shared" si="264"/>
        <v>3297</v>
      </c>
      <c r="B3303" s="20">
        <f t="shared" si="260"/>
        <v>0</v>
      </c>
      <c r="C3303" s="21">
        <f t="shared" si="261"/>
        <v>0</v>
      </c>
      <c r="D3303" s="22" t="e">
        <f>VLOOKUP($A3303, TAB_JUROS_U[[Q_DIAS_U_PARC_TIR]:[V_FUT_U_JURS CENARIO]], D$5, FALSE)</f>
        <v>#N/A</v>
      </c>
      <c r="E3303" s="22" t="e">
        <f>VLOOKUP($A3303,TAB_CORRECAO_U[[Q_DIAS_U_PARC_TIR]:[V_FUT_U_CORC-02]],E$5, FALSE)</f>
        <v>#N/A</v>
      </c>
      <c r="F3303" s="22" t="e">
        <f>VLOOKUP($A3303,TAB_AMORTIZACAO_U[[Q_DIAS_U_PARC_TIR]:[V_FUT_U_PCPL-02]], F$5, FALSE)</f>
        <v>#N/A</v>
      </c>
      <c r="H3303" s="20">
        <f t="shared" si="262"/>
        <v>0</v>
      </c>
      <c r="I3303" s="21">
        <f t="shared" si="263"/>
        <v>0</v>
      </c>
      <c r="J3303" s="22" t="e">
        <f>VLOOKUP($A3303, TAB_JUROS_C[[DIAS_CORRIDOS]:[V_FUT_UTEIS]], J$5, FALSE)</f>
        <v>#N/A</v>
      </c>
      <c r="K3303" s="22" t="e">
        <f>VLOOKUP($A3303, TAB_CORRECAO_C[[DIAS_CORRIDOS]:[V_FUT_UTEIS]],K$5, FALSE)</f>
        <v>#N/A</v>
      </c>
      <c r="L3303" s="22" t="e">
        <f>VLOOKUP($A3303, TAB_AMORTIZACAO_C[[DIAS_CORRIDOS]:[V_FUT_UTEIS]], L$5, FALSE)</f>
        <v>#N/A</v>
      </c>
    </row>
    <row r="3304" spans="1:12" hidden="1">
      <c r="A3304" s="19">
        <f t="shared" si="264"/>
        <v>3298</v>
      </c>
      <c r="B3304" s="20">
        <f t="shared" si="260"/>
        <v>0</v>
      </c>
      <c r="C3304" s="21">
        <f t="shared" si="261"/>
        <v>0</v>
      </c>
      <c r="D3304" s="22" t="e">
        <f>VLOOKUP($A3304, TAB_JUROS_U[[Q_DIAS_U_PARC_TIR]:[V_FUT_U_JURS CENARIO]], D$5, FALSE)</f>
        <v>#N/A</v>
      </c>
      <c r="E3304" s="22" t="e">
        <f>VLOOKUP($A3304,TAB_CORRECAO_U[[Q_DIAS_U_PARC_TIR]:[V_FUT_U_CORC-02]],E$5, FALSE)</f>
        <v>#N/A</v>
      </c>
      <c r="F3304" s="22" t="e">
        <f>VLOOKUP($A3304,TAB_AMORTIZACAO_U[[Q_DIAS_U_PARC_TIR]:[V_FUT_U_PCPL-02]], F$5, FALSE)</f>
        <v>#N/A</v>
      </c>
      <c r="H3304" s="20">
        <f t="shared" si="262"/>
        <v>0</v>
      </c>
      <c r="I3304" s="21">
        <f t="shared" si="263"/>
        <v>0</v>
      </c>
      <c r="J3304" s="22" t="e">
        <f>VLOOKUP($A3304, TAB_JUROS_C[[DIAS_CORRIDOS]:[V_FUT_UTEIS]], J$5, FALSE)</f>
        <v>#N/A</v>
      </c>
      <c r="K3304" s="22" t="e">
        <f>VLOOKUP($A3304, TAB_CORRECAO_C[[DIAS_CORRIDOS]:[V_FUT_UTEIS]],K$5, FALSE)</f>
        <v>#N/A</v>
      </c>
      <c r="L3304" s="22" t="e">
        <f>VLOOKUP($A3304, TAB_AMORTIZACAO_C[[DIAS_CORRIDOS]:[V_FUT_UTEIS]], L$5, FALSE)</f>
        <v>#N/A</v>
      </c>
    </row>
    <row r="3305" spans="1:12" hidden="1">
      <c r="A3305" s="19">
        <f t="shared" si="264"/>
        <v>3299</v>
      </c>
      <c r="B3305" s="20">
        <f t="shared" si="260"/>
        <v>0</v>
      </c>
      <c r="C3305" s="21">
        <f t="shared" si="261"/>
        <v>0</v>
      </c>
      <c r="D3305" s="22" t="e">
        <f>VLOOKUP($A3305, TAB_JUROS_U[[Q_DIAS_U_PARC_TIR]:[V_FUT_U_JURS CENARIO]], D$5, FALSE)</f>
        <v>#N/A</v>
      </c>
      <c r="E3305" s="22" t="e">
        <f>VLOOKUP($A3305,TAB_CORRECAO_U[[Q_DIAS_U_PARC_TIR]:[V_FUT_U_CORC-02]],E$5, FALSE)</f>
        <v>#N/A</v>
      </c>
      <c r="F3305" s="22" t="e">
        <f>VLOOKUP($A3305,TAB_AMORTIZACAO_U[[Q_DIAS_U_PARC_TIR]:[V_FUT_U_PCPL-02]], F$5, FALSE)</f>
        <v>#N/A</v>
      </c>
      <c r="H3305" s="20">
        <f t="shared" si="262"/>
        <v>0</v>
      </c>
      <c r="I3305" s="21">
        <f t="shared" si="263"/>
        <v>0</v>
      </c>
      <c r="J3305" s="22" t="e">
        <f>VLOOKUP($A3305, TAB_JUROS_C[[DIAS_CORRIDOS]:[V_FUT_UTEIS]], J$5, FALSE)</f>
        <v>#N/A</v>
      </c>
      <c r="K3305" s="22" t="e">
        <f>VLOOKUP($A3305, TAB_CORRECAO_C[[DIAS_CORRIDOS]:[V_FUT_UTEIS]],K$5, FALSE)</f>
        <v>#N/A</v>
      </c>
      <c r="L3305" s="22" t="e">
        <f>VLOOKUP($A3305, TAB_AMORTIZACAO_C[[DIAS_CORRIDOS]:[V_FUT_UTEIS]], L$5, FALSE)</f>
        <v>#N/A</v>
      </c>
    </row>
    <row r="3306" spans="1:12" hidden="1">
      <c r="A3306" s="19">
        <f t="shared" si="264"/>
        <v>3300</v>
      </c>
      <c r="B3306" s="20">
        <f t="shared" si="260"/>
        <v>0</v>
      </c>
      <c r="C3306" s="21">
        <f t="shared" si="261"/>
        <v>0</v>
      </c>
      <c r="D3306" s="22" t="e">
        <f>VLOOKUP($A3306, TAB_JUROS_U[[Q_DIAS_U_PARC_TIR]:[V_FUT_U_JURS CENARIO]], D$5, FALSE)</f>
        <v>#N/A</v>
      </c>
      <c r="E3306" s="22" t="e">
        <f>VLOOKUP($A3306,TAB_CORRECAO_U[[Q_DIAS_U_PARC_TIR]:[V_FUT_U_CORC-02]],E$5, FALSE)</f>
        <v>#N/A</v>
      </c>
      <c r="F3306" s="22" t="e">
        <f>VLOOKUP($A3306,TAB_AMORTIZACAO_U[[Q_DIAS_U_PARC_TIR]:[V_FUT_U_PCPL-02]], F$5, FALSE)</f>
        <v>#N/A</v>
      </c>
      <c r="H3306" s="20">
        <f t="shared" si="262"/>
        <v>225.70046023467233</v>
      </c>
      <c r="I3306" s="21">
        <f t="shared" si="263"/>
        <v>225.70046023467233</v>
      </c>
      <c r="J3306" s="22">
        <f>VLOOKUP($A3306, TAB_JUROS_C[[DIAS_CORRIDOS]:[V_FUT_UTEIS]], J$5, FALSE)</f>
        <v>10.331663311429224</v>
      </c>
      <c r="K3306" s="22">
        <f>VLOOKUP($A3306, TAB_CORRECAO_C[[DIAS_CORRIDOS]:[V_FUT_UTEIS]],K$5, FALSE)</f>
        <v>63.098950471583279</v>
      </c>
      <c r="L3306" s="22">
        <f>VLOOKUP($A3306, TAB_AMORTIZACAO_C[[DIAS_CORRIDOS]:[V_FUT_UTEIS]], L$5, FALSE)</f>
        <v>152.26984645165982</v>
      </c>
    </row>
    <row r="3307" spans="1:12" hidden="1">
      <c r="A3307" s="19">
        <f t="shared" si="264"/>
        <v>3301</v>
      </c>
      <c r="B3307" s="20">
        <f t="shared" si="260"/>
        <v>0</v>
      </c>
      <c r="C3307" s="21">
        <f t="shared" si="261"/>
        <v>0</v>
      </c>
      <c r="D3307" s="22" t="e">
        <f>VLOOKUP($A3307, TAB_JUROS_U[[Q_DIAS_U_PARC_TIR]:[V_FUT_U_JURS CENARIO]], D$5, FALSE)</f>
        <v>#N/A</v>
      </c>
      <c r="E3307" s="22" t="e">
        <f>VLOOKUP($A3307,TAB_CORRECAO_U[[Q_DIAS_U_PARC_TIR]:[V_FUT_U_CORC-02]],E$5, FALSE)</f>
        <v>#N/A</v>
      </c>
      <c r="F3307" s="22" t="e">
        <f>VLOOKUP($A3307,TAB_AMORTIZACAO_U[[Q_DIAS_U_PARC_TIR]:[V_FUT_U_PCPL-02]], F$5, FALSE)</f>
        <v>#N/A</v>
      </c>
      <c r="H3307" s="20">
        <f t="shared" si="262"/>
        <v>0</v>
      </c>
      <c r="I3307" s="21">
        <f t="shared" si="263"/>
        <v>0</v>
      </c>
      <c r="J3307" s="22" t="e">
        <f>VLOOKUP($A3307, TAB_JUROS_C[[DIAS_CORRIDOS]:[V_FUT_UTEIS]], J$5, FALSE)</f>
        <v>#N/A</v>
      </c>
      <c r="K3307" s="22" t="e">
        <f>VLOOKUP($A3307, TAB_CORRECAO_C[[DIAS_CORRIDOS]:[V_FUT_UTEIS]],K$5, FALSE)</f>
        <v>#N/A</v>
      </c>
      <c r="L3307" s="22" t="e">
        <f>VLOOKUP($A3307, TAB_AMORTIZACAO_C[[DIAS_CORRIDOS]:[V_FUT_UTEIS]], L$5, FALSE)</f>
        <v>#N/A</v>
      </c>
    </row>
    <row r="3308" spans="1:12" hidden="1">
      <c r="A3308" s="19">
        <f t="shared" si="264"/>
        <v>3302</v>
      </c>
      <c r="B3308" s="20">
        <f t="shared" si="260"/>
        <v>0</v>
      </c>
      <c r="C3308" s="21">
        <f t="shared" si="261"/>
        <v>0</v>
      </c>
      <c r="D3308" s="22" t="e">
        <f>VLOOKUP($A3308, TAB_JUROS_U[[Q_DIAS_U_PARC_TIR]:[V_FUT_U_JURS CENARIO]], D$5, FALSE)</f>
        <v>#N/A</v>
      </c>
      <c r="E3308" s="22" t="e">
        <f>VLOOKUP($A3308,TAB_CORRECAO_U[[Q_DIAS_U_PARC_TIR]:[V_FUT_U_CORC-02]],E$5, FALSE)</f>
        <v>#N/A</v>
      </c>
      <c r="F3308" s="22" t="e">
        <f>VLOOKUP($A3308,TAB_AMORTIZACAO_U[[Q_DIAS_U_PARC_TIR]:[V_FUT_U_PCPL-02]], F$5, FALSE)</f>
        <v>#N/A</v>
      </c>
      <c r="H3308" s="20">
        <f t="shared" si="262"/>
        <v>0</v>
      </c>
      <c r="I3308" s="21">
        <f t="shared" si="263"/>
        <v>0</v>
      </c>
      <c r="J3308" s="22" t="e">
        <f>VLOOKUP($A3308, TAB_JUROS_C[[DIAS_CORRIDOS]:[V_FUT_UTEIS]], J$5, FALSE)</f>
        <v>#N/A</v>
      </c>
      <c r="K3308" s="22" t="e">
        <f>VLOOKUP($A3308, TAB_CORRECAO_C[[DIAS_CORRIDOS]:[V_FUT_UTEIS]],K$5, FALSE)</f>
        <v>#N/A</v>
      </c>
      <c r="L3308" s="22" t="e">
        <f>VLOOKUP($A3308, TAB_AMORTIZACAO_C[[DIAS_CORRIDOS]:[V_FUT_UTEIS]], L$5, FALSE)</f>
        <v>#N/A</v>
      </c>
    </row>
    <row r="3309" spans="1:12" hidden="1">
      <c r="A3309" s="19">
        <f t="shared" si="264"/>
        <v>3303</v>
      </c>
      <c r="B3309" s="20">
        <f t="shared" si="260"/>
        <v>0</v>
      </c>
      <c r="C3309" s="21">
        <f t="shared" si="261"/>
        <v>0</v>
      </c>
      <c r="D3309" s="22" t="e">
        <f>VLOOKUP($A3309, TAB_JUROS_U[[Q_DIAS_U_PARC_TIR]:[V_FUT_U_JURS CENARIO]], D$5, FALSE)</f>
        <v>#N/A</v>
      </c>
      <c r="E3309" s="22" t="e">
        <f>VLOOKUP($A3309,TAB_CORRECAO_U[[Q_DIAS_U_PARC_TIR]:[V_FUT_U_CORC-02]],E$5, FALSE)</f>
        <v>#N/A</v>
      </c>
      <c r="F3309" s="22" t="e">
        <f>VLOOKUP($A3309,TAB_AMORTIZACAO_U[[Q_DIAS_U_PARC_TIR]:[V_FUT_U_PCPL-02]], F$5, FALSE)</f>
        <v>#N/A</v>
      </c>
      <c r="H3309" s="20">
        <f t="shared" si="262"/>
        <v>0</v>
      </c>
      <c r="I3309" s="21">
        <f t="shared" si="263"/>
        <v>0</v>
      </c>
      <c r="J3309" s="22" t="e">
        <f>VLOOKUP($A3309, TAB_JUROS_C[[DIAS_CORRIDOS]:[V_FUT_UTEIS]], J$5, FALSE)</f>
        <v>#N/A</v>
      </c>
      <c r="K3309" s="22" t="e">
        <f>VLOOKUP($A3309, TAB_CORRECAO_C[[DIAS_CORRIDOS]:[V_FUT_UTEIS]],K$5, FALSE)</f>
        <v>#N/A</v>
      </c>
      <c r="L3309" s="22" t="e">
        <f>VLOOKUP($A3309, TAB_AMORTIZACAO_C[[DIAS_CORRIDOS]:[V_FUT_UTEIS]], L$5, FALSE)</f>
        <v>#N/A</v>
      </c>
    </row>
    <row r="3310" spans="1:12" hidden="1">
      <c r="A3310" s="19">
        <f t="shared" si="264"/>
        <v>3304</v>
      </c>
      <c r="B3310" s="20">
        <f t="shared" si="260"/>
        <v>0</v>
      </c>
      <c r="C3310" s="21">
        <f t="shared" si="261"/>
        <v>0</v>
      </c>
      <c r="D3310" s="22" t="e">
        <f>VLOOKUP($A3310, TAB_JUROS_U[[Q_DIAS_U_PARC_TIR]:[V_FUT_U_JURS CENARIO]], D$5, FALSE)</f>
        <v>#N/A</v>
      </c>
      <c r="E3310" s="22" t="e">
        <f>VLOOKUP($A3310,TAB_CORRECAO_U[[Q_DIAS_U_PARC_TIR]:[V_FUT_U_CORC-02]],E$5, FALSE)</f>
        <v>#N/A</v>
      </c>
      <c r="F3310" s="22" t="e">
        <f>VLOOKUP($A3310,TAB_AMORTIZACAO_U[[Q_DIAS_U_PARC_TIR]:[V_FUT_U_PCPL-02]], F$5, FALSE)</f>
        <v>#N/A</v>
      </c>
      <c r="H3310" s="20">
        <f t="shared" si="262"/>
        <v>0</v>
      </c>
      <c r="I3310" s="21">
        <f t="shared" si="263"/>
        <v>0</v>
      </c>
      <c r="J3310" s="22" t="e">
        <f>VLOOKUP($A3310, TAB_JUROS_C[[DIAS_CORRIDOS]:[V_FUT_UTEIS]], J$5, FALSE)</f>
        <v>#N/A</v>
      </c>
      <c r="K3310" s="22" t="e">
        <f>VLOOKUP($A3310, TAB_CORRECAO_C[[DIAS_CORRIDOS]:[V_FUT_UTEIS]],K$5, FALSE)</f>
        <v>#N/A</v>
      </c>
      <c r="L3310" s="22" t="e">
        <f>VLOOKUP($A3310, TAB_AMORTIZACAO_C[[DIAS_CORRIDOS]:[V_FUT_UTEIS]], L$5, FALSE)</f>
        <v>#N/A</v>
      </c>
    </row>
    <row r="3311" spans="1:12" hidden="1">
      <c r="A3311" s="19">
        <f t="shared" si="264"/>
        <v>3305</v>
      </c>
      <c r="B3311" s="20">
        <f t="shared" si="260"/>
        <v>0</v>
      </c>
      <c r="C3311" s="21">
        <f t="shared" si="261"/>
        <v>0</v>
      </c>
      <c r="D3311" s="22" t="e">
        <f>VLOOKUP($A3311, TAB_JUROS_U[[Q_DIAS_U_PARC_TIR]:[V_FUT_U_JURS CENARIO]], D$5, FALSE)</f>
        <v>#N/A</v>
      </c>
      <c r="E3311" s="22" t="e">
        <f>VLOOKUP($A3311,TAB_CORRECAO_U[[Q_DIAS_U_PARC_TIR]:[V_FUT_U_CORC-02]],E$5, FALSE)</f>
        <v>#N/A</v>
      </c>
      <c r="F3311" s="22" t="e">
        <f>VLOOKUP($A3311,TAB_AMORTIZACAO_U[[Q_DIAS_U_PARC_TIR]:[V_FUT_U_PCPL-02]], F$5, FALSE)</f>
        <v>#N/A</v>
      </c>
      <c r="H3311" s="20">
        <f t="shared" si="262"/>
        <v>0</v>
      </c>
      <c r="I3311" s="21">
        <f t="shared" si="263"/>
        <v>0</v>
      </c>
      <c r="J3311" s="22" t="e">
        <f>VLOOKUP($A3311, TAB_JUROS_C[[DIAS_CORRIDOS]:[V_FUT_UTEIS]], J$5, FALSE)</f>
        <v>#N/A</v>
      </c>
      <c r="K3311" s="22" t="e">
        <f>VLOOKUP($A3311, TAB_CORRECAO_C[[DIAS_CORRIDOS]:[V_FUT_UTEIS]],K$5, FALSE)</f>
        <v>#N/A</v>
      </c>
      <c r="L3311" s="22" t="e">
        <f>VLOOKUP($A3311, TAB_AMORTIZACAO_C[[DIAS_CORRIDOS]:[V_FUT_UTEIS]], L$5, FALSE)</f>
        <v>#N/A</v>
      </c>
    </row>
    <row r="3312" spans="1:12" hidden="1">
      <c r="A3312" s="19">
        <f t="shared" si="264"/>
        <v>3306</v>
      </c>
      <c r="B3312" s="20">
        <f t="shared" si="260"/>
        <v>0</v>
      </c>
      <c r="C3312" s="21">
        <f t="shared" si="261"/>
        <v>0</v>
      </c>
      <c r="D3312" s="22" t="e">
        <f>VLOOKUP($A3312, TAB_JUROS_U[[Q_DIAS_U_PARC_TIR]:[V_FUT_U_JURS CENARIO]], D$5, FALSE)</f>
        <v>#N/A</v>
      </c>
      <c r="E3312" s="22" t="e">
        <f>VLOOKUP($A3312,TAB_CORRECAO_U[[Q_DIAS_U_PARC_TIR]:[V_FUT_U_CORC-02]],E$5, FALSE)</f>
        <v>#N/A</v>
      </c>
      <c r="F3312" s="22" t="e">
        <f>VLOOKUP($A3312,TAB_AMORTIZACAO_U[[Q_DIAS_U_PARC_TIR]:[V_FUT_U_PCPL-02]], F$5, FALSE)</f>
        <v>#N/A</v>
      </c>
      <c r="H3312" s="20">
        <f t="shared" si="262"/>
        <v>0</v>
      </c>
      <c r="I3312" s="21">
        <f t="shared" si="263"/>
        <v>0</v>
      </c>
      <c r="J3312" s="22" t="e">
        <f>VLOOKUP($A3312, TAB_JUROS_C[[DIAS_CORRIDOS]:[V_FUT_UTEIS]], J$5, FALSE)</f>
        <v>#N/A</v>
      </c>
      <c r="K3312" s="22" t="e">
        <f>VLOOKUP($A3312, TAB_CORRECAO_C[[DIAS_CORRIDOS]:[V_FUT_UTEIS]],K$5, FALSE)</f>
        <v>#N/A</v>
      </c>
      <c r="L3312" s="22" t="e">
        <f>VLOOKUP($A3312, TAB_AMORTIZACAO_C[[DIAS_CORRIDOS]:[V_FUT_UTEIS]], L$5, FALSE)</f>
        <v>#N/A</v>
      </c>
    </row>
    <row r="3313" spans="1:12" hidden="1">
      <c r="A3313" s="19">
        <f t="shared" si="264"/>
        <v>3307</v>
      </c>
      <c r="B3313" s="20">
        <f t="shared" si="260"/>
        <v>0</v>
      </c>
      <c r="C3313" s="21">
        <f t="shared" si="261"/>
        <v>0</v>
      </c>
      <c r="D3313" s="22" t="e">
        <f>VLOOKUP($A3313, TAB_JUROS_U[[Q_DIAS_U_PARC_TIR]:[V_FUT_U_JURS CENARIO]], D$5, FALSE)</f>
        <v>#N/A</v>
      </c>
      <c r="E3313" s="22" t="e">
        <f>VLOOKUP($A3313,TAB_CORRECAO_U[[Q_DIAS_U_PARC_TIR]:[V_FUT_U_CORC-02]],E$5, FALSE)</f>
        <v>#N/A</v>
      </c>
      <c r="F3313" s="22" t="e">
        <f>VLOOKUP($A3313,TAB_AMORTIZACAO_U[[Q_DIAS_U_PARC_TIR]:[V_FUT_U_PCPL-02]], F$5, FALSE)</f>
        <v>#N/A</v>
      </c>
      <c r="H3313" s="20">
        <f t="shared" si="262"/>
        <v>0</v>
      </c>
      <c r="I3313" s="21">
        <f t="shared" si="263"/>
        <v>0</v>
      </c>
      <c r="J3313" s="22" t="e">
        <f>VLOOKUP($A3313, TAB_JUROS_C[[DIAS_CORRIDOS]:[V_FUT_UTEIS]], J$5, FALSE)</f>
        <v>#N/A</v>
      </c>
      <c r="K3313" s="22" t="e">
        <f>VLOOKUP($A3313, TAB_CORRECAO_C[[DIAS_CORRIDOS]:[V_FUT_UTEIS]],K$5, FALSE)</f>
        <v>#N/A</v>
      </c>
      <c r="L3313" s="22" t="e">
        <f>VLOOKUP($A3313, TAB_AMORTIZACAO_C[[DIAS_CORRIDOS]:[V_FUT_UTEIS]], L$5, FALSE)</f>
        <v>#N/A</v>
      </c>
    </row>
    <row r="3314" spans="1:12" hidden="1">
      <c r="A3314" s="19">
        <f t="shared" si="264"/>
        <v>3308</v>
      </c>
      <c r="B3314" s="20">
        <f t="shared" si="260"/>
        <v>0</v>
      </c>
      <c r="C3314" s="21">
        <f t="shared" si="261"/>
        <v>0</v>
      </c>
      <c r="D3314" s="22" t="e">
        <f>VLOOKUP($A3314, TAB_JUROS_U[[Q_DIAS_U_PARC_TIR]:[V_FUT_U_JURS CENARIO]], D$5, FALSE)</f>
        <v>#N/A</v>
      </c>
      <c r="E3314" s="22" t="e">
        <f>VLOOKUP($A3314,TAB_CORRECAO_U[[Q_DIAS_U_PARC_TIR]:[V_FUT_U_CORC-02]],E$5, FALSE)</f>
        <v>#N/A</v>
      </c>
      <c r="F3314" s="22" t="e">
        <f>VLOOKUP($A3314,TAB_AMORTIZACAO_U[[Q_DIAS_U_PARC_TIR]:[V_FUT_U_PCPL-02]], F$5, FALSE)</f>
        <v>#N/A</v>
      </c>
      <c r="H3314" s="20">
        <f t="shared" si="262"/>
        <v>0</v>
      </c>
      <c r="I3314" s="21">
        <f t="shared" si="263"/>
        <v>0</v>
      </c>
      <c r="J3314" s="22" t="e">
        <f>VLOOKUP($A3314, TAB_JUROS_C[[DIAS_CORRIDOS]:[V_FUT_UTEIS]], J$5, FALSE)</f>
        <v>#N/A</v>
      </c>
      <c r="K3314" s="22" t="e">
        <f>VLOOKUP($A3314, TAB_CORRECAO_C[[DIAS_CORRIDOS]:[V_FUT_UTEIS]],K$5, FALSE)</f>
        <v>#N/A</v>
      </c>
      <c r="L3314" s="22" t="e">
        <f>VLOOKUP($A3314, TAB_AMORTIZACAO_C[[DIAS_CORRIDOS]:[V_FUT_UTEIS]], L$5, FALSE)</f>
        <v>#N/A</v>
      </c>
    </row>
    <row r="3315" spans="1:12" hidden="1">
      <c r="A3315" s="19">
        <f t="shared" si="264"/>
        <v>3309</v>
      </c>
      <c r="B3315" s="20">
        <f t="shared" si="260"/>
        <v>0</v>
      </c>
      <c r="C3315" s="21">
        <f t="shared" si="261"/>
        <v>0</v>
      </c>
      <c r="D3315" s="22" t="e">
        <f>VLOOKUP($A3315, TAB_JUROS_U[[Q_DIAS_U_PARC_TIR]:[V_FUT_U_JURS CENARIO]], D$5, FALSE)</f>
        <v>#N/A</v>
      </c>
      <c r="E3315" s="22" t="e">
        <f>VLOOKUP($A3315,TAB_CORRECAO_U[[Q_DIAS_U_PARC_TIR]:[V_FUT_U_CORC-02]],E$5, FALSE)</f>
        <v>#N/A</v>
      </c>
      <c r="F3315" s="22" t="e">
        <f>VLOOKUP($A3315,TAB_AMORTIZACAO_U[[Q_DIAS_U_PARC_TIR]:[V_FUT_U_PCPL-02]], F$5, FALSE)</f>
        <v>#N/A</v>
      </c>
      <c r="H3315" s="20">
        <f t="shared" si="262"/>
        <v>0</v>
      </c>
      <c r="I3315" s="21">
        <f t="shared" si="263"/>
        <v>0</v>
      </c>
      <c r="J3315" s="22" t="e">
        <f>VLOOKUP($A3315, TAB_JUROS_C[[DIAS_CORRIDOS]:[V_FUT_UTEIS]], J$5, FALSE)</f>
        <v>#N/A</v>
      </c>
      <c r="K3315" s="22" t="e">
        <f>VLOOKUP($A3315, TAB_CORRECAO_C[[DIAS_CORRIDOS]:[V_FUT_UTEIS]],K$5, FALSE)</f>
        <v>#N/A</v>
      </c>
      <c r="L3315" s="22" t="e">
        <f>VLOOKUP($A3315, TAB_AMORTIZACAO_C[[DIAS_CORRIDOS]:[V_FUT_UTEIS]], L$5, FALSE)</f>
        <v>#N/A</v>
      </c>
    </row>
    <row r="3316" spans="1:12" hidden="1">
      <c r="A3316" s="19">
        <f t="shared" si="264"/>
        <v>3310</v>
      </c>
      <c r="B3316" s="20">
        <f t="shared" si="260"/>
        <v>0</v>
      </c>
      <c r="C3316" s="21">
        <f t="shared" si="261"/>
        <v>0</v>
      </c>
      <c r="D3316" s="22" t="e">
        <f>VLOOKUP($A3316, TAB_JUROS_U[[Q_DIAS_U_PARC_TIR]:[V_FUT_U_JURS CENARIO]], D$5, FALSE)</f>
        <v>#N/A</v>
      </c>
      <c r="E3316" s="22" t="e">
        <f>VLOOKUP($A3316,TAB_CORRECAO_U[[Q_DIAS_U_PARC_TIR]:[V_FUT_U_CORC-02]],E$5, FALSE)</f>
        <v>#N/A</v>
      </c>
      <c r="F3316" s="22" t="e">
        <f>VLOOKUP($A3316,TAB_AMORTIZACAO_U[[Q_DIAS_U_PARC_TIR]:[V_FUT_U_PCPL-02]], F$5, FALSE)</f>
        <v>#N/A</v>
      </c>
      <c r="H3316" s="20">
        <f t="shared" si="262"/>
        <v>0</v>
      </c>
      <c r="I3316" s="21">
        <f t="shared" si="263"/>
        <v>0</v>
      </c>
      <c r="J3316" s="22" t="e">
        <f>VLOOKUP($A3316, TAB_JUROS_C[[DIAS_CORRIDOS]:[V_FUT_UTEIS]], J$5, FALSE)</f>
        <v>#N/A</v>
      </c>
      <c r="K3316" s="22" t="e">
        <f>VLOOKUP($A3316, TAB_CORRECAO_C[[DIAS_CORRIDOS]:[V_FUT_UTEIS]],K$5, FALSE)</f>
        <v>#N/A</v>
      </c>
      <c r="L3316" s="22" t="e">
        <f>VLOOKUP($A3316, TAB_AMORTIZACAO_C[[DIAS_CORRIDOS]:[V_FUT_UTEIS]], L$5, FALSE)</f>
        <v>#N/A</v>
      </c>
    </row>
    <row r="3317" spans="1:12" hidden="1">
      <c r="A3317" s="19">
        <f t="shared" si="264"/>
        <v>3311</v>
      </c>
      <c r="B3317" s="20">
        <f t="shared" si="260"/>
        <v>0</v>
      </c>
      <c r="C3317" s="21">
        <f t="shared" si="261"/>
        <v>0</v>
      </c>
      <c r="D3317" s="22" t="e">
        <f>VLOOKUP($A3317, TAB_JUROS_U[[Q_DIAS_U_PARC_TIR]:[V_FUT_U_JURS CENARIO]], D$5, FALSE)</f>
        <v>#N/A</v>
      </c>
      <c r="E3317" s="22" t="e">
        <f>VLOOKUP($A3317,TAB_CORRECAO_U[[Q_DIAS_U_PARC_TIR]:[V_FUT_U_CORC-02]],E$5, FALSE)</f>
        <v>#N/A</v>
      </c>
      <c r="F3317" s="22" t="e">
        <f>VLOOKUP($A3317,TAB_AMORTIZACAO_U[[Q_DIAS_U_PARC_TIR]:[V_FUT_U_PCPL-02]], F$5, FALSE)</f>
        <v>#N/A</v>
      </c>
      <c r="H3317" s="20">
        <f t="shared" si="262"/>
        <v>0</v>
      </c>
      <c r="I3317" s="21">
        <f t="shared" si="263"/>
        <v>0</v>
      </c>
      <c r="J3317" s="22" t="e">
        <f>VLOOKUP($A3317, TAB_JUROS_C[[DIAS_CORRIDOS]:[V_FUT_UTEIS]], J$5, FALSE)</f>
        <v>#N/A</v>
      </c>
      <c r="K3317" s="22" t="e">
        <f>VLOOKUP($A3317, TAB_CORRECAO_C[[DIAS_CORRIDOS]:[V_FUT_UTEIS]],K$5, FALSE)</f>
        <v>#N/A</v>
      </c>
      <c r="L3317" s="22" t="e">
        <f>VLOOKUP($A3317, TAB_AMORTIZACAO_C[[DIAS_CORRIDOS]:[V_FUT_UTEIS]], L$5, FALSE)</f>
        <v>#N/A</v>
      </c>
    </row>
    <row r="3318" spans="1:12" hidden="1">
      <c r="A3318" s="19">
        <f t="shared" si="264"/>
        <v>3312</v>
      </c>
      <c r="B3318" s="20">
        <f t="shared" si="260"/>
        <v>0</v>
      </c>
      <c r="C3318" s="21">
        <f t="shared" si="261"/>
        <v>0</v>
      </c>
      <c r="D3318" s="22" t="e">
        <f>VLOOKUP($A3318, TAB_JUROS_U[[Q_DIAS_U_PARC_TIR]:[V_FUT_U_JURS CENARIO]], D$5, FALSE)</f>
        <v>#N/A</v>
      </c>
      <c r="E3318" s="22" t="e">
        <f>VLOOKUP($A3318,TAB_CORRECAO_U[[Q_DIAS_U_PARC_TIR]:[V_FUT_U_CORC-02]],E$5, FALSE)</f>
        <v>#N/A</v>
      </c>
      <c r="F3318" s="22" t="e">
        <f>VLOOKUP($A3318,TAB_AMORTIZACAO_U[[Q_DIAS_U_PARC_TIR]:[V_FUT_U_PCPL-02]], F$5, FALSE)</f>
        <v>#N/A</v>
      </c>
      <c r="H3318" s="20">
        <f t="shared" si="262"/>
        <v>0</v>
      </c>
      <c r="I3318" s="21">
        <f t="shared" si="263"/>
        <v>0</v>
      </c>
      <c r="J3318" s="22" t="e">
        <f>VLOOKUP($A3318, TAB_JUROS_C[[DIAS_CORRIDOS]:[V_FUT_UTEIS]], J$5, FALSE)</f>
        <v>#N/A</v>
      </c>
      <c r="K3318" s="22" t="e">
        <f>VLOOKUP($A3318, TAB_CORRECAO_C[[DIAS_CORRIDOS]:[V_FUT_UTEIS]],K$5, FALSE)</f>
        <v>#N/A</v>
      </c>
      <c r="L3318" s="22" t="e">
        <f>VLOOKUP($A3318, TAB_AMORTIZACAO_C[[DIAS_CORRIDOS]:[V_FUT_UTEIS]], L$5, FALSE)</f>
        <v>#N/A</v>
      </c>
    </row>
    <row r="3319" spans="1:12" hidden="1">
      <c r="A3319" s="19">
        <f t="shared" si="264"/>
        <v>3313</v>
      </c>
      <c r="B3319" s="20">
        <f t="shared" si="260"/>
        <v>0</v>
      </c>
      <c r="C3319" s="21">
        <f t="shared" si="261"/>
        <v>0</v>
      </c>
      <c r="D3319" s="22" t="e">
        <f>VLOOKUP($A3319, TAB_JUROS_U[[Q_DIAS_U_PARC_TIR]:[V_FUT_U_JURS CENARIO]], D$5, FALSE)</f>
        <v>#N/A</v>
      </c>
      <c r="E3319" s="22" t="e">
        <f>VLOOKUP($A3319,TAB_CORRECAO_U[[Q_DIAS_U_PARC_TIR]:[V_FUT_U_CORC-02]],E$5, FALSE)</f>
        <v>#N/A</v>
      </c>
      <c r="F3319" s="22" t="e">
        <f>VLOOKUP($A3319,TAB_AMORTIZACAO_U[[Q_DIAS_U_PARC_TIR]:[V_FUT_U_PCPL-02]], F$5, FALSE)</f>
        <v>#N/A</v>
      </c>
      <c r="H3319" s="20">
        <f t="shared" si="262"/>
        <v>0</v>
      </c>
      <c r="I3319" s="21">
        <f t="shared" si="263"/>
        <v>0</v>
      </c>
      <c r="J3319" s="22" t="e">
        <f>VLOOKUP($A3319, TAB_JUROS_C[[DIAS_CORRIDOS]:[V_FUT_UTEIS]], J$5, FALSE)</f>
        <v>#N/A</v>
      </c>
      <c r="K3319" s="22" t="e">
        <f>VLOOKUP($A3319, TAB_CORRECAO_C[[DIAS_CORRIDOS]:[V_FUT_UTEIS]],K$5, FALSE)</f>
        <v>#N/A</v>
      </c>
      <c r="L3319" s="22" t="e">
        <f>VLOOKUP($A3319, TAB_AMORTIZACAO_C[[DIAS_CORRIDOS]:[V_FUT_UTEIS]], L$5, FALSE)</f>
        <v>#N/A</v>
      </c>
    </row>
    <row r="3320" spans="1:12" hidden="1">
      <c r="A3320" s="19">
        <f t="shared" si="264"/>
        <v>3314</v>
      </c>
      <c r="B3320" s="20">
        <f t="shared" si="260"/>
        <v>0</v>
      </c>
      <c r="C3320" s="21">
        <f t="shared" si="261"/>
        <v>0</v>
      </c>
      <c r="D3320" s="22" t="e">
        <f>VLOOKUP($A3320, TAB_JUROS_U[[Q_DIAS_U_PARC_TIR]:[V_FUT_U_JURS CENARIO]], D$5, FALSE)</f>
        <v>#N/A</v>
      </c>
      <c r="E3320" s="22" t="e">
        <f>VLOOKUP($A3320,TAB_CORRECAO_U[[Q_DIAS_U_PARC_TIR]:[V_FUT_U_CORC-02]],E$5, FALSE)</f>
        <v>#N/A</v>
      </c>
      <c r="F3320" s="22" t="e">
        <f>VLOOKUP($A3320,TAB_AMORTIZACAO_U[[Q_DIAS_U_PARC_TIR]:[V_FUT_U_PCPL-02]], F$5, FALSE)</f>
        <v>#N/A</v>
      </c>
      <c r="H3320" s="20">
        <f t="shared" si="262"/>
        <v>0</v>
      </c>
      <c r="I3320" s="21">
        <f t="shared" si="263"/>
        <v>0</v>
      </c>
      <c r="J3320" s="22" t="e">
        <f>VLOOKUP($A3320, TAB_JUROS_C[[DIAS_CORRIDOS]:[V_FUT_UTEIS]], J$5, FALSE)</f>
        <v>#N/A</v>
      </c>
      <c r="K3320" s="22" t="e">
        <f>VLOOKUP($A3320, TAB_CORRECAO_C[[DIAS_CORRIDOS]:[V_FUT_UTEIS]],K$5, FALSE)</f>
        <v>#N/A</v>
      </c>
      <c r="L3320" s="22" t="e">
        <f>VLOOKUP($A3320, TAB_AMORTIZACAO_C[[DIAS_CORRIDOS]:[V_FUT_UTEIS]], L$5, FALSE)</f>
        <v>#N/A</v>
      </c>
    </row>
    <row r="3321" spans="1:12" hidden="1">
      <c r="A3321" s="19">
        <f t="shared" si="264"/>
        <v>3315</v>
      </c>
      <c r="B3321" s="20">
        <f t="shared" si="260"/>
        <v>0</v>
      </c>
      <c r="C3321" s="21">
        <f t="shared" si="261"/>
        <v>0</v>
      </c>
      <c r="D3321" s="22" t="e">
        <f>VLOOKUP($A3321, TAB_JUROS_U[[Q_DIAS_U_PARC_TIR]:[V_FUT_U_JURS CENARIO]], D$5, FALSE)</f>
        <v>#N/A</v>
      </c>
      <c r="E3321" s="22" t="e">
        <f>VLOOKUP($A3321,TAB_CORRECAO_U[[Q_DIAS_U_PARC_TIR]:[V_FUT_U_CORC-02]],E$5, FALSE)</f>
        <v>#N/A</v>
      </c>
      <c r="F3321" s="22" t="e">
        <f>VLOOKUP($A3321,TAB_AMORTIZACAO_U[[Q_DIAS_U_PARC_TIR]:[V_FUT_U_PCPL-02]], F$5, FALSE)</f>
        <v>#N/A</v>
      </c>
      <c r="H3321" s="20">
        <f t="shared" si="262"/>
        <v>0</v>
      </c>
      <c r="I3321" s="21">
        <f t="shared" si="263"/>
        <v>0</v>
      </c>
      <c r="J3321" s="22" t="e">
        <f>VLOOKUP($A3321, TAB_JUROS_C[[DIAS_CORRIDOS]:[V_FUT_UTEIS]], J$5, FALSE)</f>
        <v>#N/A</v>
      </c>
      <c r="K3321" s="22" t="e">
        <f>VLOOKUP($A3321, TAB_CORRECAO_C[[DIAS_CORRIDOS]:[V_FUT_UTEIS]],K$5, FALSE)</f>
        <v>#N/A</v>
      </c>
      <c r="L3321" s="22" t="e">
        <f>VLOOKUP($A3321, TAB_AMORTIZACAO_C[[DIAS_CORRIDOS]:[V_FUT_UTEIS]], L$5, FALSE)</f>
        <v>#N/A</v>
      </c>
    </row>
    <row r="3322" spans="1:12" hidden="1">
      <c r="A3322" s="19">
        <f t="shared" si="264"/>
        <v>3316</v>
      </c>
      <c r="B3322" s="20">
        <f t="shared" si="260"/>
        <v>0</v>
      </c>
      <c r="C3322" s="21">
        <f t="shared" si="261"/>
        <v>0</v>
      </c>
      <c r="D3322" s="22" t="e">
        <f>VLOOKUP($A3322, TAB_JUROS_U[[Q_DIAS_U_PARC_TIR]:[V_FUT_U_JURS CENARIO]], D$5, FALSE)</f>
        <v>#N/A</v>
      </c>
      <c r="E3322" s="22" t="e">
        <f>VLOOKUP($A3322,TAB_CORRECAO_U[[Q_DIAS_U_PARC_TIR]:[V_FUT_U_CORC-02]],E$5, FALSE)</f>
        <v>#N/A</v>
      </c>
      <c r="F3322" s="22" t="e">
        <f>VLOOKUP($A3322,TAB_AMORTIZACAO_U[[Q_DIAS_U_PARC_TIR]:[V_FUT_U_PCPL-02]], F$5, FALSE)</f>
        <v>#N/A</v>
      </c>
      <c r="H3322" s="20">
        <f t="shared" si="262"/>
        <v>0</v>
      </c>
      <c r="I3322" s="21">
        <f t="shared" si="263"/>
        <v>0</v>
      </c>
      <c r="J3322" s="22" t="e">
        <f>VLOOKUP($A3322, TAB_JUROS_C[[DIAS_CORRIDOS]:[V_FUT_UTEIS]], J$5, FALSE)</f>
        <v>#N/A</v>
      </c>
      <c r="K3322" s="22" t="e">
        <f>VLOOKUP($A3322, TAB_CORRECAO_C[[DIAS_CORRIDOS]:[V_FUT_UTEIS]],K$5, FALSE)</f>
        <v>#N/A</v>
      </c>
      <c r="L3322" s="22" t="e">
        <f>VLOOKUP($A3322, TAB_AMORTIZACAO_C[[DIAS_CORRIDOS]:[V_FUT_UTEIS]], L$5, FALSE)</f>
        <v>#N/A</v>
      </c>
    </row>
    <row r="3323" spans="1:12" hidden="1">
      <c r="A3323" s="19">
        <f t="shared" si="264"/>
        <v>3317</v>
      </c>
      <c r="B3323" s="20">
        <f t="shared" si="260"/>
        <v>0</v>
      </c>
      <c r="C3323" s="21">
        <f t="shared" si="261"/>
        <v>0</v>
      </c>
      <c r="D3323" s="22" t="e">
        <f>VLOOKUP($A3323, TAB_JUROS_U[[Q_DIAS_U_PARC_TIR]:[V_FUT_U_JURS CENARIO]], D$5, FALSE)</f>
        <v>#N/A</v>
      </c>
      <c r="E3323" s="22" t="e">
        <f>VLOOKUP($A3323,TAB_CORRECAO_U[[Q_DIAS_U_PARC_TIR]:[V_FUT_U_CORC-02]],E$5, FALSE)</f>
        <v>#N/A</v>
      </c>
      <c r="F3323" s="22" t="e">
        <f>VLOOKUP($A3323,TAB_AMORTIZACAO_U[[Q_DIAS_U_PARC_TIR]:[V_FUT_U_PCPL-02]], F$5, FALSE)</f>
        <v>#N/A</v>
      </c>
      <c r="H3323" s="20">
        <f t="shared" si="262"/>
        <v>0</v>
      </c>
      <c r="I3323" s="21">
        <f t="shared" si="263"/>
        <v>0</v>
      </c>
      <c r="J3323" s="22" t="e">
        <f>VLOOKUP($A3323, TAB_JUROS_C[[DIAS_CORRIDOS]:[V_FUT_UTEIS]], J$5, FALSE)</f>
        <v>#N/A</v>
      </c>
      <c r="K3323" s="22" t="e">
        <f>VLOOKUP($A3323, TAB_CORRECAO_C[[DIAS_CORRIDOS]:[V_FUT_UTEIS]],K$5, FALSE)</f>
        <v>#N/A</v>
      </c>
      <c r="L3323" s="22" t="e">
        <f>VLOOKUP($A3323, TAB_AMORTIZACAO_C[[DIAS_CORRIDOS]:[V_FUT_UTEIS]], L$5, FALSE)</f>
        <v>#N/A</v>
      </c>
    </row>
    <row r="3324" spans="1:12" hidden="1">
      <c r="A3324" s="19">
        <f t="shared" si="264"/>
        <v>3318</v>
      </c>
      <c r="B3324" s="20">
        <f t="shared" si="260"/>
        <v>0</v>
      </c>
      <c r="C3324" s="21">
        <f t="shared" si="261"/>
        <v>0</v>
      </c>
      <c r="D3324" s="22" t="e">
        <f>VLOOKUP($A3324, TAB_JUROS_U[[Q_DIAS_U_PARC_TIR]:[V_FUT_U_JURS CENARIO]], D$5, FALSE)</f>
        <v>#N/A</v>
      </c>
      <c r="E3324" s="22" t="e">
        <f>VLOOKUP($A3324,TAB_CORRECAO_U[[Q_DIAS_U_PARC_TIR]:[V_FUT_U_CORC-02]],E$5, FALSE)</f>
        <v>#N/A</v>
      </c>
      <c r="F3324" s="22" t="e">
        <f>VLOOKUP($A3324,TAB_AMORTIZACAO_U[[Q_DIAS_U_PARC_TIR]:[V_FUT_U_PCPL-02]], F$5, FALSE)</f>
        <v>#N/A</v>
      </c>
      <c r="H3324" s="20">
        <f t="shared" si="262"/>
        <v>0</v>
      </c>
      <c r="I3324" s="21">
        <f t="shared" si="263"/>
        <v>0</v>
      </c>
      <c r="J3324" s="22" t="e">
        <f>VLOOKUP($A3324, TAB_JUROS_C[[DIAS_CORRIDOS]:[V_FUT_UTEIS]], J$5, FALSE)</f>
        <v>#N/A</v>
      </c>
      <c r="K3324" s="22" t="e">
        <f>VLOOKUP($A3324, TAB_CORRECAO_C[[DIAS_CORRIDOS]:[V_FUT_UTEIS]],K$5, FALSE)</f>
        <v>#N/A</v>
      </c>
      <c r="L3324" s="22" t="e">
        <f>VLOOKUP($A3324, TAB_AMORTIZACAO_C[[DIAS_CORRIDOS]:[V_FUT_UTEIS]], L$5, FALSE)</f>
        <v>#N/A</v>
      </c>
    </row>
    <row r="3325" spans="1:12" hidden="1">
      <c r="A3325" s="19">
        <f t="shared" si="264"/>
        <v>3319</v>
      </c>
      <c r="B3325" s="20">
        <f t="shared" si="260"/>
        <v>0</v>
      </c>
      <c r="C3325" s="21">
        <f t="shared" si="261"/>
        <v>0</v>
      </c>
      <c r="D3325" s="22" t="e">
        <f>VLOOKUP($A3325, TAB_JUROS_U[[Q_DIAS_U_PARC_TIR]:[V_FUT_U_JURS CENARIO]], D$5, FALSE)</f>
        <v>#N/A</v>
      </c>
      <c r="E3325" s="22" t="e">
        <f>VLOOKUP($A3325,TAB_CORRECAO_U[[Q_DIAS_U_PARC_TIR]:[V_FUT_U_CORC-02]],E$5, FALSE)</f>
        <v>#N/A</v>
      </c>
      <c r="F3325" s="22" t="e">
        <f>VLOOKUP($A3325,TAB_AMORTIZACAO_U[[Q_DIAS_U_PARC_TIR]:[V_FUT_U_PCPL-02]], F$5, FALSE)</f>
        <v>#N/A</v>
      </c>
      <c r="H3325" s="20">
        <f t="shared" si="262"/>
        <v>0</v>
      </c>
      <c r="I3325" s="21">
        <f t="shared" si="263"/>
        <v>0</v>
      </c>
      <c r="J3325" s="22" t="e">
        <f>VLOOKUP($A3325, TAB_JUROS_C[[DIAS_CORRIDOS]:[V_FUT_UTEIS]], J$5, FALSE)</f>
        <v>#N/A</v>
      </c>
      <c r="K3325" s="22" t="e">
        <f>VLOOKUP($A3325, TAB_CORRECAO_C[[DIAS_CORRIDOS]:[V_FUT_UTEIS]],K$5, FALSE)</f>
        <v>#N/A</v>
      </c>
      <c r="L3325" s="22" t="e">
        <f>VLOOKUP($A3325, TAB_AMORTIZACAO_C[[DIAS_CORRIDOS]:[V_FUT_UTEIS]], L$5, FALSE)</f>
        <v>#N/A</v>
      </c>
    </row>
    <row r="3326" spans="1:12" hidden="1">
      <c r="A3326" s="19">
        <f t="shared" si="264"/>
        <v>3320</v>
      </c>
      <c r="B3326" s="20">
        <f t="shared" si="260"/>
        <v>0</v>
      </c>
      <c r="C3326" s="21">
        <f t="shared" si="261"/>
        <v>0</v>
      </c>
      <c r="D3326" s="22" t="e">
        <f>VLOOKUP($A3326, TAB_JUROS_U[[Q_DIAS_U_PARC_TIR]:[V_FUT_U_JURS CENARIO]], D$5, FALSE)</f>
        <v>#N/A</v>
      </c>
      <c r="E3326" s="22" t="e">
        <f>VLOOKUP($A3326,TAB_CORRECAO_U[[Q_DIAS_U_PARC_TIR]:[V_FUT_U_CORC-02]],E$5, FALSE)</f>
        <v>#N/A</v>
      </c>
      <c r="F3326" s="22" t="e">
        <f>VLOOKUP($A3326,TAB_AMORTIZACAO_U[[Q_DIAS_U_PARC_TIR]:[V_FUT_U_PCPL-02]], F$5, FALSE)</f>
        <v>#N/A</v>
      </c>
      <c r="H3326" s="20">
        <f t="shared" si="262"/>
        <v>0</v>
      </c>
      <c r="I3326" s="21">
        <f t="shared" si="263"/>
        <v>0</v>
      </c>
      <c r="J3326" s="22" t="e">
        <f>VLOOKUP($A3326, TAB_JUROS_C[[DIAS_CORRIDOS]:[V_FUT_UTEIS]], J$5, FALSE)</f>
        <v>#N/A</v>
      </c>
      <c r="K3326" s="22" t="e">
        <f>VLOOKUP($A3326, TAB_CORRECAO_C[[DIAS_CORRIDOS]:[V_FUT_UTEIS]],K$5, FALSE)</f>
        <v>#N/A</v>
      </c>
      <c r="L3326" s="22" t="e">
        <f>VLOOKUP($A3326, TAB_AMORTIZACAO_C[[DIAS_CORRIDOS]:[V_FUT_UTEIS]], L$5, FALSE)</f>
        <v>#N/A</v>
      </c>
    </row>
    <row r="3327" spans="1:12" hidden="1">
      <c r="A3327" s="19">
        <f t="shared" si="264"/>
        <v>3321</v>
      </c>
      <c r="B3327" s="20">
        <f t="shared" si="260"/>
        <v>0</v>
      </c>
      <c r="C3327" s="21">
        <f t="shared" si="261"/>
        <v>0</v>
      </c>
      <c r="D3327" s="22" t="e">
        <f>VLOOKUP($A3327, TAB_JUROS_U[[Q_DIAS_U_PARC_TIR]:[V_FUT_U_JURS CENARIO]], D$5, FALSE)</f>
        <v>#N/A</v>
      </c>
      <c r="E3327" s="22" t="e">
        <f>VLOOKUP($A3327,TAB_CORRECAO_U[[Q_DIAS_U_PARC_TIR]:[V_FUT_U_CORC-02]],E$5, FALSE)</f>
        <v>#N/A</v>
      </c>
      <c r="F3327" s="22" t="e">
        <f>VLOOKUP($A3327,TAB_AMORTIZACAO_U[[Q_DIAS_U_PARC_TIR]:[V_FUT_U_PCPL-02]], F$5, FALSE)</f>
        <v>#N/A</v>
      </c>
      <c r="H3327" s="20">
        <f t="shared" si="262"/>
        <v>0</v>
      </c>
      <c r="I3327" s="21">
        <f t="shared" si="263"/>
        <v>0</v>
      </c>
      <c r="J3327" s="22" t="e">
        <f>VLOOKUP($A3327, TAB_JUROS_C[[DIAS_CORRIDOS]:[V_FUT_UTEIS]], J$5, FALSE)</f>
        <v>#N/A</v>
      </c>
      <c r="K3327" s="22" t="e">
        <f>VLOOKUP($A3327, TAB_CORRECAO_C[[DIAS_CORRIDOS]:[V_FUT_UTEIS]],K$5, FALSE)</f>
        <v>#N/A</v>
      </c>
      <c r="L3327" s="22" t="e">
        <f>VLOOKUP($A3327, TAB_AMORTIZACAO_C[[DIAS_CORRIDOS]:[V_FUT_UTEIS]], L$5, FALSE)</f>
        <v>#N/A</v>
      </c>
    </row>
    <row r="3328" spans="1:12" hidden="1">
      <c r="A3328" s="19">
        <f t="shared" si="264"/>
        <v>3322</v>
      </c>
      <c r="B3328" s="20">
        <f t="shared" si="260"/>
        <v>0</v>
      </c>
      <c r="C3328" s="21">
        <f t="shared" si="261"/>
        <v>0</v>
      </c>
      <c r="D3328" s="22" t="e">
        <f>VLOOKUP($A3328, TAB_JUROS_U[[Q_DIAS_U_PARC_TIR]:[V_FUT_U_JURS CENARIO]], D$5, FALSE)</f>
        <v>#N/A</v>
      </c>
      <c r="E3328" s="22" t="e">
        <f>VLOOKUP($A3328,TAB_CORRECAO_U[[Q_DIAS_U_PARC_TIR]:[V_FUT_U_CORC-02]],E$5, FALSE)</f>
        <v>#N/A</v>
      </c>
      <c r="F3328" s="22" t="e">
        <f>VLOOKUP($A3328,TAB_AMORTIZACAO_U[[Q_DIAS_U_PARC_TIR]:[V_FUT_U_PCPL-02]], F$5, FALSE)</f>
        <v>#N/A</v>
      </c>
      <c r="H3328" s="20">
        <f t="shared" si="262"/>
        <v>0</v>
      </c>
      <c r="I3328" s="21">
        <f t="shared" si="263"/>
        <v>0</v>
      </c>
      <c r="J3328" s="22" t="e">
        <f>VLOOKUP($A3328, TAB_JUROS_C[[DIAS_CORRIDOS]:[V_FUT_UTEIS]], J$5, FALSE)</f>
        <v>#N/A</v>
      </c>
      <c r="K3328" s="22" t="e">
        <f>VLOOKUP($A3328, TAB_CORRECAO_C[[DIAS_CORRIDOS]:[V_FUT_UTEIS]],K$5, FALSE)</f>
        <v>#N/A</v>
      </c>
      <c r="L3328" s="22" t="e">
        <f>VLOOKUP($A3328, TAB_AMORTIZACAO_C[[DIAS_CORRIDOS]:[V_FUT_UTEIS]], L$5, FALSE)</f>
        <v>#N/A</v>
      </c>
    </row>
    <row r="3329" spans="1:12" hidden="1">
      <c r="A3329" s="19">
        <f t="shared" si="264"/>
        <v>3323</v>
      </c>
      <c r="B3329" s="20">
        <f t="shared" si="260"/>
        <v>0</v>
      </c>
      <c r="C3329" s="21">
        <f t="shared" si="261"/>
        <v>0</v>
      </c>
      <c r="D3329" s="22" t="e">
        <f>VLOOKUP($A3329, TAB_JUROS_U[[Q_DIAS_U_PARC_TIR]:[V_FUT_U_JURS CENARIO]], D$5, FALSE)</f>
        <v>#N/A</v>
      </c>
      <c r="E3329" s="22" t="e">
        <f>VLOOKUP($A3329,TAB_CORRECAO_U[[Q_DIAS_U_PARC_TIR]:[V_FUT_U_CORC-02]],E$5, FALSE)</f>
        <v>#N/A</v>
      </c>
      <c r="F3329" s="22" t="e">
        <f>VLOOKUP($A3329,TAB_AMORTIZACAO_U[[Q_DIAS_U_PARC_TIR]:[V_FUT_U_PCPL-02]], F$5, FALSE)</f>
        <v>#N/A</v>
      </c>
      <c r="H3329" s="20">
        <f t="shared" si="262"/>
        <v>0</v>
      </c>
      <c r="I3329" s="21">
        <f t="shared" si="263"/>
        <v>0</v>
      </c>
      <c r="J3329" s="22" t="e">
        <f>VLOOKUP($A3329, TAB_JUROS_C[[DIAS_CORRIDOS]:[V_FUT_UTEIS]], J$5, FALSE)</f>
        <v>#N/A</v>
      </c>
      <c r="K3329" s="22" t="e">
        <f>VLOOKUP($A3329, TAB_CORRECAO_C[[DIAS_CORRIDOS]:[V_FUT_UTEIS]],K$5, FALSE)</f>
        <v>#N/A</v>
      </c>
      <c r="L3329" s="22" t="e">
        <f>VLOOKUP($A3329, TAB_AMORTIZACAO_C[[DIAS_CORRIDOS]:[V_FUT_UTEIS]], L$5, FALSE)</f>
        <v>#N/A</v>
      </c>
    </row>
    <row r="3330" spans="1:12" hidden="1">
      <c r="A3330" s="19">
        <f t="shared" si="264"/>
        <v>3324</v>
      </c>
      <c r="B3330" s="20">
        <f t="shared" si="260"/>
        <v>0</v>
      </c>
      <c r="C3330" s="21">
        <f t="shared" si="261"/>
        <v>0</v>
      </c>
      <c r="D3330" s="22" t="e">
        <f>VLOOKUP($A3330, TAB_JUROS_U[[Q_DIAS_U_PARC_TIR]:[V_FUT_U_JURS CENARIO]], D$5, FALSE)</f>
        <v>#N/A</v>
      </c>
      <c r="E3330" s="22" t="e">
        <f>VLOOKUP($A3330,TAB_CORRECAO_U[[Q_DIAS_U_PARC_TIR]:[V_FUT_U_CORC-02]],E$5, FALSE)</f>
        <v>#N/A</v>
      </c>
      <c r="F3330" s="22" t="e">
        <f>VLOOKUP($A3330,TAB_AMORTIZACAO_U[[Q_DIAS_U_PARC_TIR]:[V_FUT_U_PCPL-02]], F$5, FALSE)</f>
        <v>#N/A</v>
      </c>
      <c r="H3330" s="20">
        <f t="shared" si="262"/>
        <v>0</v>
      </c>
      <c r="I3330" s="21">
        <f t="shared" si="263"/>
        <v>0</v>
      </c>
      <c r="J3330" s="22" t="e">
        <f>VLOOKUP($A3330, TAB_JUROS_C[[DIAS_CORRIDOS]:[V_FUT_UTEIS]], J$5, FALSE)</f>
        <v>#N/A</v>
      </c>
      <c r="K3330" s="22" t="e">
        <f>VLOOKUP($A3330, TAB_CORRECAO_C[[DIAS_CORRIDOS]:[V_FUT_UTEIS]],K$5, FALSE)</f>
        <v>#N/A</v>
      </c>
      <c r="L3330" s="22" t="e">
        <f>VLOOKUP($A3330, TAB_AMORTIZACAO_C[[DIAS_CORRIDOS]:[V_FUT_UTEIS]], L$5, FALSE)</f>
        <v>#N/A</v>
      </c>
    </row>
    <row r="3331" spans="1:12" hidden="1">
      <c r="A3331" s="19">
        <f t="shared" si="264"/>
        <v>3325</v>
      </c>
      <c r="B3331" s="20">
        <f t="shared" si="260"/>
        <v>0</v>
      </c>
      <c r="C3331" s="21">
        <f t="shared" si="261"/>
        <v>0</v>
      </c>
      <c r="D3331" s="22" t="e">
        <f>VLOOKUP($A3331, TAB_JUROS_U[[Q_DIAS_U_PARC_TIR]:[V_FUT_U_JURS CENARIO]], D$5, FALSE)</f>
        <v>#N/A</v>
      </c>
      <c r="E3331" s="22" t="e">
        <f>VLOOKUP($A3331,TAB_CORRECAO_U[[Q_DIAS_U_PARC_TIR]:[V_FUT_U_CORC-02]],E$5, FALSE)</f>
        <v>#N/A</v>
      </c>
      <c r="F3331" s="22" t="e">
        <f>VLOOKUP($A3331,TAB_AMORTIZACAO_U[[Q_DIAS_U_PARC_TIR]:[V_FUT_U_PCPL-02]], F$5, FALSE)</f>
        <v>#N/A</v>
      </c>
      <c r="H3331" s="20">
        <f t="shared" si="262"/>
        <v>0</v>
      </c>
      <c r="I3331" s="21">
        <f t="shared" si="263"/>
        <v>0</v>
      </c>
      <c r="J3331" s="22" t="e">
        <f>VLOOKUP($A3331, TAB_JUROS_C[[DIAS_CORRIDOS]:[V_FUT_UTEIS]], J$5, FALSE)</f>
        <v>#N/A</v>
      </c>
      <c r="K3331" s="22" t="e">
        <f>VLOOKUP($A3331, TAB_CORRECAO_C[[DIAS_CORRIDOS]:[V_FUT_UTEIS]],K$5, FALSE)</f>
        <v>#N/A</v>
      </c>
      <c r="L3331" s="22" t="e">
        <f>VLOOKUP($A3331, TAB_AMORTIZACAO_C[[DIAS_CORRIDOS]:[V_FUT_UTEIS]], L$5, FALSE)</f>
        <v>#N/A</v>
      </c>
    </row>
    <row r="3332" spans="1:12" hidden="1">
      <c r="A3332" s="19">
        <f t="shared" si="264"/>
        <v>3326</v>
      </c>
      <c r="B3332" s="20">
        <f t="shared" si="260"/>
        <v>0</v>
      </c>
      <c r="C3332" s="21">
        <f t="shared" si="261"/>
        <v>0</v>
      </c>
      <c r="D3332" s="22" t="e">
        <f>VLOOKUP($A3332, TAB_JUROS_U[[Q_DIAS_U_PARC_TIR]:[V_FUT_U_JURS CENARIO]], D$5, FALSE)</f>
        <v>#N/A</v>
      </c>
      <c r="E3332" s="22" t="e">
        <f>VLOOKUP($A3332,TAB_CORRECAO_U[[Q_DIAS_U_PARC_TIR]:[V_FUT_U_CORC-02]],E$5, FALSE)</f>
        <v>#N/A</v>
      </c>
      <c r="F3332" s="22" t="e">
        <f>VLOOKUP($A3332,TAB_AMORTIZACAO_U[[Q_DIAS_U_PARC_TIR]:[V_FUT_U_PCPL-02]], F$5, FALSE)</f>
        <v>#N/A</v>
      </c>
      <c r="H3332" s="20">
        <f t="shared" si="262"/>
        <v>0</v>
      </c>
      <c r="I3332" s="21">
        <f t="shared" si="263"/>
        <v>0</v>
      </c>
      <c r="J3332" s="22" t="e">
        <f>VLOOKUP($A3332, TAB_JUROS_C[[DIAS_CORRIDOS]:[V_FUT_UTEIS]], J$5, FALSE)</f>
        <v>#N/A</v>
      </c>
      <c r="K3332" s="22" t="e">
        <f>VLOOKUP($A3332, TAB_CORRECAO_C[[DIAS_CORRIDOS]:[V_FUT_UTEIS]],K$5, FALSE)</f>
        <v>#N/A</v>
      </c>
      <c r="L3332" s="22" t="e">
        <f>VLOOKUP($A3332, TAB_AMORTIZACAO_C[[DIAS_CORRIDOS]:[V_FUT_UTEIS]], L$5, FALSE)</f>
        <v>#N/A</v>
      </c>
    </row>
    <row r="3333" spans="1:12" hidden="1">
      <c r="A3333" s="19">
        <f t="shared" si="264"/>
        <v>3327</v>
      </c>
      <c r="B3333" s="20">
        <f t="shared" si="260"/>
        <v>0</v>
      </c>
      <c r="C3333" s="21">
        <f t="shared" si="261"/>
        <v>0</v>
      </c>
      <c r="D3333" s="22" t="e">
        <f>VLOOKUP($A3333, TAB_JUROS_U[[Q_DIAS_U_PARC_TIR]:[V_FUT_U_JURS CENARIO]], D$5, FALSE)</f>
        <v>#N/A</v>
      </c>
      <c r="E3333" s="22" t="e">
        <f>VLOOKUP($A3333,TAB_CORRECAO_U[[Q_DIAS_U_PARC_TIR]:[V_FUT_U_CORC-02]],E$5, FALSE)</f>
        <v>#N/A</v>
      </c>
      <c r="F3333" s="22" t="e">
        <f>VLOOKUP($A3333,TAB_AMORTIZACAO_U[[Q_DIAS_U_PARC_TIR]:[V_FUT_U_PCPL-02]], F$5, FALSE)</f>
        <v>#N/A</v>
      </c>
      <c r="H3333" s="20">
        <f t="shared" si="262"/>
        <v>0</v>
      </c>
      <c r="I3333" s="21">
        <f t="shared" si="263"/>
        <v>0</v>
      </c>
      <c r="J3333" s="22" t="e">
        <f>VLOOKUP($A3333, TAB_JUROS_C[[DIAS_CORRIDOS]:[V_FUT_UTEIS]], J$5, FALSE)</f>
        <v>#N/A</v>
      </c>
      <c r="K3333" s="22" t="e">
        <f>VLOOKUP($A3333, TAB_CORRECAO_C[[DIAS_CORRIDOS]:[V_FUT_UTEIS]],K$5, FALSE)</f>
        <v>#N/A</v>
      </c>
      <c r="L3333" s="22" t="e">
        <f>VLOOKUP($A3333, TAB_AMORTIZACAO_C[[DIAS_CORRIDOS]:[V_FUT_UTEIS]], L$5, FALSE)</f>
        <v>#N/A</v>
      </c>
    </row>
    <row r="3334" spans="1:12" hidden="1">
      <c r="A3334" s="19">
        <f t="shared" si="264"/>
        <v>3328</v>
      </c>
      <c r="B3334" s="20">
        <f t="shared" si="260"/>
        <v>0</v>
      </c>
      <c r="C3334" s="21">
        <f t="shared" si="261"/>
        <v>0</v>
      </c>
      <c r="D3334" s="22" t="e">
        <f>VLOOKUP($A3334, TAB_JUROS_U[[Q_DIAS_U_PARC_TIR]:[V_FUT_U_JURS CENARIO]], D$5, FALSE)</f>
        <v>#N/A</v>
      </c>
      <c r="E3334" s="22" t="e">
        <f>VLOOKUP($A3334,TAB_CORRECAO_U[[Q_DIAS_U_PARC_TIR]:[V_FUT_U_CORC-02]],E$5, FALSE)</f>
        <v>#N/A</v>
      </c>
      <c r="F3334" s="22" t="e">
        <f>VLOOKUP($A3334,TAB_AMORTIZACAO_U[[Q_DIAS_U_PARC_TIR]:[V_FUT_U_PCPL-02]], F$5, FALSE)</f>
        <v>#N/A</v>
      </c>
      <c r="H3334" s="20">
        <f t="shared" si="262"/>
        <v>0</v>
      </c>
      <c r="I3334" s="21">
        <f t="shared" si="263"/>
        <v>0</v>
      </c>
      <c r="J3334" s="22" t="e">
        <f>VLOOKUP($A3334, TAB_JUROS_C[[DIAS_CORRIDOS]:[V_FUT_UTEIS]], J$5, FALSE)</f>
        <v>#N/A</v>
      </c>
      <c r="K3334" s="22" t="e">
        <f>VLOOKUP($A3334, TAB_CORRECAO_C[[DIAS_CORRIDOS]:[V_FUT_UTEIS]],K$5, FALSE)</f>
        <v>#N/A</v>
      </c>
      <c r="L3334" s="22" t="e">
        <f>VLOOKUP($A3334, TAB_AMORTIZACAO_C[[DIAS_CORRIDOS]:[V_FUT_UTEIS]], L$5, FALSE)</f>
        <v>#N/A</v>
      </c>
    </row>
    <row r="3335" spans="1:12" hidden="1">
      <c r="A3335" s="19">
        <f t="shared" si="264"/>
        <v>3329</v>
      </c>
      <c r="B3335" s="20">
        <f t="shared" si="260"/>
        <v>0</v>
      </c>
      <c r="C3335" s="21">
        <f t="shared" si="261"/>
        <v>0</v>
      </c>
      <c r="D3335" s="22" t="e">
        <f>VLOOKUP($A3335, TAB_JUROS_U[[Q_DIAS_U_PARC_TIR]:[V_FUT_U_JURS CENARIO]], D$5, FALSE)</f>
        <v>#N/A</v>
      </c>
      <c r="E3335" s="22" t="e">
        <f>VLOOKUP($A3335,TAB_CORRECAO_U[[Q_DIAS_U_PARC_TIR]:[V_FUT_U_CORC-02]],E$5, FALSE)</f>
        <v>#N/A</v>
      </c>
      <c r="F3335" s="22" t="e">
        <f>VLOOKUP($A3335,TAB_AMORTIZACAO_U[[Q_DIAS_U_PARC_TIR]:[V_FUT_U_PCPL-02]], F$5, FALSE)</f>
        <v>#N/A</v>
      </c>
      <c r="H3335" s="20">
        <f t="shared" si="262"/>
        <v>0</v>
      </c>
      <c r="I3335" s="21">
        <f t="shared" si="263"/>
        <v>0</v>
      </c>
      <c r="J3335" s="22" t="e">
        <f>VLOOKUP($A3335, TAB_JUROS_C[[DIAS_CORRIDOS]:[V_FUT_UTEIS]], J$5, FALSE)</f>
        <v>#N/A</v>
      </c>
      <c r="K3335" s="22" t="e">
        <f>VLOOKUP($A3335, TAB_CORRECAO_C[[DIAS_CORRIDOS]:[V_FUT_UTEIS]],K$5, FALSE)</f>
        <v>#N/A</v>
      </c>
      <c r="L3335" s="22" t="e">
        <f>VLOOKUP($A3335, TAB_AMORTIZACAO_C[[DIAS_CORRIDOS]:[V_FUT_UTEIS]], L$5, FALSE)</f>
        <v>#N/A</v>
      </c>
    </row>
    <row r="3336" spans="1:12" hidden="1">
      <c r="A3336" s="19">
        <f t="shared" si="264"/>
        <v>3330</v>
      </c>
      <c r="B3336" s="20">
        <f t="shared" si="260"/>
        <v>0</v>
      </c>
      <c r="C3336" s="21">
        <f t="shared" si="261"/>
        <v>0</v>
      </c>
      <c r="D3336" s="22" t="e">
        <f>VLOOKUP($A3336, TAB_JUROS_U[[Q_DIAS_U_PARC_TIR]:[V_FUT_U_JURS CENARIO]], D$5, FALSE)</f>
        <v>#N/A</v>
      </c>
      <c r="E3336" s="22" t="e">
        <f>VLOOKUP($A3336,TAB_CORRECAO_U[[Q_DIAS_U_PARC_TIR]:[V_FUT_U_CORC-02]],E$5, FALSE)</f>
        <v>#N/A</v>
      </c>
      <c r="F3336" s="22" t="e">
        <f>VLOOKUP($A3336,TAB_AMORTIZACAO_U[[Q_DIAS_U_PARC_TIR]:[V_FUT_U_PCPL-02]], F$5, FALSE)</f>
        <v>#N/A</v>
      </c>
      <c r="H3336" s="20">
        <f t="shared" si="262"/>
        <v>0</v>
      </c>
      <c r="I3336" s="21">
        <f t="shared" si="263"/>
        <v>0</v>
      </c>
      <c r="J3336" s="22" t="e">
        <f>VLOOKUP($A3336, TAB_JUROS_C[[DIAS_CORRIDOS]:[V_FUT_UTEIS]], J$5, FALSE)</f>
        <v>#N/A</v>
      </c>
      <c r="K3336" s="22" t="e">
        <f>VLOOKUP($A3336, TAB_CORRECAO_C[[DIAS_CORRIDOS]:[V_FUT_UTEIS]],K$5, FALSE)</f>
        <v>#N/A</v>
      </c>
      <c r="L3336" s="22" t="e">
        <f>VLOOKUP($A3336, TAB_AMORTIZACAO_C[[DIAS_CORRIDOS]:[V_FUT_UTEIS]], L$5, FALSE)</f>
        <v>#N/A</v>
      </c>
    </row>
    <row r="3337" spans="1:12" hidden="1">
      <c r="A3337" s="19">
        <f t="shared" si="264"/>
        <v>3331</v>
      </c>
      <c r="B3337" s="20">
        <f t="shared" ref="B3337:B3400" si="265">IF(ISERROR(C3337), 0, C3337)</f>
        <v>0</v>
      </c>
      <c r="C3337" s="21">
        <f t="shared" ref="C3337:C3400" si="266">SUMIF(D3337:F3337, "&gt;0", D3337:F3337)</f>
        <v>0</v>
      </c>
      <c r="D3337" s="22" t="e">
        <f>VLOOKUP($A3337, TAB_JUROS_U[[Q_DIAS_U_PARC_TIR]:[V_FUT_U_JURS CENARIO]], D$5, FALSE)</f>
        <v>#N/A</v>
      </c>
      <c r="E3337" s="22" t="e">
        <f>VLOOKUP($A3337,TAB_CORRECAO_U[[Q_DIAS_U_PARC_TIR]:[V_FUT_U_CORC-02]],E$5, FALSE)</f>
        <v>#N/A</v>
      </c>
      <c r="F3337" s="22" t="e">
        <f>VLOOKUP($A3337,TAB_AMORTIZACAO_U[[Q_DIAS_U_PARC_TIR]:[V_FUT_U_PCPL-02]], F$5, FALSE)</f>
        <v>#N/A</v>
      </c>
      <c r="H3337" s="20">
        <f t="shared" ref="H3337:H3400" si="267">IF(ISERROR(I3337), 0, I3337)</f>
        <v>0</v>
      </c>
      <c r="I3337" s="21">
        <f t="shared" ref="I3337:I3400" si="268">SUMIF(J3337:L3337, "&gt;0", J3337:L3337)</f>
        <v>0</v>
      </c>
      <c r="J3337" s="22" t="e">
        <f>VLOOKUP($A3337, TAB_JUROS_C[[DIAS_CORRIDOS]:[V_FUT_UTEIS]], J$5, FALSE)</f>
        <v>#N/A</v>
      </c>
      <c r="K3337" s="22" t="e">
        <f>VLOOKUP($A3337, TAB_CORRECAO_C[[DIAS_CORRIDOS]:[V_FUT_UTEIS]],K$5, FALSE)</f>
        <v>#N/A</v>
      </c>
      <c r="L3337" s="22" t="e">
        <f>VLOOKUP($A3337, TAB_AMORTIZACAO_C[[DIAS_CORRIDOS]:[V_FUT_UTEIS]], L$5, FALSE)</f>
        <v>#N/A</v>
      </c>
    </row>
    <row r="3338" spans="1:12" hidden="1">
      <c r="A3338" s="19">
        <f t="shared" ref="A3338:A3401" si="269">A3337+1</f>
        <v>3332</v>
      </c>
      <c r="B3338" s="20">
        <f t="shared" si="265"/>
        <v>0</v>
      </c>
      <c r="C3338" s="21">
        <f t="shared" si="266"/>
        <v>0</v>
      </c>
      <c r="D3338" s="22" t="e">
        <f>VLOOKUP($A3338, TAB_JUROS_U[[Q_DIAS_U_PARC_TIR]:[V_FUT_U_JURS CENARIO]], D$5, FALSE)</f>
        <v>#N/A</v>
      </c>
      <c r="E3338" s="22" t="e">
        <f>VLOOKUP($A3338,TAB_CORRECAO_U[[Q_DIAS_U_PARC_TIR]:[V_FUT_U_CORC-02]],E$5, FALSE)</f>
        <v>#N/A</v>
      </c>
      <c r="F3338" s="22" t="e">
        <f>VLOOKUP($A3338,TAB_AMORTIZACAO_U[[Q_DIAS_U_PARC_TIR]:[V_FUT_U_PCPL-02]], F$5, FALSE)</f>
        <v>#N/A</v>
      </c>
      <c r="H3338" s="20">
        <f t="shared" si="267"/>
        <v>220.12526902562959</v>
      </c>
      <c r="I3338" s="21">
        <f t="shared" si="268"/>
        <v>220.12526902562959</v>
      </c>
      <c r="J3338" s="22">
        <f>VLOOKUP($A3338, TAB_JUROS_C[[DIAS_CORRIDOS]:[V_FUT_UTEIS]], J$5, FALSE)</f>
        <v>10.359981412737735</v>
      </c>
      <c r="K3338" s="22">
        <f>VLOOKUP($A3338, TAB_CORRECAO_C[[DIAS_CORRIDOS]:[V_FUT_UTEIS]],K$5, FALSE)</f>
        <v>61.637433002741062</v>
      </c>
      <c r="L3338" s="22">
        <f>VLOOKUP($A3338, TAB_AMORTIZACAO_C[[DIAS_CORRIDOS]:[V_FUT_UTEIS]], L$5, FALSE)</f>
        <v>148.12785461015079</v>
      </c>
    </row>
    <row r="3339" spans="1:12" hidden="1">
      <c r="A3339" s="19">
        <f t="shared" si="269"/>
        <v>3333</v>
      </c>
      <c r="B3339" s="20">
        <f t="shared" si="265"/>
        <v>0</v>
      </c>
      <c r="C3339" s="21">
        <f t="shared" si="266"/>
        <v>0</v>
      </c>
      <c r="D3339" s="22" t="e">
        <f>VLOOKUP($A3339, TAB_JUROS_U[[Q_DIAS_U_PARC_TIR]:[V_FUT_U_JURS CENARIO]], D$5, FALSE)</f>
        <v>#N/A</v>
      </c>
      <c r="E3339" s="22" t="e">
        <f>VLOOKUP($A3339,TAB_CORRECAO_U[[Q_DIAS_U_PARC_TIR]:[V_FUT_U_CORC-02]],E$5, FALSE)</f>
        <v>#N/A</v>
      </c>
      <c r="F3339" s="22" t="e">
        <f>VLOOKUP($A3339,TAB_AMORTIZACAO_U[[Q_DIAS_U_PARC_TIR]:[V_FUT_U_PCPL-02]], F$5, FALSE)</f>
        <v>#N/A</v>
      </c>
      <c r="H3339" s="20">
        <f t="shared" si="267"/>
        <v>0</v>
      </c>
      <c r="I3339" s="21">
        <f t="shared" si="268"/>
        <v>0</v>
      </c>
      <c r="J3339" s="22" t="e">
        <f>VLOOKUP($A3339, TAB_JUROS_C[[DIAS_CORRIDOS]:[V_FUT_UTEIS]], J$5, FALSE)</f>
        <v>#N/A</v>
      </c>
      <c r="K3339" s="22" t="e">
        <f>VLOOKUP($A3339, TAB_CORRECAO_C[[DIAS_CORRIDOS]:[V_FUT_UTEIS]],K$5, FALSE)</f>
        <v>#N/A</v>
      </c>
      <c r="L3339" s="22" t="e">
        <f>VLOOKUP($A3339, TAB_AMORTIZACAO_C[[DIAS_CORRIDOS]:[V_FUT_UTEIS]], L$5, FALSE)</f>
        <v>#N/A</v>
      </c>
    </row>
    <row r="3340" spans="1:12" hidden="1">
      <c r="A3340" s="19">
        <f t="shared" si="269"/>
        <v>3334</v>
      </c>
      <c r="B3340" s="20">
        <f t="shared" si="265"/>
        <v>0</v>
      </c>
      <c r="C3340" s="21">
        <f t="shared" si="266"/>
        <v>0</v>
      </c>
      <c r="D3340" s="22" t="e">
        <f>VLOOKUP($A3340, TAB_JUROS_U[[Q_DIAS_U_PARC_TIR]:[V_FUT_U_JURS CENARIO]], D$5, FALSE)</f>
        <v>#N/A</v>
      </c>
      <c r="E3340" s="22" t="e">
        <f>VLOOKUP($A3340,TAB_CORRECAO_U[[Q_DIAS_U_PARC_TIR]:[V_FUT_U_CORC-02]],E$5, FALSE)</f>
        <v>#N/A</v>
      </c>
      <c r="F3340" s="22" t="e">
        <f>VLOOKUP($A3340,TAB_AMORTIZACAO_U[[Q_DIAS_U_PARC_TIR]:[V_FUT_U_PCPL-02]], F$5, FALSE)</f>
        <v>#N/A</v>
      </c>
      <c r="H3340" s="20">
        <f t="shared" si="267"/>
        <v>0</v>
      </c>
      <c r="I3340" s="21">
        <f t="shared" si="268"/>
        <v>0</v>
      </c>
      <c r="J3340" s="22" t="e">
        <f>VLOOKUP($A3340, TAB_JUROS_C[[DIAS_CORRIDOS]:[V_FUT_UTEIS]], J$5, FALSE)</f>
        <v>#N/A</v>
      </c>
      <c r="K3340" s="22" t="e">
        <f>VLOOKUP($A3340, TAB_CORRECAO_C[[DIAS_CORRIDOS]:[V_FUT_UTEIS]],K$5, FALSE)</f>
        <v>#N/A</v>
      </c>
      <c r="L3340" s="22" t="e">
        <f>VLOOKUP($A3340, TAB_AMORTIZACAO_C[[DIAS_CORRIDOS]:[V_FUT_UTEIS]], L$5, FALSE)</f>
        <v>#N/A</v>
      </c>
    </row>
    <row r="3341" spans="1:12" hidden="1">
      <c r="A3341" s="19">
        <f t="shared" si="269"/>
        <v>3335</v>
      </c>
      <c r="B3341" s="20">
        <f t="shared" si="265"/>
        <v>0</v>
      </c>
      <c r="C3341" s="21">
        <f t="shared" si="266"/>
        <v>0</v>
      </c>
      <c r="D3341" s="22" t="e">
        <f>VLOOKUP($A3341, TAB_JUROS_U[[Q_DIAS_U_PARC_TIR]:[V_FUT_U_JURS CENARIO]], D$5, FALSE)</f>
        <v>#N/A</v>
      </c>
      <c r="E3341" s="22" t="e">
        <f>VLOOKUP($A3341,TAB_CORRECAO_U[[Q_DIAS_U_PARC_TIR]:[V_FUT_U_CORC-02]],E$5, FALSE)</f>
        <v>#N/A</v>
      </c>
      <c r="F3341" s="22" t="e">
        <f>VLOOKUP($A3341,TAB_AMORTIZACAO_U[[Q_DIAS_U_PARC_TIR]:[V_FUT_U_PCPL-02]], F$5, FALSE)</f>
        <v>#N/A</v>
      </c>
      <c r="H3341" s="20">
        <f t="shared" si="267"/>
        <v>0</v>
      </c>
      <c r="I3341" s="21">
        <f t="shared" si="268"/>
        <v>0</v>
      </c>
      <c r="J3341" s="22" t="e">
        <f>VLOOKUP($A3341, TAB_JUROS_C[[DIAS_CORRIDOS]:[V_FUT_UTEIS]], J$5, FALSE)</f>
        <v>#N/A</v>
      </c>
      <c r="K3341" s="22" t="e">
        <f>VLOOKUP($A3341, TAB_CORRECAO_C[[DIAS_CORRIDOS]:[V_FUT_UTEIS]],K$5, FALSE)</f>
        <v>#N/A</v>
      </c>
      <c r="L3341" s="22" t="e">
        <f>VLOOKUP($A3341, TAB_AMORTIZACAO_C[[DIAS_CORRIDOS]:[V_FUT_UTEIS]], L$5, FALSE)</f>
        <v>#N/A</v>
      </c>
    </row>
    <row r="3342" spans="1:12" hidden="1">
      <c r="A3342" s="19">
        <f t="shared" si="269"/>
        <v>3336</v>
      </c>
      <c r="B3342" s="20">
        <f t="shared" si="265"/>
        <v>0</v>
      </c>
      <c r="C3342" s="21">
        <f t="shared" si="266"/>
        <v>0</v>
      </c>
      <c r="D3342" s="22" t="e">
        <f>VLOOKUP($A3342, TAB_JUROS_U[[Q_DIAS_U_PARC_TIR]:[V_FUT_U_JURS CENARIO]], D$5, FALSE)</f>
        <v>#N/A</v>
      </c>
      <c r="E3342" s="22" t="e">
        <f>VLOOKUP($A3342,TAB_CORRECAO_U[[Q_DIAS_U_PARC_TIR]:[V_FUT_U_CORC-02]],E$5, FALSE)</f>
        <v>#N/A</v>
      </c>
      <c r="F3342" s="22" t="e">
        <f>VLOOKUP($A3342,TAB_AMORTIZACAO_U[[Q_DIAS_U_PARC_TIR]:[V_FUT_U_PCPL-02]], F$5, FALSE)</f>
        <v>#N/A</v>
      </c>
      <c r="H3342" s="20">
        <f t="shared" si="267"/>
        <v>0</v>
      </c>
      <c r="I3342" s="21">
        <f t="shared" si="268"/>
        <v>0</v>
      </c>
      <c r="J3342" s="22" t="e">
        <f>VLOOKUP($A3342, TAB_JUROS_C[[DIAS_CORRIDOS]:[V_FUT_UTEIS]], J$5, FALSE)</f>
        <v>#N/A</v>
      </c>
      <c r="K3342" s="22" t="e">
        <f>VLOOKUP($A3342, TAB_CORRECAO_C[[DIAS_CORRIDOS]:[V_FUT_UTEIS]],K$5, FALSE)</f>
        <v>#N/A</v>
      </c>
      <c r="L3342" s="22" t="e">
        <f>VLOOKUP($A3342, TAB_AMORTIZACAO_C[[DIAS_CORRIDOS]:[V_FUT_UTEIS]], L$5, FALSE)</f>
        <v>#N/A</v>
      </c>
    </row>
    <row r="3343" spans="1:12" hidden="1">
      <c r="A3343" s="19">
        <f t="shared" si="269"/>
        <v>3337</v>
      </c>
      <c r="B3343" s="20">
        <f t="shared" si="265"/>
        <v>0</v>
      </c>
      <c r="C3343" s="21">
        <f t="shared" si="266"/>
        <v>0</v>
      </c>
      <c r="D3343" s="22" t="e">
        <f>VLOOKUP($A3343, TAB_JUROS_U[[Q_DIAS_U_PARC_TIR]:[V_FUT_U_JURS CENARIO]], D$5, FALSE)</f>
        <v>#N/A</v>
      </c>
      <c r="E3343" s="22" t="e">
        <f>VLOOKUP($A3343,TAB_CORRECAO_U[[Q_DIAS_U_PARC_TIR]:[V_FUT_U_CORC-02]],E$5, FALSE)</f>
        <v>#N/A</v>
      </c>
      <c r="F3343" s="22" t="e">
        <f>VLOOKUP($A3343,TAB_AMORTIZACAO_U[[Q_DIAS_U_PARC_TIR]:[V_FUT_U_PCPL-02]], F$5, FALSE)</f>
        <v>#N/A</v>
      </c>
      <c r="H3343" s="20">
        <f t="shared" si="267"/>
        <v>0</v>
      </c>
      <c r="I3343" s="21">
        <f t="shared" si="268"/>
        <v>0</v>
      </c>
      <c r="J3343" s="22" t="e">
        <f>VLOOKUP($A3343, TAB_JUROS_C[[DIAS_CORRIDOS]:[V_FUT_UTEIS]], J$5, FALSE)</f>
        <v>#N/A</v>
      </c>
      <c r="K3343" s="22" t="e">
        <f>VLOOKUP($A3343, TAB_CORRECAO_C[[DIAS_CORRIDOS]:[V_FUT_UTEIS]],K$5, FALSE)</f>
        <v>#N/A</v>
      </c>
      <c r="L3343" s="22" t="e">
        <f>VLOOKUP($A3343, TAB_AMORTIZACAO_C[[DIAS_CORRIDOS]:[V_FUT_UTEIS]], L$5, FALSE)</f>
        <v>#N/A</v>
      </c>
    </row>
    <row r="3344" spans="1:12" hidden="1">
      <c r="A3344" s="19">
        <f t="shared" si="269"/>
        <v>3338</v>
      </c>
      <c r="B3344" s="20">
        <f t="shared" si="265"/>
        <v>0</v>
      </c>
      <c r="C3344" s="21">
        <f t="shared" si="266"/>
        <v>0</v>
      </c>
      <c r="D3344" s="22" t="e">
        <f>VLOOKUP($A3344, TAB_JUROS_U[[Q_DIAS_U_PARC_TIR]:[V_FUT_U_JURS CENARIO]], D$5, FALSE)</f>
        <v>#N/A</v>
      </c>
      <c r="E3344" s="22" t="e">
        <f>VLOOKUP($A3344,TAB_CORRECAO_U[[Q_DIAS_U_PARC_TIR]:[V_FUT_U_CORC-02]],E$5, FALSE)</f>
        <v>#N/A</v>
      </c>
      <c r="F3344" s="22" t="e">
        <f>VLOOKUP($A3344,TAB_AMORTIZACAO_U[[Q_DIAS_U_PARC_TIR]:[V_FUT_U_PCPL-02]], F$5, FALSE)</f>
        <v>#N/A</v>
      </c>
      <c r="H3344" s="20">
        <f t="shared" si="267"/>
        <v>0</v>
      </c>
      <c r="I3344" s="21">
        <f t="shared" si="268"/>
        <v>0</v>
      </c>
      <c r="J3344" s="22" t="e">
        <f>VLOOKUP($A3344, TAB_JUROS_C[[DIAS_CORRIDOS]:[V_FUT_UTEIS]], J$5, FALSE)</f>
        <v>#N/A</v>
      </c>
      <c r="K3344" s="22" t="e">
        <f>VLOOKUP($A3344, TAB_CORRECAO_C[[DIAS_CORRIDOS]:[V_FUT_UTEIS]],K$5, FALSE)</f>
        <v>#N/A</v>
      </c>
      <c r="L3344" s="22" t="e">
        <f>VLOOKUP($A3344, TAB_AMORTIZACAO_C[[DIAS_CORRIDOS]:[V_FUT_UTEIS]], L$5, FALSE)</f>
        <v>#N/A</v>
      </c>
    </row>
    <row r="3345" spans="1:12" hidden="1">
      <c r="A3345" s="19">
        <f t="shared" si="269"/>
        <v>3339</v>
      </c>
      <c r="B3345" s="20">
        <f t="shared" si="265"/>
        <v>0</v>
      </c>
      <c r="C3345" s="21">
        <f t="shared" si="266"/>
        <v>0</v>
      </c>
      <c r="D3345" s="22" t="e">
        <f>VLOOKUP($A3345, TAB_JUROS_U[[Q_DIAS_U_PARC_TIR]:[V_FUT_U_JURS CENARIO]], D$5, FALSE)</f>
        <v>#N/A</v>
      </c>
      <c r="E3345" s="22" t="e">
        <f>VLOOKUP($A3345,TAB_CORRECAO_U[[Q_DIAS_U_PARC_TIR]:[V_FUT_U_CORC-02]],E$5, FALSE)</f>
        <v>#N/A</v>
      </c>
      <c r="F3345" s="22" t="e">
        <f>VLOOKUP($A3345,TAB_AMORTIZACAO_U[[Q_DIAS_U_PARC_TIR]:[V_FUT_U_PCPL-02]], F$5, FALSE)</f>
        <v>#N/A</v>
      </c>
      <c r="H3345" s="20">
        <f t="shared" si="267"/>
        <v>0</v>
      </c>
      <c r="I3345" s="21">
        <f t="shared" si="268"/>
        <v>0</v>
      </c>
      <c r="J3345" s="22" t="e">
        <f>VLOOKUP($A3345, TAB_JUROS_C[[DIAS_CORRIDOS]:[V_FUT_UTEIS]], J$5, FALSE)</f>
        <v>#N/A</v>
      </c>
      <c r="K3345" s="22" t="e">
        <f>VLOOKUP($A3345, TAB_CORRECAO_C[[DIAS_CORRIDOS]:[V_FUT_UTEIS]],K$5, FALSE)</f>
        <v>#N/A</v>
      </c>
      <c r="L3345" s="22" t="e">
        <f>VLOOKUP($A3345, TAB_AMORTIZACAO_C[[DIAS_CORRIDOS]:[V_FUT_UTEIS]], L$5, FALSE)</f>
        <v>#N/A</v>
      </c>
    </row>
    <row r="3346" spans="1:12" hidden="1">
      <c r="A3346" s="19">
        <f t="shared" si="269"/>
        <v>3340</v>
      </c>
      <c r="B3346" s="20">
        <f t="shared" si="265"/>
        <v>0</v>
      </c>
      <c r="C3346" s="21">
        <f t="shared" si="266"/>
        <v>0</v>
      </c>
      <c r="D3346" s="22" t="e">
        <f>VLOOKUP($A3346, TAB_JUROS_U[[Q_DIAS_U_PARC_TIR]:[V_FUT_U_JURS CENARIO]], D$5, FALSE)</f>
        <v>#N/A</v>
      </c>
      <c r="E3346" s="22" t="e">
        <f>VLOOKUP($A3346,TAB_CORRECAO_U[[Q_DIAS_U_PARC_TIR]:[V_FUT_U_CORC-02]],E$5, FALSE)</f>
        <v>#N/A</v>
      </c>
      <c r="F3346" s="22" t="e">
        <f>VLOOKUP($A3346,TAB_AMORTIZACAO_U[[Q_DIAS_U_PARC_TIR]:[V_FUT_U_PCPL-02]], F$5, FALSE)</f>
        <v>#N/A</v>
      </c>
      <c r="H3346" s="20">
        <f t="shared" si="267"/>
        <v>0</v>
      </c>
      <c r="I3346" s="21">
        <f t="shared" si="268"/>
        <v>0</v>
      </c>
      <c r="J3346" s="22" t="e">
        <f>VLOOKUP($A3346, TAB_JUROS_C[[DIAS_CORRIDOS]:[V_FUT_UTEIS]], J$5, FALSE)</f>
        <v>#N/A</v>
      </c>
      <c r="K3346" s="22" t="e">
        <f>VLOOKUP($A3346, TAB_CORRECAO_C[[DIAS_CORRIDOS]:[V_FUT_UTEIS]],K$5, FALSE)</f>
        <v>#N/A</v>
      </c>
      <c r="L3346" s="22" t="e">
        <f>VLOOKUP($A3346, TAB_AMORTIZACAO_C[[DIAS_CORRIDOS]:[V_FUT_UTEIS]], L$5, FALSE)</f>
        <v>#N/A</v>
      </c>
    </row>
    <row r="3347" spans="1:12" hidden="1">
      <c r="A3347" s="19">
        <f t="shared" si="269"/>
        <v>3341</v>
      </c>
      <c r="B3347" s="20">
        <f t="shared" si="265"/>
        <v>0</v>
      </c>
      <c r="C3347" s="21">
        <f t="shared" si="266"/>
        <v>0</v>
      </c>
      <c r="D3347" s="22" t="e">
        <f>VLOOKUP($A3347, TAB_JUROS_U[[Q_DIAS_U_PARC_TIR]:[V_FUT_U_JURS CENARIO]], D$5, FALSE)</f>
        <v>#N/A</v>
      </c>
      <c r="E3347" s="22" t="e">
        <f>VLOOKUP($A3347,TAB_CORRECAO_U[[Q_DIAS_U_PARC_TIR]:[V_FUT_U_CORC-02]],E$5, FALSE)</f>
        <v>#N/A</v>
      </c>
      <c r="F3347" s="22" t="e">
        <f>VLOOKUP($A3347,TAB_AMORTIZACAO_U[[Q_DIAS_U_PARC_TIR]:[V_FUT_U_PCPL-02]], F$5, FALSE)</f>
        <v>#N/A</v>
      </c>
      <c r="H3347" s="20">
        <f t="shared" si="267"/>
        <v>0</v>
      </c>
      <c r="I3347" s="21">
        <f t="shared" si="268"/>
        <v>0</v>
      </c>
      <c r="J3347" s="22" t="e">
        <f>VLOOKUP($A3347, TAB_JUROS_C[[DIAS_CORRIDOS]:[V_FUT_UTEIS]], J$5, FALSE)</f>
        <v>#N/A</v>
      </c>
      <c r="K3347" s="22" t="e">
        <f>VLOOKUP($A3347, TAB_CORRECAO_C[[DIAS_CORRIDOS]:[V_FUT_UTEIS]],K$5, FALSE)</f>
        <v>#N/A</v>
      </c>
      <c r="L3347" s="22" t="e">
        <f>VLOOKUP($A3347, TAB_AMORTIZACAO_C[[DIAS_CORRIDOS]:[V_FUT_UTEIS]], L$5, FALSE)</f>
        <v>#N/A</v>
      </c>
    </row>
    <row r="3348" spans="1:12" hidden="1">
      <c r="A3348" s="19">
        <f t="shared" si="269"/>
        <v>3342</v>
      </c>
      <c r="B3348" s="20">
        <f t="shared" si="265"/>
        <v>0</v>
      </c>
      <c r="C3348" s="21">
        <f t="shared" si="266"/>
        <v>0</v>
      </c>
      <c r="D3348" s="22" t="e">
        <f>VLOOKUP($A3348, TAB_JUROS_U[[Q_DIAS_U_PARC_TIR]:[V_FUT_U_JURS CENARIO]], D$5, FALSE)</f>
        <v>#N/A</v>
      </c>
      <c r="E3348" s="22" t="e">
        <f>VLOOKUP($A3348,TAB_CORRECAO_U[[Q_DIAS_U_PARC_TIR]:[V_FUT_U_CORC-02]],E$5, FALSE)</f>
        <v>#N/A</v>
      </c>
      <c r="F3348" s="22" t="e">
        <f>VLOOKUP($A3348,TAB_AMORTIZACAO_U[[Q_DIAS_U_PARC_TIR]:[V_FUT_U_PCPL-02]], F$5, FALSE)</f>
        <v>#N/A</v>
      </c>
      <c r="H3348" s="20">
        <f t="shared" si="267"/>
        <v>0</v>
      </c>
      <c r="I3348" s="21">
        <f t="shared" si="268"/>
        <v>0</v>
      </c>
      <c r="J3348" s="22" t="e">
        <f>VLOOKUP($A3348, TAB_JUROS_C[[DIAS_CORRIDOS]:[V_FUT_UTEIS]], J$5, FALSE)</f>
        <v>#N/A</v>
      </c>
      <c r="K3348" s="22" t="e">
        <f>VLOOKUP($A3348, TAB_CORRECAO_C[[DIAS_CORRIDOS]:[V_FUT_UTEIS]],K$5, FALSE)</f>
        <v>#N/A</v>
      </c>
      <c r="L3348" s="22" t="e">
        <f>VLOOKUP($A3348, TAB_AMORTIZACAO_C[[DIAS_CORRIDOS]:[V_FUT_UTEIS]], L$5, FALSE)</f>
        <v>#N/A</v>
      </c>
    </row>
    <row r="3349" spans="1:12" hidden="1">
      <c r="A3349" s="19">
        <f t="shared" si="269"/>
        <v>3343</v>
      </c>
      <c r="B3349" s="20">
        <f t="shared" si="265"/>
        <v>0</v>
      </c>
      <c r="C3349" s="21">
        <f t="shared" si="266"/>
        <v>0</v>
      </c>
      <c r="D3349" s="22" t="e">
        <f>VLOOKUP($A3349, TAB_JUROS_U[[Q_DIAS_U_PARC_TIR]:[V_FUT_U_JURS CENARIO]], D$5, FALSE)</f>
        <v>#N/A</v>
      </c>
      <c r="E3349" s="22" t="e">
        <f>VLOOKUP($A3349,TAB_CORRECAO_U[[Q_DIAS_U_PARC_TIR]:[V_FUT_U_CORC-02]],E$5, FALSE)</f>
        <v>#N/A</v>
      </c>
      <c r="F3349" s="22" t="e">
        <f>VLOOKUP($A3349,TAB_AMORTIZACAO_U[[Q_DIAS_U_PARC_TIR]:[V_FUT_U_PCPL-02]], F$5, FALSE)</f>
        <v>#N/A</v>
      </c>
      <c r="H3349" s="20">
        <f t="shared" si="267"/>
        <v>0</v>
      </c>
      <c r="I3349" s="21">
        <f t="shared" si="268"/>
        <v>0</v>
      </c>
      <c r="J3349" s="22" t="e">
        <f>VLOOKUP($A3349, TAB_JUROS_C[[DIAS_CORRIDOS]:[V_FUT_UTEIS]], J$5, FALSE)</f>
        <v>#N/A</v>
      </c>
      <c r="K3349" s="22" t="e">
        <f>VLOOKUP($A3349, TAB_CORRECAO_C[[DIAS_CORRIDOS]:[V_FUT_UTEIS]],K$5, FALSE)</f>
        <v>#N/A</v>
      </c>
      <c r="L3349" s="22" t="e">
        <f>VLOOKUP($A3349, TAB_AMORTIZACAO_C[[DIAS_CORRIDOS]:[V_FUT_UTEIS]], L$5, FALSE)</f>
        <v>#N/A</v>
      </c>
    </row>
    <row r="3350" spans="1:12" hidden="1">
      <c r="A3350" s="19">
        <f t="shared" si="269"/>
        <v>3344</v>
      </c>
      <c r="B3350" s="20">
        <f t="shared" si="265"/>
        <v>0</v>
      </c>
      <c r="C3350" s="21">
        <f t="shared" si="266"/>
        <v>0</v>
      </c>
      <c r="D3350" s="22" t="e">
        <f>VLOOKUP($A3350, TAB_JUROS_U[[Q_DIAS_U_PARC_TIR]:[V_FUT_U_JURS CENARIO]], D$5, FALSE)</f>
        <v>#N/A</v>
      </c>
      <c r="E3350" s="22" t="e">
        <f>VLOOKUP($A3350,TAB_CORRECAO_U[[Q_DIAS_U_PARC_TIR]:[V_FUT_U_CORC-02]],E$5, FALSE)</f>
        <v>#N/A</v>
      </c>
      <c r="F3350" s="22" t="e">
        <f>VLOOKUP($A3350,TAB_AMORTIZACAO_U[[Q_DIAS_U_PARC_TIR]:[V_FUT_U_PCPL-02]], F$5, FALSE)</f>
        <v>#N/A</v>
      </c>
      <c r="H3350" s="20">
        <f t="shared" si="267"/>
        <v>0</v>
      </c>
      <c r="I3350" s="21">
        <f t="shared" si="268"/>
        <v>0</v>
      </c>
      <c r="J3350" s="22" t="e">
        <f>VLOOKUP($A3350, TAB_JUROS_C[[DIAS_CORRIDOS]:[V_FUT_UTEIS]], J$5, FALSE)</f>
        <v>#N/A</v>
      </c>
      <c r="K3350" s="22" t="e">
        <f>VLOOKUP($A3350, TAB_CORRECAO_C[[DIAS_CORRIDOS]:[V_FUT_UTEIS]],K$5, FALSE)</f>
        <v>#N/A</v>
      </c>
      <c r="L3350" s="22" t="e">
        <f>VLOOKUP($A3350, TAB_AMORTIZACAO_C[[DIAS_CORRIDOS]:[V_FUT_UTEIS]], L$5, FALSE)</f>
        <v>#N/A</v>
      </c>
    </row>
    <row r="3351" spans="1:12" hidden="1">
      <c r="A3351" s="19">
        <f t="shared" si="269"/>
        <v>3345</v>
      </c>
      <c r="B3351" s="20">
        <f t="shared" si="265"/>
        <v>0</v>
      </c>
      <c r="C3351" s="21">
        <f t="shared" si="266"/>
        <v>0</v>
      </c>
      <c r="D3351" s="22" t="e">
        <f>VLOOKUP($A3351, TAB_JUROS_U[[Q_DIAS_U_PARC_TIR]:[V_FUT_U_JURS CENARIO]], D$5, FALSE)</f>
        <v>#N/A</v>
      </c>
      <c r="E3351" s="22" t="e">
        <f>VLOOKUP($A3351,TAB_CORRECAO_U[[Q_DIAS_U_PARC_TIR]:[V_FUT_U_CORC-02]],E$5, FALSE)</f>
        <v>#N/A</v>
      </c>
      <c r="F3351" s="22" t="e">
        <f>VLOOKUP($A3351,TAB_AMORTIZACAO_U[[Q_DIAS_U_PARC_TIR]:[V_FUT_U_PCPL-02]], F$5, FALSE)</f>
        <v>#N/A</v>
      </c>
      <c r="H3351" s="20">
        <f t="shared" si="267"/>
        <v>0</v>
      </c>
      <c r="I3351" s="21">
        <f t="shared" si="268"/>
        <v>0</v>
      </c>
      <c r="J3351" s="22" t="e">
        <f>VLOOKUP($A3351, TAB_JUROS_C[[DIAS_CORRIDOS]:[V_FUT_UTEIS]], J$5, FALSE)</f>
        <v>#N/A</v>
      </c>
      <c r="K3351" s="22" t="e">
        <f>VLOOKUP($A3351, TAB_CORRECAO_C[[DIAS_CORRIDOS]:[V_FUT_UTEIS]],K$5, FALSE)</f>
        <v>#N/A</v>
      </c>
      <c r="L3351" s="22" t="e">
        <f>VLOOKUP($A3351, TAB_AMORTIZACAO_C[[DIAS_CORRIDOS]:[V_FUT_UTEIS]], L$5, FALSE)</f>
        <v>#N/A</v>
      </c>
    </row>
    <row r="3352" spans="1:12" hidden="1">
      <c r="A3352" s="19">
        <f t="shared" si="269"/>
        <v>3346</v>
      </c>
      <c r="B3352" s="20">
        <f t="shared" si="265"/>
        <v>0</v>
      </c>
      <c r="C3352" s="21">
        <f t="shared" si="266"/>
        <v>0</v>
      </c>
      <c r="D3352" s="22" t="e">
        <f>VLOOKUP($A3352, TAB_JUROS_U[[Q_DIAS_U_PARC_TIR]:[V_FUT_U_JURS CENARIO]], D$5, FALSE)</f>
        <v>#N/A</v>
      </c>
      <c r="E3352" s="22" t="e">
        <f>VLOOKUP($A3352,TAB_CORRECAO_U[[Q_DIAS_U_PARC_TIR]:[V_FUT_U_CORC-02]],E$5, FALSE)</f>
        <v>#N/A</v>
      </c>
      <c r="F3352" s="22" t="e">
        <f>VLOOKUP($A3352,TAB_AMORTIZACAO_U[[Q_DIAS_U_PARC_TIR]:[V_FUT_U_PCPL-02]], F$5, FALSE)</f>
        <v>#N/A</v>
      </c>
      <c r="H3352" s="20">
        <f t="shared" si="267"/>
        <v>0</v>
      </c>
      <c r="I3352" s="21">
        <f t="shared" si="268"/>
        <v>0</v>
      </c>
      <c r="J3352" s="22" t="e">
        <f>VLOOKUP($A3352, TAB_JUROS_C[[DIAS_CORRIDOS]:[V_FUT_UTEIS]], J$5, FALSE)</f>
        <v>#N/A</v>
      </c>
      <c r="K3352" s="22" t="e">
        <f>VLOOKUP($A3352, TAB_CORRECAO_C[[DIAS_CORRIDOS]:[V_FUT_UTEIS]],K$5, FALSE)</f>
        <v>#N/A</v>
      </c>
      <c r="L3352" s="22" t="e">
        <f>VLOOKUP($A3352, TAB_AMORTIZACAO_C[[DIAS_CORRIDOS]:[V_FUT_UTEIS]], L$5, FALSE)</f>
        <v>#N/A</v>
      </c>
    </row>
    <row r="3353" spans="1:12" hidden="1">
      <c r="A3353" s="19">
        <f t="shared" si="269"/>
        <v>3347</v>
      </c>
      <c r="B3353" s="20">
        <f t="shared" si="265"/>
        <v>0</v>
      </c>
      <c r="C3353" s="21">
        <f t="shared" si="266"/>
        <v>0</v>
      </c>
      <c r="D3353" s="22" t="e">
        <f>VLOOKUP($A3353, TAB_JUROS_U[[Q_DIAS_U_PARC_TIR]:[V_FUT_U_JURS CENARIO]], D$5, FALSE)</f>
        <v>#N/A</v>
      </c>
      <c r="E3353" s="22" t="e">
        <f>VLOOKUP($A3353,TAB_CORRECAO_U[[Q_DIAS_U_PARC_TIR]:[V_FUT_U_CORC-02]],E$5, FALSE)</f>
        <v>#N/A</v>
      </c>
      <c r="F3353" s="22" t="e">
        <f>VLOOKUP($A3353,TAB_AMORTIZACAO_U[[Q_DIAS_U_PARC_TIR]:[V_FUT_U_PCPL-02]], F$5, FALSE)</f>
        <v>#N/A</v>
      </c>
      <c r="H3353" s="20">
        <f t="shared" si="267"/>
        <v>0</v>
      </c>
      <c r="I3353" s="21">
        <f t="shared" si="268"/>
        <v>0</v>
      </c>
      <c r="J3353" s="22" t="e">
        <f>VLOOKUP($A3353, TAB_JUROS_C[[DIAS_CORRIDOS]:[V_FUT_UTEIS]], J$5, FALSE)</f>
        <v>#N/A</v>
      </c>
      <c r="K3353" s="22" t="e">
        <f>VLOOKUP($A3353, TAB_CORRECAO_C[[DIAS_CORRIDOS]:[V_FUT_UTEIS]],K$5, FALSE)</f>
        <v>#N/A</v>
      </c>
      <c r="L3353" s="22" t="e">
        <f>VLOOKUP($A3353, TAB_AMORTIZACAO_C[[DIAS_CORRIDOS]:[V_FUT_UTEIS]], L$5, FALSE)</f>
        <v>#N/A</v>
      </c>
    </row>
    <row r="3354" spans="1:12" hidden="1">
      <c r="A3354" s="19">
        <f t="shared" si="269"/>
        <v>3348</v>
      </c>
      <c r="B3354" s="20">
        <f t="shared" si="265"/>
        <v>0</v>
      </c>
      <c r="C3354" s="21">
        <f t="shared" si="266"/>
        <v>0</v>
      </c>
      <c r="D3354" s="22" t="e">
        <f>VLOOKUP($A3354, TAB_JUROS_U[[Q_DIAS_U_PARC_TIR]:[V_FUT_U_JURS CENARIO]], D$5, FALSE)</f>
        <v>#N/A</v>
      </c>
      <c r="E3354" s="22" t="e">
        <f>VLOOKUP($A3354,TAB_CORRECAO_U[[Q_DIAS_U_PARC_TIR]:[V_FUT_U_CORC-02]],E$5, FALSE)</f>
        <v>#N/A</v>
      </c>
      <c r="F3354" s="22" t="e">
        <f>VLOOKUP($A3354,TAB_AMORTIZACAO_U[[Q_DIAS_U_PARC_TIR]:[V_FUT_U_PCPL-02]], F$5, FALSE)</f>
        <v>#N/A</v>
      </c>
      <c r="H3354" s="20">
        <f t="shared" si="267"/>
        <v>0</v>
      </c>
      <c r="I3354" s="21">
        <f t="shared" si="268"/>
        <v>0</v>
      </c>
      <c r="J3354" s="22" t="e">
        <f>VLOOKUP($A3354, TAB_JUROS_C[[DIAS_CORRIDOS]:[V_FUT_UTEIS]], J$5, FALSE)</f>
        <v>#N/A</v>
      </c>
      <c r="K3354" s="22" t="e">
        <f>VLOOKUP($A3354, TAB_CORRECAO_C[[DIAS_CORRIDOS]:[V_FUT_UTEIS]],K$5, FALSE)</f>
        <v>#N/A</v>
      </c>
      <c r="L3354" s="22" t="e">
        <f>VLOOKUP($A3354, TAB_AMORTIZACAO_C[[DIAS_CORRIDOS]:[V_FUT_UTEIS]], L$5, FALSE)</f>
        <v>#N/A</v>
      </c>
    </row>
    <row r="3355" spans="1:12" hidden="1">
      <c r="A3355" s="19">
        <f t="shared" si="269"/>
        <v>3349</v>
      </c>
      <c r="B3355" s="20">
        <f t="shared" si="265"/>
        <v>0</v>
      </c>
      <c r="C3355" s="21">
        <f t="shared" si="266"/>
        <v>0</v>
      </c>
      <c r="D3355" s="22" t="e">
        <f>VLOOKUP($A3355, TAB_JUROS_U[[Q_DIAS_U_PARC_TIR]:[V_FUT_U_JURS CENARIO]], D$5, FALSE)</f>
        <v>#N/A</v>
      </c>
      <c r="E3355" s="22" t="e">
        <f>VLOOKUP($A3355,TAB_CORRECAO_U[[Q_DIAS_U_PARC_TIR]:[V_FUT_U_CORC-02]],E$5, FALSE)</f>
        <v>#N/A</v>
      </c>
      <c r="F3355" s="22" t="e">
        <f>VLOOKUP($A3355,TAB_AMORTIZACAO_U[[Q_DIAS_U_PARC_TIR]:[V_FUT_U_PCPL-02]], F$5, FALSE)</f>
        <v>#N/A</v>
      </c>
      <c r="H3355" s="20">
        <f t="shared" si="267"/>
        <v>0</v>
      </c>
      <c r="I3355" s="21">
        <f t="shared" si="268"/>
        <v>0</v>
      </c>
      <c r="J3355" s="22" t="e">
        <f>VLOOKUP($A3355, TAB_JUROS_C[[DIAS_CORRIDOS]:[V_FUT_UTEIS]], J$5, FALSE)</f>
        <v>#N/A</v>
      </c>
      <c r="K3355" s="22" t="e">
        <f>VLOOKUP($A3355, TAB_CORRECAO_C[[DIAS_CORRIDOS]:[V_FUT_UTEIS]],K$5, FALSE)</f>
        <v>#N/A</v>
      </c>
      <c r="L3355" s="22" t="e">
        <f>VLOOKUP($A3355, TAB_AMORTIZACAO_C[[DIAS_CORRIDOS]:[V_FUT_UTEIS]], L$5, FALSE)</f>
        <v>#N/A</v>
      </c>
    </row>
    <row r="3356" spans="1:12" hidden="1">
      <c r="A3356" s="19">
        <f t="shared" si="269"/>
        <v>3350</v>
      </c>
      <c r="B3356" s="20">
        <f t="shared" si="265"/>
        <v>0</v>
      </c>
      <c r="C3356" s="21">
        <f t="shared" si="266"/>
        <v>0</v>
      </c>
      <c r="D3356" s="22" t="e">
        <f>VLOOKUP($A3356, TAB_JUROS_U[[Q_DIAS_U_PARC_TIR]:[V_FUT_U_JURS CENARIO]], D$5, FALSE)</f>
        <v>#N/A</v>
      </c>
      <c r="E3356" s="22" t="e">
        <f>VLOOKUP($A3356,TAB_CORRECAO_U[[Q_DIAS_U_PARC_TIR]:[V_FUT_U_CORC-02]],E$5, FALSE)</f>
        <v>#N/A</v>
      </c>
      <c r="F3356" s="22" t="e">
        <f>VLOOKUP($A3356,TAB_AMORTIZACAO_U[[Q_DIAS_U_PARC_TIR]:[V_FUT_U_PCPL-02]], F$5, FALSE)</f>
        <v>#N/A</v>
      </c>
      <c r="H3356" s="20">
        <f t="shared" si="267"/>
        <v>0</v>
      </c>
      <c r="I3356" s="21">
        <f t="shared" si="268"/>
        <v>0</v>
      </c>
      <c r="J3356" s="22" t="e">
        <f>VLOOKUP($A3356, TAB_JUROS_C[[DIAS_CORRIDOS]:[V_FUT_UTEIS]], J$5, FALSE)</f>
        <v>#N/A</v>
      </c>
      <c r="K3356" s="22" t="e">
        <f>VLOOKUP($A3356, TAB_CORRECAO_C[[DIAS_CORRIDOS]:[V_FUT_UTEIS]],K$5, FALSE)</f>
        <v>#N/A</v>
      </c>
      <c r="L3356" s="22" t="e">
        <f>VLOOKUP($A3356, TAB_AMORTIZACAO_C[[DIAS_CORRIDOS]:[V_FUT_UTEIS]], L$5, FALSE)</f>
        <v>#N/A</v>
      </c>
    </row>
    <row r="3357" spans="1:12" hidden="1">
      <c r="A3357" s="19">
        <f t="shared" si="269"/>
        <v>3351</v>
      </c>
      <c r="B3357" s="20">
        <f t="shared" si="265"/>
        <v>0</v>
      </c>
      <c r="C3357" s="21">
        <f t="shared" si="266"/>
        <v>0</v>
      </c>
      <c r="D3357" s="22" t="e">
        <f>VLOOKUP($A3357, TAB_JUROS_U[[Q_DIAS_U_PARC_TIR]:[V_FUT_U_JURS CENARIO]], D$5, FALSE)</f>
        <v>#N/A</v>
      </c>
      <c r="E3357" s="22" t="e">
        <f>VLOOKUP($A3357,TAB_CORRECAO_U[[Q_DIAS_U_PARC_TIR]:[V_FUT_U_CORC-02]],E$5, FALSE)</f>
        <v>#N/A</v>
      </c>
      <c r="F3357" s="22" t="e">
        <f>VLOOKUP($A3357,TAB_AMORTIZACAO_U[[Q_DIAS_U_PARC_TIR]:[V_FUT_U_PCPL-02]], F$5, FALSE)</f>
        <v>#N/A</v>
      </c>
      <c r="H3357" s="20">
        <f t="shared" si="267"/>
        <v>0</v>
      </c>
      <c r="I3357" s="21">
        <f t="shared" si="268"/>
        <v>0</v>
      </c>
      <c r="J3357" s="22" t="e">
        <f>VLOOKUP($A3357, TAB_JUROS_C[[DIAS_CORRIDOS]:[V_FUT_UTEIS]], J$5, FALSE)</f>
        <v>#N/A</v>
      </c>
      <c r="K3357" s="22" t="e">
        <f>VLOOKUP($A3357, TAB_CORRECAO_C[[DIAS_CORRIDOS]:[V_FUT_UTEIS]],K$5, FALSE)</f>
        <v>#N/A</v>
      </c>
      <c r="L3357" s="22" t="e">
        <f>VLOOKUP($A3357, TAB_AMORTIZACAO_C[[DIAS_CORRIDOS]:[V_FUT_UTEIS]], L$5, FALSE)</f>
        <v>#N/A</v>
      </c>
    </row>
    <row r="3358" spans="1:12" hidden="1">
      <c r="A3358" s="19">
        <f t="shared" si="269"/>
        <v>3352</v>
      </c>
      <c r="B3358" s="20">
        <f t="shared" si="265"/>
        <v>0</v>
      </c>
      <c r="C3358" s="21">
        <f t="shared" si="266"/>
        <v>0</v>
      </c>
      <c r="D3358" s="22" t="e">
        <f>VLOOKUP($A3358, TAB_JUROS_U[[Q_DIAS_U_PARC_TIR]:[V_FUT_U_JURS CENARIO]], D$5, FALSE)</f>
        <v>#N/A</v>
      </c>
      <c r="E3358" s="22" t="e">
        <f>VLOOKUP($A3358,TAB_CORRECAO_U[[Q_DIAS_U_PARC_TIR]:[V_FUT_U_CORC-02]],E$5, FALSE)</f>
        <v>#N/A</v>
      </c>
      <c r="F3358" s="22" t="e">
        <f>VLOOKUP($A3358,TAB_AMORTIZACAO_U[[Q_DIAS_U_PARC_TIR]:[V_FUT_U_PCPL-02]], F$5, FALSE)</f>
        <v>#N/A</v>
      </c>
      <c r="H3358" s="20">
        <f t="shared" si="267"/>
        <v>0</v>
      </c>
      <c r="I3358" s="21">
        <f t="shared" si="268"/>
        <v>0</v>
      </c>
      <c r="J3358" s="22" t="e">
        <f>VLOOKUP($A3358, TAB_JUROS_C[[DIAS_CORRIDOS]:[V_FUT_UTEIS]], J$5, FALSE)</f>
        <v>#N/A</v>
      </c>
      <c r="K3358" s="22" t="e">
        <f>VLOOKUP($A3358, TAB_CORRECAO_C[[DIAS_CORRIDOS]:[V_FUT_UTEIS]],K$5, FALSE)</f>
        <v>#N/A</v>
      </c>
      <c r="L3358" s="22" t="e">
        <f>VLOOKUP($A3358, TAB_AMORTIZACAO_C[[DIAS_CORRIDOS]:[V_FUT_UTEIS]], L$5, FALSE)</f>
        <v>#N/A</v>
      </c>
    </row>
    <row r="3359" spans="1:12" hidden="1">
      <c r="A3359" s="19">
        <f t="shared" si="269"/>
        <v>3353</v>
      </c>
      <c r="B3359" s="20">
        <f t="shared" si="265"/>
        <v>0</v>
      </c>
      <c r="C3359" s="21">
        <f t="shared" si="266"/>
        <v>0</v>
      </c>
      <c r="D3359" s="22" t="e">
        <f>VLOOKUP($A3359, TAB_JUROS_U[[Q_DIAS_U_PARC_TIR]:[V_FUT_U_JURS CENARIO]], D$5, FALSE)</f>
        <v>#N/A</v>
      </c>
      <c r="E3359" s="22" t="e">
        <f>VLOOKUP($A3359,TAB_CORRECAO_U[[Q_DIAS_U_PARC_TIR]:[V_FUT_U_CORC-02]],E$5, FALSE)</f>
        <v>#N/A</v>
      </c>
      <c r="F3359" s="22" t="e">
        <f>VLOOKUP($A3359,TAB_AMORTIZACAO_U[[Q_DIAS_U_PARC_TIR]:[V_FUT_U_PCPL-02]], F$5, FALSE)</f>
        <v>#N/A</v>
      </c>
      <c r="H3359" s="20">
        <f t="shared" si="267"/>
        <v>0</v>
      </c>
      <c r="I3359" s="21">
        <f t="shared" si="268"/>
        <v>0</v>
      </c>
      <c r="J3359" s="22" t="e">
        <f>VLOOKUP($A3359, TAB_JUROS_C[[DIAS_CORRIDOS]:[V_FUT_UTEIS]], J$5, FALSE)</f>
        <v>#N/A</v>
      </c>
      <c r="K3359" s="22" t="e">
        <f>VLOOKUP($A3359, TAB_CORRECAO_C[[DIAS_CORRIDOS]:[V_FUT_UTEIS]],K$5, FALSE)</f>
        <v>#N/A</v>
      </c>
      <c r="L3359" s="22" t="e">
        <f>VLOOKUP($A3359, TAB_AMORTIZACAO_C[[DIAS_CORRIDOS]:[V_FUT_UTEIS]], L$5, FALSE)</f>
        <v>#N/A</v>
      </c>
    </row>
    <row r="3360" spans="1:12" hidden="1">
      <c r="A3360" s="19">
        <f t="shared" si="269"/>
        <v>3354</v>
      </c>
      <c r="B3360" s="20">
        <f t="shared" si="265"/>
        <v>0</v>
      </c>
      <c r="C3360" s="21">
        <f t="shared" si="266"/>
        <v>0</v>
      </c>
      <c r="D3360" s="22" t="e">
        <f>VLOOKUP($A3360, TAB_JUROS_U[[Q_DIAS_U_PARC_TIR]:[V_FUT_U_JURS CENARIO]], D$5, FALSE)</f>
        <v>#N/A</v>
      </c>
      <c r="E3360" s="22" t="e">
        <f>VLOOKUP($A3360,TAB_CORRECAO_U[[Q_DIAS_U_PARC_TIR]:[V_FUT_U_CORC-02]],E$5, FALSE)</f>
        <v>#N/A</v>
      </c>
      <c r="F3360" s="22" t="e">
        <f>VLOOKUP($A3360,TAB_AMORTIZACAO_U[[Q_DIAS_U_PARC_TIR]:[V_FUT_U_PCPL-02]], F$5, FALSE)</f>
        <v>#N/A</v>
      </c>
      <c r="H3360" s="20">
        <f t="shared" si="267"/>
        <v>0</v>
      </c>
      <c r="I3360" s="21">
        <f t="shared" si="268"/>
        <v>0</v>
      </c>
      <c r="J3360" s="22" t="e">
        <f>VLOOKUP($A3360, TAB_JUROS_C[[DIAS_CORRIDOS]:[V_FUT_UTEIS]], J$5, FALSE)</f>
        <v>#N/A</v>
      </c>
      <c r="K3360" s="22" t="e">
        <f>VLOOKUP($A3360, TAB_CORRECAO_C[[DIAS_CORRIDOS]:[V_FUT_UTEIS]],K$5, FALSE)</f>
        <v>#N/A</v>
      </c>
      <c r="L3360" s="22" t="e">
        <f>VLOOKUP($A3360, TAB_AMORTIZACAO_C[[DIAS_CORRIDOS]:[V_FUT_UTEIS]], L$5, FALSE)</f>
        <v>#N/A</v>
      </c>
    </row>
    <row r="3361" spans="1:12" hidden="1">
      <c r="A3361" s="19">
        <f t="shared" si="269"/>
        <v>3355</v>
      </c>
      <c r="B3361" s="20">
        <f t="shared" si="265"/>
        <v>0</v>
      </c>
      <c r="C3361" s="21">
        <f t="shared" si="266"/>
        <v>0</v>
      </c>
      <c r="D3361" s="22" t="e">
        <f>VLOOKUP($A3361, TAB_JUROS_U[[Q_DIAS_U_PARC_TIR]:[V_FUT_U_JURS CENARIO]], D$5, FALSE)</f>
        <v>#N/A</v>
      </c>
      <c r="E3361" s="22" t="e">
        <f>VLOOKUP($A3361,TAB_CORRECAO_U[[Q_DIAS_U_PARC_TIR]:[V_FUT_U_CORC-02]],E$5, FALSE)</f>
        <v>#N/A</v>
      </c>
      <c r="F3361" s="22" t="e">
        <f>VLOOKUP($A3361,TAB_AMORTIZACAO_U[[Q_DIAS_U_PARC_TIR]:[V_FUT_U_PCPL-02]], F$5, FALSE)</f>
        <v>#N/A</v>
      </c>
      <c r="H3361" s="20">
        <f t="shared" si="267"/>
        <v>0</v>
      </c>
      <c r="I3361" s="21">
        <f t="shared" si="268"/>
        <v>0</v>
      </c>
      <c r="J3361" s="22" t="e">
        <f>VLOOKUP($A3361, TAB_JUROS_C[[DIAS_CORRIDOS]:[V_FUT_UTEIS]], J$5, FALSE)</f>
        <v>#N/A</v>
      </c>
      <c r="K3361" s="22" t="e">
        <f>VLOOKUP($A3361, TAB_CORRECAO_C[[DIAS_CORRIDOS]:[V_FUT_UTEIS]],K$5, FALSE)</f>
        <v>#N/A</v>
      </c>
      <c r="L3361" s="22" t="e">
        <f>VLOOKUP($A3361, TAB_AMORTIZACAO_C[[DIAS_CORRIDOS]:[V_FUT_UTEIS]], L$5, FALSE)</f>
        <v>#N/A</v>
      </c>
    </row>
    <row r="3362" spans="1:12" hidden="1">
      <c r="A3362" s="19">
        <f t="shared" si="269"/>
        <v>3356</v>
      </c>
      <c r="B3362" s="20">
        <f t="shared" si="265"/>
        <v>0</v>
      </c>
      <c r="C3362" s="21">
        <f t="shared" si="266"/>
        <v>0</v>
      </c>
      <c r="D3362" s="22" t="e">
        <f>VLOOKUP($A3362, TAB_JUROS_U[[Q_DIAS_U_PARC_TIR]:[V_FUT_U_JURS CENARIO]], D$5, FALSE)</f>
        <v>#N/A</v>
      </c>
      <c r="E3362" s="22" t="e">
        <f>VLOOKUP($A3362,TAB_CORRECAO_U[[Q_DIAS_U_PARC_TIR]:[V_FUT_U_CORC-02]],E$5, FALSE)</f>
        <v>#N/A</v>
      </c>
      <c r="F3362" s="22" t="e">
        <f>VLOOKUP($A3362,TAB_AMORTIZACAO_U[[Q_DIAS_U_PARC_TIR]:[V_FUT_U_PCPL-02]], F$5, FALSE)</f>
        <v>#N/A</v>
      </c>
      <c r="H3362" s="20">
        <f t="shared" si="267"/>
        <v>0</v>
      </c>
      <c r="I3362" s="21">
        <f t="shared" si="268"/>
        <v>0</v>
      </c>
      <c r="J3362" s="22" t="e">
        <f>VLOOKUP($A3362, TAB_JUROS_C[[DIAS_CORRIDOS]:[V_FUT_UTEIS]], J$5, FALSE)</f>
        <v>#N/A</v>
      </c>
      <c r="K3362" s="22" t="e">
        <f>VLOOKUP($A3362, TAB_CORRECAO_C[[DIAS_CORRIDOS]:[V_FUT_UTEIS]],K$5, FALSE)</f>
        <v>#N/A</v>
      </c>
      <c r="L3362" s="22" t="e">
        <f>VLOOKUP($A3362, TAB_AMORTIZACAO_C[[DIAS_CORRIDOS]:[V_FUT_UTEIS]], L$5, FALSE)</f>
        <v>#N/A</v>
      </c>
    </row>
    <row r="3363" spans="1:12" hidden="1">
      <c r="A3363" s="19">
        <f t="shared" si="269"/>
        <v>3357</v>
      </c>
      <c r="B3363" s="20">
        <f t="shared" si="265"/>
        <v>0</v>
      </c>
      <c r="C3363" s="21">
        <f t="shared" si="266"/>
        <v>0</v>
      </c>
      <c r="D3363" s="22" t="e">
        <f>VLOOKUP($A3363, TAB_JUROS_U[[Q_DIAS_U_PARC_TIR]:[V_FUT_U_JURS CENARIO]], D$5, FALSE)</f>
        <v>#N/A</v>
      </c>
      <c r="E3363" s="22" t="e">
        <f>VLOOKUP($A3363,TAB_CORRECAO_U[[Q_DIAS_U_PARC_TIR]:[V_FUT_U_CORC-02]],E$5, FALSE)</f>
        <v>#N/A</v>
      </c>
      <c r="F3363" s="22" t="e">
        <f>VLOOKUP($A3363,TAB_AMORTIZACAO_U[[Q_DIAS_U_PARC_TIR]:[V_FUT_U_PCPL-02]], F$5, FALSE)</f>
        <v>#N/A</v>
      </c>
      <c r="H3363" s="20">
        <f t="shared" si="267"/>
        <v>0</v>
      </c>
      <c r="I3363" s="21">
        <f t="shared" si="268"/>
        <v>0</v>
      </c>
      <c r="J3363" s="22" t="e">
        <f>VLOOKUP($A3363, TAB_JUROS_C[[DIAS_CORRIDOS]:[V_FUT_UTEIS]], J$5, FALSE)</f>
        <v>#N/A</v>
      </c>
      <c r="K3363" s="22" t="e">
        <f>VLOOKUP($A3363, TAB_CORRECAO_C[[DIAS_CORRIDOS]:[V_FUT_UTEIS]],K$5, FALSE)</f>
        <v>#N/A</v>
      </c>
      <c r="L3363" s="22" t="e">
        <f>VLOOKUP($A3363, TAB_AMORTIZACAO_C[[DIAS_CORRIDOS]:[V_FUT_UTEIS]], L$5, FALSE)</f>
        <v>#N/A</v>
      </c>
    </row>
    <row r="3364" spans="1:12" hidden="1">
      <c r="A3364" s="19">
        <f t="shared" si="269"/>
        <v>3358</v>
      </c>
      <c r="B3364" s="20">
        <f t="shared" si="265"/>
        <v>0</v>
      </c>
      <c r="C3364" s="21">
        <f t="shared" si="266"/>
        <v>0</v>
      </c>
      <c r="D3364" s="22" t="e">
        <f>VLOOKUP($A3364, TAB_JUROS_U[[Q_DIAS_U_PARC_TIR]:[V_FUT_U_JURS CENARIO]], D$5, FALSE)</f>
        <v>#N/A</v>
      </c>
      <c r="E3364" s="22" t="e">
        <f>VLOOKUP($A3364,TAB_CORRECAO_U[[Q_DIAS_U_PARC_TIR]:[V_FUT_U_CORC-02]],E$5, FALSE)</f>
        <v>#N/A</v>
      </c>
      <c r="F3364" s="22" t="e">
        <f>VLOOKUP($A3364,TAB_AMORTIZACAO_U[[Q_DIAS_U_PARC_TIR]:[V_FUT_U_PCPL-02]], F$5, FALSE)</f>
        <v>#N/A</v>
      </c>
      <c r="H3364" s="20">
        <f t="shared" si="267"/>
        <v>0</v>
      </c>
      <c r="I3364" s="21">
        <f t="shared" si="268"/>
        <v>0</v>
      </c>
      <c r="J3364" s="22" t="e">
        <f>VLOOKUP($A3364, TAB_JUROS_C[[DIAS_CORRIDOS]:[V_FUT_UTEIS]], J$5, FALSE)</f>
        <v>#N/A</v>
      </c>
      <c r="K3364" s="22" t="e">
        <f>VLOOKUP($A3364, TAB_CORRECAO_C[[DIAS_CORRIDOS]:[V_FUT_UTEIS]],K$5, FALSE)</f>
        <v>#N/A</v>
      </c>
      <c r="L3364" s="22" t="e">
        <f>VLOOKUP($A3364, TAB_AMORTIZACAO_C[[DIAS_CORRIDOS]:[V_FUT_UTEIS]], L$5, FALSE)</f>
        <v>#N/A</v>
      </c>
    </row>
    <row r="3365" spans="1:12" hidden="1">
      <c r="A3365" s="19">
        <f t="shared" si="269"/>
        <v>3359</v>
      </c>
      <c r="B3365" s="20">
        <f t="shared" si="265"/>
        <v>0</v>
      </c>
      <c r="C3365" s="21">
        <f t="shared" si="266"/>
        <v>0</v>
      </c>
      <c r="D3365" s="22" t="e">
        <f>VLOOKUP($A3365, TAB_JUROS_U[[Q_DIAS_U_PARC_TIR]:[V_FUT_U_JURS CENARIO]], D$5, FALSE)</f>
        <v>#N/A</v>
      </c>
      <c r="E3365" s="22" t="e">
        <f>VLOOKUP($A3365,TAB_CORRECAO_U[[Q_DIAS_U_PARC_TIR]:[V_FUT_U_CORC-02]],E$5, FALSE)</f>
        <v>#N/A</v>
      </c>
      <c r="F3365" s="22" t="e">
        <f>VLOOKUP($A3365,TAB_AMORTIZACAO_U[[Q_DIAS_U_PARC_TIR]:[V_FUT_U_PCPL-02]], F$5, FALSE)</f>
        <v>#N/A</v>
      </c>
      <c r="H3365" s="20">
        <f t="shared" si="267"/>
        <v>0</v>
      </c>
      <c r="I3365" s="21">
        <f t="shared" si="268"/>
        <v>0</v>
      </c>
      <c r="J3365" s="22" t="e">
        <f>VLOOKUP($A3365, TAB_JUROS_C[[DIAS_CORRIDOS]:[V_FUT_UTEIS]], J$5, FALSE)</f>
        <v>#N/A</v>
      </c>
      <c r="K3365" s="22" t="e">
        <f>VLOOKUP($A3365, TAB_CORRECAO_C[[DIAS_CORRIDOS]:[V_FUT_UTEIS]],K$5, FALSE)</f>
        <v>#N/A</v>
      </c>
      <c r="L3365" s="22" t="e">
        <f>VLOOKUP($A3365, TAB_AMORTIZACAO_C[[DIAS_CORRIDOS]:[V_FUT_UTEIS]], L$5, FALSE)</f>
        <v>#N/A</v>
      </c>
    </row>
    <row r="3366" spans="1:12" hidden="1">
      <c r="A3366" s="19">
        <f t="shared" si="269"/>
        <v>3360</v>
      </c>
      <c r="B3366" s="20">
        <f t="shared" si="265"/>
        <v>0</v>
      </c>
      <c r="C3366" s="21">
        <f t="shared" si="266"/>
        <v>0</v>
      </c>
      <c r="D3366" s="22" t="e">
        <f>VLOOKUP($A3366, TAB_JUROS_U[[Q_DIAS_U_PARC_TIR]:[V_FUT_U_JURS CENARIO]], D$5, FALSE)</f>
        <v>#N/A</v>
      </c>
      <c r="E3366" s="22" t="e">
        <f>VLOOKUP($A3366,TAB_CORRECAO_U[[Q_DIAS_U_PARC_TIR]:[V_FUT_U_CORC-02]],E$5, FALSE)</f>
        <v>#N/A</v>
      </c>
      <c r="F3366" s="22" t="e">
        <f>VLOOKUP($A3366,TAB_AMORTIZACAO_U[[Q_DIAS_U_PARC_TIR]:[V_FUT_U_PCPL-02]], F$5, FALSE)</f>
        <v>#N/A</v>
      </c>
      <c r="H3366" s="20">
        <f t="shared" si="267"/>
        <v>0</v>
      </c>
      <c r="I3366" s="21">
        <f t="shared" si="268"/>
        <v>0</v>
      </c>
      <c r="J3366" s="22" t="e">
        <f>VLOOKUP($A3366, TAB_JUROS_C[[DIAS_CORRIDOS]:[V_FUT_UTEIS]], J$5, FALSE)</f>
        <v>#N/A</v>
      </c>
      <c r="K3366" s="22" t="e">
        <f>VLOOKUP($A3366, TAB_CORRECAO_C[[DIAS_CORRIDOS]:[V_FUT_UTEIS]],K$5, FALSE)</f>
        <v>#N/A</v>
      </c>
      <c r="L3366" s="22" t="e">
        <f>VLOOKUP($A3366, TAB_AMORTIZACAO_C[[DIAS_CORRIDOS]:[V_FUT_UTEIS]], L$5, FALSE)</f>
        <v>#N/A</v>
      </c>
    </row>
    <row r="3367" spans="1:12" hidden="1">
      <c r="A3367" s="19">
        <f t="shared" si="269"/>
        <v>3361</v>
      </c>
      <c r="B3367" s="20">
        <f t="shared" si="265"/>
        <v>0</v>
      </c>
      <c r="C3367" s="21">
        <f t="shared" si="266"/>
        <v>0</v>
      </c>
      <c r="D3367" s="22" t="e">
        <f>VLOOKUP($A3367, TAB_JUROS_U[[Q_DIAS_U_PARC_TIR]:[V_FUT_U_JURS CENARIO]], D$5, FALSE)</f>
        <v>#N/A</v>
      </c>
      <c r="E3367" s="22" t="e">
        <f>VLOOKUP($A3367,TAB_CORRECAO_U[[Q_DIAS_U_PARC_TIR]:[V_FUT_U_CORC-02]],E$5, FALSE)</f>
        <v>#N/A</v>
      </c>
      <c r="F3367" s="22" t="e">
        <f>VLOOKUP($A3367,TAB_AMORTIZACAO_U[[Q_DIAS_U_PARC_TIR]:[V_FUT_U_PCPL-02]], F$5, FALSE)</f>
        <v>#N/A</v>
      </c>
      <c r="H3367" s="20">
        <f t="shared" si="267"/>
        <v>0</v>
      </c>
      <c r="I3367" s="21">
        <f t="shared" si="268"/>
        <v>0</v>
      </c>
      <c r="J3367" s="22" t="e">
        <f>VLOOKUP($A3367, TAB_JUROS_C[[DIAS_CORRIDOS]:[V_FUT_UTEIS]], J$5, FALSE)</f>
        <v>#N/A</v>
      </c>
      <c r="K3367" s="22" t="e">
        <f>VLOOKUP($A3367, TAB_CORRECAO_C[[DIAS_CORRIDOS]:[V_FUT_UTEIS]],K$5, FALSE)</f>
        <v>#N/A</v>
      </c>
      <c r="L3367" s="22" t="e">
        <f>VLOOKUP($A3367, TAB_AMORTIZACAO_C[[DIAS_CORRIDOS]:[V_FUT_UTEIS]], L$5, FALSE)</f>
        <v>#N/A</v>
      </c>
    </row>
    <row r="3368" spans="1:12" hidden="1">
      <c r="A3368" s="19">
        <f t="shared" si="269"/>
        <v>3362</v>
      </c>
      <c r="B3368" s="20">
        <f t="shared" si="265"/>
        <v>0</v>
      </c>
      <c r="C3368" s="21">
        <f t="shared" si="266"/>
        <v>0</v>
      </c>
      <c r="D3368" s="22" t="e">
        <f>VLOOKUP($A3368, TAB_JUROS_U[[Q_DIAS_U_PARC_TIR]:[V_FUT_U_JURS CENARIO]], D$5, FALSE)</f>
        <v>#N/A</v>
      </c>
      <c r="E3368" s="22" t="e">
        <f>VLOOKUP($A3368,TAB_CORRECAO_U[[Q_DIAS_U_PARC_TIR]:[V_FUT_U_CORC-02]],E$5, FALSE)</f>
        <v>#N/A</v>
      </c>
      <c r="F3368" s="22" t="e">
        <f>VLOOKUP($A3368,TAB_AMORTIZACAO_U[[Q_DIAS_U_PARC_TIR]:[V_FUT_U_PCPL-02]], F$5, FALSE)</f>
        <v>#N/A</v>
      </c>
      <c r="H3368" s="20">
        <f t="shared" si="267"/>
        <v>208.43159552275847</v>
      </c>
      <c r="I3368" s="21">
        <f t="shared" si="268"/>
        <v>208.43159552275847</v>
      </c>
      <c r="J3368" s="22">
        <f>VLOOKUP($A3368, TAB_JUROS_C[[DIAS_CORRIDOS]:[V_FUT_UTEIS]], J$5, FALSE)</f>
        <v>9.0062848023209678</v>
      </c>
      <c r="K3368" s="22">
        <f>VLOOKUP($A3368, TAB_CORRECAO_C[[DIAS_CORRIDOS]:[V_FUT_UTEIS]],K$5, FALSE)</f>
        <v>53.620158851051023</v>
      </c>
      <c r="L3368" s="22">
        <f>VLOOKUP($A3368, TAB_AMORTIZACAO_C[[DIAS_CORRIDOS]:[V_FUT_UTEIS]], L$5, FALSE)</f>
        <v>145.80515186938649</v>
      </c>
    </row>
    <row r="3369" spans="1:12" hidden="1">
      <c r="A3369" s="19">
        <f t="shared" si="269"/>
        <v>3363</v>
      </c>
      <c r="B3369" s="20">
        <f t="shared" si="265"/>
        <v>0</v>
      </c>
      <c r="C3369" s="21">
        <f t="shared" si="266"/>
        <v>0</v>
      </c>
      <c r="D3369" s="22" t="e">
        <f>VLOOKUP($A3369, TAB_JUROS_U[[Q_DIAS_U_PARC_TIR]:[V_FUT_U_JURS CENARIO]], D$5, FALSE)</f>
        <v>#N/A</v>
      </c>
      <c r="E3369" s="22" t="e">
        <f>VLOOKUP($A3369,TAB_CORRECAO_U[[Q_DIAS_U_PARC_TIR]:[V_FUT_U_CORC-02]],E$5, FALSE)</f>
        <v>#N/A</v>
      </c>
      <c r="F3369" s="22" t="e">
        <f>VLOOKUP($A3369,TAB_AMORTIZACAO_U[[Q_DIAS_U_PARC_TIR]:[V_FUT_U_PCPL-02]], F$5, FALSE)</f>
        <v>#N/A</v>
      </c>
      <c r="H3369" s="20">
        <f t="shared" si="267"/>
        <v>0</v>
      </c>
      <c r="I3369" s="21">
        <f t="shared" si="268"/>
        <v>0</v>
      </c>
      <c r="J3369" s="22" t="e">
        <f>VLOOKUP($A3369, TAB_JUROS_C[[DIAS_CORRIDOS]:[V_FUT_UTEIS]], J$5, FALSE)</f>
        <v>#N/A</v>
      </c>
      <c r="K3369" s="22" t="e">
        <f>VLOOKUP($A3369, TAB_CORRECAO_C[[DIAS_CORRIDOS]:[V_FUT_UTEIS]],K$5, FALSE)</f>
        <v>#N/A</v>
      </c>
      <c r="L3369" s="22" t="e">
        <f>VLOOKUP($A3369, TAB_AMORTIZACAO_C[[DIAS_CORRIDOS]:[V_FUT_UTEIS]], L$5, FALSE)</f>
        <v>#N/A</v>
      </c>
    </row>
    <row r="3370" spans="1:12" hidden="1">
      <c r="A3370" s="19">
        <f t="shared" si="269"/>
        <v>3364</v>
      </c>
      <c r="B3370" s="20">
        <f t="shared" si="265"/>
        <v>0</v>
      </c>
      <c r="C3370" s="21">
        <f t="shared" si="266"/>
        <v>0</v>
      </c>
      <c r="D3370" s="22" t="e">
        <f>VLOOKUP($A3370, TAB_JUROS_U[[Q_DIAS_U_PARC_TIR]:[V_FUT_U_JURS CENARIO]], D$5, FALSE)</f>
        <v>#N/A</v>
      </c>
      <c r="E3370" s="22" t="e">
        <f>VLOOKUP($A3370,TAB_CORRECAO_U[[Q_DIAS_U_PARC_TIR]:[V_FUT_U_CORC-02]],E$5, FALSE)</f>
        <v>#N/A</v>
      </c>
      <c r="F3370" s="22" t="e">
        <f>VLOOKUP($A3370,TAB_AMORTIZACAO_U[[Q_DIAS_U_PARC_TIR]:[V_FUT_U_PCPL-02]], F$5, FALSE)</f>
        <v>#N/A</v>
      </c>
      <c r="H3370" s="20">
        <f t="shared" si="267"/>
        <v>0</v>
      </c>
      <c r="I3370" s="21">
        <f t="shared" si="268"/>
        <v>0</v>
      </c>
      <c r="J3370" s="22" t="e">
        <f>VLOOKUP($A3370, TAB_JUROS_C[[DIAS_CORRIDOS]:[V_FUT_UTEIS]], J$5, FALSE)</f>
        <v>#N/A</v>
      </c>
      <c r="K3370" s="22" t="e">
        <f>VLOOKUP($A3370, TAB_CORRECAO_C[[DIAS_CORRIDOS]:[V_FUT_UTEIS]],K$5, FALSE)</f>
        <v>#N/A</v>
      </c>
      <c r="L3370" s="22" t="e">
        <f>VLOOKUP($A3370, TAB_AMORTIZACAO_C[[DIAS_CORRIDOS]:[V_FUT_UTEIS]], L$5, FALSE)</f>
        <v>#N/A</v>
      </c>
    </row>
    <row r="3371" spans="1:12" hidden="1">
      <c r="A3371" s="19">
        <f t="shared" si="269"/>
        <v>3365</v>
      </c>
      <c r="B3371" s="20">
        <f t="shared" si="265"/>
        <v>0</v>
      </c>
      <c r="C3371" s="21">
        <f t="shared" si="266"/>
        <v>0</v>
      </c>
      <c r="D3371" s="22" t="e">
        <f>VLOOKUP($A3371, TAB_JUROS_U[[Q_DIAS_U_PARC_TIR]:[V_FUT_U_JURS CENARIO]], D$5, FALSE)</f>
        <v>#N/A</v>
      </c>
      <c r="E3371" s="22" t="e">
        <f>VLOOKUP($A3371,TAB_CORRECAO_U[[Q_DIAS_U_PARC_TIR]:[V_FUT_U_CORC-02]],E$5, FALSE)</f>
        <v>#N/A</v>
      </c>
      <c r="F3371" s="22" t="e">
        <f>VLOOKUP($A3371,TAB_AMORTIZACAO_U[[Q_DIAS_U_PARC_TIR]:[V_FUT_U_PCPL-02]], F$5, FALSE)</f>
        <v>#N/A</v>
      </c>
      <c r="H3371" s="20">
        <f t="shared" si="267"/>
        <v>0</v>
      </c>
      <c r="I3371" s="21">
        <f t="shared" si="268"/>
        <v>0</v>
      </c>
      <c r="J3371" s="22" t="e">
        <f>VLOOKUP($A3371, TAB_JUROS_C[[DIAS_CORRIDOS]:[V_FUT_UTEIS]], J$5, FALSE)</f>
        <v>#N/A</v>
      </c>
      <c r="K3371" s="22" t="e">
        <f>VLOOKUP($A3371, TAB_CORRECAO_C[[DIAS_CORRIDOS]:[V_FUT_UTEIS]],K$5, FALSE)</f>
        <v>#N/A</v>
      </c>
      <c r="L3371" s="22" t="e">
        <f>VLOOKUP($A3371, TAB_AMORTIZACAO_C[[DIAS_CORRIDOS]:[V_FUT_UTEIS]], L$5, FALSE)</f>
        <v>#N/A</v>
      </c>
    </row>
    <row r="3372" spans="1:12" hidden="1">
      <c r="A3372" s="19">
        <f t="shared" si="269"/>
        <v>3366</v>
      </c>
      <c r="B3372" s="20">
        <f t="shared" si="265"/>
        <v>0</v>
      </c>
      <c r="C3372" s="21">
        <f t="shared" si="266"/>
        <v>0</v>
      </c>
      <c r="D3372" s="22" t="e">
        <f>VLOOKUP($A3372, TAB_JUROS_U[[Q_DIAS_U_PARC_TIR]:[V_FUT_U_JURS CENARIO]], D$5, FALSE)</f>
        <v>#N/A</v>
      </c>
      <c r="E3372" s="22" t="e">
        <f>VLOOKUP($A3372,TAB_CORRECAO_U[[Q_DIAS_U_PARC_TIR]:[V_FUT_U_CORC-02]],E$5, FALSE)</f>
        <v>#N/A</v>
      </c>
      <c r="F3372" s="22" t="e">
        <f>VLOOKUP($A3372,TAB_AMORTIZACAO_U[[Q_DIAS_U_PARC_TIR]:[V_FUT_U_PCPL-02]], F$5, FALSE)</f>
        <v>#N/A</v>
      </c>
      <c r="H3372" s="20">
        <f t="shared" si="267"/>
        <v>0</v>
      </c>
      <c r="I3372" s="21">
        <f t="shared" si="268"/>
        <v>0</v>
      </c>
      <c r="J3372" s="22" t="e">
        <f>VLOOKUP($A3372, TAB_JUROS_C[[DIAS_CORRIDOS]:[V_FUT_UTEIS]], J$5, FALSE)</f>
        <v>#N/A</v>
      </c>
      <c r="K3372" s="22" t="e">
        <f>VLOOKUP($A3372, TAB_CORRECAO_C[[DIAS_CORRIDOS]:[V_FUT_UTEIS]],K$5, FALSE)</f>
        <v>#N/A</v>
      </c>
      <c r="L3372" s="22" t="e">
        <f>VLOOKUP($A3372, TAB_AMORTIZACAO_C[[DIAS_CORRIDOS]:[V_FUT_UTEIS]], L$5, FALSE)</f>
        <v>#N/A</v>
      </c>
    </row>
    <row r="3373" spans="1:12" hidden="1">
      <c r="A3373" s="19">
        <f t="shared" si="269"/>
        <v>3367</v>
      </c>
      <c r="B3373" s="20">
        <f t="shared" si="265"/>
        <v>0</v>
      </c>
      <c r="C3373" s="21">
        <f t="shared" si="266"/>
        <v>0</v>
      </c>
      <c r="D3373" s="22" t="e">
        <f>VLOOKUP($A3373, TAB_JUROS_U[[Q_DIAS_U_PARC_TIR]:[V_FUT_U_JURS CENARIO]], D$5, FALSE)</f>
        <v>#N/A</v>
      </c>
      <c r="E3373" s="22" t="e">
        <f>VLOOKUP($A3373,TAB_CORRECAO_U[[Q_DIAS_U_PARC_TIR]:[V_FUT_U_CORC-02]],E$5, FALSE)</f>
        <v>#N/A</v>
      </c>
      <c r="F3373" s="22" t="e">
        <f>VLOOKUP($A3373,TAB_AMORTIZACAO_U[[Q_DIAS_U_PARC_TIR]:[V_FUT_U_PCPL-02]], F$5, FALSE)</f>
        <v>#N/A</v>
      </c>
      <c r="H3373" s="20">
        <f t="shared" si="267"/>
        <v>0</v>
      </c>
      <c r="I3373" s="21">
        <f t="shared" si="268"/>
        <v>0</v>
      </c>
      <c r="J3373" s="22" t="e">
        <f>VLOOKUP($A3373, TAB_JUROS_C[[DIAS_CORRIDOS]:[V_FUT_UTEIS]], J$5, FALSE)</f>
        <v>#N/A</v>
      </c>
      <c r="K3373" s="22" t="e">
        <f>VLOOKUP($A3373, TAB_CORRECAO_C[[DIAS_CORRIDOS]:[V_FUT_UTEIS]],K$5, FALSE)</f>
        <v>#N/A</v>
      </c>
      <c r="L3373" s="22" t="e">
        <f>VLOOKUP($A3373, TAB_AMORTIZACAO_C[[DIAS_CORRIDOS]:[V_FUT_UTEIS]], L$5, FALSE)</f>
        <v>#N/A</v>
      </c>
    </row>
    <row r="3374" spans="1:12" hidden="1">
      <c r="A3374" s="19">
        <f t="shared" si="269"/>
        <v>3368</v>
      </c>
      <c r="B3374" s="20">
        <f t="shared" si="265"/>
        <v>0</v>
      </c>
      <c r="C3374" s="21">
        <f t="shared" si="266"/>
        <v>0</v>
      </c>
      <c r="D3374" s="22" t="e">
        <f>VLOOKUP($A3374, TAB_JUROS_U[[Q_DIAS_U_PARC_TIR]:[V_FUT_U_JURS CENARIO]], D$5, FALSE)</f>
        <v>#N/A</v>
      </c>
      <c r="E3374" s="22" t="e">
        <f>VLOOKUP($A3374,TAB_CORRECAO_U[[Q_DIAS_U_PARC_TIR]:[V_FUT_U_CORC-02]],E$5, FALSE)</f>
        <v>#N/A</v>
      </c>
      <c r="F3374" s="22" t="e">
        <f>VLOOKUP($A3374,TAB_AMORTIZACAO_U[[Q_DIAS_U_PARC_TIR]:[V_FUT_U_PCPL-02]], F$5, FALSE)</f>
        <v>#N/A</v>
      </c>
      <c r="H3374" s="20">
        <f t="shared" si="267"/>
        <v>0</v>
      </c>
      <c r="I3374" s="21">
        <f t="shared" si="268"/>
        <v>0</v>
      </c>
      <c r="J3374" s="22" t="e">
        <f>VLOOKUP($A3374, TAB_JUROS_C[[DIAS_CORRIDOS]:[V_FUT_UTEIS]], J$5, FALSE)</f>
        <v>#N/A</v>
      </c>
      <c r="K3374" s="22" t="e">
        <f>VLOOKUP($A3374, TAB_CORRECAO_C[[DIAS_CORRIDOS]:[V_FUT_UTEIS]],K$5, FALSE)</f>
        <v>#N/A</v>
      </c>
      <c r="L3374" s="22" t="e">
        <f>VLOOKUP($A3374, TAB_AMORTIZACAO_C[[DIAS_CORRIDOS]:[V_FUT_UTEIS]], L$5, FALSE)</f>
        <v>#N/A</v>
      </c>
    </row>
    <row r="3375" spans="1:12" hidden="1">
      <c r="A3375" s="19">
        <f t="shared" si="269"/>
        <v>3369</v>
      </c>
      <c r="B3375" s="20">
        <f t="shared" si="265"/>
        <v>0</v>
      </c>
      <c r="C3375" s="21">
        <f t="shared" si="266"/>
        <v>0</v>
      </c>
      <c r="D3375" s="22" t="e">
        <f>VLOOKUP($A3375, TAB_JUROS_U[[Q_DIAS_U_PARC_TIR]:[V_FUT_U_JURS CENARIO]], D$5, FALSE)</f>
        <v>#N/A</v>
      </c>
      <c r="E3375" s="22" t="e">
        <f>VLOOKUP($A3375,TAB_CORRECAO_U[[Q_DIAS_U_PARC_TIR]:[V_FUT_U_CORC-02]],E$5, FALSE)</f>
        <v>#N/A</v>
      </c>
      <c r="F3375" s="22" t="e">
        <f>VLOOKUP($A3375,TAB_AMORTIZACAO_U[[Q_DIAS_U_PARC_TIR]:[V_FUT_U_PCPL-02]], F$5, FALSE)</f>
        <v>#N/A</v>
      </c>
      <c r="H3375" s="20">
        <f t="shared" si="267"/>
        <v>0</v>
      </c>
      <c r="I3375" s="21">
        <f t="shared" si="268"/>
        <v>0</v>
      </c>
      <c r="J3375" s="22" t="e">
        <f>VLOOKUP($A3375, TAB_JUROS_C[[DIAS_CORRIDOS]:[V_FUT_UTEIS]], J$5, FALSE)</f>
        <v>#N/A</v>
      </c>
      <c r="K3375" s="22" t="e">
        <f>VLOOKUP($A3375, TAB_CORRECAO_C[[DIAS_CORRIDOS]:[V_FUT_UTEIS]],K$5, FALSE)</f>
        <v>#N/A</v>
      </c>
      <c r="L3375" s="22" t="e">
        <f>VLOOKUP($A3375, TAB_AMORTIZACAO_C[[DIAS_CORRIDOS]:[V_FUT_UTEIS]], L$5, FALSE)</f>
        <v>#N/A</v>
      </c>
    </row>
    <row r="3376" spans="1:12" hidden="1">
      <c r="A3376" s="19">
        <f t="shared" si="269"/>
        <v>3370</v>
      </c>
      <c r="B3376" s="20">
        <f t="shared" si="265"/>
        <v>0</v>
      </c>
      <c r="C3376" s="21">
        <f t="shared" si="266"/>
        <v>0</v>
      </c>
      <c r="D3376" s="22" t="e">
        <f>VLOOKUP($A3376, TAB_JUROS_U[[Q_DIAS_U_PARC_TIR]:[V_FUT_U_JURS CENARIO]], D$5, FALSE)</f>
        <v>#N/A</v>
      </c>
      <c r="E3376" s="22" t="e">
        <f>VLOOKUP($A3376,TAB_CORRECAO_U[[Q_DIAS_U_PARC_TIR]:[V_FUT_U_CORC-02]],E$5, FALSE)</f>
        <v>#N/A</v>
      </c>
      <c r="F3376" s="22" t="e">
        <f>VLOOKUP($A3376,TAB_AMORTIZACAO_U[[Q_DIAS_U_PARC_TIR]:[V_FUT_U_PCPL-02]], F$5, FALSE)</f>
        <v>#N/A</v>
      </c>
      <c r="H3376" s="20">
        <f t="shared" si="267"/>
        <v>0</v>
      </c>
      <c r="I3376" s="21">
        <f t="shared" si="268"/>
        <v>0</v>
      </c>
      <c r="J3376" s="22" t="e">
        <f>VLOOKUP($A3376, TAB_JUROS_C[[DIAS_CORRIDOS]:[V_FUT_UTEIS]], J$5, FALSE)</f>
        <v>#N/A</v>
      </c>
      <c r="K3376" s="22" t="e">
        <f>VLOOKUP($A3376, TAB_CORRECAO_C[[DIAS_CORRIDOS]:[V_FUT_UTEIS]],K$5, FALSE)</f>
        <v>#N/A</v>
      </c>
      <c r="L3376" s="22" t="e">
        <f>VLOOKUP($A3376, TAB_AMORTIZACAO_C[[DIAS_CORRIDOS]:[V_FUT_UTEIS]], L$5, FALSE)</f>
        <v>#N/A</v>
      </c>
    </row>
    <row r="3377" spans="1:12" hidden="1">
      <c r="A3377" s="19">
        <f t="shared" si="269"/>
        <v>3371</v>
      </c>
      <c r="B3377" s="20">
        <f t="shared" si="265"/>
        <v>0</v>
      </c>
      <c r="C3377" s="21">
        <f t="shared" si="266"/>
        <v>0</v>
      </c>
      <c r="D3377" s="22" t="e">
        <f>VLOOKUP($A3377, TAB_JUROS_U[[Q_DIAS_U_PARC_TIR]:[V_FUT_U_JURS CENARIO]], D$5, FALSE)</f>
        <v>#N/A</v>
      </c>
      <c r="E3377" s="22" t="e">
        <f>VLOOKUP($A3377,TAB_CORRECAO_U[[Q_DIAS_U_PARC_TIR]:[V_FUT_U_CORC-02]],E$5, FALSE)</f>
        <v>#N/A</v>
      </c>
      <c r="F3377" s="22" t="e">
        <f>VLOOKUP($A3377,TAB_AMORTIZACAO_U[[Q_DIAS_U_PARC_TIR]:[V_FUT_U_PCPL-02]], F$5, FALSE)</f>
        <v>#N/A</v>
      </c>
      <c r="H3377" s="20">
        <f t="shared" si="267"/>
        <v>0</v>
      </c>
      <c r="I3377" s="21">
        <f t="shared" si="268"/>
        <v>0</v>
      </c>
      <c r="J3377" s="22" t="e">
        <f>VLOOKUP($A3377, TAB_JUROS_C[[DIAS_CORRIDOS]:[V_FUT_UTEIS]], J$5, FALSE)</f>
        <v>#N/A</v>
      </c>
      <c r="K3377" s="22" t="e">
        <f>VLOOKUP($A3377, TAB_CORRECAO_C[[DIAS_CORRIDOS]:[V_FUT_UTEIS]],K$5, FALSE)</f>
        <v>#N/A</v>
      </c>
      <c r="L3377" s="22" t="e">
        <f>VLOOKUP($A3377, TAB_AMORTIZACAO_C[[DIAS_CORRIDOS]:[V_FUT_UTEIS]], L$5, FALSE)</f>
        <v>#N/A</v>
      </c>
    </row>
    <row r="3378" spans="1:12" hidden="1">
      <c r="A3378" s="19">
        <f t="shared" si="269"/>
        <v>3372</v>
      </c>
      <c r="B3378" s="20">
        <f t="shared" si="265"/>
        <v>0</v>
      </c>
      <c r="C3378" s="21">
        <f t="shared" si="266"/>
        <v>0</v>
      </c>
      <c r="D3378" s="22" t="e">
        <f>VLOOKUP($A3378, TAB_JUROS_U[[Q_DIAS_U_PARC_TIR]:[V_FUT_U_JURS CENARIO]], D$5, FALSE)</f>
        <v>#N/A</v>
      </c>
      <c r="E3378" s="22" t="e">
        <f>VLOOKUP($A3378,TAB_CORRECAO_U[[Q_DIAS_U_PARC_TIR]:[V_FUT_U_CORC-02]],E$5, FALSE)</f>
        <v>#N/A</v>
      </c>
      <c r="F3378" s="22" t="e">
        <f>VLOOKUP($A3378,TAB_AMORTIZACAO_U[[Q_DIAS_U_PARC_TIR]:[V_FUT_U_PCPL-02]], F$5, FALSE)</f>
        <v>#N/A</v>
      </c>
      <c r="H3378" s="20">
        <f t="shared" si="267"/>
        <v>0</v>
      </c>
      <c r="I3378" s="21">
        <f t="shared" si="268"/>
        <v>0</v>
      </c>
      <c r="J3378" s="22" t="e">
        <f>VLOOKUP($A3378, TAB_JUROS_C[[DIAS_CORRIDOS]:[V_FUT_UTEIS]], J$5, FALSE)</f>
        <v>#N/A</v>
      </c>
      <c r="K3378" s="22" t="e">
        <f>VLOOKUP($A3378, TAB_CORRECAO_C[[DIAS_CORRIDOS]:[V_FUT_UTEIS]],K$5, FALSE)</f>
        <v>#N/A</v>
      </c>
      <c r="L3378" s="22" t="e">
        <f>VLOOKUP($A3378, TAB_AMORTIZACAO_C[[DIAS_CORRIDOS]:[V_FUT_UTEIS]], L$5, FALSE)</f>
        <v>#N/A</v>
      </c>
    </row>
    <row r="3379" spans="1:12" hidden="1">
      <c r="A3379" s="19">
        <f t="shared" si="269"/>
        <v>3373</v>
      </c>
      <c r="B3379" s="20">
        <f t="shared" si="265"/>
        <v>0</v>
      </c>
      <c r="C3379" s="21">
        <f t="shared" si="266"/>
        <v>0</v>
      </c>
      <c r="D3379" s="22" t="e">
        <f>VLOOKUP($A3379, TAB_JUROS_U[[Q_DIAS_U_PARC_TIR]:[V_FUT_U_JURS CENARIO]], D$5, FALSE)</f>
        <v>#N/A</v>
      </c>
      <c r="E3379" s="22" t="e">
        <f>VLOOKUP($A3379,TAB_CORRECAO_U[[Q_DIAS_U_PARC_TIR]:[V_FUT_U_CORC-02]],E$5, FALSE)</f>
        <v>#N/A</v>
      </c>
      <c r="F3379" s="22" t="e">
        <f>VLOOKUP($A3379,TAB_AMORTIZACAO_U[[Q_DIAS_U_PARC_TIR]:[V_FUT_U_PCPL-02]], F$5, FALSE)</f>
        <v>#N/A</v>
      </c>
      <c r="H3379" s="20">
        <f t="shared" si="267"/>
        <v>0</v>
      </c>
      <c r="I3379" s="21">
        <f t="shared" si="268"/>
        <v>0</v>
      </c>
      <c r="J3379" s="22" t="e">
        <f>VLOOKUP($A3379, TAB_JUROS_C[[DIAS_CORRIDOS]:[V_FUT_UTEIS]], J$5, FALSE)</f>
        <v>#N/A</v>
      </c>
      <c r="K3379" s="22" t="e">
        <f>VLOOKUP($A3379, TAB_CORRECAO_C[[DIAS_CORRIDOS]:[V_FUT_UTEIS]],K$5, FALSE)</f>
        <v>#N/A</v>
      </c>
      <c r="L3379" s="22" t="e">
        <f>VLOOKUP($A3379, TAB_AMORTIZACAO_C[[DIAS_CORRIDOS]:[V_FUT_UTEIS]], L$5, FALSE)</f>
        <v>#N/A</v>
      </c>
    </row>
    <row r="3380" spans="1:12" hidden="1">
      <c r="A3380" s="19">
        <f t="shared" si="269"/>
        <v>3374</v>
      </c>
      <c r="B3380" s="20">
        <f t="shared" si="265"/>
        <v>0</v>
      </c>
      <c r="C3380" s="21">
        <f t="shared" si="266"/>
        <v>0</v>
      </c>
      <c r="D3380" s="22" t="e">
        <f>VLOOKUP($A3380, TAB_JUROS_U[[Q_DIAS_U_PARC_TIR]:[V_FUT_U_JURS CENARIO]], D$5, FALSE)</f>
        <v>#N/A</v>
      </c>
      <c r="E3380" s="22" t="e">
        <f>VLOOKUP($A3380,TAB_CORRECAO_U[[Q_DIAS_U_PARC_TIR]:[V_FUT_U_CORC-02]],E$5, FALSE)</f>
        <v>#N/A</v>
      </c>
      <c r="F3380" s="22" t="e">
        <f>VLOOKUP($A3380,TAB_AMORTIZACAO_U[[Q_DIAS_U_PARC_TIR]:[V_FUT_U_PCPL-02]], F$5, FALSE)</f>
        <v>#N/A</v>
      </c>
      <c r="H3380" s="20">
        <f t="shared" si="267"/>
        <v>0</v>
      </c>
      <c r="I3380" s="21">
        <f t="shared" si="268"/>
        <v>0</v>
      </c>
      <c r="J3380" s="22" t="e">
        <f>VLOOKUP($A3380, TAB_JUROS_C[[DIAS_CORRIDOS]:[V_FUT_UTEIS]], J$5, FALSE)</f>
        <v>#N/A</v>
      </c>
      <c r="K3380" s="22" t="e">
        <f>VLOOKUP($A3380, TAB_CORRECAO_C[[DIAS_CORRIDOS]:[V_FUT_UTEIS]],K$5, FALSE)</f>
        <v>#N/A</v>
      </c>
      <c r="L3380" s="22" t="e">
        <f>VLOOKUP($A3380, TAB_AMORTIZACAO_C[[DIAS_CORRIDOS]:[V_FUT_UTEIS]], L$5, FALSE)</f>
        <v>#N/A</v>
      </c>
    </row>
    <row r="3381" spans="1:12" hidden="1">
      <c r="A3381" s="19">
        <f t="shared" si="269"/>
        <v>3375</v>
      </c>
      <c r="B3381" s="20">
        <f t="shared" si="265"/>
        <v>0</v>
      </c>
      <c r="C3381" s="21">
        <f t="shared" si="266"/>
        <v>0</v>
      </c>
      <c r="D3381" s="22" t="e">
        <f>VLOOKUP($A3381, TAB_JUROS_U[[Q_DIAS_U_PARC_TIR]:[V_FUT_U_JURS CENARIO]], D$5, FALSE)</f>
        <v>#N/A</v>
      </c>
      <c r="E3381" s="22" t="e">
        <f>VLOOKUP($A3381,TAB_CORRECAO_U[[Q_DIAS_U_PARC_TIR]:[V_FUT_U_CORC-02]],E$5, FALSE)</f>
        <v>#N/A</v>
      </c>
      <c r="F3381" s="22" t="e">
        <f>VLOOKUP($A3381,TAB_AMORTIZACAO_U[[Q_DIAS_U_PARC_TIR]:[V_FUT_U_PCPL-02]], F$5, FALSE)</f>
        <v>#N/A</v>
      </c>
      <c r="H3381" s="20">
        <f t="shared" si="267"/>
        <v>0</v>
      </c>
      <c r="I3381" s="21">
        <f t="shared" si="268"/>
        <v>0</v>
      </c>
      <c r="J3381" s="22" t="e">
        <f>VLOOKUP($A3381, TAB_JUROS_C[[DIAS_CORRIDOS]:[V_FUT_UTEIS]], J$5, FALSE)</f>
        <v>#N/A</v>
      </c>
      <c r="K3381" s="22" t="e">
        <f>VLOOKUP($A3381, TAB_CORRECAO_C[[DIAS_CORRIDOS]:[V_FUT_UTEIS]],K$5, FALSE)</f>
        <v>#N/A</v>
      </c>
      <c r="L3381" s="22" t="e">
        <f>VLOOKUP($A3381, TAB_AMORTIZACAO_C[[DIAS_CORRIDOS]:[V_FUT_UTEIS]], L$5, FALSE)</f>
        <v>#N/A</v>
      </c>
    </row>
    <row r="3382" spans="1:12" hidden="1">
      <c r="A3382" s="19">
        <f t="shared" si="269"/>
        <v>3376</v>
      </c>
      <c r="B3382" s="20">
        <f t="shared" si="265"/>
        <v>0</v>
      </c>
      <c r="C3382" s="21">
        <f t="shared" si="266"/>
        <v>0</v>
      </c>
      <c r="D3382" s="22" t="e">
        <f>VLOOKUP($A3382, TAB_JUROS_U[[Q_DIAS_U_PARC_TIR]:[V_FUT_U_JURS CENARIO]], D$5, FALSE)</f>
        <v>#N/A</v>
      </c>
      <c r="E3382" s="22" t="e">
        <f>VLOOKUP($A3382,TAB_CORRECAO_U[[Q_DIAS_U_PARC_TIR]:[V_FUT_U_CORC-02]],E$5, FALSE)</f>
        <v>#N/A</v>
      </c>
      <c r="F3382" s="22" t="e">
        <f>VLOOKUP($A3382,TAB_AMORTIZACAO_U[[Q_DIAS_U_PARC_TIR]:[V_FUT_U_PCPL-02]], F$5, FALSE)</f>
        <v>#N/A</v>
      </c>
      <c r="H3382" s="20">
        <f t="shared" si="267"/>
        <v>0</v>
      </c>
      <c r="I3382" s="21">
        <f t="shared" si="268"/>
        <v>0</v>
      </c>
      <c r="J3382" s="22" t="e">
        <f>VLOOKUP($A3382, TAB_JUROS_C[[DIAS_CORRIDOS]:[V_FUT_UTEIS]], J$5, FALSE)</f>
        <v>#N/A</v>
      </c>
      <c r="K3382" s="22" t="e">
        <f>VLOOKUP($A3382, TAB_CORRECAO_C[[DIAS_CORRIDOS]:[V_FUT_UTEIS]],K$5, FALSE)</f>
        <v>#N/A</v>
      </c>
      <c r="L3382" s="22" t="e">
        <f>VLOOKUP($A3382, TAB_AMORTIZACAO_C[[DIAS_CORRIDOS]:[V_FUT_UTEIS]], L$5, FALSE)</f>
        <v>#N/A</v>
      </c>
    </row>
    <row r="3383" spans="1:12" hidden="1">
      <c r="A3383" s="19">
        <f t="shared" si="269"/>
        <v>3377</v>
      </c>
      <c r="B3383" s="20">
        <f t="shared" si="265"/>
        <v>0</v>
      </c>
      <c r="C3383" s="21">
        <f t="shared" si="266"/>
        <v>0</v>
      </c>
      <c r="D3383" s="22" t="e">
        <f>VLOOKUP($A3383, TAB_JUROS_U[[Q_DIAS_U_PARC_TIR]:[V_FUT_U_JURS CENARIO]], D$5, FALSE)</f>
        <v>#N/A</v>
      </c>
      <c r="E3383" s="22" t="e">
        <f>VLOOKUP($A3383,TAB_CORRECAO_U[[Q_DIAS_U_PARC_TIR]:[V_FUT_U_CORC-02]],E$5, FALSE)</f>
        <v>#N/A</v>
      </c>
      <c r="F3383" s="22" t="e">
        <f>VLOOKUP($A3383,TAB_AMORTIZACAO_U[[Q_DIAS_U_PARC_TIR]:[V_FUT_U_PCPL-02]], F$5, FALSE)</f>
        <v>#N/A</v>
      </c>
      <c r="H3383" s="20">
        <f t="shared" si="267"/>
        <v>0</v>
      </c>
      <c r="I3383" s="21">
        <f t="shared" si="268"/>
        <v>0</v>
      </c>
      <c r="J3383" s="22" t="e">
        <f>VLOOKUP($A3383, TAB_JUROS_C[[DIAS_CORRIDOS]:[V_FUT_UTEIS]], J$5, FALSE)</f>
        <v>#N/A</v>
      </c>
      <c r="K3383" s="22" t="e">
        <f>VLOOKUP($A3383, TAB_CORRECAO_C[[DIAS_CORRIDOS]:[V_FUT_UTEIS]],K$5, FALSE)</f>
        <v>#N/A</v>
      </c>
      <c r="L3383" s="22" t="e">
        <f>VLOOKUP($A3383, TAB_AMORTIZACAO_C[[DIAS_CORRIDOS]:[V_FUT_UTEIS]], L$5, FALSE)</f>
        <v>#N/A</v>
      </c>
    </row>
    <row r="3384" spans="1:12" hidden="1">
      <c r="A3384" s="19">
        <f t="shared" si="269"/>
        <v>3378</v>
      </c>
      <c r="B3384" s="20">
        <f t="shared" si="265"/>
        <v>0</v>
      </c>
      <c r="C3384" s="21">
        <f t="shared" si="266"/>
        <v>0</v>
      </c>
      <c r="D3384" s="22" t="e">
        <f>VLOOKUP($A3384, TAB_JUROS_U[[Q_DIAS_U_PARC_TIR]:[V_FUT_U_JURS CENARIO]], D$5, FALSE)</f>
        <v>#N/A</v>
      </c>
      <c r="E3384" s="22" t="e">
        <f>VLOOKUP($A3384,TAB_CORRECAO_U[[Q_DIAS_U_PARC_TIR]:[V_FUT_U_CORC-02]],E$5, FALSE)</f>
        <v>#N/A</v>
      </c>
      <c r="F3384" s="22" t="e">
        <f>VLOOKUP($A3384,TAB_AMORTIZACAO_U[[Q_DIAS_U_PARC_TIR]:[V_FUT_U_PCPL-02]], F$5, FALSE)</f>
        <v>#N/A</v>
      </c>
      <c r="H3384" s="20">
        <f t="shared" si="267"/>
        <v>0</v>
      </c>
      <c r="I3384" s="21">
        <f t="shared" si="268"/>
        <v>0</v>
      </c>
      <c r="J3384" s="22" t="e">
        <f>VLOOKUP($A3384, TAB_JUROS_C[[DIAS_CORRIDOS]:[V_FUT_UTEIS]], J$5, FALSE)</f>
        <v>#N/A</v>
      </c>
      <c r="K3384" s="22" t="e">
        <f>VLOOKUP($A3384, TAB_CORRECAO_C[[DIAS_CORRIDOS]:[V_FUT_UTEIS]],K$5, FALSE)</f>
        <v>#N/A</v>
      </c>
      <c r="L3384" s="22" t="e">
        <f>VLOOKUP($A3384, TAB_AMORTIZACAO_C[[DIAS_CORRIDOS]:[V_FUT_UTEIS]], L$5, FALSE)</f>
        <v>#N/A</v>
      </c>
    </row>
    <row r="3385" spans="1:12" hidden="1">
      <c r="A3385" s="19">
        <f t="shared" si="269"/>
        <v>3379</v>
      </c>
      <c r="B3385" s="20">
        <f t="shared" si="265"/>
        <v>0</v>
      </c>
      <c r="C3385" s="21">
        <f t="shared" si="266"/>
        <v>0</v>
      </c>
      <c r="D3385" s="22" t="e">
        <f>VLOOKUP($A3385, TAB_JUROS_U[[Q_DIAS_U_PARC_TIR]:[V_FUT_U_JURS CENARIO]], D$5, FALSE)</f>
        <v>#N/A</v>
      </c>
      <c r="E3385" s="22" t="e">
        <f>VLOOKUP($A3385,TAB_CORRECAO_U[[Q_DIAS_U_PARC_TIR]:[V_FUT_U_CORC-02]],E$5, FALSE)</f>
        <v>#N/A</v>
      </c>
      <c r="F3385" s="22" t="e">
        <f>VLOOKUP($A3385,TAB_AMORTIZACAO_U[[Q_DIAS_U_PARC_TIR]:[V_FUT_U_PCPL-02]], F$5, FALSE)</f>
        <v>#N/A</v>
      </c>
      <c r="H3385" s="20">
        <f t="shared" si="267"/>
        <v>0</v>
      </c>
      <c r="I3385" s="21">
        <f t="shared" si="268"/>
        <v>0</v>
      </c>
      <c r="J3385" s="22" t="e">
        <f>VLOOKUP($A3385, TAB_JUROS_C[[DIAS_CORRIDOS]:[V_FUT_UTEIS]], J$5, FALSE)</f>
        <v>#N/A</v>
      </c>
      <c r="K3385" s="22" t="e">
        <f>VLOOKUP($A3385, TAB_CORRECAO_C[[DIAS_CORRIDOS]:[V_FUT_UTEIS]],K$5, FALSE)</f>
        <v>#N/A</v>
      </c>
      <c r="L3385" s="22" t="e">
        <f>VLOOKUP($A3385, TAB_AMORTIZACAO_C[[DIAS_CORRIDOS]:[V_FUT_UTEIS]], L$5, FALSE)</f>
        <v>#N/A</v>
      </c>
    </row>
    <row r="3386" spans="1:12" hidden="1">
      <c r="A3386" s="19">
        <f t="shared" si="269"/>
        <v>3380</v>
      </c>
      <c r="B3386" s="20">
        <f t="shared" si="265"/>
        <v>0</v>
      </c>
      <c r="C3386" s="21">
        <f t="shared" si="266"/>
        <v>0</v>
      </c>
      <c r="D3386" s="22" t="e">
        <f>VLOOKUP($A3386, TAB_JUROS_U[[Q_DIAS_U_PARC_TIR]:[V_FUT_U_JURS CENARIO]], D$5, FALSE)</f>
        <v>#N/A</v>
      </c>
      <c r="E3386" s="22" t="e">
        <f>VLOOKUP($A3386,TAB_CORRECAO_U[[Q_DIAS_U_PARC_TIR]:[V_FUT_U_CORC-02]],E$5, FALSE)</f>
        <v>#N/A</v>
      </c>
      <c r="F3386" s="22" t="e">
        <f>VLOOKUP($A3386,TAB_AMORTIZACAO_U[[Q_DIAS_U_PARC_TIR]:[V_FUT_U_PCPL-02]], F$5, FALSE)</f>
        <v>#N/A</v>
      </c>
      <c r="H3386" s="20">
        <f t="shared" si="267"/>
        <v>0</v>
      </c>
      <c r="I3386" s="21">
        <f t="shared" si="268"/>
        <v>0</v>
      </c>
      <c r="J3386" s="22" t="e">
        <f>VLOOKUP($A3386, TAB_JUROS_C[[DIAS_CORRIDOS]:[V_FUT_UTEIS]], J$5, FALSE)</f>
        <v>#N/A</v>
      </c>
      <c r="K3386" s="22" t="e">
        <f>VLOOKUP($A3386, TAB_CORRECAO_C[[DIAS_CORRIDOS]:[V_FUT_UTEIS]],K$5, FALSE)</f>
        <v>#N/A</v>
      </c>
      <c r="L3386" s="22" t="e">
        <f>VLOOKUP($A3386, TAB_AMORTIZACAO_C[[DIAS_CORRIDOS]:[V_FUT_UTEIS]], L$5, FALSE)</f>
        <v>#N/A</v>
      </c>
    </row>
    <row r="3387" spans="1:12" hidden="1">
      <c r="A3387" s="19">
        <f t="shared" si="269"/>
        <v>3381</v>
      </c>
      <c r="B3387" s="20">
        <f t="shared" si="265"/>
        <v>0</v>
      </c>
      <c r="C3387" s="21">
        <f t="shared" si="266"/>
        <v>0</v>
      </c>
      <c r="D3387" s="22" t="e">
        <f>VLOOKUP($A3387, TAB_JUROS_U[[Q_DIAS_U_PARC_TIR]:[V_FUT_U_JURS CENARIO]], D$5, FALSE)</f>
        <v>#N/A</v>
      </c>
      <c r="E3387" s="22" t="e">
        <f>VLOOKUP($A3387,TAB_CORRECAO_U[[Q_DIAS_U_PARC_TIR]:[V_FUT_U_CORC-02]],E$5, FALSE)</f>
        <v>#N/A</v>
      </c>
      <c r="F3387" s="22" t="e">
        <f>VLOOKUP($A3387,TAB_AMORTIZACAO_U[[Q_DIAS_U_PARC_TIR]:[V_FUT_U_PCPL-02]], F$5, FALSE)</f>
        <v>#N/A</v>
      </c>
      <c r="H3387" s="20">
        <f t="shared" si="267"/>
        <v>0</v>
      </c>
      <c r="I3387" s="21">
        <f t="shared" si="268"/>
        <v>0</v>
      </c>
      <c r="J3387" s="22" t="e">
        <f>VLOOKUP($A3387, TAB_JUROS_C[[DIAS_CORRIDOS]:[V_FUT_UTEIS]], J$5, FALSE)</f>
        <v>#N/A</v>
      </c>
      <c r="K3387" s="22" t="e">
        <f>VLOOKUP($A3387, TAB_CORRECAO_C[[DIAS_CORRIDOS]:[V_FUT_UTEIS]],K$5, FALSE)</f>
        <v>#N/A</v>
      </c>
      <c r="L3387" s="22" t="e">
        <f>VLOOKUP($A3387, TAB_AMORTIZACAO_C[[DIAS_CORRIDOS]:[V_FUT_UTEIS]], L$5, FALSE)</f>
        <v>#N/A</v>
      </c>
    </row>
    <row r="3388" spans="1:12" hidden="1">
      <c r="A3388" s="19">
        <f t="shared" si="269"/>
        <v>3382</v>
      </c>
      <c r="B3388" s="20">
        <f t="shared" si="265"/>
        <v>0</v>
      </c>
      <c r="C3388" s="21">
        <f t="shared" si="266"/>
        <v>0</v>
      </c>
      <c r="D3388" s="22" t="e">
        <f>VLOOKUP($A3388, TAB_JUROS_U[[Q_DIAS_U_PARC_TIR]:[V_FUT_U_JURS CENARIO]], D$5, FALSE)</f>
        <v>#N/A</v>
      </c>
      <c r="E3388" s="22" t="e">
        <f>VLOOKUP($A3388,TAB_CORRECAO_U[[Q_DIAS_U_PARC_TIR]:[V_FUT_U_CORC-02]],E$5, FALSE)</f>
        <v>#N/A</v>
      </c>
      <c r="F3388" s="22" t="e">
        <f>VLOOKUP($A3388,TAB_AMORTIZACAO_U[[Q_DIAS_U_PARC_TIR]:[V_FUT_U_PCPL-02]], F$5, FALSE)</f>
        <v>#N/A</v>
      </c>
      <c r="H3388" s="20">
        <f t="shared" si="267"/>
        <v>0</v>
      </c>
      <c r="I3388" s="21">
        <f t="shared" si="268"/>
        <v>0</v>
      </c>
      <c r="J3388" s="22" t="e">
        <f>VLOOKUP($A3388, TAB_JUROS_C[[DIAS_CORRIDOS]:[V_FUT_UTEIS]], J$5, FALSE)</f>
        <v>#N/A</v>
      </c>
      <c r="K3388" s="22" t="e">
        <f>VLOOKUP($A3388, TAB_CORRECAO_C[[DIAS_CORRIDOS]:[V_FUT_UTEIS]],K$5, FALSE)</f>
        <v>#N/A</v>
      </c>
      <c r="L3388" s="22" t="e">
        <f>VLOOKUP($A3388, TAB_AMORTIZACAO_C[[DIAS_CORRIDOS]:[V_FUT_UTEIS]], L$5, FALSE)</f>
        <v>#N/A</v>
      </c>
    </row>
    <row r="3389" spans="1:12" hidden="1">
      <c r="A3389" s="19">
        <f t="shared" si="269"/>
        <v>3383</v>
      </c>
      <c r="B3389" s="20">
        <f t="shared" si="265"/>
        <v>0</v>
      </c>
      <c r="C3389" s="21">
        <f t="shared" si="266"/>
        <v>0</v>
      </c>
      <c r="D3389" s="22" t="e">
        <f>VLOOKUP($A3389, TAB_JUROS_U[[Q_DIAS_U_PARC_TIR]:[V_FUT_U_JURS CENARIO]], D$5, FALSE)</f>
        <v>#N/A</v>
      </c>
      <c r="E3389" s="22" t="e">
        <f>VLOOKUP($A3389,TAB_CORRECAO_U[[Q_DIAS_U_PARC_TIR]:[V_FUT_U_CORC-02]],E$5, FALSE)</f>
        <v>#N/A</v>
      </c>
      <c r="F3389" s="22" t="e">
        <f>VLOOKUP($A3389,TAB_AMORTIZACAO_U[[Q_DIAS_U_PARC_TIR]:[V_FUT_U_PCPL-02]], F$5, FALSE)</f>
        <v>#N/A</v>
      </c>
      <c r="H3389" s="20">
        <f t="shared" si="267"/>
        <v>0</v>
      </c>
      <c r="I3389" s="21">
        <f t="shared" si="268"/>
        <v>0</v>
      </c>
      <c r="J3389" s="22" t="e">
        <f>VLOOKUP($A3389, TAB_JUROS_C[[DIAS_CORRIDOS]:[V_FUT_UTEIS]], J$5, FALSE)</f>
        <v>#N/A</v>
      </c>
      <c r="K3389" s="22" t="e">
        <f>VLOOKUP($A3389, TAB_CORRECAO_C[[DIAS_CORRIDOS]:[V_FUT_UTEIS]],K$5, FALSE)</f>
        <v>#N/A</v>
      </c>
      <c r="L3389" s="22" t="e">
        <f>VLOOKUP($A3389, TAB_AMORTIZACAO_C[[DIAS_CORRIDOS]:[V_FUT_UTEIS]], L$5, FALSE)</f>
        <v>#N/A</v>
      </c>
    </row>
    <row r="3390" spans="1:12" hidden="1">
      <c r="A3390" s="19">
        <f t="shared" si="269"/>
        <v>3384</v>
      </c>
      <c r="B3390" s="20">
        <f t="shared" si="265"/>
        <v>0</v>
      </c>
      <c r="C3390" s="21">
        <f t="shared" si="266"/>
        <v>0</v>
      </c>
      <c r="D3390" s="22" t="e">
        <f>VLOOKUP($A3390, TAB_JUROS_U[[Q_DIAS_U_PARC_TIR]:[V_FUT_U_JURS CENARIO]], D$5, FALSE)</f>
        <v>#N/A</v>
      </c>
      <c r="E3390" s="22" t="e">
        <f>VLOOKUP($A3390,TAB_CORRECAO_U[[Q_DIAS_U_PARC_TIR]:[V_FUT_U_CORC-02]],E$5, FALSE)</f>
        <v>#N/A</v>
      </c>
      <c r="F3390" s="22" t="e">
        <f>VLOOKUP($A3390,TAB_AMORTIZACAO_U[[Q_DIAS_U_PARC_TIR]:[V_FUT_U_PCPL-02]], F$5, FALSE)</f>
        <v>#N/A</v>
      </c>
      <c r="H3390" s="20">
        <f t="shared" si="267"/>
        <v>0</v>
      </c>
      <c r="I3390" s="21">
        <f t="shared" si="268"/>
        <v>0</v>
      </c>
      <c r="J3390" s="22" t="e">
        <f>VLOOKUP($A3390, TAB_JUROS_C[[DIAS_CORRIDOS]:[V_FUT_UTEIS]], J$5, FALSE)</f>
        <v>#N/A</v>
      </c>
      <c r="K3390" s="22" t="e">
        <f>VLOOKUP($A3390, TAB_CORRECAO_C[[DIAS_CORRIDOS]:[V_FUT_UTEIS]],K$5, FALSE)</f>
        <v>#N/A</v>
      </c>
      <c r="L3390" s="22" t="e">
        <f>VLOOKUP($A3390, TAB_AMORTIZACAO_C[[DIAS_CORRIDOS]:[V_FUT_UTEIS]], L$5, FALSE)</f>
        <v>#N/A</v>
      </c>
    </row>
    <row r="3391" spans="1:12" hidden="1">
      <c r="A3391" s="19">
        <f t="shared" si="269"/>
        <v>3385</v>
      </c>
      <c r="B3391" s="20">
        <f t="shared" si="265"/>
        <v>0</v>
      </c>
      <c r="C3391" s="21">
        <f t="shared" si="266"/>
        <v>0</v>
      </c>
      <c r="D3391" s="22" t="e">
        <f>VLOOKUP($A3391, TAB_JUROS_U[[Q_DIAS_U_PARC_TIR]:[V_FUT_U_JURS CENARIO]], D$5, FALSE)</f>
        <v>#N/A</v>
      </c>
      <c r="E3391" s="22" t="e">
        <f>VLOOKUP($A3391,TAB_CORRECAO_U[[Q_DIAS_U_PARC_TIR]:[V_FUT_U_CORC-02]],E$5, FALSE)</f>
        <v>#N/A</v>
      </c>
      <c r="F3391" s="22" t="e">
        <f>VLOOKUP($A3391,TAB_AMORTIZACAO_U[[Q_DIAS_U_PARC_TIR]:[V_FUT_U_PCPL-02]], F$5, FALSE)</f>
        <v>#N/A</v>
      </c>
      <c r="H3391" s="20">
        <f t="shared" si="267"/>
        <v>0</v>
      </c>
      <c r="I3391" s="21">
        <f t="shared" si="268"/>
        <v>0</v>
      </c>
      <c r="J3391" s="22" t="e">
        <f>VLOOKUP($A3391, TAB_JUROS_C[[DIAS_CORRIDOS]:[V_FUT_UTEIS]], J$5, FALSE)</f>
        <v>#N/A</v>
      </c>
      <c r="K3391" s="22" t="e">
        <f>VLOOKUP($A3391, TAB_CORRECAO_C[[DIAS_CORRIDOS]:[V_FUT_UTEIS]],K$5, FALSE)</f>
        <v>#N/A</v>
      </c>
      <c r="L3391" s="22" t="e">
        <f>VLOOKUP($A3391, TAB_AMORTIZACAO_C[[DIAS_CORRIDOS]:[V_FUT_UTEIS]], L$5, FALSE)</f>
        <v>#N/A</v>
      </c>
    </row>
    <row r="3392" spans="1:12" hidden="1">
      <c r="A3392" s="19">
        <f t="shared" si="269"/>
        <v>3386</v>
      </c>
      <c r="B3392" s="20">
        <f t="shared" si="265"/>
        <v>0</v>
      </c>
      <c r="C3392" s="21">
        <f t="shared" si="266"/>
        <v>0</v>
      </c>
      <c r="D3392" s="22" t="e">
        <f>VLOOKUP($A3392, TAB_JUROS_U[[Q_DIAS_U_PARC_TIR]:[V_FUT_U_JURS CENARIO]], D$5, FALSE)</f>
        <v>#N/A</v>
      </c>
      <c r="E3392" s="22" t="e">
        <f>VLOOKUP($A3392,TAB_CORRECAO_U[[Q_DIAS_U_PARC_TIR]:[V_FUT_U_CORC-02]],E$5, FALSE)</f>
        <v>#N/A</v>
      </c>
      <c r="F3392" s="22" t="e">
        <f>VLOOKUP($A3392,TAB_AMORTIZACAO_U[[Q_DIAS_U_PARC_TIR]:[V_FUT_U_PCPL-02]], F$5, FALSE)</f>
        <v>#N/A</v>
      </c>
      <c r="H3392" s="20">
        <f t="shared" si="267"/>
        <v>0</v>
      </c>
      <c r="I3392" s="21">
        <f t="shared" si="268"/>
        <v>0</v>
      </c>
      <c r="J3392" s="22" t="e">
        <f>VLOOKUP($A3392, TAB_JUROS_C[[DIAS_CORRIDOS]:[V_FUT_UTEIS]], J$5, FALSE)</f>
        <v>#N/A</v>
      </c>
      <c r="K3392" s="22" t="e">
        <f>VLOOKUP($A3392, TAB_CORRECAO_C[[DIAS_CORRIDOS]:[V_FUT_UTEIS]],K$5, FALSE)</f>
        <v>#N/A</v>
      </c>
      <c r="L3392" s="22" t="e">
        <f>VLOOKUP($A3392, TAB_AMORTIZACAO_C[[DIAS_CORRIDOS]:[V_FUT_UTEIS]], L$5, FALSE)</f>
        <v>#N/A</v>
      </c>
    </row>
    <row r="3393" spans="1:12" hidden="1">
      <c r="A3393" s="19">
        <f t="shared" si="269"/>
        <v>3387</v>
      </c>
      <c r="B3393" s="20">
        <f t="shared" si="265"/>
        <v>0</v>
      </c>
      <c r="C3393" s="21">
        <f t="shared" si="266"/>
        <v>0</v>
      </c>
      <c r="D3393" s="22" t="e">
        <f>VLOOKUP($A3393, TAB_JUROS_U[[Q_DIAS_U_PARC_TIR]:[V_FUT_U_JURS CENARIO]], D$5, FALSE)</f>
        <v>#N/A</v>
      </c>
      <c r="E3393" s="22" t="e">
        <f>VLOOKUP($A3393,TAB_CORRECAO_U[[Q_DIAS_U_PARC_TIR]:[V_FUT_U_CORC-02]],E$5, FALSE)</f>
        <v>#N/A</v>
      </c>
      <c r="F3393" s="22" t="e">
        <f>VLOOKUP($A3393,TAB_AMORTIZACAO_U[[Q_DIAS_U_PARC_TIR]:[V_FUT_U_PCPL-02]], F$5, FALSE)</f>
        <v>#N/A</v>
      </c>
      <c r="H3393" s="20">
        <f t="shared" si="267"/>
        <v>0</v>
      </c>
      <c r="I3393" s="21">
        <f t="shared" si="268"/>
        <v>0</v>
      </c>
      <c r="J3393" s="22" t="e">
        <f>VLOOKUP($A3393, TAB_JUROS_C[[DIAS_CORRIDOS]:[V_FUT_UTEIS]], J$5, FALSE)</f>
        <v>#N/A</v>
      </c>
      <c r="K3393" s="22" t="e">
        <f>VLOOKUP($A3393, TAB_CORRECAO_C[[DIAS_CORRIDOS]:[V_FUT_UTEIS]],K$5, FALSE)</f>
        <v>#N/A</v>
      </c>
      <c r="L3393" s="22" t="e">
        <f>VLOOKUP($A3393, TAB_AMORTIZACAO_C[[DIAS_CORRIDOS]:[V_FUT_UTEIS]], L$5, FALSE)</f>
        <v>#N/A</v>
      </c>
    </row>
    <row r="3394" spans="1:12" hidden="1">
      <c r="A3394" s="19">
        <f t="shared" si="269"/>
        <v>3388</v>
      </c>
      <c r="B3394" s="20">
        <f t="shared" si="265"/>
        <v>0</v>
      </c>
      <c r="C3394" s="21">
        <f t="shared" si="266"/>
        <v>0</v>
      </c>
      <c r="D3394" s="22" t="e">
        <f>VLOOKUP($A3394, TAB_JUROS_U[[Q_DIAS_U_PARC_TIR]:[V_FUT_U_JURS CENARIO]], D$5, FALSE)</f>
        <v>#N/A</v>
      </c>
      <c r="E3394" s="22" t="e">
        <f>VLOOKUP($A3394,TAB_CORRECAO_U[[Q_DIAS_U_PARC_TIR]:[V_FUT_U_CORC-02]],E$5, FALSE)</f>
        <v>#N/A</v>
      </c>
      <c r="F3394" s="22" t="e">
        <f>VLOOKUP($A3394,TAB_AMORTIZACAO_U[[Q_DIAS_U_PARC_TIR]:[V_FUT_U_PCPL-02]], F$5, FALSE)</f>
        <v>#N/A</v>
      </c>
      <c r="H3394" s="20">
        <f t="shared" si="267"/>
        <v>0</v>
      </c>
      <c r="I3394" s="21">
        <f t="shared" si="268"/>
        <v>0</v>
      </c>
      <c r="J3394" s="22" t="e">
        <f>VLOOKUP($A3394, TAB_JUROS_C[[DIAS_CORRIDOS]:[V_FUT_UTEIS]], J$5, FALSE)</f>
        <v>#N/A</v>
      </c>
      <c r="K3394" s="22" t="e">
        <f>VLOOKUP($A3394, TAB_CORRECAO_C[[DIAS_CORRIDOS]:[V_FUT_UTEIS]],K$5, FALSE)</f>
        <v>#N/A</v>
      </c>
      <c r="L3394" s="22" t="e">
        <f>VLOOKUP($A3394, TAB_AMORTIZACAO_C[[DIAS_CORRIDOS]:[V_FUT_UTEIS]], L$5, FALSE)</f>
        <v>#N/A</v>
      </c>
    </row>
    <row r="3395" spans="1:12" hidden="1">
      <c r="A3395" s="19">
        <f t="shared" si="269"/>
        <v>3389</v>
      </c>
      <c r="B3395" s="20">
        <f t="shared" si="265"/>
        <v>0</v>
      </c>
      <c r="C3395" s="21">
        <f t="shared" si="266"/>
        <v>0</v>
      </c>
      <c r="D3395" s="22" t="e">
        <f>VLOOKUP($A3395, TAB_JUROS_U[[Q_DIAS_U_PARC_TIR]:[V_FUT_U_JURS CENARIO]], D$5, FALSE)</f>
        <v>#N/A</v>
      </c>
      <c r="E3395" s="22" t="e">
        <f>VLOOKUP($A3395,TAB_CORRECAO_U[[Q_DIAS_U_PARC_TIR]:[V_FUT_U_CORC-02]],E$5, FALSE)</f>
        <v>#N/A</v>
      </c>
      <c r="F3395" s="22" t="e">
        <f>VLOOKUP($A3395,TAB_AMORTIZACAO_U[[Q_DIAS_U_PARC_TIR]:[V_FUT_U_PCPL-02]], F$5, FALSE)</f>
        <v>#N/A</v>
      </c>
      <c r="H3395" s="20">
        <f t="shared" si="267"/>
        <v>200.15062122280591</v>
      </c>
      <c r="I3395" s="21">
        <f t="shared" si="268"/>
        <v>200.15062122280591</v>
      </c>
      <c r="J3395" s="22">
        <f>VLOOKUP($A3395, TAB_JUROS_C[[DIAS_CORRIDOS]:[V_FUT_UTEIS]], J$5, FALSE)</f>
        <v>8.1843729026718872</v>
      </c>
      <c r="K3395" s="22">
        <f>VLOOKUP($A3395, TAB_CORRECAO_C[[DIAS_CORRIDOS]:[V_FUT_UTEIS]],K$5, FALSE)</f>
        <v>48.74347516671348</v>
      </c>
      <c r="L3395" s="22">
        <f>VLOOKUP($A3395, TAB_AMORTIZACAO_C[[DIAS_CORRIDOS]:[V_FUT_UTEIS]], L$5, FALSE)</f>
        <v>143.22277315342055</v>
      </c>
    </row>
    <row r="3396" spans="1:12" hidden="1">
      <c r="A3396" s="19">
        <f t="shared" si="269"/>
        <v>3390</v>
      </c>
      <c r="B3396" s="20">
        <f t="shared" si="265"/>
        <v>0</v>
      </c>
      <c r="C3396" s="21">
        <f t="shared" si="266"/>
        <v>0</v>
      </c>
      <c r="D3396" s="22" t="e">
        <f>VLOOKUP($A3396, TAB_JUROS_U[[Q_DIAS_U_PARC_TIR]:[V_FUT_U_JURS CENARIO]], D$5, FALSE)</f>
        <v>#N/A</v>
      </c>
      <c r="E3396" s="22" t="e">
        <f>VLOOKUP($A3396,TAB_CORRECAO_U[[Q_DIAS_U_PARC_TIR]:[V_FUT_U_CORC-02]],E$5, FALSE)</f>
        <v>#N/A</v>
      </c>
      <c r="F3396" s="22" t="e">
        <f>VLOOKUP($A3396,TAB_AMORTIZACAO_U[[Q_DIAS_U_PARC_TIR]:[V_FUT_U_PCPL-02]], F$5, FALSE)</f>
        <v>#N/A</v>
      </c>
      <c r="H3396" s="20">
        <f t="shared" si="267"/>
        <v>0</v>
      </c>
      <c r="I3396" s="21">
        <f t="shared" si="268"/>
        <v>0</v>
      </c>
      <c r="J3396" s="22" t="e">
        <f>VLOOKUP($A3396, TAB_JUROS_C[[DIAS_CORRIDOS]:[V_FUT_UTEIS]], J$5, FALSE)</f>
        <v>#N/A</v>
      </c>
      <c r="K3396" s="22" t="e">
        <f>VLOOKUP($A3396, TAB_CORRECAO_C[[DIAS_CORRIDOS]:[V_FUT_UTEIS]],K$5, FALSE)</f>
        <v>#N/A</v>
      </c>
      <c r="L3396" s="22" t="e">
        <f>VLOOKUP($A3396, TAB_AMORTIZACAO_C[[DIAS_CORRIDOS]:[V_FUT_UTEIS]], L$5, FALSE)</f>
        <v>#N/A</v>
      </c>
    </row>
    <row r="3397" spans="1:12" hidden="1">
      <c r="A3397" s="19">
        <f t="shared" si="269"/>
        <v>3391</v>
      </c>
      <c r="B3397" s="20">
        <f t="shared" si="265"/>
        <v>0</v>
      </c>
      <c r="C3397" s="21">
        <f t="shared" si="266"/>
        <v>0</v>
      </c>
      <c r="D3397" s="22" t="e">
        <f>VLOOKUP($A3397, TAB_JUROS_U[[Q_DIAS_U_PARC_TIR]:[V_FUT_U_JURS CENARIO]], D$5, FALSE)</f>
        <v>#N/A</v>
      </c>
      <c r="E3397" s="22" t="e">
        <f>VLOOKUP($A3397,TAB_CORRECAO_U[[Q_DIAS_U_PARC_TIR]:[V_FUT_U_CORC-02]],E$5, FALSE)</f>
        <v>#N/A</v>
      </c>
      <c r="F3397" s="22" t="e">
        <f>VLOOKUP($A3397,TAB_AMORTIZACAO_U[[Q_DIAS_U_PARC_TIR]:[V_FUT_U_PCPL-02]], F$5, FALSE)</f>
        <v>#N/A</v>
      </c>
      <c r="H3397" s="20">
        <f t="shared" si="267"/>
        <v>0</v>
      </c>
      <c r="I3397" s="21">
        <f t="shared" si="268"/>
        <v>0</v>
      </c>
      <c r="J3397" s="22" t="e">
        <f>VLOOKUP($A3397, TAB_JUROS_C[[DIAS_CORRIDOS]:[V_FUT_UTEIS]], J$5, FALSE)</f>
        <v>#N/A</v>
      </c>
      <c r="K3397" s="22" t="e">
        <f>VLOOKUP($A3397, TAB_CORRECAO_C[[DIAS_CORRIDOS]:[V_FUT_UTEIS]],K$5, FALSE)</f>
        <v>#N/A</v>
      </c>
      <c r="L3397" s="22" t="e">
        <f>VLOOKUP($A3397, TAB_AMORTIZACAO_C[[DIAS_CORRIDOS]:[V_FUT_UTEIS]], L$5, FALSE)</f>
        <v>#N/A</v>
      </c>
    </row>
    <row r="3398" spans="1:12" hidden="1">
      <c r="A3398" s="19">
        <f t="shared" si="269"/>
        <v>3392</v>
      </c>
      <c r="B3398" s="20">
        <f t="shared" si="265"/>
        <v>0</v>
      </c>
      <c r="C3398" s="21">
        <f t="shared" si="266"/>
        <v>0</v>
      </c>
      <c r="D3398" s="22" t="e">
        <f>VLOOKUP($A3398, TAB_JUROS_U[[Q_DIAS_U_PARC_TIR]:[V_FUT_U_JURS CENARIO]], D$5, FALSE)</f>
        <v>#N/A</v>
      </c>
      <c r="E3398" s="22" t="e">
        <f>VLOOKUP($A3398,TAB_CORRECAO_U[[Q_DIAS_U_PARC_TIR]:[V_FUT_U_CORC-02]],E$5, FALSE)</f>
        <v>#N/A</v>
      </c>
      <c r="F3398" s="22" t="e">
        <f>VLOOKUP($A3398,TAB_AMORTIZACAO_U[[Q_DIAS_U_PARC_TIR]:[V_FUT_U_PCPL-02]], F$5, FALSE)</f>
        <v>#N/A</v>
      </c>
      <c r="H3398" s="20">
        <f t="shared" si="267"/>
        <v>0</v>
      </c>
      <c r="I3398" s="21">
        <f t="shared" si="268"/>
        <v>0</v>
      </c>
      <c r="J3398" s="22" t="e">
        <f>VLOOKUP($A3398, TAB_JUROS_C[[DIAS_CORRIDOS]:[V_FUT_UTEIS]], J$5, FALSE)</f>
        <v>#N/A</v>
      </c>
      <c r="K3398" s="22" t="e">
        <f>VLOOKUP($A3398, TAB_CORRECAO_C[[DIAS_CORRIDOS]:[V_FUT_UTEIS]],K$5, FALSE)</f>
        <v>#N/A</v>
      </c>
      <c r="L3398" s="22" t="e">
        <f>VLOOKUP($A3398, TAB_AMORTIZACAO_C[[DIAS_CORRIDOS]:[V_FUT_UTEIS]], L$5, FALSE)</f>
        <v>#N/A</v>
      </c>
    </row>
    <row r="3399" spans="1:12" hidden="1">
      <c r="A3399" s="19">
        <f t="shared" si="269"/>
        <v>3393</v>
      </c>
      <c r="B3399" s="20">
        <f t="shared" si="265"/>
        <v>0</v>
      </c>
      <c r="C3399" s="21">
        <f t="shared" si="266"/>
        <v>0</v>
      </c>
      <c r="D3399" s="22" t="e">
        <f>VLOOKUP($A3399, TAB_JUROS_U[[Q_DIAS_U_PARC_TIR]:[V_FUT_U_JURS CENARIO]], D$5, FALSE)</f>
        <v>#N/A</v>
      </c>
      <c r="E3399" s="22" t="e">
        <f>VLOOKUP($A3399,TAB_CORRECAO_U[[Q_DIAS_U_PARC_TIR]:[V_FUT_U_CORC-02]],E$5, FALSE)</f>
        <v>#N/A</v>
      </c>
      <c r="F3399" s="22" t="e">
        <f>VLOOKUP($A3399,TAB_AMORTIZACAO_U[[Q_DIAS_U_PARC_TIR]:[V_FUT_U_PCPL-02]], F$5, FALSE)</f>
        <v>#N/A</v>
      </c>
      <c r="H3399" s="20">
        <f t="shared" si="267"/>
        <v>0</v>
      </c>
      <c r="I3399" s="21">
        <f t="shared" si="268"/>
        <v>0</v>
      </c>
      <c r="J3399" s="22" t="e">
        <f>VLOOKUP($A3399, TAB_JUROS_C[[DIAS_CORRIDOS]:[V_FUT_UTEIS]], J$5, FALSE)</f>
        <v>#N/A</v>
      </c>
      <c r="K3399" s="22" t="e">
        <f>VLOOKUP($A3399, TAB_CORRECAO_C[[DIAS_CORRIDOS]:[V_FUT_UTEIS]],K$5, FALSE)</f>
        <v>#N/A</v>
      </c>
      <c r="L3399" s="22" t="e">
        <f>VLOOKUP($A3399, TAB_AMORTIZACAO_C[[DIAS_CORRIDOS]:[V_FUT_UTEIS]], L$5, FALSE)</f>
        <v>#N/A</v>
      </c>
    </row>
    <row r="3400" spans="1:12" hidden="1">
      <c r="A3400" s="19">
        <f t="shared" si="269"/>
        <v>3394</v>
      </c>
      <c r="B3400" s="20">
        <f t="shared" si="265"/>
        <v>0</v>
      </c>
      <c r="C3400" s="21">
        <f t="shared" si="266"/>
        <v>0</v>
      </c>
      <c r="D3400" s="22" t="e">
        <f>VLOOKUP($A3400, TAB_JUROS_U[[Q_DIAS_U_PARC_TIR]:[V_FUT_U_JURS CENARIO]], D$5, FALSE)</f>
        <v>#N/A</v>
      </c>
      <c r="E3400" s="22" t="e">
        <f>VLOOKUP($A3400,TAB_CORRECAO_U[[Q_DIAS_U_PARC_TIR]:[V_FUT_U_CORC-02]],E$5, FALSE)</f>
        <v>#N/A</v>
      </c>
      <c r="F3400" s="22" t="e">
        <f>VLOOKUP($A3400,TAB_AMORTIZACAO_U[[Q_DIAS_U_PARC_TIR]:[V_FUT_U_PCPL-02]], F$5, FALSE)</f>
        <v>#N/A</v>
      </c>
      <c r="H3400" s="20">
        <f t="shared" si="267"/>
        <v>0</v>
      </c>
      <c r="I3400" s="21">
        <f t="shared" si="268"/>
        <v>0</v>
      </c>
      <c r="J3400" s="22" t="e">
        <f>VLOOKUP($A3400, TAB_JUROS_C[[DIAS_CORRIDOS]:[V_FUT_UTEIS]], J$5, FALSE)</f>
        <v>#N/A</v>
      </c>
      <c r="K3400" s="22" t="e">
        <f>VLOOKUP($A3400, TAB_CORRECAO_C[[DIAS_CORRIDOS]:[V_FUT_UTEIS]],K$5, FALSE)</f>
        <v>#N/A</v>
      </c>
      <c r="L3400" s="22" t="e">
        <f>VLOOKUP($A3400, TAB_AMORTIZACAO_C[[DIAS_CORRIDOS]:[V_FUT_UTEIS]], L$5, FALSE)</f>
        <v>#N/A</v>
      </c>
    </row>
    <row r="3401" spans="1:12" hidden="1">
      <c r="A3401" s="19">
        <f t="shared" si="269"/>
        <v>3395</v>
      </c>
      <c r="B3401" s="20">
        <f t="shared" ref="B3401:B3464" si="270">IF(ISERROR(C3401), 0, C3401)</f>
        <v>0</v>
      </c>
      <c r="C3401" s="21">
        <f t="shared" ref="C3401:C3464" si="271">SUMIF(D3401:F3401, "&gt;0", D3401:F3401)</f>
        <v>0</v>
      </c>
      <c r="D3401" s="22" t="e">
        <f>VLOOKUP($A3401, TAB_JUROS_U[[Q_DIAS_U_PARC_TIR]:[V_FUT_U_JURS CENARIO]], D$5, FALSE)</f>
        <v>#N/A</v>
      </c>
      <c r="E3401" s="22" t="e">
        <f>VLOOKUP($A3401,TAB_CORRECAO_U[[Q_DIAS_U_PARC_TIR]:[V_FUT_U_CORC-02]],E$5, FALSE)</f>
        <v>#N/A</v>
      </c>
      <c r="F3401" s="22" t="e">
        <f>VLOOKUP($A3401,TAB_AMORTIZACAO_U[[Q_DIAS_U_PARC_TIR]:[V_FUT_U_PCPL-02]], F$5, FALSE)</f>
        <v>#N/A</v>
      </c>
      <c r="H3401" s="20">
        <f t="shared" ref="H3401:H3464" si="272">IF(ISERROR(I3401), 0, I3401)</f>
        <v>0</v>
      </c>
      <c r="I3401" s="21">
        <f t="shared" ref="I3401:I3464" si="273">SUMIF(J3401:L3401, "&gt;0", J3401:L3401)</f>
        <v>0</v>
      </c>
      <c r="J3401" s="22" t="e">
        <f>VLOOKUP($A3401, TAB_JUROS_C[[DIAS_CORRIDOS]:[V_FUT_UTEIS]], J$5, FALSE)</f>
        <v>#N/A</v>
      </c>
      <c r="K3401" s="22" t="e">
        <f>VLOOKUP($A3401, TAB_CORRECAO_C[[DIAS_CORRIDOS]:[V_FUT_UTEIS]],K$5, FALSE)</f>
        <v>#N/A</v>
      </c>
      <c r="L3401" s="22" t="e">
        <f>VLOOKUP($A3401, TAB_AMORTIZACAO_C[[DIAS_CORRIDOS]:[V_FUT_UTEIS]], L$5, FALSE)</f>
        <v>#N/A</v>
      </c>
    </row>
    <row r="3402" spans="1:12" hidden="1">
      <c r="A3402" s="19">
        <f t="shared" ref="A3402:A3465" si="274">A3401+1</f>
        <v>3396</v>
      </c>
      <c r="B3402" s="20">
        <f t="shared" si="270"/>
        <v>0</v>
      </c>
      <c r="C3402" s="21">
        <f t="shared" si="271"/>
        <v>0</v>
      </c>
      <c r="D3402" s="22" t="e">
        <f>VLOOKUP($A3402, TAB_JUROS_U[[Q_DIAS_U_PARC_TIR]:[V_FUT_U_JURS CENARIO]], D$5, FALSE)</f>
        <v>#N/A</v>
      </c>
      <c r="E3402" s="22" t="e">
        <f>VLOOKUP($A3402,TAB_CORRECAO_U[[Q_DIAS_U_PARC_TIR]:[V_FUT_U_CORC-02]],E$5, FALSE)</f>
        <v>#N/A</v>
      </c>
      <c r="F3402" s="22" t="e">
        <f>VLOOKUP($A3402,TAB_AMORTIZACAO_U[[Q_DIAS_U_PARC_TIR]:[V_FUT_U_PCPL-02]], F$5, FALSE)</f>
        <v>#N/A</v>
      </c>
      <c r="H3402" s="20">
        <f t="shared" si="272"/>
        <v>0</v>
      </c>
      <c r="I3402" s="21">
        <f t="shared" si="273"/>
        <v>0</v>
      </c>
      <c r="J3402" s="22" t="e">
        <f>VLOOKUP($A3402, TAB_JUROS_C[[DIAS_CORRIDOS]:[V_FUT_UTEIS]], J$5, FALSE)</f>
        <v>#N/A</v>
      </c>
      <c r="K3402" s="22" t="e">
        <f>VLOOKUP($A3402, TAB_CORRECAO_C[[DIAS_CORRIDOS]:[V_FUT_UTEIS]],K$5, FALSE)</f>
        <v>#N/A</v>
      </c>
      <c r="L3402" s="22" t="e">
        <f>VLOOKUP($A3402, TAB_AMORTIZACAO_C[[DIAS_CORRIDOS]:[V_FUT_UTEIS]], L$5, FALSE)</f>
        <v>#N/A</v>
      </c>
    </row>
    <row r="3403" spans="1:12" hidden="1">
      <c r="A3403" s="19">
        <f t="shared" si="274"/>
        <v>3397</v>
      </c>
      <c r="B3403" s="20">
        <f t="shared" si="270"/>
        <v>0</v>
      </c>
      <c r="C3403" s="21">
        <f t="shared" si="271"/>
        <v>0</v>
      </c>
      <c r="D3403" s="22" t="e">
        <f>VLOOKUP($A3403, TAB_JUROS_U[[Q_DIAS_U_PARC_TIR]:[V_FUT_U_JURS CENARIO]], D$5, FALSE)</f>
        <v>#N/A</v>
      </c>
      <c r="E3403" s="22" t="e">
        <f>VLOOKUP($A3403,TAB_CORRECAO_U[[Q_DIAS_U_PARC_TIR]:[V_FUT_U_CORC-02]],E$5, FALSE)</f>
        <v>#N/A</v>
      </c>
      <c r="F3403" s="22" t="e">
        <f>VLOOKUP($A3403,TAB_AMORTIZACAO_U[[Q_DIAS_U_PARC_TIR]:[V_FUT_U_PCPL-02]], F$5, FALSE)</f>
        <v>#N/A</v>
      </c>
      <c r="H3403" s="20">
        <f t="shared" si="272"/>
        <v>0</v>
      </c>
      <c r="I3403" s="21">
        <f t="shared" si="273"/>
        <v>0</v>
      </c>
      <c r="J3403" s="22" t="e">
        <f>VLOOKUP($A3403, TAB_JUROS_C[[DIAS_CORRIDOS]:[V_FUT_UTEIS]], J$5, FALSE)</f>
        <v>#N/A</v>
      </c>
      <c r="K3403" s="22" t="e">
        <f>VLOOKUP($A3403, TAB_CORRECAO_C[[DIAS_CORRIDOS]:[V_FUT_UTEIS]],K$5, FALSE)</f>
        <v>#N/A</v>
      </c>
      <c r="L3403" s="22" t="e">
        <f>VLOOKUP($A3403, TAB_AMORTIZACAO_C[[DIAS_CORRIDOS]:[V_FUT_UTEIS]], L$5, FALSE)</f>
        <v>#N/A</v>
      </c>
    </row>
    <row r="3404" spans="1:12" hidden="1">
      <c r="A3404" s="19">
        <f t="shared" si="274"/>
        <v>3398</v>
      </c>
      <c r="B3404" s="20">
        <f t="shared" si="270"/>
        <v>0</v>
      </c>
      <c r="C3404" s="21">
        <f t="shared" si="271"/>
        <v>0</v>
      </c>
      <c r="D3404" s="22" t="e">
        <f>VLOOKUP($A3404, TAB_JUROS_U[[Q_DIAS_U_PARC_TIR]:[V_FUT_U_JURS CENARIO]], D$5, FALSE)</f>
        <v>#N/A</v>
      </c>
      <c r="E3404" s="22" t="e">
        <f>VLOOKUP($A3404,TAB_CORRECAO_U[[Q_DIAS_U_PARC_TIR]:[V_FUT_U_CORC-02]],E$5, FALSE)</f>
        <v>#N/A</v>
      </c>
      <c r="F3404" s="22" t="e">
        <f>VLOOKUP($A3404,TAB_AMORTIZACAO_U[[Q_DIAS_U_PARC_TIR]:[V_FUT_U_PCPL-02]], F$5, FALSE)</f>
        <v>#N/A</v>
      </c>
      <c r="H3404" s="20">
        <f t="shared" si="272"/>
        <v>0</v>
      </c>
      <c r="I3404" s="21">
        <f t="shared" si="273"/>
        <v>0</v>
      </c>
      <c r="J3404" s="22" t="e">
        <f>VLOOKUP($A3404, TAB_JUROS_C[[DIAS_CORRIDOS]:[V_FUT_UTEIS]], J$5, FALSE)</f>
        <v>#N/A</v>
      </c>
      <c r="K3404" s="22" t="e">
        <f>VLOOKUP($A3404, TAB_CORRECAO_C[[DIAS_CORRIDOS]:[V_FUT_UTEIS]],K$5, FALSE)</f>
        <v>#N/A</v>
      </c>
      <c r="L3404" s="22" t="e">
        <f>VLOOKUP($A3404, TAB_AMORTIZACAO_C[[DIAS_CORRIDOS]:[V_FUT_UTEIS]], L$5, FALSE)</f>
        <v>#N/A</v>
      </c>
    </row>
    <row r="3405" spans="1:12" hidden="1">
      <c r="A3405" s="19">
        <f t="shared" si="274"/>
        <v>3399</v>
      </c>
      <c r="B3405" s="20">
        <f t="shared" si="270"/>
        <v>0</v>
      </c>
      <c r="C3405" s="21">
        <f t="shared" si="271"/>
        <v>0</v>
      </c>
      <c r="D3405" s="22" t="e">
        <f>VLOOKUP($A3405, TAB_JUROS_U[[Q_DIAS_U_PARC_TIR]:[V_FUT_U_JURS CENARIO]], D$5, FALSE)</f>
        <v>#N/A</v>
      </c>
      <c r="E3405" s="22" t="e">
        <f>VLOOKUP($A3405,TAB_CORRECAO_U[[Q_DIAS_U_PARC_TIR]:[V_FUT_U_CORC-02]],E$5, FALSE)</f>
        <v>#N/A</v>
      </c>
      <c r="F3405" s="22" t="e">
        <f>VLOOKUP($A3405,TAB_AMORTIZACAO_U[[Q_DIAS_U_PARC_TIR]:[V_FUT_U_PCPL-02]], F$5, FALSE)</f>
        <v>#N/A</v>
      </c>
      <c r="H3405" s="20">
        <f t="shared" si="272"/>
        <v>0</v>
      </c>
      <c r="I3405" s="21">
        <f t="shared" si="273"/>
        <v>0</v>
      </c>
      <c r="J3405" s="22" t="e">
        <f>VLOOKUP($A3405, TAB_JUROS_C[[DIAS_CORRIDOS]:[V_FUT_UTEIS]], J$5, FALSE)</f>
        <v>#N/A</v>
      </c>
      <c r="K3405" s="22" t="e">
        <f>VLOOKUP($A3405, TAB_CORRECAO_C[[DIAS_CORRIDOS]:[V_FUT_UTEIS]],K$5, FALSE)</f>
        <v>#N/A</v>
      </c>
      <c r="L3405" s="22" t="e">
        <f>VLOOKUP($A3405, TAB_AMORTIZACAO_C[[DIAS_CORRIDOS]:[V_FUT_UTEIS]], L$5, FALSE)</f>
        <v>#N/A</v>
      </c>
    </row>
    <row r="3406" spans="1:12" hidden="1">
      <c r="A3406" s="19">
        <f t="shared" si="274"/>
        <v>3400</v>
      </c>
      <c r="B3406" s="20">
        <f t="shared" si="270"/>
        <v>0</v>
      </c>
      <c r="C3406" s="21">
        <f t="shared" si="271"/>
        <v>0</v>
      </c>
      <c r="D3406" s="22" t="e">
        <f>VLOOKUP($A3406, TAB_JUROS_U[[Q_DIAS_U_PARC_TIR]:[V_FUT_U_JURS CENARIO]], D$5, FALSE)</f>
        <v>#N/A</v>
      </c>
      <c r="E3406" s="22" t="e">
        <f>VLOOKUP($A3406,TAB_CORRECAO_U[[Q_DIAS_U_PARC_TIR]:[V_FUT_U_CORC-02]],E$5, FALSE)</f>
        <v>#N/A</v>
      </c>
      <c r="F3406" s="22" t="e">
        <f>VLOOKUP($A3406,TAB_AMORTIZACAO_U[[Q_DIAS_U_PARC_TIR]:[V_FUT_U_PCPL-02]], F$5, FALSE)</f>
        <v>#N/A</v>
      </c>
      <c r="H3406" s="20">
        <f t="shared" si="272"/>
        <v>0</v>
      </c>
      <c r="I3406" s="21">
        <f t="shared" si="273"/>
        <v>0</v>
      </c>
      <c r="J3406" s="22" t="e">
        <f>VLOOKUP($A3406, TAB_JUROS_C[[DIAS_CORRIDOS]:[V_FUT_UTEIS]], J$5, FALSE)</f>
        <v>#N/A</v>
      </c>
      <c r="K3406" s="22" t="e">
        <f>VLOOKUP($A3406, TAB_CORRECAO_C[[DIAS_CORRIDOS]:[V_FUT_UTEIS]],K$5, FALSE)</f>
        <v>#N/A</v>
      </c>
      <c r="L3406" s="22" t="e">
        <f>VLOOKUP($A3406, TAB_AMORTIZACAO_C[[DIAS_CORRIDOS]:[V_FUT_UTEIS]], L$5, FALSE)</f>
        <v>#N/A</v>
      </c>
    </row>
    <row r="3407" spans="1:12" hidden="1">
      <c r="A3407" s="19">
        <f t="shared" si="274"/>
        <v>3401</v>
      </c>
      <c r="B3407" s="20">
        <f t="shared" si="270"/>
        <v>0</v>
      </c>
      <c r="C3407" s="21">
        <f t="shared" si="271"/>
        <v>0</v>
      </c>
      <c r="D3407" s="22" t="e">
        <f>VLOOKUP($A3407, TAB_JUROS_U[[Q_DIAS_U_PARC_TIR]:[V_FUT_U_JURS CENARIO]], D$5, FALSE)</f>
        <v>#N/A</v>
      </c>
      <c r="E3407" s="22" t="e">
        <f>VLOOKUP($A3407,TAB_CORRECAO_U[[Q_DIAS_U_PARC_TIR]:[V_FUT_U_CORC-02]],E$5, FALSE)</f>
        <v>#N/A</v>
      </c>
      <c r="F3407" s="22" t="e">
        <f>VLOOKUP($A3407,TAB_AMORTIZACAO_U[[Q_DIAS_U_PARC_TIR]:[V_FUT_U_PCPL-02]], F$5, FALSE)</f>
        <v>#N/A</v>
      </c>
      <c r="H3407" s="20">
        <f t="shared" si="272"/>
        <v>0</v>
      </c>
      <c r="I3407" s="21">
        <f t="shared" si="273"/>
        <v>0</v>
      </c>
      <c r="J3407" s="22" t="e">
        <f>VLOOKUP($A3407, TAB_JUROS_C[[DIAS_CORRIDOS]:[V_FUT_UTEIS]], J$5, FALSE)</f>
        <v>#N/A</v>
      </c>
      <c r="K3407" s="22" t="e">
        <f>VLOOKUP($A3407, TAB_CORRECAO_C[[DIAS_CORRIDOS]:[V_FUT_UTEIS]],K$5, FALSE)</f>
        <v>#N/A</v>
      </c>
      <c r="L3407" s="22" t="e">
        <f>VLOOKUP($A3407, TAB_AMORTIZACAO_C[[DIAS_CORRIDOS]:[V_FUT_UTEIS]], L$5, FALSE)</f>
        <v>#N/A</v>
      </c>
    </row>
    <row r="3408" spans="1:12" hidden="1">
      <c r="A3408" s="19">
        <f t="shared" si="274"/>
        <v>3402</v>
      </c>
      <c r="B3408" s="20">
        <f t="shared" si="270"/>
        <v>0</v>
      </c>
      <c r="C3408" s="21">
        <f t="shared" si="271"/>
        <v>0</v>
      </c>
      <c r="D3408" s="22" t="e">
        <f>VLOOKUP($A3408, TAB_JUROS_U[[Q_DIAS_U_PARC_TIR]:[V_FUT_U_JURS CENARIO]], D$5, FALSE)</f>
        <v>#N/A</v>
      </c>
      <c r="E3408" s="22" t="e">
        <f>VLOOKUP($A3408,TAB_CORRECAO_U[[Q_DIAS_U_PARC_TIR]:[V_FUT_U_CORC-02]],E$5, FALSE)</f>
        <v>#N/A</v>
      </c>
      <c r="F3408" s="22" t="e">
        <f>VLOOKUP($A3408,TAB_AMORTIZACAO_U[[Q_DIAS_U_PARC_TIR]:[V_FUT_U_PCPL-02]], F$5, FALSE)</f>
        <v>#N/A</v>
      </c>
      <c r="H3408" s="20">
        <f t="shared" si="272"/>
        <v>0</v>
      </c>
      <c r="I3408" s="21">
        <f t="shared" si="273"/>
        <v>0</v>
      </c>
      <c r="J3408" s="22" t="e">
        <f>VLOOKUP($A3408, TAB_JUROS_C[[DIAS_CORRIDOS]:[V_FUT_UTEIS]], J$5, FALSE)</f>
        <v>#N/A</v>
      </c>
      <c r="K3408" s="22" t="e">
        <f>VLOOKUP($A3408, TAB_CORRECAO_C[[DIAS_CORRIDOS]:[V_FUT_UTEIS]],K$5, FALSE)</f>
        <v>#N/A</v>
      </c>
      <c r="L3408" s="22" t="e">
        <f>VLOOKUP($A3408, TAB_AMORTIZACAO_C[[DIAS_CORRIDOS]:[V_FUT_UTEIS]], L$5, FALSE)</f>
        <v>#N/A</v>
      </c>
    </row>
    <row r="3409" spans="1:12" hidden="1">
      <c r="A3409" s="19">
        <f t="shared" si="274"/>
        <v>3403</v>
      </c>
      <c r="B3409" s="20">
        <f t="shared" si="270"/>
        <v>0</v>
      </c>
      <c r="C3409" s="21">
        <f t="shared" si="271"/>
        <v>0</v>
      </c>
      <c r="D3409" s="22" t="e">
        <f>VLOOKUP($A3409, TAB_JUROS_U[[Q_DIAS_U_PARC_TIR]:[V_FUT_U_JURS CENARIO]], D$5, FALSE)</f>
        <v>#N/A</v>
      </c>
      <c r="E3409" s="22" t="e">
        <f>VLOOKUP($A3409,TAB_CORRECAO_U[[Q_DIAS_U_PARC_TIR]:[V_FUT_U_CORC-02]],E$5, FALSE)</f>
        <v>#N/A</v>
      </c>
      <c r="F3409" s="22" t="e">
        <f>VLOOKUP($A3409,TAB_AMORTIZACAO_U[[Q_DIAS_U_PARC_TIR]:[V_FUT_U_PCPL-02]], F$5, FALSE)</f>
        <v>#N/A</v>
      </c>
      <c r="H3409" s="20">
        <f t="shared" si="272"/>
        <v>0</v>
      </c>
      <c r="I3409" s="21">
        <f t="shared" si="273"/>
        <v>0</v>
      </c>
      <c r="J3409" s="22" t="e">
        <f>VLOOKUP($A3409, TAB_JUROS_C[[DIAS_CORRIDOS]:[V_FUT_UTEIS]], J$5, FALSE)</f>
        <v>#N/A</v>
      </c>
      <c r="K3409" s="22" t="e">
        <f>VLOOKUP($A3409, TAB_CORRECAO_C[[DIAS_CORRIDOS]:[V_FUT_UTEIS]],K$5, FALSE)</f>
        <v>#N/A</v>
      </c>
      <c r="L3409" s="22" t="e">
        <f>VLOOKUP($A3409, TAB_AMORTIZACAO_C[[DIAS_CORRIDOS]:[V_FUT_UTEIS]], L$5, FALSE)</f>
        <v>#N/A</v>
      </c>
    </row>
    <row r="3410" spans="1:12" hidden="1">
      <c r="A3410" s="19">
        <f t="shared" si="274"/>
        <v>3404</v>
      </c>
      <c r="B3410" s="20">
        <f t="shared" si="270"/>
        <v>0</v>
      </c>
      <c r="C3410" s="21">
        <f t="shared" si="271"/>
        <v>0</v>
      </c>
      <c r="D3410" s="22" t="e">
        <f>VLOOKUP($A3410, TAB_JUROS_U[[Q_DIAS_U_PARC_TIR]:[V_FUT_U_JURS CENARIO]], D$5, FALSE)</f>
        <v>#N/A</v>
      </c>
      <c r="E3410" s="22" t="e">
        <f>VLOOKUP($A3410,TAB_CORRECAO_U[[Q_DIAS_U_PARC_TIR]:[V_FUT_U_CORC-02]],E$5, FALSE)</f>
        <v>#N/A</v>
      </c>
      <c r="F3410" s="22" t="e">
        <f>VLOOKUP($A3410,TAB_AMORTIZACAO_U[[Q_DIAS_U_PARC_TIR]:[V_FUT_U_PCPL-02]], F$5, FALSE)</f>
        <v>#N/A</v>
      </c>
      <c r="H3410" s="20">
        <f t="shared" si="272"/>
        <v>0</v>
      </c>
      <c r="I3410" s="21">
        <f t="shared" si="273"/>
        <v>0</v>
      </c>
      <c r="J3410" s="22" t="e">
        <f>VLOOKUP($A3410, TAB_JUROS_C[[DIAS_CORRIDOS]:[V_FUT_UTEIS]], J$5, FALSE)</f>
        <v>#N/A</v>
      </c>
      <c r="K3410" s="22" t="e">
        <f>VLOOKUP($A3410, TAB_CORRECAO_C[[DIAS_CORRIDOS]:[V_FUT_UTEIS]],K$5, FALSE)</f>
        <v>#N/A</v>
      </c>
      <c r="L3410" s="22" t="e">
        <f>VLOOKUP($A3410, TAB_AMORTIZACAO_C[[DIAS_CORRIDOS]:[V_FUT_UTEIS]], L$5, FALSE)</f>
        <v>#N/A</v>
      </c>
    </row>
    <row r="3411" spans="1:12" hidden="1">
      <c r="A3411" s="19">
        <f t="shared" si="274"/>
        <v>3405</v>
      </c>
      <c r="B3411" s="20">
        <f t="shared" si="270"/>
        <v>0</v>
      </c>
      <c r="C3411" s="21">
        <f t="shared" si="271"/>
        <v>0</v>
      </c>
      <c r="D3411" s="22" t="e">
        <f>VLOOKUP($A3411, TAB_JUROS_U[[Q_DIAS_U_PARC_TIR]:[V_FUT_U_JURS CENARIO]], D$5, FALSE)</f>
        <v>#N/A</v>
      </c>
      <c r="E3411" s="22" t="e">
        <f>VLOOKUP($A3411,TAB_CORRECAO_U[[Q_DIAS_U_PARC_TIR]:[V_FUT_U_CORC-02]],E$5, FALSE)</f>
        <v>#N/A</v>
      </c>
      <c r="F3411" s="22" t="e">
        <f>VLOOKUP($A3411,TAB_AMORTIZACAO_U[[Q_DIAS_U_PARC_TIR]:[V_FUT_U_PCPL-02]], F$5, FALSE)</f>
        <v>#N/A</v>
      </c>
      <c r="H3411" s="20">
        <f t="shared" si="272"/>
        <v>0</v>
      </c>
      <c r="I3411" s="21">
        <f t="shared" si="273"/>
        <v>0</v>
      </c>
      <c r="J3411" s="22" t="e">
        <f>VLOOKUP($A3411, TAB_JUROS_C[[DIAS_CORRIDOS]:[V_FUT_UTEIS]], J$5, FALSE)</f>
        <v>#N/A</v>
      </c>
      <c r="K3411" s="22" t="e">
        <f>VLOOKUP($A3411, TAB_CORRECAO_C[[DIAS_CORRIDOS]:[V_FUT_UTEIS]],K$5, FALSE)</f>
        <v>#N/A</v>
      </c>
      <c r="L3411" s="22" t="e">
        <f>VLOOKUP($A3411, TAB_AMORTIZACAO_C[[DIAS_CORRIDOS]:[V_FUT_UTEIS]], L$5, FALSE)</f>
        <v>#N/A</v>
      </c>
    </row>
    <row r="3412" spans="1:12" hidden="1">
      <c r="A3412" s="19">
        <f t="shared" si="274"/>
        <v>3406</v>
      </c>
      <c r="B3412" s="20">
        <f t="shared" si="270"/>
        <v>0</v>
      </c>
      <c r="C3412" s="21">
        <f t="shared" si="271"/>
        <v>0</v>
      </c>
      <c r="D3412" s="22" t="e">
        <f>VLOOKUP($A3412, TAB_JUROS_U[[Q_DIAS_U_PARC_TIR]:[V_FUT_U_JURS CENARIO]], D$5, FALSE)</f>
        <v>#N/A</v>
      </c>
      <c r="E3412" s="22" t="e">
        <f>VLOOKUP($A3412,TAB_CORRECAO_U[[Q_DIAS_U_PARC_TIR]:[V_FUT_U_CORC-02]],E$5, FALSE)</f>
        <v>#N/A</v>
      </c>
      <c r="F3412" s="22" t="e">
        <f>VLOOKUP($A3412,TAB_AMORTIZACAO_U[[Q_DIAS_U_PARC_TIR]:[V_FUT_U_PCPL-02]], F$5, FALSE)</f>
        <v>#N/A</v>
      </c>
      <c r="H3412" s="20">
        <f t="shared" si="272"/>
        <v>0</v>
      </c>
      <c r="I3412" s="21">
        <f t="shared" si="273"/>
        <v>0</v>
      </c>
      <c r="J3412" s="22" t="e">
        <f>VLOOKUP($A3412, TAB_JUROS_C[[DIAS_CORRIDOS]:[V_FUT_UTEIS]], J$5, FALSE)</f>
        <v>#N/A</v>
      </c>
      <c r="K3412" s="22" t="e">
        <f>VLOOKUP($A3412, TAB_CORRECAO_C[[DIAS_CORRIDOS]:[V_FUT_UTEIS]],K$5, FALSE)</f>
        <v>#N/A</v>
      </c>
      <c r="L3412" s="22" t="e">
        <f>VLOOKUP($A3412, TAB_AMORTIZACAO_C[[DIAS_CORRIDOS]:[V_FUT_UTEIS]], L$5, FALSE)</f>
        <v>#N/A</v>
      </c>
    </row>
    <row r="3413" spans="1:12" hidden="1">
      <c r="A3413" s="19">
        <f t="shared" si="274"/>
        <v>3407</v>
      </c>
      <c r="B3413" s="20">
        <f t="shared" si="270"/>
        <v>0</v>
      </c>
      <c r="C3413" s="21">
        <f t="shared" si="271"/>
        <v>0</v>
      </c>
      <c r="D3413" s="22" t="e">
        <f>VLOOKUP($A3413, TAB_JUROS_U[[Q_DIAS_U_PARC_TIR]:[V_FUT_U_JURS CENARIO]], D$5, FALSE)</f>
        <v>#N/A</v>
      </c>
      <c r="E3413" s="22" t="e">
        <f>VLOOKUP($A3413,TAB_CORRECAO_U[[Q_DIAS_U_PARC_TIR]:[V_FUT_U_CORC-02]],E$5, FALSE)</f>
        <v>#N/A</v>
      </c>
      <c r="F3413" s="22" t="e">
        <f>VLOOKUP($A3413,TAB_AMORTIZACAO_U[[Q_DIAS_U_PARC_TIR]:[V_FUT_U_PCPL-02]], F$5, FALSE)</f>
        <v>#N/A</v>
      </c>
      <c r="H3413" s="20">
        <f t="shared" si="272"/>
        <v>0</v>
      </c>
      <c r="I3413" s="21">
        <f t="shared" si="273"/>
        <v>0</v>
      </c>
      <c r="J3413" s="22" t="e">
        <f>VLOOKUP($A3413, TAB_JUROS_C[[DIAS_CORRIDOS]:[V_FUT_UTEIS]], J$5, FALSE)</f>
        <v>#N/A</v>
      </c>
      <c r="K3413" s="22" t="e">
        <f>VLOOKUP($A3413, TAB_CORRECAO_C[[DIAS_CORRIDOS]:[V_FUT_UTEIS]],K$5, FALSE)</f>
        <v>#N/A</v>
      </c>
      <c r="L3413" s="22" t="e">
        <f>VLOOKUP($A3413, TAB_AMORTIZACAO_C[[DIAS_CORRIDOS]:[V_FUT_UTEIS]], L$5, FALSE)</f>
        <v>#N/A</v>
      </c>
    </row>
    <row r="3414" spans="1:12" hidden="1">
      <c r="A3414" s="19">
        <f t="shared" si="274"/>
        <v>3408</v>
      </c>
      <c r="B3414" s="20">
        <f t="shared" si="270"/>
        <v>0</v>
      </c>
      <c r="C3414" s="21">
        <f t="shared" si="271"/>
        <v>0</v>
      </c>
      <c r="D3414" s="22" t="e">
        <f>VLOOKUP($A3414, TAB_JUROS_U[[Q_DIAS_U_PARC_TIR]:[V_FUT_U_JURS CENARIO]], D$5, FALSE)</f>
        <v>#N/A</v>
      </c>
      <c r="E3414" s="22" t="e">
        <f>VLOOKUP($A3414,TAB_CORRECAO_U[[Q_DIAS_U_PARC_TIR]:[V_FUT_U_CORC-02]],E$5, FALSE)</f>
        <v>#N/A</v>
      </c>
      <c r="F3414" s="22" t="e">
        <f>VLOOKUP($A3414,TAB_AMORTIZACAO_U[[Q_DIAS_U_PARC_TIR]:[V_FUT_U_PCPL-02]], F$5, FALSE)</f>
        <v>#N/A</v>
      </c>
      <c r="H3414" s="20">
        <f t="shared" si="272"/>
        <v>0</v>
      </c>
      <c r="I3414" s="21">
        <f t="shared" si="273"/>
        <v>0</v>
      </c>
      <c r="J3414" s="22" t="e">
        <f>VLOOKUP($A3414, TAB_JUROS_C[[DIAS_CORRIDOS]:[V_FUT_UTEIS]], J$5, FALSE)</f>
        <v>#N/A</v>
      </c>
      <c r="K3414" s="22" t="e">
        <f>VLOOKUP($A3414, TAB_CORRECAO_C[[DIAS_CORRIDOS]:[V_FUT_UTEIS]],K$5, FALSE)</f>
        <v>#N/A</v>
      </c>
      <c r="L3414" s="22" t="e">
        <f>VLOOKUP($A3414, TAB_AMORTIZACAO_C[[DIAS_CORRIDOS]:[V_FUT_UTEIS]], L$5, FALSE)</f>
        <v>#N/A</v>
      </c>
    </row>
    <row r="3415" spans="1:12" hidden="1">
      <c r="A3415" s="19">
        <f t="shared" si="274"/>
        <v>3409</v>
      </c>
      <c r="B3415" s="20">
        <f t="shared" si="270"/>
        <v>0</v>
      </c>
      <c r="C3415" s="21">
        <f t="shared" si="271"/>
        <v>0</v>
      </c>
      <c r="D3415" s="22" t="e">
        <f>VLOOKUP($A3415, TAB_JUROS_U[[Q_DIAS_U_PARC_TIR]:[V_FUT_U_JURS CENARIO]], D$5, FALSE)</f>
        <v>#N/A</v>
      </c>
      <c r="E3415" s="22" t="e">
        <f>VLOOKUP($A3415,TAB_CORRECAO_U[[Q_DIAS_U_PARC_TIR]:[V_FUT_U_CORC-02]],E$5, FALSE)</f>
        <v>#N/A</v>
      </c>
      <c r="F3415" s="22" t="e">
        <f>VLOOKUP($A3415,TAB_AMORTIZACAO_U[[Q_DIAS_U_PARC_TIR]:[V_FUT_U_PCPL-02]], F$5, FALSE)</f>
        <v>#N/A</v>
      </c>
      <c r="H3415" s="20">
        <f t="shared" si="272"/>
        <v>0</v>
      </c>
      <c r="I3415" s="21">
        <f t="shared" si="273"/>
        <v>0</v>
      </c>
      <c r="J3415" s="22" t="e">
        <f>VLOOKUP($A3415, TAB_JUROS_C[[DIAS_CORRIDOS]:[V_FUT_UTEIS]], J$5, FALSE)</f>
        <v>#N/A</v>
      </c>
      <c r="K3415" s="22" t="e">
        <f>VLOOKUP($A3415, TAB_CORRECAO_C[[DIAS_CORRIDOS]:[V_FUT_UTEIS]],K$5, FALSE)</f>
        <v>#N/A</v>
      </c>
      <c r="L3415" s="22" t="e">
        <f>VLOOKUP($A3415, TAB_AMORTIZACAO_C[[DIAS_CORRIDOS]:[V_FUT_UTEIS]], L$5, FALSE)</f>
        <v>#N/A</v>
      </c>
    </row>
    <row r="3416" spans="1:12" hidden="1">
      <c r="A3416" s="19">
        <f t="shared" si="274"/>
        <v>3410</v>
      </c>
      <c r="B3416" s="20">
        <f t="shared" si="270"/>
        <v>0</v>
      </c>
      <c r="C3416" s="21">
        <f t="shared" si="271"/>
        <v>0</v>
      </c>
      <c r="D3416" s="22" t="e">
        <f>VLOOKUP($A3416, TAB_JUROS_U[[Q_DIAS_U_PARC_TIR]:[V_FUT_U_JURS CENARIO]], D$5, FALSE)</f>
        <v>#N/A</v>
      </c>
      <c r="E3416" s="22" t="e">
        <f>VLOOKUP($A3416,TAB_CORRECAO_U[[Q_DIAS_U_PARC_TIR]:[V_FUT_U_CORC-02]],E$5, FALSE)</f>
        <v>#N/A</v>
      </c>
      <c r="F3416" s="22" t="e">
        <f>VLOOKUP($A3416,TAB_AMORTIZACAO_U[[Q_DIAS_U_PARC_TIR]:[V_FUT_U_PCPL-02]], F$5, FALSE)</f>
        <v>#N/A</v>
      </c>
      <c r="H3416" s="20">
        <f t="shared" si="272"/>
        <v>0</v>
      </c>
      <c r="I3416" s="21">
        <f t="shared" si="273"/>
        <v>0</v>
      </c>
      <c r="J3416" s="22" t="e">
        <f>VLOOKUP($A3416, TAB_JUROS_C[[DIAS_CORRIDOS]:[V_FUT_UTEIS]], J$5, FALSE)</f>
        <v>#N/A</v>
      </c>
      <c r="K3416" s="22" t="e">
        <f>VLOOKUP($A3416, TAB_CORRECAO_C[[DIAS_CORRIDOS]:[V_FUT_UTEIS]],K$5, FALSE)</f>
        <v>#N/A</v>
      </c>
      <c r="L3416" s="22" t="e">
        <f>VLOOKUP($A3416, TAB_AMORTIZACAO_C[[DIAS_CORRIDOS]:[V_FUT_UTEIS]], L$5, FALSE)</f>
        <v>#N/A</v>
      </c>
    </row>
    <row r="3417" spans="1:12" hidden="1">
      <c r="A3417" s="19">
        <f t="shared" si="274"/>
        <v>3411</v>
      </c>
      <c r="B3417" s="20">
        <f t="shared" si="270"/>
        <v>0</v>
      </c>
      <c r="C3417" s="21">
        <f t="shared" si="271"/>
        <v>0</v>
      </c>
      <c r="D3417" s="22" t="e">
        <f>VLOOKUP($A3417, TAB_JUROS_U[[Q_DIAS_U_PARC_TIR]:[V_FUT_U_JURS CENARIO]], D$5, FALSE)</f>
        <v>#N/A</v>
      </c>
      <c r="E3417" s="22" t="e">
        <f>VLOOKUP($A3417,TAB_CORRECAO_U[[Q_DIAS_U_PARC_TIR]:[V_FUT_U_CORC-02]],E$5, FALSE)</f>
        <v>#N/A</v>
      </c>
      <c r="F3417" s="22" t="e">
        <f>VLOOKUP($A3417,TAB_AMORTIZACAO_U[[Q_DIAS_U_PARC_TIR]:[V_FUT_U_PCPL-02]], F$5, FALSE)</f>
        <v>#N/A</v>
      </c>
      <c r="H3417" s="20">
        <f t="shared" si="272"/>
        <v>0</v>
      </c>
      <c r="I3417" s="21">
        <f t="shared" si="273"/>
        <v>0</v>
      </c>
      <c r="J3417" s="22" t="e">
        <f>VLOOKUP($A3417, TAB_JUROS_C[[DIAS_CORRIDOS]:[V_FUT_UTEIS]], J$5, FALSE)</f>
        <v>#N/A</v>
      </c>
      <c r="K3417" s="22" t="e">
        <f>VLOOKUP($A3417, TAB_CORRECAO_C[[DIAS_CORRIDOS]:[V_FUT_UTEIS]],K$5, FALSE)</f>
        <v>#N/A</v>
      </c>
      <c r="L3417" s="22" t="e">
        <f>VLOOKUP($A3417, TAB_AMORTIZACAO_C[[DIAS_CORRIDOS]:[V_FUT_UTEIS]], L$5, FALSE)</f>
        <v>#N/A</v>
      </c>
    </row>
    <row r="3418" spans="1:12" hidden="1">
      <c r="A3418" s="19">
        <f t="shared" si="274"/>
        <v>3412</v>
      </c>
      <c r="B3418" s="20">
        <f t="shared" si="270"/>
        <v>0</v>
      </c>
      <c r="C3418" s="21">
        <f t="shared" si="271"/>
        <v>0</v>
      </c>
      <c r="D3418" s="22" t="e">
        <f>VLOOKUP($A3418, TAB_JUROS_U[[Q_DIAS_U_PARC_TIR]:[V_FUT_U_JURS CENARIO]], D$5, FALSE)</f>
        <v>#N/A</v>
      </c>
      <c r="E3418" s="22" t="e">
        <f>VLOOKUP($A3418,TAB_CORRECAO_U[[Q_DIAS_U_PARC_TIR]:[V_FUT_U_CORC-02]],E$5, FALSE)</f>
        <v>#N/A</v>
      </c>
      <c r="F3418" s="22" t="e">
        <f>VLOOKUP($A3418,TAB_AMORTIZACAO_U[[Q_DIAS_U_PARC_TIR]:[V_FUT_U_PCPL-02]], F$5, FALSE)</f>
        <v>#N/A</v>
      </c>
      <c r="H3418" s="20">
        <f t="shared" si="272"/>
        <v>0</v>
      </c>
      <c r="I3418" s="21">
        <f t="shared" si="273"/>
        <v>0</v>
      </c>
      <c r="J3418" s="22" t="e">
        <f>VLOOKUP($A3418, TAB_JUROS_C[[DIAS_CORRIDOS]:[V_FUT_UTEIS]], J$5, FALSE)</f>
        <v>#N/A</v>
      </c>
      <c r="K3418" s="22" t="e">
        <f>VLOOKUP($A3418, TAB_CORRECAO_C[[DIAS_CORRIDOS]:[V_FUT_UTEIS]],K$5, FALSE)</f>
        <v>#N/A</v>
      </c>
      <c r="L3418" s="22" t="e">
        <f>VLOOKUP($A3418, TAB_AMORTIZACAO_C[[DIAS_CORRIDOS]:[V_FUT_UTEIS]], L$5, FALSE)</f>
        <v>#N/A</v>
      </c>
    </row>
    <row r="3419" spans="1:12" hidden="1">
      <c r="A3419" s="19">
        <f t="shared" si="274"/>
        <v>3413</v>
      </c>
      <c r="B3419" s="20">
        <f t="shared" si="270"/>
        <v>0</v>
      </c>
      <c r="C3419" s="21">
        <f t="shared" si="271"/>
        <v>0</v>
      </c>
      <c r="D3419" s="22" t="e">
        <f>VLOOKUP($A3419, TAB_JUROS_U[[Q_DIAS_U_PARC_TIR]:[V_FUT_U_JURS CENARIO]], D$5, FALSE)</f>
        <v>#N/A</v>
      </c>
      <c r="E3419" s="22" t="e">
        <f>VLOOKUP($A3419,TAB_CORRECAO_U[[Q_DIAS_U_PARC_TIR]:[V_FUT_U_CORC-02]],E$5, FALSE)</f>
        <v>#N/A</v>
      </c>
      <c r="F3419" s="22" t="e">
        <f>VLOOKUP($A3419,TAB_AMORTIZACAO_U[[Q_DIAS_U_PARC_TIR]:[V_FUT_U_PCPL-02]], F$5, FALSE)</f>
        <v>#N/A</v>
      </c>
      <c r="H3419" s="20">
        <f t="shared" si="272"/>
        <v>0</v>
      </c>
      <c r="I3419" s="21">
        <f t="shared" si="273"/>
        <v>0</v>
      </c>
      <c r="J3419" s="22" t="e">
        <f>VLOOKUP($A3419, TAB_JUROS_C[[DIAS_CORRIDOS]:[V_FUT_UTEIS]], J$5, FALSE)</f>
        <v>#N/A</v>
      </c>
      <c r="K3419" s="22" t="e">
        <f>VLOOKUP($A3419, TAB_CORRECAO_C[[DIAS_CORRIDOS]:[V_FUT_UTEIS]],K$5, FALSE)</f>
        <v>#N/A</v>
      </c>
      <c r="L3419" s="22" t="e">
        <f>VLOOKUP($A3419, TAB_AMORTIZACAO_C[[DIAS_CORRIDOS]:[V_FUT_UTEIS]], L$5, FALSE)</f>
        <v>#N/A</v>
      </c>
    </row>
    <row r="3420" spans="1:12" hidden="1">
      <c r="A3420" s="19">
        <f t="shared" si="274"/>
        <v>3414</v>
      </c>
      <c r="B3420" s="20">
        <f t="shared" si="270"/>
        <v>0</v>
      </c>
      <c r="C3420" s="21">
        <f t="shared" si="271"/>
        <v>0</v>
      </c>
      <c r="D3420" s="22" t="e">
        <f>VLOOKUP($A3420, TAB_JUROS_U[[Q_DIAS_U_PARC_TIR]:[V_FUT_U_JURS CENARIO]], D$5, FALSE)</f>
        <v>#N/A</v>
      </c>
      <c r="E3420" s="22" t="e">
        <f>VLOOKUP($A3420,TAB_CORRECAO_U[[Q_DIAS_U_PARC_TIR]:[V_FUT_U_CORC-02]],E$5, FALSE)</f>
        <v>#N/A</v>
      </c>
      <c r="F3420" s="22" t="e">
        <f>VLOOKUP($A3420,TAB_AMORTIZACAO_U[[Q_DIAS_U_PARC_TIR]:[V_FUT_U_PCPL-02]], F$5, FALSE)</f>
        <v>#N/A</v>
      </c>
      <c r="H3420" s="20">
        <f t="shared" si="272"/>
        <v>0</v>
      </c>
      <c r="I3420" s="21">
        <f t="shared" si="273"/>
        <v>0</v>
      </c>
      <c r="J3420" s="22" t="e">
        <f>VLOOKUP($A3420, TAB_JUROS_C[[DIAS_CORRIDOS]:[V_FUT_UTEIS]], J$5, FALSE)</f>
        <v>#N/A</v>
      </c>
      <c r="K3420" s="22" t="e">
        <f>VLOOKUP($A3420, TAB_CORRECAO_C[[DIAS_CORRIDOS]:[V_FUT_UTEIS]],K$5, FALSE)</f>
        <v>#N/A</v>
      </c>
      <c r="L3420" s="22" t="e">
        <f>VLOOKUP($A3420, TAB_AMORTIZACAO_C[[DIAS_CORRIDOS]:[V_FUT_UTEIS]], L$5, FALSE)</f>
        <v>#N/A</v>
      </c>
    </row>
    <row r="3421" spans="1:12" hidden="1">
      <c r="A3421" s="19">
        <f t="shared" si="274"/>
        <v>3415</v>
      </c>
      <c r="B3421" s="20">
        <f t="shared" si="270"/>
        <v>0</v>
      </c>
      <c r="C3421" s="21">
        <f t="shared" si="271"/>
        <v>0</v>
      </c>
      <c r="D3421" s="22" t="e">
        <f>VLOOKUP($A3421, TAB_JUROS_U[[Q_DIAS_U_PARC_TIR]:[V_FUT_U_JURS CENARIO]], D$5, FALSE)</f>
        <v>#N/A</v>
      </c>
      <c r="E3421" s="22" t="e">
        <f>VLOOKUP($A3421,TAB_CORRECAO_U[[Q_DIAS_U_PARC_TIR]:[V_FUT_U_CORC-02]],E$5, FALSE)</f>
        <v>#N/A</v>
      </c>
      <c r="F3421" s="22" t="e">
        <f>VLOOKUP($A3421,TAB_AMORTIZACAO_U[[Q_DIAS_U_PARC_TIR]:[V_FUT_U_PCPL-02]], F$5, FALSE)</f>
        <v>#N/A</v>
      </c>
      <c r="H3421" s="20">
        <f t="shared" si="272"/>
        <v>0</v>
      </c>
      <c r="I3421" s="21">
        <f t="shared" si="273"/>
        <v>0</v>
      </c>
      <c r="J3421" s="22" t="e">
        <f>VLOOKUP($A3421, TAB_JUROS_C[[DIAS_CORRIDOS]:[V_FUT_UTEIS]], J$5, FALSE)</f>
        <v>#N/A</v>
      </c>
      <c r="K3421" s="22" t="e">
        <f>VLOOKUP($A3421, TAB_CORRECAO_C[[DIAS_CORRIDOS]:[V_FUT_UTEIS]],K$5, FALSE)</f>
        <v>#N/A</v>
      </c>
      <c r="L3421" s="22" t="e">
        <f>VLOOKUP($A3421, TAB_AMORTIZACAO_C[[DIAS_CORRIDOS]:[V_FUT_UTEIS]], L$5, FALSE)</f>
        <v>#N/A</v>
      </c>
    </row>
    <row r="3422" spans="1:12" hidden="1">
      <c r="A3422" s="19">
        <f t="shared" si="274"/>
        <v>3416</v>
      </c>
      <c r="B3422" s="20">
        <f t="shared" si="270"/>
        <v>0</v>
      </c>
      <c r="C3422" s="21">
        <f t="shared" si="271"/>
        <v>0</v>
      </c>
      <c r="D3422" s="22" t="e">
        <f>VLOOKUP($A3422, TAB_JUROS_U[[Q_DIAS_U_PARC_TIR]:[V_FUT_U_JURS CENARIO]], D$5, FALSE)</f>
        <v>#N/A</v>
      </c>
      <c r="E3422" s="22" t="e">
        <f>VLOOKUP($A3422,TAB_CORRECAO_U[[Q_DIAS_U_PARC_TIR]:[V_FUT_U_CORC-02]],E$5, FALSE)</f>
        <v>#N/A</v>
      </c>
      <c r="F3422" s="22" t="e">
        <f>VLOOKUP($A3422,TAB_AMORTIZACAO_U[[Q_DIAS_U_PARC_TIR]:[V_FUT_U_PCPL-02]], F$5, FALSE)</f>
        <v>#N/A</v>
      </c>
      <c r="H3422" s="20">
        <f t="shared" si="272"/>
        <v>0</v>
      </c>
      <c r="I3422" s="21">
        <f t="shared" si="273"/>
        <v>0</v>
      </c>
      <c r="J3422" s="22" t="e">
        <f>VLOOKUP($A3422, TAB_JUROS_C[[DIAS_CORRIDOS]:[V_FUT_UTEIS]], J$5, FALSE)</f>
        <v>#N/A</v>
      </c>
      <c r="K3422" s="22" t="e">
        <f>VLOOKUP($A3422, TAB_CORRECAO_C[[DIAS_CORRIDOS]:[V_FUT_UTEIS]],K$5, FALSE)</f>
        <v>#N/A</v>
      </c>
      <c r="L3422" s="22" t="e">
        <f>VLOOKUP($A3422, TAB_AMORTIZACAO_C[[DIAS_CORRIDOS]:[V_FUT_UTEIS]], L$5, FALSE)</f>
        <v>#N/A</v>
      </c>
    </row>
    <row r="3423" spans="1:12" hidden="1">
      <c r="A3423" s="19">
        <f t="shared" si="274"/>
        <v>3417</v>
      </c>
      <c r="B3423" s="20">
        <f t="shared" si="270"/>
        <v>0</v>
      </c>
      <c r="C3423" s="21">
        <f t="shared" si="271"/>
        <v>0</v>
      </c>
      <c r="D3423" s="22" t="e">
        <f>VLOOKUP($A3423, TAB_JUROS_U[[Q_DIAS_U_PARC_TIR]:[V_FUT_U_JURS CENARIO]], D$5, FALSE)</f>
        <v>#N/A</v>
      </c>
      <c r="E3423" s="22" t="e">
        <f>VLOOKUP($A3423,TAB_CORRECAO_U[[Q_DIAS_U_PARC_TIR]:[V_FUT_U_CORC-02]],E$5, FALSE)</f>
        <v>#N/A</v>
      </c>
      <c r="F3423" s="22" t="e">
        <f>VLOOKUP($A3423,TAB_AMORTIZACAO_U[[Q_DIAS_U_PARC_TIR]:[V_FUT_U_PCPL-02]], F$5, FALSE)</f>
        <v>#N/A</v>
      </c>
      <c r="H3423" s="20">
        <f t="shared" si="272"/>
        <v>0</v>
      </c>
      <c r="I3423" s="21">
        <f t="shared" si="273"/>
        <v>0</v>
      </c>
      <c r="J3423" s="22" t="e">
        <f>VLOOKUP($A3423, TAB_JUROS_C[[DIAS_CORRIDOS]:[V_FUT_UTEIS]], J$5, FALSE)</f>
        <v>#N/A</v>
      </c>
      <c r="K3423" s="22" t="e">
        <f>VLOOKUP($A3423, TAB_CORRECAO_C[[DIAS_CORRIDOS]:[V_FUT_UTEIS]],K$5, FALSE)</f>
        <v>#N/A</v>
      </c>
      <c r="L3423" s="22" t="e">
        <f>VLOOKUP($A3423, TAB_AMORTIZACAO_C[[DIAS_CORRIDOS]:[V_FUT_UTEIS]], L$5, FALSE)</f>
        <v>#N/A</v>
      </c>
    </row>
    <row r="3424" spans="1:12" hidden="1">
      <c r="A3424" s="19">
        <f t="shared" si="274"/>
        <v>3418</v>
      </c>
      <c r="B3424" s="20">
        <f t="shared" si="270"/>
        <v>0</v>
      </c>
      <c r="C3424" s="21">
        <f t="shared" si="271"/>
        <v>0</v>
      </c>
      <c r="D3424" s="22" t="e">
        <f>VLOOKUP($A3424, TAB_JUROS_U[[Q_DIAS_U_PARC_TIR]:[V_FUT_U_JURS CENARIO]], D$5, FALSE)</f>
        <v>#N/A</v>
      </c>
      <c r="E3424" s="22" t="e">
        <f>VLOOKUP($A3424,TAB_CORRECAO_U[[Q_DIAS_U_PARC_TIR]:[V_FUT_U_CORC-02]],E$5, FALSE)</f>
        <v>#N/A</v>
      </c>
      <c r="F3424" s="22" t="e">
        <f>VLOOKUP($A3424,TAB_AMORTIZACAO_U[[Q_DIAS_U_PARC_TIR]:[V_FUT_U_PCPL-02]], F$5, FALSE)</f>
        <v>#N/A</v>
      </c>
      <c r="H3424" s="20">
        <f t="shared" si="272"/>
        <v>0</v>
      </c>
      <c r="I3424" s="21">
        <f t="shared" si="273"/>
        <v>0</v>
      </c>
      <c r="J3424" s="22" t="e">
        <f>VLOOKUP($A3424, TAB_JUROS_C[[DIAS_CORRIDOS]:[V_FUT_UTEIS]], J$5, FALSE)</f>
        <v>#N/A</v>
      </c>
      <c r="K3424" s="22" t="e">
        <f>VLOOKUP($A3424, TAB_CORRECAO_C[[DIAS_CORRIDOS]:[V_FUT_UTEIS]],K$5, FALSE)</f>
        <v>#N/A</v>
      </c>
      <c r="L3424" s="22" t="e">
        <f>VLOOKUP($A3424, TAB_AMORTIZACAO_C[[DIAS_CORRIDOS]:[V_FUT_UTEIS]], L$5, FALSE)</f>
        <v>#N/A</v>
      </c>
    </row>
    <row r="3425" spans="1:12" hidden="1">
      <c r="A3425" s="19">
        <f t="shared" si="274"/>
        <v>3419</v>
      </c>
      <c r="B3425" s="20">
        <f t="shared" si="270"/>
        <v>0</v>
      </c>
      <c r="C3425" s="21">
        <f t="shared" si="271"/>
        <v>0</v>
      </c>
      <c r="D3425" s="22" t="e">
        <f>VLOOKUP($A3425, TAB_JUROS_U[[Q_DIAS_U_PARC_TIR]:[V_FUT_U_JURS CENARIO]], D$5, FALSE)</f>
        <v>#N/A</v>
      </c>
      <c r="E3425" s="22" t="e">
        <f>VLOOKUP($A3425,TAB_CORRECAO_U[[Q_DIAS_U_PARC_TIR]:[V_FUT_U_CORC-02]],E$5, FALSE)</f>
        <v>#N/A</v>
      </c>
      <c r="F3425" s="22" t="e">
        <f>VLOOKUP($A3425,TAB_AMORTIZACAO_U[[Q_DIAS_U_PARC_TIR]:[V_FUT_U_PCPL-02]], F$5, FALSE)</f>
        <v>#N/A</v>
      </c>
      <c r="H3425" s="20">
        <f t="shared" si="272"/>
        <v>0</v>
      </c>
      <c r="I3425" s="21">
        <f t="shared" si="273"/>
        <v>0</v>
      </c>
      <c r="J3425" s="22" t="e">
        <f>VLOOKUP($A3425, TAB_JUROS_C[[DIAS_CORRIDOS]:[V_FUT_UTEIS]], J$5, FALSE)</f>
        <v>#N/A</v>
      </c>
      <c r="K3425" s="22" t="e">
        <f>VLOOKUP($A3425, TAB_CORRECAO_C[[DIAS_CORRIDOS]:[V_FUT_UTEIS]],K$5, FALSE)</f>
        <v>#N/A</v>
      </c>
      <c r="L3425" s="22" t="e">
        <f>VLOOKUP($A3425, TAB_AMORTIZACAO_C[[DIAS_CORRIDOS]:[V_FUT_UTEIS]], L$5, FALSE)</f>
        <v>#N/A</v>
      </c>
    </row>
    <row r="3426" spans="1:12" hidden="1">
      <c r="A3426" s="19">
        <f t="shared" si="274"/>
        <v>3420</v>
      </c>
      <c r="B3426" s="20">
        <f t="shared" si="270"/>
        <v>0</v>
      </c>
      <c r="C3426" s="21">
        <f t="shared" si="271"/>
        <v>0</v>
      </c>
      <c r="D3426" s="22" t="e">
        <f>VLOOKUP($A3426, TAB_JUROS_U[[Q_DIAS_U_PARC_TIR]:[V_FUT_U_JURS CENARIO]], D$5, FALSE)</f>
        <v>#N/A</v>
      </c>
      <c r="E3426" s="22" t="e">
        <f>VLOOKUP($A3426,TAB_CORRECAO_U[[Q_DIAS_U_PARC_TIR]:[V_FUT_U_CORC-02]],E$5, FALSE)</f>
        <v>#N/A</v>
      </c>
      <c r="F3426" s="22" t="e">
        <f>VLOOKUP($A3426,TAB_AMORTIZACAO_U[[Q_DIAS_U_PARC_TIR]:[V_FUT_U_PCPL-02]], F$5, FALSE)</f>
        <v>#N/A</v>
      </c>
      <c r="H3426" s="20">
        <f t="shared" si="272"/>
        <v>196.97748117812202</v>
      </c>
      <c r="I3426" s="21">
        <f t="shared" si="273"/>
        <v>196.97748117812202</v>
      </c>
      <c r="J3426" s="22">
        <f>VLOOKUP($A3426, TAB_JUROS_C[[DIAS_CORRIDOS]:[V_FUT_UTEIS]], J$5, FALSE)</f>
        <v>8.239426768357113</v>
      </c>
      <c r="K3426" s="22">
        <f>VLOOKUP($A3426, TAB_CORRECAO_C[[DIAS_CORRIDOS]:[V_FUT_UTEIS]],K$5, FALSE)</f>
        <v>49.054563769408688</v>
      </c>
      <c r="L3426" s="22">
        <f>VLOOKUP($A3426, TAB_AMORTIZACAO_C[[DIAS_CORRIDOS]:[V_FUT_UTEIS]], L$5, FALSE)</f>
        <v>139.68349064035621</v>
      </c>
    </row>
    <row r="3427" spans="1:12" hidden="1">
      <c r="A3427" s="19">
        <f t="shared" si="274"/>
        <v>3421</v>
      </c>
      <c r="B3427" s="20">
        <f t="shared" si="270"/>
        <v>0</v>
      </c>
      <c r="C3427" s="21">
        <f t="shared" si="271"/>
        <v>0</v>
      </c>
      <c r="D3427" s="22" t="e">
        <f>VLOOKUP($A3427, TAB_JUROS_U[[Q_DIAS_U_PARC_TIR]:[V_FUT_U_JURS CENARIO]], D$5, FALSE)</f>
        <v>#N/A</v>
      </c>
      <c r="E3427" s="22" t="e">
        <f>VLOOKUP($A3427,TAB_CORRECAO_U[[Q_DIAS_U_PARC_TIR]:[V_FUT_U_CORC-02]],E$5, FALSE)</f>
        <v>#N/A</v>
      </c>
      <c r="F3427" s="22" t="e">
        <f>VLOOKUP($A3427,TAB_AMORTIZACAO_U[[Q_DIAS_U_PARC_TIR]:[V_FUT_U_PCPL-02]], F$5, FALSE)</f>
        <v>#N/A</v>
      </c>
      <c r="H3427" s="20">
        <f t="shared" si="272"/>
        <v>0</v>
      </c>
      <c r="I3427" s="21">
        <f t="shared" si="273"/>
        <v>0</v>
      </c>
      <c r="J3427" s="22" t="e">
        <f>VLOOKUP($A3427, TAB_JUROS_C[[DIAS_CORRIDOS]:[V_FUT_UTEIS]], J$5, FALSE)</f>
        <v>#N/A</v>
      </c>
      <c r="K3427" s="22" t="e">
        <f>VLOOKUP($A3427, TAB_CORRECAO_C[[DIAS_CORRIDOS]:[V_FUT_UTEIS]],K$5, FALSE)</f>
        <v>#N/A</v>
      </c>
      <c r="L3427" s="22" t="e">
        <f>VLOOKUP($A3427, TAB_AMORTIZACAO_C[[DIAS_CORRIDOS]:[V_FUT_UTEIS]], L$5, FALSE)</f>
        <v>#N/A</v>
      </c>
    </row>
    <row r="3428" spans="1:12" hidden="1">
      <c r="A3428" s="19">
        <f t="shared" si="274"/>
        <v>3422</v>
      </c>
      <c r="B3428" s="20">
        <f t="shared" si="270"/>
        <v>0</v>
      </c>
      <c r="C3428" s="21">
        <f t="shared" si="271"/>
        <v>0</v>
      </c>
      <c r="D3428" s="22" t="e">
        <f>VLOOKUP($A3428, TAB_JUROS_U[[Q_DIAS_U_PARC_TIR]:[V_FUT_U_JURS CENARIO]], D$5, FALSE)</f>
        <v>#N/A</v>
      </c>
      <c r="E3428" s="22" t="e">
        <f>VLOOKUP($A3428,TAB_CORRECAO_U[[Q_DIAS_U_PARC_TIR]:[V_FUT_U_CORC-02]],E$5, FALSE)</f>
        <v>#N/A</v>
      </c>
      <c r="F3428" s="22" t="e">
        <f>VLOOKUP($A3428,TAB_AMORTIZACAO_U[[Q_DIAS_U_PARC_TIR]:[V_FUT_U_PCPL-02]], F$5, FALSE)</f>
        <v>#N/A</v>
      </c>
      <c r="H3428" s="20">
        <f t="shared" si="272"/>
        <v>0</v>
      </c>
      <c r="I3428" s="21">
        <f t="shared" si="273"/>
        <v>0</v>
      </c>
      <c r="J3428" s="22" t="e">
        <f>VLOOKUP($A3428, TAB_JUROS_C[[DIAS_CORRIDOS]:[V_FUT_UTEIS]], J$5, FALSE)</f>
        <v>#N/A</v>
      </c>
      <c r="K3428" s="22" t="e">
        <f>VLOOKUP($A3428, TAB_CORRECAO_C[[DIAS_CORRIDOS]:[V_FUT_UTEIS]],K$5, FALSE)</f>
        <v>#N/A</v>
      </c>
      <c r="L3428" s="22" t="e">
        <f>VLOOKUP($A3428, TAB_AMORTIZACAO_C[[DIAS_CORRIDOS]:[V_FUT_UTEIS]], L$5, FALSE)</f>
        <v>#N/A</v>
      </c>
    </row>
    <row r="3429" spans="1:12" hidden="1">
      <c r="A3429" s="19">
        <f t="shared" si="274"/>
        <v>3423</v>
      </c>
      <c r="B3429" s="20">
        <f t="shared" si="270"/>
        <v>0</v>
      </c>
      <c r="C3429" s="21">
        <f t="shared" si="271"/>
        <v>0</v>
      </c>
      <c r="D3429" s="22" t="e">
        <f>VLOOKUP($A3429, TAB_JUROS_U[[Q_DIAS_U_PARC_TIR]:[V_FUT_U_JURS CENARIO]], D$5, FALSE)</f>
        <v>#N/A</v>
      </c>
      <c r="E3429" s="22" t="e">
        <f>VLOOKUP($A3429,TAB_CORRECAO_U[[Q_DIAS_U_PARC_TIR]:[V_FUT_U_CORC-02]],E$5, FALSE)</f>
        <v>#N/A</v>
      </c>
      <c r="F3429" s="22" t="e">
        <f>VLOOKUP($A3429,TAB_AMORTIZACAO_U[[Q_DIAS_U_PARC_TIR]:[V_FUT_U_PCPL-02]], F$5, FALSE)</f>
        <v>#N/A</v>
      </c>
      <c r="H3429" s="20">
        <f t="shared" si="272"/>
        <v>0</v>
      </c>
      <c r="I3429" s="21">
        <f t="shared" si="273"/>
        <v>0</v>
      </c>
      <c r="J3429" s="22" t="e">
        <f>VLOOKUP($A3429, TAB_JUROS_C[[DIAS_CORRIDOS]:[V_FUT_UTEIS]], J$5, FALSE)</f>
        <v>#N/A</v>
      </c>
      <c r="K3429" s="22" t="e">
        <f>VLOOKUP($A3429, TAB_CORRECAO_C[[DIAS_CORRIDOS]:[V_FUT_UTEIS]],K$5, FALSE)</f>
        <v>#N/A</v>
      </c>
      <c r="L3429" s="22" t="e">
        <f>VLOOKUP($A3429, TAB_AMORTIZACAO_C[[DIAS_CORRIDOS]:[V_FUT_UTEIS]], L$5, FALSE)</f>
        <v>#N/A</v>
      </c>
    </row>
    <row r="3430" spans="1:12" hidden="1">
      <c r="A3430" s="19">
        <f t="shared" si="274"/>
        <v>3424</v>
      </c>
      <c r="B3430" s="20">
        <f t="shared" si="270"/>
        <v>0</v>
      </c>
      <c r="C3430" s="21">
        <f t="shared" si="271"/>
        <v>0</v>
      </c>
      <c r="D3430" s="22" t="e">
        <f>VLOOKUP($A3430, TAB_JUROS_U[[Q_DIAS_U_PARC_TIR]:[V_FUT_U_JURS CENARIO]], D$5, FALSE)</f>
        <v>#N/A</v>
      </c>
      <c r="E3430" s="22" t="e">
        <f>VLOOKUP($A3430,TAB_CORRECAO_U[[Q_DIAS_U_PARC_TIR]:[V_FUT_U_CORC-02]],E$5, FALSE)</f>
        <v>#N/A</v>
      </c>
      <c r="F3430" s="22" t="e">
        <f>VLOOKUP($A3430,TAB_AMORTIZACAO_U[[Q_DIAS_U_PARC_TIR]:[V_FUT_U_PCPL-02]], F$5, FALSE)</f>
        <v>#N/A</v>
      </c>
      <c r="H3430" s="20">
        <f t="shared" si="272"/>
        <v>0</v>
      </c>
      <c r="I3430" s="21">
        <f t="shared" si="273"/>
        <v>0</v>
      </c>
      <c r="J3430" s="22" t="e">
        <f>VLOOKUP($A3430, TAB_JUROS_C[[DIAS_CORRIDOS]:[V_FUT_UTEIS]], J$5, FALSE)</f>
        <v>#N/A</v>
      </c>
      <c r="K3430" s="22" t="e">
        <f>VLOOKUP($A3430, TAB_CORRECAO_C[[DIAS_CORRIDOS]:[V_FUT_UTEIS]],K$5, FALSE)</f>
        <v>#N/A</v>
      </c>
      <c r="L3430" s="22" t="e">
        <f>VLOOKUP($A3430, TAB_AMORTIZACAO_C[[DIAS_CORRIDOS]:[V_FUT_UTEIS]], L$5, FALSE)</f>
        <v>#N/A</v>
      </c>
    </row>
    <row r="3431" spans="1:12" hidden="1">
      <c r="A3431" s="19">
        <f t="shared" si="274"/>
        <v>3425</v>
      </c>
      <c r="B3431" s="20">
        <f t="shared" si="270"/>
        <v>0</v>
      </c>
      <c r="C3431" s="21">
        <f t="shared" si="271"/>
        <v>0</v>
      </c>
      <c r="D3431" s="22" t="e">
        <f>VLOOKUP($A3431, TAB_JUROS_U[[Q_DIAS_U_PARC_TIR]:[V_FUT_U_JURS CENARIO]], D$5, FALSE)</f>
        <v>#N/A</v>
      </c>
      <c r="E3431" s="22" t="e">
        <f>VLOOKUP($A3431,TAB_CORRECAO_U[[Q_DIAS_U_PARC_TIR]:[V_FUT_U_CORC-02]],E$5, FALSE)</f>
        <v>#N/A</v>
      </c>
      <c r="F3431" s="22" t="e">
        <f>VLOOKUP($A3431,TAB_AMORTIZACAO_U[[Q_DIAS_U_PARC_TIR]:[V_FUT_U_PCPL-02]], F$5, FALSE)</f>
        <v>#N/A</v>
      </c>
      <c r="H3431" s="20">
        <f t="shared" si="272"/>
        <v>0</v>
      </c>
      <c r="I3431" s="21">
        <f t="shared" si="273"/>
        <v>0</v>
      </c>
      <c r="J3431" s="22" t="e">
        <f>VLOOKUP($A3431, TAB_JUROS_C[[DIAS_CORRIDOS]:[V_FUT_UTEIS]], J$5, FALSE)</f>
        <v>#N/A</v>
      </c>
      <c r="K3431" s="22" t="e">
        <f>VLOOKUP($A3431, TAB_CORRECAO_C[[DIAS_CORRIDOS]:[V_FUT_UTEIS]],K$5, FALSE)</f>
        <v>#N/A</v>
      </c>
      <c r="L3431" s="22" t="e">
        <f>VLOOKUP($A3431, TAB_AMORTIZACAO_C[[DIAS_CORRIDOS]:[V_FUT_UTEIS]], L$5, FALSE)</f>
        <v>#N/A</v>
      </c>
    </row>
    <row r="3432" spans="1:12" hidden="1">
      <c r="A3432" s="19">
        <f t="shared" si="274"/>
        <v>3426</v>
      </c>
      <c r="B3432" s="20">
        <f t="shared" si="270"/>
        <v>0</v>
      </c>
      <c r="C3432" s="21">
        <f t="shared" si="271"/>
        <v>0</v>
      </c>
      <c r="D3432" s="22" t="e">
        <f>VLOOKUP($A3432, TAB_JUROS_U[[Q_DIAS_U_PARC_TIR]:[V_FUT_U_JURS CENARIO]], D$5, FALSE)</f>
        <v>#N/A</v>
      </c>
      <c r="E3432" s="22" t="e">
        <f>VLOOKUP($A3432,TAB_CORRECAO_U[[Q_DIAS_U_PARC_TIR]:[V_FUT_U_CORC-02]],E$5, FALSE)</f>
        <v>#N/A</v>
      </c>
      <c r="F3432" s="22" t="e">
        <f>VLOOKUP($A3432,TAB_AMORTIZACAO_U[[Q_DIAS_U_PARC_TIR]:[V_FUT_U_PCPL-02]], F$5, FALSE)</f>
        <v>#N/A</v>
      </c>
      <c r="H3432" s="20">
        <f t="shared" si="272"/>
        <v>0</v>
      </c>
      <c r="I3432" s="21">
        <f t="shared" si="273"/>
        <v>0</v>
      </c>
      <c r="J3432" s="22" t="e">
        <f>VLOOKUP($A3432, TAB_JUROS_C[[DIAS_CORRIDOS]:[V_FUT_UTEIS]], J$5, FALSE)</f>
        <v>#N/A</v>
      </c>
      <c r="K3432" s="22" t="e">
        <f>VLOOKUP($A3432, TAB_CORRECAO_C[[DIAS_CORRIDOS]:[V_FUT_UTEIS]],K$5, FALSE)</f>
        <v>#N/A</v>
      </c>
      <c r="L3432" s="22" t="e">
        <f>VLOOKUP($A3432, TAB_AMORTIZACAO_C[[DIAS_CORRIDOS]:[V_FUT_UTEIS]], L$5, FALSE)</f>
        <v>#N/A</v>
      </c>
    </row>
    <row r="3433" spans="1:12" hidden="1">
      <c r="A3433" s="19">
        <f t="shared" si="274"/>
        <v>3427</v>
      </c>
      <c r="B3433" s="20">
        <f t="shared" si="270"/>
        <v>0</v>
      </c>
      <c r="C3433" s="21">
        <f t="shared" si="271"/>
        <v>0</v>
      </c>
      <c r="D3433" s="22" t="e">
        <f>VLOOKUP($A3433, TAB_JUROS_U[[Q_DIAS_U_PARC_TIR]:[V_FUT_U_JURS CENARIO]], D$5, FALSE)</f>
        <v>#N/A</v>
      </c>
      <c r="E3433" s="22" t="e">
        <f>VLOOKUP($A3433,TAB_CORRECAO_U[[Q_DIAS_U_PARC_TIR]:[V_FUT_U_CORC-02]],E$5, FALSE)</f>
        <v>#N/A</v>
      </c>
      <c r="F3433" s="22" t="e">
        <f>VLOOKUP($A3433,TAB_AMORTIZACAO_U[[Q_DIAS_U_PARC_TIR]:[V_FUT_U_PCPL-02]], F$5, FALSE)</f>
        <v>#N/A</v>
      </c>
      <c r="H3433" s="20">
        <f t="shared" si="272"/>
        <v>0</v>
      </c>
      <c r="I3433" s="21">
        <f t="shared" si="273"/>
        <v>0</v>
      </c>
      <c r="J3433" s="22" t="e">
        <f>VLOOKUP($A3433, TAB_JUROS_C[[DIAS_CORRIDOS]:[V_FUT_UTEIS]], J$5, FALSE)</f>
        <v>#N/A</v>
      </c>
      <c r="K3433" s="22" t="e">
        <f>VLOOKUP($A3433, TAB_CORRECAO_C[[DIAS_CORRIDOS]:[V_FUT_UTEIS]],K$5, FALSE)</f>
        <v>#N/A</v>
      </c>
      <c r="L3433" s="22" t="e">
        <f>VLOOKUP($A3433, TAB_AMORTIZACAO_C[[DIAS_CORRIDOS]:[V_FUT_UTEIS]], L$5, FALSE)</f>
        <v>#N/A</v>
      </c>
    </row>
    <row r="3434" spans="1:12" hidden="1">
      <c r="A3434" s="19">
        <f t="shared" si="274"/>
        <v>3428</v>
      </c>
      <c r="B3434" s="20">
        <f t="shared" si="270"/>
        <v>0</v>
      </c>
      <c r="C3434" s="21">
        <f t="shared" si="271"/>
        <v>0</v>
      </c>
      <c r="D3434" s="22" t="e">
        <f>VLOOKUP($A3434, TAB_JUROS_U[[Q_DIAS_U_PARC_TIR]:[V_FUT_U_JURS CENARIO]], D$5, FALSE)</f>
        <v>#N/A</v>
      </c>
      <c r="E3434" s="22" t="e">
        <f>VLOOKUP($A3434,TAB_CORRECAO_U[[Q_DIAS_U_PARC_TIR]:[V_FUT_U_CORC-02]],E$5, FALSE)</f>
        <v>#N/A</v>
      </c>
      <c r="F3434" s="22" t="e">
        <f>VLOOKUP($A3434,TAB_AMORTIZACAO_U[[Q_DIAS_U_PARC_TIR]:[V_FUT_U_PCPL-02]], F$5, FALSE)</f>
        <v>#N/A</v>
      </c>
      <c r="H3434" s="20">
        <f t="shared" si="272"/>
        <v>0</v>
      </c>
      <c r="I3434" s="21">
        <f t="shared" si="273"/>
        <v>0</v>
      </c>
      <c r="J3434" s="22" t="e">
        <f>VLOOKUP($A3434, TAB_JUROS_C[[DIAS_CORRIDOS]:[V_FUT_UTEIS]], J$5, FALSE)</f>
        <v>#N/A</v>
      </c>
      <c r="K3434" s="22" t="e">
        <f>VLOOKUP($A3434, TAB_CORRECAO_C[[DIAS_CORRIDOS]:[V_FUT_UTEIS]],K$5, FALSE)</f>
        <v>#N/A</v>
      </c>
      <c r="L3434" s="22" t="e">
        <f>VLOOKUP($A3434, TAB_AMORTIZACAO_C[[DIAS_CORRIDOS]:[V_FUT_UTEIS]], L$5, FALSE)</f>
        <v>#N/A</v>
      </c>
    </row>
    <row r="3435" spans="1:12" hidden="1">
      <c r="A3435" s="19">
        <f t="shared" si="274"/>
        <v>3429</v>
      </c>
      <c r="B3435" s="20">
        <f t="shared" si="270"/>
        <v>0</v>
      </c>
      <c r="C3435" s="21">
        <f t="shared" si="271"/>
        <v>0</v>
      </c>
      <c r="D3435" s="22" t="e">
        <f>VLOOKUP($A3435, TAB_JUROS_U[[Q_DIAS_U_PARC_TIR]:[V_FUT_U_JURS CENARIO]], D$5, FALSE)</f>
        <v>#N/A</v>
      </c>
      <c r="E3435" s="22" t="e">
        <f>VLOOKUP($A3435,TAB_CORRECAO_U[[Q_DIAS_U_PARC_TIR]:[V_FUT_U_CORC-02]],E$5, FALSE)</f>
        <v>#N/A</v>
      </c>
      <c r="F3435" s="22" t="e">
        <f>VLOOKUP($A3435,TAB_AMORTIZACAO_U[[Q_DIAS_U_PARC_TIR]:[V_FUT_U_PCPL-02]], F$5, FALSE)</f>
        <v>#N/A</v>
      </c>
      <c r="H3435" s="20">
        <f t="shared" si="272"/>
        <v>0</v>
      </c>
      <c r="I3435" s="21">
        <f t="shared" si="273"/>
        <v>0</v>
      </c>
      <c r="J3435" s="22" t="e">
        <f>VLOOKUP($A3435, TAB_JUROS_C[[DIAS_CORRIDOS]:[V_FUT_UTEIS]], J$5, FALSE)</f>
        <v>#N/A</v>
      </c>
      <c r="K3435" s="22" t="e">
        <f>VLOOKUP($A3435, TAB_CORRECAO_C[[DIAS_CORRIDOS]:[V_FUT_UTEIS]],K$5, FALSE)</f>
        <v>#N/A</v>
      </c>
      <c r="L3435" s="22" t="e">
        <f>VLOOKUP($A3435, TAB_AMORTIZACAO_C[[DIAS_CORRIDOS]:[V_FUT_UTEIS]], L$5, FALSE)</f>
        <v>#N/A</v>
      </c>
    </row>
    <row r="3436" spans="1:12" hidden="1">
      <c r="A3436" s="19">
        <f t="shared" si="274"/>
        <v>3430</v>
      </c>
      <c r="B3436" s="20">
        <f t="shared" si="270"/>
        <v>0</v>
      </c>
      <c r="C3436" s="21">
        <f t="shared" si="271"/>
        <v>0</v>
      </c>
      <c r="D3436" s="22" t="e">
        <f>VLOOKUP($A3436, TAB_JUROS_U[[Q_DIAS_U_PARC_TIR]:[V_FUT_U_JURS CENARIO]], D$5, FALSE)</f>
        <v>#N/A</v>
      </c>
      <c r="E3436" s="22" t="e">
        <f>VLOOKUP($A3436,TAB_CORRECAO_U[[Q_DIAS_U_PARC_TIR]:[V_FUT_U_CORC-02]],E$5, FALSE)</f>
        <v>#N/A</v>
      </c>
      <c r="F3436" s="22" t="e">
        <f>VLOOKUP($A3436,TAB_AMORTIZACAO_U[[Q_DIAS_U_PARC_TIR]:[V_FUT_U_PCPL-02]], F$5, FALSE)</f>
        <v>#N/A</v>
      </c>
      <c r="H3436" s="20">
        <f t="shared" si="272"/>
        <v>0</v>
      </c>
      <c r="I3436" s="21">
        <f t="shared" si="273"/>
        <v>0</v>
      </c>
      <c r="J3436" s="22" t="e">
        <f>VLOOKUP($A3436, TAB_JUROS_C[[DIAS_CORRIDOS]:[V_FUT_UTEIS]], J$5, FALSE)</f>
        <v>#N/A</v>
      </c>
      <c r="K3436" s="22" t="e">
        <f>VLOOKUP($A3436, TAB_CORRECAO_C[[DIAS_CORRIDOS]:[V_FUT_UTEIS]],K$5, FALSE)</f>
        <v>#N/A</v>
      </c>
      <c r="L3436" s="22" t="e">
        <f>VLOOKUP($A3436, TAB_AMORTIZACAO_C[[DIAS_CORRIDOS]:[V_FUT_UTEIS]], L$5, FALSE)</f>
        <v>#N/A</v>
      </c>
    </row>
    <row r="3437" spans="1:12" hidden="1">
      <c r="A3437" s="19">
        <f t="shared" si="274"/>
        <v>3431</v>
      </c>
      <c r="B3437" s="20">
        <f t="shared" si="270"/>
        <v>0</v>
      </c>
      <c r="C3437" s="21">
        <f t="shared" si="271"/>
        <v>0</v>
      </c>
      <c r="D3437" s="22" t="e">
        <f>VLOOKUP($A3437, TAB_JUROS_U[[Q_DIAS_U_PARC_TIR]:[V_FUT_U_JURS CENARIO]], D$5, FALSE)</f>
        <v>#N/A</v>
      </c>
      <c r="E3437" s="22" t="e">
        <f>VLOOKUP($A3437,TAB_CORRECAO_U[[Q_DIAS_U_PARC_TIR]:[V_FUT_U_CORC-02]],E$5, FALSE)</f>
        <v>#N/A</v>
      </c>
      <c r="F3437" s="22" t="e">
        <f>VLOOKUP($A3437,TAB_AMORTIZACAO_U[[Q_DIAS_U_PARC_TIR]:[V_FUT_U_PCPL-02]], F$5, FALSE)</f>
        <v>#N/A</v>
      </c>
      <c r="H3437" s="20">
        <f t="shared" si="272"/>
        <v>0</v>
      </c>
      <c r="I3437" s="21">
        <f t="shared" si="273"/>
        <v>0</v>
      </c>
      <c r="J3437" s="22" t="e">
        <f>VLOOKUP($A3437, TAB_JUROS_C[[DIAS_CORRIDOS]:[V_FUT_UTEIS]], J$5, FALSE)</f>
        <v>#N/A</v>
      </c>
      <c r="K3437" s="22" t="e">
        <f>VLOOKUP($A3437, TAB_CORRECAO_C[[DIAS_CORRIDOS]:[V_FUT_UTEIS]],K$5, FALSE)</f>
        <v>#N/A</v>
      </c>
      <c r="L3437" s="22" t="e">
        <f>VLOOKUP($A3437, TAB_AMORTIZACAO_C[[DIAS_CORRIDOS]:[V_FUT_UTEIS]], L$5, FALSE)</f>
        <v>#N/A</v>
      </c>
    </row>
    <row r="3438" spans="1:12" hidden="1">
      <c r="A3438" s="19">
        <f t="shared" si="274"/>
        <v>3432</v>
      </c>
      <c r="B3438" s="20">
        <f t="shared" si="270"/>
        <v>0</v>
      </c>
      <c r="C3438" s="21">
        <f t="shared" si="271"/>
        <v>0</v>
      </c>
      <c r="D3438" s="22" t="e">
        <f>VLOOKUP($A3438, TAB_JUROS_U[[Q_DIAS_U_PARC_TIR]:[V_FUT_U_JURS CENARIO]], D$5, FALSE)</f>
        <v>#N/A</v>
      </c>
      <c r="E3438" s="22" t="e">
        <f>VLOOKUP($A3438,TAB_CORRECAO_U[[Q_DIAS_U_PARC_TIR]:[V_FUT_U_CORC-02]],E$5, FALSE)</f>
        <v>#N/A</v>
      </c>
      <c r="F3438" s="22" t="e">
        <f>VLOOKUP($A3438,TAB_AMORTIZACAO_U[[Q_DIAS_U_PARC_TIR]:[V_FUT_U_PCPL-02]], F$5, FALSE)</f>
        <v>#N/A</v>
      </c>
      <c r="H3438" s="20">
        <f t="shared" si="272"/>
        <v>0</v>
      </c>
      <c r="I3438" s="21">
        <f t="shared" si="273"/>
        <v>0</v>
      </c>
      <c r="J3438" s="22" t="e">
        <f>VLOOKUP($A3438, TAB_JUROS_C[[DIAS_CORRIDOS]:[V_FUT_UTEIS]], J$5, FALSE)</f>
        <v>#N/A</v>
      </c>
      <c r="K3438" s="22" t="e">
        <f>VLOOKUP($A3438, TAB_CORRECAO_C[[DIAS_CORRIDOS]:[V_FUT_UTEIS]],K$5, FALSE)</f>
        <v>#N/A</v>
      </c>
      <c r="L3438" s="22" t="e">
        <f>VLOOKUP($A3438, TAB_AMORTIZACAO_C[[DIAS_CORRIDOS]:[V_FUT_UTEIS]], L$5, FALSE)</f>
        <v>#N/A</v>
      </c>
    </row>
    <row r="3439" spans="1:12" hidden="1">
      <c r="A3439" s="19">
        <f t="shared" si="274"/>
        <v>3433</v>
      </c>
      <c r="B3439" s="20">
        <f t="shared" si="270"/>
        <v>0</v>
      </c>
      <c r="C3439" s="21">
        <f t="shared" si="271"/>
        <v>0</v>
      </c>
      <c r="D3439" s="22" t="e">
        <f>VLOOKUP($A3439, TAB_JUROS_U[[Q_DIAS_U_PARC_TIR]:[V_FUT_U_JURS CENARIO]], D$5, FALSE)</f>
        <v>#N/A</v>
      </c>
      <c r="E3439" s="22" t="e">
        <f>VLOOKUP($A3439,TAB_CORRECAO_U[[Q_DIAS_U_PARC_TIR]:[V_FUT_U_CORC-02]],E$5, FALSE)</f>
        <v>#N/A</v>
      </c>
      <c r="F3439" s="22" t="e">
        <f>VLOOKUP($A3439,TAB_AMORTIZACAO_U[[Q_DIAS_U_PARC_TIR]:[V_FUT_U_PCPL-02]], F$5, FALSE)</f>
        <v>#N/A</v>
      </c>
      <c r="H3439" s="20">
        <f t="shared" si="272"/>
        <v>0</v>
      </c>
      <c r="I3439" s="21">
        <f t="shared" si="273"/>
        <v>0</v>
      </c>
      <c r="J3439" s="22" t="e">
        <f>VLOOKUP($A3439, TAB_JUROS_C[[DIAS_CORRIDOS]:[V_FUT_UTEIS]], J$5, FALSE)</f>
        <v>#N/A</v>
      </c>
      <c r="K3439" s="22" t="e">
        <f>VLOOKUP($A3439, TAB_CORRECAO_C[[DIAS_CORRIDOS]:[V_FUT_UTEIS]],K$5, FALSE)</f>
        <v>#N/A</v>
      </c>
      <c r="L3439" s="22" t="e">
        <f>VLOOKUP($A3439, TAB_AMORTIZACAO_C[[DIAS_CORRIDOS]:[V_FUT_UTEIS]], L$5, FALSE)</f>
        <v>#N/A</v>
      </c>
    </row>
    <row r="3440" spans="1:12" hidden="1">
      <c r="A3440" s="19">
        <f t="shared" si="274"/>
        <v>3434</v>
      </c>
      <c r="B3440" s="20">
        <f t="shared" si="270"/>
        <v>0</v>
      </c>
      <c r="C3440" s="21">
        <f t="shared" si="271"/>
        <v>0</v>
      </c>
      <c r="D3440" s="22" t="e">
        <f>VLOOKUP($A3440, TAB_JUROS_U[[Q_DIAS_U_PARC_TIR]:[V_FUT_U_JURS CENARIO]], D$5, FALSE)</f>
        <v>#N/A</v>
      </c>
      <c r="E3440" s="22" t="e">
        <f>VLOOKUP($A3440,TAB_CORRECAO_U[[Q_DIAS_U_PARC_TIR]:[V_FUT_U_CORC-02]],E$5, FALSE)</f>
        <v>#N/A</v>
      </c>
      <c r="F3440" s="22" t="e">
        <f>VLOOKUP($A3440,TAB_AMORTIZACAO_U[[Q_DIAS_U_PARC_TIR]:[V_FUT_U_PCPL-02]], F$5, FALSE)</f>
        <v>#N/A</v>
      </c>
      <c r="H3440" s="20">
        <f t="shared" si="272"/>
        <v>0</v>
      </c>
      <c r="I3440" s="21">
        <f t="shared" si="273"/>
        <v>0</v>
      </c>
      <c r="J3440" s="22" t="e">
        <f>VLOOKUP($A3440, TAB_JUROS_C[[DIAS_CORRIDOS]:[V_FUT_UTEIS]], J$5, FALSE)</f>
        <v>#N/A</v>
      </c>
      <c r="K3440" s="22" t="e">
        <f>VLOOKUP($A3440, TAB_CORRECAO_C[[DIAS_CORRIDOS]:[V_FUT_UTEIS]],K$5, FALSE)</f>
        <v>#N/A</v>
      </c>
      <c r="L3440" s="22" t="e">
        <f>VLOOKUP($A3440, TAB_AMORTIZACAO_C[[DIAS_CORRIDOS]:[V_FUT_UTEIS]], L$5, FALSE)</f>
        <v>#N/A</v>
      </c>
    </row>
    <row r="3441" spans="1:12" hidden="1">
      <c r="A3441" s="19">
        <f t="shared" si="274"/>
        <v>3435</v>
      </c>
      <c r="B3441" s="20">
        <f t="shared" si="270"/>
        <v>0</v>
      </c>
      <c r="C3441" s="21">
        <f t="shared" si="271"/>
        <v>0</v>
      </c>
      <c r="D3441" s="22" t="e">
        <f>VLOOKUP($A3441, TAB_JUROS_U[[Q_DIAS_U_PARC_TIR]:[V_FUT_U_JURS CENARIO]], D$5, FALSE)</f>
        <v>#N/A</v>
      </c>
      <c r="E3441" s="22" t="e">
        <f>VLOOKUP($A3441,TAB_CORRECAO_U[[Q_DIAS_U_PARC_TIR]:[V_FUT_U_CORC-02]],E$5, FALSE)</f>
        <v>#N/A</v>
      </c>
      <c r="F3441" s="22" t="e">
        <f>VLOOKUP($A3441,TAB_AMORTIZACAO_U[[Q_DIAS_U_PARC_TIR]:[V_FUT_U_PCPL-02]], F$5, FALSE)</f>
        <v>#N/A</v>
      </c>
      <c r="H3441" s="20">
        <f t="shared" si="272"/>
        <v>0</v>
      </c>
      <c r="I3441" s="21">
        <f t="shared" si="273"/>
        <v>0</v>
      </c>
      <c r="J3441" s="22" t="e">
        <f>VLOOKUP($A3441, TAB_JUROS_C[[DIAS_CORRIDOS]:[V_FUT_UTEIS]], J$5, FALSE)</f>
        <v>#N/A</v>
      </c>
      <c r="K3441" s="22" t="e">
        <f>VLOOKUP($A3441, TAB_CORRECAO_C[[DIAS_CORRIDOS]:[V_FUT_UTEIS]],K$5, FALSE)</f>
        <v>#N/A</v>
      </c>
      <c r="L3441" s="22" t="e">
        <f>VLOOKUP($A3441, TAB_AMORTIZACAO_C[[DIAS_CORRIDOS]:[V_FUT_UTEIS]], L$5, FALSE)</f>
        <v>#N/A</v>
      </c>
    </row>
    <row r="3442" spans="1:12" hidden="1">
      <c r="A3442" s="19">
        <f t="shared" si="274"/>
        <v>3436</v>
      </c>
      <c r="B3442" s="20">
        <f t="shared" si="270"/>
        <v>0</v>
      </c>
      <c r="C3442" s="21">
        <f t="shared" si="271"/>
        <v>0</v>
      </c>
      <c r="D3442" s="22" t="e">
        <f>VLOOKUP($A3442, TAB_JUROS_U[[Q_DIAS_U_PARC_TIR]:[V_FUT_U_JURS CENARIO]], D$5, FALSE)</f>
        <v>#N/A</v>
      </c>
      <c r="E3442" s="22" t="e">
        <f>VLOOKUP($A3442,TAB_CORRECAO_U[[Q_DIAS_U_PARC_TIR]:[V_FUT_U_CORC-02]],E$5, FALSE)</f>
        <v>#N/A</v>
      </c>
      <c r="F3442" s="22" t="e">
        <f>VLOOKUP($A3442,TAB_AMORTIZACAO_U[[Q_DIAS_U_PARC_TIR]:[V_FUT_U_PCPL-02]], F$5, FALSE)</f>
        <v>#N/A</v>
      </c>
      <c r="H3442" s="20">
        <f t="shared" si="272"/>
        <v>0</v>
      </c>
      <c r="I3442" s="21">
        <f t="shared" si="273"/>
        <v>0</v>
      </c>
      <c r="J3442" s="22" t="e">
        <f>VLOOKUP($A3442, TAB_JUROS_C[[DIAS_CORRIDOS]:[V_FUT_UTEIS]], J$5, FALSE)</f>
        <v>#N/A</v>
      </c>
      <c r="K3442" s="22" t="e">
        <f>VLOOKUP($A3442, TAB_CORRECAO_C[[DIAS_CORRIDOS]:[V_FUT_UTEIS]],K$5, FALSE)</f>
        <v>#N/A</v>
      </c>
      <c r="L3442" s="22" t="e">
        <f>VLOOKUP($A3442, TAB_AMORTIZACAO_C[[DIAS_CORRIDOS]:[V_FUT_UTEIS]], L$5, FALSE)</f>
        <v>#N/A</v>
      </c>
    </row>
    <row r="3443" spans="1:12" hidden="1">
      <c r="A3443" s="19">
        <f t="shared" si="274"/>
        <v>3437</v>
      </c>
      <c r="B3443" s="20">
        <f t="shared" si="270"/>
        <v>0</v>
      </c>
      <c r="C3443" s="21">
        <f t="shared" si="271"/>
        <v>0</v>
      </c>
      <c r="D3443" s="22" t="e">
        <f>VLOOKUP($A3443, TAB_JUROS_U[[Q_DIAS_U_PARC_TIR]:[V_FUT_U_JURS CENARIO]], D$5, FALSE)</f>
        <v>#N/A</v>
      </c>
      <c r="E3443" s="22" t="e">
        <f>VLOOKUP($A3443,TAB_CORRECAO_U[[Q_DIAS_U_PARC_TIR]:[V_FUT_U_CORC-02]],E$5, FALSE)</f>
        <v>#N/A</v>
      </c>
      <c r="F3443" s="22" t="e">
        <f>VLOOKUP($A3443,TAB_AMORTIZACAO_U[[Q_DIAS_U_PARC_TIR]:[V_FUT_U_PCPL-02]], F$5, FALSE)</f>
        <v>#N/A</v>
      </c>
      <c r="H3443" s="20">
        <f t="shared" si="272"/>
        <v>0</v>
      </c>
      <c r="I3443" s="21">
        <f t="shared" si="273"/>
        <v>0</v>
      </c>
      <c r="J3443" s="22" t="e">
        <f>VLOOKUP($A3443, TAB_JUROS_C[[DIAS_CORRIDOS]:[V_FUT_UTEIS]], J$5, FALSE)</f>
        <v>#N/A</v>
      </c>
      <c r="K3443" s="22" t="e">
        <f>VLOOKUP($A3443, TAB_CORRECAO_C[[DIAS_CORRIDOS]:[V_FUT_UTEIS]],K$5, FALSE)</f>
        <v>#N/A</v>
      </c>
      <c r="L3443" s="22" t="e">
        <f>VLOOKUP($A3443, TAB_AMORTIZACAO_C[[DIAS_CORRIDOS]:[V_FUT_UTEIS]], L$5, FALSE)</f>
        <v>#N/A</v>
      </c>
    </row>
    <row r="3444" spans="1:12" hidden="1">
      <c r="A3444" s="19">
        <f t="shared" si="274"/>
        <v>3438</v>
      </c>
      <c r="B3444" s="20">
        <f t="shared" si="270"/>
        <v>0</v>
      </c>
      <c r="C3444" s="21">
        <f t="shared" si="271"/>
        <v>0</v>
      </c>
      <c r="D3444" s="22" t="e">
        <f>VLOOKUP($A3444, TAB_JUROS_U[[Q_DIAS_U_PARC_TIR]:[V_FUT_U_JURS CENARIO]], D$5, FALSE)</f>
        <v>#N/A</v>
      </c>
      <c r="E3444" s="22" t="e">
        <f>VLOOKUP($A3444,TAB_CORRECAO_U[[Q_DIAS_U_PARC_TIR]:[V_FUT_U_CORC-02]],E$5, FALSE)</f>
        <v>#N/A</v>
      </c>
      <c r="F3444" s="22" t="e">
        <f>VLOOKUP($A3444,TAB_AMORTIZACAO_U[[Q_DIAS_U_PARC_TIR]:[V_FUT_U_PCPL-02]], F$5, FALSE)</f>
        <v>#N/A</v>
      </c>
      <c r="H3444" s="20">
        <f t="shared" si="272"/>
        <v>0</v>
      </c>
      <c r="I3444" s="21">
        <f t="shared" si="273"/>
        <v>0</v>
      </c>
      <c r="J3444" s="22" t="e">
        <f>VLOOKUP($A3444, TAB_JUROS_C[[DIAS_CORRIDOS]:[V_FUT_UTEIS]], J$5, FALSE)</f>
        <v>#N/A</v>
      </c>
      <c r="K3444" s="22" t="e">
        <f>VLOOKUP($A3444, TAB_CORRECAO_C[[DIAS_CORRIDOS]:[V_FUT_UTEIS]],K$5, FALSE)</f>
        <v>#N/A</v>
      </c>
      <c r="L3444" s="22" t="e">
        <f>VLOOKUP($A3444, TAB_AMORTIZACAO_C[[DIAS_CORRIDOS]:[V_FUT_UTEIS]], L$5, FALSE)</f>
        <v>#N/A</v>
      </c>
    </row>
    <row r="3445" spans="1:12" hidden="1">
      <c r="A3445" s="19">
        <f t="shared" si="274"/>
        <v>3439</v>
      </c>
      <c r="B3445" s="20">
        <f t="shared" si="270"/>
        <v>0</v>
      </c>
      <c r="C3445" s="21">
        <f t="shared" si="271"/>
        <v>0</v>
      </c>
      <c r="D3445" s="22" t="e">
        <f>VLOOKUP($A3445, TAB_JUROS_U[[Q_DIAS_U_PARC_TIR]:[V_FUT_U_JURS CENARIO]], D$5, FALSE)</f>
        <v>#N/A</v>
      </c>
      <c r="E3445" s="22" t="e">
        <f>VLOOKUP($A3445,TAB_CORRECAO_U[[Q_DIAS_U_PARC_TIR]:[V_FUT_U_CORC-02]],E$5, FALSE)</f>
        <v>#N/A</v>
      </c>
      <c r="F3445" s="22" t="e">
        <f>VLOOKUP($A3445,TAB_AMORTIZACAO_U[[Q_DIAS_U_PARC_TIR]:[V_FUT_U_PCPL-02]], F$5, FALSE)</f>
        <v>#N/A</v>
      </c>
      <c r="H3445" s="20">
        <f t="shared" si="272"/>
        <v>0</v>
      </c>
      <c r="I3445" s="21">
        <f t="shared" si="273"/>
        <v>0</v>
      </c>
      <c r="J3445" s="22" t="e">
        <f>VLOOKUP($A3445, TAB_JUROS_C[[DIAS_CORRIDOS]:[V_FUT_UTEIS]], J$5, FALSE)</f>
        <v>#N/A</v>
      </c>
      <c r="K3445" s="22" t="e">
        <f>VLOOKUP($A3445, TAB_CORRECAO_C[[DIAS_CORRIDOS]:[V_FUT_UTEIS]],K$5, FALSE)</f>
        <v>#N/A</v>
      </c>
      <c r="L3445" s="22" t="e">
        <f>VLOOKUP($A3445, TAB_AMORTIZACAO_C[[DIAS_CORRIDOS]:[V_FUT_UTEIS]], L$5, FALSE)</f>
        <v>#N/A</v>
      </c>
    </row>
    <row r="3446" spans="1:12" hidden="1">
      <c r="A3446" s="19">
        <f t="shared" si="274"/>
        <v>3440</v>
      </c>
      <c r="B3446" s="20">
        <f t="shared" si="270"/>
        <v>0</v>
      </c>
      <c r="C3446" s="21">
        <f t="shared" si="271"/>
        <v>0</v>
      </c>
      <c r="D3446" s="22" t="e">
        <f>VLOOKUP($A3446, TAB_JUROS_U[[Q_DIAS_U_PARC_TIR]:[V_FUT_U_JURS CENARIO]], D$5, FALSE)</f>
        <v>#N/A</v>
      </c>
      <c r="E3446" s="22" t="e">
        <f>VLOOKUP($A3446,TAB_CORRECAO_U[[Q_DIAS_U_PARC_TIR]:[V_FUT_U_CORC-02]],E$5, FALSE)</f>
        <v>#N/A</v>
      </c>
      <c r="F3446" s="22" t="e">
        <f>VLOOKUP($A3446,TAB_AMORTIZACAO_U[[Q_DIAS_U_PARC_TIR]:[V_FUT_U_PCPL-02]], F$5, FALSE)</f>
        <v>#N/A</v>
      </c>
      <c r="H3446" s="20">
        <f t="shared" si="272"/>
        <v>0</v>
      </c>
      <c r="I3446" s="21">
        <f t="shared" si="273"/>
        <v>0</v>
      </c>
      <c r="J3446" s="22" t="e">
        <f>VLOOKUP($A3446, TAB_JUROS_C[[DIAS_CORRIDOS]:[V_FUT_UTEIS]], J$5, FALSE)</f>
        <v>#N/A</v>
      </c>
      <c r="K3446" s="22" t="e">
        <f>VLOOKUP($A3446, TAB_CORRECAO_C[[DIAS_CORRIDOS]:[V_FUT_UTEIS]],K$5, FALSE)</f>
        <v>#N/A</v>
      </c>
      <c r="L3446" s="22" t="e">
        <f>VLOOKUP($A3446, TAB_AMORTIZACAO_C[[DIAS_CORRIDOS]:[V_FUT_UTEIS]], L$5, FALSE)</f>
        <v>#N/A</v>
      </c>
    </row>
    <row r="3447" spans="1:12" hidden="1">
      <c r="A3447" s="19">
        <f t="shared" si="274"/>
        <v>3441</v>
      </c>
      <c r="B3447" s="20">
        <f t="shared" si="270"/>
        <v>0</v>
      </c>
      <c r="C3447" s="21">
        <f t="shared" si="271"/>
        <v>0</v>
      </c>
      <c r="D3447" s="22" t="e">
        <f>VLOOKUP($A3447, TAB_JUROS_U[[Q_DIAS_U_PARC_TIR]:[V_FUT_U_JURS CENARIO]], D$5, FALSE)</f>
        <v>#N/A</v>
      </c>
      <c r="E3447" s="22" t="e">
        <f>VLOOKUP($A3447,TAB_CORRECAO_U[[Q_DIAS_U_PARC_TIR]:[V_FUT_U_CORC-02]],E$5, FALSE)</f>
        <v>#N/A</v>
      </c>
      <c r="F3447" s="22" t="e">
        <f>VLOOKUP($A3447,TAB_AMORTIZACAO_U[[Q_DIAS_U_PARC_TIR]:[V_FUT_U_PCPL-02]], F$5, FALSE)</f>
        <v>#N/A</v>
      </c>
      <c r="H3447" s="20">
        <f t="shared" si="272"/>
        <v>0</v>
      </c>
      <c r="I3447" s="21">
        <f t="shared" si="273"/>
        <v>0</v>
      </c>
      <c r="J3447" s="22" t="e">
        <f>VLOOKUP($A3447, TAB_JUROS_C[[DIAS_CORRIDOS]:[V_FUT_UTEIS]], J$5, FALSE)</f>
        <v>#N/A</v>
      </c>
      <c r="K3447" s="22" t="e">
        <f>VLOOKUP($A3447, TAB_CORRECAO_C[[DIAS_CORRIDOS]:[V_FUT_UTEIS]],K$5, FALSE)</f>
        <v>#N/A</v>
      </c>
      <c r="L3447" s="22" t="e">
        <f>VLOOKUP($A3447, TAB_AMORTIZACAO_C[[DIAS_CORRIDOS]:[V_FUT_UTEIS]], L$5, FALSE)</f>
        <v>#N/A</v>
      </c>
    </row>
    <row r="3448" spans="1:12" hidden="1">
      <c r="A3448" s="19">
        <f t="shared" si="274"/>
        <v>3442</v>
      </c>
      <c r="B3448" s="20">
        <f t="shared" si="270"/>
        <v>0</v>
      </c>
      <c r="C3448" s="21">
        <f t="shared" si="271"/>
        <v>0</v>
      </c>
      <c r="D3448" s="22" t="e">
        <f>VLOOKUP($A3448, TAB_JUROS_U[[Q_DIAS_U_PARC_TIR]:[V_FUT_U_JURS CENARIO]], D$5, FALSE)</f>
        <v>#N/A</v>
      </c>
      <c r="E3448" s="22" t="e">
        <f>VLOOKUP($A3448,TAB_CORRECAO_U[[Q_DIAS_U_PARC_TIR]:[V_FUT_U_CORC-02]],E$5, FALSE)</f>
        <v>#N/A</v>
      </c>
      <c r="F3448" s="22" t="e">
        <f>VLOOKUP($A3448,TAB_AMORTIZACAO_U[[Q_DIAS_U_PARC_TIR]:[V_FUT_U_PCPL-02]], F$5, FALSE)</f>
        <v>#N/A</v>
      </c>
      <c r="H3448" s="20">
        <f t="shared" si="272"/>
        <v>0</v>
      </c>
      <c r="I3448" s="21">
        <f t="shared" si="273"/>
        <v>0</v>
      </c>
      <c r="J3448" s="22" t="e">
        <f>VLOOKUP($A3448, TAB_JUROS_C[[DIAS_CORRIDOS]:[V_FUT_UTEIS]], J$5, FALSE)</f>
        <v>#N/A</v>
      </c>
      <c r="K3448" s="22" t="e">
        <f>VLOOKUP($A3448, TAB_CORRECAO_C[[DIAS_CORRIDOS]:[V_FUT_UTEIS]],K$5, FALSE)</f>
        <v>#N/A</v>
      </c>
      <c r="L3448" s="22" t="e">
        <f>VLOOKUP($A3448, TAB_AMORTIZACAO_C[[DIAS_CORRIDOS]:[V_FUT_UTEIS]], L$5, FALSE)</f>
        <v>#N/A</v>
      </c>
    </row>
    <row r="3449" spans="1:12" hidden="1">
      <c r="A3449" s="19">
        <f t="shared" si="274"/>
        <v>3443</v>
      </c>
      <c r="B3449" s="20">
        <f t="shared" si="270"/>
        <v>0</v>
      </c>
      <c r="C3449" s="21">
        <f t="shared" si="271"/>
        <v>0</v>
      </c>
      <c r="D3449" s="22" t="e">
        <f>VLOOKUP($A3449, TAB_JUROS_U[[Q_DIAS_U_PARC_TIR]:[V_FUT_U_JURS CENARIO]], D$5, FALSE)</f>
        <v>#N/A</v>
      </c>
      <c r="E3449" s="22" t="e">
        <f>VLOOKUP($A3449,TAB_CORRECAO_U[[Q_DIAS_U_PARC_TIR]:[V_FUT_U_CORC-02]],E$5, FALSE)</f>
        <v>#N/A</v>
      </c>
      <c r="F3449" s="22" t="e">
        <f>VLOOKUP($A3449,TAB_AMORTIZACAO_U[[Q_DIAS_U_PARC_TIR]:[V_FUT_U_PCPL-02]], F$5, FALSE)</f>
        <v>#N/A</v>
      </c>
      <c r="H3449" s="20">
        <f t="shared" si="272"/>
        <v>0</v>
      </c>
      <c r="I3449" s="21">
        <f t="shared" si="273"/>
        <v>0</v>
      </c>
      <c r="J3449" s="22" t="e">
        <f>VLOOKUP($A3449, TAB_JUROS_C[[DIAS_CORRIDOS]:[V_FUT_UTEIS]], J$5, FALSE)</f>
        <v>#N/A</v>
      </c>
      <c r="K3449" s="22" t="e">
        <f>VLOOKUP($A3449, TAB_CORRECAO_C[[DIAS_CORRIDOS]:[V_FUT_UTEIS]],K$5, FALSE)</f>
        <v>#N/A</v>
      </c>
      <c r="L3449" s="22" t="e">
        <f>VLOOKUP($A3449, TAB_AMORTIZACAO_C[[DIAS_CORRIDOS]:[V_FUT_UTEIS]], L$5, FALSE)</f>
        <v>#N/A</v>
      </c>
    </row>
    <row r="3450" spans="1:12" hidden="1">
      <c r="A3450" s="19">
        <f t="shared" si="274"/>
        <v>3444</v>
      </c>
      <c r="B3450" s="20">
        <f t="shared" si="270"/>
        <v>0</v>
      </c>
      <c r="C3450" s="21">
        <f t="shared" si="271"/>
        <v>0</v>
      </c>
      <c r="D3450" s="22" t="e">
        <f>VLOOKUP($A3450, TAB_JUROS_U[[Q_DIAS_U_PARC_TIR]:[V_FUT_U_JURS CENARIO]], D$5, FALSE)</f>
        <v>#N/A</v>
      </c>
      <c r="E3450" s="22" t="e">
        <f>VLOOKUP($A3450,TAB_CORRECAO_U[[Q_DIAS_U_PARC_TIR]:[V_FUT_U_CORC-02]],E$5, FALSE)</f>
        <v>#N/A</v>
      </c>
      <c r="F3450" s="22" t="e">
        <f>VLOOKUP($A3450,TAB_AMORTIZACAO_U[[Q_DIAS_U_PARC_TIR]:[V_FUT_U_PCPL-02]], F$5, FALSE)</f>
        <v>#N/A</v>
      </c>
      <c r="H3450" s="20">
        <f t="shared" si="272"/>
        <v>0</v>
      </c>
      <c r="I3450" s="21">
        <f t="shared" si="273"/>
        <v>0</v>
      </c>
      <c r="J3450" s="22" t="e">
        <f>VLOOKUP($A3450, TAB_JUROS_C[[DIAS_CORRIDOS]:[V_FUT_UTEIS]], J$5, FALSE)</f>
        <v>#N/A</v>
      </c>
      <c r="K3450" s="22" t="e">
        <f>VLOOKUP($A3450, TAB_CORRECAO_C[[DIAS_CORRIDOS]:[V_FUT_UTEIS]],K$5, FALSE)</f>
        <v>#N/A</v>
      </c>
      <c r="L3450" s="22" t="e">
        <f>VLOOKUP($A3450, TAB_AMORTIZACAO_C[[DIAS_CORRIDOS]:[V_FUT_UTEIS]], L$5, FALSE)</f>
        <v>#N/A</v>
      </c>
    </row>
    <row r="3451" spans="1:12" hidden="1">
      <c r="A3451" s="19">
        <f t="shared" si="274"/>
        <v>3445</v>
      </c>
      <c r="B3451" s="20">
        <f t="shared" si="270"/>
        <v>0</v>
      </c>
      <c r="C3451" s="21">
        <f t="shared" si="271"/>
        <v>0</v>
      </c>
      <c r="D3451" s="22" t="e">
        <f>VLOOKUP($A3451, TAB_JUROS_U[[Q_DIAS_U_PARC_TIR]:[V_FUT_U_JURS CENARIO]], D$5, FALSE)</f>
        <v>#N/A</v>
      </c>
      <c r="E3451" s="22" t="e">
        <f>VLOOKUP($A3451,TAB_CORRECAO_U[[Q_DIAS_U_PARC_TIR]:[V_FUT_U_CORC-02]],E$5, FALSE)</f>
        <v>#N/A</v>
      </c>
      <c r="F3451" s="22" t="e">
        <f>VLOOKUP($A3451,TAB_AMORTIZACAO_U[[Q_DIAS_U_PARC_TIR]:[V_FUT_U_PCPL-02]], F$5, FALSE)</f>
        <v>#N/A</v>
      </c>
      <c r="H3451" s="20">
        <f t="shared" si="272"/>
        <v>0</v>
      </c>
      <c r="I3451" s="21">
        <f t="shared" si="273"/>
        <v>0</v>
      </c>
      <c r="J3451" s="22" t="e">
        <f>VLOOKUP($A3451, TAB_JUROS_C[[DIAS_CORRIDOS]:[V_FUT_UTEIS]], J$5, FALSE)</f>
        <v>#N/A</v>
      </c>
      <c r="K3451" s="22" t="e">
        <f>VLOOKUP($A3451, TAB_CORRECAO_C[[DIAS_CORRIDOS]:[V_FUT_UTEIS]],K$5, FALSE)</f>
        <v>#N/A</v>
      </c>
      <c r="L3451" s="22" t="e">
        <f>VLOOKUP($A3451, TAB_AMORTIZACAO_C[[DIAS_CORRIDOS]:[V_FUT_UTEIS]], L$5, FALSE)</f>
        <v>#N/A</v>
      </c>
    </row>
    <row r="3452" spans="1:12" hidden="1">
      <c r="A3452" s="19">
        <f t="shared" si="274"/>
        <v>3446</v>
      </c>
      <c r="B3452" s="20">
        <f t="shared" si="270"/>
        <v>0</v>
      </c>
      <c r="C3452" s="21">
        <f t="shared" si="271"/>
        <v>0</v>
      </c>
      <c r="D3452" s="22" t="e">
        <f>VLOOKUP($A3452, TAB_JUROS_U[[Q_DIAS_U_PARC_TIR]:[V_FUT_U_JURS CENARIO]], D$5, FALSE)</f>
        <v>#N/A</v>
      </c>
      <c r="E3452" s="22" t="e">
        <f>VLOOKUP($A3452,TAB_CORRECAO_U[[Q_DIAS_U_PARC_TIR]:[V_FUT_U_CORC-02]],E$5, FALSE)</f>
        <v>#N/A</v>
      </c>
      <c r="F3452" s="22" t="e">
        <f>VLOOKUP($A3452,TAB_AMORTIZACAO_U[[Q_DIAS_U_PARC_TIR]:[V_FUT_U_PCPL-02]], F$5, FALSE)</f>
        <v>#N/A</v>
      </c>
      <c r="H3452" s="20">
        <f t="shared" si="272"/>
        <v>0</v>
      </c>
      <c r="I3452" s="21">
        <f t="shared" si="273"/>
        <v>0</v>
      </c>
      <c r="J3452" s="22" t="e">
        <f>VLOOKUP($A3452, TAB_JUROS_C[[DIAS_CORRIDOS]:[V_FUT_UTEIS]], J$5, FALSE)</f>
        <v>#N/A</v>
      </c>
      <c r="K3452" s="22" t="e">
        <f>VLOOKUP($A3452, TAB_CORRECAO_C[[DIAS_CORRIDOS]:[V_FUT_UTEIS]],K$5, FALSE)</f>
        <v>#N/A</v>
      </c>
      <c r="L3452" s="22" t="e">
        <f>VLOOKUP($A3452, TAB_AMORTIZACAO_C[[DIAS_CORRIDOS]:[V_FUT_UTEIS]], L$5, FALSE)</f>
        <v>#N/A</v>
      </c>
    </row>
    <row r="3453" spans="1:12" hidden="1">
      <c r="A3453" s="19">
        <f t="shared" si="274"/>
        <v>3447</v>
      </c>
      <c r="B3453" s="20">
        <f t="shared" si="270"/>
        <v>0</v>
      </c>
      <c r="C3453" s="21">
        <f t="shared" si="271"/>
        <v>0</v>
      </c>
      <c r="D3453" s="22" t="e">
        <f>VLOOKUP($A3453, TAB_JUROS_U[[Q_DIAS_U_PARC_TIR]:[V_FUT_U_JURS CENARIO]], D$5, FALSE)</f>
        <v>#N/A</v>
      </c>
      <c r="E3453" s="22" t="e">
        <f>VLOOKUP($A3453,TAB_CORRECAO_U[[Q_DIAS_U_PARC_TIR]:[V_FUT_U_CORC-02]],E$5, FALSE)</f>
        <v>#N/A</v>
      </c>
      <c r="F3453" s="22" t="e">
        <f>VLOOKUP($A3453,TAB_AMORTIZACAO_U[[Q_DIAS_U_PARC_TIR]:[V_FUT_U_PCPL-02]], F$5, FALSE)</f>
        <v>#N/A</v>
      </c>
      <c r="H3453" s="20">
        <f t="shared" si="272"/>
        <v>0</v>
      </c>
      <c r="I3453" s="21">
        <f t="shared" si="273"/>
        <v>0</v>
      </c>
      <c r="J3453" s="22" t="e">
        <f>VLOOKUP($A3453, TAB_JUROS_C[[DIAS_CORRIDOS]:[V_FUT_UTEIS]], J$5, FALSE)</f>
        <v>#N/A</v>
      </c>
      <c r="K3453" s="22" t="e">
        <f>VLOOKUP($A3453, TAB_CORRECAO_C[[DIAS_CORRIDOS]:[V_FUT_UTEIS]],K$5, FALSE)</f>
        <v>#N/A</v>
      </c>
      <c r="L3453" s="22" t="e">
        <f>VLOOKUP($A3453, TAB_AMORTIZACAO_C[[DIAS_CORRIDOS]:[V_FUT_UTEIS]], L$5, FALSE)</f>
        <v>#N/A</v>
      </c>
    </row>
    <row r="3454" spans="1:12" hidden="1">
      <c r="A3454" s="19">
        <f t="shared" si="274"/>
        <v>3448</v>
      </c>
      <c r="B3454" s="20">
        <f t="shared" si="270"/>
        <v>0</v>
      </c>
      <c r="C3454" s="21">
        <f t="shared" si="271"/>
        <v>0</v>
      </c>
      <c r="D3454" s="22" t="e">
        <f>VLOOKUP($A3454, TAB_JUROS_U[[Q_DIAS_U_PARC_TIR]:[V_FUT_U_JURS CENARIO]], D$5, FALSE)</f>
        <v>#N/A</v>
      </c>
      <c r="E3454" s="22" t="e">
        <f>VLOOKUP($A3454,TAB_CORRECAO_U[[Q_DIAS_U_PARC_TIR]:[V_FUT_U_CORC-02]],E$5, FALSE)</f>
        <v>#N/A</v>
      </c>
      <c r="F3454" s="22" t="e">
        <f>VLOOKUP($A3454,TAB_AMORTIZACAO_U[[Q_DIAS_U_PARC_TIR]:[V_FUT_U_PCPL-02]], F$5, FALSE)</f>
        <v>#N/A</v>
      </c>
      <c r="H3454" s="20">
        <f t="shared" si="272"/>
        <v>0</v>
      </c>
      <c r="I3454" s="21">
        <f t="shared" si="273"/>
        <v>0</v>
      </c>
      <c r="J3454" s="22" t="e">
        <f>VLOOKUP($A3454, TAB_JUROS_C[[DIAS_CORRIDOS]:[V_FUT_UTEIS]], J$5, FALSE)</f>
        <v>#N/A</v>
      </c>
      <c r="K3454" s="22" t="e">
        <f>VLOOKUP($A3454, TAB_CORRECAO_C[[DIAS_CORRIDOS]:[V_FUT_UTEIS]],K$5, FALSE)</f>
        <v>#N/A</v>
      </c>
      <c r="L3454" s="22" t="e">
        <f>VLOOKUP($A3454, TAB_AMORTIZACAO_C[[DIAS_CORRIDOS]:[V_FUT_UTEIS]], L$5, FALSE)</f>
        <v>#N/A</v>
      </c>
    </row>
    <row r="3455" spans="1:12" hidden="1">
      <c r="A3455" s="19">
        <f t="shared" si="274"/>
        <v>3449</v>
      </c>
      <c r="B3455" s="20">
        <f t="shared" si="270"/>
        <v>0</v>
      </c>
      <c r="C3455" s="21">
        <f t="shared" si="271"/>
        <v>0</v>
      </c>
      <c r="D3455" s="22" t="e">
        <f>VLOOKUP($A3455, TAB_JUROS_U[[Q_DIAS_U_PARC_TIR]:[V_FUT_U_JURS CENARIO]], D$5, FALSE)</f>
        <v>#N/A</v>
      </c>
      <c r="E3455" s="22" t="e">
        <f>VLOOKUP($A3455,TAB_CORRECAO_U[[Q_DIAS_U_PARC_TIR]:[V_FUT_U_CORC-02]],E$5, FALSE)</f>
        <v>#N/A</v>
      </c>
      <c r="F3455" s="22" t="e">
        <f>VLOOKUP($A3455,TAB_AMORTIZACAO_U[[Q_DIAS_U_PARC_TIR]:[V_FUT_U_PCPL-02]], F$5, FALSE)</f>
        <v>#N/A</v>
      </c>
      <c r="H3455" s="20">
        <f t="shared" si="272"/>
        <v>0</v>
      </c>
      <c r="I3455" s="21">
        <f t="shared" si="273"/>
        <v>0</v>
      </c>
      <c r="J3455" s="22" t="e">
        <f>VLOOKUP($A3455, TAB_JUROS_C[[DIAS_CORRIDOS]:[V_FUT_UTEIS]], J$5, FALSE)</f>
        <v>#N/A</v>
      </c>
      <c r="K3455" s="22" t="e">
        <f>VLOOKUP($A3455, TAB_CORRECAO_C[[DIAS_CORRIDOS]:[V_FUT_UTEIS]],K$5, FALSE)</f>
        <v>#N/A</v>
      </c>
      <c r="L3455" s="22" t="e">
        <f>VLOOKUP($A3455, TAB_AMORTIZACAO_C[[DIAS_CORRIDOS]:[V_FUT_UTEIS]], L$5, FALSE)</f>
        <v>#N/A</v>
      </c>
    </row>
    <row r="3456" spans="1:12" hidden="1">
      <c r="A3456" s="19">
        <f t="shared" si="274"/>
        <v>3450</v>
      </c>
      <c r="B3456" s="20">
        <f t="shared" si="270"/>
        <v>0</v>
      </c>
      <c r="C3456" s="21">
        <f t="shared" si="271"/>
        <v>0</v>
      </c>
      <c r="D3456" s="22" t="e">
        <f>VLOOKUP($A3456, TAB_JUROS_U[[Q_DIAS_U_PARC_TIR]:[V_FUT_U_JURS CENARIO]], D$5, FALSE)</f>
        <v>#N/A</v>
      </c>
      <c r="E3456" s="22" t="e">
        <f>VLOOKUP($A3456,TAB_CORRECAO_U[[Q_DIAS_U_PARC_TIR]:[V_FUT_U_CORC-02]],E$5, FALSE)</f>
        <v>#N/A</v>
      </c>
      <c r="F3456" s="22" t="e">
        <f>VLOOKUP($A3456,TAB_AMORTIZACAO_U[[Q_DIAS_U_PARC_TIR]:[V_FUT_U_PCPL-02]], F$5, FALSE)</f>
        <v>#N/A</v>
      </c>
      <c r="H3456" s="20">
        <f t="shared" si="272"/>
        <v>0</v>
      </c>
      <c r="I3456" s="21">
        <f t="shared" si="273"/>
        <v>0</v>
      </c>
      <c r="J3456" s="22" t="e">
        <f>VLOOKUP($A3456, TAB_JUROS_C[[DIAS_CORRIDOS]:[V_FUT_UTEIS]], J$5, FALSE)</f>
        <v>#N/A</v>
      </c>
      <c r="K3456" s="22" t="e">
        <f>VLOOKUP($A3456, TAB_CORRECAO_C[[DIAS_CORRIDOS]:[V_FUT_UTEIS]],K$5, FALSE)</f>
        <v>#N/A</v>
      </c>
      <c r="L3456" s="22" t="e">
        <f>VLOOKUP($A3456, TAB_AMORTIZACAO_C[[DIAS_CORRIDOS]:[V_FUT_UTEIS]], L$5, FALSE)</f>
        <v>#N/A</v>
      </c>
    </row>
    <row r="3457" spans="1:12" hidden="1">
      <c r="A3457" s="19">
        <f t="shared" si="274"/>
        <v>3451</v>
      </c>
      <c r="B3457" s="20">
        <f t="shared" si="270"/>
        <v>0</v>
      </c>
      <c r="C3457" s="21">
        <f t="shared" si="271"/>
        <v>0</v>
      </c>
      <c r="D3457" s="22" t="e">
        <f>VLOOKUP($A3457, TAB_JUROS_U[[Q_DIAS_U_PARC_TIR]:[V_FUT_U_JURS CENARIO]], D$5, FALSE)</f>
        <v>#N/A</v>
      </c>
      <c r="E3457" s="22" t="e">
        <f>VLOOKUP($A3457,TAB_CORRECAO_U[[Q_DIAS_U_PARC_TIR]:[V_FUT_U_CORC-02]],E$5, FALSE)</f>
        <v>#N/A</v>
      </c>
      <c r="F3457" s="22" t="e">
        <f>VLOOKUP($A3457,TAB_AMORTIZACAO_U[[Q_DIAS_U_PARC_TIR]:[V_FUT_U_PCPL-02]], F$5, FALSE)</f>
        <v>#N/A</v>
      </c>
      <c r="H3457" s="20">
        <f t="shared" si="272"/>
        <v>193.53431059498837</v>
      </c>
      <c r="I3457" s="21">
        <f t="shared" si="273"/>
        <v>193.53431059498837</v>
      </c>
      <c r="J3457" s="22">
        <f>VLOOKUP($A3457, TAB_JUROS_C[[DIAS_CORRIDOS]:[V_FUT_UTEIS]], J$5, FALSE)</f>
        <v>8.2635022555841964</v>
      </c>
      <c r="K3457" s="22">
        <f>VLOOKUP($A3457, TAB_CORRECAO_C[[DIAS_CORRIDOS]:[V_FUT_UTEIS]],K$5, FALSE)</f>
        <v>49.181107613168045</v>
      </c>
      <c r="L3457" s="22">
        <f>VLOOKUP($A3457, TAB_AMORTIZACAO_C[[DIAS_CORRIDOS]:[V_FUT_UTEIS]], L$5, FALSE)</f>
        <v>136.08970072623615</v>
      </c>
    </row>
    <row r="3458" spans="1:12" hidden="1">
      <c r="A3458" s="19">
        <f t="shared" si="274"/>
        <v>3452</v>
      </c>
      <c r="B3458" s="20">
        <f t="shared" si="270"/>
        <v>0</v>
      </c>
      <c r="C3458" s="21">
        <f t="shared" si="271"/>
        <v>0</v>
      </c>
      <c r="D3458" s="22" t="e">
        <f>VLOOKUP($A3458, TAB_JUROS_U[[Q_DIAS_U_PARC_TIR]:[V_FUT_U_JURS CENARIO]], D$5, FALSE)</f>
        <v>#N/A</v>
      </c>
      <c r="E3458" s="22" t="e">
        <f>VLOOKUP($A3458,TAB_CORRECAO_U[[Q_DIAS_U_PARC_TIR]:[V_FUT_U_CORC-02]],E$5, FALSE)</f>
        <v>#N/A</v>
      </c>
      <c r="F3458" s="22" t="e">
        <f>VLOOKUP($A3458,TAB_AMORTIZACAO_U[[Q_DIAS_U_PARC_TIR]:[V_FUT_U_PCPL-02]], F$5, FALSE)</f>
        <v>#N/A</v>
      </c>
      <c r="H3458" s="20">
        <f t="shared" si="272"/>
        <v>0</v>
      </c>
      <c r="I3458" s="21">
        <f t="shared" si="273"/>
        <v>0</v>
      </c>
      <c r="J3458" s="22" t="e">
        <f>VLOOKUP($A3458, TAB_JUROS_C[[DIAS_CORRIDOS]:[V_FUT_UTEIS]], J$5, FALSE)</f>
        <v>#N/A</v>
      </c>
      <c r="K3458" s="22" t="e">
        <f>VLOOKUP($A3458, TAB_CORRECAO_C[[DIAS_CORRIDOS]:[V_FUT_UTEIS]],K$5, FALSE)</f>
        <v>#N/A</v>
      </c>
      <c r="L3458" s="22" t="e">
        <f>VLOOKUP($A3458, TAB_AMORTIZACAO_C[[DIAS_CORRIDOS]:[V_FUT_UTEIS]], L$5, FALSE)</f>
        <v>#N/A</v>
      </c>
    </row>
    <row r="3459" spans="1:12" hidden="1">
      <c r="A3459" s="19">
        <f t="shared" si="274"/>
        <v>3453</v>
      </c>
      <c r="B3459" s="20">
        <f t="shared" si="270"/>
        <v>0</v>
      </c>
      <c r="C3459" s="21">
        <f t="shared" si="271"/>
        <v>0</v>
      </c>
      <c r="D3459" s="22" t="e">
        <f>VLOOKUP($A3459, TAB_JUROS_U[[Q_DIAS_U_PARC_TIR]:[V_FUT_U_JURS CENARIO]], D$5, FALSE)</f>
        <v>#N/A</v>
      </c>
      <c r="E3459" s="22" t="e">
        <f>VLOOKUP($A3459,TAB_CORRECAO_U[[Q_DIAS_U_PARC_TIR]:[V_FUT_U_CORC-02]],E$5, FALSE)</f>
        <v>#N/A</v>
      </c>
      <c r="F3459" s="22" t="e">
        <f>VLOOKUP($A3459,TAB_AMORTIZACAO_U[[Q_DIAS_U_PARC_TIR]:[V_FUT_U_PCPL-02]], F$5, FALSE)</f>
        <v>#N/A</v>
      </c>
      <c r="H3459" s="20">
        <f t="shared" si="272"/>
        <v>0</v>
      </c>
      <c r="I3459" s="21">
        <f t="shared" si="273"/>
        <v>0</v>
      </c>
      <c r="J3459" s="22" t="e">
        <f>VLOOKUP($A3459, TAB_JUROS_C[[DIAS_CORRIDOS]:[V_FUT_UTEIS]], J$5, FALSE)</f>
        <v>#N/A</v>
      </c>
      <c r="K3459" s="22" t="e">
        <f>VLOOKUP($A3459, TAB_CORRECAO_C[[DIAS_CORRIDOS]:[V_FUT_UTEIS]],K$5, FALSE)</f>
        <v>#N/A</v>
      </c>
      <c r="L3459" s="22" t="e">
        <f>VLOOKUP($A3459, TAB_AMORTIZACAO_C[[DIAS_CORRIDOS]:[V_FUT_UTEIS]], L$5, FALSE)</f>
        <v>#N/A</v>
      </c>
    </row>
    <row r="3460" spans="1:12" hidden="1">
      <c r="A3460" s="19">
        <f t="shared" si="274"/>
        <v>3454</v>
      </c>
      <c r="B3460" s="20">
        <f t="shared" si="270"/>
        <v>0</v>
      </c>
      <c r="C3460" s="21">
        <f t="shared" si="271"/>
        <v>0</v>
      </c>
      <c r="D3460" s="22" t="e">
        <f>VLOOKUP($A3460, TAB_JUROS_U[[Q_DIAS_U_PARC_TIR]:[V_FUT_U_JURS CENARIO]], D$5, FALSE)</f>
        <v>#N/A</v>
      </c>
      <c r="E3460" s="22" t="e">
        <f>VLOOKUP($A3460,TAB_CORRECAO_U[[Q_DIAS_U_PARC_TIR]:[V_FUT_U_CORC-02]],E$5, FALSE)</f>
        <v>#N/A</v>
      </c>
      <c r="F3460" s="22" t="e">
        <f>VLOOKUP($A3460,TAB_AMORTIZACAO_U[[Q_DIAS_U_PARC_TIR]:[V_FUT_U_PCPL-02]], F$5, FALSE)</f>
        <v>#N/A</v>
      </c>
      <c r="H3460" s="20">
        <f t="shared" si="272"/>
        <v>0</v>
      </c>
      <c r="I3460" s="21">
        <f t="shared" si="273"/>
        <v>0</v>
      </c>
      <c r="J3460" s="22" t="e">
        <f>VLOOKUP($A3460, TAB_JUROS_C[[DIAS_CORRIDOS]:[V_FUT_UTEIS]], J$5, FALSE)</f>
        <v>#N/A</v>
      </c>
      <c r="K3460" s="22" t="e">
        <f>VLOOKUP($A3460, TAB_CORRECAO_C[[DIAS_CORRIDOS]:[V_FUT_UTEIS]],K$5, FALSE)</f>
        <v>#N/A</v>
      </c>
      <c r="L3460" s="22" t="e">
        <f>VLOOKUP($A3460, TAB_AMORTIZACAO_C[[DIAS_CORRIDOS]:[V_FUT_UTEIS]], L$5, FALSE)</f>
        <v>#N/A</v>
      </c>
    </row>
    <row r="3461" spans="1:12" hidden="1">
      <c r="A3461" s="19">
        <f t="shared" si="274"/>
        <v>3455</v>
      </c>
      <c r="B3461" s="20">
        <f t="shared" si="270"/>
        <v>0</v>
      </c>
      <c r="C3461" s="21">
        <f t="shared" si="271"/>
        <v>0</v>
      </c>
      <c r="D3461" s="22" t="e">
        <f>VLOOKUP($A3461, TAB_JUROS_U[[Q_DIAS_U_PARC_TIR]:[V_FUT_U_JURS CENARIO]], D$5, FALSE)</f>
        <v>#N/A</v>
      </c>
      <c r="E3461" s="22" t="e">
        <f>VLOOKUP($A3461,TAB_CORRECAO_U[[Q_DIAS_U_PARC_TIR]:[V_FUT_U_CORC-02]],E$5, FALSE)</f>
        <v>#N/A</v>
      </c>
      <c r="F3461" s="22" t="e">
        <f>VLOOKUP($A3461,TAB_AMORTIZACAO_U[[Q_DIAS_U_PARC_TIR]:[V_FUT_U_PCPL-02]], F$5, FALSE)</f>
        <v>#N/A</v>
      </c>
      <c r="H3461" s="20">
        <f t="shared" si="272"/>
        <v>0</v>
      </c>
      <c r="I3461" s="21">
        <f t="shared" si="273"/>
        <v>0</v>
      </c>
      <c r="J3461" s="22" t="e">
        <f>VLOOKUP($A3461, TAB_JUROS_C[[DIAS_CORRIDOS]:[V_FUT_UTEIS]], J$5, FALSE)</f>
        <v>#N/A</v>
      </c>
      <c r="K3461" s="22" t="e">
        <f>VLOOKUP($A3461, TAB_CORRECAO_C[[DIAS_CORRIDOS]:[V_FUT_UTEIS]],K$5, FALSE)</f>
        <v>#N/A</v>
      </c>
      <c r="L3461" s="22" t="e">
        <f>VLOOKUP($A3461, TAB_AMORTIZACAO_C[[DIAS_CORRIDOS]:[V_FUT_UTEIS]], L$5, FALSE)</f>
        <v>#N/A</v>
      </c>
    </row>
    <row r="3462" spans="1:12" hidden="1">
      <c r="A3462" s="19">
        <f t="shared" si="274"/>
        <v>3456</v>
      </c>
      <c r="B3462" s="20">
        <f t="shared" si="270"/>
        <v>0</v>
      </c>
      <c r="C3462" s="21">
        <f t="shared" si="271"/>
        <v>0</v>
      </c>
      <c r="D3462" s="22" t="e">
        <f>VLOOKUP($A3462, TAB_JUROS_U[[Q_DIAS_U_PARC_TIR]:[V_FUT_U_JURS CENARIO]], D$5, FALSE)</f>
        <v>#N/A</v>
      </c>
      <c r="E3462" s="22" t="e">
        <f>VLOOKUP($A3462,TAB_CORRECAO_U[[Q_DIAS_U_PARC_TIR]:[V_FUT_U_CORC-02]],E$5, FALSE)</f>
        <v>#N/A</v>
      </c>
      <c r="F3462" s="22" t="e">
        <f>VLOOKUP($A3462,TAB_AMORTIZACAO_U[[Q_DIAS_U_PARC_TIR]:[V_FUT_U_PCPL-02]], F$5, FALSE)</f>
        <v>#N/A</v>
      </c>
      <c r="H3462" s="20">
        <f t="shared" si="272"/>
        <v>0</v>
      </c>
      <c r="I3462" s="21">
        <f t="shared" si="273"/>
        <v>0</v>
      </c>
      <c r="J3462" s="22" t="e">
        <f>VLOOKUP($A3462, TAB_JUROS_C[[DIAS_CORRIDOS]:[V_FUT_UTEIS]], J$5, FALSE)</f>
        <v>#N/A</v>
      </c>
      <c r="K3462" s="22" t="e">
        <f>VLOOKUP($A3462, TAB_CORRECAO_C[[DIAS_CORRIDOS]:[V_FUT_UTEIS]],K$5, FALSE)</f>
        <v>#N/A</v>
      </c>
      <c r="L3462" s="22" t="e">
        <f>VLOOKUP($A3462, TAB_AMORTIZACAO_C[[DIAS_CORRIDOS]:[V_FUT_UTEIS]], L$5, FALSE)</f>
        <v>#N/A</v>
      </c>
    </row>
    <row r="3463" spans="1:12" hidden="1">
      <c r="A3463" s="19">
        <f t="shared" si="274"/>
        <v>3457</v>
      </c>
      <c r="B3463" s="20">
        <f t="shared" si="270"/>
        <v>0</v>
      </c>
      <c r="C3463" s="21">
        <f t="shared" si="271"/>
        <v>0</v>
      </c>
      <c r="D3463" s="22" t="e">
        <f>VLOOKUP($A3463, TAB_JUROS_U[[Q_DIAS_U_PARC_TIR]:[V_FUT_U_JURS CENARIO]], D$5, FALSE)</f>
        <v>#N/A</v>
      </c>
      <c r="E3463" s="22" t="e">
        <f>VLOOKUP($A3463,TAB_CORRECAO_U[[Q_DIAS_U_PARC_TIR]:[V_FUT_U_CORC-02]],E$5, FALSE)</f>
        <v>#N/A</v>
      </c>
      <c r="F3463" s="22" t="e">
        <f>VLOOKUP($A3463,TAB_AMORTIZACAO_U[[Q_DIAS_U_PARC_TIR]:[V_FUT_U_PCPL-02]], F$5, FALSE)</f>
        <v>#N/A</v>
      </c>
      <c r="H3463" s="20">
        <f t="shared" si="272"/>
        <v>0</v>
      </c>
      <c r="I3463" s="21">
        <f t="shared" si="273"/>
        <v>0</v>
      </c>
      <c r="J3463" s="22" t="e">
        <f>VLOOKUP($A3463, TAB_JUROS_C[[DIAS_CORRIDOS]:[V_FUT_UTEIS]], J$5, FALSE)</f>
        <v>#N/A</v>
      </c>
      <c r="K3463" s="22" t="e">
        <f>VLOOKUP($A3463, TAB_CORRECAO_C[[DIAS_CORRIDOS]:[V_FUT_UTEIS]],K$5, FALSE)</f>
        <v>#N/A</v>
      </c>
      <c r="L3463" s="22" t="e">
        <f>VLOOKUP($A3463, TAB_AMORTIZACAO_C[[DIAS_CORRIDOS]:[V_FUT_UTEIS]], L$5, FALSE)</f>
        <v>#N/A</v>
      </c>
    </row>
    <row r="3464" spans="1:12" hidden="1">
      <c r="A3464" s="19">
        <f t="shared" si="274"/>
        <v>3458</v>
      </c>
      <c r="B3464" s="20">
        <f t="shared" si="270"/>
        <v>0</v>
      </c>
      <c r="C3464" s="21">
        <f t="shared" si="271"/>
        <v>0</v>
      </c>
      <c r="D3464" s="22" t="e">
        <f>VLOOKUP($A3464, TAB_JUROS_U[[Q_DIAS_U_PARC_TIR]:[V_FUT_U_JURS CENARIO]], D$5, FALSE)</f>
        <v>#N/A</v>
      </c>
      <c r="E3464" s="22" t="e">
        <f>VLOOKUP($A3464,TAB_CORRECAO_U[[Q_DIAS_U_PARC_TIR]:[V_FUT_U_CORC-02]],E$5, FALSE)</f>
        <v>#N/A</v>
      </c>
      <c r="F3464" s="22" t="e">
        <f>VLOOKUP($A3464,TAB_AMORTIZACAO_U[[Q_DIAS_U_PARC_TIR]:[V_FUT_U_PCPL-02]], F$5, FALSE)</f>
        <v>#N/A</v>
      </c>
      <c r="H3464" s="20">
        <f t="shared" si="272"/>
        <v>0</v>
      </c>
      <c r="I3464" s="21">
        <f t="shared" si="273"/>
        <v>0</v>
      </c>
      <c r="J3464" s="22" t="e">
        <f>VLOOKUP($A3464, TAB_JUROS_C[[DIAS_CORRIDOS]:[V_FUT_UTEIS]], J$5, FALSE)</f>
        <v>#N/A</v>
      </c>
      <c r="K3464" s="22" t="e">
        <f>VLOOKUP($A3464, TAB_CORRECAO_C[[DIAS_CORRIDOS]:[V_FUT_UTEIS]],K$5, FALSE)</f>
        <v>#N/A</v>
      </c>
      <c r="L3464" s="22" t="e">
        <f>VLOOKUP($A3464, TAB_AMORTIZACAO_C[[DIAS_CORRIDOS]:[V_FUT_UTEIS]], L$5, FALSE)</f>
        <v>#N/A</v>
      </c>
    </row>
    <row r="3465" spans="1:12" hidden="1">
      <c r="A3465" s="19">
        <f t="shared" si="274"/>
        <v>3459</v>
      </c>
      <c r="B3465" s="20">
        <f t="shared" ref="B3465:B3528" si="275">IF(ISERROR(C3465), 0, C3465)</f>
        <v>0</v>
      </c>
      <c r="C3465" s="21">
        <f t="shared" ref="C3465:C3528" si="276">SUMIF(D3465:F3465, "&gt;0", D3465:F3465)</f>
        <v>0</v>
      </c>
      <c r="D3465" s="22" t="e">
        <f>VLOOKUP($A3465, TAB_JUROS_U[[Q_DIAS_U_PARC_TIR]:[V_FUT_U_JURS CENARIO]], D$5, FALSE)</f>
        <v>#N/A</v>
      </c>
      <c r="E3465" s="22" t="e">
        <f>VLOOKUP($A3465,TAB_CORRECAO_U[[Q_DIAS_U_PARC_TIR]:[V_FUT_U_CORC-02]],E$5, FALSE)</f>
        <v>#N/A</v>
      </c>
      <c r="F3465" s="22" t="e">
        <f>VLOOKUP($A3465,TAB_AMORTIZACAO_U[[Q_DIAS_U_PARC_TIR]:[V_FUT_U_PCPL-02]], F$5, FALSE)</f>
        <v>#N/A</v>
      </c>
      <c r="H3465" s="20">
        <f t="shared" ref="H3465:H3528" si="277">IF(ISERROR(I3465), 0, I3465)</f>
        <v>0</v>
      </c>
      <c r="I3465" s="21">
        <f t="shared" ref="I3465:I3528" si="278">SUMIF(J3465:L3465, "&gt;0", J3465:L3465)</f>
        <v>0</v>
      </c>
      <c r="J3465" s="22" t="e">
        <f>VLOOKUP($A3465, TAB_JUROS_C[[DIAS_CORRIDOS]:[V_FUT_UTEIS]], J$5, FALSE)</f>
        <v>#N/A</v>
      </c>
      <c r="K3465" s="22" t="e">
        <f>VLOOKUP($A3465, TAB_CORRECAO_C[[DIAS_CORRIDOS]:[V_FUT_UTEIS]],K$5, FALSE)</f>
        <v>#N/A</v>
      </c>
      <c r="L3465" s="22" t="e">
        <f>VLOOKUP($A3465, TAB_AMORTIZACAO_C[[DIAS_CORRIDOS]:[V_FUT_UTEIS]], L$5, FALSE)</f>
        <v>#N/A</v>
      </c>
    </row>
    <row r="3466" spans="1:12" hidden="1">
      <c r="A3466" s="19">
        <f t="shared" ref="A3466:A3529" si="279">A3465+1</f>
        <v>3460</v>
      </c>
      <c r="B3466" s="20">
        <f t="shared" si="275"/>
        <v>0</v>
      </c>
      <c r="C3466" s="21">
        <f t="shared" si="276"/>
        <v>0</v>
      </c>
      <c r="D3466" s="22" t="e">
        <f>VLOOKUP($A3466, TAB_JUROS_U[[Q_DIAS_U_PARC_TIR]:[V_FUT_U_JURS CENARIO]], D$5, FALSE)</f>
        <v>#N/A</v>
      </c>
      <c r="E3466" s="22" t="e">
        <f>VLOOKUP($A3466,TAB_CORRECAO_U[[Q_DIAS_U_PARC_TIR]:[V_FUT_U_CORC-02]],E$5, FALSE)</f>
        <v>#N/A</v>
      </c>
      <c r="F3466" s="22" t="e">
        <f>VLOOKUP($A3466,TAB_AMORTIZACAO_U[[Q_DIAS_U_PARC_TIR]:[V_FUT_U_PCPL-02]], F$5, FALSE)</f>
        <v>#N/A</v>
      </c>
      <c r="H3466" s="20">
        <f t="shared" si="277"/>
        <v>0</v>
      </c>
      <c r="I3466" s="21">
        <f t="shared" si="278"/>
        <v>0</v>
      </c>
      <c r="J3466" s="22" t="e">
        <f>VLOOKUP($A3466, TAB_JUROS_C[[DIAS_CORRIDOS]:[V_FUT_UTEIS]], J$5, FALSE)</f>
        <v>#N/A</v>
      </c>
      <c r="K3466" s="22" t="e">
        <f>VLOOKUP($A3466, TAB_CORRECAO_C[[DIAS_CORRIDOS]:[V_FUT_UTEIS]],K$5, FALSE)</f>
        <v>#N/A</v>
      </c>
      <c r="L3466" s="22" t="e">
        <f>VLOOKUP($A3466, TAB_AMORTIZACAO_C[[DIAS_CORRIDOS]:[V_FUT_UTEIS]], L$5, FALSE)</f>
        <v>#N/A</v>
      </c>
    </row>
    <row r="3467" spans="1:12" hidden="1">
      <c r="A3467" s="19">
        <f t="shared" si="279"/>
        <v>3461</v>
      </c>
      <c r="B3467" s="20">
        <f t="shared" si="275"/>
        <v>0</v>
      </c>
      <c r="C3467" s="21">
        <f t="shared" si="276"/>
        <v>0</v>
      </c>
      <c r="D3467" s="22" t="e">
        <f>VLOOKUP($A3467, TAB_JUROS_U[[Q_DIAS_U_PARC_TIR]:[V_FUT_U_JURS CENARIO]], D$5, FALSE)</f>
        <v>#N/A</v>
      </c>
      <c r="E3467" s="22" t="e">
        <f>VLOOKUP($A3467,TAB_CORRECAO_U[[Q_DIAS_U_PARC_TIR]:[V_FUT_U_CORC-02]],E$5, FALSE)</f>
        <v>#N/A</v>
      </c>
      <c r="F3467" s="22" t="e">
        <f>VLOOKUP($A3467,TAB_AMORTIZACAO_U[[Q_DIAS_U_PARC_TIR]:[V_FUT_U_PCPL-02]], F$5, FALSE)</f>
        <v>#N/A</v>
      </c>
      <c r="H3467" s="20">
        <f t="shared" si="277"/>
        <v>0</v>
      </c>
      <c r="I3467" s="21">
        <f t="shared" si="278"/>
        <v>0</v>
      </c>
      <c r="J3467" s="22" t="e">
        <f>VLOOKUP($A3467, TAB_JUROS_C[[DIAS_CORRIDOS]:[V_FUT_UTEIS]], J$5, FALSE)</f>
        <v>#N/A</v>
      </c>
      <c r="K3467" s="22" t="e">
        <f>VLOOKUP($A3467, TAB_CORRECAO_C[[DIAS_CORRIDOS]:[V_FUT_UTEIS]],K$5, FALSE)</f>
        <v>#N/A</v>
      </c>
      <c r="L3467" s="22" t="e">
        <f>VLOOKUP($A3467, TAB_AMORTIZACAO_C[[DIAS_CORRIDOS]:[V_FUT_UTEIS]], L$5, FALSE)</f>
        <v>#N/A</v>
      </c>
    </row>
    <row r="3468" spans="1:12" hidden="1">
      <c r="A3468" s="19">
        <f t="shared" si="279"/>
        <v>3462</v>
      </c>
      <c r="B3468" s="20">
        <f t="shared" si="275"/>
        <v>0</v>
      </c>
      <c r="C3468" s="21">
        <f t="shared" si="276"/>
        <v>0</v>
      </c>
      <c r="D3468" s="22" t="e">
        <f>VLOOKUP($A3468, TAB_JUROS_U[[Q_DIAS_U_PARC_TIR]:[V_FUT_U_JURS CENARIO]], D$5, FALSE)</f>
        <v>#N/A</v>
      </c>
      <c r="E3468" s="22" t="e">
        <f>VLOOKUP($A3468,TAB_CORRECAO_U[[Q_DIAS_U_PARC_TIR]:[V_FUT_U_CORC-02]],E$5, FALSE)</f>
        <v>#N/A</v>
      </c>
      <c r="F3468" s="22" t="e">
        <f>VLOOKUP($A3468,TAB_AMORTIZACAO_U[[Q_DIAS_U_PARC_TIR]:[V_FUT_U_PCPL-02]], F$5, FALSE)</f>
        <v>#N/A</v>
      </c>
      <c r="H3468" s="20">
        <f t="shared" si="277"/>
        <v>0</v>
      </c>
      <c r="I3468" s="21">
        <f t="shared" si="278"/>
        <v>0</v>
      </c>
      <c r="J3468" s="22" t="e">
        <f>VLOOKUP($A3468, TAB_JUROS_C[[DIAS_CORRIDOS]:[V_FUT_UTEIS]], J$5, FALSE)</f>
        <v>#N/A</v>
      </c>
      <c r="K3468" s="22" t="e">
        <f>VLOOKUP($A3468, TAB_CORRECAO_C[[DIAS_CORRIDOS]:[V_FUT_UTEIS]],K$5, FALSE)</f>
        <v>#N/A</v>
      </c>
      <c r="L3468" s="22" t="e">
        <f>VLOOKUP($A3468, TAB_AMORTIZACAO_C[[DIAS_CORRIDOS]:[V_FUT_UTEIS]], L$5, FALSE)</f>
        <v>#N/A</v>
      </c>
    </row>
    <row r="3469" spans="1:12" hidden="1">
      <c r="A3469" s="19">
        <f t="shared" si="279"/>
        <v>3463</v>
      </c>
      <c r="B3469" s="20">
        <f t="shared" si="275"/>
        <v>0</v>
      </c>
      <c r="C3469" s="21">
        <f t="shared" si="276"/>
        <v>0</v>
      </c>
      <c r="D3469" s="22" t="e">
        <f>VLOOKUP($A3469, TAB_JUROS_U[[Q_DIAS_U_PARC_TIR]:[V_FUT_U_JURS CENARIO]], D$5, FALSE)</f>
        <v>#N/A</v>
      </c>
      <c r="E3469" s="22" t="e">
        <f>VLOOKUP($A3469,TAB_CORRECAO_U[[Q_DIAS_U_PARC_TIR]:[V_FUT_U_CORC-02]],E$5, FALSE)</f>
        <v>#N/A</v>
      </c>
      <c r="F3469" s="22" t="e">
        <f>VLOOKUP($A3469,TAB_AMORTIZACAO_U[[Q_DIAS_U_PARC_TIR]:[V_FUT_U_PCPL-02]], F$5, FALSE)</f>
        <v>#N/A</v>
      </c>
      <c r="H3469" s="20">
        <f t="shared" si="277"/>
        <v>0</v>
      </c>
      <c r="I3469" s="21">
        <f t="shared" si="278"/>
        <v>0</v>
      </c>
      <c r="J3469" s="22" t="e">
        <f>VLOOKUP($A3469, TAB_JUROS_C[[DIAS_CORRIDOS]:[V_FUT_UTEIS]], J$5, FALSE)</f>
        <v>#N/A</v>
      </c>
      <c r="K3469" s="22" t="e">
        <f>VLOOKUP($A3469, TAB_CORRECAO_C[[DIAS_CORRIDOS]:[V_FUT_UTEIS]],K$5, FALSE)</f>
        <v>#N/A</v>
      </c>
      <c r="L3469" s="22" t="e">
        <f>VLOOKUP($A3469, TAB_AMORTIZACAO_C[[DIAS_CORRIDOS]:[V_FUT_UTEIS]], L$5, FALSE)</f>
        <v>#N/A</v>
      </c>
    </row>
    <row r="3470" spans="1:12" hidden="1">
      <c r="A3470" s="19">
        <f t="shared" si="279"/>
        <v>3464</v>
      </c>
      <c r="B3470" s="20">
        <f t="shared" si="275"/>
        <v>0</v>
      </c>
      <c r="C3470" s="21">
        <f t="shared" si="276"/>
        <v>0</v>
      </c>
      <c r="D3470" s="22" t="e">
        <f>VLOOKUP($A3470, TAB_JUROS_U[[Q_DIAS_U_PARC_TIR]:[V_FUT_U_JURS CENARIO]], D$5, FALSE)</f>
        <v>#N/A</v>
      </c>
      <c r="E3470" s="22" t="e">
        <f>VLOOKUP($A3470,TAB_CORRECAO_U[[Q_DIAS_U_PARC_TIR]:[V_FUT_U_CORC-02]],E$5, FALSE)</f>
        <v>#N/A</v>
      </c>
      <c r="F3470" s="22" t="e">
        <f>VLOOKUP($A3470,TAB_AMORTIZACAO_U[[Q_DIAS_U_PARC_TIR]:[V_FUT_U_PCPL-02]], F$5, FALSE)</f>
        <v>#N/A</v>
      </c>
      <c r="H3470" s="20">
        <f t="shared" si="277"/>
        <v>0</v>
      </c>
      <c r="I3470" s="21">
        <f t="shared" si="278"/>
        <v>0</v>
      </c>
      <c r="J3470" s="22" t="e">
        <f>VLOOKUP($A3470, TAB_JUROS_C[[DIAS_CORRIDOS]:[V_FUT_UTEIS]], J$5, FALSE)</f>
        <v>#N/A</v>
      </c>
      <c r="K3470" s="22" t="e">
        <f>VLOOKUP($A3470, TAB_CORRECAO_C[[DIAS_CORRIDOS]:[V_FUT_UTEIS]],K$5, FALSE)</f>
        <v>#N/A</v>
      </c>
      <c r="L3470" s="22" t="e">
        <f>VLOOKUP($A3470, TAB_AMORTIZACAO_C[[DIAS_CORRIDOS]:[V_FUT_UTEIS]], L$5, FALSE)</f>
        <v>#N/A</v>
      </c>
    </row>
    <row r="3471" spans="1:12" hidden="1">
      <c r="A3471" s="19">
        <f t="shared" si="279"/>
        <v>3465</v>
      </c>
      <c r="B3471" s="20">
        <f t="shared" si="275"/>
        <v>0</v>
      </c>
      <c r="C3471" s="21">
        <f t="shared" si="276"/>
        <v>0</v>
      </c>
      <c r="D3471" s="22" t="e">
        <f>VLOOKUP($A3471, TAB_JUROS_U[[Q_DIAS_U_PARC_TIR]:[V_FUT_U_JURS CENARIO]], D$5, FALSE)</f>
        <v>#N/A</v>
      </c>
      <c r="E3471" s="22" t="e">
        <f>VLOOKUP($A3471,TAB_CORRECAO_U[[Q_DIAS_U_PARC_TIR]:[V_FUT_U_CORC-02]],E$5, FALSE)</f>
        <v>#N/A</v>
      </c>
      <c r="F3471" s="22" t="e">
        <f>VLOOKUP($A3471,TAB_AMORTIZACAO_U[[Q_DIAS_U_PARC_TIR]:[V_FUT_U_PCPL-02]], F$5, FALSE)</f>
        <v>#N/A</v>
      </c>
      <c r="H3471" s="20">
        <f t="shared" si="277"/>
        <v>0</v>
      </c>
      <c r="I3471" s="21">
        <f t="shared" si="278"/>
        <v>0</v>
      </c>
      <c r="J3471" s="22" t="e">
        <f>VLOOKUP($A3471, TAB_JUROS_C[[DIAS_CORRIDOS]:[V_FUT_UTEIS]], J$5, FALSE)</f>
        <v>#N/A</v>
      </c>
      <c r="K3471" s="22" t="e">
        <f>VLOOKUP($A3471, TAB_CORRECAO_C[[DIAS_CORRIDOS]:[V_FUT_UTEIS]],K$5, FALSE)</f>
        <v>#N/A</v>
      </c>
      <c r="L3471" s="22" t="e">
        <f>VLOOKUP($A3471, TAB_AMORTIZACAO_C[[DIAS_CORRIDOS]:[V_FUT_UTEIS]], L$5, FALSE)</f>
        <v>#N/A</v>
      </c>
    </row>
    <row r="3472" spans="1:12" hidden="1">
      <c r="A3472" s="19">
        <f t="shared" si="279"/>
        <v>3466</v>
      </c>
      <c r="B3472" s="20">
        <f t="shared" si="275"/>
        <v>0</v>
      </c>
      <c r="C3472" s="21">
        <f t="shared" si="276"/>
        <v>0</v>
      </c>
      <c r="D3472" s="22" t="e">
        <f>VLOOKUP($A3472, TAB_JUROS_U[[Q_DIAS_U_PARC_TIR]:[V_FUT_U_JURS CENARIO]], D$5, FALSE)</f>
        <v>#N/A</v>
      </c>
      <c r="E3472" s="22" t="e">
        <f>VLOOKUP($A3472,TAB_CORRECAO_U[[Q_DIAS_U_PARC_TIR]:[V_FUT_U_CORC-02]],E$5, FALSE)</f>
        <v>#N/A</v>
      </c>
      <c r="F3472" s="22" t="e">
        <f>VLOOKUP($A3472,TAB_AMORTIZACAO_U[[Q_DIAS_U_PARC_TIR]:[V_FUT_U_PCPL-02]], F$5, FALSE)</f>
        <v>#N/A</v>
      </c>
      <c r="H3472" s="20">
        <f t="shared" si="277"/>
        <v>0</v>
      </c>
      <c r="I3472" s="21">
        <f t="shared" si="278"/>
        <v>0</v>
      </c>
      <c r="J3472" s="22" t="e">
        <f>VLOOKUP($A3472, TAB_JUROS_C[[DIAS_CORRIDOS]:[V_FUT_UTEIS]], J$5, FALSE)</f>
        <v>#N/A</v>
      </c>
      <c r="K3472" s="22" t="e">
        <f>VLOOKUP($A3472, TAB_CORRECAO_C[[DIAS_CORRIDOS]:[V_FUT_UTEIS]],K$5, FALSE)</f>
        <v>#N/A</v>
      </c>
      <c r="L3472" s="22" t="e">
        <f>VLOOKUP($A3472, TAB_AMORTIZACAO_C[[DIAS_CORRIDOS]:[V_FUT_UTEIS]], L$5, FALSE)</f>
        <v>#N/A</v>
      </c>
    </row>
    <row r="3473" spans="1:12" hidden="1">
      <c r="A3473" s="19">
        <f t="shared" si="279"/>
        <v>3467</v>
      </c>
      <c r="B3473" s="20">
        <f t="shared" si="275"/>
        <v>0</v>
      </c>
      <c r="C3473" s="21">
        <f t="shared" si="276"/>
        <v>0</v>
      </c>
      <c r="D3473" s="22" t="e">
        <f>VLOOKUP($A3473, TAB_JUROS_U[[Q_DIAS_U_PARC_TIR]:[V_FUT_U_JURS CENARIO]], D$5, FALSE)</f>
        <v>#N/A</v>
      </c>
      <c r="E3473" s="22" t="e">
        <f>VLOOKUP($A3473,TAB_CORRECAO_U[[Q_DIAS_U_PARC_TIR]:[V_FUT_U_CORC-02]],E$5, FALSE)</f>
        <v>#N/A</v>
      </c>
      <c r="F3473" s="22" t="e">
        <f>VLOOKUP($A3473,TAB_AMORTIZACAO_U[[Q_DIAS_U_PARC_TIR]:[V_FUT_U_PCPL-02]], F$5, FALSE)</f>
        <v>#N/A</v>
      </c>
      <c r="H3473" s="20">
        <f t="shared" si="277"/>
        <v>0</v>
      </c>
      <c r="I3473" s="21">
        <f t="shared" si="278"/>
        <v>0</v>
      </c>
      <c r="J3473" s="22" t="e">
        <f>VLOOKUP($A3473, TAB_JUROS_C[[DIAS_CORRIDOS]:[V_FUT_UTEIS]], J$5, FALSE)</f>
        <v>#N/A</v>
      </c>
      <c r="K3473" s="22" t="e">
        <f>VLOOKUP($A3473, TAB_CORRECAO_C[[DIAS_CORRIDOS]:[V_FUT_UTEIS]],K$5, FALSE)</f>
        <v>#N/A</v>
      </c>
      <c r="L3473" s="22" t="e">
        <f>VLOOKUP($A3473, TAB_AMORTIZACAO_C[[DIAS_CORRIDOS]:[V_FUT_UTEIS]], L$5, FALSE)</f>
        <v>#N/A</v>
      </c>
    </row>
    <row r="3474" spans="1:12" hidden="1">
      <c r="A3474" s="19">
        <f t="shared" si="279"/>
        <v>3468</v>
      </c>
      <c r="B3474" s="20">
        <f t="shared" si="275"/>
        <v>0</v>
      </c>
      <c r="C3474" s="21">
        <f t="shared" si="276"/>
        <v>0</v>
      </c>
      <c r="D3474" s="22" t="e">
        <f>VLOOKUP($A3474, TAB_JUROS_U[[Q_DIAS_U_PARC_TIR]:[V_FUT_U_JURS CENARIO]], D$5, FALSE)</f>
        <v>#N/A</v>
      </c>
      <c r="E3474" s="22" t="e">
        <f>VLOOKUP($A3474,TAB_CORRECAO_U[[Q_DIAS_U_PARC_TIR]:[V_FUT_U_CORC-02]],E$5, FALSE)</f>
        <v>#N/A</v>
      </c>
      <c r="F3474" s="22" t="e">
        <f>VLOOKUP($A3474,TAB_AMORTIZACAO_U[[Q_DIAS_U_PARC_TIR]:[V_FUT_U_PCPL-02]], F$5, FALSE)</f>
        <v>#N/A</v>
      </c>
      <c r="H3474" s="20">
        <f t="shared" si="277"/>
        <v>0</v>
      </c>
      <c r="I3474" s="21">
        <f t="shared" si="278"/>
        <v>0</v>
      </c>
      <c r="J3474" s="22" t="e">
        <f>VLOOKUP($A3474, TAB_JUROS_C[[DIAS_CORRIDOS]:[V_FUT_UTEIS]], J$5, FALSE)</f>
        <v>#N/A</v>
      </c>
      <c r="K3474" s="22" t="e">
        <f>VLOOKUP($A3474, TAB_CORRECAO_C[[DIAS_CORRIDOS]:[V_FUT_UTEIS]],K$5, FALSE)</f>
        <v>#N/A</v>
      </c>
      <c r="L3474" s="22" t="e">
        <f>VLOOKUP($A3474, TAB_AMORTIZACAO_C[[DIAS_CORRIDOS]:[V_FUT_UTEIS]], L$5, FALSE)</f>
        <v>#N/A</v>
      </c>
    </row>
    <row r="3475" spans="1:12" hidden="1">
      <c r="A3475" s="19">
        <f t="shared" si="279"/>
        <v>3469</v>
      </c>
      <c r="B3475" s="20">
        <f t="shared" si="275"/>
        <v>0</v>
      </c>
      <c r="C3475" s="21">
        <f t="shared" si="276"/>
        <v>0</v>
      </c>
      <c r="D3475" s="22" t="e">
        <f>VLOOKUP($A3475, TAB_JUROS_U[[Q_DIAS_U_PARC_TIR]:[V_FUT_U_JURS CENARIO]], D$5, FALSE)</f>
        <v>#N/A</v>
      </c>
      <c r="E3475" s="22" t="e">
        <f>VLOOKUP($A3475,TAB_CORRECAO_U[[Q_DIAS_U_PARC_TIR]:[V_FUT_U_CORC-02]],E$5, FALSE)</f>
        <v>#N/A</v>
      </c>
      <c r="F3475" s="22" t="e">
        <f>VLOOKUP($A3475,TAB_AMORTIZACAO_U[[Q_DIAS_U_PARC_TIR]:[V_FUT_U_PCPL-02]], F$5, FALSE)</f>
        <v>#N/A</v>
      </c>
      <c r="H3475" s="20">
        <f t="shared" si="277"/>
        <v>0</v>
      </c>
      <c r="I3475" s="21">
        <f t="shared" si="278"/>
        <v>0</v>
      </c>
      <c r="J3475" s="22" t="e">
        <f>VLOOKUP($A3475, TAB_JUROS_C[[DIAS_CORRIDOS]:[V_FUT_UTEIS]], J$5, FALSE)</f>
        <v>#N/A</v>
      </c>
      <c r="K3475" s="22" t="e">
        <f>VLOOKUP($A3475, TAB_CORRECAO_C[[DIAS_CORRIDOS]:[V_FUT_UTEIS]],K$5, FALSE)</f>
        <v>#N/A</v>
      </c>
      <c r="L3475" s="22" t="e">
        <f>VLOOKUP($A3475, TAB_AMORTIZACAO_C[[DIAS_CORRIDOS]:[V_FUT_UTEIS]], L$5, FALSE)</f>
        <v>#N/A</v>
      </c>
    </row>
    <row r="3476" spans="1:12" hidden="1">
      <c r="A3476" s="19">
        <f t="shared" si="279"/>
        <v>3470</v>
      </c>
      <c r="B3476" s="20">
        <f t="shared" si="275"/>
        <v>0</v>
      </c>
      <c r="C3476" s="21">
        <f t="shared" si="276"/>
        <v>0</v>
      </c>
      <c r="D3476" s="22" t="e">
        <f>VLOOKUP($A3476, TAB_JUROS_U[[Q_DIAS_U_PARC_TIR]:[V_FUT_U_JURS CENARIO]], D$5, FALSE)</f>
        <v>#N/A</v>
      </c>
      <c r="E3476" s="22" t="e">
        <f>VLOOKUP($A3476,TAB_CORRECAO_U[[Q_DIAS_U_PARC_TIR]:[V_FUT_U_CORC-02]],E$5, FALSE)</f>
        <v>#N/A</v>
      </c>
      <c r="F3476" s="22" t="e">
        <f>VLOOKUP($A3476,TAB_AMORTIZACAO_U[[Q_DIAS_U_PARC_TIR]:[V_FUT_U_PCPL-02]], F$5, FALSE)</f>
        <v>#N/A</v>
      </c>
      <c r="H3476" s="20">
        <f t="shared" si="277"/>
        <v>0</v>
      </c>
      <c r="I3476" s="21">
        <f t="shared" si="278"/>
        <v>0</v>
      </c>
      <c r="J3476" s="22" t="e">
        <f>VLOOKUP($A3476, TAB_JUROS_C[[DIAS_CORRIDOS]:[V_FUT_UTEIS]], J$5, FALSE)</f>
        <v>#N/A</v>
      </c>
      <c r="K3476" s="22" t="e">
        <f>VLOOKUP($A3476, TAB_CORRECAO_C[[DIAS_CORRIDOS]:[V_FUT_UTEIS]],K$5, FALSE)</f>
        <v>#N/A</v>
      </c>
      <c r="L3476" s="22" t="e">
        <f>VLOOKUP($A3476, TAB_AMORTIZACAO_C[[DIAS_CORRIDOS]:[V_FUT_UTEIS]], L$5, FALSE)</f>
        <v>#N/A</v>
      </c>
    </row>
    <row r="3477" spans="1:12" hidden="1">
      <c r="A3477" s="19">
        <f t="shared" si="279"/>
        <v>3471</v>
      </c>
      <c r="B3477" s="20">
        <f t="shared" si="275"/>
        <v>0</v>
      </c>
      <c r="C3477" s="21">
        <f t="shared" si="276"/>
        <v>0</v>
      </c>
      <c r="D3477" s="22" t="e">
        <f>VLOOKUP($A3477, TAB_JUROS_U[[Q_DIAS_U_PARC_TIR]:[V_FUT_U_JURS CENARIO]], D$5, FALSE)</f>
        <v>#N/A</v>
      </c>
      <c r="E3477" s="22" t="e">
        <f>VLOOKUP($A3477,TAB_CORRECAO_U[[Q_DIAS_U_PARC_TIR]:[V_FUT_U_CORC-02]],E$5, FALSE)</f>
        <v>#N/A</v>
      </c>
      <c r="F3477" s="22" t="e">
        <f>VLOOKUP($A3477,TAB_AMORTIZACAO_U[[Q_DIAS_U_PARC_TIR]:[V_FUT_U_PCPL-02]], F$5, FALSE)</f>
        <v>#N/A</v>
      </c>
      <c r="H3477" s="20">
        <f t="shared" si="277"/>
        <v>0</v>
      </c>
      <c r="I3477" s="21">
        <f t="shared" si="278"/>
        <v>0</v>
      </c>
      <c r="J3477" s="22" t="e">
        <f>VLOOKUP($A3477, TAB_JUROS_C[[DIAS_CORRIDOS]:[V_FUT_UTEIS]], J$5, FALSE)</f>
        <v>#N/A</v>
      </c>
      <c r="K3477" s="22" t="e">
        <f>VLOOKUP($A3477, TAB_CORRECAO_C[[DIAS_CORRIDOS]:[V_FUT_UTEIS]],K$5, FALSE)</f>
        <v>#N/A</v>
      </c>
      <c r="L3477" s="22" t="e">
        <f>VLOOKUP($A3477, TAB_AMORTIZACAO_C[[DIAS_CORRIDOS]:[V_FUT_UTEIS]], L$5, FALSE)</f>
        <v>#N/A</v>
      </c>
    </row>
    <row r="3478" spans="1:12" hidden="1">
      <c r="A3478" s="19">
        <f t="shared" si="279"/>
        <v>3472</v>
      </c>
      <c r="B3478" s="20">
        <f t="shared" si="275"/>
        <v>0</v>
      </c>
      <c r="C3478" s="21">
        <f t="shared" si="276"/>
        <v>0</v>
      </c>
      <c r="D3478" s="22" t="e">
        <f>VLOOKUP($A3478, TAB_JUROS_U[[Q_DIAS_U_PARC_TIR]:[V_FUT_U_JURS CENARIO]], D$5, FALSE)</f>
        <v>#N/A</v>
      </c>
      <c r="E3478" s="22" t="e">
        <f>VLOOKUP($A3478,TAB_CORRECAO_U[[Q_DIAS_U_PARC_TIR]:[V_FUT_U_CORC-02]],E$5, FALSE)</f>
        <v>#N/A</v>
      </c>
      <c r="F3478" s="22" t="e">
        <f>VLOOKUP($A3478,TAB_AMORTIZACAO_U[[Q_DIAS_U_PARC_TIR]:[V_FUT_U_PCPL-02]], F$5, FALSE)</f>
        <v>#N/A</v>
      </c>
      <c r="H3478" s="20">
        <f t="shared" si="277"/>
        <v>0</v>
      </c>
      <c r="I3478" s="21">
        <f t="shared" si="278"/>
        <v>0</v>
      </c>
      <c r="J3478" s="22" t="e">
        <f>VLOOKUP($A3478, TAB_JUROS_C[[DIAS_CORRIDOS]:[V_FUT_UTEIS]], J$5, FALSE)</f>
        <v>#N/A</v>
      </c>
      <c r="K3478" s="22" t="e">
        <f>VLOOKUP($A3478, TAB_CORRECAO_C[[DIAS_CORRIDOS]:[V_FUT_UTEIS]],K$5, FALSE)</f>
        <v>#N/A</v>
      </c>
      <c r="L3478" s="22" t="e">
        <f>VLOOKUP($A3478, TAB_AMORTIZACAO_C[[DIAS_CORRIDOS]:[V_FUT_UTEIS]], L$5, FALSE)</f>
        <v>#N/A</v>
      </c>
    </row>
    <row r="3479" spans="1:12" hidden="1">
      <c r="A3479" s="19">
        <f t="shared" si="279"/>
        <v>3473</v>
      </c>
      <c r="B3479" s="20">
        <f t="shared" si="275"/>
        <v>0</v>
      </c>
      <c r="C3479" s="21">
        <f t="shared" si="276"/>
        <v>0</v>
      </c>
      <c r="D3479" s="22" t="e">
        <f>VLOOKUP($A3479, TAB_JUROS_U[[Q_DIAS_U_PARC_TIR]:[V_FUT_U_JURS CENARIO]], D$5, FALSE)</f>
        <v>#N/A</v>
      </c>
      <c r="E3479" s="22" t="e">
        <f>VLOOKUP($A3479,TAB_CORRECAO_U[[Q_DIAS_U_PARC_TIR]:[V_FUT_U_CORC-02]],E$5, FALSE)</f>
        <v>#N/A</v>
      </c>
      <c r="F3479" s="22" t="e">
        <f>VLOOKUP($A3479,TAB_AMORTIZACAO_U[[Q_DIAS_U_PARC_TIR]:[V_FUT_U_PCPL-02]], F$5, FALSE)</f>
        <v>#N/A</v>
      </c>
      <c r="H3479" s="20">
        <f t="shared" si="277"/>
        <v>0</v>
      </c>
      <c r="I3479" s="21">
        <f t="shared" si="278"/>
        <v>0</v>
      </c>
      <c r="J3479" s="22" t="e">
        <f>VLOOKUP($A3479, TAB_JUROS_C[[DIAS_CORRIDOS]:[V_FUT_UTEIS]], J$5, FALSE)</f>
        <v>#N/A</v>
      </c>
      <c r="K3479" s="22" t="e">
        <f>VLOOKUP($A3479, TAB_CORRECAO_C[[DIAS_CORRIDOS]:[V_FUT_UTEIS]],K$5, FALSE)</f>
        <v>#N/A</v>
      </c>
      <c r="L3479" s="22" t="e">
        <f>VLOOKUP($A3479, TAB_AMORTIZACAO_C[[DIAS_CORRIDOS]:[V_FUT_UTEIS]], L$5, FALSE)</f>
        <v>#N/A</v>
      </c>
    </row>
    <row r="3480" spans="1:12" hidden="1">
      <c r="A3480" s="19">
        <f t="shared" si="279"/>
        <v>3474</v>
      </c>
      <c r="B3480" s="20">
        <f t="shared" si="275"/>
        <v>0</v>
      </c>
      <c r="C3480" s="21">
        <f t="shared" si="276"/>
        <v>0</v>
      </c>
      <c r="D3480" s="22" t="e">
        <f>VLOOKUP($A3480, TAB_JUROS_U[[Q_DIAS_U_PARC_TIR]:[V_FUT_U_JURS CENARIO]], D$5, FALSE)</f>
        <v>#N/A</v>
      </c>
      <c r="E3480" s="22" t="e">
        <f>VLOOKUP($A3480,TAB_CORRECAO_U[[Q_DIAS_U_PARC_TIR]:[V_FUT_U_CORC-02]],E$5, FALSE)</f>
        <v>#N/A</v>
      </c>
      <c r="F3480" s="22" t="e">
        <f>VLOOKUP($A3480,TAB_AMORTIZACAO_U[[Q_DIAS_U_PARC_TIR]:[V_FUT_U_PCPL-02]], F$5, FALSE)</f>
        <v>#N/A</v>
      </c>
      <c r="H3480" s="20">
        <f t="shared" si="277"/>
        <v>0</v>
      </c>
      <c r="I3480" s="21">
        <f t="shared" si="278"/>
        <v>0</v>
      </c>
      <c r="J3480" s="22" t="e">
        <f>VLOOKUP($A3480, TAB_JUROS_C[[DIAS_CORRIDOS]:[V_FUT_UTEIS]], J$5, FALSE)</f>
        <v>#N/A</v>
      </c>
      <c r="K3480" s="22" t="e">
        <f>VLOOKUP($A3480, TAB_CORRECAO_C[[DIAS_CORRIDOS]:[V_FUT_UTEIS]],K$5, FALSE)</f>
        <v>#N/A</v>
      </c>
      <c r="L3480" s="22" t="e">
        <f>VLOOKUP($A3480, TAB_AMORTIZACAO_C[[DIAS_CORRIDOS]:[V_FUT_UTEIS]], L$5, FALSE)</f>
        <v>#N/A</v>
      </c>
    </row>
    <row r="3481" spans="1:12" hidden="1">
      <c r="A3481" s="19">
        <f t="shared" si="279"/>
        <v>3475</v>
      </c>
      <c r="B3481" s="20">
        <f t="shared" si="275"/>
        <v>0</v>
      </c>
      <c r="C3481" s="21">
        <f t="shared" si="276"/>
        <v>0</v>
      </c>
      <c r="D3481" s="22" t="e">
        <f>VLOOKUP($A3481, TAB_JUROS_U[[Q_DIAS_U_PARC_TIR]:[V_FUT_U_JURS CENARIO]], D$5, FALSE)</f>
        <v>#N/A</v>
      </c>
      <c r="E3481" s="22" t="e">
        <f>VLOOKUP($A3481,TAB_CORRECAO_U[[Q_DIAS_U_PARC_TIR]:[V_FUT_U_CORC-02]],E$5, FALSE)</f>
        <v>#N/A</v>
      </c>
      <c r="F3481" s="22" t="e">
        <f>VLOOKUP($A3481,TAB_AMORTIZACAO_U[[Q_DIAS_U_PARC_TIR]:[V_FUT_U_PCPL-02]], F$5, FALSE)</f>
        <v>#N/A</v>
      </c>
      <c r="H3481" s="20">
        <f t="shared" si="277"/>
        <v>0</v>
      </c>
      <c r="I3481" s="21">
        <f t="shared" si="278"/>
        <v>0</v>
      </c>
      <c r="J3481" s="22" t="e">
        <f>VLOOKUP($A3481, TAB_JUROS_C[[DIAS_CORRIDOS]:[V_FUT_UTEIS]], J$5, FALSE)</f>
        <v>#N/A</v>
      </c>
      <c r="K3481" s="22" t="e">
        <f>VLOOKUP($A3481, TAB_CORRECAO_C[[DIAS_CORRIDOS]:[V_FUT_UTEIS]],K$5, FALSE)</f>
        <v>#N/A</v>
      </c>
      <c r="L3481" s="22" t="e">
        <f>VLOOKUP($A3481, TAB_AMORTIZACAO_C[[DIAS_CORRIDOS]:[V_FUT_UTEIS]], L$5, FALSE)</f>
        <v>#N/A</v>
      </c>
    </row>
    <row r="3482" spans="1:12" hidden="1">
      <c r="A3482" s="19">
        <f t="shared" si="279"/>
        <v>3476</v>
      </c>
      <c r="B3482" s="20">
        <f t="shared" si="275"/>
        <v>0</v>
      </c>
      <c r="C3482" s="21">
        <f t="shared" si="276"/>
        <v>0</v>
      </c>
      <c r="D3482" s="22" t="e">
        <f>VLOOKUP($A3482, TAB_JUROS_U[[Q_DIAS_U_PARC_TIR]:[V_FUT_U_JURS CENARIO]], D$5, FALSE)</f>
        <v>#N/A</v>
      </c>
      <c r="E3482" s="22" t="e">
        <f>VLOOKUP($A3482,TAB_CORRECAO_U[[Q_DIAS_U_PARC_TIR]:[V_FUT_U_CORC-02]],E$5, FALSE)</f>
        <v>#N/A</v>
      </c>
      <c r="F3482" s="22" t="e">
        <f>VLOOKUP($A3482,TAB_AMORTIZACAO_U[[Q_DIAS_U_PARC_TIR]:[V_FUT_U_PCPL-02]], F$5, FALSE)</f>
        <v>#N/A</v>
      </c>
      <c r="H3482" s="20">
        <f t="shared" si="277"/>
        <v>0</v>
      </c>
      <c r="I3482" s="21">
        <f t="shared" si="278"/>
        <v>0</v>
      </c>
      <c r="J3482" s="22" t="e">
        <f>VLOOKUP($A3482, TAB_JUROS_C[[DIAS_CORRIDOS]:[V_FUT_UTEIS]], J$5, FALSE)</f>
        <v>#N/A</v>
      </c>
      <c r="K3482" s="22" t="e">
        <f>VLOOKUP($A3482, TAB_CORRECAO_C[[DIAS_CORRIDOS]:[V_FUT_UTEIS]],K$5, FALSE)</f>
        <v>#N/A</v>
      </c>
      <c r="L3482" s="22" t="e">
        <f>VLOOKUP($A3482, TAB_AMORTIZACAO_C[[DIAS_CORRIDOS]:[V_FUT_UTEIS]], L$5, FALSE)</f>
        <v>#N/A</v>
      </c>
    </row>
    <row r="3483" spans="1:12" hidden="1">
      <c r="A3483" s="19">
        <f t="shared" si="279"/>
        <v>3477</v>
      </c>
      <c r="B3483" s="20">
        <f t="shared" si="275"/>
        <v>0</v>
      </c>
      <c r="C3483" s="21">
        <f t="shared" si="276"/>
        <v>0</v>
      </c>
      <c r="D3483" s="22" t="e">
        <f>VLOOKUP($A3483, TAB_JUROS_U[[Q_DIAS_U_PARC_TIR]:[V_FUT_U_JURS CENARIO]], D$5, FALSE)</f>
        <v>#N/A</v>
      </c>
      <c r="E3483" s="22" t="e">
        <f>VLOOKUP($A3483,TAB_CORRECAO_U[[Q_DIAS_U_PARC_TIR]:[V_FUT_U_CORC-02]],E$5, FALSE)</f>
        <v>#N/A</v>
      </c>
      <c r="F3483" s="22" t="e">
        <f>VLOOKUP($A3483,TAB_AMORTIZACAO_U[[Q_DIAS_U_PARC_TIR]:[V_FUT_U_PCPL-02]], F$5, FALSE)</f>
        <v>#N/A</v>
      </c>
      <c r="H3483" s="20">
        <f t="shared" si="277"/>
        <v>0</v>
      </c>
      <c r="I3483" s="21">
        <f t="shared" si="278"/>
        <v>0</v>
      </c>
      <c r="J3483" s="22" t="e">
        <f>VLOOKUP($A3483, TAB_JUROS_C[[DIAS_CORRIDOS]:[V_FUT_UTEIS]], J$5, FALSE)</f>
        <v>#N/A</v>
      </c>
      <c r="K3483" s="22" t="e">
        <f>VLOOKUP($A3483, TAB_CORRECAO_C[[DIAS_CORRIDOS]:[V_FUT_UTEIS]],K$5, FALSE)</f>
        <v>#N/A</v>
      </c>
      <c r="L3483" s="22" t="e">
        <f>VLOOKUP($A3483, TAB_AMORTIZACAO_C[[DIAS_CORRIDOS]:[V_FUT_UTEIS]], L$5, FALSE)</f>
        <v>#N/A</v>
      </c>
    </row>
    <row r="3484" spans="1:12" hidden="1">
      <c r="A3484" s="19">
        <f t="shared" si="279"/>
        <v>3478</v>
      </c>
      <c r="B3484" s="20">
        <f t="shared" si="275"/>
        <v>0</v>
      </c>
      <c r="C3484" s="21">
        <f t="shared" si="276"/>
        <v>0</v>
      </c>
      <c r="D3484" s="22" t="e">
        <f>VLOOKUP($A3484, TAB_JUROS_U[[Q_DIAS_U_PARC_TIR]:[V_FUT_U_JURS CENARIO]], D$5, FALSE)</f>
        <v>#N/A</v>
      </c>
      <c r="E3484" s="22" t="e">
        <f>VLOOKUP($A3484,TAB_CORRECAO_U[[Q_DIAS_U_PARC_TIR]:[V_FUT_U_CORC-02]],E$5, FALSE)</f>
        <v>#N/A</v>
      </c>
      <c r="F3484" s="22" t="e">
        <f>VLOOKUP($A3484,TAB_AMORTIZACAO_U[[Q_DIAS_U_PARC_TIR]:[V_FUT_U_PCPL-02]], F$5, FALSE)</f>
        <v>#N/A</v>
      </c>
      <c r="H3484" s="20">
        <f t="shared" si="277"/>
        <v>0</v>
      </c>
      <c r="I3484" s="21">
        <f t="shared" si="278"/>
        <v>0</v>
      </c>
      <c r="J3484" s="22" t="e">
        <f>VLOOKUP($A3484, TAB_JUROS_C[[DIAS_CORRIDOS]:[V_FUT_UTEIS]], J$5, FALSE)</f>
        <v>#N/A</v>
      </c>
      <c r="K3484" s="22" t="e">
        <f>VLOOKUP($A3484, TAB_CORRECAO_C[[DIAS_CORRIDOS]:[V_FUT_UTEIS]],K$5, FALSE)</f>
        <v>#N/A</v>
      </c>
      <c r="L3484" s="22" t="e">
        <f>VLOOKUP($A3484, TAB_AMORTIZACAO_C[[DIAS_CORRIDOS]:[V_FUT_UTEIS]], L$5, FALSE)</f>
        <v>#N/A</v>
      </c>
    </row>
    <row r="3485" spans="1:12" hidden="1">
      <c r="A3485" s="19">
        <f t="shared" si="279"/>
        <v>3479</v>
      </c>
      <c r="B3485" s="20">
        <f t="shared" si="275"/>
        <v>0</v>
      </c>
      <c r="C3485" s="21">
        <f t="shared" si="276"/>
        <v>0</v>
      </c>
      <c r="D3485" s="22" t="e">
        <f>VLOOKUP($A3485, TAB_JUROS_U[[Q_DIAS_U_PARC_TIR]:[V_FUT_U_JURS CENARIO]], D$5, FALSE)</f>
        <v>#N/A</v>
      </c>
      <c r="E3485" s="22" t="e">
        <f>VLOOKUP($A3485,TAB_CORRECAO_U[[Q_DIAS_U_PARC_TIR]:[V_FUT_U_CORC-02]],E$5, FALSE)</f>
        <v>#N/A</v>
      </c>
      <c r="F3485" s="22" t="e">
        <f>VLOOKUP($A3485,TAB_AMORTIZACAO_U[[Q_DIAS_U_PARC_TIR]:[V_FUT_U_PCPL-02]], F$5, FALSE)</f>
        <v>#N/A</v>
      </c>
      <c r="H3485" s="20">
        <f t="shared" si="277"/>
        <v>0</v>
      </c>
      <c r="I3485" s="21">
        <f t="shared" si="278"/>
        <v>0</v>
      </c>
      <c r="J3485" s="22" t="e">
        <f>VLOOKUP($A3485, TAB_JUROS_C[[DIAS_CORRIDOS]:[V_FUT_UTEIS]], J$5, FALSE)</f>
        <v>#N/A</v>
      </c>
      <c r="K3485" s="22" t="e">
        <f>VLOOKUP($A3485, TAB_CORRECAO_C[[DIAS_CORRIDOS]:[V_FUT_UTEIS]],K$5, FALSE)</f>
        <v>#N/A</v>
      </c>
      <c r="L3485" s="22" t="e">
        <f>VLOOKUP($A3485, TAB_AMORTIZACAO_C[[DIAS_CORRIDOS]:[V_FUT_UTEIS]], L$5, FALSE)</f>
        <v>#N/A</v>
      </c>
    </row>
    <row r="3486" spans="1:12" hidden="1">
      <c r="A3486" s="19">
        <f t="shared" si="279"/>
        <v>3480</v>
      </c>
      <c r="B3486" s="20">
        <f t="shared" si="275"/>
        <v>0</v>
      </c>
      <c r="C3486" s="21">
        <f t="shared" si="276"/>
        <v>0</v>
      </c>
      <c r="D3486" s="22" t="e">
        <f>VLOOKUP($A3486, TAB_JUROS_U[[Q_DIAS_U_PARC_TIR]:[V_FUT_U_JURS CENARIO]], D$5, FALSE)</f>
        <v>#N/A</v>
      </c>
      <c r="E3486" s="22" t="e">
        <f>VLOOKUP($A3486,TAB_CORRECAO_U[[Q_DIAS_U_PARC_TIR]:[V_FUT_U_CORC-02]],E$5, FALSE)</f>
        <v>#N/A</v>
      </c>
      <c r="F3486" s="22" t="e">
        <f>VLOOKUP($A3486,TAB_AMORTIZACAO_U[[Q_DIAS_U_PARC_TIR]:[V_FUT_U_PCPL-02]], F$5, FALSE)</f>
        <v>#N/A</v>
      </c>
      <c r="H3486" s="20">
        <f t="shared" si="277"/>
        <v>185.70610293407077</v>
      </c>
      <c r="I3486" s="21">
        <f t="shared" si="278"/>
        <v>185.70610293407077</v>
      </c>
      <c r="J3486" s="22">
        <f>VLOOKUP($A3486, TAB_JUROS_C[[DIAS_CORRIDOS]:[V_FUT_UTEIS]], J$5, FALSE)</f>
        <v>7.5066104739287125</v>
      </c>
      <c r="K3486" s="22">
        <f>VLOOKUP($A3486, TAB_CORRECAO_C[[DIAS_CORRIDOS]:[V_FUT_UTEIS]],K$5, FALSE)</f>
        <v>44.691640879632523</v>
      </c>
      <c r="L3486" s="22">
        <f>VLOOKUP($A3486, TAB_AMORTIZACAO_C[[DIAS_CORRIDOS]:[V_FUT_UTEIS]], L$5, FALSE)</f>
        <v>133.50785158050954</v>
      </c>
    </row>
    <row r="3487" spans="1:12" hidden="1">
      <c r="A3487" s="19">
        <f t="shared" si="279"/>
        <v>3481</v>
      </c>
      <c r="B3487" s="20">
        <f t="shared" si="275"/>
        <v>0</v>
      </c>
      <c r="C3487" s="21">
        <f t="shared" si="276"/>
        <v>0</v>
      </c>
      <c r="D3487" s="22" t="e">
        <f>VLOOKUP($A3487, TAB_JUROS_U[[Q_DIAS_U_PARC_TIR]:[V_FUT_U_JURS CENARIO]], D$5, FALSE)</f>
        <v>#N/A</v>
      </c>
      <c r="E3487" s="22" t="e">
        <f>VLOOKUP($A3487,TAB_CORRECAO_U[[Q_DIAS_U_PARC_TIR]:[V_FUT_U_CORC-02]],E$5, FALSE)</f>
        <v>#N/A</v>
      </c>
      <c r="F3487" s="22" t="e">
        <f>VLOOKUP($A3487,TAB_AMORTIZACAO_U[[Q_DIAS_U_PARC_TIR]:[V_FUT_U_PCPL-02]], F$5, FALSE)</f>
        <v>#N/A</v>
      </c>
      <c r="H3487" s="20">
        <f t="shared" si="277"/>
        <v>0</v>
      </c>
      <c r="I3487" s="21">
        <f t="shared" si="278"/>
        <v>0</v>
      </c>
      <c r="J3487" s="22" t="e">
        <f>VLOOKUP($A3487, TAB_JUROS_C[[DIAS_CORRIDOS]:[V_FUT_UTEIS]], J$5, FALSE)</f>
        <v>#N/A</v>
      </c>
      <c r="K3487" s="22" t="e">
        <f>VLOOKUP($A3487, TAB_CORRECAO_C[[DIAS_CORRIDOS]:[V_FUT_UTEIS]],K$5, FALSE)</f>
        <v>#N/A</v>
      </c>
      <c r="L3487" s="22" t="e">
        <f>VLOOKUP($A3487, TAB_AMORTIZACAO_C[[DIAS_CORRIDOS]:[V_FUT_UTEIS]], L$5, FALSE)</f>
        <v>#N/A</v>
      </c>
    </row>
    <row r="3488" spans="1:12" hidden="1">
      <c r="A3488" s="19">
        <f t="shared" si="279"/>
        <v>3482</v>
      </c>
      <c r="B3488" s="20">
        <f t="shared" si="275"/>
        <v>0</v>
      </c>
      <c r="C3488" s="21">
        <f t="shared" si="276"/>
        <v>0</v>
      </c>
      <c r="D3488" s="22" t="e">
        <f>VLOOKUP($A3488, TAB_JUROS_U[[Q_DIAS_U_PARC_TIR]:[V_FUT_U_JURS CENARIO]], D$5, FALSE)</f>
        <v>#N/A</v>
      </c>
      <c r="E3488" s="22" t="e">
        <f>VLOOKUP($A3488,TAB_CORRECAO_U[[Q_DIAS_U_PARC_TIR]:[V_FUT_U_CORC-02]],E$5, FALSE)</f>
        <v>#N/A</v>
      </c>
      <c r="F3488" s="22" t="e">
        <f>VLOOKUP($A3488,TAB_AMORTIZACAO_U[[Q_DIAS_U_PARC_TIR]:[V_FUT_U_PCPL-02]], F$5, FALSE)</f>
        <v>#N/A</v>
      </c>
      <c r="H3488" s="20">
        <f t="shared" si="277"/>
        <v>0</v>
      </c>
      <c r="I3488" s="21">
        <f t="shared" si="278"/>
        <v>0</v>
      </c>
      <c r="J3488" s="22" t="e">
        <f>VLOOKUP($A3488, TAB_JUROS_C[[DIAS_CORRIDOS]:[V_FUT_UTEIS]], J$5, FALSE)</f>
        <v>#N/A</v>
      </c>
      <c r="K3488" s="22" t="e">
        <f>VLOOKUP($A3488, TAB_CORRECAO_C[[DIAS_CORRIDOS]:[V_FUT_UTEIS]],K$5, FALSE)</f>
        <v>#N/A</v>
      </c>
      <c r="L3488" s="22" t="e">
        <f>VLOOKUP($A3488, TAB_AMORTIZACAO_C[[DIAS_CORRIDOS]:[V_FUT_UTEIS]], L$5, FALSE)</f>
        <v>#N/A</v>
      </c>
    </row>
    <row r="3489" spans="1:12" hidden="1">
      <c r="A3489" s="19">
        <f t="shared" si="279"/>
        <v>3483</v>
      </c>
      <c r="B3489" s="20">
        <f t="shared" si="275"/>
        <v>0</v>
      </c>
      <c r="C3489" s="21">
        <f t="shared" si="276"/>
        <v>0</v>
      </c>
      <c r="D3489" s="22" t="e">
        <f>VLOOKUP($A3489, TAB_JUROS_U[[Q_DIAS_U_PARC_TIR]:[V_FUT_U_JURS CENARIO]], D$5, FALSE)</f>
        <v>#N/A</v>
      </c>
      <c r="E3489" s="22" t="e">
        <f>VLOOKUP($A3489,TAB_CORRECAO_U[[Q_DIAS_U_PARC_TIR]:[V_FUT_U_CORC-02]],E$5, FALSE)</f>
        <v>#N/A</v>
      </c>
      <c r="F3489" s="22" t="e">
        <f>VLOOKUP($A3489,TAB_AMORTIZACAO_U[[Q_DIAS_U_PARC_TIR]:[V_FUT_U_PCPL-02]], F$5, FALSE)</f>
        <v>#N/A</v>
      </c>
      <c r="H3489" s="20">
        <f t="shared" si="277"/>
        <v>0</v>
      </c>
      <c r="I3489" s="21">
        <f t="shared" si="278"/>
        <v>0</v>
      </c>
      <c r="J3489" s="22" t="e">
        <f>VLOOKUP($A3489, TAB_JUROS_C[[DIAS_CORRIDOS]:[V_FUT_UTEIS]], J$5, FALSE)</f>
        <v>#N/A</v>
      </c>
      <c r="K3489" s="22" t="e">
        <f>VLOOKUP($A3489, TAB_CORRECAO_C[[DIAS_CORRIDOS]:[V_FUT_UTEIS]],K$5, FALSE)</f>
        <v>#N/A</v>
      </c>
      <c r="L3489" s="22" t="e">
        <f>VLOOKUP($A3489, TAB_AMORTIZACAO_C[[DIAS_CORRIDOS]:[V_FUT_UTEIS]], L$5, FALSE)</f>
        <v>#N/A</v>
      </c>
    </row>
    <row r="3490" spans="1:12" hidden="1">
      <c r="A3490" s="19">
        <f t="shared" si="279"/>
        <v>3484</v>
      </c>
      <c r="B3490" s="20">
        <f t="shared" si="275"/>
        <v>0</v>
      </c>
      <c r="C3490" s="21">
        <f t="shared" si="276"/>
        <v>0</v>
      </c>
      <c r="D3490" s="22" t="e">
        <f>VLOOKUP($A3490, TAB_JUROS_U[[Q_DIAS_U_PARC_TIR]:[V_FUT_U_JURS CENARIO]], D$5, FALSE)</f>
        <v>#N/A</v>
      </c>
      <c r="E3490" s="22" t="e">
        <f>VLOOKUP($A3490,TAB_CORRECAO_U[[Q_DIAS_U_PARC_TIR]:[V_FUT_U_CORC-02]],E$5, FALSE)</f>
        <v>#N/A</v>
      </c>
      <c r="F3490" s="22" t="e">
        <f>VLOOKUP($A3490,TAB_AMORTIZACAO_U[[Q_DIAS_U_PARC_TIR]:[V_FUT_U_PCPL-02]], F$5, FALSE)</f>
        <v>#N/A</v>
      </c>
      <c r="H3490" s="20">
        <f t="shared" si="277"/>
        <v>0</v>
      </c>
      <c r="I3490" s="21">
        <f t="shared" si="278"/>
        <v>0</v>
      </c>
      <c r="J3490" s="22" t="e">
        <f>VLOOKUP($A3490, TAB_JUROS_C[[DIAS_CORRIDOS]:[V_FUT_UTEIS]], J$5, FALSE)</f>
        <v>#N/A</v>
      </c>
      <c r="K3490" s="22" t="e">
        <f>VLOOKUP($A3490, TAB_CORRECAO_C[[DIAS_CORRIDOS]:[V_FUT_UTEIS]],K$5, FALSE)</f>
        <v>#N/A</v>
      </c>
      <c r="L3490" s="22" t="e">
        <f>VLOOKUP($A3490, TAB_AMORTIZACAO_C[[DIAS_CORRIDOS]:[V_FUT_UTEIS]], L$5, FALSE)</f>
        <v>#N/A</v>
      </c>
    </row>
    <row r="3491" spans="1:12" hidden="1">
      <c r="A3491" s="19">
        <f t="shared" si="279"/>
        <v>3485</v>
      </c>
      <c r="B3491" s="20">
        <f t="shared" si="275"/>
        <v>0</v>
      </c>
      <c r="C3491" s="21">
        <f t="shared" si="276"/>
        <v>0</v>
      </c>
      <c r="D3491" s="22" t="e">
        <f>VLOOKUP($A3491, TAB_JUROS_U[[Q_DIAS_U_PARC_TIR]:[V_FUT_U_JURS CENARIO]], D$5, FALSE)</f>
        <v>#N/A</v>
      </c>
      <c r="E3491" s="22" t="e">
        <f>VLOOKUP($A3491,TAB_CORRECAO_U[[Q_DIAS_U_PARC_TIR]:[V_FUT_U_CORC-02]],E$5, FALSE)</f>
        <v>#N/A</v>
      </c>
      <c r="F3491" s="22" t="e">
        <f>VLOOKUP($A3491,TAB_AMORTIZACAO_U[[Q_DIAS_U_PARC_TIR]:[V_FUT_U_PCPL-02]], F$5, FALSE)</f>
        <v>#N/A</v>
      </c>
      <c r="H3491" s="20">
        <f t="shared" si="277"/>
        <v>0</v>
      </c>
      <c r="I3491" s="21">
        <f t="shared" si="278"/>
        <v>0</v>
      </c>
      <c r="J3491" s="22" t="e">
        <f>VLOOKUP($A3491, TAB_JUROS_C[[DIAS_CORRIDOS]:[V_FUT_UTEIS]], J$5, FALSE)</f>
        <v>#N/A</v>
      </c>
      <c r="K3491" s="22" t="e">
        <f>VLOOKUP($A3491, TAB_CORRECAO_C[[DIAS_CORRIDOS]:[V_FUT_UTEIS]],K$5, FALSE)</f>
        <v>#N/A</v>
      </c>
      <c r="L3491" s="22" t="e">
        <f>VLOOKUP($A3491, TAB_AMORTIZACAO_C[[DIAS_CORRIDOS]:[V_FUT_UTEIS]], L$5, FALSE)</f>
        <v>#N/A</v>
      </c>
    </row>
    <row r="3492" spans="1:12" hidden="1">
      <c r="A3492" s="19">
        <f t="shared" si="279"/>
        <v>3486</v>
      </c>
      <c r="B3492" s="20">
        <f t="shared" si="275"/>
        <v>0</v>
      </c>
      <c r="C3492" s="21">
        <f t="shared" si="276"/>
        <v>0</v>
      </c>
      <c r="D3492" s="22" t="e">
        <f>VLOOKUP($A3492, TAB_JUROS_U[[Q_DIAS_U_PARC_TIR]:[V_FUT_U_JURS CENARIO]], D$5, FALSE)</f>
        <v>#N/A</v>
      </c>
      <c r="E3492" s="22" t="e">
        <f>VLOOKUP($A3492,TAB_CORRECAO_U[[Q_DIAS_U_PARC_TIR]:[V_FUT_U_CORC-02]],E$5, FALSE)</f>
        <v>#N/A</v>
      </c>
      <c r="F3492" s="22" t="e">
        <f>VLOOKUP($A3492,TAB_AMORTIZACAO_U[[Q_DIAS_U_PARC_TIR]:[V_FUT_U_PCPL-02]], F$5, FALSE)</f>
        <v>#N/A</v>
      </c>
      <c r="H3492" s="20">
        <f t="shared" si="277"/>
        <v>0</v>
      </c>
      <c r="I3492" s="21">
        <f t="shared" si="278"/>
        <v>0</v>
      </c>
      <c r="J3492" s="22" t="e">
        <f>VLOOKUP($A3492, TAB_JUROS_C[[DIAS_CORRIDOS]:[V_FUT_UTEIS]], J$5, FALSE)</f>
        <v>#N/A</v>
      </c>
      <c r="K3492" s="22" t="e">
        <f>VLOOKUP($A3492, TAB_CORRECAO_C[[DIAS_CORRIDOS]:[V_FUT_UTEIS]],K$5, FALSE)</f>
        <v>#N/A</v>
      </c>
      <c r="L3492" s="22" t="e">
        <f>VLOOKUP($A3492, TAB_AMORTIZACAO_C[[DIAS_CORRIDOS]:[V_FUT_UTEIS]], L$5, FALSE)</f>
        <v>#N/A</v>
      </c>
    </row>
    <row r="3493" spans="1:12" hidden="1">
      <c r="A3493" s="19">
        <f t="shared" si="279"/>
        <v>3487</v>
      </c>
      <c r="B3493" s="20">
        <f t="shared" si="275"/>
        <v>0</v>
      </c>
      <c r="C3493" s="21">
        <f t="shared" si="276"/>
        <v>0</v>
      </c>
      <c r="D3493" s="22" t="e">
        <f>VLOOKUP($A3493, TAB_JUROS_U[[Q_DIAS_U_PARC_TIR]:[V_FUT_U_JURS CENARIO]], D$5, FALSE)</f>
        <v>#N/A</v>
      </c>
      <c r="E3493" s="22" t="e">
        <f>VLOOKUP($A3493,TAB_CORRECAO_U[[Q_DIAS_U_PARC_TIR]:[V_FUT_U_CORC-02]],E$5, FALSE)</f>
        <v>#N/A</v>
      </c>
      <c r="F3493" s="22" t="e">
        <f>VLOOKUP($A3493,TAB_AMORTIZACAO_U[[Q_DIAS_U_PARC_TIR]:[V_FUT_U_PCPL-02]], F$5, FALSE)</f>
        <v>#N/A</v>
      </c>
      <c r="H3493" s="20">
        <f t="shared" si="277"/>
        <v>0</v>
      </c>
      <c r="I3493" s="21">
        <f t="shared" si="278"/>
        <v>0</v>
      </c>
      <c r="J3493" s="22" t="e">
        <f>VLOOKUP($A3493, TAB_JUROS_C[[DIAS_CORRIDOS]:[V_FUT_UTEIS]], J$5, FALSE)</f>
        <v>#N/A</v>
      </c>
      <c r="K3493" s="22" t="e">
        <f>VLOOKUP($A3493, TAB_CORRECAO_C[[DIAS_CORRIDOS]:[V_FUT_UTEIS]],K$5, FALSE)</f>
        <v>#N/A</v>
      </c>
      <c r="L3493" s="22" t="e">
        <f>VLOOKUP($A3493, TAB_AMORTIZACAO_C[[DIAS_CORRIDOS]:[V_FUT_UTEIS]], L$5, FALSE)</f>
        <v>#N/A</v>
      </c>
    </row>
    <row r="3494" spans="1:12" hidden="1">
      <c r="A3494" s="19">
        <f t="shared" si="279"/>
        <v>3488</v>
      </c>
      <c r="B3494" s="20">
        <f t="shared" si="275"/>
        <v>0</v>
      </c>
      <c r="C3494" s="21">
        <f t="shared" si="276"/>
        <v>0</v>
      </c>
      <c r="D3494" s="22" t="e">
        <f>VLOOKUP($A3494, TAB_JUROS_U[[Q_DIAS_U_PARC_TIR]:[V_FUT_U_JURS CENARIO]], D$5, FALSE)</f>
        <v>#N/A</v>
      </c>
      <c r="E3494" s="22" t="e">
        <f>VLOOKUP($A3494,TAB_CORRECAO_U[[Q_DIAS_U_PARC_TIR]:[V_FUT_U_CORC-02]],E$5, FALSE)</f>
        <v>#N/A</v>
      </c>
      <c r="F3494" s="22" t="e">
        <f>VLOOKUP($A3494,TAB_AMORTIZACAO_U[[Q_DIAS_U_PARC_TIR]:[V_FUT_U_PCPL-02]], F$5, FALSE)</f>
        <v>#N/A</v>
      </c>
      <c r="H3494" s="20">
        <f t="shared" si="277"/>
        <v>0</v>
      </c>
      <c r="I3494" s="21">
        <f t="shared" si="278"/>
        <v>0</v>
      </c>
      <c r="J3494" s="22" t="e">
        <f>VLOOKUP($A3494, TAB_JUROS_C[[DIAS_CORRIDOS]:[V_FUT_UTEIS]], J$5, FALSE)</f>
        <v>#N/A</v>
      </c>
      <c r="K3494" s="22" t="e">
        <f>VLOOKUP($A3494, TAB_CORRECAO_C[[DIAS_CORRIDOS]:[V_FUT_UTEIS]],K$5, FALSE)</f>
        <v>#N/A</v>
      </c>
      <c r="L3494" s="22" t="e">
        <f>VLOOKUP($A3494, TAB_AMORTIZACAO_C[[DIAS_CORRIDOS]:[V_FUT_UTEIS]], L$5, FALSE)</f>
        <v>#N/A</v>
      </c>
    </row>
    <row r="3495" spans="1:12" hidden="1">
      <c r="A3495" s="19">
        <f t="shared" si="279"/>
        <v>3489</v>
      </c>
      <c r="B3495" s="20">
        <f t="shared" si="275"/>
        <v>0</v>
      </c>
      <c r="C3495" s="21">
        <f t="shared" si="276"/>
        <v>0</v>
      </c>
      <c r="D3495" s="22" t="e">
        <f>VLOOKUP($A3495, TAB_JUROS_U[[Q_DIAS_U_PARC_TIR]:[V_FUT_U_JURS CENARIO]], D$5, FALSE)</f>
        <v>#N/A</v>
      </c>
      <c r="E3495" s="22" t="e">
        <f>VLOOKUP($A3495,TAB_CORRECAO_U[[Q_DIAS_U_PARC_TIR]:[V_FUT_U_CORC-02]],E$5, FALSE)</f>
        <v>#N/A</v>
      </c>
      <c r="F3495" s="22" t="e">
        <f>VLOOKUP($A3495,TAB_AMORTIZACAO_U[[Q_DIAS_U_PARC_TIR]:[V_FUT_U_PCPL-02]], F$5, FALSE)</f>
        <v>#N/A</v>
      </c>
      <c r="H3495" s="20">
        <f t="shared" si="277"/>
        <v>0</v>
      </c>
      <c r="I3495" s="21">
        <f t="shared" si="278"/>
        <v>0</v>
      </c>
      <c r="J3495" s="22" t="e">
        <f>VLOOKUP($A3495, TAB_JUROS_C[[DIAS_CORRIDOS]:[V_FUT_UTEIS]], J$5, FALSE)</f>
        <v>#N/A</v>
      </c>
      <c r="K3495" s="22" t="e">
        <f>VLOOKUP($A3495, TAB_CORRECAO_C[[DIAS_CORRIDOS]:[V_FUT_UTEIS]],K$5, FALSE)</f>
        <v>#N/A</v>
      </c>
      <c r="L3495" s="22" t="e">
        <f>VLOOKUP($A3495, TAB_AMORTIZACAO_C[[DIAS_CORRIDOS]:[V_FUT_UTEIS]], L$5, FALSE)</f>
        <v>#N/A</v>
      </c>
    </row>
    <row r="3496" spans="1:12" hidden="1">
      <c r="A3496" s="19">
        <f t="shared" si="279"/>
        <v>3490</v>
      </c>
      <c r="B3496" s="20">
        <f t="shared" si="275"/>
        <v>0</v>
      </c>
      <c r="C3496" s="21">
        <f t="shared" si="276"/>
        <v>0</v>
      </c>
      <c r="D3496" s="22" t="e">
        <f>VLOOKUP($A3496, TAB_JUROS_U[[Q_DIAS_U_PARC_TIR]:[V_FUT_U_JURS CENARIO]], D$5, FALSE)</f>
        <v>#N/A</v>
      </c>
      <c r="E3496" s="22" t="e">
        <f>VLOOKUP($A3496,TAB_CORRECAO_U[[Q_DIAS_U_PARC_TIR]:[V_FUT_U_CORC-02]],E$5, FALSE)</f>
        <v>#N/A</v>
      </c>
      <c r="F3496" s="22" t="e">
        <f>VLOOKUP($A3496,TAB_AMORTIZACAO_U[[Q_DIAS_U_PARC_TIR]:[V_FUT_U_PCPL-02]], F$5, FALSE)</f>
        <v>#N/A</v>
      </c>
      <c r="H3496" s="20">
        <f t="shared" si="277"/>
        <v>0</v>
      </c>
      <c r="I3496" s="21">
        <f t="shared" si="278"/>
        <v>0</v>
      </c>
      <c r="J3496" s="22" t="e">
        <f>VLOOKUP($A3496, TAB_JUROS_C[[DIAS_CORRIDOS]:[V_FUT_UTEIS]], J$5, FALSE)</f>
        <v>#N/A</v>
      </c>
      <c r="K3496" s="22" t="e">
        <f>VLOOKUP($A3496, TAB_CORRECAO_C[[DIAS_CORRIDOS]:[V_FUT_UTEIS]],K$5, FALSE)</f>
        <v>#N/A</v>
      </c>
      <c r="L3496" s="22" t="e">
        <f>VLOOKUP($A3496, TAB_AMORTIZACAO_C[[DIAS_CORRIDOS]:[V_FUT_UTEIS]], L$5, FALSE)</f>
        <v>#N/A</v>
      </c>
    </row>
    <row r="3497" spans="1:12" hidden="1">
      <c r="A3497" s="19">
        <f t="shared" si="279"/>
        <v>3491</v>
      </c>
      <c r="B3497" s="20">
        <f t="shared" si="275"/>
        <v>0</v>
      </c>
      <c r="C3497" s="21">
        <f t="shared" si="276"/>
        <v>0</v>
      </c>
      <c r="D3497" s="22" t="e">
        <f>VLOOKUP($A3497, TAB_JUROS_U[[Q_DIAS_U_PARC_TIR]:[V_FUT_U_JURS CENARIO]], D$5, FALSE)</f>
        <v>#N/A</v>
      </c>
      <c r="E3497" s="22" t="e">
        <f>VLOOKUP($A3497,TAB_CORRECAO_U[[Q_DIAS_U_PARC_TIR]:[V_FUT_U_CORC-02]],E$5, FALSE)</f>
        <v>#N/A</v>
      </c>
      <c r="F3497" s="22" t="e">
        <f>VLOOKUP($A3497,TAB_AMORTIZACAO_U[[Q_DIAS_U_PARC_TIR]:[V_FUT_U_PCPL-02]], F$5, FALSE)</f>
        <v>#N/A</v>
      </c>
      <c r="H3497" s="20">
        <f t="shared" si="277"/>
        <v>0</v>
      </c>
      <c r="I3497" s="21">
        <f t="shared" si="278"/>
        <v>0</v>
      </c>
      <c r="J3497" s="22" t="e">
        <f>VLOOKUP($A3497, TAB_JUROS_C[[DIAS_CORRIDOS]:[V_FUT_UTEIS]], J$5, FALSE)</f>
        <v>#N/A</v>
      </c>
      <c r="K3497" s="22" t="e">
        <f>VLOOKUP($A3497, TAB_CORRECAO_C[[DIAS_CORRIDOS]:[V_FUT_UTEIS]],K$5, FALSE)</f>
        <v>#N/A</v>
      </c>
      <c r="L3497" s="22" t="e">
        <f>VLOOKUP($A3497, TAB_AMORTIZACAO_C[[DIAS_CORRIDOS]:[V_FUT_UTEIS]], L$5, FALSE)</f>
        <v>#N/A</v>
      </c>
    </row>
    <row r="3498" spans="1:12" hidden="1">
      <c r="A3498" s="19">
        <f t="shared" si="279"/>
        <v>3492</v>
      </c>
      <c r="B3498" s="20">
        <f t="shared" si="275"/>
        <v>0</v>
      </c>
      <c r="C3498" s="21">
        <f t="shared" si="276"/>
        <v>0</v>
      </c>
      <c r="D3498" s="22" t="e">
        <f>VLOOKUP($A3498, TAB_JUROS_U[[Q_DIAS_U_PARC_TIR]:[V_FUT_U_JURS CENARIO]], D$5, FALSE)</f>
        <v>#N/A</v>
      </c>
      <c r="E3498" s="22" t="e">
        <f>VLOOKUP($A3498,TAB_CORRECAO_U[[Q_DIAS_U_PARC_TIR]:[V_FUT_U_CORC-02]],E$5, FALSE)</f>
        <v>#N/A</v>
      </c>
      <c r="F3498" s="22" t="e">
        <f>VLOOKUP($A3498,TAB_AMORTIZACAO_U[[Q_DIAS_U_PARC_TIR]:[V_FUT_U_PCPL-02]], F$5, FALSE)</f>
        <v>#N/A</v>
      </c>
      <c r="H3498" s="20">
        <f t="shared" si="277"/>
        <v>0</v>
      </c>
      <c r="I3498" s="21">
        <f t="shared" si="278"/>
        <v>0</v>
      </c>
      <c r="J3498" s="22" t="e">
        <f>VLOOKUP($A3498, TAB_JUROS_C[[DIAS_CORRIDOS]:[V_FUT_UTEIS]], J$5, FALSE)</f>
        <v>#N/A</v>
      </c>
      <c r="K3498" s="22" t="e">
        <f>VLOOKUP($A3498, TAB_CORRECAO_C[[DIAS_CORRIDOS]:[V_FUT_UTEIS]],K$5, FALSE)</f>
        <v>#N/A</v>
      </c>
      <c r="L3498" s="22" t="e">
        <f>VLOOKUP($A3498, TAB_AMORTIZACAO_C[[DIAS_CORRIDOS]:[V_FUT_UTEIS]], L$5, FALSE)</f>
        <v>#N/A</v>
      </c>
    </row>
    <row r="3499" spans="1:12" hidden="1">
      <c r="A3499" s="19">
        <f t="shared" si="279"/>
        <v>3493</v>
      </c>
      <c r="B3499" s="20">
        <f t="shared" si="275"/>
        <v>0</v>
      </c>
      <c r="C3499" s="21">
        <f t="shared" si="276"/>
        <v>0</v>
      </c>
      <c r="D3499" s="22" t="e">
        <f>VLOOKUP($A3499, TAB_JUROS_U[[Q_DIAS_U_PARC_TIR]:[V_FUT_U_JURS CENARIO]], D$5, FALSE)</f>
        <v>#N/A</v>
      </c>
      <c r="E3499" s="22" t="e">
        <f>VLOOKUP($A3499,TAB_CORRECAO_U[[Q_DIAS_U_PARC_TIR]:[V_FUT_U_CORC-02]],E$5, FALSE)</f>
        <v>#N/A</v>
      </c>
      <c r="F3499" s="22" t="e">
        <f>VLOOKUP($A3499,TAB_AMORTIZACAO_U[[Q_DIAS_U_PARC_TIR]:[V_FUT_U_PCPL-02]], F$5, FALSE)</f>
        <v>#N/A</v>
      </c>
      <c r="H3499" s="20">
        <f t="shared" si="277"/>
        <v>0</v>
      </c>
      <c r="I3499" s="21">
        <f t="shared" si="278"/>
        <v>0</v>
      </c>
      <c r="J3499" s="22" t="e">
        <f>VLOOKUP($A3499, TAB_JUROS_C[[DIAS_CORRIDOS]:[V_FUT_UTEIS]], J$5, FALSE)</f>
        <v>#N/A</v>
      </c>
      <c r="K3499" s="22" t="e">
        <f>VLOOKUP($A3499, TAB_CORRECAO_C[[DIAS_CORRIDOS]:[V_FUT_UTEIS]],K$5, FALSE)</f>
        <v>#N/A</v>
      </c>
      <c r="L3499" s="22" t="e">
        <f>VLOOKUP($A3499, TAB_AMORTIZACAO_C[[DIAS_CORRIDOS]:[V_FUT_UTEIS]], L$5, FALSE)</f>
        <v>#N/A</v>
      </c>
    </row>
    <row r="3500" spans="1:12" hidden="1">
      <c r="A3500" s="19">
        <f t="shared" si="279"/>
        <v>3494</v>
      </c>
      <c r="B3500" s="20">
        <f t="shared" si="275"/>
        <v>0</v>
      </c>
      <c r="C3500" s="21">
        <f t="shared" si="276"/>
        <v>0</v>
      </c>
      <c r="D3500" s="22" t="e">
        <f>VLOOKUP($A3500, TAB_JUROS_U[[Q_DIAS_U_PARC_TIR]:[V_FUT_U_JURS CENARIO]], D$5, FALSE)</f>
        <v>#N/A</v>
      </c>
      <c r="E3500" s="22" t="e">
        <f>VLOOKUP($A3500,TAB_CORRECAO_U[[Q_DIAS_U_PARC_TIR]:[V_FUT_U_CORC-02]],E$5, FALSE)</f>
        <v>#N/A</v>
      </c>
      <c r="F3500" s="22" t="e">
        <f>VLOOKUP($A3500,TAB_AMORTIZACAO_U[[Q_DIAS_U_PARC_TIR]:[V_FUT_U_PCPL-02]], F$5, FALSE)</f>
        <v>#N/A</v>
      </c>
      <c r="H3500" s="20">
        <f t="shared" si="277"/>
        <v>0</v>
      </c>
      <c r="I3500" s="21">
        <f t="shared" si="278"/>
        <v>0</v>
      </c>
      <c r="J3500" s="22" t="e">
        <f>VLOOKUP($A3500, TAB_JUROS_C[[DIAS_CORRIDOS]:[V_FUT_UTEIS]], J$5, FALSE)</f>
        <v>#N/A</v>
      </c>
      <c r="K3500" s="22" t="e">
        <f>VLOOKUP($A3500, TAB_CORRECAO_C[[DIAS_CORRIDOS]:[V_FUT_UTEIS]],K$5, FALSE)</f>
        <v>#N/A</v>
      </c>
      <c r="L3500" s="22" t="e">
        <f>VLOOKUP($A3500, TAB_AMORTIZACAO_C[[DIAS_CORRIDOS]:[V_FUT_UTEIS]], L$5, FALSE)</f>
        <v>#N/A</v>
      </c>
    </row>
    <row r="3501" spans="1:12" hidden="1">
      <c r="A3501" s="19">
        <f t="shared" si="279"/>
        <v>3495</v>
      </c>
      <c r="B3501" s="20">
        <f t="shared" si="275"/>
        <v>0</v>
      </c>
      <c r="C3501" s="21">
        <f t="shared" si="276"/>
        <v>0</v>
      </c>
      <c r="D3501" s="22" t="e">
        <f>VLOOKUP($A3501, TAB_JUROS_U[[Q_DIAS_U_PARC_TIR]:[V_FUT_U_JURS CENARIO]], D$5, FALSE)</f>
        <v>#N/A</v>
      </c>
      <c r="E3501" s="22" t="e">
        <f>VLOOKUP($A3501,TAB_CORRECAO_U[[Q_DIAS_U_PARC_TIR]:[V_FUT_U_CORC-02]],E$5, FALSE)</f>
        <v>#N/A</v>
      </c>
      <c r="F3501" s="22" t="e">
        <f>VLOOKUP($A3501,TAB_AMORTIZACAO_U[[Q_DIAS_U_PARC_TIR]:[V_FUT_U_PCPL-02]], F$5, FALSE)</f>
        <v>#N/A</v>
      </c>
      <c r="H3501" s="20">
        <f t="shared" si="277"/>
        <v>0</v>
      </c>
      <c r="I3501" s="21">
        <f t="shared" si="278"/>
        <v>0</v>
      </c>
      <c r="J3501" s="22" t="e">
        <f>VLOOKUP($A3501, TAB_JUROS_C[[DIAS_CORRIDOS]:[V_FUT_UTEIS]], J$5, FALSE)</f>
        <v>#N/A</v>
      </c>
      <c r="K3501" s="22" t="e">
        <f>VLOOKUP($A3501, TAB_CORRECAO_C[[DIAS_CORRIDOS]:[V_FUT_UTEIS]],K$5, FALSE)</f>
        <v>#N/A</v>
      </c>
      <c r="L3501" s="22" t="e">
        <f>VLOOKUP($A3501, TAB_AMORTIZACAO_C[[DIAS_CORRIDOS]:[V_FUT_UTEIS]], L$5, FALSE)</f>
        <v>#N/A</v>
      </c>
    </row>
    <row r="3502" spans="1:12" hidden="1">
      <c r="A3502" s="19">
        <f t="shared" si="279"/>
        <v>3496</v>
      </c>
      <c r="B3502" s="20">
        <f t="shared" si="275"/>
        <v>0</v>
      </c>
      <c r="C3502" s="21">
        <f t="shared" si="276"/>
        <v>0</v>
      </c>
      <c r="D3502" s="22" t="e">
        <f>VLOOKUP($A3502, TAB_JUROS_U[[Q_DIAS_U_PARC_TIR]:[V_FUT_U_JURS CENARIO]], D$5, FALSE)</f>
        <v>#N/A</v>
      </c>
      <c r="E3502" s="22" t="e">
        <f>VLOOKUP($A3502,TAB_CORRECAO_U[[Q_DIAS_U_PARC_TIR]:[V_FUT_U_CORC-02]],E$5, FALSE)</f>
        <v>#N/A</v>
      </c>
      <c r="F3502" s="22" t="e">
        <f>VLOOKUP($A3502,TAB_AMORTIZACAO_U[[Q_DIAS_U_PARC_TIR]:[V_FUT_U_PCPL-02]], F$5, FALSE)</f>
        <v>#N/A</v>
      </c>
      <c r="H3502" s="20">
        <f t="shared" si="277"/>
        <v>0</v>
      </c>
      <c r="I3502" s="21">
        <f t="shared" si="278"/>
        <v>0</v>
      </c>
      <c r="J3502" s="22" t="e">
        <f>VLOOKUP($A3502, TAB_JUROS_C[[DIAS_CORRIDOS]:[V_FUT_UTEIS]], J$5, FALSE)</f>
        <v>#N/A</v>
      </c>
      <c r="K3502" s="22" t="e">
        <f>VLOOKUP($A3502, TAB_CORRECAO_C[[DIAS_CORRIDOS]:[V_FUT_UTEIS]],K$5, FALSE)</f>
        <v>#N/A</v>
      </c>
      <c r="L3502" s="22" t="e">
        <f>VLOOKUP($A3502, TAB_AMORTIZACAO_C[[DIAS_CORRIDOS]:[V_FUT_UTEIS]], L$5, FALSE)</f>
        <v>#N/A</v>
      </c>
    </row>
    <row r="3503" spans="1:12" hidden="1">
      <c r="A3503" s="19">
        <f t="shared" si="279"/>
        <v>3497</v>
      </c>
      <c r="B3503" s="20">
        <f t="shared" si="275"/>
        <v>0</v>
      </c>
      <c r="C3503" s="21">
        <f t="shared" si="276"/>
        <v>0</v>
      </c>
      <c r="D3503" s="22" t="e">
        <f>VLOOKUP($A3503, TAB_JUROS_U[[Q_DIAS_U_PARC_TIR]:[V_FUT_U_JURS CENARIO]], D$5, FALSE)</f>
        <v>#N/A</v>
      </c>
      <c r="E3503" s="22" t="e">
        <f>VLOOKUP($A3503,TAB_CORRECAO_U[[Q_DIAS_U_PARC_TIR]:[V_FUT_U_CORC-02]],E$5, FALSE)</f>
        <v>#N/A</v>
      </c>
      <c r="F3503" s="22" t="e">
        <f>VLOOKUP($A3503,TAB_AMORTIZACAO_U[[Q_DIAS_U_PARC_TIR]:[V_FUT_U_PCPL-02]], F$5, FALSE)</f>
        <v>#N/A</v>
      </c>
      <c r="H3503" s="20">
        <f t="shared" si="277"/>
        <v>0</v>
      </c>
      <c r="I3503" s="21">
        <f t="shared" si="278"/>
        <v>0</v>
      </c>
      <c r="J3503" s="22" t="e">
        <f>VLOOKUP($A3503, TAB_JUROS_C[[DIAS_CORRIDOS]:[V_FUT_UTEIS]], J$5, FALSE)</f>
        <v>#N/A</v>
      </c>
      <c r="K3503" s="22" t="e">
        <f>VLOOKUP($A3503, TAB_CORRECAO_C[[DIAS_CORRIDOS]:[V_FUT_UTEIS]],K$5, FALSE)</f>
        <v>#N/A</v>
      </c>
      <c r="L3503" s="22" t="e">
        <f>VLOOKUP($A3503, TAB_AMORTIZACAO_C[[DIAS_CORRIDOS]:[V_FUT_UTEIS]], L$5, FALSE)</f>
        <v>#N/A</v>
      </c>
    </row>
    <row r="3504" spans="1:12" hidden="1">
      <c r="A3504" s="19">
        <f t="shared" si="279"/>
        <v>3498</v>
      </c>
      <c r="B3504" s="20">
        <f t="shared" si="275"/>
        <v>0</v>
      </c>
      <c r="C3504" s="21">
        <f t="shared" si="276"/>
        <v>0</v>
      </c>
      <c r="D3504" s="22" t="e">
        <f>VLOOKUP($A3504, TAB_JUROS_U[[Q_DIAS_U_PARC_TIR]:[V_FUT_U_JURS CENARIO]], D$5, FALSE)</f>
        <v>#N/A</v>
      </c>
      <c r="E3504" s="22" t="e">
        <f>VLOOKUP($A3504,TAB_CORRECAO_U[[Q_DIAS_U_PARC_TIR]:[V_FUT_U_CORC-02]],E$5, FALSE)</f>
        <v>#N/A</v>
      </c>
      <c r="F3504" s="22" t="e">
        <f>VLOOKUP($A3504,TAB_AMORTIZACAO_U[[Q_DIAS_U_PARC_TIR]:[V_FUT_U_PCPL-02]], F$5, FALSE)</f>
        <v>#N/A</v>
      </c>
      <c r="H3504" s="20">
        <f t="shared" si="277"/>
        <v>0</v>
      </c>
      <c r="I3504" s="21">
        <f t="shared" si="278"/>
        <v>0</v>
      </c>
      <c r="J3504" s="22" t="e">
        <f>VLOOKUP($A3504, TAB_JUROS_C[[DIAS_CORRIDOS]:[V_FUT_UTEIS]], J$5, FALSE)</f>
        <v>#N/A</v>
      </c>
      <c r="K3504" s="22" t="e">
        <f>VLOOKUP($A3504, TAB_CORRECAO_C[[DIAS_CORRIDOS]:[V_FUT_UTEIS]],K$5, FALSE)</f>
        <v>#N/A</v>
      </c>
      <c r="L3504" s="22" t="e">
        <f>VLOOKUP($A3504, TAB_AMORTIZACAO_C[[DIAS_CORRIDOS]:[V_FUT_UTEIS]], L$5, FALSE)</f>
        <v>#N/A</v>
      </c>
    </row>
    <row r="3505" spans="1:12" hidden="1">
      <c r="A3505" s="19">
        <f t="shared" si="279"/>
        <v>3499</v>
      </c>
      <c r="B3505" s="20">
        <f t="shared" si="275"/>
        <v>0</v>
      </c>
      <c r="C3505" s="21">
        <f t="shared" si="276"/>
        <v>0</v>
      </c>
      <c r="D3505" s="22" t="e">
        <f>VLOOKUP($A3505, TAB_JUROS_U[[Q_DIAS_U_PARC_TIR]:[V_FUT_U_JURS CENARIO]], D$5, FALSE)</f>
        <v>#N/A</v>
      </c>
      <c r="E3505" s="22" t="e">
        <f>VLOOKUP($A3505,TAB_CORRECAO_U[[Q_DIAS_U_PARC_TIR]:[V_FUT_U_CORC-02]],E$5, FALSE)</f>
        <v>#N/A</v>
      </c>
      <c r="F3505" s="22" t="e">
        <f>VLOOKUP($A3505,TAB_AMORTIZACAO_U[[Q_DIAS_U_PARC_TIR]:[V_FUT_U_PCPL-02]], F$5, FALSE)</f>
        <v>#N/A</v>
      </c>
      <c r="H3505" s="20">
        <f t="shared" si="277"/>
        <v>0</v>
      </c>
      <c r="I3505" s="21">
        <f t="shared" si="278"/>
        <v>0</v>
      </c>
      <c r="J3505" s="22" t="e">
        <f>VLOOKUP($A3505, TAB_JUROS_C[[DIAS_CORRIDOS]:[V_FUT_UTEIS]], J$5, FALSE)</f>
        <v>#N/A</v>
      </c>
      <c r="K3505" s="22" t="e">
        <f>VLOOKUP($A3505, TAB_CORRECAO_C[[DIAS_CORRIDOS]:[V_FUT_UTEIS]],K$5, FALSE)</f>
        <v>#N/A</v>
      </c>
      <c r="L3505" s="22" t="e">
        <f>VLOOKUP($A3505, TAB_AMORTIZACAO_C[[DIAS_CORRIDOS]:[V_FUT_UTEIS]], L$5, FALSE)</f>
        <v>#N/A</v>
      </c>
    </row>
    <row r="3506" spans="1:12" hidden="1">
      <c r="A3506" s="19">
        <f t="shared" si="279"/>
        <v>3500</v>
      </c>
      <c r="B3506" s="20">
        <f t="shared" si="275"/>
        <v>0</v>
      </c>
      <c r="C3506" s="21">
        <f t="shared" si="276"/>
        <v>0</v>
      </c>
      <c r="D3506" s="22" t="e">
        <f>VLOOKUP($A3506, TAB_JUROS_U[[Q_DIAS_U_PARC_TIR]:[V_FUT_U_JURS CENARIO]], D$5, FALSE)</f>
        <v>#N/A</v>
      </c>
      <c r="E3506" s="22" t="e">
        <f>VLOOKUP($A3506,TAB_CORRECAO_U[[Q_DIAS_U_PARC_TIR]:[V_FUT_U_CORC-02]],E$5, FALSE)</f>
        <v>#N/A</v>
      </c>
      <c r="F3506" s="22" t="e">
        <f>VLOOKUP($A3506,TAB_AMORTIZACAO_U[[Q_DIAS_U_PARC_TIR]:[V_FUT_U_PCPL-02]], F$5, FALSE)</f>
        <v>#N/A</v>
      </c>
      <c r="H3506" s="20">
        <f t="shared" si="277"/>
        <v>0</v>
      </c>
      <c r="I3506" s="21">
        <f t="shared" si="278"/>
        <v>0</v>
      </c>
      <c r="J3506" s="22" t="e">
        <f>VLOOKUP($A3506, TAB_JUROS_C[[DIAS_CORRIDOS]:[V_FUT_UTEIS]], J$5, FALSE)</f>
        <v>#N/A</v>
      </c>
      <c r="K3506" s="22" t="e">
        <f>VLOOKUP($A3506, TAB_CORRECAO_C[[DIAS_CORRIDOS]:[V_FUT_UTEIS]],K$5, FALSE)</f>
        <v>#N/A</v>
      </c>
      <c r="L3506" s="22" t="e">
        <f>VLOOKUP($A3506, TAB_AMORTIZACAO_C[[DIAS_CORRIDOS]:[V_FUT_UTEIS]], L$5, FALSE)</f>
        <v>#N/A</v>
      </c>
    </row>
    <row r="3507" spans="1:12" hidden="1">
      <c r="A3507" s="19">
        <f t="shared" si="279"/>
        <v>3501</v>
      </c>
      <c r="B3507" s="20">
        <f t="shared" si="275"/>
        <v>0</v>
      </c>
      <c r="C3507" s="21">
        <f t="shared" si="276"/>
        <v>0</v>
      </c>
      <c r="D3507" s="22" t="e">
        <f>VLOOKUP($A3507, TAB_JUROS_U[[Q_DIAS_U_PARC_TIR]:[V_FUT_U_JURS CENARIO]], D$5, FALSE)</f>
        <v>#N/A</v>
      </c>
      <c r="E3507" s="22" t="e">
        <f>VLOOKUP($A3507,TAB_CORRECAO_U[[Q_DIAS_U_PARC_TIR]:[V_FUT_U_CORC-02]],E$5, FALSE)</f>
        <v>#N/A</v>
      </c>
      <c r="F3507" s="22" t="e">
        <f>VLOOKUP($A3507,TAB_AMORTIZACAO_U[[Q_DIAS_U_PARC_TIR]:[V_FUT_U_PCPL-02]], F$5, FALSE)</f>
        <v>#N/A</v>
      </c>
      <c r="H3507" s="20">
        <f t="shared" si="277"/>
        <v>0</v>
      </c>
      <c r="I3507" s="21">
        <f t="shared" si="278"/>
        <v>0</v>
      </c>
      <c r="J3507" s="22" t="e">
        <f>VLOOKUP($A3507, TAB_JUROS_C[[DIAS_CORRIDOS]:[V_FUT_UTEIS]], J$5, FALSE)</f>
        <v>#N/A</v>
      </c>
      <c r="K3507" s="22" t="e">
        <f>VLOOKUP($A3507, TAB_CORRECAO_C[[DIAS_CORRIDOS]:[V_FUT_UTEIS]],K$5, FALSE)</f>
        <v>#N/A</v>
      </c>
      <c r="L3507" s="22" t="e">
        <f>VLOOKUP($A3507, TAB_AMORTIZACAO_C[[DIAS_CORRIDOS]:[V_FUT_UTEIS]], L$5, FALSE)</f>
        <v>#N/A</v>
      </c>
    </row>
    <row r="3508" spans="1:12" hidden="1">
      <c r="A3508" s="19">
        <f t="shared" si="279"/>
        <v>3502</v>
      </c>
      <c r="B3508" s="20">
        <f t="shared" si="275"/>
        <v>0</v>
      </c>
      <c r="C3508" s="21">
        <f t="shared" si="276"/>
        <v>0</v>
      </c>
      <c r="D3508" s="22" t="e">
        <f>VLOOKUP($A3508, TAB_JUROS_U[[Q_DIAS_U_PARC_TIR]:[V_FUT_U_JURS CENARIO]], D$5, FALSE)</f>
        <v>#N/A</v>
      </c>
      <c r="E3508" s="22" t="e">
        <f>VLOOKUP($A3508,TAB_CORRECAO_U[[Q_DIAS_U_PARC_TIR]:[V_FUT_U_CORC-02]],E$5, FALSE)</f>
        <v>#N/A</v>
      </c>
      <c r="F3508" s="22" t="e">
        <f>VLOOKUP($A3508,TAB_AMORTIZACAO_U[[Q_DIAS_U_PARC_TIR]:[V_FUT_U_PCPL-02]], F$5, FALSE)</f>
        <v>#N/A</v>
      </c>
      <c r="H3508" s="20">
        <f t="shared" si="277"/>
        <v>0</v>
      </c>
      <c r="I3508" s="21">
        <f t="shared" si="278"/>
        <v>0</v>
      </c>
      <c r="J3508" s="22" t="e">
        <f>VLOOKUP($A3508, TAB_JUROS_C[[DIAS_CORRIDOS]:[V_FUT_UTEIS]], J$5, FALSE)</f>
        <v>#N/A</v>
      </c>
      <c r="K3508" s="22" t="e">
        <f>VLOOKUP($A3508, TAB_CORRECAO_C[[DIAS_CORRIDOS]:[V_FUT_UTEIS]],K$5, FALSE)</f>
        <v>#N/A</v>
      </c>
      <c r="L3508" s="22" t="e">
        <f>VLOOKUP($A3508, TAB_AMORTIZACAO_C[[DIAS_CORRIDOS]:[V_FUT_UTEIS]], L$5, FALSE)</f>
        <v>#N/A</v>
      </c>
    </row>
    <row r="3509" spans="1:12" hidden="1">
      <c r="A3509" s="19">
        <f t="shared" si="279"/>
        <v>3503</v>
      </c>
      <c r="B3509" s="20">
        <f t="shared" si="275"/>
        <v>0</v>
      </c>
      <c r="C3509" s="21">
        <f t="shared" si="276"/>
        <v>0</v>
      </c>
      <c r="D3509" s="22" t="e">
        <f>VLOOKUP($A3509, TAB_JUROS_U[[Q_DIAS_U_PARC_TIR]:[V_FUT_U_JURS CENARIO]], D$5, FALSE)</f>
        <v>#N/A</v>
      </c>
      <c r="E3509" s="22" t="e">
        <f>VLOOKUP($A3509,TAB_CORRECAO_U[[Q_DIAS_U_PARC_TIR]:[V_FUT_U_CORC-02]],E$5, FALSE)</f>
        <v>#N/A</v>
      </c>
      <c r="F3509" s="22" t="e">
        <f>VLOOKUP($A3509,TAB_AMORTIZACAO_U[[Q_DIAS_U_PARC_TIR]:[V_FUT_U_PCPL-02]], F$5, FALSE)</f>
        <v>#N/A</v>
      </c>
      <c r="H3509" s="20">
        <f t="shared" si="277"/>
        <v>0</v>
      </c>
      <c r="I3509" s="21">
        <f t="shared" si="278"/>
        <v>0</v>
      </c>
      <c r="J3509" s="22" t="e">
        <f>VLOOKUP($A3509, TAB_JUROS_C[[DIAS_CORRIDOS]:[V_FUT_UTEIS]], J$5, FALSE)</f>
        <v>#N/A</v>
      </c>
      <c r="K3509" s="22" t="e">
        <f>VLOOKUP($A3509, TAB_CORRECAO_C[[DIAS_CORRIDOS]:[V_FUT_UTEIS]],K$5, FALSE)</f>
        <v>#N/A</v>
      </c>
      <c r="L3509" s="22" t="e">
        <f>VLOOKUP($A3509, TAB_AMORTIZACAO_C[[DIAS_CORRIDOS]:[V_FUT_UTEIS]], L$5, FALSE)</f>
        <v>#N/A</v>
      </c>
    </row>
    <row r="3510" spans="1:12" hidden="1">
      <c r="A3510" s="19">
        <f t="shared" si="279"/>
        <v>3504</v>
      </c>
      <c r="B3510" s="20">
        <f t="shared" si="275"/>
        <v>0</v>
      </c>
      <c r="C3510" s="21">
        <f t="shared" si="276"/>
        <v>0</v>
      </c>
      <c r="D3510" s="22" t="e">
        <f>VLOOKUP($A3510, TAB_JUROS_U[[Q_DIAS_U_PARC_TIR]:[V_FUT_U_JURS CENARIO]], D$5, FALSE)</f>
        <v>#N/A</v>
      </c>
      <c r="E3510" s="22" t="e">
        <f>VLOOKUP($A3510,TAB_CORRECAO_U[[Q_DIAS_U_PARC_TIR]:[V_FUT_U_CORC-02]],E$5, FALSE)</f>
        <v>#N/A</v>
      </c>
      <c r="F3510" s="22" t="e">
        <f>VLOOKUP($A3510,TAB_AMORTIZACAO_U[[Q_DIAS_U_PARC_TIR]:[V_FUT_U_PCPL-02]], F$5, FALSE)</f>
        <v>#N/A</v>
      </c>
      <c r="H3510" s="20">
        <f t="shared" si="277"/>
        <v>0</v>
      </c>
      <c r="I3510" s="21">
        <f t="shared" si="278"/>
        <v>0</v>
      </c>
      <c r="J3510" s="22" t="e">
        <f>VLOOKUP($A3510, TAB_JUROS_C[[DIAS_CORRIDOS]:[V_FUT_UTEIS]], J$5, FALSE)</f>
        <v>#N/A</v>
      </c>
      <c r="K3510" s="22" t="e">
        <f>VLOOKUP($A3510, TAB_CORRECAO_C[[DIAS_CORRIDOS]:[V_FUT_UTEIS]],K$5, FALSE)</f>
        <v>#N/A</v>
      </c>
      <c r="L3510" s="22" t="e">
        <f>VLOOKUP($A3510, TAB_AMORTIZACAO_C[[DIAS_CORRIDOS]:[V_FUT_UTEIS]], L$5, FALSE)</f>
        <v>#N/A</v>
      </c>
    </row>
    <row r="3511" spans="1:12" hidden="1">
      <c r="A3511" s="19">
        <f t="shared" si="279"/>
        <v>3505</v>
      </c>
      <c r="B3511" s="20">
        <f t="shared" si="275"/>
        <v>0</v>
      </c>
      <c r="C3511" s="21">
        <f t="shared" si="276"/>
        <v>0</v>
      </c>
      <c r="D3511" s="22" t="e">
        <f>VLOOKUP($A3511, TAB_JUROS_U[[Q_DIAS_U_PARC_TIR]:[V_FUT_U_JURS CENARIO]], D$5, FALSE)</f>
        <v>#N/A</v>
      </c>
      <c r="E3511" s="22" t="e">
        <f>VLOOKUP($A3511,TAB_CORRECAO_U[[Q_DIAS_U_PARC_TIR]:[V_FUT_U_CORC-02]],E$5, FALSE)</f>
        <v>#N/A</v>
      </c>
      <c r="F3511" s="22" t="e">
        <f>VLOOKUP($A3511,TAB_AMORTIZACAO_U[[Q_DIAS_U_PARC_TIR]:[V_FUT_U_PCPL-02]], F$5, FALSE)</f>
        <v>#N/A</v>
      </c>
      <c r="H3511" s="20">
        <f t="shared" si="277"/>
        <v>0</v>
      </c>
      <c r="I3511" s="21">
        <f t="shared" si="278"/>
        <v>0</v>
      </c>
      <c r="J3511" s="22" t="e">
        <f>VLOOKUP($A3511, TAB_JUROS_C[[DIAS_CORRIDOS]:[V_FUT_UTEIS]], J$5, FALSE)</f>
        <v>#N/A</v>
      </c>
      <c r="K3511" s="22" t="e">
        <f>VLOOKUP($A3511, TAB_CORRECAO_C[[DIAS_CORRIDOS]:[V_FUT_UTEIS]],K$5, FALSE)</f>
        <v>#N/A</v>
      </c>
      <c r="L3511" s="22" t="e">
        <f>VLOOKUP($A3511, TAB_AMORTIZACAO_C[[DIAS_CORRIDOS]:[V_FUT_UTEIS]], L$5, FALSE)</f>
        <v>#N/A</v>
      </c>
    </row>
    <row r="3512" spans="1:12" hidden="1">
      <c r="A3512" s="19">
        <f t="shared" si="279"/>
        <v>3506</v>
      </c>
      <c r="B3512" s="20">
        <f t="shared" si="275"/>
        <v>0</v>
      </c>
      <c r="C3512" s="21">
        <f t="shared" si="276"/>
        <v>0</v>
      </c>
      <c r="D3512" s="22" t="e">
        <f>VLOOKUP($A3512, TAB_JUROS_U[[Q_DIAS_U_PARC_TIR]:[V_FUT_U_JURS CENARIO]], D$5, FALSE)</f>
        <v>#N/A</v>
      </c>
      <c r="E3512" s="22" t="e">
        <f>VLOOKUP($A3512,TAB_CORRECAO_U[[Q_DIAS_U_PARC_TIR]:[V_FUT_U_CORC-02]],E$5, FALSE)</f>
        <v>#N/A</v>
      </c>
      <c r="F3512" s="22" t="e">
        <f>VLOOKUP($A3512,TAB_AMORTIZACAO_U[[Q_DIAS_U_PARC_TIR]:[V_FUT_U_PCPL-02]], F$5, FALSE)</f>
        <v>#N/A</v>
      </c>
      <c r="H3512" s="20">
        <f t="shared" si="277"/>
        <v>0</v>
      </c>
      <c r="I3512" s="21">
        <f t="shared" si="278"/>
        <v>0</v>
      </c>
      <c r="J3512" s="22" t="e">
        <f>VLOOKUP($A3512, TAB_JUROS_C[[DIAS_CORRIDOS]:[V_FUT_UTEIS]], J$5, FALSE)</f>
        <v>#N/A</v>
      </c>
      <c r="K3512" s="22" t="e">
        <f>VLOOKUP($A3512, TAB_CORRECAO_C[[DIAS_CORRIDOS]:[V_FUT_UTEIS]],K$5, FALSE)</f>
        <v>#N/A</v>
      </c>
      <c r="L3512" s="22" t="e">
        <f>VLOOKUP($A3512, TAB_AMORTIZACAO_C[[DIAS_CORRIDOS]:[V_FUT_UTEIS]], L$5, FALSE)</f>
        <v>#N/A</v>
      </c>
    </row>
    <row r="3513" spans="1:12" hidden="1">
      <c r="A3513" s="19">
        <f t="shared" si="279"/>
        <v>3507</v>
      </c>
      <c r="B3513" s="20">
        <f t="shared" si="275"/>
        <v>0</v>
      </c>
      <c r="C3513" s="21">
        <f t="shared" si="276"/>
        <v>0</v>
      </c>
      <c r="D3513" s="22" t="e">
        <f>VLOOKUP($A3513, TAB_JUROS_U[[Q_DIAS_U_PARC_TIR]:[V_FUT_U_JURS CENARIO]], D$5, FALSE)</f>
        <v>#N/A</v>
      </c>
      <c r="E3513" s="22" t="e">
        <f>VLOOKUP($A3513,TAB_CORRECAO_U[[Q_DIAS_U_PARC_TIR]:[V_FUT_U_CORC-02]],E$5, FALSE)</f>
        <v>#N/A</v>
      </c>
      <c r="F3513" s="22" t="e">
        <f>VLOOKUP($A3513,TAB_AMORTIZACAO_U[[Q_DIAS_U_PARC_TIR]:[V_FUT_U_PCPL-02]], F$5, FALSE)</f>
        <v>#N/A</v>
      </c>
      <c r="H3513" s="20">
        <f t="shared" si="277"/>
        <v>0</v>
      </c>
      <c r="I3513" s="21">
        <f t="shared" si="278"/>
        <v>0</v>
      </c>
      <c r="J3513" s="22" t="e">
        <f>VLOOKUP($A3513, TAB_JUROS_C[[DIAS_CORRIDOS]:[V_FUT_UTEIS]], J$5, FALSE)</f>
        <v>#N/A</v>
      </c>
      <c r="K3513" s="22" t="e">
        <f>VLOOKUP($A3513, TAB_CORRECAO_C[[DIAS_CORRIDOS]:[V_FUT_UTEIS]],K$5, FALSE)</f>
        <v>#N/A</v>
      </c>
      <c r="L3513" s="22" t="e">
        <f>VLOOKUP($A3513, TAB_AMORTIZACAO_C[[DIAS_CORRIDOS]:[V_FUT_UTEIS]], L$5, FALSE)</f>
        <v>#N/A</v>
      </c>
    </row>
    <row r="3514" spans="1:12" hidden="1">
      <c r="A3514" s="19">
        <f t="shared" si="279"/>
        <v>3508</v>
      </c>
      <c r="B3514" s="20">
        <f t="shared" si="275"/>
        <v>0</v>
      </c>
      <c r="C3514" s="21">
        <f t="shared" si="276"/>
        <v>0</v>
      </c>
      <c r="D3514" s="22" t="e">
        <f>VLOOKUP($A3514, TAB_JUROS_U[[Q_DIAS_U_PARC_TIR]:[V_FUT_U_JURS CENARIO]], D$5, FALSE)</f>
        <v>#N/A</v>
      </c>
      <c r="E3514" s="22" t="e">
        <f>VLOOKUP($A3514,TAB_CORRECAO_U[[Q_DIAS_U_PARC_TIR]:[V_FUT_U_CORC-02]],E$5, FALSE)</f>
        <v>#N/A</v>
      </c>
      <c r="F3514" s="22" t="e">
        <f>VLOOKUP($A3514,TAB_AMORTIZACAO_U[[Q_DIAS_U_PARC_TIR]:[V_FUT_U_PCPL-02]], F$5, FALSE)</f>
        <v>#N/A</v>
      </c>
      <c r="H3514" s="20">
        <f t="shared" si="277"/>
        <v>0</v>
      </c>
      <c r="I3514" s="21">
        <f t="shared" si="278"/>
        <v>0</v>
      </c>
      <c r="J3514" s="22" t="e">
        <f>VLOOKUP($A3514, TAB_JUROS_C[[DIAS_CORRIDOS]:[V_FUT_UTEIS]], J$5, FALSE)</f>
        <v>#N/A</v>
      </c>
      <c r="K3514" s="22" t="e">
        <f>VLOOKUP($A3514, TAB_CORRECAO_C[[DIAS_CORRIDOS]:[V_FUT_UTEIS]],K$5, FALSE)</f>
        <v>#N/A</v>
      </c>
      <c r="L3514" s="22" t="e">
        <f>VLOOKUP($A3514, TAB_AMORTIZACAO_C[[DIAS_CORRIDOS]:[V_FUT_UTEIS]], L$5, FALSE)</f>
        <v>#N/A</v>
      </c>
    </row>
    <row r="3515" spans="1:12" hidden="1">
      <c r="A3515" s="19">
        <f t="shared" si="279"/>
        <v>3509</v>
      </c>
      <c r="B3515" s="20">
        <f t="shared" si="275"/>
        <v>0</v>
      </c>
      <c r="C3515" s="21">
        <f t="shared" si="276"/>
        <v>0</v>
      </c>
      <c r="D3515" s="22" t="e">
        <f>VLOOKUP($A3515, TAB_JUROS_U[[Q_DIAS_U_PARC_TIR]:[V_FUT_U_JURS CENARIO]], D$5, FALSE)</f>
        <v>#N/A</v>
      </c>
      <c r="E3515" s="22" t="e">
        <f>VLOOKUP($A3515,TAB_CORRECAO_U[[Q_DIAS_U_PARC_TIR]:[V_FUT_U_CORC-02]],E$5, FALSE)</f>
        <v>#N/A</v>
      </c>
      <c r="F3515" s="22" t="e">
        <f>VLOOKUP($A3515,TAB_AMORTIZACAO_U[[Q_DIAS_U_PARC_TIR]:[V_FUT_U_PCPL-02]], F$5, FALSE)</f>
        <v>#N/A</v>
      </c>
      <c r="H3515" s="20">
        <f t="shared" si="277"/>
        <v>0</v>
      </c>
      <c r="I3515" s="21">
        <f t="shared" si="278"/>
        <v>0</v>
      </c>
      <c r="J3515" s="22" t="e">
        <f>VLOOKUP($A3515, TAB_JUROS_C[[DIAS_CORRIDOS]:[V_FUT_UTEIS]], J$5, FALSE)</f>
        <v>#N/A</v>
      </c>
      <c r="K3515" s="22" t="e">
        <f>VLOOKUP($A3515, TAB_CORRECAO_C[[DIAS_CORRIDOS]:[V_FUT_UTEIS]],K$5, FALSE)</f>
        <v>#N/A</v>
      </c>
      <c r="L3515" s="22" t="e">
        <f>VLOOKUP($A3515, TAB_AMORTIZACAO_C[[DIAS_CORRIDOS]:[V_FUT_UTEIS]], L$5, FALSE)</f>
        <v>#N/A</v>
      </c>
    </row>
    <row r="3516" spans="1:12" hidden="1">
      <c r="A3516" s="19">
        <f t="shared" si="279"/>
        <v>3510</v>
      </c>
      <c r="B3516" s="20">
        <f t="shared" si="275"/>
        <v>0</v>
      </c>
      <c r="C3516" s="21">
        <f t="shared" si="276"/>
        <v>0</v>
      </c>
      <c r="D3516" s="22" t="e">
        <f>VLOOKUP($A3516, TAB_JUROS_U[[Q_DIAS_U_PARC_TIR]:[V_FUT_U_JURS CENARIO]], D$5, FALSE)</f>
        <v>#N/A</v>
      </c>
      <c r="E3516" s="22" t="e">
        <f>VLOOKUP($A3516,TAB_CORRECAO_U[[Q_DIAS_U_PARC_TIR]:[V_FUT_U_CORC-02]],E$5, FALSE)</f>
        <v>#N/A</v>
      </c>
      <c r="F3516" s="22" t="e">
        <f>VLOOKUP($A3516,TAB_AMORTIZACAO_U[[Q_DIAS_U_PARC_TIR]:[V_FUT_U_PCPL-02]], F$5, FALSE)</f>
        <v>#N/A</v>
      </c>
      <c r="H3516" s="20">
        <f t="shared" si="277"/>
        <v>0</v>
      </c>
      <c r="I3516" s="21">
        <f t="shared" si="278"/>
        <v>0</v>
      </c>
      <c r="J3516" s="22" t="e">
        <f>VLOOKUP($A3516, TAB_JUROS_C[[DIAS_CORRIDOS]:[V_FUT_UTEIS]], J$5, FALSE)</f>
        <v>#N/A</v>
      </c>
      <c r="K3516" s="22" t="e">
        <f>VLOOKUP($A3516, TAB_CORRECAO_C[[DIAS_CORRIDOS]:[V_FUT_UTEIS]],K$5, FALSE)</f>
        <v>#N/A</v>
      </c>
      <c r="L3516" s="22" t="e">
        <f>VLOOKUP($A3516, TAB_AMORTIZACAO_C[[DIAS_CORRIDOS]:[V_FUT_UTEIS]], L$5, FALSE)</f>
        <v>#N/A</v>
      </c>
    </row>
    <row r="3517" spans="1:12" hidden="1">
      <c r="A3517" s="19">
        <f t="shared" si="279"/>
        <v>3511</v>
      </c>
      <c r="B3517" s="20">
        <f t="shared" si="275"/>
        <v>0</v>
      </c>
      <c r="C3517" s="21">
        <f t="shared" si="276"/>
        <v>0</v>
      </c>
      <c r="D3517" s="22" t="e">
        <f>VLOOKUP($A3517, TAB_JUROS_U[[Q_DIAS_U_PARC_TIR]:[V_FUT_U_JURS CENARIO]], D$5, FALSE)</f>
        <v>#N/A</v>
      </c>
      <c r="E3517" s="22" t="e">
        <f>VLOOKUP($A3517,TAB_CORRECAO_U[[Q_DIAS_U_PARC_TIR]:[V_FUT_U_CORC-02]],E$5, FALSE)</f>
        <v>#N/A</v>
      </c>
      <c r="F3517" s="22" t="e">
        <f>VLOOKUP($A3517,TAB_AMORTIZACAO_U[[Q_DIAS_U_PARC_TIR]:[V_FUT_U_PCPL-02]], F$5, FALSE)</f>
        <v>#N/A</v>
      </c>
      <c r="H3517" s="20">
        <f t="shared" si="277"/>
        <v>186.26714832153073</v>
      </c>
      <c r="I3517" s="21">
        <f t="shared" si="278"/>
        <v>186.26714832153073</v>
      </c>
      <c r="J3517" s="22">
        <f>VLOOKUP($A3517, TAB_JUROS_C[[DIAS_CORRIDOS]:[V_FUT_UTEIS]], J$5, FALSE)</f>
        <v>8.2323433793209411</v>
      </c>
      <c r="K3517" s="22">
        <f>VLOOKUP($A3517, TAB_CORRECAO_C[[DIAS_CORRIDOS]:[V_FUT_UTEIS]],K$5, FALSE)</f>
        <v>48.962150640472366</v>
      </c>
      <c r="L3517" s="22">
        <f>VLOOKUP($A3517, TAB_AMORTIZACAO_C[[DIAS_CORRIDOS]:[V_FUT_UTEIS]], L$5, FALSE)</f>
        <v>129.0726543017374</v>
      </c>
    </row>
    <row r="3518" spans="1:12" hidden="1">
      <c r="A3518" s="19">
        <f t="shared" si="279"/>
        <v>3512</v>
      </c>
      <c r="B3518" s="20">
        <f t="shared" si="275"/>
        <v>0</v>
      </c>
      <c r="C3518" s="21">
        <f t="shared" si="276"/>
        <v>0</v>
      </c>
      <c r="D3518" s="22" t="e">
        <f>VLOOKUP($A3518, TAB_JUROS_U[[Q_DIAS_U_PARC_TIR]:[V_FUT_U_JURS CENARIO]], D$5, FALSE)</f>
        <v>#N/A</v>
      </c>
      <c r="E3518" s="22" t="e">
        <f>VLOOKUP($A3518,TAB_CORRECAO_U[[Q_DIAS_U_PARC_TIR]:[V_FUT_U_CORC-02]],E$5, FALSE)</f>
        <v>#N/A</v>
      </c>
      <c r="F3518" s="22" t="e">
        <f>VLOOKUP($A3518,TAB_AMORTIZACAO_U[[Q_DIAS_U_PARC_TIR]:[V_FUT_U_PCPL-02]], F$5, FALSE)</f>
        <v>#N/A</v>
      </c>
      <c r="H3518" s="20">
        <f t="shared" si="277"/>
        <v>0</v>
      </c>
      <c r="I3518" s="21">
        <f t="shared" si="278"/>
        <v>0</v>
      </c>
      <c r="J3518" s="22" t="e">
        <f>VLOOKUP($A3518, TAB_JUROS_C[[DIAS_CORRIDOS]:[V_FUT_UTEIS]], J$5, FALSE)</f>
        <v>#N/A</v>
      </c>
      <c r="K3518" s="22" t="e">
        <f>VLOOKUP($A3518, TAB_CORRECAO_C[[DIAS_CORRIDOS]:[V_FUT_UTEIS]],K$5, FALSE)</f>
        <v>#N/A</v>
      </c>
      <c r="L3518" s="22" t="e">
        <f>VLOOKUP($A3518, TAB_AMORTIZACAO_C[[DIAS_CORRIDOS]:[V_FUT_UTEIS]], L$5, FALSE)</f>
        <v>#N/A</v>
      </c>
    </row>
    <row r="3519" spans="1:12" hidden="1">
      <c r="A3519" s="19">
        <f t="shared" si="279"/>
        <v>3513</v>
      </c>
      <c r="B3519" s="20">
        <f t="shared" si="275"/>
        <v>0</v>
      </c>
      <c r="C3519" s="21">
        <f t="shared" si="276"/>
        <v>0</v>
      </c>
      <c r="D3519" s="22" t="e">
        <f>VLOOKUP($A3519, TAB_JUROS_U[[Q_DIAS_U_PARC_TIR]:[V_FUT_U_JURS CENARIO]], D$5, FALSE)</f>
        <v>#N/A</v>
      </c>
      <c r="E3519" s="22" t="e">
        <f>VLOOKUP($A3519,TAB_CORRECAO_U[[Q_DIAS_U_PARC_TIR]:[V_FUT_U_CORC-02]],E$5, FALSE)</f>
        <v>#N/A</v>
      </c>
      <c r="F3519" s="22" t="e">
        <f>VLOOKUP($A3519,TAB_AMORTIZACAO_U[[Q_DIAS_U_PARC_TIR]:[V_FUT_U_PCPL-02]], F$5, FALSE)</f>
        <v>#N/A</v>
      </c>
      <c r="H3519" s="20">
        <f t="shared" si="277"/>
        <v>0</v>
      </c>
      <c r="I3519" s="21">
        <f t="shared" si="278"/>
        <v>0</v>
      </c>
      <c r="J3519" s="22" t="e">
        <f>VLOOKUP($A3519, TAB_JUROS_C[[DIAS_CORRIDOS]:[V_FUT_UTEIS]], J$5, FALSE)</f>
        <v>#N/A</v>
      </c>
      <c r="K3519" s="22" t="e">
        <f>VLOOKUP($A3519, TAB_CORRECAO_C[[DIAS_CORRIDOS]:[V_FUT_UTEIS]],K$5, FALSE)</f>
        <v>#N/A</v>
      </c>
      <c r="L3519" s="22" t="e">
        <f>VLOOKUP($A3519, TAB_AMORTIZACAO_C[[DIAS_CORRIDOS]:[V_FUT_UTEIS]], L$5, FALSE)</f>
        <v>#N/A</v>
      </c>
    </row>
    <row r="3520" spans="1:12" hidden="1">
      <c r="A3520" s="19">
        <f t="shared" si="279"/>
        <v>3514</v>
      </c>
      <c r="B3520" s="20">
        <f t="shared" si="275"/>
        <v>0</v>
      </c>
      <c r="C3520" s="21">
        <f t="shared" si="276"/>
        <v>0</v>
      </c>
      <c r="D3520" s="22" t="e">
        <f>VLOOKUP($A3520, TAB_JUROS_U[[Q_DIAS_U_PARC_TIR]:[V_FUT_U_JURS CENARIO]], D$5, FALSE)</f>
        <v>#N/A</v>
      </c>
      <c r="E3520" s="22" t="e">
        <f>VLOOKUP($A3520,TAB_CORRECAO_U[[Q_DIAS_U_PARC_TIR]:[V_FUT_U_CORC-02]],E$5, FALSE)</f>
        <v>#N/A</v>
      </c>
      <c r="F3520" s="22" t="e">
        <f>VLOOKUP($A3520,TAB_AMORTIZACAO_U[[Q_DIAS_U_PARC_TIR]:[V_FUT_U_PCPL-02]], F$5, FALSE)</f>
        <v>#N/A</v>
      </c>
      <c r="H3520" s="20">
        <f t="shared" si="277"/>
        <v>0</v>
      </c>
      <c r="I3520" s="21">
        <f t="shared" si="278"/>
        <v>0</v>
      </c>
      <c r="J3520" s="22" t="e">
        <f>VLOOKUP($A3520, TAB_JUROS_C[[DIAS_CORRIDOS]:[V_FUT_UTEIS]], J$5, FALSE)</f>
        <v>#N/A</v>
      </c>
      <c r="K3520" s="22" t="e">
        <f>VLOOKUP($A3520, TAB_CORRECAO_C[[DIAS_CORRIDOS]:[V_FUT_UTEIS]],K$5, FALSE)</f>
        <v>#N/A</v>
      </c>
      <c r="L3520" s="22" t="e">
        <f>VLOOKUP($A3520, TAB_AMORTIZACAO_C[[DIAS_CORRIDOS]:[V_FUT_UTEIS]], L$5, FALSE)</f>
        <v>#N/A</v>
      </c>
    </row>
    <row r="3521" spans="1:12" hidden="1">
      <c r="A3521" s="19">
        <f t="shared" si="279"/>
        <v>3515</v>
      </c>
      <c r="B3521" s="20">
        <f t="shared" si="275"/>
        <v>0</v>
      </c>
      <c r="C3521" s="21">
        <f t="shared" si="276"/>
        <v>0</v>
      </c>
      <c r="D3521" s="22" t="e">
        <f>VLOOKUP($A3521, TAB_JUROS_U[[Q_DIAS_U_PARC_TIR]:[V_FUT_U_JURS CENARIO]], D$5, FALSE)</f>
        <v>#N/A</v>
      </c>
      <c r="E3521" s="22" t="e">
        <f>VLOOKUP($A3521,TAB_CORRECAO_U[[Q_DIAS_U_PARC_TIR]:[V_FUT_U_CORC-02]],E$5, FALSE)</f>
        <v>#N/A</v>
      </c>
      <c r="F3521" s="22" t="e">
        <f>VLOOKUP($A3521,TAB_AMORTIZACAO_U[[Q_DIAS_U_PARC_TIR]:[V_FUT_U_PCPL-02]], F$5, FALSE)</f>
        <v>#N/A</v>
      </c>
      <c r="H3521" s="20">
        <f t="shared" si="277"/>
        <v>0</v>
      </c>
      <c r="I3521" s="21">
        <f t="shared" si="278"/>
        <v>0</v>
      </c>
      <c r="J3521" s="22" t="e">
        <f>VLOOKUP($A3521, TAB_JUROS_C[[DIAS_CORRIDOS]:[V_FUT_UTEIS]], J$5, FALSE)</f>
        <v>#N/A</v>
      </c>
      <c r="K3521" s="22" t="e">
        <f>VLOOKUP($A3521, TAB_CORRECAO_C[[DIAS_CORRIDOS]:[V_FUT_UTEIS]],K$5, FALSE)</f>
        <v>#N/A</v>
      </c>
      <c r="L3521" s="22" t="e">
        <f>VLOOKUP($A3521, TAB_AMORTIZACAO_C[[DIAS_CORRIDOS]:[V_FUT_UTEIS]], L$5, FALSE)</f>
        <v>#N/A</v>
      </c>
    </row>
    <row r="3522" spans="1:12" hidden="1">
      <c r="A3522" s="19">
        <f t="shared" si="279"/>
        <v>3516</v>
      </c>
      <c r="B3522" s="20">
        <f t="shared" si="275"/>
        <v>0</v>
      </c>
      <c r="C3522" s="21">
        <f t="shared" si="276"/>
        <v>0</v>
      </c>
      <c r="D3522" s="22" t="e">
        <f>VLOOKUP($A3522, TAB_JUROS_U[[Q_DIAS_U_PARC_TIR]:[V_FUT_U_JURS CENARIO]], D$5, FALSE)</f>
        <v>#N/A</v>
      </c>
      <c r="E3522" s="22" t="e">
        <f>VLOOKUP($A3522,TAB_CORRECAO_U[[Q_DIAS_U_PARC_TIR]:[V_FUT_U_CORC-02]],E$5, FALSE)</f>
        <v>#N/A</v>
      </c>
      <c r="F3522" s="22" t="e">
        <f>VLOOKUP($A3522,TAB_AMORTIZACAO_U[[Q_DIAS_U_PARC_TIR]:[V_FUT_U_PCPL-02]], F$5, FALSE)</f>
        <v>#N/A</v>
      </c>
      <c r="H3522" s="20">
        <f t="shared" si="277"/>
        <v>0</v>
      </c>
      <c r="I3522" s="21">
        <f t="shared" si="278"/>
        <v>0</v>
      </c>
      <c r="J3522" s="22" t="e">
        <f>VLOOKUP($A3522, TAB_JUROS_C[[DIAS_CORRIDOS]:[V_FUT_UTEIS]], J$5, FALSE)</f>
        <v>#N/A</v>
      </c>
      <c r="K3522" s="22" t="e">
        <f>VLOOKUP($A3522, TAB_CORRECAO_C[[DIAS_CORRIDOS]:[V_FUT_UTEIS]],K$5, FALSE)</f>
        <v>#N/A</v>
      </c>
      <c r="L3522" s="22" t="e">
        <f>VLOOKUP($A3522, TAB_AMORTIZACAO_C[[DIAS_CORRIDOS]:[V_FUT_UTEIS]], L$5, FALSE)</f>
        <v>#N/A</v>
      </c>
    </row>
    <row r="3523" spans="1:12" hidden="1">
      <c r="A3523" s="19">
        <f t="shared" si="279"/>
        <v>3517</v>
      </c>
      <c r="B3523" s="20">
        <f t="shared" si="275"/>
        <v>0</v>
      </c>
      <c r="C3523" s="21">
        <f t="shared" si="276"/>
        <v>0</v>
      </c>
      <c r="D3523" s="22" t="e">
        <f>VLOOKUP($A3523, TAB_JUROS_U[[Q_DIAS_U_PARC_TIR]:[V_FUT_U_JURS CENARIO]], D$5, FALSE)</f>
        <v>#N/A</v>
      </c>
      <c r="E3523" s="22" t="e">
        <f>VLOOKUP($A3523,TAB_CORRECAO_U[[Q_DIAS_U_PARC_TIR]:[V_FUT_U_CORC-02]],E$5, FALSE)</f>
        <v>#N/A</v>
      </c>
      <c r="F3523" s="22" t="e">
        <f>VLOOKUP($A3523,TAB_AMORTIZACAO_U[[Q_DIAS_U_PARC_TIR]:[V_FUT_U_PCPL-02]], F$5, FALSE)</f>
        <v>#N/A</v>
      </c>
      <c r="H3523" s="20">
        <f t="shared" si="277"/>
        <v>0</v>
      </c>
      <c r="I3523" s="21">
        <f t="shared" si="278"/>
        <v>0</v>
      </c>
      <c r="J3523" s="22" t="e">
        <f>VLOOKUP($A3523, TAB_JUROS_C[[DIAS_CORRIDOS]:[V_FUT_UTEIS]], J$5, FALSE)</f>
        <v>#N/A</v>
      </c>
      <c r="K3523" s="22" t="e">
        <f>VLOOKUP($A3523, TAB_CORRECAO_C[[DIAS_CORRIDOS]:[V_FUT_UTEIS]],K$5, FALSE)</f>
        <v>#N/A</v>
      </c>
      <c r="L3523" s="22" t="e">
        <f>VLOOKUP($A3523, TAB_AMORTIZACAO_C[[DIAS_CORRIDOS]:[V_FUT_UTEIS]], L$5, FALSE)</f>
        <v>#N/A</v>
      </c>
    </row>
    <row r="3524" spans="1:12" hidden="1">
      <c r="A3524" s="19">
        <f t="shared" si="279"/>
        <v>3518</v>
      </c>
      <c r="B3524" s="20">
        <f t="shared" si="275"/>
        <v>0</v>
      </c>
      <c r="C3524" s="21">
        <f t="shared" si="276"/>
        <v>0</v>
      </c>
      <c r="D3524" s="22" t="e">
        <f>VLOOKUP($A3524, TAB_JUROS_U[[Q_DIAS_U_PARC_TIR]:[V_FUT_U_JURS CENARIO]], D$5, FALSE)</f>
        <v>#N/A</v>
      </c>
      <c r="E3524" s="22" t="e">
        <f>VLOOKUP($A3524,TAB_CORRECAO_U[[Q_DIAS_U_PARC_TIR]:[V_FUT_U_CORC-02]],E$5, FALSE)</f>
        <v>#N/A</v>
      </c>
      <c r="F3524" s="22" t="e">
        <f>VLOOKUP($A3524,TAB_AMORTIZACAO_U[[Q_DIAS_U_PARC_TIR]:[V_FUT_U_PCPL-02]], F$5, FALSE)</f>
        <v>#N/A</v>
      </c>
      <c r="H3524" s="20">
        <f t="shared" si="277"/>
        <v>0</v>
      </c>
      <c r="I3524" s="21">
        <f t="shared" si="278"/>
        <v>0</v>
      </c>
      <c r="J3524" s="22" t="e">
        <f>VLOOKUP($A3524, TAB_JUROS_C[[DIAS_CORRIDOS]:[V_FUT_UTEIS]], J$5, FALSE)</f>
        <v>#N/A</v>
      </c>
      <c r="K3524" s="22" t="e">
        <f>VLOOKUP($A3524, TAB_CORRECAO_C[[DIAS_CORRIDOS]:[V_FUT_UTEIS]],K$5, FALSE)</f>
        <v>#N/A</v>
      </c>
      <c r="L3524" s="22" t="e">
        <f>VLOOKUP($A3524, TAB_AMORTIZACAO_C[[DIAS_CORRIDOS]:[V_FUT_UTEIS]], L$5, FALSE)</f>
        <v>#N/A</v>
      </c>
    </row>
    <row r="3525" spans="1:12" hidden="1">
      <c r="A3525" s="19">
        <f t="shared" si="279"/>
        <v>3519</v>
      </c>
      <c r="B3525" s="20">
        <f t="shared" si="275"/>
        <v>0</v>
      </c>
      <c r="C3525" s="21">
        <f t="shared" si="276"/>
        <v>0</v>
      </c>
      <c r="D3525" s="22" t="e">
        <f>VLOOKUP($A3525, TAB_JUROS_U[[Q_DIAS_U_PARC_TIR]:[V_FUT_U_JURS CENARIO]], D$5, FALSE)</f>
        <v>#N/A</v>
      </c>
      <c r="E3525" s="22" t="e">
        <f>VLOOKUP($A3525,TAB_CORRECAO_U[[Q_DIAS_U_PARC_TIR]:[V_FUT_U_CORC-02]],E$5, FALSE)</f>
        <v>#N/A</v>
      </c>
      <c r="F3525" s="22" t="e">
        <f>VLOOKUP($A3525,TAB_AMORTIZACAO_U[[Q_DIAS_U_PARC_TIR]:[V_FUT_U_PCPL-02]], F$5, FALSE)</f>
        <v>#N/A</v>
      </c>
      <c r="H3525" s="20">
        <f t="shared" si="277"/>
        <v>0</v>
      </c>
      <c r="I3525" s="21">
        <f t="shared" si="278"/>
        <v>0</v>
      </c>
      <c r="J3525" s="22" t="e">
        <f>VLOOKUP($A3525, TAB_JUROS_C[[DIAS_CORRIDOS]:[V_FUT_UTEIS]], J$5, FALSE)</f>
        <v>#N/A</v>
      </c>
      <c r="K3525" s="22" t="e">
        <f>VLOOKUP($A3525, TAB_CORRECAO_C[[DIAS_CORRIDOS]:[V_FUT_UTEIS]],K$5, FALSE)</f>
        <v>#N/A</v>
      </c>
      <c r="L3525" s="22" t="e">
        <f>VLOOKUP($A3525, TAB_AMORTIZACAO_C[[DIAS_CORRIDOS]:[V_FUT_UTEIS]], L$5, FALSE)</f>
        <v>#N/A</v>
      </c>
    </row>
    <row r="3526" spans="1:12" hidden="1">
      <c r="A3526" s="19">
        <f t="shared" si="279"/>
        <v>3520</v>
      </c>
      <c r="B3526" s="20">
        <f t="shared" si="275"/>
        <v>0</v>
      </c>
      <c r="C3526" s="21">
        <f t="shared" si="276"/>
        <v>0</v>
      </c>
      <c r="D3526" s="22" t="e">
        <f>VLOOKUP($A3526, TAB_JUROS_U[[Q_DIAS_U_PARC_TIR]:[V_FUT_U_JURS CENARIO]], D$5, FALSE)</f>
        <v>#N/A</v>
      </c>
      <c r="E3526" s="22" t="e">
        <f>VLOOKUP($A3526,TAB_CORRECAO_U[[Q_DIAS_U_PARC_TIR]:[V_FUT_U_CORC-02]],E$5, FALSE)</f>
        <v>#N/A</v>
      </c>
      <c r="F3526" s="22" t="e">
        <f>VLOOKUP($A3526,TAB_AMORTIZACAO_U[[Q_DIAS_U_PARC_TIR]:[V_FUT_U_PCPL-02]], F$5, FALSE)</f>
        <v>#N/A</v>
      </c>
      <c r="H3526" s="20">
        <f t="shared" si="277"/>
        <v>0</v>
      </c>
      <c r="I3526" s="21">
        <f t="shared" si="278"/>
        <v>0</v>
      </c>
      <c r="J3526" s="22" t="e">
        <f>VLOOKUP($A3526, TAB_JUROS_C[[DIAS_CORRIDOS]:[V_FUT_UTEIS]], J$5, FALSE)</f>
        <v>#N/A</v>
      </c>
      <c r="K3526" s="22" t="e">
        <f>VLOOKUP($A3526, TAB_CORRECAO_C[[DIAS_CORRIDOS]:[V_FUT_UTEIS]],K$5, FALSE)</f>
        <v>#N/A</v>
      </c>
      <c r="L3526" s="22" t="e">
        <f>VLOOKUP($A3526, TAB_AMORTIZACAO_C[[DIAS_CORRIDOS]:[V_FUT_UTEIS]], L$5, FALSE)</f>
        <v>#N/A</v>
      </c>
    </row>
    <row r="3527" spans="1:12" hidden="1">
      <c r="A3527" s="19">
        <f t="shared" si="279"/>
        <v>3521</v>
      </c>
      <c r="B3527" s="20">
        <f t="shared" si="275"/>
        <v>0</v>
      </c>
      <c r="C3527" s="21">
        <f t="shared" si="276"/>
        <v>0</v>
      </c>
      <c r="D3527" s="22" t="e">
        <f>VLOOKUP($A3527, TAB_JUROS_U[[Q_DIAS_U_PARC_TIR]:[V_FUT_U_JURS CENARIO]], D$5, FALSE)</f>
        <v>#N/A</v>
      </c>
      <c r="E3527" s="22" t="e">
        <f>VLOOKUP($A3527,TAB_CORRECAO_U[[Q_DIAS_U_PARC_TIR]:[V_FUT_U_CORC-02]],E$5, FALSE)</f>
        <v>#N/A</v>
      </c>
      <c r="F3527" s="22" t="e">
        <f>VLOOKUP($A3527,TAB_AMORTIZACAO_U[[Q_DIAS_U_PARC_TIR]:[V_FUT_U_PCPL-02]], F$5, FALSE)</f>
        <v>#N/A</v>
      </c>
      <c r="H3527" s="20">
        <f t="shared" si="277"/>
        <v>0</v>
      </c>
      <c r="I3527" s="21">
        <f t="shared" si="278"/>
        <v>0</v>
      </c>
      <c r="J3527" s="22" t="e">
        <f>VLOOKUP($A3527, TAB_JUROS_C[[DIAS_CORRIDOS]:[V_FUT_UTEIS]], J$5, FALSE)</f>
        <v>#N/A</v>
      </c>
      <c r="K3527" s="22" t="e">
        <f>VLOOKUP($A3527, TAB_CORRECAO_C[[DIAS_CORRIDOS]:[V_FUT_UTEIS]],K$5, FALSE)</f>
        <v>#N/A</v>
      </c>
      <c r="L3527" s="22" t="e">
        <f>VLOOKUP($A3527, TAB_AMORTIZACAO_C[[DIAS_CORRIDOS]:[V_FUT_UTEIS]], L$5, FALSE)</f>
        <v>#N/A</v>
      </c>
    </row>
    <row r="3528" spans="1:12" hidden="1">
      <c r="A3528" s="19">
        <f t="shared" si="279"/>
        <v>3522</v>
      </c>
      <c r="B3528" s="20">
        <f t="shared" si="275"/>
        <v>0</v>
      </c>
      <c r="C3528" s="21">
        <f t="shared" si="276"/>
        <v>0</v>
      </c>
      <c r="D3528" s="22" t="e">
        <f>VLOOKUP($A3528, TAB_JUROS_U[[Q_DIAS_U_PARC_TIR]:[V_FUT_U_JURS CENARIO]], D$5, FALSE)</f>
        <v>#N/A</v>
      </c>
      <c r="E3528" s="22" t="e">
        <f>VLOOKUP($A3528,TAB_CORRECAO_U[[Q_DIAS_U_PARC_TIR]:[V_FUT_U_CORC-02]],E$5, FALSE)</f>
        <v>#N/A</v>
      </c>
      <c r="F3528" s="22" t="e">
        <f>VLOOKUP($A3528,TAB_AMORTIZACAO_U[[Q_DIAS_U_PARC_TIR]:[V_FUT_U_PCPL-02]], F$5, FALSE)</f>
        <v>#N/A</v>
      </c>
      <c r="H3528" s="20">
        <f t="shared" si="277"/>
        <v>0</v>
      </c>
      <c r="I3528" s="21">
        <f t="shared" si="278"/>
        <v>0</v>
      </c>
      <c r="J3528" s="22" t="e">
        <f>VLOOKUP($A3528, TAB_JUROS_C[[DIAS_CORRIDOS]:[V_FUT_UTEIS]], J$5, FALSE)</f>
        <v>#N/A</v>
      </c>
      <c r="K3528" s="22" t="e">
        <f>VLOOKUP($A3528, TAB_CORRECAO_C[[DIAS_CORRIDOS]:[V_FUT_UTEIS]],K$5, FALSE)</f>
        <v>#N/A</v>
      </c>
      <c r="L3528" s="22" t="e">
        <f>VLOOKUP($A3528, TAB_AMORTIZACAO_C[[DIAS_CORRIDOS]:[V_FUT_UTEIS]], L$5, FALSE)</f>
        <v>#N/A</v>
      </c>
    </row>
    <row r="3529" spans="1:12" hidden="1">
      <c r="A3529" s="19">
        <f t="shared" si="279"/>
        <v>3523</v>
      </c>
      <c r="B3529" s="20">
        <f t="shared" ref="B3529:B3592" si="280">IF(ISERROR(C3529), 0, C3529)</f>
        <v>0</v>
      </c>
      <c r="C3529" s="21">
        <f t="shared" ref="C3529:C3592" si="281">SUMIF(D3529:F3529, "&gt;0", D3529:F3529)</f>
        <v>0</v>
      </c>
      <c r="D3529" s="22" t="e">
        <f>VLOOKUP($A3529, TAB_JUROS_U[[Q_DIAS_U_PARC_TIR]:[V_FUT_U_JURS CENARIO]], D$5, FALSE)</f>
        <v>#N/A</v>
      </c>
      <c r="E3529" s="22" t="e">
        <f>VLOOKUP($A3529,TAB_CORRECAO_U[[Q_DIAS_U_PARC_TIR]:[V_FUT_U_CORC-02]],E$5, FALSE)</f>
        <v>#N/A</v>
      </c>
      <c r="F3529" s="22" t="e">
        <f>VLOOKUP($A3529,TAB_AMORTIZACAO_U[[Q_DIAS_U_PARC_TIR]:[V_FUT_U_PCPL-02]], F$5, FALSE)</f>
        <v>#N/A</v>
      </c>
      <c r="H3529" s="20">
        <f t="shared" ref="H3529:H3592" si="282">IF(ISERROR(I3529), 0, I3529)</f>
        <v>0</v>
      </c>
      <c r="I3529" s="21">
        <f t="shared" ref="I3529:I3592" si="283">SUMIF(J3529:L3529, "&gt;0", J3529:L3529)</f>
        <v>0</v>
      </c>
      <c r="J3529" s="22" t="e">
        <f>VLOOKUP($A3529, TAB_JUROS_C[[DIAS_CORRIDOS]:[V_FUT_UTEIS]], J$5, FALSE)</f>
        <v>#N/A</v>
      </c>
      <c r="K3529" s="22" t="e">
        <f>VLOOKUP($A3529, TAB_CORRECAO_C[[DIAS_CORRIDOS]:[V_FUT_UTEIS]],K$5, FALSE)</f>
        <v>#N/A</v>
      </c>
      <c r="L3529" s="22" t="e">
        <f>VLOOKUP($A3529, TAB_AMORTIZACAO_C[[DIAS_CORRIDOS]:[V_FUT_UTEIS]], L$5, FALSE)</f>
        <v>#N/A</v>
      </c>
    </row>
    <row r="3530" spans="1:12" hidden="1">
      <c r="A3530" s="19">
        <f t="shared" ref="A3530:A3593" si="284">A3529+1</f>
        <v>3524</v>
      </c>
      <c r="B3530" s="20">
        <f t="shared" si="280"/>
        <v>0</v>
      </c>
      <c r="C3530" s="21">
        <f t="shared" si="281"/>
        <v>0</v>
      </c>
      <c r="D3530" s="22" t="e">
        <f>VLOOKUP($A3530, TAB_JUROS_U[[Q_DIAS_U_PARC_TIR]:[V_FUT_U_JURS CENARIO]], D$5, FALSE)</f>
        <v>#N/A</v>
      </c>
      <c r="E3530" s="22" t="e">
        <f>VLOOKUP($A3530,TAB_CORRECAO_U[[Q_DIAS_U_PARC_TIR]:[V_FUT_U_CORC-02]],E$5, FALSE)</f>
        <v>#N/A</v>
      </c>
      <c r="F3530" s="22" t="e">
        <f>VLOOKUP($A3530,TAB_AMORTIZACAO_U[[Q_DIAS_U_PARC_TIR]:[V_FUT_U_PCPL-02]], F$5, FALSE)</f>
        <v>#N/A</v>
      </c>
      <c r="H3530" s="20">
        <f t="shared" si="282"/>
        <v>0</v>
      </c>
      <c r="I3530" s="21">
        <f t="shared" si="283"/>
        <v>0</v>
      </c>
      <c r="J3530" s="22" t="e">
        <f>VLOOKUP($A3530, TAB_JUROS_C[[DIAS_CORRIDOS]:[V_FUT_UTEIS]], J$5, FALSE)</f>
        <v>#N/A</v>
      </c>
      <c r="K3530" s="22" t="e">
        <f>VLOOKUP($A3530, TAB_CORRECAO_C[[DIAS_CORRIDOS]:[V_FUT_UTEIS]],K$5, FALSE)</f>
        <v>#N/A</v>
      </c>
      <c r="L3530" s="22" t="e">
        <f>VLOOKUP($A3530, TAB_AMORTIZACAO_C[[DIAS_CORRIDOS]:[V_FUT_UTEIS]], L$5, FALSE)</f>
        <v>#N/A</v>
      </c>
    </row>
    <row r="3531" spans="1:12" hidden="1">
      <c r="A3531" s="19">
        <f t="shared" si="284"/>
        <v>3525</v>
      </c>
      <c r="B3531" s="20">
        <f t="shared" si="280"/>
        <v>0</v>
      </c>
      <c r="C3531" s="21">
        <f t="shared" si="281"/>
        <v>0</v>
      </c>
      <c r="D3531" s="22" t="e">
        <f>VLOOKUP($A3531, TAB_JUROS_U[[Q_DIAS_U_PARC_TIR]:[V_FUT_U_JURS CENARIO]], D$5, FALSE)</f>
        <v>#N/A</v>
      </c>
      <c r="E3531" s="22" t="e">
        <f>VLOOKUP($A3531,TAB_CORRECAO_U[[Q_DIAS_U_PARC_TIR]:[V_FUT_U_CORC-02]],E$5, FALSE)</f>
        <v>#N/A</v>
      </c>
      <c r="F3531" s="22" t="e">
        <f>VLOOKUP($A3531,TAB_AMORTIZACAO_U[[Q_DIAS_U_PARC_TIR]:[V_FUT_U_PCPL-02]], F$5, FALSE)</f>
        <v>#N/A</v>
      </c>
      <c r="H3531" s="20">
        <f t="shared" si="282"/>
        <v>0</v>
      </c>
      <c r="I3531" s="21">
        <f t="shared" si="283"/>
        <v>0</v>
      </c>
      <c r="J3531" s="22" t="e">
        <f>VLOOKUP($A3531, TAB_JUROS_C[[DIAS_CORRIDOS]:[V_FUT_UTEIS]], J$5, FALSE)</f>
        <v>#N/A</v>
      </c>
      <c r="K3531" s="22" t="e">
        <f>VLOOKUP($A3531, TAB_CORRECAO_C[[DIAS_CORRIDOS]:[V_FUT_UTEIS]],K$5, FALSE)</f>
        <v>#N/A</v>
      </c>
      <c r="L3531" s="22" t="e">
        <f>VLOOKUP($A3531, TAB_AMORTIZACAO_C[[DIAS_CORRIDOS]:[V_FUT_UTEIS]], L$5, FALSE)</f>
        <v>#N/A</v>
      </c>
    </row>
    <row r="3532" spans="1:12" hidden="1">
      <c r="A3532" s="19">
        <f t="shared" si="284"/>
        <v>3526</v>
      </c>
      <c r="B3532" s="20">
        <f t="shared" si="280"/>
        <v>0</v>
      </c>
      <c r="C3532" s="21">
        <f t="shared" si="281"/>
        <v>0</v>
      </c>
      <c r="D3532" s="22" t="e">
        <f>VLOOKUP($A3532, TAB_JUROS_U[[Q_DIAS_U_PARC_TIR]:[V_FUT_U_JURS CENARIO]], D$5, FALSE)</f>
        <v>#N/A</v>
      </c>
      <c r="E3532" s="22" t="e">
        <f>VLOOKUP($A3532,TAB_CORRECAO_U[[Q_DIAS_U_PARC_TIR]:[V_FUT_U_CORC-02]],E$5, FALSE)</f>
        <v>#N/A</v>
      </c>
      <c r="F3532" s="22" t="e">
        <f>VLOOKUP($A3532,TAB_AMORTIZACAO_U[[Q_DIAS_U_PARC_TIR]:[V_FUT_U_PCPL-02]], F$5, FALSE)</f>
        <v>#N/A</v>
      </c>
      <c r="H3532" s="20">
        <f t="shared" si="282"/>
        <v>0</v>
      </c>
      <c r="I3532" s="21">
        <f t="shared" si="283"/>
        <v>0</v>
      </c>
      <c r="J3532" s="22" t="e">
        <f>VLOOKUP($A3532, TAB_JUROS_C[[DIAS_CORRIDOS]:[V_FUT_UTEIS]], J$5, FALSE)</f>
        <v>#N/A</v>
      </c>
      <c r="K3532" s="22" t="e">
        <f>VLOOKUP($A3532, TAB_CORRECAO_C[[DIAS_CORRIDOS]:[V_FUT_UTEIS]],K$5, FALSE)</f>
        <v>#N/A</v>
      </c>
      <c r="L3532" s="22" t="e">
        <f>VLOOKUP($A3532, TAB_AMORTIZACAO_C[[DIAS_CORRIDOS]:[V_FUT_UTEIS]], L$5, FALSE)</f>
        <v>#N/A</v>
      </c>
    </row>
    <row r="3533" spans="1:12" hidden="1">
      <c r="A3533" s="19">
        <f t="shared" si="284"/>
        <v>3527</v>
      </c>
      <c r="B3533" s="20">
        <f t="shared" si="280"/>
        <v>0</v>
      </c>
      <c r="C3533" s="21">
        <f t="shared" si="281"/>
        <v>0</v>
      </c>
      <c r="D3533" s="22" t="e">
        <f>VLOOKUP($A3533, TAB_JUROS_U[[Q_DIAS_U_PARC_TIR]:[V_FUT_U_JURS CENARIO]], D$5, FALSE)</f>
        <v>#N/A</v>
      </c>
      <c r="E3533" s="22" t="e">
        <f>VLOOKUP($A3533,TAB_CORRECAO_U[[Q_DIAS_U_PARC_TIR]:[V_FUT_U_CORC-02]],E$5, FALSE)</f>
        <v>#N/A</v>
      </c>
      <c r="F3533" s="22" t="e">
        <f>VLOOKUP($A3533,TAB_AMORTIZACAO_U[[Q_DIAS_U_PARC_TIR]:[V_FUT_U_PCPL-02]], F$5, FALSE)</f>
        <v>#N/A</v>
      </c>
      <c r="H3533" s="20">
        <f t="shared" si="282"/>
        <v>0</v>
      </c>
      <c r="I3533" s="21">
        <f t="shared" si="283"/>
        <v>0</v>
      </c>
      <c r="J3533" s="22" t="e">
        <f>VLOOKUP($A3533, TAB_JUROS_C[[DIAS_CORRIDOS]:[V_FUT_UTEIS]], J$5, FALSE)</f>
        <v>#N/A</v>
      </c>
      <c r="K3533" s="22" t="e">
        <f>VLOOKUP($A3533, TAB_CORRECAO_C[[DIAS_CORRIDOS]:[V_FUT_UTEIS]],K$5, FALSE)</f>
        <v>#N/A</v>
      </c>
      <c r="L3533" s="22" t="e">
        <f>VLOOKUP($A3533, TAB_AMORTIZACAO_C[[DIAS_CORRIDOS]:[V_FUT_UTEIS]], L$5, FALSE)</f>
        <v>#N/A</v>
      </c>
    </row>
    <row r="3534" spans="1:12" hidden="1">
      <c r="A3534" s="19">
        <f t="shared" si="284"/>
        <v>3528</v>
      </c>
      <c r="B3534" s="20">
        <f t="shared" si="280"/>
        <v>0</v>
      </c>
      <c r="C3534" s="21">
        <f t="shared" si="281"/>
        <v>0</v>
      </c>
      <c r="D3534" s="22" t="e">
        <f>VLOOKUP($A3534, TAB_JUROS_U[[Q_DIAS_U_PARC_TIR]:[V_FUT_U_JURS CENARIO]], D$5, FALSE)</f>
        <v>#N/A</v>
      </c>
      <c r="E3534" s="22" t="e">
        <f>VLOOKUP($A3534,TAB_CORRECAO_U[[Q_DIAS_U_PARC_TIR]:[V_FUT_U_CORC-02]],E$5, FALSE)</f>
        <v>#N/A</v>
      </c>
      <c r="F3534" s="22" t="e">
        <f>VLOOKUP($A3534,TAB_AMORTIZACAO_U[[Q_DIAS_U_PARC_TIR]:[V_FUT_U_PCPL-02]], F$5, FALSE)</f>
        <v>#N/A</v>
      </c>
      <c r="H3534" s="20">
        <f t="shared" si="282"/>
        <v>0</v>
      </c>
      <c r="I3534" s="21">
        <f t="shared" si="283"/>
        <v>0</v>
      </c>
      <c r="J3534" s="22" t="e">
        <f>VLOOKUP($A3534, TAB_JUROS_C[[DIAS_CORRIDOS]:[V_FUT_UTEIS]], J$5, FALSE)</f>
        <v>#N/A</v>
      </c>
      <c r="K3534" s="22" t="e">
        <f>VLOOKUP($A3534, TAB_CORRECAO_C[[DIAS_CORRIDOS]:[V_FUT_UTEIS]],K$5, FALSE)</f>
        <v>#N/A</v>
      </c>
      <c r="L3534" s="22" t="e">
        <f>VLOOKUP($A3534, TAB_AMORTIZACAO_C[[DIAS_CORRIDOS]:[V_FUT_UTEIS]], L$5, FALSE)</f>
        <v>#N/A</v>
      </c>
    </row>
    <row r="3535" spans="1:12" hidden="1">
      <c r="A3535" s="19">
        <f t="shared" si="284"/>
        <v>3529</v>
      </c>
      <c r="B3535" s="20">
        <f t="shared" si="280"/>
        <v>0</v>
      </c>
      <c r="C3535" s="21">
        <f t="shared" si="281"/>
        <v>0</v>
      </c>
      <c r="D3535" s="22" t="e">
        <f>VLOOKUP($A3535, TAB_JUROS_U[[Q_DIAS_U_PARC_TIR]:[V_FUT_U_JURS CENARIO]], D$5, FALSE)</f>
        <v>#N/A</v>
      </c>
      <c r="E3535" s="22" t="e">
        <f>VLOOKUP($A3535,TAB_CORRECAO_U[[Q_DIAS_U_PARC_TIR]:[V_FUT_U_CORC-02]],E$5, FALSE)</f>
        <v>#N/A</v>
      </c>
      <c r="F3535" s="22" t="e">
        <f>VLOOKUP($A3535,TAB_AMORTIZACAO_U[[Q_DIAS_U_PARC_TIR]:[V_FUT_U_PCPL-02]], F$5, FALSE)</f>
        <v>#N/A</v>
      </c>
      <c r="H3535" s="20">
        <f t="shared" si="282"/>
        <v>0</v>
      </c>
      <c r="I3535" s="21">
        <f t="shared" si="283"/>
        <v>0</v>
      </c>
      <c r="J3535" s="22" t="e">
        <f>VLOOKUP($A3535, TAB_JUROS_C[[DIAS_CORRIDOS]:[V_FUT_UTEIS]], J$5, FALSE)</f>
        <v>#N/A</v>
      </c>
      <c r="K3535" s="22" t="e">
        <f>VLOOKUP($A3535, TAB_CORRECAO_C[[DIAS_CORRIDOS]:[V_FUT_UTEIS]],K$5, FALSE)</f>
        <v>#N/A</v>
      </c>
      <c r="L3535" s="22" t="e">
        <f>VLOOKUP($A3535, TAB_AMORTIZACAO_C[[DIAS_CORRIDOS]:[V_FUT_UTEIS]], L$5, FALSE)</f>
        <v>#N/A</v>
      </c>
    </row>
    <row r="3536" spans="1:12" hidden="1">
      <c r="A3536" s="19">
        <f t="shared" si="284"/>
        <v>3530</v>
      </c>
      <c r="B3536" s="20">
        <f t="shared" si="280"/>
        <v>0</v>
      </c>
      <c r="C3536" s="21">
        <f t="shared" si="281"/>
        <v>0</v>
      </c>
      <c r="D3536" s="22" t="e">
        <f>VLOOKUP($A3536, TAB_JUROS_U[[Q_DIAS_U_PARC_TIR]:[V_FUT_U_JURS CENARIO]], D$5, FALSE)</f>
        <v>#N/A</v>
      </c>
      <c r="E3536" s="22" t="e">
        <f>VLOOKUP($A3536,TAB_CORRECAO_U[[Q_DIAS_U_PARC_TIR]:[V_FUT_U_CORC-02]],E$5, FALSE)</f>
        <v>#N/A</v>
      </c>
      <c r="F3536" s="22" t="e">
        <f>VLOOKUP($A3536,TAB_AMORTIZACAO_U[[Q_DIAS_U_PARC_TIR]:[V_FUT_U_PCPL-02]], F$5, FALSE)</f>
        <v>#N/A</v>
      </c>
      <c r="H3536" s="20">
        <f t="shared" si="282"/>
        <v>0</v>
      </c>
      <c r="I3536" s="21">
        <f t="shared" si="283"/>
        <v>0</v>
      </c>
      <c r="J3536" s="22" t="e">
        <f>VLOOKUP($A3536, TAB_JUROS_C[[DIAS_CORRIDOS]:[V_FUT_UTEIS]], J$5, FALSE)</f>
        <v>#N/A</v>
      </c>
      <c r="K3536" s="22" t="e">
        <f>VLOOKUP($A3536, TAB_CORRECAO_C[[DIAS_CORRIDOS]:[V_FUT_UTEIS]],K$5, FALSE)</f>
        <v>#N/A</v>
      </c>
      <c r="L3536" s="22" t="e">
        <f>VLOOKUP($A3536, TAB_AMORTIZACAO_C[[DIAS_CORRIDOS]:[V_FUT_UTEIS]], L$5, FALSE)</f>
        <v>#N/A</v>
      </c>
    </row>
    <row r="3537" spans="1:12" hidden="1">
      <c r="A3537" s="19">
        <f t="shared" si="284"/>
        <v>3531</v>
      </c>
      <c r="B3537" s="20">
        <f t="shared" si="280"/>
        <v>0</v>
      </c>
      <c r="C3537" s="21">
        <f t="shared" si="281"/>
        <v>0</v>
      </c>
      <c r="D3537" s="22" t="e">
        <f>VLOOKUP($A3537, TAB_JUROS_U[[Q_DIAS_U_PARC_TIR]:[V_FUT_U_JURS CENARIO]], D$5, FALSE)</f>
        <v>#N/A</v>
      </c>
      <c r="E3537" s="22" t="e">
        <f>VLOOKUP($A3537,TAB_CORRECAO_U[[Q_DIAS_U_PARC_TIR]:[V_FUT_U_CORC-02]],E$5, FALSE)</f>
        <v>#N/A</v>
      </c>
      <c r="F3537" s="22" t="e">
        <f>VLOOKUP($A3537,TAB_AMORTIZACAO_U[[Q_DIAS_U_PARC_TIR]:[V_FUT_U_PCPL-02]], F$5, FALSE)</f>
        <v>#N/A</v>
      </c>
      <c r="H3537" s="20">
        <f t="shared" si="282"/>
        <v>0</v>
      </c>
      <c r="I3537" s="21">
        <f t="shared" si="283"/>
        <v>0</v>
      </c>
      <c r="J3537" s="22" t="e">
        <f>VLOOKUP($A3537, TAB_JUROS_C[[DIAS_CORRIDOS]:[V_FUT_UTEIS]], J$5, FALSE)</f>
        <v>#N/A</v>
      </c>
      <c r="K3537" s="22" t="e">
        <f>VLOOKUP($A3537, TAB_CORRECAO_C[[DIAS_CORRIDOS]:[V_FUT_UTEIS]],K$5, FALSE)</f>
        <v>#N/A</v>
      </c>
      <c r="L3537" s="22" t="e">
        <f>VLOOKUP($A3537, TAB_AMORTIZACAO_C[[DIAS_CORRIDOS]:[V_FUT_UTEIS]], L$5, FALSE)</f>
        <v>#N/A</v>
      </c>
    </row>
    <row r="3538" spans="1:12" hidden="1">
      <c r="A3538" s="19">
        <f t="shared" si="284"/>
        <v>3532</v>
      </c>
      <c r="B3538" s="20">
        <f t="shared" si="280"/>
        <v>0</v>
      </c>
      <c r="C3538" s="21">
        <f t="shared" si="281"/>
        <v>0</v>
      </c>
      <c r="D3538" s="22" t="e">
        <f>VLOOKUP($A3538, TAB_JUROS_U[[Q_DIAS_U_PARC_TIR]:[V_FUT_U_JURS CENARIO]], D$5, FALSE)</f>
        <v>#N/A</v>
      </c>
      <c r="E3538" s="22" t="e">
        <f>VLOOKUP($A3538,TAB_CORRECAO_U[[Q_DIAS_U_PARC_TIR]:[V_FUT_U_CORC-02]],E$5, FALSE)</f>
        <v>#N/A</v>
      </c>
      <c r="F3538" s="22" t="e">
        <f>VLOOKUP($A3538,TAB_AMORTIZACAO_U[[Q_DIAS_U_PARC_TIR]:[V_FUT_U_PCPL-02]], F$5, FALSE)</f>
        <v>#N/A</v>
      </c>
      <c r="H3538" s="20">
        <f t="shared" si="282"/>
        <v>0</v>
      </c>
      <c r="I3538" s="21">
        <f t="shared" si="283"/>
        <v>0</v>
      </c>
      <c r="J3538" s="22" t="e">
        <f>VLOOKUP($A3538, TAB_JUROS_C[[DIAS_CORRIDOS]:[V_FUT_UTEIS]], J$5, FALSE)</f>
        <v>#N/A</v>
      </c>
      <c r="K3538" s="22" t="e">
        <f>VLOOKUP($A3538, TAB_CORRECAO_C[[DIAS_CORRIDOS]:[V_FUT_UTEIS]],K$5, FALSE)</f>
        <v>#N/A</v>
      </c>
      <c r="L3538" s="22" t="e">
        <f>VLOOKUP($A3538, TAB_AMORTIZACAO_C[[DIAS_CORRIDOS]:[V_FUT_UTEIS]], L$5, FALSE)</f>
        <v>#N/A</v>
      </c>
    </row>
    <row r="3539" spans="1:12" hidden="1">
      <c r="A3539" s="19">
        <f t="shared" si="284"/>
        <v>3533</v>
      </c>
      <c r="B3539" s="20">
        <f t="shared" si="280"/>
        <v>0</v>
      </c>
      <c r="C3539" s="21">
        <f t="shared" si="281"/>
        <v>0</v>
      </c>
      <c r="D3539" s="22" t="e">
        <f>VLOOKUP($A3539, TAB_JUROS_U[[Q_DIAS_U_PARC_TIR]:[V_FUT_U_JURS CENARIO]], D$5, FALSE)</f>
        <v>#N/A</v>
      </c>
      <c r="E3539" s="22" t="e">
        <f>VLOOKUP($A3539,TAB_CORRECAO_U[[Q_DIAS_U_PARC_TIR]:[V_FUT_U_CORC-02]],E$5, FALSE)</f>
        <v>#N/A</v>
      </c>
      <c r="F3539" s="22" t="e">
        <f>VLOOKUP($A3539,TAB_AMORTIZACAO_U[[Q_DIAS_U_PARC_TIR]:[V_FUT_U_PCPL-02]], F$5, FALSE)</f>
        <v>#N/A</v>
      </c>
      <c r="H3539" s="20">
        <f t="shared" si="282"/>
        <v>0</v>
      </c>
      <c r="I3539" s="21">
        <f t="shared" si="283"/>
        <v>0</v>
      </c>
      <c r="J3539" s="22" t="e">
        <f>VLOOKUP($A3539, TAB_JUROS_C[[DIAS_CORRIDOS]:[V_FUT_UTEIS]], J$5, FALSE)</f>
        <v>#N/A</v>
      </c>
      <c r="K3539" s="22" t="e">
        <f>VLOOKUP($A3539, TAB_CORRECAO_C[[DIAS_CORRIDOS]:[V_FUT_UTEIS]],K$5, FALSE)</f>
        <v>#N/A</v>
      </c>
      <c r="L3539" s="22" t="e">
        <f>VLOOKUP($A3539, TAB_AMORTIZACAO_C[[DIAS_CORRIDOS]:[V_FUT_UTEIS]], L$5, FALSE)</f>
        <v>#N/A</v>
      </c>
    </row>
    <row r="3540" spans="1:12" hidden="1">
      <c r="A3540" s="19">
        <f t="shared" si="284"/>
        <v>3534</v>
      </c>
      <c r="B3540" s="20">
        <f t="shared" si="280"/>
        <v>0</v>
      </c>
      <c r="C3540" s="21">
        <f t="shared" si="281"/>
        <v>0</v>
      </c>
      <c r="D3540" s="22" t="e">
        <f>VLOOKUP($A3540, TAB_JUROS_U[[Q_DIAS_U_PARC_TIR]:[V_FUT_U_JURS CENARIO]], D$5, FALSE)</f>
        <v>#N/A</v>
      </c>
      <c r="E3540" s="22" t="e">
        <f>VLOOKUP($A3540,TAB_CORRECAO_U[[Q_DIAS_U_PARC_TIR]:[V_FUT_U_CORC-02]],E$5, FALSE)</f>
        <v>#N/A</v>
      </c>
      <c r="F3540" s="22" t="e">
        <f>VLOOKUP($A3540,TAB_AMORTIZACAO_U[[Q_DIAS_U_PARC_TIR]:[V_FUT_U_PCPL-02]], F$5, FALSE)</f>
        <v>#N/A</v>
      </c>
      <c r="H3540" s="20">
        <f t="shared" si="282"/>
        <v>0</v>
      </c>
      <c r="I3540" s="21">
        <f t="shared" si="283"/>
        <v>0</v>
      </c>
      <c r="J3540" s="22" t="e">
        <f>VLOOKUP($A3540, TAB_JUROS_C[[DIAS_CORRIDOS]:[V_FUT_UTEIS]], J$5, FALSE)</f>
        <v>#N/A</v>
      </c>
      <c r="K3540" s="22" t="e">
        <f>VLOOKUP($A3540, TAB_CORRECAO_C[[DIAS_CORRIDOS]:[V_FUT_UTEIS]],K$5, FALSE)</f>
        <v>#N/A</v>
      </c>
      <c r="L3540" s="22" t="e">
        <f>VLOOKUP($A3540, TAB_AMORTIZACAO_C[[DIAS_CORRIDOS]:[V_FUT_UTEIS]], L$5, FALSE)</f>
        <v>#N/A</v>
      </c>
    </row>
    <row r="3541" spans="1:12" hidden="1">
      <c r="A3541" s="19">
        <f t="shared" si="284"/>
        <v>3535</v>
      </c>
      <c r="B3541" s="20">
        <f t="shared" si="280"/>
        <v>0</v>
      </c>
      <c r="C3541" s="21">
        <f t="shared" si="281"/>
        <v>0</v>
      </c>
      <c r="D3541" s="22" t="e">
        <f>VLOOKUP($A3541, TAB_JUROS_U[[Q_DIAS_U_PARC_TIR]:[V_FUT_U_JURS CENARIO]], D$5, FALSE)</f>
        <v>#N/A</v>
      </c>
      <c r="E3541" s="22" t="e">
        <f>VLOOKUP($A3541,TAB_CORRECAO_U[[Q_DIAS_U_PARC_TIR]:[V_FUT_U_CORC-02]],E$5, FALSE)</f>
        <v>#N/A</v>
      </c>
      <c r="F3541" s="22" t="e">
        <f>VLOOKUP($A3541,TAB_AMORTIZACAO_U[[Q_DIAS_U_PARC_TIR]:[V_FUT_U_PCPL-02]], F$5, FALSE)</f>
        <v>#N/A</v>
      </c>
      <c r="H3541" s="20">
        <f t="shared" si="282"/>
        <v>0</v>
      </c>
      <c r="I3541" s="21">
        <f t="shared" si="283"/>
        <v>0</v>
      </c>
      <c r="J3541" s="22" t="e">
        <f>VLOOKUP($A3541, TAB_JUROS_C[[DIAS_CORRIDOS]:[V_FUT_UTEIS]], J$5, FALSE)</f>
        <v>#N/A</v>
      </c>
      <c r="K3541" s="22" t="e">
        <f>VLOOKUP($A3541, TAB_CORRECAO_C[[DIAS_CORRIDOS]:[V_FUT_UTEIS]],K$5, FALSE)</f>
        <v>#N/A</v>
      </c>
      <c r="L3541" s="22" t="e">
        <f>VLOOKUP($A3541, TAB_AMORTIZACAO_C[[DIAS_CORRIDOS]:[V_FUT_UTEIS]], L$5, FALSE)</f>
        <v>#N/A</v>
      </c>
    </row>
    <row r="3542" spans="1:12" hidden="1">
      <c r="A3542" s="19">
        <f t="shared" si="284"/>
        <v>3536</v>
      </c>
      <c r="B3542" s="20">
        <f t="shared" si="280"/>
        <v>0</v>
      </c>
      <c r="C3542" s="21">
        <f t="shared" si="281"/>
        <v>0</v>
      </c>
      <c r="D3542" s="22" t="e">
        <f>VLOOKUP($A3542, TAB_JUROS_U[[Q_DIAS_U_PARC_TIR]:[V_FUT_U_JURS CENARIO]], D$5, FALSE)</f>
        <v>#N/A</v>
      </c>
      <c r="E3542" s="22" t="e">
        <f>VLOOKUP($A3542,TAB_CORRECAO_U[[Q_DIAS_U_PARC_TIR]:[V_FUT_U_CORC-02]],E$5, FALSE)</f>
        <v>#N/A</v>
      </c>
      <c r="F3542" s="22" t="e">
        <f>VLOOKUP($A3542,TAB_AMORTIZACAO_U[[Q_DIAS_U_PARC_TIR]:[V_FUT_U_PCPL-02]], F$5, FALSE)</f>
        <v>#N/A</v>
      </c>
      <c r="H3542" s="20">
        <f t="shared" si="282"/>
        <v>0</v>
      </c>
      <c r="I3542" s="21">
        <f t="shared" si="283"/>
        <v>0</v>
      </c>
      <c r="J3542" s="22" t="e">
        <f>VLOOKUP($A3542, TAB_JUROS_C[[DIAS_CORRIDOS]:[V_FUT_UTEIS]], J$5, FALSE)</f>
        <v>#N/A</v>
      </c>
      <c r="K3542" s="22" t="e">
        <f>VLOOKUP($A3542, TAB_CORRECAO_C[[DIAS_CORRIDOS]:[V_FUT_UTEIS]],K$5, FALSE)</f>
        <v>#N/A</v>
      </c>
      <c r="L3542" s="22" t="e">
        <f>VLOOKUP($A3542, TAB_AMORTIZACAO_C[[DIAS_CORRIDOS]:[V_FUT_UTEIS]], L$5, FALSE)</f>
        <v>#N/A</v>
      </c>
    </row>
    <row r="3543" spans="1:12" hidden="1">
      <c r="A3543" s="19">
        <f t="shared" si="284"/>
        <v>3537</v>
      </c>
      <c r="B3543" s="20">
        <f t="shared" si="280"/>
        <v>0</v>
      </c>
      <c r="C3543" s="21">
        <f t="shared" si="281"/>
        <v>0</v>
      </c>
      <c r="D3543" s="22" t="e">
        <f>VLOOKUP($A3543, TAB_JUROS_U[[Q_DIAS_U_PARC_TIR]:[V_FUT_U_JURS CENARIO]], D$5, FALSE)</f>
        <v>#N/A</v>
      </c>
      <c r="E3543" s="22" t="e">
        <f>VLOOKUP($A3543,TAB_CORRECAO_U[[Q_DIAS_U_PARC_TIR]:[V_FUT_U_CORC-02]],E$5, FALSE)</f>
        <v>#N/A</v>
      </c>
      <c r="F3543" s="22" t="e">
        <f>VLOOKUP($A3543,TAB_AMORTIZACAO_U[[Q_DIAS_U_PARC_TIR]:[V_FUT_U_PCPL-02]], F$5, FALSE)</f>
        <v>#N/A</v>
      </c>
      <c r="H3543" s="20">
        <f t="shared" si="282"/>
        <v>0</v>
      </c>
      <c r="I3543" s="21">
        <f t="shared" si="283"/>
        <v>0</v>
      </c>
      <c r="J3543" s="22" t="e">
        <f>VLOOKUP($A3543, TAB_JUROS_C[[DIAS_CORRIDOS]:[V_FUT_UTEIS]], J$5, FALSE)</f>
        <v>#N/A</v>
      </c>
      <c r="K3543" s="22" t="e">
        <f>VLOOKUP($A3543, TAB_CORRECAO_C[[DIAS_CORRIDOS]:[V_FUT_UTEIS]],K$5, FALSE)</f>
        <v>#N/A</v>
      </c>
      <c r="L3543" s="22" t="e">
        <f>VLOOKUP($A3543, TAB_AMORTIZACAO_C[[DIAS_CORRIDOS]:[V_FUT_UTEIS]], L$5, FALSE)</f>
        <v>#N/A</v>
      </c>
    </row>
    <row r="3544" spans="1:12" hidden="1">
      <c r="A3544" s="19">
        <f t="shared" si="284"/>
        <v>3538</v>
      </c>
      <c r="B3544" s="20">
        <f t="shared" si="280"/>
        <v>0</v>
      </c>
      <c r="C3544" s="21">
        <f t="shared" si="281"/>
        <v>0</v>
      </c>
      <c r="D3544" s="22" t="e">
        <f>VLOOKUP($A3544, TAB_JUROS_U[[Q_DIAS_U_PARC_TIR]:[V_FUT_U_JURS CENARIO]], D$5, FALSE)</f>
        <v>#N/A</v>
      </c>
      <c r="E3544" s="22" t="e">
        <f>VLOOKUP($A3544,TAB_CORRECAO_U[[Q_DIAS_U_PARC_TIR]:[V_FUT_U_CORC-02]],E$5, FALSE)</f>
        <v>#N/A</v>
      </c>
      <c r="F3544" s="22" t="e">
        <f>VLOOKUP($A3544,TAB_AMORTIZACAO_U[[Q_DIAS_U_PARC_TIR]:[V_FUT_U_PCPL-02]], F$5, FALSE)</f>
        <v>#N/A</v>
      </c>
      <c r="H3544" s="20">
        <f t="shared" si="282"/>
        <v>0</v>
      </c>
      <c r="I3544" s="21">
        <f t="shared" si="283"/>
        <v>0</v>
      </c>
      <c r="J3544" s="22" t="e">
        <f>VLOOKUP($A3544, TAB_JUROS_C[[DIAS_CORRIDOS]:[V_FUT_UTEIS]], J$5, FALSE)</f>
        <v>#N/A</v>
      </c>
      <c r="K3544" s="22" t="e">
        <f>VLOOKUP($A3544, TAB_CORRECAO_C[[DIAS_CORRIDOS]:[V_FUT_UTEIS]],K$5, FALSE)</f>
        <v>#N/A</v>
      </c>
      <c r="L3544" s="22" t="e">
        <f>VLOOKUP($A3544, TAB_AMORTIZACAO_C[[DIAS_CORRIDOS]:[V_FUT_UTEIS]], L$5, FALSE)</f>
        <v>#N/A</v>
      </c>
    </row>
    <row r="3545" spans="1:12" hidden="1">
      <c r="A3545" s="19">
        <f t="shared" si="284"/>
        <v>3539</v>
      </c>
      <c r="B3545" s="20">
        <f t="shared" si="280"/>
        <v>0</v>
      </c>
      <c r="C3545" s="21">
        <f t="shared" si="281"/>
        <v>0</v>
      </c>
      <c r="D3545" s="22" t="e">
        <f>VLOOKUP($A3545, TAB_JUROS_U[[Q_DIAS_U_PARC_TIR]:[V_FUT_U_JURS CENARIO]], D$5, FALSE)</f>
        <v>#N/A</v>
      </c>
      <c r="E3545" s="22" t="e">
        <f>VLOOKUP($A3545,TAB_CORRECAO_U[[Q_DIAS_U_PARC_TIR]:[V_FUT_U_CORC-02]],E$5, FALSE)</f>
        <v>#N/A</v>
      </c>
      <c r="F3545" s="22" t="e">
        <f>VLOOKUP($A3545,TAB_AMORTIZACAO_U[[Q_DIAS_U_PARC_TIR]:[V_FUT_U_PCPL-02]], F$5, FALSE)</f>
        <v>#N/A</v>
      </c>
      <c r="H3545" s="20">
        <f t="shared" si="282"/>
        <v>0</v>
      </c>
      <c r="I3545" s="21">
        <f t="shared" si="283"/>
        <v>0</v>
      </c>
      <c r="J3545" s="22" t="e">
        <f>VLOOKUP($A3545, TAB_JUROS_C[[DIAS_CORRIDOS]:[V_FUT_UTEIS]], J$5, FALSE)</f>
        <v>#N/A</v>
      </c>
      <c r="K3545" s="22" t="e">
        <f>VLOOKUP($A3545, TAB_CORRECAO_C[[DIAS_CORRIDOS]:[V_FUT_UTEIS]],K$5, FALSE)</f>
        <v>#N/A</v>
      </c>
      <c r="L3545" s="22" t="e">
        <f>VLOOKUP($A3545, TAB_AMORTIZACAO_C[[DIAS_CORRIDOS]:[V_FUT_UTEIS]], L$5, FALSE)</f>
        <v>#N/A</v>
      </c>
    </row>
    <row r="3546" spans="1:12" hidden="1">
      <c r="A3546" s="19">
        <f t="shared" si="284"/>
        <v>3540</v>
      </c>
      <c r="B3546" s="20">
        <f t="shared" si="280"/>
        <v>0</v>
      </c>
      <c r="C3546" s="21">
        <f t="shared" si="281"/>
        <v>0</v>
      </c>
      <c r="D3546" s="22" t="e">
        <f>VLOOKUP($A3546, TAB_JUROS_U[[Q_DIAS_U_PARC_TIR]:[V_FUT_U_JURS CENARIO]], D$5, FALSE)</f>
        <v>#N/A</v>
      </c>
      <c r="E3546" s="22" t="e">
        <f>VLOOKUP($A3546,TAB_CORRECAO_U[[Q_DIAS_U_PARC_TIR]:[V_FUT_U_CORC-02]],E$5, FALSE)</f>
        <v>#N/A</v>
      </c>
      <c r="F3546" s="22" t="e">
        <f>VLOOKUP($A3546,TAB_AMORTIZACAO_U[[Q_DIAS_U_PARC_TIR]:[V_FUT_U_PCPL-02]], F$5, FALSE)</f>
        <v>#N/A</v>
      </c>
      <c r="H3546" s="20">
        <f t="shared" si="282"/>
        <v>0</v>
      </c>
      <c r="I3546" s="21">
        <f t="shared" si="283"/>
        <v>0</v>
      </c>
      <c r="J3546" s="22" t="e">
        <f>VLOOKUP($A3546, TAB_JUROS_C[[DIAS_CORRIDOS]:[V_FUT_UTEIS]], J$5, FALSE)</f>
        <v>#N/A</v>
      </c>
      <c r="K3546" s="22" t="e">
        <f>VLOOKUP($A3546, TAB_CORRECAO_C[[DIAS_CORRIDOS]:[V_FUT_UTEIS]],K$5, FALSE)</f>
        <v>#N/A</v>
      </c>
      <c r="L3546" s="22" t="e">
        <f>VLOOKUP($A3546, TAB_AMORTIZACAO_C[[DIAS_CORRIDOS]:[V_FUT_UTEIS]], L$5, FALSE)</f>
        <v>#N/A</v>
      </c>
    </row>
    <row r="3547" spans="1:12" hidden="1">
      <c r="A3547" s="19">
        <f t="shared" si="284"/>
        <v>3541</v>
      </c>
      <c r="B3547" s="20">
        <f t="shared" si="280"/>
        <v>0</v>
      </c>
      <c r="C3547" s="21">
        <f t="shared" si="281"/>
        <v>0</v>
      </c>
      <c r="D3547" s="22" t="e">
        <f>VLOOKUP($A3547, TAB_JUROS_U[[Q_DIAS_U_PARC_TIR]:[V_FUT_U_JURS CENARIO]], D$5, FALSE)</f>
        <v>#N/A</v>
      </c>
      <c r="E3547" s="22" t="e">
        <f>VLOOKUP($A3547,TAB_CORRECAO_U[[Q_DIAS_U_PARC_TIR]:[V_FUT_U_CORC-02]],E$5, FALSE)</f>
        <v>#N/A</v>
      </c>
      <c r="F3547" s="22" t="e">
        <f>VLOOKUP($A3547,TAB_AMORTIZACAO_U[[Q_DIAS_U_PARC_TIR]:[V_FUT_U_PCPL-02]], F$5, FALSE)</f>
        <v>#N/A</v>
      </c>
      <c r="H3547" s="20">
        <f t="shared" si="282"/>
        <v>0</v>
      </c>
      <c r="I3547" s="21">
        <f t="shared" si="283"/>
        <v>0</v>
      </c>
      <c r="J3547" s="22" t="e">
        <f>VLOOKUP($A3547, TAB_JUROS_C[[DIAS_CORRIDOS]:[V_FUT_UTEIS]], J$5, FALSE)</f>
        <v>#N/A</v>
      </c>
      <c r="K3547" s="22" t="e">
        <f>VLOOKUP($A3547, TAB_CORRECAO_C[[DIAS_CORRIDOS]:[V_FUT_UTEIS]],K$5, FALSE)</f>
        <v>#N/A</v>
      </c>
      <c r="L3547" s="22" t="e">
        <f>VLOOKUP($A3547, TAB_AMORTIZACAO_C[[DIAS_CORRIDOS]:[V_FUT_UTEIS]], L$5, FALSE)</f>
        <v>#N/A</v>
      </c>
    </row>
    <row r="3548" spans="1:12" hidden="1">
      <c r="A3548" s="19">
        <f t="shared" si="284"/>
        <v>3542</v>
      </c>
      <c r="B3548" s="20">
        <f t="shared" si="280"/>
        <v>0</v>
      </c>
      <c r="C3548" s="21">
        <f t="shared" si="281"/>
        <v>0</v>
      </c>
      <c r="D3548" s="22" t="e">
        <f>VLOOKUP($A3548, TAB_JUROS_U[[Q_DIAS_U_PARC_TIR]:[V_FUT_U_JURS CENARIO]], D$5, FALSE)</f>
        <v>#N/A</v>
      </c>
      <c r="E3548" s="22" t="e">
        <f>VLOOKUP($A3548,TAB_CORRECAO_U[[Q_DIAS_U_PARC_TIR]:[V_FUT_U_CORC-02]],E$5, FALSE)</f>
        <v>#N/A</v>
      </c>
      <c r="F3548" s="22" t="e">
        <f>VLOOKUP($A3548,TAB_AMORTIZACAO_U[[Q_DIAS_U_PARC_TIR]:[V_FUT_U_PCPL-02]], F$5, FALSE)</f>
        <v>#N/A</v>
      </c>
      <c r="H3548" s="20">
        <f t="shared" si="282"/>
        <v>176.51703434312753</v>
      </c>
      <c r="I3548" s="21">
        <f t="shared" si="283"/>
        <v>176.51703434312753</v>
      </c>
      <c r="J3548" s="22">
        <f>VLOOKUP($A3548, TAB_JUROS_C[[DIAS_CORRIDOS]:[V_FUT_UTEIS]], J$5, FALSE)</f>
        <v>7.1494290183189166</v>
      </c>
      <c r="K3548" s="22">
        <f>VLOOKUP($A3548, TAB_CORRECAO_C[[DIAS_CORRIDOS]:[V_FUT_UTEIS]],K$5, FALSE)</f>
        <v>42.550549055472992</v>
      </c>
      <c r="L3548" s="22">
        <f>VLOOKUP($A3548, TAB_AMORTIZACAO_C[[DIAS_CORRIDOS]:[V_FUT_UTEIS]], L$5, FALSE)</f>
        <v>126.81705626933561</v>
      </c>
    </row>
    <row r="3549" spans="1:12" hidden="1">
      <c r="A3549" s="19">
        <f t="shared" si="284"/>
        <v>3543</v>
      </c>
      <c r="B3549" s="20">
        <f t="shared" si="280"/>
        <v>0</v>
      </c>
      <c r="C3549" s="21">
        <f t="shared" si="281"/>
        <v>0</v>
      </c>
      <c r="D3549" s="22" t="e">
        <f>VLOOKUP($A3549, TAB_JUROS_U[[Q_DIAS_U_PARC_TIR]:[V_FUT_U_JURS CENARIO]], D$5, FALSE)</f>
        <v>#N/A</v>
      </c>
      <c r="E3549" s="22" t="e">
        <f>VLOOKUP($A3549,TAB_CORRECAO_U[[Q_DIAS_U_PARC_TIR]:[V_FUT_U_CORC-02]],E$5, FALSE)</f>
        <v>#N/A</v>
      </c>
      <c r="F3549" s="22" t="e">
        <f>VLOOKUP($A3549,TAB_AMORTIZACAO_U[[Q_DIAS_U_PARC_TIR]:[V_FUT_U_PCPL-02]], F$5, FALSE)</f>
        <v>#N/A</v>
      </c>
      <c r="H3549" s="20">
        <f t="shared" si="282"/>
        <v>0</v>
      </c>
      <c r="I3549" s="21">
        <f t="shared" si="283"/>
        <v>0</v>
      </c>
      <c r="J3549" s="22" t="e">
        <f>VLOOKUP($A3549, TAB_JUROS_C[[DIAS_CORRIDOS]:[V_FUT_UTEIS]], J$5, FALSE)</f>
        <v>#N/A</v>
      </c>
      <c r="K3549" s="22" t="e">
        <f>VLOOKUP($A3549, TAB_CORRECAO_C[[DIAS_CORRIDOS]:[V_FUT_UTEIS]],K$5, FALSE)</f>
        <v>#N/A</v>
      </c>
      <c r="L3549" s="22" t="e">
        <f>VLOOKUP($A3549, TAB_AMORTIZACAO_C[[DIAS_CORRIDOS]:[V_FUT_UTEIS]], L$5, FALSE)</f>
        <v>#N/A</v>
      </c>
    </row>
    <row r="3550" spans="1:12" hidden="1">
      <c r="A3550" s="19">
        <f t="shared" si="284"/>
        <v>3544</v>
      </c>
      <c r="B3550" s="20">
        <f t="shared" si="280"/>
        <v>0</v>
      </c>
      <c r="C3550" s="21">
        <f t="shared" si="281"/>
        <v>0</v>
      </c>
      <c r="D3550" s="22" t="e">
        <f>VLOOKUP($A3550, TAB_JUROS_U[[Q_DIAS_U_PARC_TIR]:[V_FUT_U_JURS CENARIO]], D$5, FALSE)</f>
        <v>#N/A</v>
      </c>
      <c r="E3550" s="22" t="e">
        <f>VLOOKUP($A3550,TAB_CORRECAO_U[[Q_DIAS_U_PARC_TIR]:[V_FUT_U_CORC-02]],E$5, FALSE)</f>
        <v>#N/A</v>
      </c>
      <c r="F3550" s="22" t="e">
        <f>VLOOKUP($A3550,TAB_AMORTIZACAO_U[[Q_DIAS_U_PARC_TIR]:[V_FUT_U_PCPL-02]], F$5, FALSE)</f>
        <v>#N/A</v>
      </c>
      <c r="H3550" s="20">
        <f t="shared" si="282"/>
        <v>0</v>
      </c>
      <c r="I3550" s="21">
        <f t="shared" si="283"/>
        <v>0</v>
      </c>
      <c r="J3550" s="22" t="e">
        <f>VLOOKUP($A3550, TAB_JUROS_C[[DIAS_CORRIDOS]:[V_FUT_UTEIS]], J$5, FALSE)</f>
        <v>#N/A</v>
      </c>
      <c r="K3550" s="22" t="e">
        <f>VLOOKUP($A3550, TAB_CORRECAO_C[[DIAS_CORRIDOS]:[V_FUT_UTEIS]],K$5, FALSE)</f>
        <v>#N/A</v>
      </c>
      <c r="L3550" s="22" t="e">
        <f>VLOOKUP($A3550, TAB_AMORTIZACAO_C[[DIAS_CORRIDOS]:[V_FUT_UTEIS]], L$5, FALSE)</f>
        <v>#N/A</v>
      </c>
    </row>
    <row r="3551" spans="1:12" hidden="1">
      <c r="A3551" s="19">
        <f t="shared" si="284"/>
        <v>3545</v>
      </c>
      <c r="B3551" s="20">
        <f t="shared" si="280"/>
        <v>0</v>
      </c>
      <c r="C3551" s="21">
        <f t="shared" si="281"/>
        <v>0</v>
      </c>
      <c r="D3551" s="22" t="e">
        <f>VLOOKUP($A3551, TAB_JUROS_U[[Q_DIAS_U_PARC_TIR]:[V_FUT_U_JURS CENARIO]], D$5, FALSE)</f>
        <v>#N/A</v>
      </c>
      <c r="E3551" s="22" t="e">
        <f>VLOOKUP($A3551,TAB_CORRECAO_U[[Q_DIAS_U_PARC_TIR]:[V_FUT_U_CORC-02]],E$5, FALSE)</f>
        <v>#N/A</v>
      </c>
      <c r="F3551" s="22" t="e">
        <f>VLOOKUP($A3551,TAB_AMORTIZACAO_U[[Q_DIAS_U_PARC_TIR]:[V_FUT_U_PCPL-02]], F$5, FALSE)</f>
        <v>#N/A</v>
      </c>
      <c r="H3551" s="20">
        <f t="shared" si="282"/>
        <v>0</v>
      </c>
      <c r="I3551" s="21">
        <f t="shared" si="283"/>
        <v>0</v>
      </c>
      <c r="J3551" s="22" t="e">
        <f>VLOOKUP($A3551, TAB_JUROS_C[[DIAS_CORRIDOS]:[V_FUT_UTEIS]], J$5, FALSE)</f>
        <v>#N/A</v>
      </c>
      <c r="K3551" s="22" t="e">
        <f>VLOOKUP($A3551, TAB_CORRECAO_C[[DIAS_CORRIDOS]:[V_FUT_UTEIS]],K$5, FALSE)</f>
        <v>#N/A</v>
      </c>
      <c r="L3551" s="22" t="e">
        <f>VLOOKUP($A3551, TAB_AMORTIZACAO_C[[DIAS_CORRIDOS]:[V_FUT_UTEIS]], L$5, FALSE)</f>
        <v>#N/A</v>
      </c>
    </row>
    <row r="3552" spans="1:12" hidden="1">
      <c r="A3552" s="19">
        <f t="shared" si="284"/>
        <v>3546</v>
      </c>
      <c r="B3552" s="20">
        <f t="shared" si="280"/>
        <v>0</v>
      </c>
      <c r="C3552" s="21">
        <f t="shared" si="281"/>
        <v>0</v>
      </c>
      <c r="D3552" s="22" t="e">
        <f>VLOOKUP($A3552, TAB_JUROS_U[[Q_DIAS_U_PARC_TIR]:[V_FUT_U_JURS CENARIO]], D$5, FALSE)</f>
        <v>#N/A</v>
      </c>
      <c r="E3552" s="22" t="e">
        <f>VLOOKUP($A3552,TAB_CORRECAO_U[[Q_DIAS_U_PARC_TIR]:[V_FUT_U_CORC-02]],E$5, FALSE)</f>
        <v>#N/A</v>
      </c>
      <c r="F3552" s="22" t="e">
        <f>VLOOKUP($A3552,TAB_AMORTIZACAO_U[[Q_DIAS_U_PARC_TIR]:[V_FUT_U_PCPL-02]], F$5, FALSE)</f>
        <v>#N/A</v>
      </c>
      <c r="H3552" s="20">
        <f t="shared" si="282"/>
        <v>0</v>
      </c>
      <c r="I3552" s="21">
        <f t="shared" si="283"/>
        <v>0</v>
      </c>
      <c r="J3552" s="22" t="e">
        <f>VLOOKUP($A3552, TAB_JUROS_C[[DIAS_CORRIDOS]:[V_FUT_UTEIS]], J$5, FALSE)</f>
        <v>#N/A</v>
      </c>
      <c r="K3552" s="22" t="e">
        <f>VLOOKUP($A3552, TAB_CORRECAO_C[[DIAS_CORRIDOS]:[V_FUT_UTEIS]],K$5, FALSE)</f>
        <v>#N/A</v>
      </c>
      <c r="L3552" s="22" t="e">
        <f>VLOOKUP($A3552, TAB_AMORTIZACAO_C[[DIAS_CORRIDOS]:[V_FUT_UTEIS]], L$5, FALSE)</f>
        <v>#N/A</v>
      </c>
    </row>
    <row r="3553" spans="1:12" hidden="1">
      <c r="A3553" s="19">
        <f t="shared" si="284"/>
        <v>3547</v>
      </c>
      <c r="B3553" s="20">
        <f t="shared" si="280"/>
        <v>0</v>
      </c>
      <c r="C3553" s="21">
        <f t="shared" si="281"/>
        <v>0</v>
      </c>
      <c r="D3553" s="22" t="e">
        <f>VLOOKUP($A3553, TAB_JUROS_U[[Q_DIAS_U_PARC_TIR]:[V_FUT_U_JURS CENARIO]], D$5, FALSE)</f>
        <v>#N/A</v>
      </c>
      <c r="E3553" s="22" t="e">
        <f>VLOOKUP($A3553,TAB_CORRECAO_U[[Q_DIAS_U_PARC_TIR]:[V_FUT_U_CORC-02]],E$5, FALSE)</f>
        <v>#N/A</v>
      </c>
      <c r="F3553" s="22" t="e">
        <f>VLOOKUP($A3553,TAB_AMORTIZACAO_U[[Q_DIAS_U_PARC_TIR]:[V_FUT_U_PCPL-02]], F$5, FALSE)</f>
        <v>#N/A</v>
      </c>
      <c r="H3553" s="20">
        <f t="shared" si="282"/>
        <v>0</v>
      </c>
      <c r="I3553" s="21">
        <f t="shared" si="283"/>
        <v>0</v>
      </c>
      <c r="J3553" s="22" t="e">
        <f>VLOOKUP($A3553, TAB_JUROS_C[[DIAS_CORRIDOS]:[V_FUT_UTEIS]], J$5, FALSE)</f>
        <v>#N/A</v>
      </c>
      <c r="K3553" s="22" t="e">
        <f>VLOOKUP($A3553, TAB_CORRECAO_C[[DIAS_CORRIDOS]:[V_FUT_UTEIS]],K$5, FALSE)</f>
        <v>#N/A</v>
      </c>
      <c r="L3553" s="22" t="e">
        <f>VLOOKUP($A3553, TAB_AMORTIZACAO_C[[DIAS_CORRIDOS]:[V_FUT_UTEIS]], L$5, FALSE)</f>
        <v>#N/A</v>
      </c>
    </row>
    <row r="3554" spans="1:12" hidden="1">
      <c r="A3554" s="19">
        <f t="shared" si="284"/>
        <v>3548</v>
      </c>
      <c r="B3554" s="20">
        <f t="shared" si="280"/>
        <v>0</v>
      </c>
      <c r="C3554" s="21">
        <f t="shared" si="281"/>
        <v>0</v>
      </c>
      <c r="D3554" s="22" t="e">
        <f>VLOOKUP($A3554, TAB_JUROS_U[[Q_DIAS_U_PARC_TIR]:[V_FUT_U_JURS CENARIO]], D$5, FALSE)</f>
        <v>#N/A</v>
      </c>
      <c r="E3554" s="22" t="e">
        <f>VLOOKUP($A3554,TAB_CORRECAO_U[[Q_DIAS_U_PARC_TIR]:[V_FUT_U_CORC-02]],E$5, FALSE)</f>
        <v>#N/A</v>
      </c>
      <c r="F3554" s="22" t="e">
        <f>VLOOKUP($A3554,TAB_AMORTIZACAO_U[[Q_DIAS_U_PARC_TIR]:[V_FUT_U_PCPL-02]], F$5, FALSE)</f>
        <v>#N/A</v>
      </c>
      <c r="H3554" s="20">
        <f t="shared" si="282"/>
        <v>0</v>
      </c>
      <c r="I3554" s="21">
        <f t="shared" si="283"/>
        <v>0</v>
      </c>
      <c r="J3554" s="22" t="e">
        <f>VLOOKUP($A3554, TAB_JUROS_C[[DIAS_CORRIDOS]:[V_FUT_UTEIS]], J$5, FALSE)</f>
        <v>#N/A</v>
      </c>
      <c r="K3554" s="22" t="e">
        <f>VLOOKUP($A3554, TAB_CORRECAO_C[[DIAS_CORRIDOS]:[V_FUT_UTEIS]],K$5, FALSE)</f>
        <v>#N/A</v>
      </c>
      <c r="L3554" s="22" t="e">
        <f>VLOOKUP($A3554, TAB_AMORTIZACAO_C[[DIAS_CORRIDOS]:[V_FUT_UTEIS]], L$5, FALSE)</f>
        <v>#N/A</v>
      </c>
    </row>
    <row r="3555" spans="1:12" hidden="1">
      <c r="A3555" s="19">
        <f t="shared" si="284"/>
        <v>3549</v>
      </c>
      <c r="B3555" s="20">
        <f t="shared" si="280"/>
        <v>0</v>
      </c>
      <c r="C3555" s="21">
        <f t="shared" si="281"/>
        <v>0</v>
      </c>
      <c r="D3555" s="22" t="e">
        <f>VLOOKUP($A3555, TAB_JUROS_U[[Q_DIAS_U_PARC_TIR]:[V_FUT_U_JURS CENARIO]], D$5, FALSE)</f>
        <v>#N/A</v>
      </c>
      <c r="E3555" s="22" t="e">
        <f>VLOOKUP($A3555,TAB_CORRECAO_U[[Q_DIAS_U_PARC_TIR]:[V_FUT_U_CORC-02]],E$5, FALSE)</f>
        <v>#N/A</v>
      </c>
      <c r="F3555" s="22" t="e">
        <f>VLOOKUP($A3555,TAB_AMORTIZACAO_U[[Q_DIAS_U_PARC_TIR]:[V_FUT_U_PCPL-02]], F$5, FALSE)</f>
        <v>#N/A</v>
      </c>
      <c r="H3555" s="20">
        <f t="shared" si="282"/>
        <v>0</v>
      </c>
      <c r="I3555" s="21">
        <f t="shared" si="283"/>
        <v>0</v>
      </c>
      <c r="J3555" s="22" t="e">
        <f>VLOOKUP($A3555, TAB_JUROS_C[[DIAS_CORRIDOS]:[V_FUT_UTEIS]], J$5, FALSE)</f>
        <v>#N/A</v>
      </c>
      <c r="K3555" s="22" t="e">
        <f>VLOOKUP($A3555, TAB_CORRECAO_C[[DIAS_CORRIDOS]:[V_FUT_UTEIS]],K$5, FALSE)</f>
        <v>#N/A</v>
      </c>
      <c r="L3555" s="22" t="e">
        <f>VLOOKUP($A3555, TAB_AMORTIZACAO_C[[DIAS_CORRIDOS]:[V_FUT_UTEIS]], L$5, FALSE)</f>
        <v>#N/A</v>
      </c>
    </row>
    <row r="3556" spans="1:12" hidden="1">
      <c r="A3556" s="19">
        <f t="shared" si="284"/>
        <v>3550</v>
      </c>
      <c r="B3556" s="20">
        <f t="shared" si="280"/>
        <v>0</v>
      </c>
      <c r="C3556" s="21">
        <f t="shared" si="281"/>
        <v>0</v>
      </c>
      <c r="D3556" s="22" t="e">
        <f>VLOOKUP($A3556, TAB_JUROS_U[[Q_DIAS_U_PARC_TIR]:[V_FUT_U_JURS CENARIO]], D$5, FALSE)</f>
        <v>#N/A</v>
      </c>
      <c r="E3556" s="22" t="e">
        <f>VLOOKUP($A3556,TAB_CORRECAO_U[[Q_DIAS_U_PARC_TIR]:[V_FUT_U_CORC-02]],E$5, FALSE)</f>
        <v>#N/A</v>
      </c>
      <c r="F3556" s="22" t="e">
        <f>VLOOKUP($A3556,TAB_AMORTIZACAO_U[[Q_DIAS_U_PARC_TIR]:[V_FUT_U_PCPL-02]], F$5, FALSE)</f>
        <v>#N/A</v>
      </c>
      <c r="H3556" s="20">
        <f t="shared" si="282"/>
        <v>0</v>
      </c>
      <c r="I3556" s="21">
        <f t="shared" si="283"/>
        <v>0</v>
      </c>
      <c r="J3556" s="22" t="e">
        <f>VLOOKUP($A3556, TAB_JUROS_C[[DIAS_CORRIDOS]:[V_FUT_UTEIS]], J$5, FALSE)</f>
        <v>#N/A</v>
      </c>
      <c r="K3556" s="22" t="e">
        <f>VLOOKUP($A3556, TAB_CORRECAO_C[[DIAS_CORRIDOS]:[V_FUT_UTEIS]],K$5, FALSE)</f>
        <v>#N/A</v>
      </c>
      <c r="L3556" s="22" t="e">
        <f>VLOOKUP($A3556, TAB_AMORTIZACAO_C[[DIAS_CORRIDOS]:[V_FUT_UTEIS]], L$5, FALSE)</f>
        <v>#N/A</v>
      </c>
    </row>
    <row r="3557" spans="1:12" hidden="1">
      <c r="A3557" s="19">
        <f t="shared" si="284"/>
        <v>3551</v>
      </c>
      <c r="B3557" s="20">
        <f t="shared" si="280"/>
        <v>0</v>
      </c>
      <c r="C3557" s="21">
        <f t="shared" si="281"/>
        <v>0</v>
      </c>
      <c r="D3557" s="22" t="e">
        <f>VLOOKUP($A3557, TAB_JUROS_U[[Q_DIAS_U_PARC_TIR]:[V_FUT_U_JURS CENARIO]], D$5, FALSE)</f>
        <v>#N/A</v>
      </c>
      <c r="E3557" s="22" t="e">
        <f>VLOOKUP($A3557,TAB_CORRECAO_U[[Q_DIAS_U_PARC_TIR]:[V_FUT_U_CORC-02]],E$5, FALSE)</f>
        <v>#N/A</v>
      </c>
      <c r="F3557" s="22" t="e">
        <f>VLOOKUP($A3557,TAB_AMORTIZACAO_U[[Q_DIAS_U_PARC_TIR]:[V_FUT_U_PCPL-02]], F$5, FALSE)</f>
        <v>#N/A</v>
      </c>
      <c r="H3557" s="20">
        <f t="shared" si="282"/>
        <v>0</v>
      </c>
      <c r="I3557" s="21">
        <f t="shared" si="283"/>
        <v>0</v>
      </c>
      <c r="J3557" s="22" t="e">
        <f>VLOOKUP($A3557, TAB_JUROS_C[[DIAS_CORRIDOS]:[V_FUT_UTEIS]], J$5, FALSE)</f>
        <v>#N/A</v>
      </c>
      <c r="K3557" s="22" t="e">
        <f>VLOOKUP($A3557, TAB_CORRECAO_C[[DIAS_CORRIDOS]:[V_FUT_UTEIS]],K$5, FALSE)</f>
        <v>#N/A</v>
      </c>
      <c r="L3557" s="22" t="e">
        <f>VLOOKUP($A3557, TAB_AMORTIZACAO_C[[DIAS_CORRIDOS]:[V_FUT_UTEIS]], L$5, FALSE)</f>
        <v>#N/A</v>
      </c>
    </row>
    <row r="3558" spans="1:12" hidden="1">
      <c r="A3558" s="19">
        <f t="shared" si="284"/>
        <v>3552</v>
      </c>
      <c r="B3558" s="20">
        <f t="shared" si="280"/>
        <v>0</v>
      </c>
      <c r="C3558" s="21">
        <f t="shared" si="281"/>
        <v>0</v>
      </c>
      <c r="D3558" s="22" t="e">
        <f>VLOOKUP($A3558, TAB_JUROS_U[[Q_DIAS_U_PARC_TIR]:[V_FUT_U_JURS CENARIO]], D$5, FALSE)</f>
        <v>#N/A</v>
      </c>
      <c r="E3558" s="22" t="e">
        <f>VLOOKUP($A3558,TAB_CORRECAO_U[[Q_DIAS_U_PARC_TIR]:[V_FUT_U_CORC-02]],E$5, FALSE)</f>
        <v>#N/A</v>
      </c>
      <c r="F3558" s="22" t="e">
        <f>VLOOKUP($A3558,TAB_AMORTIZACAO_U[[Q_DIAS_U_PARC_TIR]:[V_FUT_U_PCPL-02]], F$5, FALSE)</f>
        <v>#N/A</v>
      </c>
      <c r="H3558" s="20">
        <f t="shared" si="282"/>
        <v>0</v>
      </c>
      <c r="I3558" s="21">
        <f t="shared" si="283"/>
        <v>0</v>
      </c>
      <c r="J3558" s="22" t="e">
        <f>VLOOKUP($A3558, TAB_JUROS_C[[DIAS_CORRIDOS]:[V_FUT_UTEIS]], J$5, FALSE)</f>
        <v>#N/A</v>
      </c>
      <c r="K3558" s="22" t="e">
        <f>VLOOKUP($A3558, TAB_CORRECAO_C[[DIAS_CORRIDOS]:[V_FUT_UTEIS]],K$5, FALSE)</f>
        <v>#N/A</v>
      </c>
      <c r="L3558" s="22" t="e">
        <f>VLOOKUP($A3558, TAB_AMORTIZACAO_C[[DIAS_CORRIDOS]:[V_FUT_UTEIS]], L$5, FALSE)</f>
        <v>#N/A</v>
      </c>
    </row>
    <row r="3559" spans="1:12" hidden="1">
      <c r="A3559" s="19">
        <f t="shared" si="284"/>
        <v>3553</v>
      </c>
      <c r="B3559" s="20">
        <f t="shared" si="280"/>
        <v>0</v>
      </c>
      <c r="C3559" s="21">
        <f t="shared" si="281"/>
        <v>0</v>
      </c>
      <c r="D3559" s="22" t="e">
        <f>VLOOKUP($A3559, TAB_JUROS_U[[Q_DIAS_U_PARC_TIR]:[V_FUT_U_JURS CENARIO]], D$5, FALSE)</f>
        <v>#N/A</v>
      </c>
      <c r="E3559" s="22" t="e">
        <f>VLOOKUP($A3559,TAB_CORRECAO_U[[Q_DIAS_U_PARC_TIR]:[V_FUT_U_CORC-02]],E$5, FALSE)</f>
        <v>#N/A</v>
      </c>
      <c r="F3559" s="22" t="e">
        <f>VLOOKUP($A3559,TAB_AMORTIZACAO_U[[Q_DIAS_U_PARC_TIR]:[V_FUT_U_PCPL-02]], F$5, FALSE)</f>
        <v>#N/A</v>
      </c>
      <c r="H3559" s="20">
        <f t="shared" si="282"/>
        <v>0</v>
      </c>
      <c r="I3559" s="21">
        <f t="shared" si="283"/>
        <v>0</v>
      </c>
      <c r="J3559" s="22" t="e">
        <f>VLOOKUP($A3559, TAB_JUROS_C[[DIAS_CORRIDOS]:[V_FUT_UTEIS]], J$5, FALSE)</f>
        <v>#N/A</v>
      </c>
      <c r="K3559" s="22" t="e">
        <f>VLOOKUP($A3559, TAB_CORRECAO_C[[DIAS_CORRIDOS]:[V_FUT_UTEIS]],K$5, FALSE)</f>
        <v>#N/A</v>
      </c>
      <c r="L3559" s="22" t="e">
        <f>VLOOKUP($A3559, TAB_AMORTIZACAO_C[[DIAS_CORRIDOS]:[V_FUT_UTEIS]], L$5, FALSE)</f>
        <v>#N/A</v>
      </c>
    </row>
    <row r="3560" spans="1:12" hidden="1">
      <c r="A3560" s="19">
        <f t="shared" si="284"/>
        <v>3554</v>
      </c>
      <c r="B3560" s="20">
        <f t="shared" si="280"/>
        <v>0</v>
      </c>
      <c r="C3560" s="21">
        <f t="shared" si="281"/>
        <v>0</v>
      </c>
      <c r="D3560" s="22" t="e">
        <f>VLOOKUP($A3560, TAB_JUROS_U[[Q_DIAS_U_PARC_TIR]:[V_FUT_U_JURS CENARIO]], D$5, FALSE)</f>
        <v>#N/A</v>
      </c>
      <c r="E3560" s="22" t="e">
        <f>VLOOKUP($A3560,TAB_CORRECAO_U[[Q_DIAS_U_PARC_TIR]:[V_FUT_U_CORC-02]],E$5, FALSE)</f>
        <v>#N/A</v>
      </c>
      <c r="F3560" s="22" t="e">
        <f>VLOOKUP($A3560,TAB_AMORTIZACAO_U[[Q_DIAS_U_PARC_TIR]:[V_FUT_U_PCPL-02]], F$5, FALSE)</f>
        <v>#N/A</v>
      </c>
      <c r="H3560" s="20">
        <f t="shared" si="282"/>
        <v>0</v>
      </c>
      <c r="I3560" s="21">
        <f t="shared" si="283"/>
        <v>0</v>
      </c>
      <c r="J3560" s="22" t="e">
        <f>VLOOKUP($A3560, TAB_JUROS_C[[DIAS_CORRIDOS]:[V_FUT_UTEIS]], J$5, FALSE)</f>
        <v>#N/A</v>
      </c>
      <c r="K3560" s="22" t="e">
        <f>VLOOKUP($A3560, TAB_CORRECAO_C[[DIAS_CORRIDOS]:[V_FUT_UTEIS]],K$5, FALSE)</f>
        <v>#N/A</v>
      </c>
      <c r="L3560" s="22" t="e">
        <f>VLOOKUP($A3560, TAB_AMORTIZACAO_C[[DIAS_CORRIDOS]:[V_FUT_UTEIS]], L$5, FALSE)</f>
        <v>#N/A</v>
      </c>
    </row>
    <row r="3561" spans="1:12" hidden="1">
      <c r="A3561" s="19">
        <f t="shared" si="284"/>
        <v>3555</v>
      </c>
      <c r="B3561" s="20">
        <f t="shared" si="280"/>
        <v>0</v>
      </c>
      <c r="C3561" s="21">
        <f t="shared" si="281"/>
        <v>0</v>
      </c>
      <c r="D3561" s="22" t="e">
        <f>VLOOKUP($A3561, TAB_JUROS_U[[Q_DIAS_U_PARC_TIR]:[V_FUT_U_JURS CENARIO]], D$5, FALSE)</f>
        <v>#N/A</v>
      </c>
      <c r="E3561" s="22" t="e">
        <f>VLOOKUP($A3561,TAB_CORRECAO_U[[Q_DIAS_U_PARC_TIR]:[V_FUT_U_CORC-02]],E$5, FALSE)</f>
        <v>#N/A</v>
      </c>
      <c r="F3561" s="22" t="e">
        <f>VLOOKUP($A3561,TAB_AMORTIZACAO_U[[Q_DIAS_U_PARC_TIR]:[V_FUT_U_PCPL-02]], F$5, FALSE)</f>
        <v>#N/A</v>
      </c>
      <c r="H3561" s="20">
        <f t="shared" si="282"/>
        <v>0</v>
      </c>
      <c r="I3561" s="21">
        <f t="shared" si="283"/>
        <v>0</v>
      </c>
      <c r="J3561" s="22" t="e">
        <f>VLOOKUP($A3561, TAB_JUROS_C[[DIAS_CORRIDOS]:[V_FUT_UTEIS]], J$5, FALSE)</f>
        <v>#N/A</v>
      </c>
      <c r="K3561" s="22" t="e">
        <f>VLOOKUP($A3561, TAB_CORRECAO_C[[DIAS_CORRIDOS]:[V_FUT_UTEIS]],K$5, FALSE)</f>
        <v>#N/A</v>
      </c>
      <c r="L3561" s="22" t="e">
        <f>VLOOKUP($A3561, TAB_AMORTIZACAO_C[[DIAS_CORRIDOS]:[V_FUT_UTEIS]], L$5, FALSE)</f>
        <v>#N/A</v>
      </c>
    </row>
    <row r="3562" spans="1:12" hidden="1">
      <c r="A3562" s="19">
        <f t="shared" si="284"/>
        <v>3556</v>
      </c>
      <c r="B3562" s="20">
        <f t="shared" si="280"/>
        <v>0</v>
      </c>
      <c r="C3562" s="21">
        <f t="shared" si="281"/>
        <v>0</v>
      </c>
      <c r="D3562" s="22" t="e">
        <f>VLOOKUP($A3562, TAB_JUROS_U[[Q_DIAS_U_PARC_TIR]:[V_FUT_U_JURS CENARIO]], D$5, FALSE)</f>
        <v>#N/A</v>
      </c>
      <c r="E3562" s="22" t="e">
        <f>VLOOKUP($A3562,TAB_CORRECAO_U[[Q_DIAS_U_PARC_TIR]:[V_FUT_U_CORC-02]],E$5, FALSE)</f>
        <v>#N/A</v>
      </c>
      <c r="F3562" s="22" t="e">
        <f>VLOOKUP($A3562,TAB_AMORTIZACAO_U[[Q_DIAS_U_PARC_TIR]:[V_FUT_U_PCPL-02]], F$5, FALSE)</f>
        <v>#N/A</v>
      </c>
      <c r="H3562" s="20">
        <f t="shared" si="282"/>
        <v>0</v>
      </c>
      <c r="I3562" s="21">
        <f t="shared" si="283"/>
        <v>0</v>
      </c>
      <c r="J3562" s="22" t="e">
        <f>VLOOKUP($A3562, TAB_JUROS_C[[DIAS_CORRIDOS]:[V_FUT_UTEIS]], J$5, FALSE)</f>
        <v>#N/A</v>
      </c>
      <c r="K3562" s="22" t="e">
        <f>VLOOKUP($A3562, TAB_CORRECAO_C[[DIAS_CORRIDOS]:[V_FUT_UTEIS]],K$5, FALSE)</f>
        <v>#N/A</v>
      </c>
      <c r="L3562" s="22" t="e">
        <f>VLOOKUP($A3562, TAB_AMORTIZACAO_C[[DIAS_CORRIDOS]:[V_FUT_UTEIS]], L$5, FALSE)</f>
        <v>#N/A</v>
      </c>
    </row>
    <row r="3563" spans="1:12" hidden="1">
      <c r="A3563" s="19">
        <f t="shared" si="284"/>
        <v>3557</v>
      </c>
      <c r="B3563" s="20">
        <f t="shared" si="280"/>
        <v>0</v>
      </c>
      <c r="C3563" s="21">
        <f t="shared" si="281"/>
        <v>0</v>
      </c>
      <c r="D3563" s="22" t="e">
        <f>VLOOKUP($A3563, TAB_JUROS_U[[Q_DIAS_U_PARC_TIR]:[V_FUT_U_JURS CENARIO]], D$5, FALSE)</f>
        <v>#N/A</v>
      </c>
      <c r="E3563" s="22" t="e">
        <f>VLOOKUP($A3563,TAB_CORRECAO_U[[Q_DIAS_U_PARC_TIR]:[V_FUT_U_CORC-02]],E$5, FALSE)</f>
        <v>#N/A</v>
      </c>
      <c r="F3563" s="22" t="e">
        <f>VLOOKUP($A3563,TAB_AMORTIZACAO_U[[Q_DIAS_U_PARC_TIR]:[V_FUT_U_PCPL-02]], F$5, FALSE)</f>
        <v>#N/A</v>
      </c>
      <c r="H3563" s="20">
        <f t="shared" si="282"/>
        <v>0</v>
      </c>
      <c r="I3563" s="21">
        <f t="shared" si="283"/>
        <v>0</v>
      </c>
      <c r="J3563" s="22" t="e">
        <f>VLOOKUP($A3563, TAB_JUROS_C[[DIAS_CORRIDOS]:[V_FUT_UTEIS]], J$5, FALSE)</f>
        <v>#N/A</v>
      </c>
      <c r="K3563" s="22" t="e">
        <f>VLOOKUP($A3563, TAB_CORRECAO_C[[DIAS_CORRIDOS]:[V_FUT_UTEIS]],K$5, FALSE)</f>
        <v>#N/A</v>
      </c>
      <c r="L3563" s="22" t="e">
        <f>VLOOKUP($A3563, TAB_AMORTIZACAO_C[[DIAS_CORRIDOS]:[V_FUT_UTEIS]], L$5, FALSE)</f>
        <v>#N/A</v>
      </c>
    </row>
    <row r="3564" spans="1:12" hidden="1">
      <c r="A3564" s="19">
        <f t="shared" si="284"/>
        <v>3558</v>
      </c>
      <c r="B3564" s="20">
        <f t="shared" si="280"/>
        <v>0</v>
      </c>
      <c r="C3564" s="21">
        <f t="shared" si="281"/>
        <v>0</v>
      </c>
      <c r="D3564" s="22" t="e">
        <f>VLOOKUP($A3564, TAB_JUROS_U[[Q_DIAS_U_PARC_TIR]:[V_FUT_U_JURS CENARIO]], D$5, FALSE)</f>
        <v>#N/A</v>
      </c>
      <c r="E3564" s="22" t="e">
        <f>VLOOKUP($A3564,TAB_CORRECAO_U[[Q_DIAS_U_PARC_TIR]:[V_FUT_U_CORC-02]],E$5, FALSE)</f>
        <v>#N/A</v>
      </c>
      <c r="F3564" s="22" t="e">
        <f>VLOOKUP($A3564,TAB_AMORTIZACAO_U[[Q_DIAS_U_PARC_TIR]:[V_FUT_U_PCPL-02]], F$5, FALSE)</f>
        <v>#N/A</v>
      </c>
      <c r="H3564" s="20">
        <f t="shared" si="282"/>
        <v>0</v>
      </c>
      <c r="I3564" s="21">
        <f t="shared" si="283"/>
        <v>0</v>
      </c>
      <c r="J3564" s="22" t="e">
        <f>VLOOKUP($A3564, TAB_JUROS_C[[DIAS_CORRIDOS]:[V_FUT_UTEIS]], J$5, FALSE)</f>
        <v>#N/A</v>
      </c>
      <c r="K3564" s="22" t="e">
        <f>VLOOKUP($A3564, TAB_CORRECAO_C[[DIAS_CORRIDOS]:[V_FUT_UTEIS]],K$5, FALSE)</f>
        <v>#N/A</v>
      </c>
      <c r="L3564" s="22" t="e">
        <f>VLOOKUP($A3564, TAB_AMORTIZACAO_C[[DIAS_CORRIDOS]:[V_FUT_UTEIS]], L$5, FALSE)</f>
        <v>#N/A</v>
      </c>
    </row>
    <row r="3565" spans="1:12" hidden="1">
      <c r="A3565" s="19">
        <f t="shared" si="284"/>
        <v>3559</v>
      </c>
      <c r="B3565" s="20">
        <f t="shared" si="280"/>
        <v>0</v>
      </c>
      <c r="C3565" s="21">
        <f t="shared" si="281"/>
        <v>0</v>
      </c>
      <c r="D3565" s="22" t="e">
        <f>VLOOKUP($A3565, TAB_JUROS_U[[Q_DIAS_U_PARC_TIR]:[V_FUT_U_JURS CENARIO]], D$5, FALSE)</f>
        <v>#N/A</v>
      </c>
      <c r="E3565" s="22" t="e">
        <f>VLOOKUP($A3565,TAB_CORRECAO_U[[Q_DIAS_U_PARC_TIR]:[V_FUT_U_CORC-02]],E$5, FALSE)</f>
        <v>#N/A</v>
      </c>
      <c r="F3565" s="22" t="e">
        <f>VLOOKUP($A3565,TAB_AMORTIZACAO_U[[Q_DIAS_U_PARC_TIR]:[V_FUT_U_PCPL-02]], F$5, FALSE)</f>
        <v>#N/A</v>
      </c>
      <c r="H3565" s="20">
        <f t="shared" si="282"/>
        <v>0</v>
      </c>
      <c r="I3565" s="21">
        <f t="shared" si="283"/>
        <v>0</v>
      </c>
      <c r="J3565" s="22" t="e">
        <f>VLOOKUP($A3565, TAB_JUROS_C[[DIAS_CORRIDOS]:[V_FUT_UTEIS]], J$5, FALSE)</f>
        <v>#N/A</v>
      </c>
      <c r="K3565" s="22" t="e">
        <f>VLOOKUP($A3565, TAB_CORRECAO_C[[DIAS_CORRIDOS]:[V_FUT_UTEIS]],K$5, FALSE)</f>
        <v>#N/A</v>
      </c>
      <c r="L3565" s="22" t="e">
        <f>VLOOKUP($A3565, TAB_AMORTIZACAO_C[[DIAS_CORRIDOS]:[V_FUT_UTEIS]], L$5, FALSE)</f>
        <v>#N/A</v>
      </c>
    </row>
    <row r="3566" spans="1:12" hidden="1">
      <c r="A3566" s="19">
        <f t="shared" si="284"/>
        <v>3560</v>
      </c>
      <c r="B3566" s="20">
        <f t="shared" si="280"/>
        <v>0</v>
      </c>
      <c r="C3566" s="21">
        <f t="shared" si="281"/>
        <v>0</v>
      </c>
      <c r="D3566" s="22" t="e">
        <f>VLOOKUP($A3566, TAB_JUROS_U[[Q_DIAS_U_PARC_TIR]:[V_FUT_U_JURS CENARIO]], D$5, FALSE)</f>
        <v>#N/A</v>
      </c>
      <c r="E3566" s="22" t="e">
        <f>VLOOKUP($A3566,TAB_CORRECAO_U[[Q_DIAS_U_PARC_TIR]:[V_FUT_U_CORC-02]],E$5, FALSE)</f>
        <v>#N/A</v>
      </c>
      <c r="F3566" s="22" t="e">
        <f>VLOOKUP($A3566,TAB_AMORTIZACAO_U[[Q_DIAS_U_PARC_TIR]:[V_FUT_U_PCPL-02]], F$5, FALSE)</f>
        <v>#N/A</v>
      </c>
      <c r="H3566" s="20">
        <f t="shared" si="282"/>
        <v>0</v>
      </c>
      <c r="I3566" s="21">
        <f t="shared" si="283"/>
        <v>0</v>
      </c>
      <c r="J3566" s="22" t="e">
        <f>VLOOKUP($A3566, TAB_JUROS_C[[DIAS_CORRIDOS]:[V_FUT_UTEIS]], J$5, FALSE)</f>
        <v>#N/A</v>
      </c>
      <c r="K3566" s="22" t="e">
        <f>VLOOKUP($A3566, TAB_CORRECAO_C[[DIAS_CORRIDOS]:[V_FUT_UTEIS]],K$5, FALSE)</f>
        <v>#N/A</v>
      </c>
      <c r="L3566" s="22" t="e">
        <f>VLOOKUP($A3566, TAB_AMORTIZACAO_C[[DIAS_CORRIDOS]:[V_FUT_UTEIS]], L$5, FALSE)</f>
        <v>#N/A</v>
      </c>
    </row>
    <row r="3567" spans="1:12" hidden="1">
      <c r="A3567" s="19">
        <f t="shared" si="284"/>
        <v>3561</v>
      </c>
      <c r="B3567" s="20">
        <f t="shared" si="280"/>
        <v>0</v>
      </c>
      <c r="C3567" s="21">
        <f t="shared" si="281"/>
        <v>0</v>
      </c>
      <c r="D3567" s="22" t="e">
        <f>VLOOKUP($A3567, TAB_JUROS_U[[Q_DIAS_U_PARC_TIR]:[V_FUT_U_JURS CENARIO]], D$5, FALSE)</f>
        <v>#N/A</v>
      </c>
      <c r="E3567" s="22" t="e">
        <f>VLOOKUP($A3567,TAB_CORRECAO_U[[Q_DIAS_U_PARC_TIR]:[V_FUT_U_CORC-02]],E$5, FALSE)</f>
        <v>#N/A</v>
      </c>
      <c r="F3567" s="22" t="e">
        <f>VLOOKUP($A3567,TAB_AMORTIZACAO_U[[Q_DIAS_U_PARC_TIR]:[V_FUT_U_PCPL-02]], F$5, FALSE)</f>
        <v>#N/A</v>
      </c>
      <c r="H3567" s="20">
        <f t="shared" si="282"/>
        <v>0</v>
      </c>
      <c r="I3567" s="21">
        <f t="shared" si="283"/>
        <v>0</v>
      </c>
      <c r="J3567" s="22" t="e">
        <f>VLOOKUP($A3567, TAB_JUROS_C[[DIAS_CORRIDOS]:[V_FUT_UTEIS]], J$5, FALSE)</f>
        <v>#N/A</v>
      </c>
      <c r="K3567" s="22" t="e">
        <f>VLOOKUP($A3567, TAB_CORRECAO_C[[DIAS_CORRIDOS]:[V_FUT_UTEIS]],K$5, FALSE)</f>
        <v>#N/A</v>
      </c>
      <c r="L3567" s="22" t="e">
        <f>VLOOKUP($A3567, TAB_AMORTIZACAO_C[[DIAS_CORRIDOS]:[V_FUT_UTEIS]], L$5, FALSE)</f>
        <v>#N/A</v>
      </c>
    </row>
    <row r="3568" spans="1:12" hidden="1">
      <c r="A3568" s="19">
        <f t="shared" si="284"/>
        <v>3562</v>
      </c>
      <c r="B3568" s="20">
        <f t="shared" si="280"/>
        <v>0</v>
      </c>
      <c r="C3568" s="21">
        <f t="shared" si="281"/>
        <v>0</v>
      </c>
      <c r="D3568" s="22" t="e">
        <f>VLOOKUP($A3568, TAB_JUROS_U[[Q_DIAS_U_PARC_TIR]:[V_FUT_U_JURS CENARIO]], D$5, FALSE)</f>
        <v>#N/A</v>
      </c>
      <c r="E3568" s="22" t="e">
        <f>VLOOKUP($A3568,TAB_CORRECAO_U[[Q_DIAS_U_PARC_TIR]:[V_FUT_U_CORC-02]],E$5, FALSE)</f>
        <v>#N/A</v>
      </c>
      <c r="F3568" s="22" t="e">
        <f>VLOOKUP($A3568,TAB_AMORTIZACAO_U[[Q_DIAS_U_PARC_TIR]:[V_FUT_U_PCPL-02]], F$5, FALSE)</f>
        <v>#N/A</v>
      </c>
      <c r="H3568" s="20">
        <f t="shared" si="282"/>
        <v>0</v>
      </c>
      <c r="I3568" s="21">
        <f t="shared" si="283"/>
        <v>0</v>
      </c>
      <c r="J3568" s="22" t="e">
        <f>VLOOKUP($A3568, TAB_JUROS_C[[DIAS_CORRIDOS]:[V_FUT_UTEIS]], J$5, FALSE)</f>
        <v>#N/A</v>
      </c>
      <c r="K3568" s="22" t="e">
        <f>VLOOKUP($A3568, TAB_CORRECAO_C[[DIAS_CORRIDOS]:[V_FUT_UTEIS]],K$5, FALSE)</f>
        <v>#N/A</v>
      </c>
      <c r="L3568" s="22" t="e">
        <f>VLOOKUP($A3568, TAB_AMORTIZACAO_C[[DIAS_CORRIDOS]:[V_FUT_UTEIS]], L$5, FALSE)</f>
        <v>#N/A</v>
      </c>
    </row>
    <row r="3569" spans="1:12" hidden="1">
      <c r="A3569" s="19">
        <f t="shared" si="284"/>
        <v>3563</v>
      </c>
      <c r="B3569" s="20">
        <f t="shared" si="280"/>
        <v>0</v>
      </c>
      <c r="C3569" s="21">
        <f t="shared" si="281"/>
        <v>0</v>
      </c>
      <c r="D3569" s="22" t="e">
        <f>VLOOKUP($A3569, TAB_JUROS_U[[Q_DIAS_U_PARC_TIR]:[V_FUT_U_JURS CENARIO]], D$5, FALSE)</f>
        <v>#N/A</v>
      </c>
      <c r="E3569" s="22" t="e">
        <f>VLOOKUP($A3569,TAB_CORRECAO_U[[Q_DIAS_U_PARC_TIR]:[V_FUT_U_CORC-02]],E$5, FALSE)</f>
        <v>#N/A</v>
      </c>
      <c r="F3569" s="22" t="e">
        <f>VLOOKUP($A3569,TAB_AMORTIZACAO_U[[Q_DIAS_U_PARC_TIR]:[V_FUT_U_PCPL-02]], F$5, FALSE)</f>
        <v>#N/A</v>
      </c>
      <c r="H3569" s="20">
        <f t="shared" si="282"/>
        <v>0</v>
      </c>
      <c r="I3569" s="21">
        <f t="shared" si="283"/>
        <v>0</v>
      </c>
      <c r="J3569" s="22" t="e">
        <f>VLOOKUP($A3569, TAB_JUROS_C[[DIAS_CORRIDOS]:[V_FUT_UTEIS]], J$5, FALSE)</f>
        <v>#N/A</v>
      </c>
      <c r="K3569" s="22" t="e">
        <f>VLOOKUP($A3569, TAB_CORRECAO_C[[DIAS_CORRIDOS]:[V_FUT_UTEIS]],K$5, FALSE)</f>
        <v>#N/A</v>
      </c>
      <c r="L3569" s="22" t="e">
        <f>VLOOKUP($A3569, TAB_AMORTIZACAO_C[[DIAS_CORRIDOS]:[V_FUT_UTEIS]], L$5, FALSE)</f>
        <v>#N/A</v>
      </c>
    </row>
    <row r="3570" spans="1:12" hidden="1">
      <c r="A3570" s="19">
        <f t="shared" si="284"/>
        <v>3564</v>
      </c>
      <c r="B3570" s="20">
        <f t="shared" si="280"/>
        <v>0</v>
      </c>
      <c r="C3570" s="21">
        <f t="shared" si="281"/>
        <v>0</v>
      </c>
      <c r="D3570" s="22" t="e">
        <f>VLOOKUP($A3570, TAB_JUROS_U[[Q_DIAS_U_PARC_TIR]:[V_FUT_U_JURS CENARIO]], D$5, FALSE)</f>
        <v>#N/A</v>
      </c>
      <c r="E3570" s="22" t="e">
        <f>VLOOKUP($A3570,TAB_CORRECAO_U[[Q_DIAS_U_PARC_TIR]:[V_FUT_U_CORC-02]],E$5, FALSE)</f>
        <v>#N/A</v>
      </c>
      <c r="F3570" s="22" t="e">
        <f>VLOOKUP($A3570,TAB_AMORTIZACAO_U[[Q_DIAS_U_PARC_TIR]:[V_FUT_U_PCPL-02]], F$5, FALSE)</f>
        <v>#N/A</v>
      </c>
      <c r="H3570" s="20">
        <f t="shared" si="282"/>
        <v>0</v>
      </c>
      <c r="I3570" s="21">
        <f t="shared" si="283"/>
        <v>0</v>
      </c>
      <c r="J3570" s="22" t="e">
        <f>VLOOKUP($A3570, TAB_JUROS_C[[DIAS_CORRIDOS]:[V_FUT_UTEIS]], J$5, FALSE)</f>
        <v>#N/A</v>
      </c>
      <c r="K3570" s="22" t="e">
        <f>VLOOKUP($A3570, TAB_CORRECAO_C[[DIAS_CORRIDOS]:[V_FUT_UTEIS]],K$5, FALSE)</f>
        <v>#N/A</v>
      </c>
      <c r="L3570" s="22" t="e">
        <f>VLOOKUP($A3570, TAB_AMORTIZACAO_C[[DIAS_CORRIDOS]:[V_FUT_UTEIS]], L$5, FALSE)</f>
        <v>#N/A</v>
      </c>
    </row>
    <row r="3571" spans="1:12" hidden="1">
      <c r="A3571" s="19">
        <f t="shared" si="284"/>
        <v>3565</v>
      </c>
      <c r="B3571" s="20">
        <f t="shared" si="280"/>
        <v>0</v>
      </c>
      <c r="C3571" s="21">
        <f t="shared" si="281"/>
        <v>0</v>
      </c>
      <c r="D3571" s="22" t="e">
        <f>VLOOKUP($A3571, TAB_JUROS_U[[Q_DIAS_U_PARC_TIR]:[V_FUT_U_JURS CENARIO]], D$5, FALSE)</f>
        <v>#N/A</v>
      </c>
      <c r="E3571" s="22" t="e">
        <f>VLOOKUP($A3571,TAB_CORRECAO_U[[Q_DIAS_U_PARC_TIR]:[V_FUT_U_CORC-02]],E$5, FALSE)</f>
        <v>#N/A</v>
      </c>
      <c r="F3571" s="22" t="e">
        <f>VLOOKUP($A3571,TAB_AMORTIZACAO_U[[Q_DIAS_U_PARC_TIR]:[V_FUT_U_PCPL-02]], F$5, FALSE)</f>
        <v>#N/A</v>
      </c>
      <c r="H3571" s="20">
        <f t="shared" si="282"/>
        <v>0</v>
      </c>
      <c r="I3571" s="21">
        <f t="shared" si="283"/>
        <v>0</v>
      </c>
      <c r="J3571" s="22" t="e">
        <f>VLOOKUP($A3571, TAB_JUROS_C[[DIAS_CORRIDOS]:[V_FUT_UTEIS]], J$5, FALSE)</f>
        <v>#N/A</v>
      </c>
      <c r="K3571" s="22" t="e">
        <f>VLOOKUP($A3571, TAB_CORRECAO_C[[DIAS_CORRIDOS]:[V_FUT_UTEIS]],K$5, FALSE)</f>
        <v>#N/A</v>
      </c>
      <c r="L3571" s="22" t="e">
        <f>VLOOKUP($A3571, TAB_AMORTIZACAO_C[[DIAS_CORRIDOS]:[V_FUT_UTEIS]], L$5, FALSE)</f>
        <v>#N/A</v>
      </c>
    </row>
    <row r="3572" spans="1:12" hidden="1">
      <c r="A3572" s="19">
        <f t="shared" si="284"/>
        <v>3566</v>
      </c>
      <c r="B3572" s="20">
        <f t="shared" si="280"/>
        <v>0</v>
      </c>
      <c r="C3572" s="21">
        <f t="shared" si="281"/>
        <v>0</v>
      </c>
      <c r="D3572" s="22" t="e">
        <f>VLOOKUP($A3572, TAB_JUROS_U[[Q_DIAS_U_PARC_TIR]:[V_FUT_U_JURS CENARIO]], D$5, FALSE)</f>
        <v>#N/A</v>
      </c>
      <c r="E3572" s="22" t="e">
        <f>VLOOKUP($A3572,TAB_CORRECAO_U[[Q_DIAS_U_PARC_TIR]:[V_FUT_U_CORC-02]],E$5, FALSE)</f>
        <v>#N/A</v>
      </c>
      <c r="F3572" s="22" t="e">
        <f>VLOOKUP($A3572,TAB_AMORTIZACAO_U[[Q_DIAS_U_PARC_TIR]:[V_FUT_U_PCPL-02]], F$5, FALSE)</f>
        <v>#N/A</v>
      </c>
      <c r="H3572" s="20">
        <f t="shared" si="282"/>
        <v>0</v>
      </c>
      <c r="I3572" s="21">
        <f t="shared" si="283"/>
        <v>0</v>
      </c>
      <c r="J3572" s="22" t="e">
        <f>VLOOKUP($A3572, TAB_JUROS_C[[DIAS_CORRIDOS]:[V_FUT_UTEIS]], J$5, FALSE)</f>
        <v>#N/A</v>
      </c>
      <c r="K3572" s="22" t="e">
        <f>VLOOKUP($A3572, TAB_CORRECAO_C[[DIAS_CORRIDOS]:[V_FUT_UTEIS]],K$5, FALSE)</f>
        <v>#N/A</v>
      </c>
      <c r="L3572" s="22" t="e">
        <f>VLOOKUP($A3572, TAB_AMORTIZACAO_C[[DIAS_CORRIDOS]:[V_FUT_UTEIS]], L$5, FALSE)</f>
        <v>#N/A</v>
      </c>
    </row>
    <row r="3573" spans="1:12" hidden="1">
      <c r="A3573" s="19">
        <f t="shared" si="284"/>
        <v>3567</v>
      </c>
      <c r="B3573" s="20">
        <f t="shared" si="280"/>
        <v>0</v>
      </c>
      <c r="C3573" s="21">
        <f t="shared" si="281"/>
        <v>0</v>
      </c>
      <c r="D3573" s="22" t="e">
        <f>VLOOKUP($A3573, TAB_JUROS_U[[Q_DIAS_U_PARC_TIR]:[V_FUT_U_JURS CENARIO]], D$5, FALSE)</f>
        <v>#N/A</v>
      </c>
      <c r="E3573" s="22" t="e">
        <f>VLOOKUP($A3573,TAB_CORRECAO_U[[Q_DIAS_U_PARC_TIR]:[V_FUT_U_CORC-02]],E$5, FALSE)</f>
        <v>#N/A</v>
      </c>
      <c r="F3573" s="22" t="e">
        <f>VLOOKUP($A3573,TAB_AMORTIZACAO_U[[Q_DIAS_U_PARC_TIR]:[V_FUT_U_PCPL-02]], F$5, FALSE)</f>
        <v>#N/A</v>
      </c>
      <c r="H3573" s="20">
        <f t="shared" si="282"/>
        <v>0</v>
      </c>
      <c r="I3573" s="21">
        <f t="shared" si="283"/>
        <v>0</v>
      </c>
      <c r="J3573" s="22" t="e">
        <f>VLOOKUP($A3573, TAB_JUROS_C[[DIAS_CORRIDOS]:[V_FUT_UTEIS]], J$5, FALSE)</f>
        <v>#N/A</v>
      </c>
      <c r="K3573" s="22" t="e">
        <f>VLOOKUP($A3573, TAB_CORRECAO_C[[DIAS_CORRIDOS]:[V_FUT_UTEIS]],K$5, FALSE)</f>
        <v>#N/A</v>
      </c>
      <c r="L3573" s="22" t="e">
        <f>VLOOKUP($A3573, TAB_AMORTIZACAO_C[[DIAS_CORRIDOS]:[V_FUT_UTEIS]], L$5, FALSE)</f>
        <v>#N/A</v>
      </c>
    </row>
    <row r="3574" spans="1:12" hidden="1">
      <c r="A3574" s="19">
        <f t="shared" si="284"/>
        <v>3568</v>
      </c>
      <c r="B3574" s="20">
        <f t="shared" si="280"/>
        <v>0</v>
      </c>
      <c r="C3574" s="21">
        <f t="shared" si="281"/>
        <v>0</v>
      </c>
      <c r="D3574" s="22" t="e">
        <f>VLOOKUP($A3574, TAB_JUROS_U[[Q_DIAS_U_PARC_TIR]:[V_FUT_U_JURS CENARIO]], D$5, FALSE)</f>
        <v>#N/A</v>
      </c>
      <c r="E3574" s="22" t="e">
        <f>VLOOKUP($A3574,TAB_CORRECAO_U[[Q_DIAS_U_PARC_TIR]:[V_FUT_U_CORC-02]],E$5, FALSE)</f>
        <v>#N/A</v>
      </c>
      <c r="F3574" s="22" t="e">
        <f>VLOOKUP($A3574,TAB_AMORTIZACAO_U[[Q_DIAS_U_PARC_TIR]:[V_FUT_U_PCPL-02]], F$5, FALSE)</f>
        <v>#N/A</v>
      </c>
      <c r="H3574" s="20">
        <f t="shared" si="282"/>
        <v>0</v>
      </c>
      <c r="I3574" s="21">
        <f t="shared" si="283"/>
        <v>0</v>
      </c>
      <c r="J3574" s="22" t="e">
        <f>VLOOKUP($A3574, TAB_JUROS_C[[DIAS_CORRIDOS]:[V_FUT_UTEIS]], J$5, FALSE)</f>
        <v>#N/A</v>
      </c>
      <c r="K3574" s="22" t="e">
        <f>VLOOKUP($A3574, TAB_CORRECAO_C[[DIAS_CORRIDOS]:[V_FUT_UTEIS]],K$5, FALSE)</f>
        <v>#N/A</v>
      </c>
      <c r="L3574" s="22" t="e">
        <f>VLOOKUP($A3574, TAB_AMORTIZACAO_C[[DIAS_CORRIDOS]:[V_FUT_UTEIS]], L$5, FALSE)</f>
        <v>#N/A</v>
      </c>
    </row>
    <row r="3575" spans="1:12" hidden="1">
      <c r="A3575" s="19">
        <f t="shared" si="284"/>
        <v>3569</v>
      </c>
      <c r="B3575" s="20">
        <f t="shared" si="280"/>
        <v>0</v>
      </c>
      <c r="C3575" s="21">
        <f t="shared" si="281"/>
        <v>0</v>
      </c>
      <c r="D3575" s="22" t="e">
        <f>VLOOKUP($A3575, TAB_JUROS_U[[Q_DIAS_U_PARC_TIR]:[V_FUT_U_JURS CENARIO]], D$5, FALSE)</f>
        <v>#N/A</v>
      </c>
      <c r="E3575" s="22" t="e">
        <f>VLOOKUP($A3575,TAB_CORRECAO_U[[Q_DIAS_U_PARC_TIR]:[V_FUT_U_CORC-02]],E$5, FALSE)</f>
        <v>#N/A</v>
      </c>
      <c r="F3575" s="22" t="e">
        <f>VLOOKUP($A3575,TAB_AMORTIZACAO_U[[Q_DIAS_U_PARC_TIR]:[V_FUT_U_PCPL-02]], F$5, FALSE)</f>
        <v>#N/A</v>
      </c>
      <c r="H3575" s="20">
        <f t="shared" si="282"/>
        <v>0</v>
      </c>
      <c r="I3575" s="21">
        <f t="shared" si="283"/>
        <v>0</v>
      </c>
      <c r="J3575" s="22" t="e">
        <f>VLOOKUP($A3575, TAB_JUROS_C[[DIAS_CORRIDOS]:[V_FUT_UTEIS]], J$5, FALSE)</f>
        <v>#N/A</v>
      </c>
      <c r="K3575" s="22" t="e">
        <f>VLOOKUP($A3575, TAB_CORRECAO_C[[DIAS_CORRIDOS]:[V_FUT_UTEIS]],K$5, FALSE)</f>
        <v>#N/A</v>
      </c>
      <c r="L3575" s="22" t="e">
        <f>VLOOKUP($A3575, TAB_AMORTIZACAO_C[[DIAS_CORRIDOS]:[V_FUT_UTEIS]], L$5, FALSE)</f>
        <v>#N/A</v>
      </c>
    </row>
    <row r="3576" spans="1:12" hidden="1">
      <c r="A3576" s="19">
        <f t="shared" si="284"/>
        <v>3570</v>
      </c>
      <c r="B3576" s="20">
        <f t="shared" si="280"/>
        <v>0</v>
      </c>
      <c r="C3576" s="21">
        <f t="shared" si="281"/>
        <v>0</v>
      </c>
      <c r="D3576" s="22" t="e">
        <f>VLOOKUP($A3576, TAB_JUROS_U[[Q_DIAS_U_PARC_TIR]:[V_FUT_U_JURS CENARIO]], D$5, FALSE)</f>
        <v>#N/A</v>
      </c>
      <c r="E3576" s="22" t="e">
        <f>VLOOKUP($A3576,TAB_CORRECAO_U[[Q_DIAS_U_PARC_TIR]:[V_FUT_U_CORC-02]],E$5, FALSE)</f>
        <v>#N/A</v>
      </c>
      <c r="F3576" s="22" t="e">
        <f>VLOOKUP($A3576,TAB_AMORTIZACAO_U[[Q_DIAS_U_PARC_TIR]:[V_FUT_U_PCPL-02]], F$5, FALSE)</f>
        <v>#N/A</v>
      </c>
      <c r="H3576" s="20">
        <f t="shared" si="282"/>
        <v>0</v>
      </c>
      <c r="I3576" s="21">
        <f t="shared" si="283"/>
        <v>0</v>
      </c>
      <c r="J3576" s="22" t="e">
        <f>VLOOKUP($A3576, TAB_JUROS_C[[DIAS_CORRIDOS]:[V_FUT_UTEIS]], J$5, FALSE)</f>
        <v>#N/A</v>
      </c>
      <c r="K3576" s="22" t="e">
        <f>VLOOKUP($A3576, TAB_CORRECAO_C[[DIAS_CORRIDOS]:[V_FUT_UTEIS]],K$5, FALSE)</f>
        <v>#N/A</v>
      </c>
      <c r="L3576" s="22" t="e">
        <f>VLOOKUP($A3576, TAB_AMORTIZACAO_C[[DIAS_CORRIDOS]:[V_FUT_UTEIS]], L$5, FALSE)</f>
        <v>#N/A</v>
      </c>
    </row>
    <row r="3577" spans="1:12" hidden="1">
      <c r="A3577" s="19">
        <f t="shared" si="284"/>
        <v>3571</v>
      </c>
      <c r="B3577" s="20">
        <f t="shared" si="280"/>
        <v>0</v>
      </c>
      <c r="C3577" s="21">
        <f t="shared" si="281"/>
        <v>0</v>
      </c>
      <c r="D3577" s="22" t="e">
        <f>VLOOKUP($A3577, TAB_JUROS_U[[Q_DIAS_U_PARC_TIR]:[V_FUT_U_JURS CENARIO]], D$5, FALSE)</f>
        <v>#N/A</v>
      </c>
      <c r="E3577" s="22" t="e">
        <f>VLOOKUP($A3577,TAB_CORRECAO_U[[Q_DIAS_U_PARC_TIR]:[V_FUT_U_CORC-02]],E$5, FALSE)</f>
        <v>#N/A</v>
      </c>
      <c r="F3577" s="22" t="e">
        <f>VLOOKUP($A3577,TAB_AMORTIZACAO_U[[Q_DIAS_U_PARC_TIR]:[V_FUT_U_PCPL-02]], F$5, FALSE)</f>
        <v>#N/A</v>
      </c>
      <c r="H3577" s="20">
        <f t="shared" si="282"/>
        <v>0</v>
      </c>
      <c r="I3577" s="21">
        <f t="shared" si="283"/>
        <v>0</v>
      </c>
      <c r="J3577" s="22" t="e">
        <f>VLOOKUP($A3577, TAB_JUROS_C[[DIAS_CORRIDOS]:[V_FUT_UTEIS]], J$5, FALSE)</f>
        <v>#N/A</v>
      </c>
      <c r="K3577" s="22" t="e">
        <f>VLOOKUP($A3577, TAB_CORRECAO_C[[DIAS_CORRIDOS]:[V_FUT_UTEIS]],K$5, FALSE)</f>
        <v>#N/A</v>
      </c>
      <c r="L3577" s="22" t="e">
        <f>VLOOKUP($A3577, TAB_AMORTIZACAO_C[[DIAS_CORRIDOS]:[V_FUT_UTEIS]], L$5, FALSE)</f>
        <v>#N/A</v>
      </c>
    </row>
    <row r="3578" spans="1:12" hidden="1">
      <c r="A3578" s="19">
        <f t="shared" si="284"/>
        <v>3572</v>
      </c>
      <c r="B3578" s="20">
        <f t="shared" si="280"/>
        <v>0</v>
      </c>
      <c r="C3578" s="21">
        <f t="shared" si="281"/>
        <v>0</v>
      </c>
      <c r="D3578" s="22" t="e">
        <f>VLOOKUP($A3578, TAB_JUROS_U[[Q_DIAS_U_PARC_TIR]:[V_FUT_U_JURS CENARIO]], D$5, FALSE)</f>
        <v>#N/A</v>
      </c>
      <c r="E3578" s="22" t="e">
        <f>VLOOKUP($A3578,TAB_CORRECAO_U[[Q_DIAS_U_PARC_TIR]:[V_FUT_U_CORC-02]],E$5, FALSE)</f>
        <v>#N/A</v>
      </c>
      <c r="F3578" s="22" t="e">
        <f>VLOOKUP($A3578,TAB_AMORTIZACAO_U[[Q_DIAS_U_PARC_TIR]:[V_FUT_U_PCPL-02]], F$5, FALSE)</f>
        <v>#N/A</v>
      </c>
      <c r="H3578" s="20">
        <f t="shared" si="282"/>
        <v>172.96935149364776</v>
      </c>
      <c r="I3578" s="21">
        <f t="shared" si="283"/>
        <v>172.96935149364776</v>
      </c>
      <c r="J3578" s="22">
        <f>VLOOKUP($A3578, TAB_JUROS_C[[DIAS_CORRIDOS]:[V_FUT_UTEIS]], J$5, FALSE)</f>
        <v>7.1251532206376051</v>
      </c>
      <c r="K3578" s="22">
        <f>VLOOKUP($A3578, TAB_CORRECAO_C[[DIAS_CORRIDOS]:[V_FUT_UTEIS]],K$5, FALSE)</f>
        <v>42.39159673890363</v>
      </c>
      <c r="L3578" s="22">
        <f>VLOOKUP($A3578, TAB_AMORTIZACAO_C[[DIAS_CORRIDOS]:[V_FUT_UTEIS]], L$5, FALSE)</f>
        <v>123.45260153410653</v>
      </c>
    </row>
    <row r="3579" spans="1:12" hidden="1">
      <c r="A3579" s="19">
        <f t="shared" si="284"/>
        <v>3573</v>
      </c>
      <c r="B3579" s="20">
        <f t="shared" si="280"/>
        <v>0</v>
      </c>
      <c r="C3579" s="21">
        <f t="shared" si="281"/>
        <v>0</v>
      </c>
      <c r="D3579" s="22" t="e">
        <f>VLOOKUP($A3579, TAB_JUROS_U[[Q_DIAS_U_PARC_TIR]:[V_FUT_U_JURS CENARIO]], D$5, FALSE)</f>
        <v>#N/A</v>
      </c>
      <c r="E3579" s="22" t="e">
        <f>VLOOKUP($A3579,TAB_CORRECAO_U[[Q_DIAS_U_PARC_TIR]:[V_FUT_U_CORC-02]],E$5, FALSE)</f>
        <v>#N/A</v>
      </c>
      <c r="F3579" s="22" t="e">
        <f>VLOOKUP($A3579,TAB_AMORTIZACAO_U[[Q_DIAS_U_PARC_TIR]:[V_FUT_U_PCPL-02]], F$5, FALSE)</f>
        <v>#N/A</v>
      </c>
      <c r="H3579" s="20">
        <f t="shared" si="282"/>
        <v>0</v>
      </c>
      <c r="I3579" s="21">
        <f t="shared" si="283"/>
        <v>0</v>
      </c>
      <c r="J3579" s="22" t="e">
        <f>VLOOKUP($A3579, TAB_JUROS_C[[DIAS_CORRIDOS]:[V_FUT_UTEIS]], J$5, FALSE)</f>
        <v>#N/A</v>
      </c>
      <c r="K3579" s="22" t="e">
        <f>VLOOKUP($A3579, TAB_CORRECAO_C[[DIAS_CORRIDOS]:[V_FUT_UTEIS]],K$5, FALSE)</f>
        <v>#N/A</v>
      </c>
      <c r="L3579" s="22" t="e">
        <f>VLOOKUP($A3579, TAB_AMORTIZACAO_C[[DIAS_CORRIDOS]:[V_FUT_UTEIS]], L$5, FALSE)</f>
        <v>#N/A</v>
      </c>
    </row>
    <row r="3580" spans="1:12" hidden="1">
      <c r="A3580" s="19">
        <f t="shared" si="284"/>
        <v>3574</v>
      </c>
      <c r="B3580" s="20">
        <f t="shared" si="280"/>
        <v>0</v>
      </c>
      <c r="C3580" s="21">
        <f t="shared" si="281"/>
        <v>0</v>
      </c>
      <c r="D3580" s="22" t="e">
        <f>VLOOKUP($A3580, TAB_JUROS_U[[Q_DIAS_U_PARC_TIR]:[V_FUT_U_JURS CENARIO]], D$5, FALSE)</f>
        <v>#N/A</v>
      </c>
      <c r="E3580" s="22" t="e">
        <f>VLOOKUP($A3580,TAB_CORRECAO_U[[Q_DIAS_U_PARC_TIR]:[V_FUT_U_CORC-02]],E$5, FALSE)</f>
        <v>#N/A</v>
      </c>
      <c r="F3580" s="22" t="e">
        <f>VLOOKUP($A3580,TAB_AMORTIZACAO_U[[Q_DIAS_U_PARC_TIR]:[V_FUT_U_PCPL-02]], F$5, FALSE)</f>
        <v>#N/A</v>
      </c>
      <c r="H3580" s="20">
        <f t="shared" si="282"/>
        <v>0</v>
      </c>
      <c r="I3580" s="21">
        <f t="shared" si="283"/>
        <v>0</v>
      </c>
      <c r="J3580" s="22" t="e">
        <f>VLOOKUP($A3580, TAB_JUROS_C[[DIAS_CORRIDOS]:[V_FUT_UTEIS]], J$5, FALSE)</f>
        <v>#N/A</v>
      </c>
      <c r="K3580" s="22" t="e">
        <f>VLOOKUP($A3580, TAB_CORRECAO_C[[DIAS_CORRIDOS]:[V_FUT_UTEIS]],K$5, FALSE)</f>
        <v>#N/A</v>
      </c>
      <c r="L3580" s="22" t="e">
        <f>VLOOKUP($A3580, TAB_AMORTIZACAO_C[[DIAS_CORRIDOS]:[V_FUT_UTEIS]], L$5, FALSE)</f>
        <v>#N/A</v>
      </c>
    </row>
    <row r="3581" spans="1:12" hidden="1">
      <c r="A3581" s="19">
        <f t="shared" si="284"/>
        <v>3575</v>
      </c>
      <c r="B3581" s="20">
        <f t="shared" si="280"/>
        <v>0</v>
      </c>
      <c r="C3581" s="21">
        <f t="shared" si="281"/>
        <v>0</v>
      </c>
      <c r="D3581" s="22" t="e">
        <f>VLOOKUP($A3581, TAB_JUROS_U[[Q_DIAS_U_PARC_TIR]:[V_FUT_U_JURS CENARIO]], D$5, FALSE)</f>
        <v>#N/A</v>
      </c>
      <c r="E3581" s="22" t="e">
        <f>VLOOKUP($A3581,TAB_CORRECAO_U[[Q_DIAS_U_PARC_TIR]:[V_FUT_U_CORC-02]],E$5, FALSE)</f>
        <v>#N/A</v>
      </c>
      <c r="F3581" s="22" t="e">
        <f>VLOOKUP($A3581,TAB_AMORTIZACAO_U[[Q_DIAS_U_PARC_TIR]:[V_FUT_U_PCPL-02]], F$5, FALSE)</f>
        <v>#N/A</v>
      </c>
      <c r="H3581" s="20">
        <f t="shared" si="282"/>
        <v>0</v>
      </c>
      <c r="I3581" s="21">
        <f t="shared" si="283"/>
        <v>0</v>
      </c>
      <c r="J3581" s="22" t="e">
        <f>VLOOKUP($A3581, TAB_JUROS_C[[DIAS_CORRIDOS]:[V_FUT_UTEIS]], J$5, FALSE)</f>
        <v>#N/A</v>
      </c>
      <c r="K3581" s="22" t="e">
        <f>VLOOKUP($A3581, TAB_CORRECAO_C[[DIAS_CORRIDOS]:[V_FUT_UTEIS]],K$5, FALSE)</f>
        <v>#N/A</v>
      </c>
      <c r="L3581" s="22" t="e">
        <f>VLOOKUP($A3581, TAB_AMORTIZACAO_C[[DIAS_CORRIDOS]:[V_FUT_UTEIS]], L$5, FALSE)</f>
        <v>#N/A</v>
      </c>
    </row>
    <row r="3582" spans="1:12" hidden="1">
      <c r="A3582" s="19">
        <f t="shared" si="284"/>
        <v>3576</v>
      </c>
      <c r="B3582" s="20">
        <f t="shared" si="280"/>
        <v>0</v>
      </c>
      <c r="C3582" s="21">
        <f t="shared" si="281"/>
        <v>0</v>
      </c>
      <c r="D3582" s="22" t="e">
        <f>VLOOKUP($A3582, TAB_JUROS_U[[Q_DIAS_U_PARC_TIR]:[V_FUT_U_JURS CENARIO]], D$5, FALSE)</f>
        <v>#N/A</v>
      </c>
      <c r="E3582" s="22" t="e">
        <f>VLOOKUP($A3582,TAB_CORRECAO_U[[Q_DIAS_U_PARC_TIR]:[V_FUT_U_CORC-02]],E$5, FALSE)</f>
        <v>#N/A</v>
      </c>
      <c r="F3582" s="22" t="e">
        <f>VLOOKUP($A3582,TAB_AMORTIZACAO_U[[Q_DIAS_U_PARC_TIR]:[V_FUT_U_PCPL-02]], F$5, FALSE)</f>
        <v>#N/A</v>
      </c>
      <c r="H3582" s="20">
        <f t="shared" si="282"/>
        <v>0</v>
      </c>
      <c r="I3582" s="21">
        <f t="shared" si="283"/>
        <v>0</v>
      </c>
      <c r="J3582" s="22" t="e">
        <f>VLOOKUP($A3582, TAB_JUROS_C[[DIAS_CORRIDOS]:[V_FUT_UTEIS]], J$5, FALSE)</f>
        <v>#N/A</v>
      </c>
      <c r="K3582" s="22" t="e">
        <f>VLOOKUP($A3582, TAB_CORRECAO_C[[DIAS_CORRIDOS]:[V_FUT_UTEIS]],K$5, FALSE)</f>
        <v>#N/A</v>
      </c>
      <c r="L3582" s="22" t="e">
        <f>VLOOKUP($A3582, TAB_AMORTIZACAO_C[[DIAS_CORRIDOS]:[V_FUT_UTEIS]], L$5, FALSE)</f>
        <v>#N/A</v>
      </c>
    </row>
    <row r="3583" spans="1:12" hidden="1">
      <c r="A3583" s="19">
        <f t="shared" si="284"/>
        <v>3577</v>
      </c>
      <c r="B3583" s="20">
        <f t="shared" si="280"/>
        <v>0</v>
      </c>
      <c r="C3583" s="21">
        <f t="shared" si="281"/>
        <v>0</v>
      </c>
      <c r="D3583" s="22" t="e">
        <f>VLOOKUP($A3583, TAB_JUROS_U[[Q_DIAS_U_PARC_TIR]:[V_FUT_U_JURS CENARIO]], D$5, FALSE)</f>
        <v>#N/A</v>
      </c>
      <c r="E3583" s="22" t="e">
        <f>VLOOKUP($A3583,TAB_CORRECAO_U[[Q_DIAS_U_PARC_TIR]:[V_FUT_U_CORC-02]],E$5, FALSE)</f>
        <v>#N/A</v>
      </c>
      <c r="F3583" s="22" t="e">
        <f>VLOOKUP($A3583,TAB_AMORTIZACAO_U[[Q_DIAS_U_PARC_TIR]:[V_FUT_U_PCPL-02]], F$5, FALSE)</f>
        <v>#N/A</v>
      </c>
      <c r="H3583" s="20">
        <f t="shared" si="282"/>
        <v>0</v>
      </c>
      <c r="I3583" s="21">
        <f t="shared" si="283"/>
        <v>0</v>
      </c>
      <c r="J3583" s="22" t="e">
        <f>VLOOKUP($A3583, TAB_JUROS_C[[DIAS_CORRIDOS]:[V_FUT_UTEIS]], J$5, FALSE)</f>
        <v>#N/A</v>
      </c>
      <c r="K3583" s="22" t="e">
        <f>VLOOKUP($A3583, TAB_CORRECAO_C[[DIAS_CORRIDOS]:[V_FUT_UTEIS]],K$5, FALSE)</f>
        <v>#N/A</v>
      </c>
      <c r="L3583" s="22" t="e">
        <f>VLOOKUP($A3583, TAB_AMORTIZACAO_C[[DIAS_CORRIDOS]:[V_FUT_UTEIS]], L$5, FALSE)</f>
        <v>#N/A</v>
      </c>
    </row>
    <row r="3584" spans="1:12" hidden="1">
      <c r="A3584" s="19">
        <f t="shared" si="284"/>
        <v>3578</v>
      </c>
      <c r="B3584" s="20">
        <f t="shared" si="280"/>
        <v>0</v>
      </c>
      <c r="C3584" s="21">
        <f t="shared" si="281"/>
        <v>0</v>
      </c>
      <c r="D3584" s="22" t="e">
        <f>VLOOKUP($A3584, TAB_JUROS_U[[Q_DIAS_U_PARC_TIR]:[V_FUT_U_JURS CENARIO]], D$5, FALSE)</f>
        <v>#N/A</v>
      </c>
      <c r="E3584" s="22" t="e">
        <f>VLOOKUP($A3584,TAB_CORRECAO_U[[Q_DIAS_U_PARC_TIR]:[V_FUT_U_CORC-02]],E$5, FALSE)</f>
        <v>#N/A</v>
      </c>
      <c r="F3584" s="22" t="e">
        <f>VLOOKUP($A3584,TAB_AMORTIZACAO_U[[Q_DIAS_U_PARC_TIR]:[V_FUT_U_PCPL-02]], F$5, FALSE)</f>
        <v>#N/A</v>
      </c>
      <c r="H3584" s="20">
        <f t="shared" si="282"/>
        <v>0</v>
      </c>
      <c r="I3584" s="21">
        <f t="shared" si="283"/>
        <v>0</v>
      </c>
      <c r="J3584" s="22" t="e">
        <f>VLOOKUP($A3584, TAB_JUROS_C[[DIAS_CORRIDOS]:[V_FUT_UTEIS]], J$5, FALSE)</f>
        <v>#N/A</v>
      </c>
      <c r="K3584" s="22" t="e">
        <f>VLOOKUP($A3584, TAB_CORRECAO_C[[DIAS_CORRIDOS]:[V_FUT_UTEIS]],K$5, FALSE)</f>
        <v>#N/A</v>
      </c>
      <c r="L3584" s="22" t="e">
        <f>VLOOKUP($A3584, TAB_AMORTIZACAO_C[[DIAS_CORRIDOS]:[V_FUT_UTEIS]], L$5, FALSE)</f>
        <v>#N/A</v>
      </c>
    </row>
    <row r="3585" spans="1:12" hidden="1">
      <c r="A3585" s="19">
        <f t="shared" si="284"/>
        <v>3579</v>
      </c>
      <c r="B3585" s="20">
        <f t="shared" si="280"/>
        <v>0</v>
      </c>
      <c r="C3585" s="21">
        <f t="shared" si="281"/>
        <v>0</v>
      </c>
      <c r="D3585" s="22" t="e">
        <f>VLOOKUP($A3585, TAB_JUROS_U[[Q_DIAS_U_PARC_TIR]:[V_FUT_U_JURS CENARIO]], D$5, FALSE)</f>
        <v>#N/A</v>
      </c>
      <c r="E3585" s="22" t="e">
        <f>VLOOKUP($A3585,TAB_CORRECAO_U[[Q_DIAS_U_PARC_TIR]:[V_FUT_U_CORC-02]],E$5, FALSE)</f>
        <v>#N/A</v>
      </c>
      <c r="F3585" s="22" t="e">
        <f>VLOOKUP($A3585,TAB_AMORTIZACAO_U[[Q_DIAS_U_PARC_TIR]:[V_FUT_U_PCPL-02]], F$5, FALSE)</f>
        <v>#N/A</v>
      </c>
      <c r="H3585" s="20">
        <f t="shared" si="282"/>
        <v>0</v>
      </c>
      <c r="I3585" s="21">
        <f t="shared" si="283"/>
        <v>0</v>
      </c>
      <c r="J3585" s="22" t="e">
        <f>VLOOKUP($A3585, TAB_JUROS_C[[DIAS_CORRIDOS]:[V_FUT_UTEIS]], J$5, FALSE)</f>
        <v>#N/A</v>
      </c>
      <c r="K3585" s="22" t="e">
        <f>VLOOKUP($A3585, TAB_CORRECAO_C[[DIAS_CORRIDOS]:[V_FUT_UTEIS]],K$5, FALSE)</f>
        <v>#N/A</v>
      </c>
      <c r="L3585" s="22" t="e">
        <f>VLOOKUP($A3585, TAB_AMORTIZACAO_C[[DIAS_CORRIDOS]:[V_FUT_UTEIS]], L$5, FALSE)</f>
        <v>#N/A</v>
      </c>
    </row>
    <row r="3586" spans="1:12" hidden="1">
      <c r="A3586" s="19">
        <f t="shared" si="284"/>
        <v>3580</v>
      </c>
      <c r="B3586" s="20">
        <f t="shared" si="280"/>
        <v>0</v>
      </c>
      <c r="C3586" s="21">
        <f t="shared" si="281"/>
        <v>0</v>
      </c>
      <c r="D3586" s="22" t="e">
        <f>VLOOKUP($A3586, TAB_JUROS_U[[Q_DIAS_U_PARC_TIR]:[V_FUT_U_JURS CENARIO]], D$5, FALSE)</f>
        <v>#N/A</v>
      </c>
      <c r="E3586" s="22" t="e">
        <f>VLOOKUP($A3586,TAB_CORRECAO_U[[Q_DIAS_U_PARC_TIR]:[V_FUT_U_CORC-02]],E$5, FALSE)</f>
        <v>#N/A</v>
      </c>
      <c r="F3586" s="22" t="e">
        <f>VLOOKUP($A3586,TAB_AMORTIZACAO_U[[Q_DIAS_U_PARC_TIR]:[V_FUT_U_PCPL-02]], F$5, FALSE)</f>
        <v>#N/A</v>
      </c>
      <c r="H3586" s="20">
        <f t="shared" si="282"/>
        <v>0</v>
      </c>
      <c r="I3586" s="21">
        <f t="shared" si="283"/>
        <v>0</v>
      </c>
      <c r="J3586" s="22" t="e">
        <f>VLOOKUP($A3586, TAB_JUROS_C[[DIAS_CORRIDOS]:[V_FUT_UTEIS]], J$5, FALSE)</f>
        <v>#N/A</v>
      </c>
      <c r="K3586" s="22" t="e">
        <f>VLOOKUP($A3586, TAB_CORRECAO_C[[DIAS_CORRIDOS]:[V_FUT_UTEIS]],K$5, FALSE)</f>
        <v>#N/A</v>
      </c>
      <c r="L3586" s="22" t="e">
        <f>VLOOKUP($A3586, TAB_AMORTIZACAO_C[[DIAS_CORRIDOS]:[V_FUT_UTEIS]], L$5, FALSE)</f>
        <v>#N/A</v>
      </c>
    </row>
    <row r="3587" spans="1:12" hidden="1">
      <c r="A3587" s="19">
        <f t="shared" si="284"/>
        <v>3581</v>
      </c>
      <c r="B3587" s="20">
        <f t="shared" si="280"/>
        <v>0</v>
      </c>
      <c r="C3587" s="21">
        <f t="shared" si="281"/>
        <v>0</v>
      </c>
      <c r="D3587" s="22" t="e">
        <f>VLOOKUP($A3587, TAB_JUROS_U[[Q_DIAS_U_PARC_TIR]:[V_FUT_U_JURS CENARIO]], D$5, FALSE)</f>
        <v>#N/A</v>
      </c>
      <c r="E3587" s="22" t="e">
        <f>VLOOKUP($A3587,TAB_CORRECAO_U[[Q_DIAS_U_PARC_TIR]:[V_FUT_U_CORC-02]],E$5, FALSE)</f>
        <v>#N/A</v>
      </c>
      <c r="F3587" s="22" t="e">
        <f>VLOOKUP($A3587,TAB_AMORTIZACAO_U[[Q_DIAS_U_PARC_TIR]:[V_FUT_U_PCPL-02]], F$5, FALSE)</f>
        <v>#N/A</v>
      </c>
      <c r="H3587" s="20">
        <f t="shared" si="282"/>
        <v>0</v>
      </c>
      <c r="I3587" s="21">
        <f t="shared" si="283"/>
        <v>0</v>
      </c>
      <c r="J3587" s="22" t="e">
        <f>VLOOKUP($A3587, TAB_JUROS_C[[DIAS_CORRIDOS]:[V_FUT_UTEIS]], J$5, FALSE)</f>
        <v>#N/A</v>
      </c>
      <c r="K3587" s="22" t="e">
        <f>VLOOKUP($A3587, TAB_CORRECAO_C[[DIAS_CORRIDOS]:[V_FUT_UTEIS]],K$5, FALSE)</f>
        <v>#N/A</v>
      </c>
      <c r="L3587" s="22" t="e">
        <f>VLOOKUP($A3587, TAB_AMORTIZACAO_C[[DIAS_CORRIDOS]:[V_FUT_UTEIS]], L$5, FALSE)</f>
        <v>#N/A</v>
      </c>
    </row>
    <row r="3588" spans="1:12" hidden="1">
      <c r="A3588" s="19">
        <f t="shared" si="284"/>
        <v>3582</v>
      </c>
      <c r="B3588" s="20">
        <f t="shared" si="280"/>
        <v>0</v>
      </c>
      <c r="C3588" s="21">
        <f t="shared" si="281"/>
        <v>0</v>
      </c>
      <c r="D3588" s="22" t="e">
        <f>VLOOKUP($A3588, TAB_JUROS_U[[Q_DIAS_U_PARC_TIR]:[V_FUT_U_JURS CENARIO]], D$5, FALSE)</f>
        <v>#N/A</v>
      </c>
      <c r="E3588" s="22" t="e">
        <f>VLOOKUP($A3588,TAB_CORRECAO_U[[Q_DIAS_U_PARC_TIR]:[V_FUT_U_CORC-02]],E$5, FALSE)</f>
        <v>#N/A</v>
      </c>
      <c r="F3588" s="22" t="e">
        <f>VLOOKUP($A3588,TAB_AMORTIZACAO_U[[Q_DIAS_U_PARC_TIR]:[V_FUT_U_PCPL-02]], F$5, FALSE)</f>
        <v>#N/A</v>
      </c>
      <c r="H3588" s="20">
        <f t="shared" si="282"/>
        <v>0</v>
      </c>
      <c r="I3588" s="21">
        <f t="shared" si="283"/>
        <v>0</v>
      </c>
      <c r="J3588" s="22" t="e">
        <f>VLOOKUP($A3588, TAB_JUROS_C[[DIAS_CORRIDOS]:[V_FUT_UTEIS]], J$5, FALSE)</f>
        <v>#N/A</v>
      </c>
      <c r="K3588" s="22" t="e">
        <f>VLOOKUP($A3588, TAB_CORRECAO_C[[DIAS_CORRIDOS]:[V_FUT_UTEIS]],K$5, FALSE)</f>
        <v>#N/A</v>
      </c>
      <c r="L3588" s="22" t="e">
        <f>VLOOKUP($A3588, TAB_AMORTIZACAO_C[[DIAS_CORRIDOS]:[V_FUT_UTEIS]], L$5, FALSE)</f>
        <v>#N/A</v>
      </c>
    </row>
    <row r="3589" spans="1:12" hidden="1">
      <c r="A3589" s="19">
        <f t="shared" si="284"/>
        <v>3583</v>
      </c>
      <c r="B3589" s="20">
        <f t="shared" si="280"/>
        <v>0</v>
      </c>
      <c r="C3589" s="21">
        <f t="shared" si="281"/>
        <v>0</v>
      </c>
      <c r="D3589" s="22" t="e">
        <f>VLOOKUP($A3589, TAB_JUROS_U[[Q_DIAS_U_PARC_TIR]:[V_FUT_U_JURS CENARIO]], D$5, FALSE)</f>
        <v>#N/A</v>
      </c>
      <c r="E3589" s="22" t="e">
        <f>VLOOKUP($A3589,TAB_CORRECAO_U[[Q_DIAS_U_PARC_TIR]:[V_FUT_U_CORC-02]],E$5, FALSE)</f>
        <v>#N/A</v>
      </c>
      <c r="F3589" s="22" t="e">
        <f>VLOOKUP($A3589,TAB_AMORTIZACAO_U[[Q_DIAS_U_PARC_TIR]:[V_FUT_U_PCPL-02]], F$5, FALSE)</f>
        <v>#N/A</v>
      </c>
      <c r="H3589" s="20">
        <f t="shared" si="282"/>
        <v>0</v>
      </c>
      <c r="I3589" s="21">
        <f t="shared" si="283"/>
        <v>0</v>
      </c>
      <c r="J3589" s="22" t="e">
        <f>VLOOKUP($A3589, TAB_JUROS_C[[DIAS_CORRIDOS]:[V_FUT_UTEIS]], J$5, FALSE)</f>
        <v>#N/A</v>
      </c>
      <c r="K3589" s="22" t="e">
        <f>VLOOKUP($A3589, TAB_CORRECAO_C[[DIAS_CORRIDOS]:[V_FUT_UTEIS]],K$5, FALSE)</f>
        <v>#N/A</v>
      </c>
      <c r="L3589" s="22" t="e">
        <f>VLOOKUP($A3589, TAB_AMORTIZACAO_C[[DIAS_CORRIDOS]:[V_FUT_UTEIS]], L$5, FALSE)</f>
        <v>#N/A</v>
      </c>
    </row>
    <row r="3590" spans="1:12" hidden="1">
      <c r="A3590" s="19">
        <f t="shared" si="284"/>
        <v>3584</v>
      </c>
      <c r="B3590" s="20">
        <f t="shared" si="280"/>
        <v>0</v>
      </c>
      <c r="C3590" s="21">
        <f t="shared" si="281"/>
        <v>0</v>
      </c>
      <c r="D3590" s="22" t="e">
        <f>VLOOKUP($A3590, TAB_JUROS_U[[Q_DIAS_U_PARC_TIR]:[V_FUT_U_JURS CENARIO]], D$5, FALSE)</f>
        <v>#N/A</v>
      </c>
      <c r="E3590" s="22" t="e">
        <f>VLOOKUP($A3590,TAB_CORRECAO_U[[Q_DIAS_U_PARC_TIR]:[V_FUT_U_CORC-02]],E$5, FALSE)</f>
        <v>#N/A</v>
      </c>
      <c r="F3590" s="22" t="e">
        <f>VLOOKUP($A3590,TAB_AMORTIZACAO_U[[Q_DIAS_U_PARC_TIR]:[V_FUT_U_PCPL-02]], F$5, FALSE)</f>
        <v>#N/A</v>
      </c>
      <c r="H3590" s="20">
        <f t="shared" si="282"/>
        <v>0</v>
      </c>
      <c r="I3590" s="21">
        <f t="shared" si="283"/>
        <v>0</v>
      </c>
      <c r="J3590" s="22" t="e">
        <f>VLOOKUP($A3590, TAB_JUROS_C[[DIAS_CORRIDOS]:[V_FUT_UTEIS]], J$5, FALSE)</f>
        <v>#N/A</v>
      </c>
      <c r="K3590" s="22" t="e">
        <f>VLOOKUP($A3590, TAB_CORRECAO_C[[DIAS_CORRIDOS]:[V_FUT_UTEIS]],K$5, FALSE)</f>
        <v>#N/A</v>
      </c>
      <c r="L3590" s="22" t="e">
        <f>VLOOKUP($A3590, TAB_AMORTIZACAO_C[[DIAS_CORRIDOS]:[V_FUT_UTEIS]], L$5, FALSE)</f>
        <v>#N/A</v>
      </c>
    </row>
    <row r="3591" spans="1:12" hidden="1">
      <c r="A3591" s="19">
        <f t="shared" si="284"/>
        <v>3585</v>
      </c>
      <c r="B3591" s="20">
        <f t="shared" si="280"/>
        <v>0</v>
      </c>
      <c r="C3591" s="21">
        <f t="shared" si="281"/>
        <v>0</v>
      </c>
      <c r="D3591" s="22" t="e">
        <f>VLOOKUP($A3591, TAB_JUROS_U[[Q_DIAS_U_PARC_TIR]:[V_FUT_U_JURS CENARIO]], D$5, FALSE)</f>
        <v>#N/A</v>
      </c>
      <c r="E3591" s="22" t="e">
        <f>VLOOKUP($A3591,TAB_CORRECAO_U[[Q_DIAS_U_PARC_TIR]:[V_FUT_U_CORC-02]],E$5, FALSE)</f>
        <v>#N/A</v>
      </c>
      <c r="F3591" s="22" t="e">
        <f>VLOOKUP($A3591,TAB_AMORTIZACAO_U[[Q_DIAS_U_PARC_TIR]:[V_FUT_U_PCPL-02]], F$5, FALSE)</f>
        <v>#N/A</v>
      </c>
      <c r="H3591" s="20">
        <f t="shared" si="282"/>
        <v>0</v>
      </c>
      <c r="I3591" s="21">
        <f t="shared" si="283"/>
        <v>0</v>
      </c>
      <c r="J3591" s="22" t="e">
        <f>VLOOKUP($A3591, TAB_JUROS_C[[DIAS_CORRIDOS]:[V_FUT_UTEIS]], J$5, FALSE)</f>
        <v>#N/A</v>
      </c>
      <c r="K3591" s="22" t="e">
        <f>VLOOKUP($A3591, TAB_CORRECAO_C[[DIAS_CORRIDOS]:[V_FUT_UTEIS]],K$5, FALSE)</f>
        <v>#N/A</v>
      </c>
      <c r="L3591" s="22" t="e">
        <f>VLOOKUP($A3591, TAB_AMORTIZACAO_C[[DIAS_CORRIDOS]:[V_FUT_UTEIS]], L$5, FALSE)</f>
        <v>#N/A</v>
      </c>
    </row>
    <row r="3592" spans="1:12" hidden="1">
      <c r="A3592" s="19">
        <f t="shared" si="284"/>
        <v>3586</v>
      </c>
      <c r="B3592" s="20">
        <f t="shared" si="280"/>
        <v>0</v>
      </c>
      <c r="C3592" s="21">
        <f t="shared" si="281"/>
        <v>0</v>
      </c>
      <c r="D3592" s="22" t="e">
        <f>VLOOKUP($A3592, TAB_JUROS_U[[Q_DIAS_U_PARC_TIR]:[V_FUT_U_JURS CENARIO]], D$5, FALSE)</f>
        <v>#N/A</v>
      </c>
      <c r="E3592" s="22" t="e">
        <f>VLOOKUP($A3592,TAB_CORRECAO_U[[Q_DIAS_U_PARC_TIR]:[V_FUT_U_CORC-02]],E$5, FALSE)</f>
        <v>#N/A</v>
      </c>
      <c r="F3592" s="22" t="e">
        <f>VLOOKUP($A3592,TAB_AMORTIZACAO_U[[Q_DIAS_U_PARC_TIR]:[V_FUT_U_PCPL-02]], F$5, FALSE)</f>
        <v>#N/A</v>
      </c>
      <c r="H3592" s="20">
        <f t="shared" si="282"/>
        <v>0</v>
      </c>
      <c r="I3592" s="21">
        <f t="shared" si="283"/>
        <v>0</v>
      </c>
      <c r="J3592" s="22" t="e">
        <f>VLOOKUP($A3592, TAB_JUROS_C[[DIAS_CORRIDOS]:[V_FUT_UTEIS]], J$5, FALSE)</f>
        <v>#N/A</v>
      </c>
      <c r="K3592" s="22" t="e">
        <f>VLOOKUP($A3592, TAB_CORRECAO_C[[DIAS_CORRIDOS]:[V_FUT_UTEIS]],K$5, FALSE)</f>
        <v>#N/A</v>
      </c>
      <c r="L3592" s="22" t="e">
        <f>VLOOKUP($A3592, TAB_AMORTIZACAO_C[[DIAS_CORRIDOS]:[V_FUT_UTEIS]], L$5, FALSE)</f>
        <v>#N/A</v>
      </c>
    </row>
    <row r="3593" spans="1:12" hidden="1">
      <c r="A3593" s="19">
        <f t="shared" si="284"/>
        <v>3587</v>
      </c>
      <c r="B3593" s="20">
        <f t="shared" ref="B3593:B3656" si="285">IF(ISERROR(C3593), 0, C3593)</f>
        <v>0</v>
      </c>
      <c r="C3593" s="21">
        <f t="shared" ref="C3593:C3656" si="286">SUMIF(D3593:F3593, "&gt;0", D3593:F3593)</f>
        <v>0</v>
      </c>
      <c r="D3593" s="22" t="e">
        <f>VLOOKUP($A3593, TAB_JUROS_U[[Q_DIAS_U_PARC_TIR]:[V_FUT_U_JURS CENARIO]], D$5, FALSE)</f>
        <v>#N/A</v>
      </c>
      <c r="E3593" s="22" t="e">
        <f>VLOOKUP($A3593,TAB_CORRECAO_U[[Q_DIAS_U_PARC_TIR]:[V_FUT_U_CORC-02]],E$5, FALSE)</f>
        <v>#N/A</v>
      </c>
      <c r="F3593" s="22" t="e">
        <f>VLOOKUP($A3593,TAB_AMORTIZACAO_U[[Q_DIAS_U_PARC_TIR]:[V_FUT_U_PCPL-02]], F$5, FALSE)</f>
        <v>#N/A</v>
      </c>
      <c r="H3593" s="20">
        <f t="shared" ref="H3593:H3656" si="287">IF(ISERROR(I3593), 0, I3593)</f>
        <v>0</v>
      </c>
      <c r="I3593" s="21">
        <f t="shared" ref="I3593:I3656" si="288">SUMIF(J3593:L3593, "&gt;0", J3593:L3593)</f>
        <v>0</v>
      </c>
      <c r="J3593" s="22" t="e">
        <f>VLOOKUP($A3593, TAB_JUROS_C[[DIAS_CORRIDOS]:[V_FUT_UTEIS]], J$5, FALSE)</f>
        <v>#N/A</v>
      </c>
      <c r="K3593" s="22" t="e">
        <f>VLOOKUP($A3593, TAB_CORRECAO_C[[DIAS_CORRIDOS]:[V_FUT_UTEIS]],K$5, FALSE)</f>
        <v>#N/A</v>
      </c>
      <c r="L3593" s="22" t="e">
        <f>VLOOKUP($A3593, TAB_AMORTIZACAO_C[[DIAS_CORRIDOS]:[V_FUT_UTEIS]], L$5, FALSE)</f>
        <v>#N/A</v>
      </c>
    </row>
    <row r="3594" spans="1:12" hidden="1">
      <c r="A3594" s="19">
        <f t="shared" ref="A3594:A3657" si="289">A3593+1</f>
        <v>3588</v>
      </c>
      <c r="B3594" s="20">
        <f t="shared" si="285"/>
        <v>0</v>
      </c>
      <c r="C3594" s="21">
        <f t="shared" si="286"/>
        <v>0</v>
      </c>
      <c r="D3594" s="22" t="e">
        <f>VLOOKUP($A3594, TAB_JUROS_U[[Q_DIAS_U_PARC_TIR]:[V_FUT_U_JURS CENARIO]], D$5, FALSE)</f>
        <v>#N/A</v>
      </c>
      <c r="E3594" s="22" t="e">
        <f>VLOOKUP($A3594,TAB_CORRECAO_U[[Q_DIAS_U_PARC_TIR]:[V_FUT_U_CORC-02]],E$5, FALSE)</f>
        <v>#N/A</v>
      </c>
      <c r="F3594" s="22" t="e">
        <f>VLOOKUP($A3594,TAB_AMORTIZACAO_U[[Q_DIAS_U_PARC_TIR]:[V_FUT_U_PCPL-02]], F$5, FALSE)</f>
        <v>#N/A</v>
      </c>
      <c r="H3594" s="20">
        <f t="shared" si="287"/>
        <v>0</v>
      </c>
      <c r="I3594" s="21">
        <f t="shared" si="288"/>
        <v>0</v>
      </c>
      <c r="J3594" s="22" t="e">
        <f>VLOOKUP($A3594, TAB_JUROS_C[[DIAS_CORRIDOS]:[V_FUT_UTEIS]], J$5, FALSE)</f>
        <v>#N/A</v>
      </c>
      <c r="K3594" s="22" t="e">
        <f>VLOOKUP($A3594, TAB_CORRECAO_C[[DIAS_CORRIDOS]:[V_FUT_UTEIS]],K$5, FALSE)</f>
        <v>#N/A</v>
      </c>
      <c r="L3594" s="22" t="e">
        <f>VLOOKUP($A3594, TAB_AMORTIZACAO_C[[DIAS_CORRIDOS]:[V_FUT_UTEIS]], L$5, FALSE)</f>
        <v>#N/A</v>
      </c>
    </row>
    <row r="3595" spans="1:12" hidden="1">
      <c r="A3595" s="19">
        <f t="shared" si="289"/>
        <v>3589</v>
      </c>
      <c r="B3595" s="20">
        <f t="shared" si="285"/>
        <v>0</v>
      </c>
      <c r="C3595" s="21">
        <f t="shared" si="286"/>
        <v>0</v>
      </c>
      <c r="D3595" s="22" t="e">
        <f>VLOOKUP($A3595, TAB_JUROS_U[[Q_DIAS_U_PARC_TIR]:[V_FUT_U_JURS CENARIO]], D$5, FALSE)</f>
        <v>#N/A</v>
      </c>
      <c r="E3595" s="22" t="e">
        <f>VLOOKUP($A3595,TAB_CORRECAO_U[[Q_DIAS_U_PARC_TIR]:[V_FUT_U_CORC-02]],E$5, FALSE)</f>
        <v>#N/A</v>
      </c>
      <c r="F3595" s="22" t="e">
        <f>VLOOKUP($A3595,TAB_AMORTIZACAO_U[[Q_DIAS_U_PARC_TIR]:[V_FUT_U_PCPL-02]], F$5, FALSE)</f>
        <v>#N/A</v>
      </c>
      <c r="H3595" s="20">
        <f t="shared" si="287"/>
        <v>0</v>
      </c>
      <c r="I3595" s="21">
        <f t="shared" si="288"/>
        <v>0</v>
      </c>
      <c r="J3595" s="22" t="e">
        <f>VLOOKUP($A3595, TAB_JUROS_C[[DIAS_CORRIDOS]:[V_FUT_UTEIS]], J$5, FALSE)</f>
        <v>#N/A</v>
      </c>
      <c r="K3595" s="22" t="e">
        <f>VLOOKUP($A3595, TAB_CORRECAO_C[[DIAS_CORRIDOS]:[V_FUT_UTEIS]],K$5, FALSE)</f>
        <v>#N/A</v>
      </c>
      <c r="L3595" s="22" t="e">
        <f>VLOOKUP($A3595, TAB_AMORTIZACAO_C[[DIAS_CORRIDOS]:[V_FUT_UTEIS]], L$5, FALSE)</f>
        <v>#N/A</v>
      </c>
    </row>
    <row r="3596" spans="1:12" hidden="1">
      <c r="A3596" s="19">
        <f t="shared" si="289"/>
        <v>3590</v>
      </c>
      <c r="B3596" s="20">
        <f t="shared" si="285"/>
        <v>0</v>
      </c>
      <c r="C3596" s="21">
        <f t="shared" si="286"/>
        <v>0</v>
      </c>
      <c r="D3596" s="22" t="e">
        <f>VLOOKUP($A3596, TAB_JUROS_U[[Q_DIAS_U_PARC_TIR]:[V_FUT_U_JURS CENARIO]], D$5, FALSE)</f>
        <v>#N/A</v>
      </c>
      <c r="E3596" s="22" t="e">
        <f>VLOOKUP($A3596,TAB_CORRECAO_U[[Q_DIAS_U_PARC_TIR]:[V_FUT_U_CORC-02]],E$5, FALSE)</f>
        <v>#N/A</v>
      </c>
      <c r="F3596" s="22" t="e">
        <f>VLOOKUP($A3596,TAB_AMORTIZACAO_U[[Q_DIAS_U_PARC_TIR]:[V_FUT_U_PCPL-02]], F$5, FALSE)</f>
        <v>#N/A</v>
      </c>
      <c r="H3596" s="20">
        <f t="shared" si="287"/>
        <v>0</v>
      </c>
      <c r="I3596" s="21">
        <f t="shared" si="288"/>
        <v>0</v>
      </c>
      <c r="J3596" s="22" t="e">
        <f>VLOOKUP($A3596, TAB_JUROS_C[[DIAS_CORRIDOS]:[V_FUT_UTEIS]], J$5, FALSE)</f>
        <v>#N/A</v>
      </c>
      <c r="K3596" s="22" t="e">
        <f>VLOOKUP($A3596, TAB_CORRECAO_C[[DIAS_CORRIDOS]:[V_FUT_UTEIS]],K$5, FALSE)</f>
        <v>#N/A</v>
      </c>
      <c r="L3596" s="22" t="e">
        <f>VLOOKUP($A3596, TAB_AMORTIZACAO_C[[DIAS_CORRIDOS]:[V_FUT_UTEIS]], L$5, FALSE)</f>
        <v>#N/A</v>
      </c>
    </row>
    <row r="3597" spans="1:12" hidden="1">
      <c r="A3597" s="19">
        <f t="shared" si="289"/>
        <v>3591</v>
      </c>
      <c r="B3597" s="20">
        <f t="shared" si="285"/>
        <v>0</v>
      </c>
      <c r="C3597" s="21">
        <f t="shared" si="286"/>
        <v>0</v>
      </c>
      <c r="D3597" s="22" t="e">
        <f>VLOOKUP($A3597, TAB_JUROS_U[[Q_DIAS_U_PARC_TIR]:[V_FUT_U_JURS CENARIO]], D$5, FALSE)</f>
        <v>#N/A</v>
      </c>
      <c r="E3597" s="22" t="e">
        <f>VLOOKUP($A3597,TAB_CORRECAO_U[[Q_DIAS_U_PARC_TIR]:[V_FUT_U_CORC-02]],E$5, FALSE)</f>
        <v>#N/A</v>
      </c>
      <c r="F3597" s="22" t="e">
        <f>VLOOKUP($A3597,TAB_AMORTIZACAO_U[[Q_DIAS_U_PARC_TIR]:[V_FUT_U_PCPL-02]], F$5, FALSE)</f>
        <v>#N/A</v>
      </c>
      <c r="H3597" s="20">
        <f t="shared" si="287"/>
        <v>0</v>
      </c>
      <c r="I3597" s="21">
        <f t="shared" si="288"/>
        <v>0</v>
      </c>
      <c r="J3597" s="22" t="e">
        <f>VLOOKUP($A3597, TAB_JUROS_C[[DIAS_CORRIDOS]:[V_FUT_UTEIS]], J$5, FALSE)</f>
        <v>#N/A</v>
      </c>
      <c r="K3597" s="22" t="e">
        <f>VLOOKUP($A3597, TAB_CORRECAO_C[[DIAS_CORRIDOS]:[V_FUT_UTEIS]],K$5, FALSE)</f>
        <v>#N/A</v>
      </c>
      <c r="L3597" s="22" t="e">
        <f>VLOOKUP($A3597, TAB_AMORTIZACAO_C[[DIAS_CORRIDOS]:[V_FUT_UTEIS]], L$5, FALSE)</f>
        <v>#N/A</v>
      </c>
    </row>
    <row r="3598" spans="1:12" hidden="1">
      <c r="A3598" s="19">
        <f t="shared" si="289"/>
        <v>3592</v>
      </c>
      <c r="B3598" s="20">
        <f t="shared" si="285"/>
        <v>0</v>
      </c>
      <c r="C3598" s="21">
        <f t="shared" si="286"/>
        <v>0</v>
      </c>
      <c r="D3598" s="22" t="e">
        <f>VLOOKUP($A3598, TAB_JUROS_U[[Q_DIAS_U_PARC_TIR]:[V_FUT_U_JURS CENARIO]], D$5, FALSE)</f>
        <v>#N/A</v>
      </c>
      <c r="E3598" s="22" t="e">
        <f>VLOOKUP($A3598,TAB_CORRECAO_U[[Q_DIAS_U_PARC_TIR]:[V_FUT_U_CORC-02]],E$5, FALSE)</f>
        <v>#N/A</v>
      </c>
      <c r="F3598" s="22" t="e">
        <f>VLOOKUP($A3598,TAB_AMORTIZACAO_U[[Q_DIAS_U_PARC_TIR]:[V_FUT_U_PCPL-02]], F$5, FALSE)</f>
        <v>#N/A</v>
      </c>
      <c r="H3598" s="20">
        <f t="shared" si="287"/>
        <v>0</v>
      </c>
      <c r="I3598" s="21">
        <f t="shared" si="288"/>
        <v>0</v>
      </c>
      <c r="J3598" s="22" t="e">
        <f>VLOOKUP($A3598, TAB_JUROS_C[[DIAS_CORRIDOS]:[V_FUT_UTEIS]], J$5, FALSE)</f>
        <v>#N/A</v>
      </c>
      <c r="K3598" s="22" t="e">
        <f>VLOOKUP($A3598, TAB_CORRECAO_C[[DIAS_CORRIDOS]:[V_FUT_UTEIS]],K$5, FALSE)</f>
        <v>#N/A</v>
      </c>
      <c r="L3598" s="22" t="e">
        <f>VLOOKUP($A3598, TAB_AMORTIZACAO_C[[DIAS_CORRIDOS]:[V_FUT_UTEIS]], L$5, FALSE)</f>
        <v>#N/A</v>
      </c>
    </row>
    <row r="3599" spans="1:12" hidden="1">
      <c r="A3599" s="19">
        <f t="shared" si="289"/>
        <v>3593</v>
      </c>
      <c r="B3599" s="20">
        <f t="shared" si="285"/>
        <v>0</v>
      </c>
      <c r="C3599" s="21">
        <f t="shared" si="286"/>
        <v>0</v>
      </c>
      <c r="D3599" s="22" t="e">
        <f>VLOOKUP($A3599, TAB_JUROS_U[[Q_DIAS_U_PARC_TIR]:[V_FUT_U_JURS CENARIO]], D$5, FALSE)</f>
        <v>#N/A</v>
      </c>
      <c r="E3599" s="22" t="e">
        <f>VLOOKUP($A3599,TAB_CORRECAO_U[[Q_DIAS_U_PARC_TIR]:[V_FUT_U_CORC-02]],E$5, FALSE)</f>
        <v>#N/A</v>
      </c>
      <c r="F3599" s="22" t="e">
        <f>VLOOKUP($A3599,TAB_AMORTIZACAO_U[[Q_DIAS_U_PARC_TIR]:[V_FUT_U_PCPL-02]], F$5, FALSE)</f>
        <v>#N/A</v>
      </c>
      <c r="H3599" s="20">
        <f t="shared" si="287"/>
        <v>0</v>
      </c>
      <c r="I3599" s="21">
        <f t="shared" si="288"/>
        <v>0</v>
      </c>
      <c r="J3599" s="22" t="e">
        <f>VLOOKUP($A3599, TAB_JUROS_C[[DIAS_CORRIDOS]:[V_FUT_UTEIS]], J$5, FALSE)</f>
        <v>#N/A</v>
      </c>
      <c r="K3599" s="22" t="e">
        <f>VLOOKUP($A3599, TAB_CORRECAO_C[[DIAS_CORRIDOS]:[V_FUT_UTEIS]],K$5, FALSE)</f>
        <v>#N/A</v>
      </c>
      <c r="L3599" s="22" t="e">
        <f>VLOOKUP($A3599, TAB_AMORTIZACAO_C[[DIAS_CORRIDOS]:[V_FUT_UTEIS]], L$5, FALSE)</f>
        <v>#N/A</v>
      </c>
    </row>
    <row r="3600" spans="1:12" hidden="1">
      <c r="A3600" s="19">
        <f t="shared" si="289"/>
        <v>3594</v>
      </c>
      <c r="B3600" s="20">
        <f t="shared" si="285"/>
        <v>0</v>
      </c>
      <c r="C3600" s="21">
        <f t="shared" si="286"/>
        <v>0</v>
      </c>
      <c r="D3600" s="22" t="e">
        <f>VLOOKUP($A3600, TAB_JUROS_U[[Q_DIAS_U_PARC_TIR]:[V_FUT_U_JURS CENARIO]], D$5, FALSE)</f>
        <v>#N/A</v>
      </c>
      <c r="E3600" s="22" t="e">
        <f>VLOOKUP($A3600,TAB_CORRECAO_U[[Q_DIAS_U_PARC_TIR]:[V_FUT_U_CORC-02]],E$5, FALSE)</f>
        <v>#N/A</v>
      </c>
      <c r="F3600" s="22" t="e">
        <f>VLOOKUP($A3600,TAB_AMORTIZACAO_U[[Q_DIAS_U_PARC_TIR]:[V_FUT_U_PCPL-02]], F$5, FALSE)</f>
        <v>#N/A</v>
      </c>
      <c r="H3600" s="20">
        <f t="shared" si="287"/>
        <v>0</v>
      </c>
      <c r="I3600" s="21">
        <f t="shared" si="288"/>
        <v>0</v>
      </c>
      <c r="J3600" s="22" t="e">
        <f>VLOOKUP($A3600, TAB_JUROS_C[[DIAS_CORRIDOS]:[V_FUT_UTEIS]], J$5, FALSE)</f>
        <v>#N/A</v>
      </c>
      <c r="K3600" s="22" t="e">
        <f>VLOOKUP($A3600, TAB_CORRECAO_C[[DIAS_CORRIDOS]:[V_FUT_UTEIS]],K$5, FALSE)</f>
        <v>#N/A</v>
      </c>
      <c r="L3600" s="22" t="e">
        <f>VLOOKUP($A3600, TAB_AMORTIZACAO_C[[DIAS_CORRIDOS]:[V_FUT_UTEIS]], L$5, FALSE)</f>
        <v>#N/A</v>
      </c>
    </row>
    <row r="3601" spans="1:12" hidden="1">
      <c r="A3601" s="19">
        <f t="shared" si="289"/>
        <v>3595</v>
      </c>
      <c r="B3601" s="20">
        <f t="shared" si="285"/>
        <v>0</v>
      </c>
      <c r="C3601" s="21">
        <f t="shared" si="286"/>
        <v>0</v>
      </c>
      <c r="D3601" s="22" t="e">
        <f>VLOOKUP($A3601, TAB_JUROS_U[[Q_DIAS_U_PARC_TIR]:[V_FUT_U_JURS CENARIO]], D$5, FALSE)</f>
        <v>#N/A</v>
      </c>
      <c r="E3601" s="22" t="e">
        <f>VLOOKUP($A3601,TAB_CORRECAO_U[[Q_DIAS_U_PARC_TIR]:[V_FUT_U_CORC-02]],E$5, FALSE)</f>
        <v>#N/A</v>
      </c>
      <c r="F3601" s="22" t="e">
        <f>VLOOKUP($A3601,TAB_AMORTIZACAO_U[[Q_DIAS_U_PARC_TIR]:[V_FUT_U_PCPL-02]], F$5, FALSE)</f>
        <v>#N/A</v>
      </c>
      <c r="H3601" s="20">
        <f t="shared" si="287"/>
        <v>0</v>
      </c>
      <c r="I3601" s="21">
        <f t="shared" si="288"/>
        <v>0</v>
      </c>
      <c r="J3601" s="22" t="e">
        <f>VLOOKUP($A3601, TAB_JUROS_C[[DIAS_CORRIDOS]:[V_FUT_UTEIS]], J$5, FALSE)</f>
        <v>#N/A</v>
      </c>
      <c r="K3601" s="22" t="e">
        <f>VLOOKUP($A3601, TAB_CORRECAO_C[[DIAS_CORRIDOS]:[V_FUT_UTEIS]],K$5, FALSE)</f>
        <v>#N/A</v>
      </c>
      <c r="L3601" s="22" t="e">
        <f>VLOOKUP($A3601, TAB_AMORTIZACAO_C[[DIAS_CORRIDOS]:[V_FUT_UTEIS]], L$5, FALSE)</f>
        <v>#N/A</v>
      </c>
    </row>
    <row r="3602" spans="1:12" hidden="1">
      <c r="A3602" s="19">
        <f t="shared" si="289"/>
        <v>3596</v>
      </c>
      <c r="B3602" s="20">
        <f t="shared" si="285"/>
        <v>0</v>
      </c>
      <c r="C3602" s="21">
        <f t="shared" si="286"/>
        <v>0</v>
      </c>
      <c r="D3602" s="22" t="e">
        <f>VLOOKUP($A3602, TAB_JUROS_U[[Q_DIAS_U_PARC_TIR]:[V_FUT_U_JURS CENARIO]], D$5, FALSE)</f>
        <v>#N/A</v>
      </c>
      <c r="E3602" s="22" t="e">
        <f>VLOOKUP($A3602,TAB_CORRECAO_U[[Q_DIAS_U_PARC_TIR]:[V_FUT_U_CORC-02]],E$5, FALSE)</f>
        <v>#N/A</v>
      </c>
      <c r="F3602" s="22" t="e">
        <f>VLOOKUP($A3602,TAB_AMORTIZACAO_U[[Q_DIAS_U_PARC_TIR]:[V_FUT_U_PCPL-02]], F$5, FALSE)</f>
        <v>#N/A</v>
      </c>
      <c r="H3602" s="20">
        <f t="shared" si="287"/>
        <v>0</v>
      </c>
      <c r="I3602" s="21">
        <f t="shared" si="288"/>
        <v>0</v>
      </c>
      <c r="J3602" s="22" t="e">
        <f>VLOOKUP($A3602, TAB_JUROS_C[[DIAS_CORRIDOS]:[V_FUT_UTEIS]], J$5, FALSE)</f>
        <v>#N/A</v>
      </c>
      <c r="K3602" s="22" t="e">
        <f>VLOOKUP($A3602, TAB_CORRECAO_C[[DIAS_CORRIDOS]:[V_FUT_UTEIS]],K$5, FALSE)</f>
        <v>#N/A</v>
      </c>
      <c r="L3602" s="22" t="e">
        <f>VLOOKUP($A3602, TAB_AMORTIZACAO_C[[DIAS_CORRIDOS]:[V_FUT_UTEIS]], L$5, FALSE)</f>
        <v>#N/A</v>
      </c>
    </row>
    <row r="3603" spans="1:12" hidden="1">
      <c r="A3603" s="19">
        <f t="shared" si="289"/>
        <v>3597</v>
      </c>
      <c r="B3603" s="20">
        <f t="shared" si="285"/>
        <v>0</v>
      </c>
      <c r="C3603" s="21">
        <f t="shared" si="286"/>
        <v>0</v>
      </c>
      <c r="D3603" s="22" t="e">
        <f>VLOOKUP($A3603, TAB_JUROS_U[[Q_DIAS_U_PARC_TIR]:[V_FUT_U_JURS CENARIO]], D$5, FALSE)</f>
        <v>#N/A</v>
      </c>
      <c r="E3603" s="22" t="e">
        <f>VLOOKUP($A3603,TAB_CORRECAO_U[[Q_DIAS_U_PARC_TIR]:[V_FUT_U_CORC-02]],E$5, FALSE)</f>
        <v>#N/A</v>
      </c>
      <c r="F3603" s="22" t="e">
        <f>VLOOKUP($A3603,TAB_AMORTIZACAO_U[[Q_DIAS_U_PARC_TIR]:[V_FUT_U_PCPL-02]], F$5, FALSE)</f>
        <v>#N/A</v>
      </c>
      <c r="H3603" s="20">
        <f t="shared" si="287"/>
        <v>0</v>
      </c>
      <c r="I3603" s="21">
        <f t="shared" si="288"/>
        <v>0</v>
      </c>
      <c r="J3603" s="22" t="e">
        <f>VLOOKUP($A3603, TAB_JUROS_C[[DIAS_CORRIDOS]:[V_FUT_UTEIS]], J$5, FALSE)</f>
        <v>#N/A</v>
      </c>
      <c r="K3603" s="22" t="e">
        <f>VLOOKUP($A3603, TAB_CORRECAO_C[[DIAS_CORRIDOS]:[V_FUT_UTEIS]],K$5, FALSE)</f>
        <v>#N/A</v>
      </c>
      <c r="L3603" s="22" t="e">
        <f>VLOOKUP($A3603, TAB_AMORTIZACAO_C[[DIAS_CORRIDOS]:[V_FUT_UTEIS]], L$5, FALSE)</f>
        <v>#N/A</v>
      </c>
    </row>
    <row r="3604" spans="1:12" hidden="1">
      <c r="A3604" s="19">
        <f t="shared" si="289"/>
        <v>3598</v>
      </c>
      <c r="B3604" s="20">
        <f t="shared" si="285"/>
        <v>0</v>
      </c>
      <c r="C3604" s="21">
        <f t="shared" si="286"/>
        <v>0</v>
      </c>
      <c r="D3604" s="22" t="e">
        <f>VLOOKUP($A3604, TAB_JUROS_U[[Q_DIAS_U_PARC_TIR]:[V_FUT_U_JURS CENARIO]], D$5, FALSE)</f>
        <v>#N/A</v>
      </c>
      <c r="E3604" s="22" t="e">
        <f>VLOOKUP($A3604,TAB_CORRECAO_U[[Q_DIAS_U_PARC_TIR]:[V_FUT_U_CORC-02]],E$5, FALSE)</f>
        <v>#N/A</v>
      </c>
      <c r="F3604" s="22" t="e">
        <f>VLOOKUP($A3604,TAB_AMORTIZACAO_U[[Q_DIAS_U_PARC_TIR]:[V_FUT_U_PCPL-02]], F$5, FALSE)</f>
        <v>#N/A</v>
      </c>
      <c r="H3604" s="20">
        <f t="shared" si="287"/>
        <v>0</v>
      </c>
      <c r="I3604" s="21">
        <f t="shared" si="288"/>
        <v>0</v>
      </c>
      <c r="J3604" s="22" t="e">
        <f>VLOOKUP($A3604, TAB_JUROS_C[[DIAS_CORRIDOS]:[V_FUT_UTEIS]], J$5, FALSE)</f>
        <v>#N/A</v>
      </c>
      <c r="K3604" s="22" t="e">
        <f>VLOOKUP($A3604, TAB_CORRECAO_C[[DIAS_CORRIDOS]:[V_FUT_UTEIS]],K$5, FALSE)</f>
        <v>#N/A</v>
      </c>
      <c r="L3604" s="22" t="e">
        <f>VLOOKUP($A3604, TAB_AMORTIZACAO_C[[DIAS_CORRIDOS]:[V_FUT_UTEIS]], L$5, FALSE)</f>
        <v>#N/A</v>
      </c>
    </row>
    <row r="3605" spans="1:12" hidden="1">
      <c r="A3605" s="19">
        <f t="shared" si="289"/>
        <v>3599</v>
      </c>
      <c r="B3605" s="20">
        <f t="shared" si="285"/>
        <v>0</v>
      </c>
      <c r="C3605" s="21">
        <f t="shared" si="286"/>
        <v>0</v>
      </c>
      <c r="D3605" s="22" t="e">
        <f>VLOOKUP($A3605, TAB_JUROS_U[[Q_DIAS_U_PARC_TIR]:[V_FUT_U_JURS CENARIO]], D$5, FALSE)</f>
        <v>#N/A</v>
      </c>
      <c r="E3605" s="22" t="e">
        <f>VLOOKUP($A3605,TAB_CORRECAO_U[[Q_DIAS_U_PARC_TIR]:[V_FUT_U_CORC-02]],E$5, FALSE)</f>
        <v>#N/A</v>
      </c>
      <c r="F3605" s="22" t="e">
        <f>VLOOKUP($A3605,TAB_AMORTIZACAO_U[[Q_DIAS_U_PARC_TIR]:[V_FUT_U_PCPL-02]], F$5, FALSE)</f>
        <v>#N/A</v>
      </c>
      <c r="H3605" s="20">
        <f t="shared" si="287"/>
        <v>0</v>
      </c>
      <c r="I3605" s="21">
        <f t="shared" si="288"/>
        <v>0</v>
      </c>
      <c r="J3605" s="22" t="e">
        <f>VLOOKUP($A3605, TAB_JUROS_C[[DIAS_CORRIDOS]:[V_FUT_UTEIS]], J$5, FALSE)</f>
        <v>#N/A</v>
      </c>
      <c r="K3605" s="22" t="e">
        <f>VLOOKUP($A3605, TAB_CORRECAO_C[[DIAS_CORRIDOS]:[V_FUT_UTEIS]],K$5, FALSE)</f>
        <v>#N/A</v>
      </c>
      <c r="L3605" s="22" t="e">
        <f>VLOOKUP($A3605, TAB_AMORTIZACAO_C[[DIAS_CORRIDOS]:[V_FUT_UTEIS]], L$5, FALSE)</f>
        <v>#N/A</v>
      </c>
    </row>
    <row r="3606" spans="1:12" hidden="1">
      <c r="A3606" s="19">
        <f t="shared" si="289"/>
        <v>3600</v>
      </c>
      <c r="B3606" s="20">
        <f t="shared" si="285"/>
        <v>0</v>
      </c>
      <c r="C3606" s="21">
        <f t="shared" si="286"/>
        <v>0</v>
      </c>
      <c r="D3606" s="22" t="e">
        <f>VLOOKUP($A3606, TAB_JUROS_U[[Q_DIAS_U_PARC_TIR]:[V_FUT_U_JURS CENARIO]], D$5, FALSE)</f>
        <v>#N/A</v>
      </c>
      <c r="E3606" s="22" t="e">
        <f>VLOOKUP($A3606,TAB_CORRECAO_U[[Q_DIAS_U_PARC_TIR]:[V_FUT_U_CORC-02]],E$5, FALSE)</f>
        <v>#N/A</v>
      </c>
      <c r="F3606" s="22" t="e">
        <f>VLOOKUP($A3606,TAB_AMORTIZACAO_U[[Q_DIAS_U_PARC_TIR]:[V_FUT_U_PCPL-02]], F$5, FALSE)</f>
        <v>#N/A</v>
      </c>
      <c r="H3606" s="20">
        <f t="shared" si="287"/>
        <v>0</v>
      </c>
      <c r="I3606" s="21">
        <f t="shared" si="288"/>
        <v>0</v>
      </c>
      <c r="J3606" s="22" t="e">
        <f>VLOOKUP($A3606, TAB_JUROS_C[[DIAS_CORRIDOS]:[V_FUT_UTEIS]], J$5, FALSE)</f>
        <v>#N/A</v>
      </c>
      <c r="K3606" s="22" t="e">
        <f>VLOOKUP($A3606, TAB_CORRECAO_C[[DIAS_CORRIDOS]:[V_FUT_UTEIS]],K$5, FALSE)</f>
        <v>#N/A</v>
      </c>
      <c r="L3606" s="22" t="e">
        <f>VLOOKUP($A3606, TAB_AMORTIZACAO_C[[DIAS_CORRIDOS]:[V_FUT_UTEIS]], L$5, FALSE)</f>
        <v>#N/A</v>
      </c>
    </row>
    <row r="3607" spans="1:12" hidden="1">
      <c r="A3607" s="19">
        <f t="shared" si="289"/>
        <v>3601</v>
      </c>
      <c r="B3607" s="20">
        <f t="shared" si="285"/>
        <v>0</v>
      </c>
      <c r="C3607" s="21">
        <f t="shared" si="286"/>
        <v>0</v>
      </c>
      <c r="D3607" s="22" t="e">
        <f>VLOOKUP($A3607, TAB_JUROS_U[[Q_DIAS_U_PARC_TIR]:[V_FUT_U_JURS CENARIO]], D$5, FALSE)</f>
        <v>#N/A</v>
      </c>
      <c r="E3607" s="22" t="e">
        <f>VLOOKUP($A3607,TAB_CORRECAO_U[[Q_DIAS_U_PARC_TIR]:[V_FUT_U_CORC-02]],E$5, FALSE)</f>
        <v>#N/A</v>
      </c>
      <c r="F3607" s="22" t="e">
        <f>VLOOKUP($A3607,TAB_AMORTIZACAO_U[[Q_DIAS_U_PARC_TIR]:[V_FUT_U_PCPL-02]], F$5, FALSE)</f>
        <v>#N/A</v>
      </c>
      <c r="H3607" s="20">
        <f t="shared" si="287"/>
        <v>0</v>
      </c>
      <c r="I3607" s="21">
        <f t="shared" si="288"/>
        <v>0</v>
      </c>
      <c r="J3607" s="22" t="e">
        <f>VLOOKUP($A3607, TAB_JUROS_C[[DIAS_CORRIDOS]:[V_FUT_UTEIS]], J$5, FALSE)</f>
        <v>#N/A</v>
      </c>
      <c r="K3607" s="22" t="e">
        <f>VLOOKUP($A3607, TAB_CORRECAO_C[[DIAS_CORRIDOS]:[V_FUT_UTEIS]],K$5, FALSE)</f>
        <v>#N/A</v>
      </c>
      <c r="L3607" s="22" t="e">
        <f>VLOOKUP($A3607, TAB_AMORTIZACAO_C[[DIAS_CORRIDOS]:[V_FUT_UTEIS]], L$5, FALSE)</f>
        <v>#N/A</v>
      </c>
    </row>
    <row r="3608" spans="1:12" hidden="1">
      <c r="A3608" s="19">
        <f t="shared" si="289"/>
        <v>3602</v>
      </c>
      <c r="B3608" s="20">
        <f t="shared" si="285"/>
        <v>0</v>
      </c>
      <c r="C3608" s="21">
        <f t="shared" si="286"/>
        <v>0</v>
      </c>
      <c r="D3608" s="22" t="e">
        <f>VLOOKUP($A3608, TAB_JUROS_U[[Q_DIAS_U_PARC_TIR]:[V_FUT_U_JURS CENARIO]], D$5, FALSE)</f>
        <v>#N/A</v>
      </c>
      <c r="E3608" s="22" t="e">
        <f>VLOOKUP($A3608,TAB_CORRECAO_U[[Q_DIAS_U_PARC_TIR]:[V_FUT_U_CORC-02]],E$5, FALSE)</f>
        <v>#N/A</v>
      </c>
      <c r="F3608" s="22" t="e">
        <f>VLOOKUP($A3608,TAB_AMORTIZACAO_U[[Q_DIAS_U_PARC_TIR]:[V_FUT_U_PCPL-02]], F$5, FALSE)</f>
        <v>#N/A</v>
      </c>
      <c r="H3608" s="20">
        <f t="shared" si="287"/>
        <v>0</v>
      </c>
      <c r="I3608" s="21">
        <f t="shared" si="288"/>
        <v>0</v>
      </c>
      <c r="J3608" s="22" t="e">
        <f>VLOOKUP($A3608, TAB_JUROS_C[[DIAS_CORRIDOS]:[V_FUT_UTEIS]], J$5, FALSE)</f>
        <v>#N/A</v>
      </c>
      <c r="K3608" s="22" t="e">
        <f>VLOOKUP($A3608, TAB_CORRECAO_C[[DIAS_CORRIDOS]:[V_FUT_UTEIS]],K$5, FALSE)</f>
        <v>#N/A</v>
      </c>
      <c r="L3608" s="22" t="e">
        <f>VLOOKUP($A3608, TAB_AMORTIZACAO_C[[DIAS_CORRIDOS]:[V_FUT_UTEIS]], L$5, FALSE)</f>
        <v>#N/A</v>
      </c>
    </row>
    <row r="3609" spans="1:12" hidden="1">
      <c r="A3609" s="19">
        <f t="shared" si="289"/>
        <v>3603</v>
      </c>
      <c r="B3609" s="20">
        <f t="shared" si="285"/>
        <v>0</v>
      </c>
      <c r="C3609" s="21">
        <f t="shared" si="286"/>
        <v>0</v>
      </c>
      <c r="D3609" s="22" t="e">
        <f>VLOOKUP($A3609, TAB_JUROS_U[[Q_DIAS_U_PARC_TIR]:[V_FUT_U_JURS CENARIO]], D$5, FALSE)</f>
        <v>#N/A</v>
      </c>
      <c r="E3609" s="22" t="e">
        <f>VLOOKUP($A3609,TAB_CORRECAO_U[[Q_DIAS_U_PARC_TIR]:[V_FUT_U_CORC-02]],E$5, FALSE)</f>
        <v>#N/A</v>
      </c>
      <c r="F3609" s="22" t="e">
        <f>VLOOKUP($A3609,TAB_AMORTIZACAO_U[[Q_DIAS_U_PARC_TIR]:[V_FUT_U_PCPL-02]], F$5, FALSE)</f>
        <v>#N/A</v>
      </c>
      <c r="H3609" s="20">
        <f t="shared" si="287"/>
        <v>0</v>
      </c>
      <c r="I3609" s="21">
        <f t="shared" si="288"/>
        <v>0</v>
      </c>
      <c r="J3609" s="22" t="e">
        <f>VLOOKUP($A3609, TAB_JUROS_C[[DIAS_CORRIDOS]:[V_FUT_UTEIS]], J$5, FALSE)</f>
        <v>#N/A</v>
      </c>
      <c r="K3609" s="22" t="e">
        <f>VLOOKUP($A3609, TAB_CORRECAO_C[[DIAS_CORRIDOS]:[V_FUT_UTEIS]],K$5, FALSE)</f>
        <v>#N/A</v>
      </c>
      <c r="L3609" s="22" t="e">
        <f>VLOOKUP($A3609, TAB_AMORTIZACAO_C[[DIAS_CORRIDOS]:[V_FUT_UTEIS]], L$5, FALSE)</f>
        <v>#N/A</v>
      </c>
    </row>
    <row r="3610" spans="1:12" hidden="1">
      <c r="A3610" s="19">
        <f t="shared" si="289"/>
        <v>3604</v>
      </c>
      <c r="B3610" s="20">
        <f t="shared" si="285"/>
        <v>0</v>
      </c>
      <c r="C3610" s="21">
        <f t="shared" si="286"/>
        <v>0</v>
      </c>
      <c r="D3610" s="22" t="e">
        <f>VLOOKUP($A3610, TAB_JUROS_U[[Q_DIAS_U_PARC_TIR]:[V_FUT_U_JURS CENARIO]], D$5, FALSE)</f>
        <v>#N/A</v>
      </c>
      <c r="E3610" s="22" t="e">
        <f>VLOOKUP($A3610,TAB_CORRECAO_U[[Q_DIAS_U_PARC_TIR]:[V_FUT_U_CORC-02]],E$5, FALSE)</f>
        <v>#N/A</v>
      </c>
      <c r="F3610" s="22" t="e">
        <f>VLOOKUP($A3610,TAB_AMORTIZACAO_U[[Q_DIAS_U_PARC_TIR]:[V_FUT_U_PCPL-02]], F$5, FALSE)</f>
        <v>#N/A</v>
      </c>
      <c r="H3610" s="20">
        <f t="shared" si="287"/>
        <v>0</v>
      </c>
      <c r="I3610" s="21">
        <f t="shared" si="288"/>
        <v>0</v>
      </c>
      <c r="J3610" s="22" t="e">
        <f>VLOOKUP($A3610, TAB_JUROS_C[[DIAS_CORRIDOS]:[V_FUT_UTEIS]], J$5, FALSE)</f>
        <v>#N/A</v>
      </c>
      <c r="K3610" s="22" t="e">
        <f>VLOOKUP($A3610, TAB_CORRECAO_C[[DIAS_CORRIDOS]:[V_FUT_UTEIS]],K$5, FALSE)</f>
        <v>#N/A</v>
      </c>
      <c r="L3610" s="22" t="e">
        <f>VLOOKUP($A3610, TAB_AMORTIZACAO_C[[DIAS_CORRIDOS]:[V_FUT_UTEIS]], L$5, FALSE)</f>
        <v>#N/A</v>
      </c>
    </row>
    <row r="3611" spans="1:12" hidden="1">
      <c r="A3611" s="19">
        <f t="shared" si="289"/>
        <v>3605</v>
      </c>
      <c r="B3611" s="20">
        <f t="shared" si="285"/>
        <v>0</v>
      </c>
      <c r="C3611" s="21">
        <f t="shared" si="286"/>
        <v>0</v>
      </c>
      <c r="D3611" s="22" t="e">
        <f>VLOOKUP($A3611, TAB_JUROS_U[[Q_DIAS_U_PARC_TIR]:[V_FUT_U_JURS CENARIO]], D$5, FALSE)</f>
        <v>#N/A</v>
      </c>
      <c r="E3611" s="22" t="e">
        <f>VLOOKUP($A3611,TAB_CORRECAO_U[[Q_DIAS_U_PARC_TIR]:[V_FUT_U_CORC-02]],E$5, FALSE)</f>
        <v>#N/A</v>
      </c>
      <c r="F3611" s="22" t="e">
        <f>VLOOKUP($A3611,TAB_AMORTIZACAO_U[[Q_DIAS_U_PARC_TIR]:[V_FUT_U_PCPL-02]], F$5, FALSE)</f>
        <v>#N/A</v>
      </c>
      <c r="H3611" s="20">
        <f t="shared" si="287"/>
        <v>169.21115001353459</v>
      </c>
      <c r="I3611" s="21">
        <f t="shared" si="288"/>
        <v>169.21115001353459</v>
      </c>
      <c r="J3611" s="22">
        <f>VLOOKUP($A3611, TAB_JUROS_C[[DIAS_CORRIDOS]:[V_FUT_UTEIS]], J$5, FALSE)</f>
        <v>7.0756846879746593</v>
      </c>
      <c r="K3611" s="22">
        <f>VLOOKUP($A3611, TAB_CORRECAO_C[[DIAS_CORRIDOS]:[V_FUT_UTEIS]],K$5, FALSE)</f>
        <v>42.082882554113738</v>
      </c>
      <c r="L3611" s="22">
        <f>VLOOKUP($A3611, TAB_AMORTIZACAO_C[[DIAS_CORRIDOS]:[V_FUT_UTEIS]], L$5, FALSE)</f>
        <v>120.0525827714462</v>
      </c>
    </row>
    <row r="3612" spans="1:12" hidden="1">
      <c r="A3612" s="19">
        <f t="shared" si="289"/>
        <v>3606</v>
      </c>
      <c r="B3612" s="20">
        <f t="shared" si="285"/>
        <v>0</v>
      </c>
      <c r="C3612" s="21">
        <f t="shared" si="286"/>
        <v>0</v>
      </c>
      <c r="D3612" s="22" t="e">
        <f>VLOOKUP($A3612, TAB_JUROS_U[[Q_DIAS_U_PARC_TIR]:[V_FUT_U_JURS CENARIO]], D$5, FALSE)</f>
        <v>#N/A</v>
      </c>
      <c r="E3612" s="22" t="e">
        <f>VLOOKUP($A3612,TAB_CORRECAO_U[[Q_DIAS_U_PARC_TIR]:[V_FUT_U_CORC-02]],E$5, FALSE)</f>
        <v>#N/A</v>
      </c>
      <c r="F3612" s="22" t="e">
        <f>VLOOKUP($A3612,TAB_AMORTIZACAO_U[[Q_DIAS_U_PARC_TIR]:[V_FUT_U_PCPL-02]], F$5, FALSE)</f>
        <v>#N/A</v>
      </c>
      <c r="H3612" s="20">
        <f t="shared" si="287"/>
        <v>0</v>
      </c>
      <c r="I3612" s="21">
        <f t="shared" si="288"/>
        <v>0</v>
      </c>
      <c r="J3612" s="22" t="e">
        <f>VLOOKUP($A3612, TAB_JUROS_C[[DIAS_CORRIDOS]:[V_FUT_UTEIS]], J$5, FALSE)</f>
        <v>#N/A</v>
      </c>
      <c r="K3612" s="22" t="e">
        <f>VLOOKUP($A3612, TAB_CORRECAO_C[[DIAS_CORRIDOS]:[V_FUT_UTEIS]],K$5, FALSE)</f>
        <v>#N/A</v>
      </c>
      <c r="L3612" s="22" t="e">
        <f>VLOOKUP($A3612, TAB_AMORTIZACAO_C[[DIAS_CORRIDOS]:[V_FUT_UTEIS]], L$5, FALSE)</f>
        <v>#N/A</v>
      </c>
    </row>
    <row r="3613" spans="1:12" hidden="1">
      <c r="A3613" s="19">
        <f t="shared" si="289"/>
        <v>3607</v>
      </c>
      <c r="B3613" s="20">
        <f t="shared" si="285"/>
        <v>0</v>
      </c>
      <c r="C3613" s="21">
        <f t="shared" si="286"/>
        <v>0</v>
      </c>
      <c r="D3613" s="22" t="e">
        <f>VLOOKUP($A3613, TAB_JUROS_U[[Q_DIAS_U_PARC_TIR]:[V_FUT_U_JURS CENARIO]], D$5, FALSE)</f>
        <v>#N/A</v>
      </c>
      <c r="E3613" s="22" t="e">
        <f>VLOOKUP($A3613,TAB_CORRECAO_U[[Q_DIAS_U_PARC_TIR]:[V_FUT_U_CORC-02]],E$5, FALSE)</f>
        <v>#N/A</v>
      </c>
      <c r="F3613" s="22" t="e">
        <f>VLOOKUP($A3613,TAB_AMORTIZACAO_U[[Q_DIAS_U_PARC_TIR]:[V_FUT_U_PCPL-02]], F$5, FALSE)</f>
        <v>#N/A</v>
      </c>
      <c r="H3613" s="20">
        <f t="shared" si="287"/>
        <v>0</v>
      </c>
      <c r="I3613" s="21">
        <f t="shared" si="288"/>
        <v>0</v>
      </c>
      <c r="J3613" s="22" t="e">
        <f>VLOOKUP($A3613, TAB_JUROS_C[[DIAS_CORRIDOS]:[V_FUT_UTEIS]], J$5, FALSE)</f>
        <v>#N/A</v>
      </c>
      <c r="K3613" s="22" t="e">
        <f>VLOOKUP($A3613, TAB_CORRECAO_C[[DIAS_CORRIDOS]:[V_FUT_UTEIS]],K$5, FALSE)</f>
        <v>#N/A</v>
      </c>
      <c r="L3613" s="22" t="e">
        <f>VLOOKUP($A3613, TAB_AMORTIZACAO_C[[DIAS_CORRIDOS]:[V_FUT_UTEIS]], L$5, FALSE)</f>
        <v>#N/A</v>
      </c>
    </row>
    <row r="3614" spans="1:12" hidden="1">
      <c r="A3614" s="19">
        <f t="shared" si="289"/>
        <v>3608</v>
      </c>
      <c r="B3614" s="20">
        <f t="shared" si="285"/>
        <v>0</v>
      </c>
      <c r="C3614" s="21">
        <f t="shared" si="286"/>
        <v>0</v>
      </c>
      <c r="D3614" s="22" t="e">
        <f>VLOOKUP($A3614, TAB_JUROS_U[[Q_DIAS_U_PARC_TIR]:[V_FUT_U_JURS CENARIO]], D$5, FALSE)</f>
        <v>#N/A</v>
      </c>
      <c r="E3614" s="22" t="e">
        <f>VLOOKUP($A3614,TAB_CORRECAO_U[[Q_DIAS_U_PARC_TIR]:[V_FUT_U_CORC-02]],E$5, FALSE)</f>
        <v>#N/A</v>
      </c>
      <c r="F3614" s="22" t="e">
        <f>VLOOKUP($A3614,TAB_AMORTIZACAO_U[[Q_DIAS_U_PARC_TIR]:[V_FUT_U_PCPL-02]], F$5, FALSE)</f>
        <v>#N/A</v>
      </c>
      <c r="H3614" s="20">
        <f t="shared" si="287"/>
        <v>0</v>
      </c>
      <c r="I3614" s="21">
        <f t="shared" si="288"/>
        <v>0</v>
      </c>
      <c r="J3614" s="22" t="e">
        <f>VLOOKUP($A3614, TAB_JUROS_C[[DIAS_CORRIDOS]:[V_FUT_UTEIS]], J$5, FALSE)</f>
        <v>#N/A</v>
      </c>
      <c r="K3614" s="22" t="e">
        <f>VLOOKUP($A3614, TAB_CORRECAO_C[[DIAS_CORRIDOS]:[V_FUT_UTEIS]],K$5, FALSE)</f>
        <v>#N/A</v>
      </c>
      <c r="L3614" s="22" t="e">
        <f>VLOOKUP($A3614, TAB_AMORTIZACAO_C[[DIAS_CORRIDOS]:[V_FUT_UTEIS]], L$5, FALSE)</f>
        <v>#N/A</v>
      </c>
    </row>
    <row r="3615" spans="1:12" hidden="1">
      <c r="A3615" s="19">
        <f t="shared" si="289"/>
        <v>3609</v>
      </c>
      <c r="B3615" s="20">
        <f t="shared" si="285"/>
        <v>0</v>
      </c>
      <c r="C3615" s="21">
        <f t="shared" si="286"/>
        <v>0</v>
      </c>
      <c r="D3615" s="22" t="e">
        <f>VLOOKUP($A3615, TAB_JUROS_U[[Q_DIAS_U_PARC_TIR]:[V_FUT_U_JURS CENARIO]], D$5, FALSE)</f>
        <v>#N/A</v>
      </c>
      <c r="E3615" s="22" t="e">
        <f>VLOOKUP($A3615,TAB_CORRECAO_U[[Q_DIAS_U_PARC_TIR]:[V_FUT_U_CORC-02]],E$5, FALSE)</f>
        <v>#N/A</v>
      </c>
      <c r="F3615" s="22" t="e">
        <f>VLOOKUP($A3615,TAB_AMORTIZACAO_U[[Q_DIAS_U_PARC_TIR]:[V_FUT_U_PCPL-02]], F$5, FALSE)</f>
        <v>#N/A</v>
      </c>
      <c r="H3615" s="20">
        <f t="shared" si="287"/>
        <v>0</v>
      </c>
      <c r="I3615" s="21">
        <f t="shared" si="288"/>
        <v>0</v>
      </c>
      <c r="J3615" s="22" t="e">
        <f>VLOOKUP($A3615, TAB_JUROS_C[[DIAS_CORRIDOS]:[V_FUT_UTEIS]], J$5, FALSE)</f>
        <v>#N/A</v>
      </c>
      <c r="K3615" s="22" t="e">
        <f>VLOOKUP($A3615, TAB_CORRECAO_C[[DIAS_CORRIDOS]:[V_FUT_UTEIS]],K$5, FALSE)</f>
        <v>#N/A</v>
      </c>
      <c r="L3615" s="22" t="e">
        <f>VLOOKUP($A3615, TAB_AMORTIZACAO_C[[DIAS_CORRIDOS]:[V_FUT_UTEIS]], L$5, FALSE)</f>
        <v>#N/A</v>
      </c>
    </row>
    <row r="3616" spans="1:12" hidden="1">
      <c r="A3616" s="19">
        <f t="shared" si="289"/>
        <v>3610</v>
      </c>
      <c r="B3616" s="20">
        <f t="shared" si="285"/>
        <v>0</v>
      </c>
      <c r="C3616" s="21">
        <f t="shared" si="286"/>
        <v>0</v>
      </c>
      <c r="D3616" s="22" t="e">
        <f>VLOOKUP($A3616, TAB_JUROS_U[[Q_DIAS_U_PARC_TIR]:[V_FUT_U_JURS CENARIO]], D$5, FALSE)</f>
        <v>#N/A</v>
      </c>
      <c r="E3616" s="22" t="e">
        <f>VLOOKUP($A3616,TAB_CORRECAO_U[[Q_DIAS_U_PARC_TIR]:[V_FUT_U_CORC-02]],E$5, FALSE)</f>
        <v>#N/A</v>
      </c>
      <c r="F3616" s="22" t="e">
        <f>VLOOKUP($A3616,TAB_AMORTIZACAO_U[[Q_DIAS_U_PARC_TIR]:[V_FUT_U_PCPL-02]], F$5, FALSE)</f>
        <v>#N/A</v>
      </c>
      <c r="H3616" s="20">
        <f t="shared" si="287"/>
        <v>0</v>
      </c>
      <c r="I3616" s="21">
        <f t="shared" si="288"/>
        <v>0</v>
      </c>
      <c r="J3616" s="22" t="e">
        <f>VLOOKUP($A3616, TAB_JUROS_C[[DIAS_CORRIDOS]:[V_FUT_UTEIS]], J$5, FALSE)</f>
        <v>#N/A</v>
      </c>
      <c r="K3616" s="22" t="e">
        <f>VLOOKUP($A3616, TAB_CORRECAO_C[[DIAS_CORRIDOS]:[V_FUT_UTEIS]],K$5, FALSE)</f>
        <v>#N/A</v>
      </c>
      <c r="L3616" s="22" t="e">
        <f>VLOOKUP($A3616, TAB_AMORTIZACAO_C[[DIAS_CORRIDOS]:[V_FUT_UTEIS]], L$5, FALSE)</f>
        <v>#N/A</v>
      </c>
    </row>
    <row r="3617" spans="1:12" hidden="1">
      <c r="A3617" s="19">
        <f t="shared" si="289"/>
        <v>3611</v>
      </c>
      <c r="B3617" s="20">
        <f t="shared" si="285"/>
        <v>0</v>
      </c>
      <c r="C3617" s="21">
        <f t="shared" si="286"/>
        <v>0</v>
      </c>
      <c r="D3617" s="22" t="e">
        <f>VLOOKUP($A3617, TAB_JUROS_U[[Q_DIAS_U_PARC_TIR]:[V_FUT_U_JURS CENARIO]], D$5, FALSE)</f>
        <v>#N/A</v>
      </c>
      <c r="E3617" s="22" t="e">
        <f>VLOOKUP($A3617,TAB_CORRECAO_U[[Q_DIAS_U_PARC_TIR]:[V_FUT_U_CORC-02]],E$5, FALSE)</f>
        <v>#N/A</v>
      </c>
      <c r="F3617" s="22" t="e">
        <f>VLOOKUP($A3617,TAB_AMORTIZACAO_U[[Q_DIAS_U_PARC_TIR]:[V_FUT_U_PCPL-02]], F$5, FALSE)</f>
        <v>#N/A</v>
      </c>
      <c r="H3617" s="20">
        <f t="shared" si="287"/>
        <v>0</v>
      </c>
      <c r="I3617" s="21">
        <f t="shared" si="288"/>
        <v>0</v>
      </c>
      <c r="J3617" s="22" t="e">
        <f>VLOOKUP($A3617, TAB_JUROS_C[[DIAS_CORRIDOS]:[V_FUT_UTEIS]], J$5, FALSE)</f>
        <v>#N/A</v>
      </c>
      <c r="K3617" s="22" t="e">
        <f>VLOOKUP($A3617, TAB_CORRECAO_C[[DIAS_CORRIDOS]:[V_FUT_UTEIS]],K$5, FALSE)</f>
        <v>#N/A</v>
      </c>
      <c r="L3617" s="22" t="e">
        <f>VLOOKUP($A3617, TAB_AMORTIZACAO_C[[DIAS_CORRIDOS]:[V_FUT_UTEIS]], L$5, FALSE)</f>
        <v>#N/A</v>
      </c>
    </row>
    <row r="3618" spans="1:12" hidden="1">
      <c r="A3618" s="19">
        <f t="shared" si="289"/>
        <v>3612</v>
      </c>
      <c r="B3618" s="20">
        <f t="shared" si="285"/>
        <v>0</v>
      </c>
      <c r="C3618" s="21">
        <f t="shared" si="286"/>
        <v>0</v>
      </c>
      <c r="D3618" s="22" t="e">
        <f>VLOOKUP($A3618, TAB_JUROS_U[[Q_DIAS_U_PARC_TIR]:[V_FUT_U_JURS CENARIO]], D$5, FALSE)</f>
        <v>#N/A</v>
      </c>
      <c r="E3618" s="22" t="e">
        <f>VLOOKUP($A3618,TAB_CORRECAO_U[[Q_DIAS_U_PARC_TIR]:[V_FUT_U_CORC-02]],E$5, FALSE)</f>
        <v>#N/A</v>
      </c>
      <c r="F3618" s="22" t="e">
        <f>VLOOKUP($A3618,TAB_AMORTIZACAO_U[[Q_DIAS_U_PARC_TIR]:[V_FUT_U_PCPL-02]], F$5, FALSE)</f>
        <v>#N/A</v>
      </c>
      <c r="H3618" s="20">
        <f t="shared" si="287"/>
        <v>0</v>
      </c>
      <c r="I3618" s="21">
        <f t="shared" si="288"/>
        <v>0</v>
      </c>
      <c r="J3618" s="22" t="e">
        <f>VLOOKUP($A3618, TAB_JUROS_C[[DIAS_CORRIDOS]:[V_FUT_UTEIS]], J$5, FALSE)</f>
        <v>#N/A</v>
      </c>
      <c r="K3618" s="22" t="e">
        <f>VLOOKUP($A3618, TAB_CORRECAO_C[[DIAS_CORRIDOS]:[V_FUT_UTEIS]],K$5, FALSE)</f>
        <v>#N/A</v>
      </c>
      <c r="L3618" s="22" t="e">
        <f>VLOOKUP($A3618, TAB_AMORTIZACAO_C[[DIAS_CORRIDOS]:[V_FUT_UTEIS]], L$5, FALSE)</f>
        <v>#N/A</v>
      </c>
    </row>
    <row r="3619" spans="1:12" hidden="1">
      <c r="A3619" s="19">
        <f t="shared" si="289"/>
        <v>3613</v>
      </c>
      <c r="B3619" s="20">
        <f t="shared" si="285"/>
        <v>0</v>
      </c>
      <c r="C3619" s="21">
        <f t="shared" si="286"/>
        <v>0</v>
      </c>
      <c r="D3619" s="22" t="e">
        <f>VLOOKUP($A3619, TAB_JUROS_U[[Q_DIAS_U_PARC_TIR]:[V_FUT_U_JURS CENARIO]], D$5, FALSE)</f>
        <v>#N/A</v>
      </c>
      <c r="E3619" s="22" t="e">
        <f>VLOOKUP($A3619,TAB_CORRECAO_U[[Q_DIAS_U_PARC_TIR]:[V_FUT_U_CORC-02]],E$5, FALSE)</f>
        <v>#N/A</v>
      </c>
      <c r="F3619" s="22" t="e">
        <f>VLOOKUP($A3619,TAB_AMORTIZACAO_U[[Q_DIAS_U_PARC_TIR]:[V_FUT_U_PCPL-02]], F$5, FALSE)</f>
        <v>#N/A</v>
      </c>
      <c r="H3619" s="20">
        <f t="shared" si="287"/>
        <v>0</v>
      </c>
      <c r="I3619" s="21">
        <f t="shared" si="288"/>
        <v>0</v>
      </c>
      <c r="J3619" s="22" t="e">
        <f>VLOOKUP($A3619, TAB_JUROS_C[[DIAS_CORRIDOS]:[V_FUT_UTEIS]], J$5, FALSE)</f>
        <v>#N/A</v>
      </c>
      <c r="K3619" s="22" t="e">
        <f>VLOOKUP($A3619, TAB_CORRECAO_C[[DIAS_CORRIDOS]:[V_FUT_UTEIS]],K$5, FALSE)</f>
        <v>#N/A</v>
      </c>
      <c r="L3619" s="22" t="e">
        <f>VLOOKUP($A3619, TAB_AMORTIZACAO_C[[DIAS_CORRIDOS]:[V_FUT_UTEIS]], L$5, FALSE)</f>
        <v>#N/A</v>
      </c>
    </row>
    <row r="3620" spans="1:12" hidden="1">
      <c r="A3620" s="19">
        <f t="shared" si="289"/>
        <v>3614</v>
      </c>
      <c r="B3620" s="20">
        <f t="shared" si="285"/>
        <v>0</v>
      </c>
      <c r="C3620" s="21">
        <f t="shared" si="286"/>
        <v>0</v>
      </c>
      <c r="D3620" s="22" t="e">
        <f>VLOOKUP($A3620, TAB_JUROS_U[[Q_DIAS_U_PARC_TIR]:[V_FUT_U_JURS CENARIO]], D$5, FALSE)</f>
        <v>#N/A</v>
      </c>
      <c r="E3620" s="22" t="e">
        <f>VLOOKUP($A3620,TAB_CORRECAO_U[[Q_DIAS_U_PARC_TIR]:[V_FUT_U_CORC-02]],E$5, FALSE)</f>
        <v>#N/A</v>
      </c>
      <c r="F3620" s="22" t="e">
        <f>VLOOKUP($A3620,TAB_AMORTIZACAO_U[[Q_DIAS_U_PARC_TIR]:[V_FUT_U_PCPL-02]], F$5, FALSE)</f>
        <v>#N/A</v>
      </c>
      <c r="H3620" s="20">
        <f t="shared" si="287"/>
        <v>0</v>
      </c>
      <c r="I3620" s="21">
        <f t="shared" si="288"/>
        <v>0</v>
      </c>
      <c r="J3620" s="22" t="e">
        <f>VLOOKUP($A3620, TAB_JUROS_C[[DIAS_CORRIDOS]:[V_FUT_UTEIS]], J$5, FALSE)</f>
        <v>#N/A</v>
      </c>
      <c r="K3620" s="22" t="e">
        <f>VLOOKUP($A3620, TAB_CORRECAO_C[[DIAS_CORRIDOS]:[V_FUT_UTEIS]],K$5, FALSE)</f>
        <v>#N/A</v>
      </c>
      <c r="L3620" s="22" t="e">
        <f>VLOOKUP($A3620, TAB_AMORTIZACAO_C[[DIAS_CORRIDOS]:[V_FUT_UTEIS]], L$5, FALSE)</f>
        <v>#N/A</v>
      </c>
    </row>
    <row r="3621" spans="1:12" hidden="1">
      <c r="A3621" s="19">
        <f t="shared" si="289"/>
        <v>3615</v>
      </c>
      <c r="B3621" s="20">
        <f t="shared" si="285"/>
        <v>0</v>
      </c>
      <c r="C3621" s="21">
        <f t="shared" si="286"/>
        <v>0</v>
      </c>
      <c r="D3621" s="22" t="e">
        <f>VLOOKUP($A3621, TAB_JUROS_U[[Q_DIAS_U_PARC_TIR]:[V_FUT_U_JURS CENARIO]], D$5, FALSE)</f>
        <v>#N/A</v>
      </c>
      <c r="E3621" s="22" t="e">
        <f>VLOOKUP($A3621,TAB_CORRECAO_U[[Q_DIAS_U_PARC_TIR]:[V_FUT_U_CORC-02]],E$5, FALSE)</f>
        <v>#N/A</v>
      </c>
      <c r="F3621" s="22" t="e">
        <f>VLOOKUP($A3621,TAB_AMORTIZACAO_U[[Q_DIAS_U_PARC_TIR]:[V_FUT_U_PCPL-02]], F$5, FALSE)</f>
        <v>#N/A</v>
      </c>
      <c r="H3621" s="20">
        <f t="shared" si="287"/>
        <v>0</v>
      </c>
      <c r="I3621" s="21">
        <f t="shared" si="288"/>
        <v>0</v>
      </c>
      <c r="J3621" s="22" t="e">
        <f>VLOOKUP($A3621, TAB_JUROS_C[[DIAS_CORRIDOS]:[V_FUT_UTEIS]], J$5, FALSE)</f>
        <v>#N/A</v>
      </c>
      <c r="K3621" s="22" t="e">
        <f>VLOOKUP($A3621, TAB_CORRECAO_C[[DIAS_CORRIDOS]:[V_FUT_UTEIS]],K$5, FALSE)</f>
        <v>#N/A</v>
      </c>
      <c r="L3621" s="22" t="e">
        <f>VLOOKUP($A3621, TAB_AMORTIZACAO_C[[DIAS_CORRIDOS]:[V_FUT_UTEIS]], L$5, FALSE)</f>
        <v>#N/A</v>
      </c>
    </row>
    <row r="3622" spans="1:12" hidden="1">
      <c r="A3622" s="19">
        <f t="shared" si="289"/>
        <v>3616</v>
      </c>
      <c r="B3622" s="20">
        <f t="shared" si="285"/>
        <v>0</v>
      </c>
      <c r="C3622" s="21">
        <f t="shared" si="286"/>
        <v>0</v>
      </c>
      <c r="D3622" s="22" t="e">
        <f>VLOOKUP($A3622, TAB_JUROS_U[[Q_DIAS_U_PARC_TIR]:[V_FUT_U_JURS CENARIO]], D$5, FALSE)</f>
        <v>#N/A</v>
      </c>
      <c r="E3622" s="22" t="e">
        <f>VLOOKUP($A3622,TAB_CORRECAO_U[[Q_DIAS_U_PARC_TIR]:[V_FUT_U_CORC-02]],E$5, FALSE)</f>
        <v>#N/A</v>
      </c>
      <c r="F3622" s="22" t="e">
        <f>VLOOKUP($A3622,TAB_AMORTIZACAO_U[[Q_DIAS_U_PARC_TIR]:[V_FUT_U_PCPL-02]], F$5, FALSE)</f>
        <v>#N/A</v>
      </c>
      <c r="H3622" s="20">
        <f t="shared" si="287"/>
        <v>0</v>
      </c>
      <c r="I3622" s="21">
        <f t="shared" si="288"/>
        <v>0</v>
      </c>
      <c r="J3622" s="22" t="e">
        <f>VLOOKUP($A3622, TAB_JUROS_C[[DIAS_CORRIDOS]:[V_FUT_UTEIS]], J$5, FALSE)</f>
        <v>#N/A</v>
      </c>
      <c r="K3622" s="22" t="e">
        <f>VLOOKUP($A3622, TAB_CORRECAO_C[[DIAS_CORRIDOS]:[V_FUT_UTEIS]],K$5, FALSE)</f>
        <v>#N/A</v>
      </c>
      <c r="L3622" s="22" t="e">
        <f>VLOOKUP($A3622, TAB_AMORTIZACAO_C[[DIAS_CORRIDOS]:[V_FUT_UTEIS]], L$5, FALSE)</f>
        <v>#N/A</v>
      </c>
    </row>
    <row r="3623" spans="1:12" hidden="1">
      <c r="A3623" s="19">
        <f t="shared" si="289"/>
        <v>3617</v>
      </c>
      <c r="B3623" s="20">
        <f t="shared" si="285"/>
        <v>0</v>
      </c>
      <c r="C3623" s="21">
        <f t="shared" si="286"/>
        <v>0</v>
      </c>
      <c r="D3623" s="22" t="e">
        <f>VLOOKUP($A3623, TAB_JUROS_U[[Q_DIAS_U_PARC_TIR]:[V_FUT_U_JURS CENARIO]], D$5, FALSE)</f>
        <v>#N/A</v>
      </c>
      <c r="E3623" s="22" t="e">
        <f>VLOOKUP($A3623,TAB_CORRECAO_U[[Q_DIAS_U_PARC_TIR]:[V_FUT_U_CORC-02]],E$5, FALSE)</f>
        <v>#N/A</v>
      </c>
      <c r="F3623" s="22" t="e">
        <f>VLOOKUP($A3623,TAB_AMORTIZACAO_U[[Q_DIAS_U_PARC_TIR]:[V_FUT_U_PCPL-02]], F$5, FALSE)</f>
        <v>#N/A</v>
      </c>
      <c r="H3623" s="20">
        <f t="shared" si="287"/>
        <v>0</v>
      </c>
      <c r="I3623" s="21">
        <f t="shared" si="288"/>
        <v>0</v>
      </c>
      <c r="J3623" s="22" t="e">
        <f>VLOOKUP($A3623, TAB_JUROS_C[[DIAS_CORRIDOS]:[V_FUT_UTEIS]], J$5, FALSE)</f>
        <v>#N/A</v>
      </c>
      <c r="K3623" s="22" t="e">
        <f>VLOOKUP($A3623, TAB_CORRECAO_C[[DIAS_CORRIDOS]:[V_FUT_UTEIS]],K$5, FALSE)</f>
        <v>#N/A</v>
      </c>
      <c r="L3623" s="22" t="e">
        <f>VLOOKUP($A3623, TAB_AMORTIZACAO_C[[DIAS_CORRIDOS]:[V_FUT_UTEIS]], L$5, FALSE)</f>
        <v>#N/A</v>
      </c>
    </row>
    <row r="3624" spans="1:12" hidden="1">
      <c r="A3624" s="19">
        <f t="shared" si="289"/>
        <v>3618</v>
      </c>
      <c r="B3624" s="20">
        <f t="shared" si="285"/>
        <v>0</v>
      </c>
      <c r="C3624" s="21">
        <f t="shared" si="286"/>
        <v>0</v>
      </c>
      <c r="D3624" s="22" t="e">
        <f>VLOOKUP($A3624, TAB_JUROS_U[[Q_DIAS_U_PARC_TIR]:[V_FUT_U_JURS CENARIO]], D$5, FALSE)</f>
        <v>#N/A</v>
      </c>
      <c r="E3624" s="22" t="e">
        <f>VLOOKUP($A3624,TAB_CORRECAO_U[[Q_DIAS_U_PARC_TIR]:[V_FUT_U_CORC-02]],E$5, FALSE)</f>
        <v>#N/A</v>
      </c>
      <c r="F3624" s="22" t="e">
        <f>VLOOKUP($A3624,TAB_AMORTIZACAO_U[[Q_DIAS_U_PARC_TIR]:[V_FUT_U_PCPL-02]], F$5, FALSE)</f>
        <v>#N/A</v>
      </c>
      <c r="H3624" s="20">
        <f t="shared" si="287"/>
        <v>0</v>
      </c>
      <c r="I3624" s="21">
        <f t="shared" si="288"/>
        <v>0</v>
      </c>
      <c r="J3624" s="22" t="e">
        <f>VLOOKUP($A3624, TAB_JUROS_C[[DIAS_CORRIDOS]:[V_FUT_UTEIS]], J$5, FALSE)</f>
        <v>#N/A</v>
      </c>
      <c r="K3624" s="22" t="e">
        <f>VLOOKUP($A3624, TAB_CORRECAO_C[[DIAS_CORRIDOS]:[V_FUT_UTEIS]],K$5, FALSE)</f>
        <v>#N/A</v>
      </c>
      <c r="L3624" s="22" t="e">
        <f>VLOOKUP($A3624, TAB_AMORTIZACAO_C[[DIAS_CORRIDOS]:[V_FUT_UTEIS]], L$5, FALSE)</f>
        <v>#N/A</v>
      </c>
    </row>
    <row r="3625" spans="1:12" hidden="1">
      <c r="A3625" s="19">
        <f t="shared" si="289"/>
        <v>3619</v>
      </c>
      <c r="B3625" s="20">
        <f t="shared" si="285"/>
        <v>0</v>
      </c>
      <c r="C3625" s="21">
        <f t="shared" si="286"/>
        <v>0</v>
      </c>
      <c r="D3625" s="22" t="e">
        <f>VLOOKUP($A3625, TAB_JUROS_U[[Q_DIAS_U_PARC_TIR]:[V_FUT_U_JURS CENARIO]], D$5, FALSE)</f>
        <v>#N/A</v>
      </c>
      <c r="E3625" s="22" t="e">
        <f>VLOOKUP($A3625,TAB_CORRECAO_U[[Q_DIAS_U_PARC_TIR]:[V_FUT_U_CORC-02]],E$5, FALSE)</f>
        <v>#N/A</v>
      </c>
      <c r="F3625" s="22" t="e">
        <f>VLOOKUP($A3625,TAB_AMORTIZACAO_U[[Q_DIAS_U_PARC_TIR]:[V_FUT_U_PCPL-02]], F$5, FALSE)</f>
        <v>#N/A</v>
      </c>
      <c r="H3625" s="20">
        <f t="shared" si="287"/>
        <v>0</v>
      </c>
      <c r="I3625" s="21">
        <f t="shared" si="288"/>
        <v>0</v>
      </c>
      <c r="J3625" s="22" t="e">
        <f>VLOOKUP($A3625, TAB_JUROS_C[[DIAS_CORRIDOS]:[V_FUT_UTEIS]], J$5, FALSE)</f>
        <v>#N/A</v>
      </c>
      <c r="K3625" s="22" t="e">
        <f>VLOOKUP($A3625, TAB_CORRECAO_C[[DIAS_CORRIDOS]:[V_FUT_UTEIS]],K$5, FALSE)</f>
        <v>#N/A</v>
      </c>
      <c r="L3625" s="22" t="e">
        <f>VLOOKUP($A3625, TAB_AMORTIZACAO_C[[DIAS_CORRIDOS]:[V_FUT_UTEIS]], L$5, FALSE)</f>
        <v>#N/A</v>
      </c>
    </row>
    <row r="3626" spans="1:12" hidden="1">
      <c r="A3626" s="19">
        <f t="shared" si="289"/>
        <v>3620</v>
      </c>
      <c r="B3626" s="20">
        <f t="shared" si="285"/>
        <v>0</v>
      </c>
      <c r="C3626" s="21">
        <f t="shared" si="286"/>
        <v>0</v>
      </c>
      <c r="D3626" s="22" t="e">
        <f>VLOOKUP($A3626, TAB_JUROS_U[[Q_DIAS_U_PARC_TIR]:[V_FUT_U_JURS CENARIO]], D$5, FALSE)</f>
        <v>#N/A</v>
      </c>
      <c r="E3626" s="22" t="e">
        <f>VLOOKUP($A3626,TAB_CORRECAO_U[[Q_DIAS_U_PARC_TIR]:[V_FUT_U_CORC-02]],E$5, FALSE)</f>
        <v>#N/A</v>
      </c>
      <c r="F3626" s="22" t="e">
        <f>VLOOKUP($A3626,TAB_AMORTIZACAO_U[[Q_DIAS_U_PARC_TIR]:[V_FUT_U_PCPL-02]], F$5, FALSE)</f>
        <v>#N/A</v>
      </c>
      <c r="H3626" s="20">
        <f t="shared" si="287"/>
        <v>0</v>
      </c>
      <c r="I3626" s="21">
        <f t="shared" si="288"/>
        <v>0</v>
      </c>
      <c r="J3626" s="22" t="e">
        <f>VLOOKUP($A3626, TAB_JUROS_C[[DIAS_CORRIDOS]:[V_FUT_UTEIS]], J$5, FALSE)</f>
        <v>#N/A</v>
      </c>
      <c r="K3626" s="22" t="e">
        <f>VLOOKUP($A3626, TAB_CORRECAO_C[[DIAS_CORRIDOS]:[V_FUT_UTEIS]],K$5, FALSE)</f>
        <v>#N/A</v>
      </c>
      <c r="L3626" s="22" t="e">
        <f>VLOOKUP($A3626, TAB_AMORTIZACAO_C[[DIAS_CORRIDOS]:[V_FUT_UTEIS]], L$5, FALSE)</f>
        <v>#N/A</v>
      </c>
    </row>
    <row r="3627" spans="1:12" hidden="1">
      <c r="A3627" s="19">
        <f t="shared" si="289"/>
        <v>3621</v>
      </c>
      <c r="B3627" s="20">
        <f t="shared" si="285"/>
        <v>0</v>
      </c>
      <c r="C3627" s="21">
        <f t="shared" si="286"/>
        <v>0</v>
      </c>
      <c r="D3627" s="22" t="e">
        <f>VLOOKUP($A3627, TAB_JUROS_U[[Q_DIAS_U_PARC_TIR]:[V_FUT_U_JURS CENARIO]], D$5, FALSE)</f>
        <v>#N/A</v>
      </c>
      <c r="E3627" s="22" t="e">
        <f>VLOOKUP($A3627,TAB_CORRECAO_U[[Q_DIAS_U_PARC_TIR]:[V_FUT_U_CORC-02]],E$5, FALSE)</f>
        <v>#N/A</v>
      </c>
      <c r="F3627" s="22" t="e">
        <f>VLOOKUP($A3627,TAB_AMORTIZACAO_U[[Q_DIAS_U_PARC_TIR]:[V_FUT_U_PCPL-02]], F$5, FALSE)</f>
        <v>#N/A</v>
      </c>
      <c r="H3627" s="20">
        <f t="shared" si="287"/>
        <v>0</v>
      </c>
      <c r="I3627" s="21">
        <f t="shared" si="288"/>
        <v>0</v>
      </c>
      <c r="J3627" s="22" t="e">
        <f>VLOOKUP($A3627, TAB_JUROS_C[[DIAS_CORRIDOS]:[V_FUT_UTEIS]], J$5, FALSE)</f>
        <v>#N/A</v>
      </c>
      <c r="K3627" s="22" t="e">
        <f>VLOOKUP($A3627, TAB_CORRECAO_C[[DIAS_CORRIDOS]:[V_FUT_UTEIS]],K$5, FALSE)</f>
        <v>#N/A</v>
      </c>
      <c r="L3627" s="22" t="e">
        <f>VLOOKUP($A3627, TAB_AMORTIZACAO_C[[DIAS_CORRIDOS]:[V_FUT_UTEIS]], L$5, FALSE)</f>
        <v>#N/A</v>
      </c>
    </row>
    <row r="3628" spans="1:12" hidden="1">
      <c r="A3628" s="19">
        <f t="shared" si="289"/>
        <v>3622</v>
      </c>
      <c r="B3628" s="20">
        <f t="shared" si="285"/>
        <v>0</v>
      </c>
      <c r="C3628" s="21">
        <f t="shared" si="286"/>
        <v>0</v>
      </c>
      <c r="D3628" s="22" t="e">
        <f>VLOOKUP($A3628, TAB_JUROS_U[[Q_DIAS_U_PARC_TIR]:[V_FUT_U_JURS CENARIO]], D$5, FALSE)</f>
        <v>#N/A</v>
      </c>
      <c r="E3628" s="22" t="e">
        <f>VLOOKUP($A3628,TAB_CORRECAO_U[[Q_DIAS_U_PARC_TIR]:[V_FUT_U_CORC-02]],E$5, FALSE)</f>
        <v>#N/A</v>
      </c>
      <c r="F3628" s="22" t="e">
        <f>VLOOKUP($A3628,TAB_AMORTIZACAO_U[[Q_DIAS_U_PARC_TIR]:[V_FUT_U_PCPL-02]], F$5, FALSE)</f>
        <v>#N/A</v>
      </c>
      <c r="H3628" s="20">
        <f t="shared" si="287"/>
        <v>0</v>
      </c>
      <c r="I3628" s="21">
        <f t="shared" si="288"/>
        <v>0</v>
      </c>
      <c r="J3628" s="22" t="e">
        <f>VLOOKUP($A3628, TAB_JUROS_C[[DIAS_CORRIDOS]:[V_FUT_UTEIS]], J$5, FALSE)</f>
        <v>#N/A</v>
      </c>
      <c r="K3628" s="22" t="e">
        <f>VLOOKUP($A3628, TAB_CORRECAO_C[[DIAS_CORRIDOS]:[V_FUT_UTEIS]],K$5, FALSE)</f>
        <v>#N/A</v>
      </c>
      <c r="L3628" s="22" t="e">
        <f>VLOOKUP($A3628, TAB_AMORTIZACAO_C[[DIAS_CORRIDOS]:[V_FUT_UTEIS]], L$5, FALSE)</f>
        <v>#N/A</v>
      </c>
    </row>
    <row r="3629" spans="1:12" hidden="1">
      <c r="A3629" s="19">
        <f t="shared" si="289"/>
        <v>3623</v>
      </c>
      <c r="B3629" s="20">
        <f t="shared" si="285"/>
        <v>0</v>
      </c>
      <c r="C3629" s="21">
        <f t="shared" si="286"/>
        <v>0</v>
      </c>
      <c r="D3629" s="22" t="e">
        <f>VLOOKUP($A3629, TAB_JUROS_U[[Q_DIAS_U_PARC_TIR]:[V_FUT_U_JURS CENARIO]], D$5, FALSE)</f>
        <v>#N/A</v>
      </c>
      <c r="E3629" s="22" t="e">
        <f>VLOOKUP($A3629,TAB_CORRECAO_U[[Q_DIAS_U_PARC_TIR]:[V_FUT_U_CORC-02]],E$5, FALSE)</f>
        <v>#N/A</v>
      </c>
      <c r="F3629" s="22" t="e">
        <f>VLOOKUP($A3629,TAB_AMORTIZACAO_U[[Q_DIAS_U_PARC_TIR]:[V_FUT_U_PCPL-02]], F$5, FALSE)</f>
        <v>#N/A</v>
      </c>
      <c r="H3629" s="20">
        <f t="shared" si="287"/>
        <v>0</v>
      </c>
      <c r="I3629" s="21">
        <f t="shared" si="288"/>
        <v>0</v>
      </c>
      <c r="J3629" s="22" t="e">
        <f>VLOOKUP($A3629, TAB_JUROS_C[[DIAS_CORRIDOS]:[V_FUT_UTEIS]], J$5, FALSE)</f>
        <v>#N/A</v>
      </c>
      <c r="K3629" s="22" t="e">
        <f>VLOOKUP($A3629, TAB_CORRECAO_C[[DIAS_CORRIDOS]:[V_FUT_UTEIS]],K$5, FALSE)</f>
        <v>#N/A</v>
      </c>
      <c r="L3629" s="22" t="e">
        <f>VLOOKUP($A3629, TAB_AMORTIZACAO_C[[DIAS_CORRIDOS]:[V_FUT_UTEIS]], L$5, FALSE)</f>
        <v>#N/A</v>
      </c>
    </row>
    <row r="3630" spans="1:12" hidden="1">
      <c r="A3630" s="19">
        <f t="shared" si="289"/>
        <v>3624</v>
      </c>
      <c r="B3630" s="20">
        <f t="shared" si="285"/>
        <v>0</v>
      </c>
      <c r="C3630" s="21">
        <f t="shared" si="286"/>
        <v>0</v>
      </c>
      <c r="D3630" s="22" t="e">
        <f>VLOOKUP($A3630, TAB_JUROS_U[[Q_DIAS_U_PARC_TIR]:[V_FUT_U_JURS CENARIO]], D$5, FALSE)</f>
        <v>#N/A</v>
      </c>
      <c r="E3630" s="22" t="e">
        <f>VLOOKUP($A3630,TAB_CORRECAO_U[[Q_DIAS_U_PARC_TIR]:[V_FUT_U_CORC-02]],E$5, FALSE)</f>
        <v>#N/A</v>
      </c>
      <c r="F3630" s="22" t="e">
        <f>VLOOKUP($A3630,TAB_AMORTIZACAO_U[[Q_DIAS_U_PARC_TIR]:[V_FUT_U_PCPL-02]], F$5, FALSE)</f>
        <v>#N/A</v>
      </c>
      <c r="H3630" s="20">
        <f t="shared" si="287"/>
        <v>0</v>
      </c>
      <c r="I3630" s="21">
        <f t="shared" si="288"/>
        <v>0</v>
      </c>
      <c r="J3630" s="22" t="e">
        <f>VLOOKUP($A3630, TAB_JUROS_C[[DIAS_CORRIDOS]:[V_FUT_UTEIS]], J$5, FALSE)</f>
        <v>#N/A</v>
      </c>
      <c r="K3630" s="22" t="e">
        <f>VLOOKUP($A3630, TAB_CORRECAO_C[[DIAS_CORRIDOS]:[V_FUT_UTEIS]],K$5, FALSE)</f>
        <v>#N/A</v>
      </c>
      <c r="L3630" s="22" t="e">
        <f>VLOOKUP($A3630, TAB_AMORTIZACAO_C[[DIAS_CORRIDOS]:[V_FUT_UTEIS]], L$5, FALSE)</f>
        <v>#N/A</v>
      </c>
    </row>
    <row r="3631" spans="1:12" hidden="1">
      <c r="A3631" s="19">
        <f t="shared" si="289"/>
        <v>3625</v>
      </c>
      <c r="B3631" s="20">
        <f t="shared" si="285"/>
        <v>0</v>
      </c>
      <c r="C3631" s="21">
        <f t="shared" si="286"/>
        <v>0</v>
      </c>
      <c r="D3631" s="22" t="e">
        <f>VLOOKUP($A3631, TAB_JUROS_U[[Q_DIAS_U_PARC_TIR]:[V_FUT_U_JURS CENARIO]], D$5, FALSE)</f>
        <v>#N/A</v>
      </c>
      <c r="E3631" s="22" t="e">
        <f>VLOOKUP($A3631,TAB_CORRECAO_U[[Q_DIAS_U_PARC_TIR]:[V_FUT_U_CORC-02]],E$5, FALSE)</f>
        <v>#N/A</v>
      </c>
      <c r="F3631" s="22" t="e">
        <f>VLOOKUP($A3631,TAB_AMORTIZACAO_U[[Q_DIAS_U_PARC_TIR]:[V_FUT_U_PCPL-02]], F$5, FALSE)</f>
        <v>#N/A</v>
      </c>
      <c r="H3631" s="20">
        <f t="shared" si="287"/>
        <v>0</v>
      </c>
      <c r="I3631" s="21">
        <f t="shared" si="288"/>
        <v>0</v>
      </c>
      <c r="J3631" s="22" t="e">
        <f>VLOOKUP($A3631, TAB_JUROS_C[[DIAS_CORRIDOS]:[V_FUT_UTEIS]], J$5, FALSE)</f>
        <v>#N/A</v>
      </c>
      <c r="K3631" s="22" t="e">
        <f>VLOOKUP($A3631, TAB_CORRECAO_C[[DIAS_CORRIDOS]:[V_FUT_UTEIS]],K$5, FALSE)</f>
        <v>#N/A</v>
      </c>
      <c r="L3631" s="22" t="e">
        <f>VLOOKUP($A3631, TAB_AMORTIZACAO_C[[DIAS_CORRIDOS]:[V_FUT_UTEIS]], L$5, FALSE)</f>
        <v>#N/A</v>
      </c>
    </row>
    <row r="3632" spans="1:12" hidden="1">
      <c r="A3632" s="19">
        <f t="shared" si="289"/>
        <v>3626</v>
      </c>
      <c r="B3632" s="20">
        <f t="shared" si="285"/>
        <v>0</v>
      </c>
      <c r="C3632" s="21">
        <f t="shared" si="286"/>
        <v>0</v>
      </c>
      <c r="D3632" s="22" t="e">
        <f>VLOOKUP($A3632, TAB_JUROS_U[[Q_DIAS_U_PARC_TIR]:[V_FUT_U_JURS CENARIO]], D$5, FALSE)</f>
        <v>#N/A</v>
      </c>
      <c r="E3632" s="22" t="e">
        <f>VLOOKUP($A3632,TAB_CORRECAO_U[[Q_DIAS_U_PARC_TIR]:[V_FUT_U_CORC-02]],E$5, FALSE)</f>
        <v>#N/A</v>
      </c>
      <c r="F3632" s="22" t="e">
        <f>VLOOKUP($A3632,TAB_AMORTIZACAO_U[[Q_DIAS_U_PARC_TIR]:[V_FUT_U_PCPL-02]], F$5, FALSE)</f>
        <v>#N/A</v>
      </c>
      <c r="H3632" s="20">
        <f t="shared" si="287"/>
        <v>0</v>
      </c>
      <c r="I3632" s="21">
        <f t="shared" si="288"/>
        <v>0</v>
      </c>
      <c r="J3632" s="22" t="e">
        <f>VLOOKUP($A3632, TAB_JUROS_C[[DIAS_CORRIDOS]:[V_FUT_UTEIS]], J$5, FALSE)</f>
        <v>#N/A</v>
      </c>
      <c r="K3632" s="22" t="e">
        <f>VLOOKUP($A3632, TAB_CORRECAO_C[[DIAS_CORRIDOS]:[V_FUT_UTEIS]],K$5, FALSE)</f>
        <v>#N/A</v>
      </c>
      <c r="L3632" s="22" t="e">
        <f>VLOOKUP($A3632, TAB_AMORTIZACAO_C[[DIAS_CORRIDOS]:[V_FUT_UTEIS]], L$5, FALSE)</f>
        <v>#N/A</v>
      </c>
    </row>
    <row r="3633" spans="1:12" hidden="1">
      <c r="A3633" s="19">
        <f t="shared" si="289"/>
        <v>3627</v>
      </c>
      <c r="B3633" s="20">
        <f t="shared" si="285"/>
        <v>0</v>
      </c>
      <c r="C3633" s="21">
        <f t="shared" si="286"/>
        <v>0</v>
      </c>
      <c r="D3633" s="22" t="e">
        <f>VLOOKUP($A3633, TAB_JUROS_U[[Q_DIAS_U_PARC_TIR]:[V_FUT_U_JURS CENARIO]], D$5, FALSE)</f>
        <v>#N/A</v>
      </c>
      <c r="E3633" s="22" t="e">
        <f>VLOOKUP($A3633,TAB_CORRECAO_U[[Q_DIAS_U_PARC_TIR]:[V_FUT_U_CORC-02]],E$5, FALSE)</f>
        <v>#N/A</v>
      </c>
      <c r="F3633" s="22" t="e">
        <f>VLOOKUP($A3633,TAB_AMORTIZACAO_U[[Q_DIAS_U_PARC_TIR]:[V_FUT_U_PCPL-02]], F$5, FALSE)</f>
        <v>#N/A</v>
      </c>
      <c r="H3633" s="20">
        <f t="shared" si="287"/>
        <v>0</v>
      </c>
      <c r="I3633" s="21">
        <f t="shared" si="288"/>
        <v>0</v>
      </c>
      <c r="J3633" s="22" t="e">
        <f>VLOOKUP($A3633, TAB_JUROS_C[[DIAS_CORRIDOS]:[V_FUT_UTEIS]], J$5, FALSE)</f>
        <v>#N/A</v>
      </c>
      <c r="K3633" s="22" t="e">
        <f>VLOOKUP($A3633, TAB_CORRECAO_C[[DIAS_CORRIDOS]:[V_FUT_UTEIS]],K$5, FALSE)</f>
        <v>#N/A</v>
      </c>
      <c r="L3633" s="22" t="e">
        <f>VLOOKUP($A3633, TAB_AMORTIZACAO_C[[DIAS_CORRIDOS]:[V_FUT_UTEIS]], L$5, FALSE)</f>
        <v>#N/A</v>
      </c>
    </row>
    <row r="3634" spans="1:12" hidden="1">
      <c r="A3634" s="19">
        <f t="shared" si="289"/>
        <v>3628</v>
      </c>
      <c r="B3634" s="20">
        <f t="shared" si="285"/>
        <v>0</v>
      </c>
      <c r="C3634" s="21">
        <f t="shared" si="286"/>
        <v>0</v>
      </c>
      <c r="D3634" s="22" t="e">
        <f>VLOOKUP($A3634, TAB_JUROS_U[[Q_DIAS_U_PARC_TIR]:[V_FUT_U_JURS CENARIO]], D$5, FALSE)</f>
        <v>#N/A</v>
      </c>
      <c r="E3634" s="22" t="e">
        <f>VLOOKUP($A3634,TAB_CORRECAO_U[[Q_DIAS_U_PARC_TIR]:[V_FUT_U_CORC-02]],E$5, FALSE)</f>
        <v>#N/A</v>
      </c>
      <c r="F3634" s="22" t="e">
        <f>VLOOKUP($A3634,TAB_AMORTIZACAO_U[[Q_DIAS_U_PARC_TIR]:[V_FUT_U_PCPL-02]], F$5, FALSE)</f>
        <v>#N/A</v>
      </c>
      <c r="H3634" s="20">
        <f t="shared" si="287"/>
        <v>0</v>
      </c>
      <c r="I3634" s="21">
        <f t="shared" si="288"/>
        <v>0</v>
      </c>
      <c r="J3634" s="22" t="e">
        <f>VLOOKUP($A3634, TAB_JUROS_C[[DIAS_CORRIDOS]:[V_FUT_UTEIS]], J$5, FALSE)</f>
        <v>#N/A</v>
      </c>
      <c r="K3634" s="22" t="e">
        <f>VLOOKUP($A3634, TAB_CORRECAO_C[[DIAS_CORRIDOS]:[V_FUT_UTEIS]],K$5, FALSE)</f>
        <v>#N/A</v>
      </c>
      <c r="L3634" s="22" t="e">
        <f>VLOOKUP($A3634, TAB_AMORTIZACAO_C[[DIAS_CORRIDOS]:[V_FUT_UTEIS]], L$5, FALSE)</f>
        <v>#N/A</v>
      </c>
    </row>
    <row r="3635" spans="1:12" hidden="1">
      <c r="A3635" s="19">
        <f t="shared" si="289"/>
        <v>3629</v>
      </c>
      <c r="B3635" s="20">
        <f t="shared" si="285"/>
        <v>0</v>
      </c>
      <c r="C3635" s="21">
        <f t="shared" si="286"/>
        <v>0</v>
      </c>
      <c r="D3635" s="22" t="e">
        <f>VLOOKUP($A3635, TAB_JUROS_U[[Q_DIAS_U_PARC_TIR]:[V_FUT_U_JURS CENARIO]], D$5, FALSE)</f>
        <v>#N/A</v>
      </c>
      <c r="E3635" s="22" t="e">
        <f>VLOOKUP($A3635,TAB_CORRECAO_U[[Q_DIAS_U_PARC_TIR]:[V_FUT_U_CORC-02]],E$5, FALSE)</f>
        <v>#N/A</v>
      </c>
      <c r="F3635" s="22" t="e">
        <f>VLOOKUP($A3635,TAB_AMORTIZACAO_U[[Q_DIAS_U_PARC_TIR]:[V_FUT_U_PCPL-02]], F$5, FALSE)</f>
        <v>#N/A</v>
      </c>
      <c r="H3635" s="20">
        <f t="shared" si="287"/>
        <v>0</v>
      </c>
      <c r="I3635" s="21">
        <f t="shared" si="288"/>
        <v>0</v>
      </c>
      <c r="J3635" s="22" t="e">
        <f>VLOOKUP($A3635, TAB_JUROS_C[[DIAS_CORRIDOS]:[V_FUT_UTEIS]], J$5, FALSE)</f>
        <v>#N/A</v>
      </c>
      <c r="K3635" s="22" t="e">
        <f>VLOOKUP($A3635, TAB_CORRECAO_C[[DIAS_CORRIDOS]:[V_FUT_UTEIS]],K$5, FALSE)</f>
        <v>#N/A</v>
      </c>
      <c r="L3635" s="22" t="e">
        <f>VLOOKUP($A3635, TAB_AMORTIZACAO_C[[DIAS_CORRIDOS]:[V_FUT_UTEIS]], L$5, FALSE)</f>
        <v>#N/A</v>
      </c>
    </row>
    <row r="3636" spans="1:12" hidden="1">
      <c r="A3636" s="19">
        <f t="shared" si="289"/>
        <v>3630</v>
      </c>
      <c r="B3636" s="20">
        <f t="shared" si="285"/>
        <v>0</v>
      </c>
      <c r="C3636" s="21">
        <f t="shared" si="286"/>
        <v>0</v>
      </c>
      <c r="D3636" s="22" t="e">
        <f>VLOOKUP($A3636, TAB_JUROS_U[[Q_DIAS_U_PARC_TIR]:[V_FUT_U_JURS CENARIO]], D$5, FALSE)</f>
        <v>#N/A</v>
      </c>
      <c r="E3636" s="22" t="e">
        <f>VLOOKUP($A3636,TAB_CORRECAO_U[[Q_DIAS_U_PARC_TIR]:[V_FUT_U_CORC-02]],E$5, FALSE)</f>
        <v>#N/A</v>
      </c>
      <c r="F3636" s="22" t="e">
        <f>VLOOKUP($A3636,TAB_AMORTIZACAO_U[[Q_DIAS_U_PARC_TIR]:[V_FUT_U_PCPL-02]], F$5, FALSE)</f>
        <v>#N/A</v>
      </c>
      <c r="H3636" s="20">
        <f t="shared" si="287"/>
        <v>0</v>
      </c>
      <c r="I3636" s="21">
        <f t="shared" si="288"/>
        <v>0</v>
      </c>
      <c r="J3636" s="22" t="e">
        <f>VLOOKUP($A3636, TAB_JUROS_C[[DIAS_CORRIDOS]:[V_FUT_UTEIS]], J$5, FALSE)</f>
        <v>#N/A</v>
      </c>
      <c r="K3636" s="22" t="e">
        <f>VLOOKUP($A3636, TAB_CORRECAO_C[[DIAS_CORRIDOS]:[V_FUT_UTEIS]],K$5, FALSE)</f>
        <v>#N/A</v>
      </c>
      <c r="L3636" s="22" t="e">
        <f>VLOOKUP($A3636, TAB_AMORTIZACAO_C[[DIAS_CORRIDOS]:[V_FUT_UTEIS]], L$5, FALSE)</f>
        <v>#N/A</v>
      </c>
    </row>
    <row r="3637" spans="1:12" hidden="1">
      <c r="A3637" s="19">
        <f t="shared" si="289"/>
        <v>3631</v>
      </c>
      <c r="B3637" s="20">
        <f t="shared" si="285"/>
        <v>0</v>
      </c>
      <c r="C3637" s="21">
        <f t="shared" si="286"/>
        <v>0</v>
      </c>
      <c r="D3637" s="22" t="e">
        <f>VLOOKUP($A3637, TAB_JUROS_U[[Q_DIAS_U_PARC_TIR]:[V_FUT_U_JURS CENARIO]], D$5, FALSE)</f>
        <v>#N/A</v>
      </c>
      <c r="E3637" s="22" t="e">
        <f>VLOOKUP($A3637,TAB_CORRECAO_U[[Q_DIAS_U_PARC_TIR]:[V_FUT_U_CORC-02]],E$5, FALSE)</f>
        <v>#N/A</v>
      </c>
      <c r="F3637" s="22" t="e">
        <f>VLOOKUP($A3637,TAB_AMORTIZACAO_U[[Q_DIAS_U_PARC_TIR]:[V_FUT_U_PCPL-02]], F$5, FALSE)</f>
        <v>#N/A</v>
      </c>
      <c r="H3637" s="20">
        <f t="shared" si="287"/>
        <v>0</v>
      </c>
      <c r="I3637" s="21">
        <f t="shared" si="288"/>
        <v>0</v>
      </c>
      <c r="J3637" s="22" t="e">
        <f>VLOOKUP($A3637, TAB_JUROS_C[[DIAS_CORRIDOS]:[V_FUT_UTEIS]], J$5, FALSE)</f>
        <v>#N/A</v>
      </c>
      <c r="K3637" s="22" t="e">
        <f>VLOOKUP($A3637, TAB_CORRECAO_C[[DIAS_CORRIDOS]:[V_FUT_UTEIS]],K$5, FALSE)</f>
        <v>#N/A</v>
      </c>
      <c r="L3637" s="22" t="e">
        <f>VLOOKUP($A3637, TAB_AMORTIZACAO_C[[DIAS_CORRIDOS]:[V_FUT_UTEIS]], L$5, FALSE)</f>
        <v>#N/A</v>
      </c>
    </row>
    <row r="3638" spans="1:12" hidden="1">
      <c r="A3638" s="19">
        <f t="shared" si="289"/>
        <v>3632</v>
      </c>
      <c r="B3638" s="20">
        <f t="shared" si="285"/>
        <v>0</v>
      </c>
      <c r="C3638" s="21">
        <f t="shared" si="286"/>
        <v>0</v>
      </c>
      <c r="D3638" s="22" t="e">
        <f>VLOOKUP($A3638, TAB_JUROS_U[[Q_DIAS_U_PARC_TIR]:[V_FUT_U_JURS CENARIO]], D$5, FALSE)</f>
        <v>#N/A</v>
      </c>
      <c r="E3638" s="22" t="e">
        <f>VLOOKUP($A3638,TAB_CORRECAO_U[[Q_DIAS_U_PARC_TIR]:[V_FUT_U_CORC-02]],E$5, FALSE)</f>
        <v>#N/A</v>
      </c>
      <c r="F3638" s="22" t="e">
        <f>VLOOKUP($A3638,TAB_AMORTIZACAO_U[[Q_DIAS_U_PARC_TIR]:[V_FUT_U_PCPL-02]], F$5, FALSE)</f>
        <v>#N/A</v>
      </c>
      <c r="H3638" s="20">
        <f t="shared" si="287"/>
        <v>0</v>
      </c>
      <c r="I3638" s="21">
        <f t="shared" si="288"/>
        <v>0</v>
      </c>
      <c r="J3638" s="22" t="e">
        <f>VLOOKUP($A3638, TAB_JUROS_C[[DIAS_CORRIDOS]:[V_FUT_UTEIS]], J$5, FALSE)</f>
        <v>#N/A</v>
      </c>
      <c r="K3638" s="22" t="e">
        <f>VLOOKUP($A3638, TAB_CORRECAO_C[[DIAS_CORRIDOS]:[V_FUT_UTEIS]],K$5, FALSE)</f>
        <v>#N/A</v>
      </c>
      <c r="L3638" s="22" t="e">
        <f>VLOOKUP($A3638, TAB_AMORTIZACAO_C[[DIAS_CORRIDOS]:[V_FUT_UTEIS]], L$5, FALSE)</f>
        <v>#N/A</v>
      </c>
    </row>
    <row r="3639" spans="1:12" hidden="1">
      <c r="A3639" s="19">
        <f t="shared" si="289"/>
        <v>3633</v>
      </c>
      <c r="B3639" s="20">
        <f t="shared" si="285"/>
        <v>0</v>
      </c>
      <c r="C3639" s="21">
        <f t="shared" si="286"/>
        <v>0</v>
      </c>
      <c r="D3639" s="22" t="e">
        <f>VLOOKUP($A3639, TAB_JUROS_U[[Q_DIAS_U_PARC_TIR]:[V_FUT_U_JURS CENARIO]], D$5, FALSE)</f>
        <v>#N/A</v>
      </c>
      <c r="E3639" s="22" t="e">
        <f>VLOOKUP($A3639,TAB_CORRECAO_U[[Q_DIAS_U_PARC_TIR]:[V_FUT_U_CORC-02]],E$5, FALSE)</f>
        <v>#N/A</v>
      </c>
      <c r="F3639" s="22" t="e">
        <f>VLOOKUP($A3639,TAB_AMORTIZACAO_U[[Q_DIAS_U_PARC_TIR]:[V_FUT_U_PCPL-02]], F$5, FALSE)</f>
        <v>#N/A</v>
      </c>
      <c r="H3639" s="20">
        <f t="shared" si="287"/>
        <v>158.90650710479167</v>
      </c>
      <c r="I3639" s="21">
        <f t="shared" si="288"/>
        <v>158.90650710479167</v>
      </c>
      <c r="J3639" s="22">
        <f>VLOOKUP($A3639, TAB_JUROS_C[[DIAS_CORRIDOS]:[V_FUT_UTEIS]], J$5, FALSE)</f>
        <v>5.8341172477562013</v>
      </c>
      <c r="K3639" s="22">
        <f>VLOOKUP($A3639, TAB_CORRECAO_C[[DIAS_CORRIDOS]:[V_FUT_UTEIS]],K$5, FALSE)</f>
        <v>34.734221762532655</v>
      </c>
      <c r="L3639" s="22">
        <f>VLOOKUP($A3639, TAB_AMORTIZACAO_C[[DIAS_CORRIDOS]:[V_FUT_UTEIS]], L$5, FALSE)</f>
        <v>118.33816809450282</v>
      </c>
    </row>
    <row r="3640" spans="1:12" hidden="1">
      <c r="A3640" s="19">
        <f t="shared" si="289"/>
        <v>3634</v>
      </c>
      <c r="B3640" s="20">
        <f t="shared" si="285"/>
        <v>0</v>
      </c>
      <c r="C3640" s="21">
        <f t="shared" si="286"/>
        <v>0</v>
      </c>
      <c r="D3640" s="22" t="e">
        <f>VLOOKUP($A3640, TAB_JUROS_U[[Q_DIAS_U_PARC_TIR]:[V_FUT_U_JURS CENARIO]], D$5, FALSE)</f>
        <v>#N/A</v>
      </c>
      <c r="E3640" s="22" t="e">
        <f>VLOOKUP($A3640,TAB_CORRECAO_U[[Q_DIAS_U_PARC_TIR]:[V_FUT_U_CORC-02]],E$5, FALSE)</f>
        <v>#N/A</v>
      </c>
      <c r="F3640" s="22" t="e">
        <f>VLOOKUP($A3640,TAB_AMORTIZACAO_U[[Q_DIAS_U_PARC_TIR]:[V_FUT_U_PCPL-02]], F$5, FALSE)</f>
        <v>#N/A</v>
      </c>
      <c r="H3640" s="20">
        <f t="shared" si="287"/>
        <v>0</v>
      </c>
      <c r="I3640" s="21">
        <f t="shared" si="288"/>
        <v>0</v>
      </c>
      <c r="J3640" s="22" t="e">
        <f>VLOOKUP($A3640, TAB_JUROS_C[[DIAS_CORRIDOS]:[V_FUT_UTEIS]], J$5, FALSE)</f>
        <v>#N/A</v>
      </c>
      <c r="K3640" s="22" t="e">
        <f>VLOOKUP($A3640, TAB_CORRECAO_C[[DIAS_CORRIDOS]:[V_FUT_UTEIS]],K$5, FALSE)</f>
        <v>#N/A</v>
      </c>
      <c r="L3640" s="22" t="e">
        <f>VLOOKUP($A3640, TAB_AMORTIZACAO_C[[DIAS_CORRIDOS]:[V_FUT_UTEIS]], L$5, FALSE)</f>
        <v>#N/A</v>
      </c>
    </row>
    <row r="3641" spans="1:12" hidden="1">
      <c r="A3641" s="19">
        <f t="shared" si="289"/>
        <v>3635</v>
      </c>
      <c r="B3641" s="20">
        <f t="shared" si="285"/>
        <v>0</v>
      </c>
      <c r="C3641" s="21">
        <f t="shared" si="286"/>
        <v>0</v>
      </c>
      <c r="D3641" s="22" t="e">
        <f>VLOOKUP($A3641, TAB_JUROS_U[[Q_DIAS_U_PARC_TIR]:[V_FUT_U_JURS CENARIO]], D$5, FALSE)</f>
        <v>#N/A</v>
      </c>
      <c r="E3641" s="22" t="e">
        <f>VLOOKUP($A3641,TAB_CORRECAO_U[[Q_DIAS_U_PARC_TIR]:[V_FUT_U_CORC-02]],E$5, FALSE)</f>
        <v>#N/A</v>
      </c>
      <c r="F3641" s="22" t="e">
        <f>VLOOKUP($A3641,TAB_AMORTIZACAO_U[[Q_DIAS_U_PARC_TIR]:[V_FUT_U_PCPL-02]], F$5, FALSE)</f>
        <v>#N/A</v>
      </c>
      <c r="H3641" s="20">
        <f t="shared" si="287"/>
        <v>0</v>
      </c>
      <c r="I3641" s="21">
        <f t="shared" si="288"/>
        <v>0</v>
      </c>
      <c r="J3641" s="22" t="e">
        <f>VLOOKUP($A3641, TAB_JUROS_C[[DIAS_CORRIDOS]:[V_FUT_UTEIS]], J$5, FALSE)</f>
        <v>#N/A</v>
      </c>
      <c r="K3641" s="22" t="e">
        <f>VLOOKUP($A3641, TAB_CORRECAO_C[[DIAS_CORRIDOS]:[V_FUT_UTEIS]],K$5, FALSE)</f>
        <v>#N/A</v>
      </c>
      <c r="L3641" s="22" t="e">
        <f>VLOOKUP($A3641, TAB_AMORTIZACAO_C[[DIAS_CORRIDOS]:[V_FUT_UTEIS]], L$5, FALSE)</f>
        <v>#N/A</v>
      </c>
    </row>
    <row r="3642" spans="1:12" hidden="1">
      <c r="A3642" s="19">
        <f t="shared" si="289"/>
        <v>3636</v>
      </c>
      <c r="B3642" s="20">
        <f t="shared" si="285"/>
        <v>0</v>
      </c>
      <c r="C3642" s="21">
        <f t="shared" si="286"/>
        <v>0</v>
      </c>
      <c r="D3642" s="22" t="e">
        <f>VLOOKUP($A3642, TAB_JUROS_U[[Q_DIAS_U_PARC_TIR]:[V_FUT_U_JURS CENARIO]], D$5, FALSE)</f>
        <v>#N/A</v>
      </c>
      <c r="E3642" s="22" t="e">
        <f>VLOOKUP($A3642,TAB_CORRECAO_U[[Q_DIAS_U_PARC_TIR]:[V_FUT_U_CORC-02]],E$5, FALSE)</f>
        <v>#N/A</v>
      </c>
      <c r="F3642" s="22" t="e">
        <f>VLOOKUP($A3642,TAB_AMORTIZACAO_U[[Q_DIAS_U_PARC_TIR]:[V_FUT_U_PCPL-02]], F$5, FALSE)</f>
        <v>#N/A</v>
      </c>
      <c r="H3642" s="20">
        <f t="shared" si="287"/>
        <v>0</v>
      </c>
      <c r="I3642" s="21">
        <f t="shared" si="288"/>
        <v>0</v>
      </c>
      <c r="J3642" s="22" t="e">
        <f>VLOOKUP($A3642, TAB_JUROS_C[[DIAS_CORRIDOS]:[V_FUT_UTEIS]], J$5, FALSE)</f>
        <v>#N/A</v>
      </c>
      <c r="K3642" s="22" t="e">
        <f>VLOOKUP($A3642, TAB_CORRECAO_C[[DIAS_CORRIDOS]:[V_FUT_UTEIS]],K$5, FALSE)</f>
        <v>#N/A</v>
      </c>
      <c r="L3642" s="22" t="e">
        <f>VLOOKUP($A3642, TAB_AMORTIZACAO_C[[DIAS_CORRIDOS]:[V_FUT_UTEIS]], L$5, FALSE)</f>
        <v>#N/A</v>
      </c>
    </row>
    <row r="3643" spans="1:12" hidden="1">
      <c r="A3643" s="19">
        <f t="shared" si="289"/>
        <v>3637</v>
      </c>
      <c r="B3643" s="20">
        <f t="shared" si="285"/>
        <v>0</v>
      </c>
      <c r="C3643" s="21">
        <f t="shared" si="286"/>
        <v>0</v>
      </c>
      <c r="D3643" s="22" t="e">
        <f>VLOOKUP($A3643, TAB_JUROS_U[[Q_DIAS_U_PARC_TIR]:[V_FUT_U_JURS CENARIO]], D$5, FALSE)</f>
        <v>#N/A</v>
      </c>
      <c r="E3643" s="22" t="e">
        <f>VLOOKUP($A3643,TAB_CORRECAO_U[[Q_DIAS_U_PARC_TIR]:[V_FUT_U_CORC-02]],E$5, FALSE)</f>
        <v>#N/A</v>
      </c>
      <c r="F3643" s="22" t="e">
        <f>VLOOKUP($A3643,TAB_AMORTIZACAO_U[[Q_DIAS_U_PARC_TIR]:[V_FUT_U_PCPL-02]], F$5, FALSE)</f>
        <v>#N/A</v>
      </c>
      <c r="H3643" s="20">
        <f t="shared" si="287"/>
        <v>0</v>
      </c>
      <c r="I3643" s="21">
        <f t="shared" si="288"/>
        <v>0</v>
      </c>
      <c r="J3643" s="22" t="e">
        <f>VLOOKUP($A3643, TAB_JUROS_C[[DIAS_CORRIDOS]:[V_FUT_UTEIS]], J$5, FALSE)</f>
        <v>#N/A</v>
      </c>
      <c r="K3643" s="22" t="e">
        <f>VLOOKUP($A3643, TAB_CORRECAO_C[[DIAS_CORRIDOS]:[V_FUT_UTEIS]],K$5, FALSE)</f>
        <v>#N/A</v>
      </c>
      <c r="L3643" s="22" t="e">
        <f>VLOOKUP($A3643, TAB_AMORTIZACAO_C[[DIAS_CORRIDOS]:[V_FUT_UTEIS]], L$5, FALSE)</f>
        <v>#N/A</v>
      </c>
    </row>
    <row r="3644" spans="1:12" hidden="1">
      <c r="A3644" s="19">
        <f t="shared" si="289"/>
        <v>3638</v>
      </c>
      <c r="B3644" s="20">
        <f t="shared" si="285"/>
        <v>0</v>
      </c>
      <c r="C3644" s="21">
        <f t="shared" si="286"/>
        <v>0</v>
      </c>
      <c r="D3644" s="22" t="e">
        <f>VLOOKUP($A3644, TAB_JUROS_U[[Q_DIAS_U_PARC_TIR]:[V_FUT_U_JURS CENARIO]], D$5, FALSE)</f>
        <v>#N/A</v>
      </c>
      <c r="E3644" s="22" t="e">
        <f>VLOOKUP($A3644,TAB_CORRECAO_U[[Q_DIAS_U_PARC_TIR]:[V_FUT_U_CORC-02]],E$5, FALSE)</f>
        <v>#N/A</v>
      </c>
      <c r="F3644" s="22" t="e">
        <f>VLOOKUP($A3644,TAB_AMORTIZACAO_U[[Q_DIAS_U_PARC_TIR]:[V_FUT_U_PCPL-02]], F$5, FALSE)</f>
        <v>#N/A</v>
      </c>
      <c r="H3644" s="20">
        <f t="shared" si="287"/>
        <v>0</v>
      </c>
      <c r="I3644" s="21">
        <f t="shared" si="288"/>
        <v>0</v>
      </c>
      <c r="J3644" s="22" t="e">
        <f>VLOOKUP($A3644, TAB_JUROS_C[[DIAS_CORRIDOS]:[V_FUT_UTEIS]], J$5, FALSE)</f>
        <v>#N/A</v>
      </c>
      <c r="K3644" s="22" t="e">
        <f>VLOOKUP($A3644, TAB_CORRECAO_C[[DIAS_CORRIDOS]:[V_FUT_UTEIS]],K$5, FALSE)</f>
        <v>#N/A</v>
      </c>
      <c r="L3644" s="22" t="e">
        <f>VLOOKUP($A3644, TAB_AMORTIZACAO_C[[DIAS_CORRIDOS]:[V_FUT_UTEIS]], L$5, FALSE)</f>
        <v>#N/A</v>
      </c>
    </row>
    <row r="3645" spans="1:12" hidden="1">
      <c r="A3645" s="19">
        <f t="shared" si="289"/>
        <v>3639</v>
      </c>
      <c r="B3645" s="20">
        <f t="shared" si="285"/>
        <v>0</v>
      </c>
      <c r="C3645" s="21">
        <f t="shared" si="286"/>
        <v>0</v>
      </c>
      <c r="D3645" s="22" t="e">
        <f>VLOOKUP($A3645, TAB_JUROS_U[[Q_DIAS_U_PARC_TIR]:[V_FUT_U_JURS CENARIO]], D$5, FALSE)</f>
        <v>#N/A</v>
      </c>
      <c r="E3645" s="22" t="e">
        <f>VLOOKUP($A3645,TAB_CORRECAO_U[[Q_DIAS_U_PARC_TIR]:[V_FUT_U_CORC-02]],E$5, FALSE)</f>
        <v>#N/A</v>
      </c>
      <c r="F3645" s="22" t="e">
        <f>VLOOKUP($A3645,TAB_AMORTIZACAO_U[[Q_DIAS_U_PARC_TIR]:[V_FUT_U_PCPL-02]], F$5, FALSE)</f>
        <v>#N/A</v>
      </c>
      <c r="H3645" s="20">
        <f t="shared" si="287"/>
        <v>0</v>
      </c>
      <c r="I3645" s="21">
        <f t="shared" si="288"/>
        <v>0</v>
      </c>
      <c r="J3645" s="22" t="e">
        <f>VLOOKUP($A3645, TAB_JUROS_C[[DIAS_CORRIDOS]:[V_FUT_UTEIS]], J$5, FALSE)</f>
        <v>#N/A</v>
      </c>
      <c r="K3645" s="22" t="e">
        <f>VLOOKUP($A3645, TAB_CORRECAO_C[[DIAS_CORRIDOS]:[V_FUT_UTEIS]],K$5, FALSE)</f>
        <v>#N/A</v>
      </c>
      <c r="L3645" s="22" t="e">
        <f>VLOOKUP($A3645, TAB_AMORTIZACAO_C[[DIAS_CORRIDOS]:[V_FUT_UTEIS]], L$5, FALSE)</f>
        <v>#N/A</v>
      </c>
    </row>
    <row r="3646" spans="1:12" hidden="1">
      <c r="A3646" s="19">
        <f t="shared" si="289"/>
        <v>3640</v>
      </c>
      <c r="B3646" s="20">
        <f t="shared" si="285"/>
        <v>0</v>
      </c>
      <c r="C3646" s="21">
        <f t="shared" si="286"/>
        <v>0</v>
      </c>
      <c r="D3646" s="22" t="e">
        <f>VLOOKUP($A3646, TAB_JUROS_U[[Q_DIAS_U_PARC_TIR]:[V_FUT_U_JURS CENARIO]], D$5, FALSE)</f>
        <v>#N/A</v>
      </c>
      <c r="E3646" s="22" t="e">
        <f>VLOOKUP($A3646,TAB_CORRECAO_U[[Q_DIAS_U_PARC_TIR]:[V_FUT_U_CORC-02]],E$5, FALSE)</f>
        <v>#N/A</v>
      </c>
      <c r="F3646" s="22" t="e">
        <f>VLOOKUP($A3646,TAB_AMORTIZACAO_U[[Q_DIAS_U_PARC_TIR]:[V_FUT_U_PCPL-02]], F$5, FALSE)</f>
        <v>#N/A</v>
      </c>
      <c r="H3646" s="20">
        <f t="shared" si="287"/>
        <v>0</v>
      </c>
      <c r="I3646" s="21">
        <f t="shared" si="288"/>
        <v>0</v>
      </c>
      <c r="J3646" s="22" t="e">
        <f>VLOOKUP($A3646, TAB_JUROS_C[[DIAS_CORRIDOS]:[V_FUT_UTEIS]], J$5, FALSE)</f>
        <v>#N/A</v>
      </c>
      <c r="K3646" s="22" t="e">
        <f>VLOOKUP($A3646, TAB_CORRECAO_C[[DIAS_CORRIDOS]:[V_FUT_UTEIS]],K$5, FALSE)</f>
        <v>#N/A</v>
      </c>
      <c r="L3646" s="22" t="e">
        <f>VLOOKUP($A3646, TAB_AMORTIZACAO_C[[DIAS_CORRIDOS]:[V_FUT_UTEIS]], L$5, FALSE)</f>
        <v>#N/A</v>
      </c>
    </row>
    <row r="3647" spans="1:12" hidden="1">
      <c r="A3647" s="19">
        <f t="shared" si="289"/>
        <v>3641</v>
      </c>
      <c r="B3647" s="20">
        <f t="shared" si="285"/>
        <v>0</v>
      </c>
      <c r="C3647" s="21">
        <f t="shared" si="286"/>
        <v>0</v>
      </c>
      <c r="D3647" s="22" t="e">
        <f>VLOOKUP($A3647, TAB_JUROS_U[[Q_DIAS_U_PARC_TIR]:[V_FUT_U_JURS CENARIO]], D$5, FALSE)</f>
        <v>#N/A</v>
      </c>
      <c r="E3647" s="22" t="e">
        <f>VLOOKUP($A3647,TAB_CORRECAO_U[[Q_DIAS_U_PARC_TIR]:[V_FUT_U_CORC-02]],E$5, FALSE)</f>
        <v>#N/A</v>
      </c>
      <c r="F3647" s="22" t="e">
        <f>VLOOKUP($A3647,TAB_AMORTIZACAO_U[[Q_DIAS_U_PARC_TIR]:[V_FUT_U_PCPL-02]], F$5, FALSE)</f>
        <v>#N/A</v>
      </c>
      <c r="H3647" s="20">
        <f t="shared" si="287"/>
        <v>0</v>
      </c>
      <c r="I3647" s="21">
        <f t="shared" si="288"/>
        <v>0</v>
      </c>
      <c r="J3647" s="22" t="e">
        <f>VLOOKUP($A3647, TAB_JUROS_C[[DIAS_CORRIDOS]:[V_FUT_UTEIS]], J$5, FALSE)</f>
        <v>#N/A</v>
      </c>
      <c r="K3647" s="22" t="e">
        <f>VLOOKUP($A3647, TAB_CORRECAO_C[[DIAS_CORRIDOS]:[V_FUT_UTEIS]],K$5, FALSE)</f>
        <v>#N/A</v>
      </c>
      <c r="L3647" s="22" t="e">
        <f>VLOOKUP($A3647, TAB_AMORTIZACAO_C[[DIAS_CORRIDOS]:[V_FUT_UTEIS]], L$5, FALSE)</f>
        <v>#N/A</v>
      </c>
    </row>
    <row r="3648" spans="1:12" hidden="1">
      <c r="A3648" s="19">
        <f t="shared" si="289"/>
        <v>3642</v>
      </c>
      <c r="B3648" s="20">
        <f t="shared" si="285"/>
        <v>0</v>
      </c>
      <c r="C3648" s="21">
        <f t="shared" si="286"/>
        <v>0</v>
      </c>
      <c r="D3648" s="22" t="e">
        <f>VLOOKUP($A3648, TAB_JUROS_U[[Q_DIAS_U_PARC_TIR]:[V_FUT_U_JURS CENARIO]], D$5, FALSE)</f>
        <v>#N/A</v>
      </c>
      <c r="E3648" s="22" t="e">
        <f>VLOOKUP($A3648,TAB_CORRECAO_U[[Q_DIAS_U_PARC_TIR]:[V_FUT_U_CORC-02]],E$5, FALSE)</f>
        <v>#N/A</v>
      </c>
      <c r="F3648" s="22" t="e">
        <f>VLOOKUP($A3648,TAB_AMORTIZACAO_U[[Q_DIAS_U_PARC_TIR]:[V_FUT_U_PCPL-02]], F$5, FALSE)</f>
        <v>#N/A</v>
      </c>
      <c r="H3648" s="20">
        <f t="shared" si="287"/>
        <v>0</v>
      </c>
      <c r="I3648" s="21">
        <f t="shared" si="288"/>
        <v>0</v>
      </c>
      <c r="J3648" s="22" t="e">
        <f>VLOOKUP($A3648, TAB_JUROS_C[[DIAS_CORRIDOS]:[V_FUT_UTEIS]], J$5, FALSE)</f>
        <v>#N/A</v>
      </c>
      <c r="K3648" s="22" t="e">
        <f>VLOOKUP($A3648, TAB_CORRECAO_C[[DIAS_CORRIDOS]:[V_FUT_UTEIS]],K$5, FALSE)</f>
        <v>#N/A</v>
      </c>
      <c r="L3648" s="22" t="e">
        <f>VLOOKUP($A3648, TAB_AMORTIZACAO_C[[DIAS_CORRIDOS]:[V_FUT_UTEIS]], L$5, FALSE)</f>
        <v>#N/A</v>
      </c>
    </row>
    <row r="3649" spans="1:12" hidden="1">
      <c r="A3649" s="19">
        <f t="shared" si="289"/>
        <v>3643</v>
      </c>
      <c r="B3649" s="20">
        <f t="shared" si="285"/>
        <v>0</v>
      </c>
      <c r="C3649" s="21">
        <f t="shared" si="286"/>
        <v>0</v>
      </c>
      <c r="D3649" s="22" t="e">
        <f>VLOOKUP($A3649, TAB_JUROS_U[[Q_DIAS_U_PARC_TIR]:[V_FUT_U_JURS CENARIO]], D$5, FALSE)</f>
        <v>#N/A</v>
      </c>
      <c r="E3649" s="22" t="e">
        <f>VLOOKUP($A3649,TAB_CORRECAO_U[[Q_DIAS_U_PARC_TIR]:[V_FUT_U_CORC-02]],E$5, FALSE)</f>
        <v>#N/A</v>
      </c>
      <c r="F3649" s="22" t="e">
        <f>VLOOKUP($A3649,TAB_AMORTIZACAO_U[[Q_DIAS_U_PARC_TIR]:[V_FUT_U_PCPL-02]], F$5, FALSE)</f>
        <v>#N/A</v>
      </c>
      <c r="H3649" s="20">
        <f t="shared" si="287"/>
        <v>0</v>
      </c>
      <c r="I3649" s="21">
        <f t="shared" si="288"/>
        <v>0</v>
      </c>
      <c r="J3649" s="22" t="e">
        <f>VLOOKUP($A3649, TAB_JUROS_C[[DIAS_CORRIDOS]:[V_FUT_UTEIS]], J$5, FALSE)</f>
        <v>#N/A</v>
      </c>
      <c r="K3649" s="22" t="e">
        <f>VLOOKUP($A3649, TAB_CORRECAO_C[[DIAS_CORRIDOS]:[V_FUT_UTEIS]],K$5, FALSE)</f>
        <v>#N/A</v>
      </c>
      <c r="L3649" s="22" t="e">
        <f>VLOOKUP($A3649, TAB_AMORTIZACAO_C[[DIAS_CORRIDOS]:[V_FUT_UTEIS]], L$5, FALSE)</f>
        <v>#N/A</v>
      </c>
    </row>
    <row r="3650" spans="1:12" hidden="1">
      <c r="A3650" s="19">
        <f t="shared" si="289"/>
        <v>3644</v>
      </c>
      <c r="B3650" s="20">
        <f t="shared" si="285"/>
        <v>0</v>
      </c>
      <c r="C3650" s="21">
        <f t="shared" si="286"/>
        <v>0</v>
      </c>
      <c r="D3650" s="22" t="e">
        <f>VLOOKUP($A3650, TAB_JUROS_U[[Q_DIAS_U_PARC_TIR]:[V_FUT_U_JURS CENARIO]], D$5, FALSE)</f>
        <v>#N/A</v>
      </c>
      <c r="E3650" s="22" t="e">
        <f>VLOOKUP($A3650,TAB_CORRECAO_U[[Q_DIAS_U_PARC_TIR]:[V_FUT_U_CORC-02]],E$5, FALSE)</f>
        <v>#N/A</v>
      </c>
      <c r="F3650" s="22" t="e">
        <f>VLOOKUP($A3650,TAB_AMORTIZACAO_U[[Q_DIAS_U_PARC_TIR]:[V_FUT_U_PCPL-02]], F$5, FALSE)</f>
        <v>#N/A</v>
      </c>
      <c r="H3650" s="20">
        <f t="shared" si="287"/>
        <v>0</v>
      </c>
      <c r="I3650" s="21">
        <f t="shared" si="288"/>
        <v>0</v>
      </c>
      <c r="J3650" s="22" t="e">
        <f>VLOOKUP($A3650, TAB_JUROS_C[[DIAS_CORRIDOS]:[V_FUT_UTEIS]], J$5, FALSE)</f>
        <v>#N/A</v>
      </c>
      <c r="K3650" s="22" t="e">
        <f>VLOOKUP($A3650, TAB_CORRECAO_C[[DIAS_CORRIDOS]:[V_FUT_UTEIS]],K$5, FALSE)</f>
        <v>#N/A</v>
      </c>
      <c r="L3650" s="22" t="e">
        <f>VLOOKUP($A3650, TAB_AMORTIZACAO_C[[DIAS_CORRIDOS]:[V_FUT_UTEIS]], L$5, FALSE)</f>
        <v>#N/A</v>
      </c>
    </row>
    <row r="3651" spans="1:12" hidden="1">
      <c r="A3651" s="19">
        <f t="shared" si="289"/>
        <v>3645</v>
      </c>
      <c r="B3651" s="20">
        <f t="shared" si="285"/>
        <v>0</v>
      </c>
      <c r="C3651" s="21">
        <f t="shared" si="286"/>
        <v>0</v>
      </c>
      <c r="D3651" s="22" t="e">
        <f>VLOOKUP($A3651, TAB_JUROS_U[[Q_DIAS_U_PARC_TIR]:[V_FUT_U_JURS CENARIO]], D$5, FALSE)</f>
        <v>#N/A</v>
      </c>
      <c r="E3651" s="22" t="e">
        <f>VLOOKUP($A3651,TAB_CORRECAO_U[[Q_DIAS_U_PARC_TIR]:[V_FUT_U_CORC-02]],E$5, FALSE)</f>
        <v>#N/A</v>
      </c>
      <c r="F3651" s="22" t="e">
        <f>VLOOKUP($A3651,TAB_AMORTIZACAO_U[[Q_DIAS_U_PARC_TIR]:[V_FUT_U_PCPL-02]], F$5, FALSE)</f>
        <v>#N/A</v>
      </c>
      <c r="H3651" s="20">
        <f t="shared" si="287"/>
        <v>0</v>
      </c>
      <c r="I3651" s="21">
        <f t="shared" si="288"/>
        <v>0</v>
      </c>
      <c r="J3651" s="22" t="e">
        <f>VLOOKUP($A3651, TAB_JUROS_C[[DIAS_CORRIDOS]:[V_FUT_UTEIS]], J$5, FALSE)</f>
        <v>#N/A</v>
      </c>
      <c r="K3651" s="22" t="e">
        <f>VLOOKUP($A3651, TAB_CORRECAO_C[[DIAS_CORRIDOS]:[V_FUT_UTEIS]],K$5, FALSE)</f>
        <v>#N/A</v>
      </c>
      <c r="L3651" s="22" t="e">
        <f>VLOOKUP($A3651, TAB_AMORTIZACAO_C[[DIAS_CORRIDOS]:[V_FUT_UTEIS]], L$5, FALSE)</f>
        <v>#N/A</v>
      </c>
    </row>
    <row r="3652" spans="1:12" hidden="1">
      <c r="A3652" s="19">
        <f t="shared" si="289"/>
        <v>3646</v>
      </c>
      <c r="B3652" s="20">
        <f t="shared" si="285"/>
        <v>0</v>
      </c>
      <c r="C3652" s="21">
        <f t="shared" si="286"/>
        <v>0</v>
      </c>
      <c r="D3652" s="22" t="e">
        <f>VLOOKUP($A3652, TAB_JUROS_U[[Q_DIAS_U_PARC_TIR]:[V_FUT_U_JURS CENARIO]], D$5, FALSE)</f>
        <v>#N/A</v>
      </c>
      <c r="E3652" s="22" t="e">
        <f>VLOOKUP($A3652,TAB_CORRECAO_U[[Q_DIAS_U_PARC_TIR]:[V_FUT_U_CORC-02]],E$5, FALSE)</f>
        <v>#N/A</v>
      </c>
      <c r="F3652" s="22" t="e">
        <f>VLOOKUP($A3652,TAB_AMORTIZACAO_U[[Q_DIAS_U_PARC_TIR]:[V_FUT_U_PCPL-02]], F$5, FALSE)</f>
        <v>#N/A</v>
      </c>
      <c r="H3652" s="20">
        <f t="shared" si="287"/>
        <v>0</v>
      </c>
      <c r="I3652" s="21">
        <f t="shared" si="288"/>
        <v>0</v>
      </c>
      <c r="J3652" s="22" t="e">
        <f>VLOOKUP($A3652, TAB_JUROS_C[[DIAS_CORRIDOS]:[V_FUT_UTEIS]], J$5, FALSE)</f>
        <v>#N/A</v>
      </c>
      <c r="K3652" s="22" t="e">
        <f>VLOOKUP($A3652, TAB_CORRECAO_C[[DIAS_CORRIDOS]:[V_FUT_UTEIS]],K$5, FALSE)</f>
        <v>#N/A</v>
      </c>
      <c r="L3652" s="22" t="e">
        <f>VLOOKUP($A3652, TAB_AMORTIZACAO_C[[DIAS_CORRIDOS]:[V_FUT_UTEIS]], L$5, FALSE)</f>
        <v>#N/A</v>
      </c>
    </row>
    <row r="3653" spans="1:12" hidden="1">
      <c r="A3653" s="19">
        <f t="shared" si="289"/>
        <v>3647</v>
      </c>
      <c r="B3653" s="20">
        <f t="shared" si="285"/>
        <v>0</v>
      </c>
      <c r="C3653" s="21">
        <f t="shared" si="286"/>
        <v>0</v>
      </c>
      <c r="D3653" s="22" t="e">
        <f>VLOOKUP($A3653, TAB_JUROS_U[[Q_DIAS_U_PARC_TIR]:[V_FUT_U_JURS CENARIO]], D$5, FALSE)</f>
        <v>#N/A</v>
      </c>
      <c r="E3653" s="22" t="e">
        <f>VLOOKUP($A3653,TAB_CORRECAO_U[[Q_DIAS_U_PARC_TIR]:[V_FUT_U_CORC-02]],E$5, FALSE)</f>
        <v>#N/A</v>
      </c>
      <c r="F3653" s="22" t="e">
        <f>VLOOKUP($A3653,TAB_AMORTIZACAO_U[[Q_DIAS_U_PARC_TIR]:[V_FUT_U_PCPL-02]], F$5, FALSE)</f>
        <v>#N/A</v>
      </c>
      <c r="H3653" s="20">
        <f t="shared" si="287"/>
        <v>0</v>
      </c>
      <c r="I3653" s="21">
        <f t="shared" si="288"/>
        <v>0</v>
      </c>
      <c r="J3653" s="22" t="e">
        <f>VLOOKUP($A3653, TAB_JUROS_C[[DIAS_CORRIDOS]:[V_FUT_UTEIS]], J$5, FALSE)</f>
        <v>#N/A</v>
      </c>
      <c r="K3653" s="22" t="e">
        <f>VLOOKUP($A3653, TAB_CORRECAO_C[[DIAS_CORRIDOS]:[V_FUT_UTEIS]],K$5, FALSE)</f>
        <v>#N/A</v>
      </c>
      <c r="L3653" s="22" t="e">
        <f>VLOOKUP($A3653, TAB_AMORTIZACAO_C[[DIAS_CORRIDOS]:[V_FUT_UTEIS]], L$5, FALSE)</f>
        <v>#N/A</v>
      </c>
    </row>
    <row r="3654" spans="1:12" hidden="1">
      <c r="A3654" s="19">
        <f t="shared" si="289"/>
        <v>3648</v>
      </c>
      <c r="B3654" s="20">
        <f t="shared" si="285"/>
        <v>0</v>
      </c>
      <c r="C3654" s="21">
        <f t="shared" si="286"/>
        <v>0</v>
      </c>
      <c r="D3654" s="22" t="e">
        <f>VLOOKUP($A3654, TAB_JUROS_U[[Q_DIAS_U_PARC_TIR]:[V_FUT_U_JURS CENARIO]], D$5, FALSE)</f>
        <v>#N/A</v>
      </c>
      <c r="E3654" s="22" t="e">
        <f>VLOOKUP($A3654,TAB_CORRECAO_U[[Q_DIAS_U_PARC_TIR]:[V_FUT_U_CORC-02]],E$5, FALSE)</f>
        <v>#N/A</v>
      </c>
      <c r="F3654" s="22" t="e">
        <f>VLOOKUP($A3654,TAB_AMORTIZACAO_U[[Q_DIAS_U_PARC_TIR]:[V_FUT_U_PCPL-02]], F$5, FALSE)</f>
        <v>#N/A</v>
      </c>
      <c r="H3654" s="20">
        <f t="shared" si="287"/>
        <v>0</v>
      </c>
      <c r="I3654" s="21">
        <f t="shared" si="288"/>
        <v>0</v>
      </c>
      <c r="J3654" s="22" t="e">
        <f>VLOOKUP($A3654, TAB_JUROS_C[[DIAS_CORRIDOS]:[V_FUT_UTEIS]], J$5, FALSE)</f>
        <v>#N/A</v>
      </c>
      <c r="K3654" s="22" t="e">
        <f>VLOOKUP($A3654, TAB_CORRECAO_C[[DIAS_CORRIDOS]:[V_FUT_UTEIS]],K$5, FALSE)</f>
        <v>#N/A</v>
      </c>
      <c r="L3654" s="22" t="e">
        <f>VLOOKUP($A3654, TAB_AMORTIZACAO_C[[DIAS_CORRIDOS]:[V_FUT_UTEIS]], L$5, FALSE)</f>
        <v>#N/A</v>
      </c>
    </row>
    <row r="3655" spans="1:12" hidden="1">
      <c r="A3655" s="19">
        <f t="shared" si="289"/>
        <v>3649</v>
      </c>
      <c r="B3655" s="20">
        <f t="shared" si="285"/>
        <v>0</v>
      </c>
      <c r="C3655" s="21">
        <f t="shared" si="286"/>
        <v>0</v>
      </c>
      <c r="D3655" s="22" t="e">
        <f>VLOOKUP($A3655, TAB_JUROS_U[[Q_DIAS_U_PARC_TIR]:[V_FUT_U_JURS CENARIO]], D$5, FALSE)</f>
        <v>#N/A</v>
      </c>
      <c r="E3655" s="22" t="e">
        <f>VLOOKUP($A3655,TAB_CORRECAO_U[[Q_DIAS_U_PARC_TIR]:[V_FUT_U_CORC-02]],E$5, FALSE)</f>
        <v>#N/A</v>
      </c>
      <c r="F3655" s="22" t="e">
        <f>VLOOKUP($A3655,TAB_AMORTIZACAO_U[[Q_DIAS_U_PARC_TIR]:[V_FUT_U_PCPL-02]], F$5, FALSE)</f>
        <v>#N/A</v>
      </c>
      <c r="H3655" s="20">
        <f t="shared" si="287"/>
        <v>0</v>
      </c>
      <c r="I3655" s="21">
        <f t="shared" si="288"/>
        <v>0</v>
      </c>
      <c r="J3655" s="22" t="e">
        <f>VLOOKUP($A3655, TAB_JUROS_C[[DIAS_CORRIDOS]:[V_FUT_UTEIS]], J$5, FALSE)</f>
        <v>#N/A</v>
      </c>
      <c r="K3655" s="22" t="e">
        <f>VLOOKUP($A3655, TAB_CORRECAO_C[[DIAS_CORRIDOS]:[V_FUT_UTEIS]],K$5, FALSE)</f>
        <v>#N/A</v>
      </c>
      <c r="L3655" s="22" t="e">
        <f>VLOOKUP($A3655, TAB_AMORTIZACAO_C[[DIAS_CORRIDOS]:[V_FUT_UTEIS]], L$5, FALSE)</f>
        <v>#N/A</v>
      </c>
    </row>
    <row r="3656" spans="1:12" hidden="1">
      <c r="A3656" s="19">
        <f t="shared" si="289"/>
        <v>3650</v>
      </c>
      <c r="B3656" s="20">
        <f t="shared" si="285"/>
        <v>0</v>
      </c>
      <c r="C3656" s="21">
        <f t="shared" si="286"/>
        <v>0</v>
      </c>
      <c r="D3656" s="22" t="e">
        <f>VLOOKUP($A3656, TAB_JUROS_U[[Q_DIAS_U_PARC_TIR]:[V_FUT_U_JURS CENARIO]], D$5, FALSE)</f>
        <v>#N/A</v>
      </c>
      <c r="E3656" s="22" t="e">
        <f>VLOOKUP($A3656,TAB_CORRECAO_U[[Q_DIAS_U_PARC_TIR]:[V_FUT_U_CORC-02]],E$5, FALSE)</f>
        <v>#N/A</v>
      </c>
      <c r="F3656" s="22" t="e">
        <f>VLOOKUP($A3656,TAB_AMORTIZACAO_U[[Q_DIAS_U_PARC_TIR]:[V_FUT_U_PCPL-02]], F$5, FALSE)</f>
        <v>#N/A</v>
      </c>
      <c r="H3656" s="20">
        <f t="shared" si="287"/>
        <v>0</v>
      </c>
      <c r="I3656" s="21">
        <f t="shared" si="288"/>
        <v>0</v>
      </c>
      <c r="J3656" s="22" t="e">
        <f>VLOOKUP($A3656, TAB_JUROS_C[[DIAS_CORRIDOS]:[V_FUT_UTEIS]], J$5, FALSE)</f>
        <v>#N/A</v>
      </c>
      <c r="K3656" s="22" t="e">
        <f>VLOOKUP($A3656, TAB_CORRECAO_C[[DIAS_CORRIDOS]:[V_FUT_UTEIS]],K$5, FALSE)</f>
        <v>#N/A</v>
      </c>
      <c r="L3656" s="22" t="e">
        <f>VLOOKUP($A3656, TAB_AMORTIZACAO_C[[DIAS_CORRIDOS]:[V_FUT_UTEIS]], L$5, FALSE)</f>
        <v>#N/A</v>
      </c>
    </row>
    <row r="3657" spans="1:12" hidden="1">
      <c r="A3657" s="19">
        <f t="shared" si="289"/>
        <v>3651</v>
      </c>
      <c r="B3657" s="20">
        <f t="shared" ref="B3657:B3720" si="290">IF(ISERROR(C3657), 0, C3657)</f>
        <v>0</v>
      </c>
      <c r="C3657" s="21">
        <f t="shared" ref="C3657:C3720" si="291">SUMIF(D3657:F3657, "&gt;0", D3657:F3657)</f>
        <v>0</v>
      </c>
      <c r="D3657" s="22" t="e">
        <f>VLOOKUP($A3657, TAB_JUROS_U[[Q_DIAS_U_PARC_TIR]:[V_FUT_U_JURS CENARIO]], D$5, FALSE)</f>
        <v>#N/A</v>
      </c>
      <c r="E3657" s="22" t="e">
        <f>VLOOKUP($A3657,TAB_CORRECAO_U[[Q_DIAS_U_PARC_TIR]:[V_FUT_U_CORC-02]],E$5, FALSE)</f>
        <v>#N/A</v>
      </c>
      <c r="F3657" s="22" t="e">
        <f>VLOOKUP($A3657,TAB_AMORTIZACAO_U[[Q_DIAS_U_PARC_TIR]:[V_FUT_U_PCPL-02]], F$5, FALSE)</f>
        <v>#N/A</v>
      </c>
      <c r="H3657" s="20">
        <f t="shared" ref="H3657:H3720" si="292">IF(ISERROR(I3657), 0, I3657)</f>
        <v>0</v>
      </c>
      <c r="I3657" s="21">
        <f t="shared" ref="I3657:I3720" si="293">SUMIF(J3657:L3657, "&gt;0", J3657:L3657)</f>
        <v>0</v>
      </c>
      <c r="J3657" s="22" t="e">
        <f>VLOOKUP($A3657, TAB_JUROS_C[[DIAS_CORRIDOS]:[V_FUT_UTEIS]], J$5, FALSE)</f>
        <v>#N/A</v>
      </c>
      <c r="K3657" s="22" t="e">
        <f>VLOOKUP($A3657, TAB_CORRECAO_C[[DIAS_CORRIDOS]:[V_FUT_UTEIS]],K$5, FALSE)</f>
        <v>#N/A</v>
      </c>
      <c r="L3657" s="22" t="e">
        <f>VLOOKUP($A3657, TAB_AMORTIZACAO_C[[DIAS_CORRIDOS]:[V_FUT_UTEIS]], L$5, FALSE)</f>
        <v>#N/A</v>
      </c>
    </row>
    <row r="3658" spans="1:12" hidden="1">
      <c r="A3658" s="19">
        <f t="shared" ref="A3658:A3721" si="294">A3657+1</f>
        <v>3652</v>
      </c>
      <c r="B3658" s="20">
        <f t="shared" si="290"/>
        <v>0</v>
      </c>
      <c r="C3658" s="21">
        <f t="shared" si="291"/>
        <v>0</v>
      </c>
      <c r="D3658" s="22" t="e">
        <f>VLOOKUP($A3658, TAB_JUROS_U[[Q_DIAS_U_PARC_TIR]:[V_FUT_U_JURS CENARIO]], D$5, FALSE)</f>
        <v>#N/A</v>
      </c>
      <c r="E3658" s="22" t="e">
        <f>VLOOKUP($A3658,TAB_CORRECAO_U[[Q_DIAS_U_PARC_TIR]:[V_FUT_U_CORC-02]],E$5, FALSE)</f>
        <v>#N/A</v>
      </c>
      <c r="F3658" s="22" t="e">
        <f>VLOOKUP($A3658,TAB_AMORTIZACAO_U[[Q_DIAS_U_PARC_TIR]:[V_FUT_U_PCPL-02]], F$5, FALSE)</f>
        <v>#N/A</v>
      </c>
      <c r="H3658" s="20">
        <f t="shared" si="292"/>
        <v>0</v>
      </c>
      <c r="I3658" s="21">
        <f t="shared" si="293"/>
        <v>0</v>
      </c>
      <c r="J3658" s="22" t="e">
        <f>VLOOKUP($A3658, TAB_JUROS_C[[DIAS_CORRIDOS]:[V_FUT_UTEIS]], J$5, FALSE)</f>
        <v>#N/A</v>
      </c>
      <c r="K3658" s="22" t="e">
        <f>VLOOKUP($A3658, TAB_CORRECAO_C[[DIAS_CORRIDOS]:[V_FUT_UTEIS]],K$5, FALSE)</f>
        <v>#N/A</v>
      </c>
      <c r="L3658" s="22" t="e">
        <f>VLOOKUP($A3658, TAB_AMORTIZACAO_C[[DIAS_CORRIDOS]:[V_FUT_UTEIS]], L$5, FALSE)</f>
        <v>#N/A</v>
      </c>
    </row>
    <row r="3659" spans="1:12" hidden="1">
      <c r="A3659" s="19">
        <f t="shared" si="294"/>
        <v>3653</v>
      </c>
      <c r="B3659" s="20">
        <f t="shared" si="290"/>
        <v>0</v>
      </c>
      <c r="C3659" s="21">
        <f t="shared" si="291"/>
        <v>0</v>
      </c>
      <c r="D3659" s="22" t="e">
        <f>VLOOKUP($A3659, TAB_JUROS_U[[Q_DIAS_U_PARC_TIR]:[V_FUT_U_JURS CENARIO]], D$5, FALSE)</f>
        <v>#N/A</v>
      </c>
      <c r="E3659" s="22" t="e">
        <f>VLOOKUP($A3659,TAB_CORRECAO_U[[Q_DIAS_U_PARC_TIR]:[V_FUT_U_CORC-02]],E$5, FALSE)</f>
        <v>#N/A</v>
      </c>
      <c r="F3659" s="22" t="e">
        <f>VLOOKUP($A3659,TAB_AMORTIZACAO_U[[Q_DIAS_U_PARC_TIR]:[V_FUT_U_PCPL-02]], F$5, FALSE)</f>
        <v>#N/A</v>
      </c>
      <c r="H3659" s="20">
        <f t="shared" si="292"/>
        <v>0</v>
      </c>
      <c r="I3659" s="21">
        <f t="shared" si="293"/>
        <v>0</v>
      </c>
      <c r="J3659" s="22" t="e">
        <f>VLOOKUP($A3659, TAB_JUROS_C[[DIAS_CORRIDOS]:[V_FUT_UTEIS]], J$5, FALSE)</f>
        <v>#N/A</v>
      </c>
      <c r="K3659" s="22" t="e">
        <f>VLOOKUP($A3659, TAB_CORRECAO_C[[DIAS_CORRIDOS]:[V_FUT_UTEIS]],K$5, FALSE)</f>
        <v>#N/A</v>
      </c>
      <c r="L3659" s="22" t="e">
        <f>VLOOKUP($A3659, TAB_AMORTIZACAO_C[[DIAS_CORRIDOS]:[V_FUT_UTEIS]], L$5, FALSE)</f>
        <v>#N/A</v>
      </c>
    </row>
    <row r="3660" spans="1:12" hidden="1">
      <c r="A3660" s="19">
        <f t="shared" si="294"/>
        <v>3654</v>
      </c>
      <c r="B3660" s="20">
        <f t="shared" si="290"/>
        <v>0</v>
      </c>
      <c r="C3660" s="21">
        <f t="shared" si="291"/>
        <v>0</v>
      </c>
      <c r="D3660" s="22" t="e">
        <f>VLOOKUP($A3660, TAB_JUROS_U[[Q_DIAS_U_PARC_TIR]:[V_FUT_U_JURS CENARIO]], D$5, FALSE)</f>
        <v>#N/A</v>
      </c>
      <c r="E3660" s="22" t="e">
        <f>VLOOKUP($A3660,TAB_CORRECAO_U[[Q_DIAS_U_PARC_TIR]:[V_FUT_U_CORC-02]],E$5, FALSE)</f>
        <v>#N/A</v>
      </c>
      <c r="F3660" s="22" t="e">
        <f>VLOOKUP($A3660,TAB_AMORTIZACAO_U[[Q_DIAS_U_PARC_TIR]:[V_FUT_U_PCPL-02]], F$5, FALSE)</f>
        <v>#N/A</v>
      </c>
      <c r="H3660" s="20">
        <f t="shared" si="292"/>
        <v>0</v>
      </c>
      <c r="I3660" s="21">
        <f t="shared" si="293"/>
        <v>0</v>
      </c>
      <c r="J3660" s="22" t="e">
        <f>VLOOKUP($A3660, TAB_JUROS_C[[DIAS_CORRIDOS]:[V_FUT_UTEIS]], J$5, FALSE)</f>
        <v>#N/A</v>
      </c>
      <c r="K3660" s="22" t="e">
        <f>VLOOKUP($A3660, TAB_CORRECAO_C[[DIAS_CORRIDOS]:[V_FUT_UTEIS]],K$5, FALSE)</f>
        <v>#N/A</v>
      </c>
      <c r="L3660" s="22" t="e">
        <f>VLOOKUP($A3660, TAB_AMORTIZACAO_C[[DIAS_CORRIDOS]:[V_FUT_UTEIS]], L$5, FALSE)</f>
        <v>#N/A</v>
      </c>
    </row>
    <row r="3661" spans="1:12" hidden="1">
      <c r="A3661" s="19">
        <f t="shared" si="294"/>
        <v>3655</v>
      </c>
      <c r="B3661" s="20">
        <f t="shared" si="290"/>
        <v>0</v>
      </c>
      <c r="C3661" s="21">
        <f t="shared" si="291"/>
        <v>0</v>
      </c>
      <c r="D3661" s="22" t="e">
        <f>VLOOKUP($A3661, TAB_JUROS_U[[Q_DIAS_U_PARC_TIR]:[V_FUT_U_JURS CENARIO]], D$5, FALSE)</f>
        <v>#N/A</v>
      </c>
      <c r="E3661" s="22" t="e">
        <f>VLOOKUP($A3661,TAB_CORRECAO_U[[Q_DIAS_U_PARC_TIR]:[V_FUT_U_CORC-02]],E$5, FALSE)</f>
        <v>#N/A</v>
      </c>
      <c r="F3661" s="22" t="e">
        <f>VLOOKUP($A3661,TAB_AMORTIZACAO_U[[Q_DIAS_U_PARC_TIR]:[V_FUT_U_PCPL-02]], F$5, FALSE)</f>
        <v>#N/A</v>
      </c>
      <c r="H3661" s="20">
        <f t="shared" si="292"/>
        <v>0</v>
      </c>
      <c r="I3661" s="21">
        <f t="shared" si="293"/>
        <v>0</v>
      </c>
      <c r="J3661" s="22" t="e">
        <f>VLOOKUP($A3661, TAB_JUROS_C[[DIAS_CORRIDOS]:[V_FUT_UTEIS]], J$5, FALSE)</f>
        <v>#N/A</v>
      </c>
      <c r="K3661" s="22" t="e">
        <f>VLOOKUP($A3661, TAB_CORRECAO_C[[DIAS_CORRIDOS]:[V_FUT_UTEIS]],K$5, FALSE)</f>
        <v>#N/A</v>
      </c>
      <c r="L3661" s="22" t="e">
        <f>VLOOKUP($A3661, TAB_AMORTIZACAO_C[[DIAS_CORRIDOS]:[V_FUT_UTEIS]], L$5, FALSE)</f>
        <v>#N/A</v>
      </c>
    </row>
    <row r="3662" spans="1:12" hidden="1">
      <c r="A3662" s="19">
        <f t="shared" si="294"/>
        <v>3656</v>
      </c>
      <c r="B3662" s="20">
        <f t="shared" si="290"/>
        <v>0</v>
      </c>
      <c r="C3662" s="21">
        <f t="shared" si="291"/>
        <v>0</v>
      </c>
      <c r="D3662" s="22" t="e">
        <f>VLOOKUP($A3662, TAB_JUROS_U[[Q_DIAS_U_PARC_TIR]:[V_FUT_U_JURS CENARIO]], D$5, FALSE)</f>
        <v>#N/A</v>
      </c>
      <c r="E3662" s="22" t="e">
        <f>VLOOKUP($A3662,TAB_CORRECAO_U[[Q_DIAS_U_PARC_TIR]:[V_FUT_U_CORC-02]],E$5, FALSE)</f>
        <v>#N/A</v>
      </c>
      <c r="F3662" s="22" t="e">
        <f>VLOOKUP($A3662,TAB_AMORTIZACAO_U[[Q_DIAS_U_PARC_TIR]:[V_FUT_U_PCPL-02]], F$5, FALSE)</f>
        <v>#N/A</v>
      </c>
      <c r="H3662" s="20">
        <f t="shared" si="292"/>
        <v>0</v>
      </c>
      <c r="I3662" s="21">
        <f t="shared" si="293"/>
        <v>0</v>
      </c>
      <c r="J3662" s="22" t="e">
        <f>VLOOKUP($A3662, TAB_JUROS_C[[DIAS_CORRIDOS]:[V_FUT_UTEIS]], J$5, FALSE)</f>
        <v>#N/A</v>
      </c>
      <c r="K3662" s="22" t="e">
        <f>VLOOKUP($A3662, TAB_CORRECAO_C[[DIAS_CORRIDOS]:[V_FUT_UTEIS]],K$5, FALSE)</f>
        <v>#N/A</v>
      </c>
      <c r="L3662" s="22" t="e">
        <f>VLOOKUP($A3662, TAB_AMORTIZACAO_C[[DIAS_CORRIDOS]:[V_FUT_UTEIS]], L$5, FALSE)</f>
        <v>#N/A</v>
      </c>
    </row>
    <row r="3663" spans="1:12" hidden="1">
      <c r="A3663" s="19">
        <f t="shared" si="294"/>
        <v>3657</v>
      </c>
      <c r="B3663" s="20">
        <f t="shared" si="290"/>
        <v>0</v>
      </c>
      <c r="C3663" s="21">
        <f t="shared" si="291"/>
        <v>0</v>
      </c>
      <c r="D3663" s="22" t="e">
        <f>VLOOKUP($A3663, TAB_JUROS_U[[Q_DIAS_U_PARC_TIR]:[V_FUT_U_JURS CENARIO]], D$5, FALSE)</f>
        <v>#N/A</v>
      </c>
      <c r="E3663" s="22" t="e">
        <f>VLOOKUP($A3663,TAB_CORRECAO_U[[Q_DIAS_U_PARC_TIR]:[V_FUT_U_CORC-02]],E$5, FALSE)</f>
        <v>#N/A</v>
      </c>
      <c r="F3663" s="22" t="e">
        <f>VLOOKUP($A3663,TAB_AMORTIZACAO_U[[Q_DIAS_U_PARC_TIR]:[V_FUT_U_PCPL-02]], F$5, FALSE)</f>
        <v>#N/A</v>
      </c>
      <c r="H3663" s="20">
        <f t="shared" si="292"/>
        <v>0</v>
      </c>
      <c r="I3663" s="21">
        <f t="shared" si="293"/>
        <v>0</v>
      </c>
      <c r="J3663" s="22" t="e">
        <f>VLOOKUP($A3663, TAB_JUROS_C[[DIAS_CORRIDOS]:[V_FUT_UTEIS]], J$5, FALSE)</f>
        <v>#N/A</v>
      </c>
      <c r="K3663" s="22" t="e">
        <f>VLOOKUP($A3663, TAB_CORRECAO_C[[DIAS_CORRIDOS]:[V_FUT_UTEIS]],K$5, FALSE)</f>
        <v>#N/A</v>
      </c>
      <c r="L3663" s="22" t="e">
        <f>VLOOKUP($A3663, TAB_AMORTIZACAO_C[[DIAS_CORRIDOS]:[V_FUT_UTEIS]], L$5, FALSE)</f>
        <v>#N/A</v>
      </c>
    </row>
    <row r="3664" spans="1:12" hidden="1">
      <c r="A3664" s="19">
        <f t="shared" si="294"/>
        <v>3658</v>
      </c>
      <c r="B3664" s="20">
        <f t="shared" si="290"/>
        <v>0</v>
      </c>
      <c r="C3664" s="21">
        <f t="shared" si="291"/>
        <v>0</v>
      </c>
      <c r="D3664" s="22" t="e">
        <f>VLOOKUP($A3664, TAB_JUROS_U[[Q_DIAS_U_PARC_TIR]:[V_FUT_U_JURS CENARIO]], D$5, FALSE)</f>
        <v>#N/A</v>
      </c>
      <c r="E3664" s="22" t="e">
        <f>VLOOKUP($A3664,TAB_CORRECAO_U[[Q_DIAS_U_PARC_TIR]:[V_FUT_U_CORC-02]],E$5, FALSE)</f>
        <v>#N/A</v>
      </c>
      <c r="F3664" s="22" t="e">
        <f>VLOOKUP($A3664,TAB_AMORTIZACAO_U[[Q_DIAS_U_PARC_TIR]:[V_FUT_U_PCPL-02]], F$5, FALSE)</f>
        <v>#N/A</v>
      </c>
      <c r="H3664" s="20">
        <f t="shared" si="292"/>
        <v>0</v>
      </c>
      <c r="I3664" s="21">
        <f t="shared" si="293"/>
        <v>0</v>
      </c>
      <c r="J3664" s="22" t="e">
        <f>VLOOKUP($A3664, TAB_JUROS_C[[DIAS_CORRIDOS]:[V_FUT_UTEIS]], J$5, FALSE)</f>
        <v>#N/A</v>
      </c>
      <c r="K3664" s="22" t="e">
        <f>VLOOKUP($A3664, TAB_CORRECAO_C[[DIAS_CORRIDOS]:[V_FUT_UTEIS]],K$5, FALSE)</f>
        <v>#N/A</v>
      </c>
      <c r="L3664" s="22" t="e">
        <f>VLOOKUP($A3664, TAB_AMORTIZACAO_C[[DIAS_CORRIDOS]:[V_FUT_UTEIS]], L$5, FALSE)</f>
        <v>#N/A</v>
      </c>
    </row>
    <row r="3665" spans="1:12" hidden="1">
      <c r="A3665" s="19">
        <f t="shared" si="294"/>
        <v>3659</v>
      </c>
      <c r="B3665" s="20">
        <f t="shared" si="290"/>
        <v>0</v>
      </c>
      <c r="C3665" s="21">
        <f t="shared" si="291"/>
        <v>0</v>
      </c>
      <c r="D3665" s="22" t="e">
        <f>VLOOKUP($A3665, TAB_JUROS_U[[Q_DIAS_U_PARC_TIR]:[V_FUT_U_JURS CENARIO]], D$5, FALSE)</f>
        <v>#N/A</v>
      </c>
      <c r="E3665" s="22" t="e">
        <f>VLOOKUP($A3665,TAB_CORRECAO_U[[Q_DIAS_U_PARC_TIR]:[V_FUT_U_CORC-02]],E$5, FALSE)</f>
        <v>#N/A</v>
      </c>
      <c r="F3665" s="22" t="e">
        <f>VLOOKUP($A3665,TAB_AMORTIZACAO_U[[Q_DIAS_U_PARC_TIR]:[V_FUT_U_PCPL-02]], F$5, FALSE)</f>
        <v>#N/A</v>
      </c>
      <c r="H3665" s="20">
        <f t="shared" si="292"/>
        <v>0</v>
      </c>
      <c r="I3665" s="21">
        <f t="shared" si="293"/>
        <v>0</v>
      </c>
      <c r="J3665" s="22" t="e">
        <f>VLOOKUP($A3665, TAB_JUROS_C[[DIAS_CORRIDOS]:[V_FUT_UTEIS]], J$5, FALSE)</f>
        <v>#N/A</v>
      </c>
      <c r="K3665" s="22" t="e">
        <f>VLOOKUP($A3665, TAB_CORRECAO_C[[DIAS_CORRIDOS]:[V_FUT_UTEIS]],K$5, FALSE)</f>
        <v>#N/A</v>
      </c>
      <c r="L3665" s="22" t="e">
        <f>VLOOKUP($A3665, TAB_AMORTIZACAO_C[[DIAS_CORRIDOS]:[V_FUT_UTEIS]], L$5, FALSE)</f>
        <v>#N/A</v>
      </c>
    </row>
    <row r="3666" spans="1:12" hidden="1">
      <c r="A3666" s="19">
        <f t="shared" si="294"/>
        <v>3660</v>
      </c>
      <c r="B3666" s="20">
        <f t="shared" si="290"/>
        <v>0</v>
      </c>
      <c r="C3666" s="21">
        <f t="shared" si="291"/>
        <v>0</v>
      </c>
      <c r="D3666" s="22" t="e">
        <f>VLOOKUP($A3666, TAB_JUROS_U[[Q_DIAS_U_PARC_TIR]:[V_FUT_U_JURS CENARIO]], D$5, FALSE)</f>
        <v>#N/A</v>
      </c>
      <c r="E3666" s="22" t="e">
        <f>VLOOKUP($A3666,TAB_CORRECAO_U[[Q_DIAS_U_PARC_TIR]:[V_FUT_U_CORC-02]],E$5, FALSE)</f>
        <v>#N/A</v>
      </c>
      <c r="F3666" s="22" t="e">
        <f>VLOOKUP($A3666,TAB_AMORTIZACAO_U[[Q_DIAS_U_PARC_TIR]:[V_FUT_U_PCPL-02]], F$5, FALSE)</f>
        <v>#N/A</v>
      </c>
      <c r="H3666" s="20">
        <f t="shared" si="292"/>
        <v>0</v>
      </c>
      <c r="I3666" s="21">
        <f t="shared" si="293"/>
        <v>0</v>
      </c>
      <c r="J3666" s="22" t="e">
        <f>VLOOKUP($A3666, TAB_JUROS_C[[DIAS_CORRIDOS]:[V_FUT_UTEIS]], J$5, FALSE)</f>
        <v>#N/A</v>
      </c>
      <c r="K3666" s="22" t="e">
        <f>VLOOKUP($A3666, TAB_CORRECAO_C[[DIAS_CORRIDOS]:[V_FUT_UTEIS]],K$5, FALSE)</f>
        <v>#N/A</v>
      </c>
      <c r="L3666" s="22" t="e">
        <f>VLOOKUP($A3666, TAB_AMORTIZACAO_C[[DIAS_CORRIDOS]:[V_FUT_UTEIS]], L$5, FALSE)</f>
        <v>#N/A</v>
      </c>
    </row>
    <row r="3667" spans="1:12" hidden="1">
      <c r="A3667" s="19">
        <f t="shared" si="294"/>
        <v>3661</v>
      </c>
      <c r="B3667" s="20">
        <f t="shared" si="290"/>
        <v>0</v>
      </c>
      <c r="C3667" s="21">
        <f t="shared" si="291"/>
        <v>0</v>
      </c>
      <c r="D3667" s="22" t="e">
        <f>VLOOKUP($A3667, TAB_JUROS_U[[Q_DIAS_U_PARC_TIR]:[V_FUT_U_JURS CENARIO]], D$5, FALSE)</f>
        <v>#N/A</v>
      </c>
      <c r="E3667" s="22" t="e">
        <f>VLOOKUP($A3667,TAB_CORRECAO_U[[Q_DIAS_U_PARC_TIR]:[V_FUT_U_CORC-02]],E$5, FALSE)</f>
        <v>#N/A</v>
      </c>
      <c r="F3667" s="22" t="e">
        <f>VLOOKUP($A3667,TAB_AMORTIZACAO_U[[Q_DIAS_U_PARC_TIR]:[V_FUT_U_PCPL-02]], F$5, FALSE)</f>
        <v>#N/A</v>
      </c>
      <c r="H3667" s="20">
        <f t="shared" si="292"/>
        <v>0</v>
      </c>
      <c r="I3667" s="21">
        <f t="shared" si="293"/>
        <v>0</v>
      </c>
      <c r="J3667" s="22" t="e">
        <f>VLOOKUP($A3667, TAB_JUROS_C[[DIAS_CORRIDOS]:[V_FUT_UTEIS]], J$5, FALSE)</f>
        <v>#N/A</v>
      </c>
      <c r="K3667" s="22" t="e">
        <f>VLOOKUP($A3667, TAB_CORRECAO_C[[DIAS_CORRIDOS]:[V_FUT_UTEIS]],K$5, FALSE)</f>
        <v>#N/A</v>
      </c>
      <c r="L3667" s="22" t="e">
        <f>VLOOKUP($A3667, TAB_AMORTIZACAO_C[[DIAS_CORRIDOS]:[V_FUT_UTEIS]], L$5, FALSE)</f>
        <v>#N/A</v>
      </c>
    </row>
    <row r="3668" spans="1:12" hidden="1">
      <c r="A3668" s="19">
        <f t="shared" si="294"/>
        <v>3662</v>
      </c>
      <c r="B3668" s="20">
        <f t="shared" si="290"/>
        <v>0</v>
      </c>
      <c r="C3668" s="21">
        <f t="shared" si="291"/>
        <v>0</v>
      </c>
      <c r="D3668" s="22" t="e">
        <f>VLOOKUP($A3668, TAB_JUROS_U[[Q_DIAS_U_PARC_TIR]:[V_FUT_U_JURS CENARIO]], D$5, FALSE)</f>
        <v>#N/A</v>
      </c>
      <c r="E3668" s="22" t="e">
        <f>VLOOKUP($A3668,TAB_CORRECAO_U[[Q_DIAS_U_PARC_TIR]:[V_FUT_U_CORC-02]],E$5, FALSE)</f>
        <v>#N/A</v>
      </c>
      <c r="F3668" s="22" t="e">
        <f>VLOOKUP($A3668,TAB_AMORTIZACAO_U[[Q_DIAS_U_PARC_TIR]:[V_FUT_U_PCPL-02]], F$5, FALSE)</f>
        <v>#N/A</v>
      </c>
      <c r="H3668" s="20">
        <f t="shared" si="292"/>
        <v>0</v>
      </c>
      <c r="I3668" s="21">
        <f t="shared" si="293"/>
        <v>0</v>
      </c>
      <c r="J3668" s="22" t="e">
        <f>VLOOKUP($A3668, TAB_JUROS_C[[DIAS_CORRIDOS]:[V_FUT_UTEIS]], J$5, FALSE)</f>
        <v>#N/A</v>
      </c>
      <c r="K3668" s="22" t="e">
        <f>VLOOKUP($A3668, TAB_CORRECAO_C[[DIAS_CORRIDOS]:[V_FUT_UTEIS]],K$5, FALSE)</f>
        <v>#N/A</v>
      </c>
      <c r="L3668" s="22" t="e">
        <f>VLOOKUP($A3668, TAB_AMORTIZACAO_C[[DIAS_CORRIDOS]:[V_FUT_UTEIS]], L$5, FALSE)</f>
        <v>#N/A</v>
      </c>
    </row>
    <row r="3669" spans="1:12" hidden="1">
      <c r="A3669" s="19">
        <f t="shared" si="294"/>
        <v>3663</v>
      </c>
      <c r="B3669" s="20">
        <f t="shared" si="290"/>
        <v>0</v>
      </c>
      <c r="C3669" s="21">
        <f t="shared" si="291"/>
        <v>0</v>
      </c>
      <c r="D3669" s="22" t="e">
        <f>VLOOKUP($A3669, TAB_JUROS_U[[Q_DIAS_U_PARC_TIR]:[V_FUT_U_JURS CENARIO]], D$5, FALSE)</f>
        <v>#N/A</v>
      </c>
      <c r="E3669" s="22" t="e">
        <f>VLOOKUP($A3669,TAB_CORRECAO_U[[Q_DIAS_U_PARC_TIR]:[V_FUT_U_CORC-02]],E$5, FALSE)</f>
        <v>#N/A</v>
      </c>
      <c r="F3669" s="22" t="e">
        <f>VLOOKUP($A3669,TAB_AMORTIZACAO_U[[Q_DIAS_U_PARC_TIR]:[V_FUT_U_PCPL-02]], F$5, FALSE)</f>
        <v>#N/A</v>
      </c>
      <c r="H3669" s="20">
        <f t="shared" si="292"/>
        <v>0</v>
      </c>
      <c r="I3669" s="21">
        <f t="shared" si="293"/>
        <v>0</v>
      </c>
      <c r="J3669" s="22" t="e">
        <f>VLOOKUP($A3669, TAB_JUROS_C[[DIAS_CORRIDOS]:[V_FUT_UTEIS]], J$5, FALSE)</f>
        <v>#N/A</v>
      </c>
      <c r="K3669" s="22" t="e">
        <f>VLOOKUP($A3669, TAB_CORRECAO_C[[DIAS_CORRIDOS]:[V_FUT_UTEIS]],K$5, FALSE)</f>
        <v>#N/A</v>
      </c>
      <c r="L3669" s="22" t="e">
        <f>VLOOKUP($A3669, TAB_AMORTIZACAO_C[[DIAS_CORRIDOS]:[V_FUT_UTEIS]], L$5, FALSE)</f>
        <v>#N/A</v>
      </c>
    </row>
    <row r="3670" spans="1:12" hidden="1">
      <c r="A3670" s="19">
        <f t="shared" si="294"/>
        <v>3664</v>
      </c>
      <c r="B3670" s="20">
        <f t="shared" si="290"/>
        <v>0</v>
      </c>
      <c r="C3670" s="21">
        <f t="shared" si="291"/>
        <v>0</v>
      </c>
      <c r="D3670" s="22" t="e">
        <f>VLOOKUP($A3670, TAB_JUROS_U[[Q_DIAS_U_PARC_TIR]:[V_FUT_U_JURS CENARIO]], D$5, FALSE)</f>
        <v>#N/A</v>
      </c>
      <c r="E3670" s="22" t="e">
        <f>VLOOKUP($A3670,TAB_CORRECAO_U[[Q_DIAS_U_PARC_TIR]:[V_FUT_U_CORC-02]],E$5, FALSE)</f>
        <v>#N/A</v>
      </c>
      <c r="F3670" s="22" t="e">
        <f>VLOOKUP($A3670,TAB_AMORTIZACAO_U[[Q_DIAS_U_PARC_TIR]:[V_FUT_U_PCPL-02]], F$5, FALSE)</f>
        <v>#N/A</v>
      </c>
      <c r="H3670" s="20">
        <f t="shared" si="292"/>
        <v>0</v>
      </c>
      <c r="I3670" s="21">
        <f t="shared" si="293"/>
        <v>0</v>
      </c>
      <c r="J3670" s="22" t="e">
        <f>VLOOKUP($A3670, TAB_JUROS_C[[DIAS_CORRIDOS]:[V_FUT_UTEIS]], J$5, FALSE)</f>
        <v>#N/A</v>
      </c>
      <c r="K3670" s="22" t="e">
        <f>VLOOKUP($A3670, TAB_CORRECAO_C[[DIAS_CORRIDOS]:[V_FUT_UTEIS]],K$5, FALSE)</f>
        <v>#N/A</v>
      </c>
      <c r="L3670" s="22" t="e">
        <f>VLOOKUP($A3670, TAB_AMORTIZACAO_C[[DIAS_CORRIDOS]:[V_FUT_UTEIS]], L$5, FALSE)</f>
        <v>#N/A</v>
      </c>
    </row>
    <row r="3671" spans="1:12" hidden="1">
      <c r="A3671" s="19">
        <f t="shared" si="294"/>
        <v>3665</v>
      </c>
      <c r="B3671" s="20">
        <f t="shared" si="290"/>
        <v>0</v>
      </c>
      <c r="C3671" s="21">
        <f t="shared" si="291"/>
        <v>0</v>
      </c>
      <c r="D3671" s="22" t="e">
        <f>VLOOKUP($A3671, TAB_JUROS_U[[Q_DIAS_U_PARC_TIR]:[V_FUT_U_JURS CENARIO]], D$5, FALSE)</f>
        <v>#N/A</v>
      </c>
      <c r="E3671" s="22" t="e">
        <f>VLOOKUP($A3671,TAB_CORRECAO_U[[Q_DIAS_U_PARC_TIR]:[V_FUT_U_CORC-02]],E$5, FALSE)</f>
        <v>#N/A</v>
      </c>
      <c r="F3671" s="22" t="e">
        <f>VLOOKUP($A3671,TAB_AMORTIZACAO_U[[Q_DIAS_U_PARC_TIR]:[V_FUT_U_PCPL-02]], F$5, FALSE)</f>
        <v>#N/A</v>
      </c>
      <c r="H3671" s="20">
        <f t="shared" si="292"/>
        <v>167.76238794966969</v>
      </c>
      <c r="I3671" s="21">
        <f t="shared" si="293"/>
        <v>167.76238794966969</v>
      </c>
      <c r="J3671" s="22">
        <f>VLOOKUP($A3671, TAB_JUROS_C[[DIAS_CORRIDOS]:[V_FUT_UTEIS]], J$5, FALSE)</f>
        <v>6.0879373308441886</v>
      </c>
      <c r="K3671" s="22">
        <f>VLOOKUP($A3671, TAB_CORRECAO_C[[DIAS_CORRIDOS]:[V_FUT_UTEIS]],K$5, FALSE)</f>
        <v>36.590366432338634</v>
      </c>
      <c r="L3671" s="22">
        <f>VLOOKUP($A3671, TAB_AMORTIZACAO_C[[DIAS_CORRIDOS]:[V_FUT_UTEIS]], L$5, FALSE)</f>
        <v>125.08408418648685</v>
      </c>
    </row>
    <row r="3672" spans="1:12" hidden="1">
      <c r="A3672" s="19">
        <f t="shared" si="294"/>
        <v>3666</v>
      </c>
      <c r="B3672" s="20">
        <f t="shared" si="290"/>
        <v>0</v>
      </c>
      <c r="C3672" s="21">
        <f t="shared" si="291"/>
        <v>0</v>
      </c>
      <c r="D3672" s="22" t="e">
        <f>VLOOKUP($A3672, TAB_JUROS_U[[Q_DIAS_U_PARC_TIR]:[V_FUT_U_JURS CENARIO]], D$5, FALSE)</f>
        <v>#N/A</v>
      </c>
      <c r="E3672" s="22" t="e">
        <f>VLOOKUP($A3672,TAB_CORRECAO_U[[Q_DIAS_U_PARC_TIR]:[V_FUT_U_CORC-02]],E$5, FALSE)</f>
        <v>#N/A</v>
      </c>
      <c r="F3672" s="22" t="e">
        <f>VLOOKUP($A3672,TAB_AMORTIZACAO_U[[Q_DIAS_U_PARC_TIR]:[V_FUT_U_PCPL-02]], F$5, FALSE)</f>
        <v>#N/A</v>
      </c>
      <c r="H3672" s="20">
        <f t="shared" si="292"/>
        <v>0</v>
      </c>
      <c r="I3672" s="21">
        <f t="shared" si="293"/>
        <v>0</v>
      </c>
      <c r="J3672" s="22" t="e">
        <f>VLOOKUP($A3672, TAB_JUROS_C[[DIAS_CORRIDOS]:[V_FUT_UTEIS]], J$5, FALSE)</f>
        <v>#N/A</v>
      </c>
      <c r="K3672" s="22" t="e">
        <f>VLOOKUP($A3672, TAB_CORRECAO_C[[DIAS_CORRIDOS]:[V_FUT_UTEIS]],K$5, FALSE)</f>
        <v>#N/A</v>
      </c>
      <c r="L3672" s="22" t="e">
        <f>VLOOKUP($A3672, TAB_AMORTIZACAO_C[[DIAS_CORRIDOS]:[V_FUT_UTEIS]], L$5, FALSE)</f>
        <v>#N/A</v>
      </c>
    </row>
    <row r="3673" spans="1:12" hidden="1">
      <c r="A3673" s="19">
        <f t="shared" si="294"/>
        <v>3667</v>
      </c>
      <c r="B3673" s="20">
        <f t="shared" si="290"/>
        <v>0</v>
      </c>
      <c r="C3673" s="21">
        <f t="shared" si="291"/>
        <v>0</v>
      </c>
      <c r="D3673" s="22" t="e">
        <f>VLOOKUP($A3673, TAB_JUROS_U[[Q_DIAS_U_PARC_TIR]:[V_FUT_U_JURS CENARIO]], D$5, FALSE)</f>
        <v>#N/A</v>
      </c>
      <c r="E3673" s="22" t="e">
        <f>VLOOKUP($A3673,TAB_CORRECAO_U[[Q_DIAS_U_PARC_TIR]:[V_FUT_U_CORC-02]],E$5, FALSE)</f>
        <v>#N/A</v>
      </c>
      <c r="F3673" s="22" t="e">
        <f>VLOOKUP($A3673,TAB_AMORTIZACAO_U[[Q_DIAS_U_PARC_TIR]:[V_FUT_U_PCPL-02]], F$5, FALSE)</f>
        <v>#N/A</v>
      </c>
      <c r="H3673" s="20">
        <f t="shared" si="292"/>
        <v>0</v>
      </c>
      <c r="I3673" s="21">
        <f t="shared" si="293"/>
        <v>0</v>
      </c>
      <c r="J3673" s="22" t="e">
        <f>VLOOKUP($A3673, TAB_JUROS_C[[DIAS_CORRIDOS]:[V_FUT_UTEIS]], J$5, FALSE)</f>
        <v>#N/A</v>
      </c>
      <c r="K3673" s="22" t="e">
        <f>VLOOKUP($A3673, TAB_CORRECAO_C[[DIAS_CORRIDOS]:[V_FUT_UTEIS]],K$5, FALSE)</f>
        <v>#N/A</v>
      </c>
      <c r="L3673" s="22" t="e">
        <f>VLOOKUP($A3673, TAB_AMORTIZACAO_C[[DIAS_CORRIDOS]:[V_FUT_UTEIS]], L$5, FALSE)</f>
        <v>#N/A</v>
      </c>
    </row>
    <row r="3674" spans="1:12" hidden="1">
      <c r="A3674" s="19">
        <f t="shared" si="294"/>
        <v>3668</v>
      </c>
      <c r="B3674" s="20">
        <f t="shared" si="290"/>
        <v>0</v>
      </c>
      <c r="C3674" s="21">
        <f t="shared" si="291"/>
        <v>0</v>
      </c>
      <c r="D3674" s="22" t="e">
        <f>VLOOKUP($A3674, TAB_JUROS_U[[Q_DIAS_U_PARC_TIR]:[V_FUT_U_JURS CENARIO]], D$5, FALSE)</f>
        <v>#N/A</v>
      </c>
      <c r="E3674" s="22" t="e">
        <f>VLOOKUP($A3674,TAB_CORRECAO_U[[Q_DIAS_U_PARC_TIR]:[V_FUT_U_CORC-02]],E$5, FALSE)</f>
        <v>#N/A</v>
      </c>
      <c r="F3674" s="22" t="e">
        <f>VLOOKUP($A3674,TAB_AMORTIZACAO_U[[Q_DIAS_U_PARC_TIR]:[V_FUT_U_PCPL-02]], F$5, FALSE)</f>
        <v>#N/A</v>
      </c>
      <c r="H3674" s="20">
        <f t="shared" si="292"/>
        <v>0</v>
      </c>
      <c r="I3674" s="21">
        <f t="shared" si="293"/>
        <v>0</v>
      </c>
      <c r="J3674" s="22" t="e">
        <f>VLOOKUP($A3674, TAB_JUROS_C[[DIAS_CORRIDOS]:[V_FUT_UTEIS]], J$5, FALSE)</f>
        <v>#N/A</v>
      </c>
      <c r="K3674" s="22" t="e">
        <f>VLOOKUP($A3674, TAB_CORRECAO_C[[DIAS_CORRIDOS]:[V_FUT_UTEIS]],K$5, FALSE)</f>
        <v>#N/A</v>
      </c>
      <c r="L3674" s="22" t="e">
        <f>VLOOKUP($A3674, TAB_AMORTIZACAO_C[[DIAS_CORRIDOS]:[V_FUT_UTEIS]], L$5, FALSE)</f>
        <v>#N/A</v>
      </c>
    </row>
    <row r="3675" spans="1:12" hidden="1">
      <c r="A3675" s="19">
        <f t="shared" si="294"/>
        <v>3669</v>
      </c>
      <c r="B3675" s="20">
        <f t="shared" si="290"/>
        <v>0</v>
      </c>
      <c r="C3675" s="21">
        <f t="shared" si="291"/>
        <v>0</v>
      </c>
      <c r="D3675" s="22" t="e">
        <f>VLOOKUP($A3675, TAB_JUROS_U[[Q_DIAS_U_PARC_TIR]:[V_FUT_U_JURS CENARIO]], D$5, FALSE)</f>
        <v>#N/A</v>
      </c>
      <c r="E3675" s="22" t="e">
        <f>VLOOKUP($A3675,TAB_CORRECAO_U[[Q_DIAS_U_PARC_TIR]:[V_FUT_U_CORC-02]],E$5, FALSE)</f>
        <v>#N/A</v>
      </c>
      <c r="F3675" s="22" t="e">
        <f>VLOOKUP($A3675,TAB_AMORTIZACAO_U[[Q_DIAS_U_PARC_TIR]:[V_FUT_U_PCPL-02]], F$5, FALSE)</f>
        <v>#N/A</v>
      </c>
      <c r="H3675" s="20">
        <f t="shared" si="292"/>
        <v>0</v>
      </c>
      <c r="I3675" s="21">
        <f t="shared" si="293"/>
        <v>0</v>
      </c>
      <c r="J3675" s="22" t="e">
        <f>VLOOKUP($A3675, TAB_JUROS_C[[DIAS_CORRIDOS]:[V_FUT_UTEIS]], J$5, FALSE)</f>
        <v>#N/A</v>
      </c>
      <c r="K3675" s="22" t="e">
        <f>VLOOKUP($A3675, TAB_CORRECAO_C[[DIAS_CORRIDOS]:[V_FUT_UTEIS]],K$5, FALSE)</f>
        <v>#N/A</v>
      </c>
      <c r="L3675" s="22" t="e">
        <f>VLOOKUP($A3675, TAB_AMORTIZACAO_C[[DIAS_CORRIDOS]:[V_FUT_UTEIS]], L$5, FALSE)</f>
        <v>#N/A</v>
      </c>
    </row>
    <row r="3676" spans="1:12" hidden="1">
      <c r="A3676" s="19">
        <f t="shared" si="294"/>
        <v>3670</v>
      </c>
      <c r="B3676" s="20">
        <f t="shared" si="290"/>
        <v>0</v>
      </c>
      <c r="C3676" s="21">
        <f t="shared" si="291"/>
        <v>0</v>
      </c>
      <c r="D3676" s="22" t="e">
        <f>VLOOKUP($A3676, TAB_JUROS_U[[Q_DIAS_U_PARC_TIR]:[V_FUT_U_JURS CENARIO]], D$5, FALSE)</f>
        <v>#N/A</v>
      </c>
      <c r="E3676" s="22" t="e">
        <f>VLOOKUP($A3676,TAB_CORRECAO_U[[Q_DIAS_U_PARC_TIR]:[V_FUT_U_CORC-02]],E$5, FALSE)</f>
        <v>#N/A</v>
      </c>
      <c r="F3676" s="22" t="e">
        <f>VLOOKUP($A3676,TAB_AMORTIZACAO_U[[Q_DIAS_U_PARC_TIR]:[V_FUT_U_PCPL-02]], F$5, FALSE)</f>
        <v>#N/A</v>
      </c>
      <c r="H3676" s="20">
        <f t="shared" si="292"/>
        <v>0</v>
      </c>
      <c r="I3676" s="21">
        <f t="shared" si="293"/>
        <v>0</v>
      </c>
      <c r="J3676" s="22" t="e">
        <f>VLOOKUP($A3676, TAB_JUROS_C[[DIAS_CORRIDOS]:[V_FUT_UTEIS]], J$5, FALSE)</f>
        <v>#N/A</v>
      </c>
      <c r="K3676" s="22" t="e">
        <f>VLOOKUP($A3676, TAB_CORRECAO_C[[DIAS_CORRIDOS]:[V_FUT_UTEIS]],K$5, FALSE)</f>
        <v>#N/A</v>
      </c>
      <c r="L3676" s="22" t="e">
        <f>VLOOKUP($A3676, TAB_AMORTIZACAO_C[[DIAS_CORRIDOS]:[V_FUT_UTEIS]], L$5, FALSE)</f>
        <v>#N/A</v>
      </c>
    </row>
    <row r="3677" spans="1:12" hidden="1">
      <c r="A3677" s="19">
        <f t="shared" si="294"/>
        <v>3671</v>
      </c>
      <c r="B3677" s="20">
        <f t="shared" si="290"/>
        <v>0</v>
      </c>
      <c r="C3677" s="21">
        <f t="shared" si="291"/>
        <v>0</v>
      </c>
      <c r="D3677" s="22" t="e">
        <f>VLOOKUP($A3677, TAB_JUROS_U[[Q_DIAS_U_PARC_TIR]:[V_FUT_U_JURS CENARIO]], D$5, FALSE)</f>
        <v>#N/A</v>
      </c>
      <c r="E3677" s="22" t="e">
        <f>VLOOKUP($A3677,TAB_CORRECAO_U[[Q_DIAS_U_PARC_TIR]:[V_FUT_U_CORC-02]],E$5, FALSE)</f>
        <v>#N/A</v>
      </c>
      <c r="F3677" s="22" t="e">
        <f>VLOOKUP($A3677,TAB_AMORTIZACAO_U[[Q_DIAS_U_PARC_TIR]:[V_FUT_U_PCPL-02]], F$5, FALSE)</f>
        <v>#N/A</v>
      </c>
      <c r="H3677" s="20">
        <f t="shared" si="292"/>
        <v>0</v>
      </c>
      <c r="I3677" s="21">
        <f t="shared" si="293"/>
        <v>0</v>
      </c>
      <c r="J3677" s="22" t="e">
        <f>VLOOKUP($A3677, TAB_JUROS_C[[DIAS_CORRIDOS]:[V_FUT_UTEIS]], J$5, FALSE)</f>
        <v>#N/A</v>
      </c>
      <c r="K3677" s="22" t="e">
        <f>VLOOKUP($A3677, TAB_CORRECAO_C[[DIAS_CORRIDOS]:[V_FUT_UTEIS]],K$5, FALSE)</f>
        <v>#N/A</v>
      </c>
      <c r="L3677" s="22" t="e">
        <f>VLOOKUP($A3677, TAB_AMORTIZACAO_C[[DIAS_CORRIDOS]:[V_FUT_UTEIS]], L$5, FALSE)</f>
        <v>#N/A</v>
      </c>
    </row>
    <row r="3678" spans="1:12" hidden="1">
      <c r="A3678" s="19">
        <f t="shared" si="294"/>
        <v>3672</v>
      </c>
      <c r="B3678" s="20">
        <f t="shared" si="290"/>
        <v>0</v>
      </c>
      <c r="C3678" s="21">
        <f t="shared" si="291"/>
        <v>0</v>
      </c>
      <c r="D3678" s="22" t="e">
        <f>VLOOKUP($A3678, TAB_JUROS_U[[Q_DIAS_U_PARC_TIR]:[V_FUT_U_JURS CENARIO]], D$5, FALSE)</f>
        <v>#N/A</v>
      </c>
      <c r="E3678" s="22" t="e">
        <f>VLOOKUP($A3678,TAB_CORRECAO_U[[Q_DIAS_U_PARC_TIR]:[V_FUT_U_CORC-02]],E$5, FALSE)</f>
        <v>#N/A</v>
      </c>
      <c r="F3678" s="22" t="e">
        <f>VLOOKUP($A3678,TAB_AMORTIZACAO_U[[Q_DIAS_U_PARC_TIR]:[V_FUT_U_PCPL-02]], F$5, FALSE)</f>
        <v>#N/A</v>
      </c>
      <c r="H3678" s="20">
        <f t="shared" si="292"/>
        <v>0</v>
      </c>
      <c r="I3678" s="21">
        <f t="shared" si="293"/>
        <v>0</v>
      </c>
      <c r="J3678" s="22" t="e">
        <f>VLOOKUP($A3678, TAB_JUROS_C[[DIAS_CORRIDOS]:[V_FUT_UTEIS]], J$5, FALSE)</f>
        <v>#N/A</v>
      </c>
      <c r="K3678" s="22" t="e">
        <f>VLOOKUP($A3678, TAB_CORRECAO_C[[DIAS_CORRIDOS]:[V_FUT_UTEIS]],K$5, FALSE)</f>
        <v>#N/A</v>
      </c>
      <c r="L3678" s="22" t="e">
        <f>VLOOKUP($A3678, TAB_AMORTIZACAO_C[[DIAS_CORRIDOS]:[V_FUT_UTEIS]], L$5, FALSE)</f>
        <v>#N/A</v>
      </c>
    </row>
    <row r="3679" spans="1:12" hidden="1">
      <c r="A3679" s="19">
        <f t="shared" si="294"/>
        <v>3673</v>
      </c>
      <c r="B3679" s="20">
        <f t="shared" si="290"/>
        <v>0</v>
      </c>
      <c r="C3679" s="21">
        <f t="shared" si="291"/>
        <v>0</v>
      </c>
      <c r="D3679" s="22" t="e">
        <f>VLOOKUP($A3679, TAB_JUROS_U[[Q_DIAS_U_PARC_TIR]:[V_FUT_U_JURS CENARIO]], D$5, FALSE)</f>
        <v>#N/A</v>
      </c>
      <c r="E3679" s="22" t="e">
        <f>VLOOKUP($A3679,TAB_CORRECAO_U[[Q_DIAS_U_PARC_TIR]:[V_FUT_U_CORC-02]],E$5, FALSE)</f>
        <v>#N/A</v>
      </c>
      <c r="F3679" s="22" t="e">
        <f>VLOOKUP($A3679,TAB_AMORTIZACAO_U[[Q_DIAS_U_PARC_TIR]:[V_FUT_U_PCPL-02]], F$5, FALSE)</f>
        <v>#N/A</v>
      </c>
      <c r="H3679" s="20">
        <f t="shared" si="292"/>
        <v>0</v>
      </c>
      <c r="I3679" s="21">
        <f t="shared" si="293"/>
        <v>0</v>
      </c>
      <c r="J3679" s="22" t="e">
        <f>VLOOKUP($A3679, TAB_JUROS_C[[DIAS_CORRIDOS]:[V_FUT_UTEIS]], J$5, FALSE)</f>
        <v>#N/A</v>
      </c>
      <c r="K3679" s="22" t="e">
        <f>VLOOKUP($A3679, TAB_CORRECAO_C[[DIAS_CORRIDOS]:[V_FUT_UTEIS]],K$5, FALSE)</f>
        <v>#N/A</v>
      </c>
      <c r="L3679" s="22" t="e">
        <f>VLOOKUP($A3679, TAB_AMORTIZACAO_C[[DIAS_CORRIDOS]:[V_FUT_UTEIS]], L$5, FALSE)</f>
        <v>#N/A</v>
      </c>
    </row>
    <row r="3680" spans="1:12" hidden="1">
      <c r="A3680" s="19">
        <f t="shared" si="294"/>
        <v>3674</v>
      </c>
      <c r="B3680" s="20">
        <f t="shared" si="290"/>
        <v>0</v>
      </c>
      <c r="C3680" s="21">
        <f t="shared" si="291"/>
        <v>0</v>
      </c>
      <c r="D3680" s="22" t="e">
        <f>VLOOKUP($A3680, TAB_JUROS_U[[Q_DIAS_U_PARC_TIR]:[V_FUT_U_JURS CENARIO]], D$5, FALSE)</f>
        <v>#N/A</v>
      </c>
      <c r="E3680" s="22" t="e">
        <f>VLOOKUP($A3680,TAB_CORRECAO_U[[Q_DIAS_U_PARC_TIR]:[V_FUT_U_CORC-02]],E$5, FALSE)</f>
        <v>#N/A</v>
      </c>
      <c r="F3680" s="22" t="e">
        <f>VLOOKUP($A3680,TAB_AMORTIZACAO_U[[Q_DIAS_U_PARC_TIR]:[V_FUT_U_PCPL-02]], F$5, FALSE)</f>
        <v>#N/A</v>
      </c>
      <c r="H3680" s="20">
        <f t="shared" si="292"/>
        <v>0</v>
      </c>
      <c r="I3680" s="21">
        <f t="shared" si="293"/>
        <v>0</v>
      </c>
      <c r="J3680" s="22" t="e">
        <f>VLOOKUP($A3680, TAB_JUROS_C[[DIAS_CORRIDOS]:[V_FUT_UTEIS]], J$5, FALSE)</f>
        <v>#N/A</v>
      </c>
      <c r="K3680" s="22" t="e">
        <f>VLOOKUP($A3680, TAB_CORRECAO_C[[DIAS_CORRIDOS]:[V_FUT_UTEIS]],K$5, FALSE)</f>
        <v>#N/A</v>
      </c>
      <c r="L3680" s="22" t="e">
        <f>VLOOKUP($A3680, TAB_AMORTIZACAO_C[[DIAS_CORRIDOS]:[V_FUT_UTEIS]], L$5, FALSE)</f>
        <v>#N/A</v>
      </c>
    </row>
    <row r="3681" spans="1:12" hidden="1">
      <c r="A3681" s="19">
        <f t="shared" si="294"/>
        <v>3675</v>
      </c>
      <c r="B3681" s="20">
        <f t="shared" si="290"/>
        <v>0</v>
      </c>
      <c r="C3681" s="21">
        <f t="shared" si="291"/>
        <v>0</v>
      </c>
      <c r="D3681" s="22" t="e">
        <f>VLOOKUP($A3681, TAB_JUROS_U[[Q_DIAS_U_PARC_TIR]:[V_FUT_U_JURS CENARIO]], D$5, FALSE)</f>
        <v>#N/A</v>
      </c>
      <c r="E3681" s="22" t="e">
        <f>VLOOKUP($A3681,TAB_CORRECAO_U[[Q_DIAS_U_PARC_TIR]:[V_FUT_U_CORC-02]],E$5, FALSE)</f>
        <v>#N/A</v>
      </c>
      <c r="F3681" s="22" t="e">
        <f>VLOOKUP($A3681,TAB_AMORTIZACAO_U[[Q_DIAS_U_PARC_TIR]:[V_FUT_U_PCPL-02]], F$5, FALSE)</f>
        <v>#N/A</v>
      </c>
      <c r="H3681" s="20">
        <f t="shared" si="292"/>
        <v>0</v>
      </c>
      <c r="I3681" s="21">
        <f t="shared" si="293"/>
        <v>0</v>
      </c>
      <c r="J3681" s="22" t="e">
        <f>VLOOKUP($A3681, TAB_JUROS_C[[DIAS_CORRIDOS]:[V_FUT_UTEIS]], J$5, FALSE)</f>
        <v>#N/A</v>
      </c>
      <c r="K3681" s="22" t="e">
        <f>VLOOKUP($A3681, TAB_CORRECAO_C[[DIAS_CORRIDOS]:[V_FUT_UTEIS]],K$5, FALSE)</f>
        <v>#N/A</v>
      </c>
      <c r="L3681" s="22" t="e">
        <f>VLOOKUP($A3681, TAB_AMORTIZACAO_C[[DIAS_CORRIDOS]:[V_FUT_UTEIS]], L$5, FALSE)</f>
        <v>#N/A</v>
      </c>
    </row>
    <row r="3682" spans="1:12" hidden="1">
      <c r="A3682" s="19">
        <f t="shared" si="294"/>
        <v>3676</v>
      </c>
      <c r="B3682" s="20">
        <f t="shared" si="290"/>
        <v>0</v>
      </c>
      <c r="C3682" s="21">
        <f t="shared" si="291"/>
        <v>0</v>
      </c>
      <c r="D3682" s="22" t="e">
        <f>VLOOKUP($A3682, TAB_JUROS_U[[Q_DIAS_U_PARC_TIR]:[V_FUT_U_JURS CENARIO]], D$5, FALSE)</f>
        <v>#N/A</v>
      </c>
      <c r="E3682" s="22" t="e">
        <f>VLOOKUP($A3682,TAB_CORRECAO_U[[Q_DIAS_U_PARC_TIR]:[V_FUT_U_CORC-02]],E$5, FALSE)</f>
        <v>#N/A</v>
      </c>
      <c r="F3682" s="22" t="e">
        <f>VLOOKUP($A3682,TAB_AMORTIZACAO_U[[Q_DIAS_U_PARC_TIR]:[V_FUT_U_PCPL-02]], F$5, FALSE)</f>
        <v>#N/A</v>
      </c>
      <c r="H3682" s="20">
        <f t="shared" si="292"/>
        <v>0</v>
      </c>
      <c r="I3682" s="21">
        <f t="shared" si="293"/>
        <v>0</v>
      </c>
      <c r="J3682" s="22" t="e">
        <f>VLOOKUP($A3682, TAB_JUROS_C[[DIAS_CORRIDOS]:[V_FUT_UTEIS]], J$5, FALSE)</f>
        <v>#N/A</v>
      </c>
      <c r="K3682" s="22" t="e">
        <f>VLOOKUP($A3682, TAB_CORRECAO_C[[DIAS_CORRIDOS]:[V_FUT_UTEIS]],K$5, FALSE)</f>
        <v>#N/A</v>
      </c>
      <c r="L3682" s="22" t="e">
        <f>VLOOKUP($A3682, TAB_AMORTIZACAO_C[[DIAS_CORRIDOS]:[V_FUT_UTEIS]], L$5, FALSE)</f>
        <v>#N/A</v>
      </c>
    </row>
    <row r="3683" spans="1:12" hidden="1">
      <c r="A3683" s="19">
        <f t="shared" si="294"/>
        <v>3677</v>
      </c>
      <c r="B3683" s="20">
        <f t="shared" si="290"/>
        <v>0</v>
      </c>
      <c r="C3683" s="21">
        <f t="shared" si="291"/>
        <v>0</v>
      </c>
      <c r="D3683" s="22" t="e">
        <f>VLOOKUP($A3683, TAB_JUROS_U[[Q_DIAS_U_PARC_TIR]:[V_FUT_U_JURS CENARIO]], D$5, FALSE)</f>
        <v>#N/A</v>
      </c>
      <c r="E3683" s="22" t="e">
        <f>VLOOKUP($A3683,TAB_CORRECAO_U[[Q_DIAS_U_PARC_TIR]:[V_FUT_U_CORC-02]],E$5, FALSE)</f>
        <v>#N/A</v>
      </c>
      <c r="F3683" s="22" t="e">
        <f>VLOOKUP($A3683,TAB_AMORTIZACAO_U[[Q_DIAS_U_PARC_TIR]:[V_FUT_U_PCPL-02]], F$5, FALSE)</f>
        <v>#N/A</v>
      </c>
      <c r="H3683" s="20">
        <f t="shared" si="292"/>
        <v>0</v>
      </c>
      <c r="I3683" s="21">
        <f t="shared" si="293"/>
        <v>0</v>
      </c>
      <c r="J3683" s="22" t="e">
        <f>VLOOKUP($A3683, TAB_JUROS_C[[DIAS_CORRIDOS]:[V_FUT_UTEIS]], J$5, FALSE)</f>
        <v>#N/A</v>
      </c>
      <c r="K3683" s="22" t="e">
        <f>VLOOKUP($A3683, TAB_CORRECAO_C[[DIAS_CORRIDOS]:[V_FUT_UTEIS]],K$5, FALSE)</f>
        <v>#N/A</v>
      </c>
      <c r="L3683" s="22" t="e">
        <f>VLOOKUP($A3683, TAB_AMORTIZACAO_C[[DIAS_CORRIDOS]:[V_FUT_UTEIS]], L$5, FALSE)</f>
        <v>#N/A</v>
      </c>
    </row>
    <row r="3684" spans="1:12" hidden="1">
      <c r="A3684" s="19">
        <f t="shared" si="294"/>
        <v>3678</v>
      </c>
      <c r="B3684" s="20">
        <f t="shared" si="290"/>
        <v>0</v>
      </c>
      <c r="C3684" s="21">
        <f t="shared" si="291"/>
        <v>0</v>
      </c>
      <c r="D3684" s="22" t="e">
        <f>VLOOKUP($A3684, TAB_JUROS_U[[Q_DIAS_U_PARC_TIR]:[V_FUT_U_JURS CENARIO]], D$5, FALSE)</f>
        <v>#N/A</v>
      </c>
      <c r="E3684" s="22" t="e">
        <f>VLOOKUP($A3684,TAB_CORRECAO_U[[Q_DIAS_U_PARC_TIR]:[V_FUT_U_CORC-02]],E$5, FALSE)</f>
        <v>#N/A</v>
      </c>
      <c r="F3684" s="22" t="e">
        <f>VLOOKUP($A3684,TAB_AMORTIZACAO_U[[Q_DIAS_U_PARC_TIR]:[V_FUT_U_PCPL-02]], F$5, FALSE)</f>
        <v>#N/A</v>
      </c>
      <c r="H3684" s="20">
        <f t="shared" si="292"/>
        <v>0</v>
      </c>
      <c r="I3684" s="21">
        <f t="shared" si="293"/>
        <v>0</v>
      </c>
      <c r="J3684" s="22" t="e">
        <f>VLOOKUP($A3684, TAB_JUROS_C[[DIAS_CORRIDOS]:[V_FUT_UTEIS]], J$5, FALSE)</f>
        <v>#N/A</v>
      </c>
      <c r="K3684" s="22" t="e">
        <f>VLOOKUP($A3684, TAB_CORRECAO_C[[DIAS_CORRIDOS]:[V_FUT_UTEIS]],K$5, FALSE)</f>
        <v>#N/A</v>
      </c>
      <c r="L3684" s="22" t="e">
        <f>VLOOKUP($A3684, TAB_AMORTIZACAO_C[[DIAS_CORRIDOS]:[V_FUT_UTEIS]], L$5, FALSE)</f>
        <v>#N/A</v>
      </c>
    </row>
    <row r="3685" spans="1:12" hidden="1">
      <c r="A3685" s="19">
        <f t="shared" si="294"/>
        <v>3679</v>
      </c>
      <c r="B3685" s="20">
        <f t="shared" si="290"/>
        <v>0</v>
      </c>
      <c r="C3685" s="21">
        <f t="shared" si="291"/>
        <v>0</v>
      </c>
      <c r="D3685" s="22" t="e">
        <f>VLOOKUP($A3685, TAB_JUROS_U[[Q_DIAS_U_PARC_TIR]:[V_FUT_U_JURS CENARIO]], D$5, FALSE)</f>
        <v>#N/A</v>
      </c>
      <c r="E3685" s="22" t="e">
        <f>VLOOKUP($A3685,TAB_CORRECAO_U[[Q_DIAS_U_PARC_TIR]:[V_FUT_U_CORC-02]],E$5, FALSE)</f>
        <v>#N/A</v>
      </c>
      <c r="F3685" s="22" t="e">
        <f>VLOOKUP($A3685,TAB_AMORTIZACAO_U[[Q_DIAS_U_PARC_TIR]:[V_FUT_U_PCPL-02]], F$5, FALSE)</f>
        <v>#N/A</v>
      </c>
      <c r="H3685" s="20">
        <f t="shared" si="292"/>
        <v>0</v>
      </c>
      <c r="I3685" s="21">
        <f t="shared" si="293"/>
        <v>0</v>
      </c>
      <c r="J3685" s="22" t="e">
        <f>VLOOKUP($A3685, TAB_JUROS_C[[DIAS_CORRIDOS]:[V_FUT_UTEIS]], J$5, FALSE)</f>
        <v>#N/A</v>
      </c>
      <c r="K3685" s="22" t="e">
        <f>VLOOKUP($A3685, TAB_CORRECAO_C[[DIAS_CORRIDOS]:[V_FUT_UTEIS]],K$5, FALSE)</f>
        <v>#N/A</v>
      </c>
      <c r="L3685" s="22" t="e">
        <f>VLOOKUP($A3685, TAB_AMORTIZACAO_C[[DIAS_CORRIDOS]:[V_FUT_UTEIS]], L$5, FALSE)</f>
        <v>#N/A</v>
      </c>
    </row>
    <row r="3686" spans="1:12" hidden="1">
      <c r="A3686" s="19">
        <f t="shared" si="294"/>
        <v>3680</v>
      </c>
      <c r="B3686" s="20">
        <f t="shared" si="290"/>
        <v>0</v>
      </c>
      <c r="C3686" s="21">
        <f t="shared" si="291"/>
        <v>0</v>
      </c>
      <c r="D3686" s="22" t="e">
        <f>VLOOKUP($A3686, TAB_JUROS_U[[Q_DIAS_U_PARC_TIR]:[V_FUT_U_JURS CENARIO]], D$5, FALSE)</f>
        <v>#N/A</v>
      </c>
      <c r="E3686" s="22" t="e">
        <f>VLOOKUP($A3686,TAB_CORRECAO_U[[Q_DIAS_U_PARC_TIR]:[V_FUT_U_CORC-02]],E$5, FALSE)</f>
        <v>#N/A</v>
      </c>
      <c r="F3686" s="22" t="e">
        <f>VLOOKUP($A3686,TAB_AMORTIZACAO_U[[Q_DIAS_U_PARC_TIR]:[V_FUT_U_PCPL-02]], F$5, FALSE)</f>
        <v>#N/A</v>
      </c>
      <c r="H3686" s="20">
        <f t="shared" si="292"/>
        <v>0</v>
      </c>
      <c r="I3686" s="21">
        <f t="shared" si="293"/>
        <v>0</v>
      </c>
      <c r="J3686" s="22" t="e">
        <f>VLOOKUP($A3686, TAB_JUROS_C[[DIAS_CORRIDOS]:[V_FUT_UTEIS]], J$5, FALSE)</f>
        <v>#N/A</v>
      </c>
      <c r="K3686" s="22" t="e">
        <f>VLOOKUP($A3686, TAB_CORRECAO_C[[DIAS_CORRIDOS]:[V_FUT_UTEIS]],K$5, FALSE)</f>
        <v>#N/A</v>
      </c>
      <c r="L3686" s="22" t="e">
        <f>VLOOKUP($A3686, TAB_AMORTIZACAO_C[[DIAS_CORRIDOS]:[V_FUT_UTEIS]], L$5, FALSE)</f>
        <v>#N/A</v>
      </c>
    </row>
    <row r="3687" spans="1:12" hidden="1">
      <c r="A3687" s="19">
        <f t="shared" si="294"/>
        <v>3681</v>
      </c>
      <c r="B3687" s="20">
        <f t="shared" si="290"/>
        <v>0</v>
      </c>
      <c r="C3687" s="21">
        <f t="shared" si="291"/>
        <v>0</v>
      </c>
      <c r="D3687" s="22" t="e">
        <f>VLOOKUP($A3687, TAB_JUROS_U[[Q_DIAS_U_PARC_TIR]:[V_FUT_U_JURS CENARIO]], D$5, FALSE)</f>
        <v>#N/A</v>
      </c>
      <c r="E3687" s="22" t="e">
        <f>VLOOKUP($A3687,TAB_CORRECAO_U[[Q_DIAS_U_PARC_TIR]:[V_FUT_U_CORC-02]],E$5, FALSE)</f>
        <v>#N/A</v>
      </c>
      <c r="F3687" s="22" t="e">
        <f>VLOOKUP($A3687,TAB_AMORTIZACAO_U[[Q_DIAS_U_PARC_TIR]:[V_FUT_U_PCPL-02]], F$5, FALSE)</f>
        <v>#N/A</v>
      </c>
      <c r="H3687" s="20">
        <f t="shared" si="292"/>
        <v>0</v>
      </c>
      <c r="I3687" s="21">
        <f t="shared" si="293"/>
        <v>0</v>
      </c>
      <c r="J3687" s="22" t="e">
        <f>VLOOKUP($A3687, TAB_JUROS_C[[DIAS_CORRIDOS]:[V_FUT_UTEIS]], J$5, FALSE)</f>
        <v>#N/A</v>
      </c>
      <c r="K3687" s="22" t="e">
        <f>VLOOKUP($A3687, TAB_CORRECAO_C[[DIAS_CORRIDOS]:[V_FUT_UTEIS]],K$5, FALSE)</f>
        <v>#N/A</v>
      </c>
      <c r="L3687" s="22" t="e">
        <f>VLOOKUP($A3687, TAB_AMORTIZACAO_C[[DIAS_CORRIDOS]:[V_FUT_UTEIS]], L$5, FALSE)</f>
        <v>#N/A</v>
      </c>
    </row>
    <row r="3688" spans="1:12" hidden="1">
      <c r="A3688" s="19">
        <f t="shared" si="294"/>
        <v>3682</v>
      </c>
      <c r="B3688" s="20">
        <f t="shared" si="290"/>
        <v>0</v>
      </c>
      <c r="C3688" s="21">
        <f t="shared" si="291"/>
        <v>0</v>
      </c>
      <c r="D3688" s="22" t="e">
        <f>VLOOKUP($A3688, TAB_JUROS_U[[Q_DIAS_U_PARC_TIR]:[V_FUT_U_JURS CENARIO]], D$5, FALSE)</f>
        <v>#N/A</v>
      </c>
      <c r="E3688" s="22" t="e">
        <f>VLOOKUP($A3688,TAB_CORRECAO_U[[Q_DIAS_U_PARC_TIR]:[V_FUT_U_CORC-02]],E$5, FALSE)</f>
        <v>#N/A</v>
      </c>
      <c r="F3688" s="22" t="e">
        <f>VLOOKUP($A3688,TAB_AMORTIZACAO_U[[Q_DIAS_U_PARC_TIR]:[V_FUT_U_PCPL-02]], F$5, FALSE)</f>
        <v>#N/A</v>
      </c>
      <c r="H3688" s="20">
        <f t="shared" si="292"/>
        <v>0</v>
      </c>
      <c r="I3688" s="21">
        <f t="shared" si="293"/>
        <v>0</v>
      </c>
      <c r="J3688" s="22" t="e">
        <f>VLOOKUP($A3688, TAB_JUROS_C[[DIAS_CORRIDOS]:[V_FUT_UTEIS]], J$5, FALSE)</f>
        <v>#N/A</v>
      </c>
      <c r="K3688" s="22" t="e">
        <f>VLOOKUP($A3688, TAB_CORRECAO_C[[DIAS_CORRIDOS]:[V_FUT_UTEIS]],K$5, FALSE)</f>
        <v>#N/A</v>
      </c>
      <c r="L3688" s="22" t="e">
        <f>VLOOKUP($A3688, TAB_AMORTIZACAO_C[[DIAS_CORRIDOS]:[V_FUT_UTEIS]], L$5, FALSE)</f>
        <v>#N/A</v>
      </c>
    </row>
    <row r="3689" spans="1:12" hidden="1">
      <c r="A3689" s="19">
        <f t="shared" si="294"/>
        <v>3683</v>
      </c>
      <c r="B3689" s="20">
        <f t="shared" si="290"/>
        <v>0</v>
      </c>
      <c r="C3689" s="21">
        <f t="shared" si="291"/>
        <v>0</v>
      </c>
      <c r="D3689" s="22" t="e">
        <f>VLOOKUP($A3689, TAB_JUROS_U[[Q_DIAS_U_PARC_TIR]:[V_FUT_U_JURS CENARIO]], D$5, FALSE)</f>
        <v>#N/A</v>
      </c>
      <c r="E3689" s="22" t="e">
        <f>VLOOKUP($A3689,TAB_CORRECAO_U[[Q_DIAS_U_PARC_TIR]:[V_FUT_U_CORC-02]],E$5, FALSE)</f>
        <v>#N/A</v>
      </c>
      <c r="F3689" s="22" t="e">
        <f>VLOOKUP($A3689,TAB_AMORTIZACAO_U[[Q_DIAS_U_PARC_TIR]:[V_FUT_U_PCPL-02]], F$5, FALSE)</f>
        <v>#N/A</v>
      </c>
      <c r="H3689" s="20">
        <f t="shared" si="292"/>
        <v>0</v>
      </c>
      <c r="I3689" s="21">
        <f t="shared" si="293"/>
        <v>0</v>
      </c>
      <c r="J3689" s="22" t="e">
        <f>VLOOKUP($A3689, TAB_JUROS_C[[DIAS_CORRIDOS]:[V_FUT_UTEIS]], J$5, FALSE)</f>
        <v>#N/A</v>
      </c>
      <c r="K3689" s="22" t="e">
        <f>VLOOKUP($A3689, TAB_CORRECAO_C[[DIAS_CORRIDOS]:[V_FUT_UTEIS]],K$5, FALSE)</f>
        <v>#N/A</v>
      </c>
      <c r="L3689" s="22" t="e">
        <f>VLOOKUP($A3689, TAB_AMORTIZACAO_C[[DIAS_CORRIDOS]:[V_FUT_UTEIS]], L$5, FALSE)</f>
        <v>#N/A</v>
      </c>
    </row>
    <row r="3690" spans="1:12" hidden="1">
      <c r="A3690" s="19">
        <f t="shared" si="294"/>
        <v>3684</v>
      </c>
      <c r="B3690" s="20">
        <f t="shared" si="290"/>
        <v>0</v>
      </c>
      <c r="C3690" s="21">
        <f t="shared" si="291"/>
        <v>0</v>
      </c>
      <c r="D3690" s="22" t="e">
        <f>VLOOKUP($A3690, TAB_JUROS_U[[Q_DIAS_U_PARC_TIR]:[V_FUT_U_JURS CENARIO]], D$5, FALSE)</f>
        <v>#N/A</v>
      </c>
      <c r="E3690" s="22" t="e">
        <f>VLOOKUP($A3690,TAB_CORRECAO_U[[Q_DIAS_U_PARC_TIR]:[V_FUT_U_CORC-02]],E$5, FALSE)</f>
        <v>#N/A</v>
      </c>
      <c r="F3690" s="22" t="e">
        <f>VLOOKUP($A3690,TAB_AMORTIZACAO_U[[Q_DIAS_U_PARC_TIR]:[V_FUT_U_PCPL-02]], F$5, FALSE)</f>
        <v>#N/A</v>
      </c>
      <c r="H3690" s="20">
        <f t="shared" si="292"/>
        <v>0</v>
      </c>
      <c r="I3690" s="21">
        <f t="shared" si="293"/>
        <v>0</v>
      </c>
      <c r="J3690" s="22" t="e">
        <f>VLOOKUP($A3690, TAB_JUROS_C[[DIAS_CORRIDOS]:[V_FUT_UTEIS]], J$5, FALSE)</f>
        <v>#N/A</v>
      </c>
      <c r="K3690" s="22" t="e">
        <f>VLOOKUP($A3690, TAB_CORRECAO_C[[DIAS_CORRIDOS]:[V_FUT_UTEIS]],K$5, FALSE)</f>
        <v>#N/A</v>
      </c>
      <c r="L3690" s="22" t="e">
        <f>VLOOKUP($A3690, TAB_AMORTIZACAO_C[[DIAS_CORRIDOS]:[V_FUT_UTEIS]], L$5, FALSE)</f>
        <v>#N/A</v>
      </c>
    </row>
    <row r="3691" spans="1:12" hidden="1">
      <c r="A3691" s="19">
        <f t="shared" si="294"/>
        <v>3685</v>
      </c>
      <c r="B3691" s="20">
        <f t="shared" si="290"/>
        <v>0</v>
      </c>
      <c r="C3691" s="21">
        <f t="shared" si="291"/>
        <v>0</v>
      </c>
      <c r="D3691" s="22" t="e">
        <f>VLOOKUP($A3691, TAB_JUROS_U[[Q_DIAS_U_PARC_TIR]:[V_FUT_U_JURS CENARIO]], D$5, FALSE)</f>
        <v>#N/A</v>
      </c>
      <c r="E3691" s="22" t="e">
        <f>VLOOKUP($A3691,TAB_CORRECAO_U[[Q_DIAS_U_PARC_TIR]:[V_FUT_U_CORC-02]],E$5, FALSE)</f>
        <v>#N/A</v>
      </c>
      <c r="F3691" s="22" t="e">
        <f>VLOOKUP($A3691,TAB_AMORTIZACAO_U[[Q_DIAS_U_PARC_TIR]:[V_FUT_U_PCPL-02]], F$5, FALSE)</f>
        <v>#N/A</v>
      </c>
      <c r="H3691" s="20">
        <f t="shared" si="292"/>
        <v>0</v>
      </c>
      <c r="I3691" s="21">
        <f t="shared" si="293"/>
        <v>0</v>
      </c>
      <c r="J3691" s="22" t="e">
        <f>VLOOKUP($A3691, TAB_JUROS_C[[DIAS_CORRIDOS]:[V_FUT_UTEIS]], J$5, FALSE)</f>
        <v>#N/A</v>
      </c>
      <c r="K3691" s="22" t="e">
        <f>VLOOKUP($A3691, TAB_CORRECAO_C[[DIAS_CORRIDOS]:[V_FUT_UTEIS]],K$5, FALSE)</f>
        <v>#N/A</v>
      </c>
      <c r="L3691" s="22" t="e">
        <f>VLOOKUP($A3691, TAB_AMORTIZACAO_C[[DIAS_CORRIDOS]:[V_FUT_UTEIS]], L$5, FALSE)</f>
        <v>#N/A</v>
      </c>
    </row>
    <row r="3692" spans="1:12" hidden="1">
      <c r="A3692" s="19">
        <f t="shared" si="294"/>
        <v>3686</v>
      </c>
      <c r="B3692" s="20">
        <f t="shared" si="290"/>
        <v>0</v>
      </c>
      <c r="C3692" s="21">
        <f t="shared" si="291"/>
        <v>0</v>
      </c>
      <c r="D3692" s="22" t="e">
        <f>VLOOKUP($A3692, TAB_JUROS_U[[Q_DIAS_U_PARC_TIR]:[V_FUT_U_JURS CENARIO]], D$5, FALSE)</f>
        <v>#N/A</v>
      </c>
      <c r="E3692" s="22" t="e">
        <f>VLOOKUP($A3692,TAB_CORRECAO_U[[Q_DIAS_U_PARC_TIR]:[V_FUT_U_CORC-02]],E$5, FALSE)</f>
        <v>#N/A</v>
      </c>
      <c r="F3692" s="22" t="e">
        <f>VLOOKUP($A3692,TAB_AMORTIZACAO_U[[Q_DIAS_U_PARC_TIR]:[V_FUT_U_PCPL-02]], F$5, FALSE)</f>
        <v>#N/A</v>
      </c>
      <c r="H3692" s="20">
        <f t="shared" si="292"/>
        <v>0</v>
      </c>
      <c r="I3692" s="21">
        <f t="shared" si="293"/>
        <v>0</v>
      </c>
      <c r="J3692" s="22" t="e">
        <f>VLOOKUP($A3692, TAB_JUROS_C[[DIAS_CORRIDOS]:[V_FUT_UTEIS]], J$5, FALSE)</f>
        <v>#N/A</v>
      </c>
      <c r="K3692" s="22" t="e">
        <f>VLOOKUP($A3692, TAB_CORRECAO_C[[DIAS_CORRIDOS]:[V_FUT_UTEIS]],K$5, FALSE)</f>
        <v>#N/A</v>
      </c>
      <c r="L3692" s="22" t="e">
        <f>VLOOKUP($A3692, TAB_AMORTIZACAO_C[[DIAS_CORRIDOS]:[V_FUT_UTEIS]], L$5, FALSE)</f>
        <v>#N/A</v>
      </c>
    </row>
    <row r="3693" spans="1:12" hidden="1">
      <c r="A3693" s="19">
        <f t="shared" si="294"/>
        <v>3687</v>
      </c>
      <c r="B3693" s="20">
        <f t="shared" si="290"/>
        <v>0</v>
      </c>
      <c r="C3693" s="21">
        <f t="shared" si="291"/>
        <v>0</v>
      </c>
      <c r="D3693" s="22" t="e">
        <f>VLOOKUP($A3693, TAB_JUROS_U[[Q_DIAS_U_PARC_TIR]:[V_FUT_U_JURS CENARIO]], D$5, FALSE)</f>
        <v>#N/A</v>
      </c>
      <c r="E3693" s="22" t="e">
        <f>VLOOKUP($A3693,TAB_CORRECAO_U[[Q_DIAS_U_PARC_TIR]:[V_FUT_U_CORC-02]],E$5, FALSE)</f>
        <v>#N/A</v>
      </c>
      <c r="F3693" s="22" t="e">
        <f>VLOOKUP($A3693,TAB_AMORTIZACAO_U[[Q_DIAS_U_PARC_TIR]:[V_FUT_U_PCPL-02]], F$5, FALSE)</f>
        <v>#N/A</v>
      </c>
      <c r="H3693" s="20">
        <f t="shared" si="292"/>
        <v>0</v>
      </c>
      <c r="I3693" s="21">
        <f t="shared" si="293"/>
        <v>0</v>
      </c>
      <c r="J3693" s="22" t="e">
        <f>VLOOKUP($A3693, TAB_JUROS_C[[DIAS_CORRIDOS]:[V_FUT_UTEIS]], J$5, FALSE)</f>
        <v>#N/A</v>
      </c>
      <c r="K3693" s="22" t="e">
        <f>VLOOKUP($A3693, TAB_CORRECAO_C[[DIAS_CORRIDOS]:[V_FUT_UTEIS]],K$5, FALSE)</f>
        <v>#N/A</v>
      </c>
      <c r="L3693" s="22" t="e">
        <f>VLOOKUP($A3693, TAB_AMORTIZACAO_C[[DIAS_CORRIDOS]:[V_FUT_UTEIS]], L$5, FALSE)</f>
        <v>#N/A</v>
      </c>
    </row>
    <row r="3694" spans="1:12" hidden="1">
      <c r="A3694" s="19">
        <f t="shared" si="294"/>
        <v>3688</v>
      </c>
      <c r="B3694" s="20">
        <f t="shared" si="290"/>
        <v>0</v>
      </c>
      <c r="C3694" s="21">
        <f t="shared" si="291"/>
        <v>0</v>
      </c>
      <c r="D3694" s="22" t="e">
        <f>VLOOKUP($A3694, TAB_JUROS_U[[Q_DIAS_U_PARC_TIR]:[V_FUT_U_JURS CENARIO]], D$5, FALSE)</f>
        <v>#N/A</v>
      </c>
      <c r="E3694" s="22" t="e">
        <f>VLOOKUP($A3694,TAB_CORRECAO_U[[Q_DIAS_U_PARC_TIR]:[V_FUT_U_CORC-02]],E$5, FALSE)</f>
        <v>#N/A</v>
      </c>
      <c r="F3694" s="22" t="e">
        <f>VLOOKUP($A3694,TAB_AMORTIZACAO_U[[Q_DIAS_U_PARC_TIR]:[V_FUT_U_PCPL-02]], F$5, FALSE)</f>
        <v>#N/A</v>
      </c>
      <c r="H3694" s="20">
        <f t="shared" si="292"/>
        <v>0</v>
      </c>
      <c r="I3694" s="21">
        <f t="shared" si="293"/>
        <v>0</v>
      </c>
      <c r="J3694" s="22" t="e">
        <f>VLOOKUP($A3694, TAB_JUROS_C[[DIAS_CORRIDOS]:[V_FUT_UTEIS]], J$5, FALSE)</f>
        <v>#N/A</v>
      </c>
      <c r="K3694" s="22" t="e">
        <f>VLOOKUP($A3694, TAB_CORRECAO_C[[DIAS_CORRIDOS]:[V_FUT_UTEIS]],K$5, FALSE)</f>
        <v>#N/A</v>
      </c>
      <c r="L3694" s="22" t="e">
        <f>VLOOKUP($A3694, TAB_AMORTIZACAO_C[[DIAS_CORRIDOS]:[V_FUT_UTEIS]], L$5, FALSE)</f>
        <v>#N/A</v>
      </c>
    </row>
    <row r="3695" spans="1:12" hidden="1">
      <c r="A3695" s="19">
        <f t="shared" si="294"/>
        <v>3689</v>
      </c>
      <c r="B3695" s="20">
        <f t="shared" si="290"/>
        <v>0</v>
      </c>
      <c r="C3695" s="21">
        <f t="shared" si="291"/>
        <v>0</v>
      </c>
      <c r="D3695" s="22" t="e">
        <f>VLOOKUP($A3695, TAB_JUROS_U[[Q_DIAS_U_PARC_TIR]:[V_FUT_U_JURS CENARIO]], D$5, FALSE)</f>
        <v>#N/A</v>
      </c>
      <c r="E3695" s="22" t="e">
        <f>VLOOKUP($A3695,TAB_CORRECAO_U[[Q_DIAS_U_PARC_TIR]:[V_FUT_U_CORC-02]],E$5, FALSE)</f>
        <v>#N/A</v>
      </c>
      <c r="F3695" s="22" t="e">
        <f>VLOOKUP($A3695,TAB_AMORTIZACAO_U[[Q_DIAS_U_PARC_TIR]:[V_FUT_U_PCPL-02]], F$5, FALSE)</f>
        <v>#N/A</v>
      </c>
      <c r="H3695" s="20">
        <f t="shared" si="292"/>
        <v>0</v>
      </c>
      <c r="I3695" s="21">
        <f t="shared" si="293"/>
        <v>0</v>
      </c>
      <c r="J3695" s="22" t="e">
        <f>VLOOKUP($A3695, TAB_JUROS_C[[DIAS_CORRIDOS]:[V_FUT_UTEIS]], J$5, FALSE)</f>
        <v>#N/A</v>
      </c>
      <c r="K3695" s="22" t="e">
        <f>VLOOKUP($A3695, TAB_CORRECAO_C[[DIAS_CORRIDOS]:[V_FUT_UTEIS]],K$5, FALSE)</f>
        <v>#N/A</v>
      </c>
      <c r="L3695" s="22" t="e">
        <f>VLOOKUP($A3695, TAB_AMORTIZACAO_C[[DIAS_CORRIDOS]:[V_FUT_UTEIS]], L$5, FALSE)</f>
        <v>#N/A</v>
      </c>
    </row>
    <row r="3696" spans="1:12" hidden="1">
      <c r="A3696" s="19">
        <f t="shared" si="294"/>
        <v>3690</v>
      </c>
      <c r="B3696" s="20">
        <f t="shared" si="290"/>
        <v>0</v>
      </c>
      <c r="C3696" s="21">
        <f t="shared" si="291"/>
        <v>0</v>
      </c>
      <c r="D3696" s="22" t="e">
        <f>VLOOKUP($A3696, TAB_JUROS_U[[Q_DIAS_U_PARC_TIR]:[V_FUT_U_JURS CENARIO]], D$5, FALSE)</f>
        <v>#N/A</v>
      </c>
      <c r="E3696" s="22" t="e">
        <f>VLOOKUP($A3696,TAB_CORRECAO_U[[Q_DIAS_U_PARC_TIR]:[V_FUT_U_CORC-02]],E$5, FALSE)</f>
        <v>#N/A</v>
      </c>
      <c r="F3696" s="22" t="e">
        <f>VLOOKUP($A3696,TAB_AMORTIZACAO_U[[Q_DIAS_U_PARC_TIR]:[V_FUT_U_PCPL-02]], F$5, FALSE)</f>
        <v>#N/A</v>
      </c>
      <c r="H3696" s="20">
        <f t="shared" si="292"/>
        <v>0</v>
      </c>
      <c r="I3696" s="21">
        <f t="shared" si="293"/>
        <v>0</v>
      </c>
      <c r="J3696" s="22" t="e">
        <f>VLOOKUP($A3696, TAB_JUROS_C[[DIAS_CORRIDOS]:[V_FUT_UTEIS]], J$5, FALSE)</f>
        <v>#N/A</v>
      </c>
      <c r="K3696" s="22" t="e">
        <f>VLOOKUP($A3696, TAB_CORRECAO_C[[DIAS_CORRIDOS]:[V_FUT_UTEIS]],K$5, FALSE)</f>
        <v>#N/A</v>
      </c>
      <c r="L3696" s="22" t="e">
        <f>VLOOKUP($A3696, TAB_AMORTIZACAO_C[[DIAS_CORRIDOS]:[V_FUT_UTEIS]], L$5, FALSE)</f>
        <v>#N/A</v>
      </c>
    </row>
    <row r="3697" spans="1:12" hidden="1">
      <c r="A3697" s="19">
        <f t="shared" si="294"/>
        <v>3691</v>
      </c>
      <c r="B3697" s="20">
        <f t="shared" si="290"/>
        <v>0</v>
      </c>
      <c r="C3697" s="21">
        <f t="shared" si="291"/>
        <v>0</v>
      </c>
      <c r="D3697" s="22" t="e">
        <f>VLOOKUP($A3697, TAB_JUROS_U[[Q_DIAS_U_PARC_TIR]:[V_FUT_U_JURS CENARIO]], D$5, FALSE)</f>
        <v>#N/A</v>
      </c>
      <c r="E3697" s="22" t="e">
        <f>VLOOKUP($A3697,TAB_CORRECAO_U[[Q_DIAS_U_PARC_TIR]:[V_FUT_U_CORC-02]],E$5, FALSE)</f>
        <v>#N/A</v>
      </c>
      <c r="F3697" s="22" t="e">
        <f>VLOOKUP($A3697,TAB_AMORTIZACAO_U[[Q_DIAS_U_PARC_TIR]:[V_FUT_U_PCPL-02]], F$5, FALSE)</f>
        <v>#N/A</v>
      </c>
      <c r="H3697" s="20">
        <f t="shared" si="292"/>
        <v>0</v>
      </c>
      <c r="I3697" s="21">
        <f t="shared" si="293"/>
        <v>0</v>
      </c>
      <c r="J3697" s="22" t="e">
        <f>VLOOKUP($A3697, TAB_JUROS_C[[DIAS_CORRIDOS]:[V_FUT_UTEIS]], J$5, FALSE)</f>
        <v>#N/A</v>
      </c>
      <c r="K3697" s="22" t="e">
        <f>VLOOKUP($A3697, TAB_CORRECAO_C[[DIAS_CORRIDOS]:[V_FUT_UTEIS]],K$5, FALSE)</f>
        <v>#N/A</v>
      </c>
      <c r="L3697" s="22" t="e">
        <f>VLOOKUP($A3697, TAB_AMORTIZACAO_C[[DIAS_CORRIDOS]:[V_FUT_UTEIS]], L$5, FALSE)</f>
        <v>#N/A</v>
      </c>
    </row>
    <row r="3698" spans="1:12" hidden="1">
      <c r="A3698" s="19">
        <f t="shared" si="294"/>
        <v>3692</v>
      </c>
      <c r="B3698" s="20">
        <f t="shared" si="290"/>
        <v>0</v>
      </c>
      <c r="C3698" s="21">
        <f t="shared" si="291"/>
        <v>0</v>
      </c>
      <c r="D3698" s="22" t="e">
        <f>VLOOKUP($A3698, TAB_JUROS_U[[Q_DIAS_U_PARC_TIR]:[V_FUT_U_JURS CENARIO]], D$5, FALSE)</f>
        <v>#N/A</v>
      </c>
      <c r="E3698" s="22" t="e">
        <f>VLOOKUP($A3698,TAB_CORRECAO_U[[Q_DIAS_U_PARC_TIR]:[V_FUT_U_CORC-02]],E$5, FALSE)</f>
        <v>#N/A</v>
      </c>
      <c r="F3698" s="22" t="e">
        <f>VLOOKUP($A3698,TAB_AMORTIZACAO_U[[Q_DIAS_U_PARC_TIR]:[V_FUT_U_PCPL-02]], F$5, FALSE)</f>
        <v>#N/A</v>
      </c>
      <c r="H3698" s="20">
        <f t="shared" si="292"/>
        <v>0</v>
      </c>
      <c r="I3698" s="21">
        <f t="shared" si="293"/>
        <v>0</v>
      </c>
      <c r="J3698" s="22" t="e">
        <f>VLOOKUP($A3698, TAB_JUROS_C[[DIAS_CORRIDOS]:[V_FUT_UTEIS]], J$5, FALSE)</f>
        <v>#N/A</v>
      </c>
      <c r="K3698" s="22" t="e">
        <f>VLOOKUP($A3698, TAB_CORRECAO_C[[DIAS_CORRIDOS]:[V_FUT_UTEIS]],K$5, FALSE)</f>
        <v>#N/A</v>
      </c>
      <c r="L3698" s="22" t="e">
        <f>VLOOKUP($A3698, TAB_AMORTIZACAO_C[[DIAS_CORRIDOS]:[V_FUT_UTEIS]], L$5, FALSE)</f>
        <v>#N/A</v>
      </c>
    </row>
    <row r="3699" spans="1:12" hidden="1">
      <c r="A3699" s="19">
        <f t="shared" si="294"/>
        <v>3693</v>
      </c>
      <c r="B3699" s="20">
        <f t="shared" si="290"/>
        <v>0</v>
      </c>
      <c r="C3699" s="21">
        <f t="shared" si="291"/>
        <v>0</v>
      </c>
      <c r="D3699" s="22" t="e">
        <f>VLOOKUP($A3699, TAB_JUROS_U[[Q_DIAS_U_PARC_TIR]:[V_FUT_U_JURS CENARIO]], D$5, FALSE)</f>
        <v>#N/A</v>
      </c>
      <c r="E3699" s="22" t="e">
        <f>VLOOKUP($A3699,TAB_CORRECAO_U[[Q_DIAS_U_PARC_TIR]:[V_FUT_U_CORC-02]],E$5, FALSE)</f>
        <v>#N/A</v>
      </c>
      <c r="F3699" s="22" t="e">
        <f>VLOOKUP($A3699,TAB_AMORTIZACAO_U[[Q_DIAS_U_PARC_TIR]:[V_FUT_U_PCPL-02]], F$5, FALSE)</f>
        <v>#N/A</v>
      </c>
      <c r="H3699" s="20">
        <f t="shared" si="292"/>
        <v>0</v>
      </c>
      <c r="I3699" s="21">
        <f t="shared" si="293"/>
        <v>0</v>
      </c>
      <c r="J3699" s="22" t="e">
        <f>VLOOKUP($A3699, TAB_JUROS_C[[DIAS_CORRIDOS]:[V_FUT_UTEIS]], J$5, FALSE)</f>
        <v>#N/A</v>
      </c>
      <c r="K3699" s="22" t="e">
        <f>VLOOKUP($A3699, TAB_CORRECAO_C[[DIAS_CORRIDOS]:[V_FUT_UTEIS]],K$5, FALSE)</f>
        <v>#N/A</v>
      </c>
      <c r="L3699" s="22" t="e">
        <f>VLOOKUP($A3699, TAB_AMORTIZACAO_C[[DIAS_CORRIDOS]:[V_FUT_UTEIS]], L$5, FALSE)</f>
        <v>#N/A</v>
      </c>
    </row>
    <row r="3700" spans="1:12" hidden="1">
      <c r="A3700" s="19">
        <f t="shared" si="294"/>
        <v>3694</v>
      </c>
      <c r="B3700" s="20">
        <f t="shared" si="290"/>
        <v>0</v>
      </c>
      <c r="C3700" s="21">
        <f t="shared" si="291"/>
        <v>0</v>
      </c>
      <c r="D3700" s="22" t="e">
        <f>VLOOKUP($A3700, TAB_JUROS_U[[Q_DIAS_U_PARC_TIR]:[V_FUT_U_JURS CENARIO]], D$5, FALSE)</f>
        <v>#N/A</v>
      </c>
      <c r="E3700" s="22" t="e">
        <f>VLOOKUP($A3700,TAB_CORRECAO_U[[Q_DIAS_U_PARC_TIR]:[V_FUT_U_CORC-02]],E$5, FALSE)</f>
        <v>#N/A</v>
      </c>
      <c r="F3700" s="22" t="e">
        <f>VLOOKUP($A3700,TAB_AMORTIZACAO_U[[Q_DIAS_U_PARC_TIR]:[V_FUT_U_PCPL-02]], F$5, FALSE)</f>
        <v>#N/A</v>
      </c>
      <c r="H3700" s="20">
        <f t="shared" si="292"/>
        <v>0</v>
      </c>
      <c r="I3700" s="21">
        <f t="shared" si="293"/>
        <v>0</v>
      </c>
      <c r="J3700" s="22" t="e">
        <f>VLOOKUP($A3700, TAB_JUROS_C[[DIAS_CORRIDOS]:[V_FUT_UTEIS]], J$5, FALSE)</f>
        <v>#N/A</v>
      </c>
      <c r="K3700" s="22" t="e">
        <f>VLOOKUP($A3700, TAB_CORRECAO_C[[DIAS_CORRIDOS]:[V_FUT_UTEIS]],K$5, FALSE)</f>
        <v>#N/A</v>
      </c>
      <c r="L3700" s="22" t="e">
        <f>VLOOKUP($A3700, TAB_AMORTIZACAO_C[[DIAS_CORRIDOS]:[V_FUT_UTEIS]], L$5, FALSE)</f>
        <v>#N/A</v>
      </c>
    </row>
    <row r="3701" spans="1:12" hidden="1">
      <c r="A3701" s="19">
        <f t="shared" si="294"/>
        <v>3695</v>
      </c>
      <c r="B3701" s="20">
        <f t="shared" si="290"/>
        <v>0</v>
      </c>
      <c r="C3701" s="21">
        <f t="shared" si="291"/>
        <v>0</v>
      </c>
      <c r="D3701" s="22" t="e">
        <f>VLOOKUP($A3701, TAB_JUROS_U[[Q_DIAS_U_PARC_TIR]:[V_FUT_U_JURS CENARIO]], D$5, FALSE)</f>
        <v>#N/A</v>
      </c>
      <c r="E3701" s="22" t="e">
        <f>VLOOKUP($A3701,TAB_CORRECAO_U[[Q_DIAS_U_PARC_TIR]:[V_FUT_U_CORC-02]],E$5, FALSE)</f>
        <v>#N/A</v>
      </c>
      <c r="F3701" s="22" t="e">
        <f>VLOOKUP($A3701,TAB_AMORTIZACAO_U[[Q_DIAS_U_PARC_TIR]:[V_FUT_U_PCPL-02]], F$5, FALSE)</f>
        <v>#N/A</v>
      </c>
      <c r="H3701" s="20">
        <f t="shared" si="292"/>
        <v>0</v>
      </c>
      <c r="I3701" s="21">
        <f t="shared" si="293"/>
        <v>0</v>
      </c>
      <c r="J3701" s="22" t="e">
        <f>VLOOKUP($A3701, TAB_JUROS_C[[DIAS_CORRIDOS]:[V_FUT_UTEIS]], J$5, FALSE)</f>
        <v>#N/A</v>
      </c>
      <c r="K3701" s="22" t="e">
        <f>VLOOKUP($A3701, TAB_CORRECAO_C[[DIAS_CORRIDOS]:[V_FUT_UTEIS]],K$5, FALSE)</f>
        <v>#N/A</v>
      </c>
      <c r="L3701" s="22" t="e">
        <f>VLOOKUP($A3701, TAB_AMORTIZACAO_C[[DIAS_CORRIDOS]:[V_FUT_UTEIS]], L$5, FALSE)</f>
        <v>#N/A</v>
      </c>
    </row>
    <row r="3702" spans="1:12" hidden="1">
      <c r="A3702" s="19">
        <f t="shared" si="294"/>
        <v>3696</v>
      </c>
      <c r="B3702" s="20">
        <f t="shared" si="290"/>
        <v>0</v>
      </c>
      <c r="C3702" s="21">
        <f t="shared" si="291"/>
        <v>0</v>
      </c>
      <c r="D3702" s="22" t="e">
        <f>VLOOKUP($A3702, TAB_JUROS_U[[Q_DIAS_U_PARC_TIR]:[V_FUT_U_JURS CENARIO]], D$5, FALSE)</f>
        <v>#N/A</v>
      </c>
      <c r="E3702" s="22" t="e">
        <f>VLOOKUP($A3702,TAB_CORRECAO_U[[Q_DIAS_U_PARC_TIR]:[V_FUT_U_CORC-02]],E$5, FALSE)</f>
        <v>#N/A</v>
      </c>
      <c r="F3702" s="22" t="e">
        <f>VLOOKUP($A3702,TAB_AMORTIZACAO_U[[Q_DIAS_U_PARC_TIR]:[V_FUT_U_PCPL-02]], F$5, FALSE)</f>
        <v>#N/A</v>
      </c>
      <c r="H3702" s="20">
        <f t="shared" si="292"/>
        <v>162.01401254893761</v>
      </c>
      <c r="I3702" s="21">
        <f t="shared" si="293"/>
        <v>162.01401254893761</v>
      </c>
      <c r="J3702" s="22">
        <f>VLOOKUP($A3702, TAB_JUROS_C[[DIAS_CORRIDOS]:[V_FUT_UTEIS]], J$5, FALSE)</f>
        <v>5.4789921590263786</v>
      </c>
      <c r="K3702" s="22">
        <f>VLOOKUP($A3702, TAB_CORRECAO_C[[DIAS_CORRIDOS]:[V_FUT_UTEIS]],K$5, FALSE)</f>
        <v>34.073592003710374</v>
      </c>
      <c r="L3702" s="22">
        <f>VLOOKUP($A3702, TAB_AMORTIZACAO_C[[DIAS_CORRIDOS]:[V_FUT_UTEIS]], L$5, FALSE)</f>
        <v>122.46142838620086</v>
      </c>
    </row>
    <row r="3703" spans="1:12" hidden="1">
      <c r="A3703" s="19">
        <f t="shared" si="294"/>
        <v>3697</v>
      </c>
      <c r="B3703" s="20">
        <f t="shared" si="290"/>
        <v>0</v>
      </c>
      <c r="C3703" s="21">
        <f t="shared" si="291"/>
        <v>0</v>
      </c>
      <c r="D3703" s="22" t="e">
        <f>VLOOKUP($A3703, TAB_JUROS_U[[Q_DIAS_U_PARC_TIR]:[V_FUT_U_JURS CENARIO]], D$5, FALSE)</f>
        <v>#N/A</v>
      </c>
      <c r="E3703" s="22" t="e">
        <f>VLOOKUP($A3703,TAB_CORRECAO_U[[Q_DIAS_U_PARC_TIR]:[V_FUT_U_CORC-02]],E$5, FALSE)</f>
        <v>#N/A</v>
      </c>
      <c r="F3703" s="22" t="e">
        <f>VLOOKUP($A3703,TAB_AMORTIZACAO_U[[Q_DIAS_U_PARC_TIR]:[V_FUT_U_PCPL-02]], F$5, FALSE)</f>
        <v>#N/A</v>
      </c>
      <c r="H3703" s="20">
        <f t="shared" si="292"/>
        <v>0</v>
      </c>
      <c r="I3703" s="21">
        <f t="shared" si="293"/>
        <v>0</v>
      </c>
      <c r="J3703" s="22" t="e">
        <f>VLOOKUP($A3703, TAB_JUROS_C[[DIAS_CORRIDOS]:[V_FUT_UTEIS]], J$5, FALSE)</f>
        <v>#N/A</v>
      </c>
      <c r="K3703" s="22" t="e">
        <f>VLOOKUP($A3703, TAB_CORRECAO_C[[DIAS_CORRIDOS]:[V_FUT_UTEIS]],K$5, FALSE)</f>
        <v>#N/A</v>
      </c>
      <c r="L3703" s="22" t="e">
        <f>VLOOKUP($A3703, TAB_AMORTIZACAO_C[[DIAS_CORRIDOS]:[V_FUT_UTEIS]], L$5, FALSE)</f>
        <v>#N/A</v>
      </c>
    </row>
    <row r="3704" spans="1:12" hidden="1">
      <c r="A3704" s="19">
        <f t="shared" si="294"/>
        <v>3698</v>
      </c>
      <c r="B3704" s="20">
        <f t="shared" si="290"/>
        <v>0</v>
      </c>
      <c r="C3704" s="21">
        <f t="shared" si="291"/>
        <v>0</v>
      </c>
      <c r="D3704" s="22" t="e">
        <f>VLOOKUP($A3704, TAB_JUROS_U[[Q_DIAS_U_PARC_TIR]:[V_FUT_U_JURS CENARIO]], D$5, FALSE)</f>
        <v>#N/A</v>
      </c>
      <c r="E3704" s="22" t="e">
        <f>VLOOKUP($A3704,TAB_CORRECAO_U[[Q_DIAS_U_PARC_TIR]:[V_FUT_U_CORC-02]],E$5, FALSE)</f>
        <v>#N/A</v>
      </c>
      <c r="F3704" s="22" t="e">
        <f>VLOOKUP($A3704,TAB_AMORTIZACAO_U[[Q_DIAS_U_PARC_TIR]:[V_FUT_U_PCPL-02]], F$5, FALSE)</f>
        <v>#N/A</v>
      </c>
      <c r="H3704" s="20">
        <f t="shared" si="292"/>
        <v>0</v>
      </c>
      <c r="I3704" s="21">
        <f t="shared" si="293"/>
        <v>0</v>
      </c>
      <c r="J3704" s="22" t="e">
        <f>VLOOKUP($A3704, TAB_JUROS_C[[DIAS_CORRIDOS]:[V_FUT_UTEIS]], J$5, FALSE)</f>
        <v>#N/A</v>
      </c>
      <c r="K3704" s="22" t="e">
        <f>VLOOKUP($A3704, TAB_CORRECAO_C[[DIAS_CORRIDOS]:[V_FUT_UTEIS]],K$5, FALSE)</f>
        <v>#N/A</v>
      </c>
      <c r="L3704" s="22" t="e">
        <f>VLOOKUP($A3704, TAB_AMORTIZACAO_C[[DIAS_CORRIDOS]:[V_FUT_UTEIS]], L$5, FALSE)</f>
        <v>#N/A</v>
      </c>
    </row>
    <row r="3705" spans="1:12" hidden="1">
      <c r="A3705" s="19">
        <f t="shared" si="294"/>
        <v>3699</v>
      </c>
      <c r="B3705" s="20">
        <f t="shared" si="290"/>
        <v>0</v>
      </c>
      <c r="C3705" s="21">
        <f t="shared" si="291"/>
        <v>0</v>
      </c>
      <c r="D3705" s="22" t="e">
        <f>VLOOKUP($A3705, TAB_JUROS_U[[Q_DIAS_U_PARC_TIR]:[V_FUT_U_JURS CENARIO]], D$5, FALSE)</f>
        <v>#N/A</v>
      </c>
      <c r="E3705" s="22" t="e">
        <f>VLOOKUP($A3705,TAB_CORRECAO_U[[Q_DIAS_U_PARC_TIR]:[V_FUT_U_CORC-02]],E$5, FALSE)</f>
        <v>#N/A</v>
      </c>
      <c r="F3705" s="22" t="e">
        <f>VLOOKUP($A3705,TAB_AMORTIZACAO_U[[Q_DIAS_U_PARC_TIR]:[V_FUT_U_PCPL-02]], F$5, FALSE)</f>
        <v>#N/A</v>
      </c>
      <c r="H3705" s="20">
        <f t="shared" si="292"/>
        <v>0</v>
      </c>
      <c r="I3705" s="21">
        <f t="shared" si="293"/>
        <v>0</v>
      </c>
      <c r="J3705" s="22" t="e">
        <f>VLOOKUP($A3705, TAB_JUROS_C[[DIAS_CORRIDOS]:[V_FUT_UTEIS]], J$5, FALSE)</f>
        <v>#N/A</v>
      </c>
      <c r="K3705" s="22" t="e">
        <f>VLOOKUP($A3705, TAB_CORRECAO_C[[DIAS_CORRIDOS]:[V_FUT_UTEIS]],K$5, FALSE)</f>
        <v>#N/A</v>
      </c>
      <c r="L3705" s="22" t="e">
        <f>VLOOKUP($A3705, TAB_AMORTIZACAO_C[[DIAS_CORRIDOS]:[V_FUT_UTEIS]], L$5, FALSE)</f>
        <v>#N/A</v>
      </c>
    </row>
    <row r="3706" spans="1:12" hidden="1">
      <c r="A3706" s="19">
        <f t="shared" si="294"/>
        <v>3700</v>
      </c>
      <c r="B3706" s="20">
        <f t="shared" si="290"/>
        <v>0</v>
      </c>
      <c r="C3706" s="21">
        <f t="shared" si="291"/>
        <v>0</v>
      </c>
      <c r="D3706" s="22" t="e">
        <f>VLOOKUP($A3706, TAB_JUROS_U[[Q_DIAS_U_PARC_TIR]:[V_FUT_U_JURS CENARIO]], D$5, FALSE)</f>
        <v>#N/A</v>
      </c>
      <c r="E3706" s="22" t="e">
        <f>VLOOKUP($A3706,TAB_CORRECAO_U[[Q_DIAS_U_PARC_TIR]:[V_FUT_U_CORC-02]],E$5, FALSE)</f>
        <v>#N/A</v>
      </c>
      <c r="F3706" s="22" t="e">
        <f>VLOOKUP($A3706,TAB_AMORTIZACAO_U[[Q_DIAS_U_PARC_TIR]:[V_FUT_U_PCPL-02]], F$5, FALSE)</f>
        <v>#N/A</v>
      </c>
      <c r="H3706" s="20">
        <f t="shared" si="292"/>
        <v>0</v>
      </c>
      <c r="I3706" s="21">
        <f t="shared" si="293"/>
        <v>0</v>
      </c>
      <c r="J3706" s="22" t="e">
        <f>VLOOKUP($A3706, TAB_JUROS_C[[DIAS_CORRIDOS]:[V_FUT_UTEIS]], J$5, FALSE)</f>
        <v>#N/A</v>
      </c>
      <c r="K3706" s="22" t="e">
        <f>VLOOKUP($A3706, TAB_CORRECAO_C[[DIAS_CORRIDOS]:[V_FUT_UTEIS]],K$5, FALSE)</f>
        <v>#N/A</v>
      </c>
      <c r="L3706" s="22" t="e">
        <f>VLOOKUP($A3706, TAB_AMORTIZACAO_C[[DIAS_CORRIDOS]:[V_FUT_UTEIS]], L$5, FALSE)</f>
        <v>#N/A</v>
      </c>
    </row>
    <row r="3707" spans="1:12" hidden="1">
      <c r="A3707" s="19">
        <f t="shared" si="294"/>
        <v>3701</v>
      </c>
      <c r="B3707" s="20">
        <f t="shared" si="290"/>
        <v>0</v>
      </c>
      <c r="C3707" s="21">
        <f t="shared" si="291"/>
        <v>0</v>
      </c>
      <c r="D3707" s="22" t="e">
        <f>VLOOKUP($A3707, TAB_JUROS_U[[Q_DIAS_U_PARC_TIR]:[V_FUT_U_JURS CENARIO]], D$5, FALSE)</f>
        <v>#N/A</v>
      </c>
      <c r="E3707" s="22" t="e">
        <f>VLOOKUP($A3707,TAB_CORRECAO_U[[Q_DIAS_U_PARC_TIR]:[V_FUT_U_CORC-02]],E$5, FALSE)</f>
        <v>#N/A</v>
      </c>
      <c r="F3707" s="22" t="e">
        <f>VLOOKUP($A3707,TAB_AMORTIZACAO_U[[Q_DIAS_U_PARC_TIR]:[V_FUT_U_PCPL-02]], F$5, FALSE)</f>
        <v>#N/A</v>
      </c>
      <c r="H3707" s="20">
        <f t="shared" si="292"/>
        <v>0</v>
      </c>
      <c r="I3707" s="21">
        <f t="shared" si="293"/>
        <v>0</v>
      </c>
      <c r="J3707" s="22" t="e">
        <f>VLOOKUP($A3707, TAB_JUROS_C[[DIAS_CORRIDOS]:[V_FUT_UTEIS]], J$5, FALSE)</f>
        <v>#N/A</v>
      </c>
      <c r="K3707" s="22" t="e">
        <f>VLOOKUP($A3707, TAB_CORRECAO_C[[DIAS_CORRIDOS]:[V_FUT_UTEIS]],K$5, FALSE)</f>
        <v>#N/A</v>
      </c>
      <c r="L3707" s="22" t="e">
        <f>VLOOKUP($A3707, TAB_AMORTIZACAO_C[[DIAS_CORRIDOS]:[V_FUT_UTEIS]], L$5, FALSE)</f>
        <v>#N/A</v>
      </c>
    </row>
    <row r="3708" spans="1:12" hidden="1">
      <c r="A3708" s="19">
        <f t="shared" si="294"/>
        <v>3702</v>
      </c>
      <c r="B3708" s="20">
        <f t="shared" si="290"/>
        <v>0</v>
      </c>
      <c r="C3708" s="21">
        <f t="shared" si="291"/>
        <v>0</v>
      </c>
      <c r="D3708" s="22" t="e">
        <f>VLOOKUP($A3708, TAB_JUROS_U[[Q_DIAS_U_PARC_TIR]:[V_FUT_U_JURS CENARIO]], D$5, FALSE)</f>
        <v>#N/A</v>
      </c>
      <c r="E3708" s="22" t="e">
        <f>VLOOKUP($A3708,TAB_CORRECAO_U[[Q_DIAS_U_PARC_TIR]:[V_FUT_U_CORC-02]],E$5, FALSE)</f>
        <v>#N/A</v>
      </c>
      <c r="F3708" s="22" t="e">
        <f>VLOOKUP($A3708,TAB_AMORTIZACAO_U[[Q_DIAS_U_PARC_TIR]:[V_FUT_U_PCPL-02]], F$5, FALSE)</f>
        <v>#N/A</v>
      </c>
      <c r="H3708" s="20">
        <f t="shared" si="292"/>
        <v>0</v>
      </c>
      <c r="I3708" s="21">
        <f t="shared" si="293"/>
        <v>0</v>
      </c>
      <c r="J3708" s="22" t="e">
        <f>VLOOKUP($A3708, TAB_JUROS_C[[DIAS_CORRIDOS]:[V_FUT_UTEIS]], J$5, FALSE)</f>
        <v>#N/A</v>
      </c>
      <c r="K3708" s="22" t="e">
        <f>VLOOKUP($A3708, TAB_CORRECAO_C[[DIAS_CORRIDOS]:[V_FUT_UTEIS]],K$5, FALSE)</f>
        <v>#N/A</v>
      </c>
      <c r="L3708" s="22" t="e">
        <f>VLOOKUP($A3708, TAB_AMORTIZACAO_C[[DIAS_CORRIDOS]:[V_FUT_UTEIS]], L$5, FALSE)</f>
        <v>#N/A</v>
      </c>
    </row>
    <row r="3709" spans="1:12" hidden="1">
      <c r="A3709" s="19">
        <f t="shared" si="294"/>
        <v>3703</v>
      </c>
      <c r="B3709" s="20">
        <f t="shared" si="290"/>
        <v>0</v>
      </c>
      <c r="C3709" s="21">
        <f t="shared" si="291"/>
        <v>0</v>
      </c>
      <c r="D3709" s="22" t="e">
        <f>VLOOKUP($A3709, TAB_JUROS_U[[Q_DIAS_U_PARC_TIR]:[V_FUT_U_JURS CENARIO]], D$5, FALSE)</f>
        <v>#N/A</v>
      </c>
      <c r="E3709" s="22" t="e">
        <f>VLOOKUP($A3709,TAB_CORRECAO_U[[Q_DIAS_U_PARC_TIR]:[V_FUT_U_CORC-02]],E$5, FALSE)</f>
        <v>#N/A</v>
      </c>
      <c r="F3709" s="22" t="e">
        <f>VLOOKUP($A3709,TAB_AMORTIZACAO_U[[Q_DIAS_U_PARC_TIR]:[V_FUT_U_PCPL-02]], F$5, FALSE)</f>
        <v>#N/A</v>
      </c>
      <c r="H3709" s="20">
        <f t="shared" si="292"/>
        <v>0</v>
      </c>
      <c r="I3709" s="21">
        <f t="shared" si="293"/>
        <v>0</v>
      </c>
      <c r="J3709" s="22" t="e">
        <f>VLOOKUP($A3709, TAB_JUROS_C[[DIAS_CORRIDOS]:[V_FUT_UTEIS]], J$5, FALSE)</f>
        <v>#N/A</v>
      </c>
      <c r="K3709" s="22" t="e">
        <f>VLOOKUP($A3709, TAB_CORRECAO_C[[DIAS_CORRIDOS]:[V_FUT_UTEIS]],K$5, FALSE)</f>
        <v>#N/A</v>
      </c>
      <c r="L3709" s="22" t="e">
        <f>VLOOKUP($A3709, TAB_AMORTIZACAO_C[[DIAS_CORRIDOS]:[V_FUT_UTEIS]], L$5, FALSE)</f>
        <v>#N/A</v>
      </c>
    </row>
    <row r="3710" spans="1:12" hidden="1">
      <c r="A3710" s="19">
        <f t="shared" si="294"/>
        <v>3704</v>
      </c>
      <c r="B3710" s="20">
        <f t="shared" si="290"/>
        <v>0</v>
      </c>
      <c r="C3710" s="21">
        <f t="shared" si="291"/>
        <v>0</v>
      </c>
      <c r="D3710" s="22" t="e">
        <f>VLOOKUP($A3710, TAB_JUROS_U[[Q_DIAS_U_PARC_TIR]:[V_FUT_U_JURS CENARIO]], D$5, FALSE)</f>
        <v>#N/A</v>
      </c>
      <c r="E3710" s="22" t="e">
        <f>VLOOKUP($A3710,TAB_CORRECAO_U[[Q_DIAS_U_PARC_TIR]:[V_FUT_U_CORC-02]],E$5, FALSE)</f>
        <v>#N/A</v>
      </c>
      <c r="F3710" s="22" t="e">
        <f>VLOOKUP($A3710,TAB_AMORTIZACAO_U[[Q_DIAS_U_PARC_TIR]:[V_FUT_U_PCPL-02]], F$5, FALSE)</f>
        <v>#N/A</v>
      </c>
      <c r="H3710" s="20">
        <f t="shared" si="292"/>
        <v>0</v>
      </c>
      <c r="I3710" s="21">
        <f t="shared" si="293"/>
        <v>0</v>
      </c>
      <c r="J3710" s="22" t="e">
        <f>VLOOKUP($A3710, TAB_JUROS_C[[DIAS_CORRIDOS]:[V_FUT_UTEIS]], J$5, FALSE)</f>
        <v>#N/A</v>
      </c>
      <c r="K3710" s="22" t="e">
        <f>VLOOKUP($A3710, TAB_CORRECAO_C[[DIAS_CORRIDOS]:[V_FUT_UTEIS]],K$5, FALSE)</f>
        <v>#N/A</v>
      </c>
      <c r="L3710" s="22" t="e">
        <f>VLOOKUP($A3710, TAB_AMORTIZACAO_C[[DIAS_CORRIDOS]:[V_FUT_UTEIS]], L$5, FALSE)</f>
        <v>#N/A</v>
      </c>
    </row>
    <row r="3711" spans="1:12" hidden="1">
      <c r="A3711" s="19">
        <f t="shared" si="294"/>
        <v>3705</v>
      </c>
      <c r="B3711" s="20">
        <f t="shared" si="290"/>
        <v>0</v>
      </c>
      <c r="C3711" s="21">
        <f t="shared" si="291"/>
        <v>0</v>
      </c>
      <c r="D3711" s="22" t="e">
        <f>VLOOKUP($A3711, TAB_JUROS_U[[Q_DIAS_U_PARC_TIR]:[V_FUT_U_JURS CENARIO]], D$5, FALSE)</f>
        <v>#N/A</v>
      </c>
      <c r="E3711" s="22" t="e">
        <f>VLOOKUP($A3711,TAB_CORRECAO_U[[Q_DIAS_U_PARC_TIR]:[V_FUT_U_CORC-02]],E$5, FALSE)</f>
        <v>#N/A</v>
      </c>
      <c r="F3711" s="22" t="e">
        <f>VLOOKUP($A3711,TAB_AMORTIZACAO_U[[Q_DIAS_U_PARC_TIR]:[V_FUT_U_PCPL-02]], F$5, FALSE)</f>
        <v>#N/A</v>
      </c>
      <c r="H3711" s="20">
        <f t="shared" si="292"/>
        <v>0</v>
      </c>
      <c r="I3711" s="21">
        <f t="shared" si="293"/>
        <v>0</v>
      </c>
      <c r="J3711" s="22" t="e">
        <f>VLOOKUP($A3711, TAB_JUROS_C[[DIAS_CORRIDOS]:[V_FUT_UTEIS]], J$5, FALSE)</f>
        <v>#N/A</v>
      </c>
      <c r="K3711" s="22" t="e">
        <f>VLOOKUP($A3711, TAB_CORRECAO_C[[DIAS_CORRIDOS]:[V_FUT_UTEIS]],K$5, FALSE)</f>
        <v>#N/A</v>
      </c>
      <c r="L3711" s="22" t="e">
        <f>VLOOKUP($A3711, TAB_AMORTIZACAO_C[[DIAS_CORRIDOS]:[V_FUT_UTEIS]], L$5, FALSE)</f>
        <v>#N/A</v>
      </c>
    </row>
    <row r="3712" spans="1:12" hidden="1">
      <c r="A3712" s="19">
        <f t="shared" si="294"/>
        <v>3706</v>
      </c>
      <c r="B3712" s="20">
        <f t="shared" si="290"/>
        <v>0</v>
      </c>
      <c r="C3712" s="21">
        <f t="shared" si="291"/>
        <v>0</v>
      </c>
      <c r="D3712" s="22" t="e">
        <f>VLOOKUP($A3712, TAB_JUROS_U[[Q_DIAS_U_PARC_TIR]:[V_FUT_U_JURS CENARIO]], D$5, FALSE)</f>
        <v>#N/A</v>
      </c>
      <c r="E3712" s="22" t="e">
        <f>VLOOKUP($A3712,TAB_CORRECAO_U[[Q_DIAS_U_PARC_TIR]:[V_FUT_U_CORC-02]],E$5, FALSE)</f>
        <v>#N/A</v>
      </c>
      <c r="F3712" s="22" t="e">
        <f>VLOOKUP($A3712,TAB_AMORTIZACAO_U[[Q_DIAS_U_PARC_TIR]:[V_FUT_U_PCPL-02]], F$5, FALSE)</f>
        <v>#N/A</v>
      </c>
      <c r="H3712" s="20">
        <f t="shared" si="292"/>
        <v>0</v>
      </c>
      <c r="I3712" s="21">
        <f t="shared" si="293"/>
        <v>0</v>
      </c>
      <c r="J3712" s="22" t="e">
        <f>VLOOKUP($A3712, TAB_JUROS_C[[DIAS_CORRIDOS]:[V_FUT_UTEIS]], J$5, FALSE)</f>
        <v>#N/A</v>
      </c>
      <c r="K3712" s="22" t="e">
        <f>VLOOKUP($A3712, TAB_CORRECAO_C[[DIAS_CORRIDOS]:[V_FUT_UTEIS]],K$5, FALSE)</f>
        <v>#N/A</v>
      </c>
      <c r="L3712" s="22" t="e">
        <f>VLOOKUP($A3712, TAB_AMORTIZACAO_C[[DIAS_CORRIDOS]:[V_FUT_UTEIS]], L$5, FALSE)</f>
        <v>#N/A</v>
      </c>
    </row>
    <row r="3713" spans="1:12" hidden="1">
      <c r="A3713" s="19">
        <f t="shared" si="294"/>
        <v>3707</v>
      </c>
      <c r="B3713" s="20">
        <f t="shared" si="290"/>
        <v>0</v>
      </c>
      <c r="C3713" s="21">
        <f t="shared" si="291"/>
        <v>0</v>
      </c>
      <c r="D3713" s="22" t="e">
        <f>VLOOKUP($A3713, TAB_JUROS_U[[Q_DIAS_U_PARC_TIR]:[V_FUT_U_JURS CENARIO]], D$5, FALSE)</f>
        <v>#N/A</v>
      </c>
      <c r="E3713" s="22" t="e">
        <f>VLOOKUP($A3713,TAB_CORRECAO_U[[Q_DIAS_U_PARC_TIR]:[V_FUT_U_CORC-02]],E$5, FALSE)</f>
        <v>#N/A</v>
      </c>
      <c r="F3713" s="22" t="e">
        <f>VLOOKUP($A3713,TAB_AMORTIZACAO_U[[Q_DIAS_U_PARC_TIR]:[V_FUT_U_PCPL-02]], F$5, FALSE)</f>
        <v>#N/A</v>
      </c>
      <c r="H3713" s="20">
        <f t="shared" si="292"/>
        <v>0</v>
      </c>
      <c r="I3713" s="21">
        <f t="shared" si="293"/>
        <v>0</v>
      </c>
      <c r="J3713" s="22" t="e">
        <f>VLOOKUP($A3713, TAB_JUROS_C[[DIAS_CORRIDOS]:[V_FUT_UTEIS]], J$5, FALSE)</f>
        <v>#N/A</v>
      </c>
      <c r="K3713" s="22" t="e">
        <f>VLOOKUP($A3713, TAB_CORRECAO_C[[DIAS_CORRIDOS]:[V_FUT_UTEIS]],K$5, FALSE)</f>
        <v>#N/A</v>
      </c>
      <c r="L3713" s="22" t="e">
        <f>VLOOKUP($A3713, TAB_AMORTIZACAO_C[[DIAS_CORRIDOS]:[V_FUT_UTEIS]], L$5, FALSE)</f>
        <v>#N/A</v>
      </c>
    </row>
    <row r="3714" spans="1:12" hidden="1">
      <c r="A3714" s="19">
        <f t="shared" si="294"/>
        <v>3708</v>
      </c>
      <c r="B3714" s="20">
        <f t="shared" si="290"/>
        <v>0</v>
      </c>
      <c r="C3714" s="21">
        <f t="shared" si="291"/>
        <v>0</v>
      </c>
      <c r="D3714" s="22" t="e">
        <f>VLOOKUP($A3714, TAB_JUROS_U[[Q_DIAS_U_PARC_TIR]:[V_FUT_U_JURS CENARIO]], D$5, FALSE)</f>
        <v>#N/A</v>
      </c>
      <c r="E3714" s="22" t="e">
        <f>VLOOKUP($A3714,TAB_CORRECAO_U[[Q_DIAS_U_PARC_TIR]:[V_FUT_U_CORC-02]],E$5, FALSE)</f>
        <v>#N/A</v>
      </c>
      <c r="F3714" s="22" t="e">
        <f>VLOOKUP($A3714,TAB_AMORTIZACAO_U[[Q_DIAS_U_PARC_TIR]:[V_FUT_U_PCPL-02]], F$5, FALSE)</f>
        <v>#N/A</v>
      </c>
      <c r="H3714" s="20">
        <f t="shared" si="292"/>
        <v>0</v>
      </c>
      <c r="I3714" s="21">
        <f t="shared" si="293"/>
        <v>0</v>
      </c>
      <c r="J3714" s="22" t="e">
        <f>VLOOKUP($A3714, TAB_JUROS_C[[DIAS_CORRIDOS]:[V_FUT_UTEIS]], J$5, FALSE)</f>
        <v>#N/A</v>
      </c>
      <c r="K3714" s="22" t="e">
        <f>VLOOKUP($A3714, TAB_CORRECAO_C[[DIAS_CORRIDOS]:[V_FUT_UTEIS]],K$5, FALSE)</f>
        <v>#N/A</v>
      </c>
      <c r="L3714" s="22" t="e">
        <f>VLOOKUP($A3714, TAB_AMORTIZACAO_C[[DIAS_CORRIDOS]:[V_FUT_UTEIS]], L$5, FALSE)</f>
        <v>#N/A</v>
      </c>
    </row>
    <row r="3715" spans="1:12" hidden="1">
      <c r="A3715" s="19">
        <f t="shared" si="294"/>
        <v>3709</v>
      </c>
      <c r="B3715" s="20">
        <f t="shared" si="290"/>
        <v>0</v>
      </c>
      <c r="C3715" s="21">
        <f t="shared" si="291"/>
        <v>0</v>
      </c>
      <c r="D3715" s="22" t="e">
        <f>VLOOKUP($A3715, TAB_JUROS_U[[Q_DIAS_U_PARC_TIR]:[V_FUT_U_JURS CENARIO]], D$5, FALSE)</f>
        <v>#N/A</v>
      </c>
      <c r="E3715" s="22" t="e">
        <f>VLOOKUP($A3715,TAB_CORRECAO_U[[Q_DIAS_U_PARC_TIR]:[V_FUT_U_CORC-02]],E$5, FALSE)</f>
        <v>#N/A</v>
      </c>
      <c r="F3715" s="22" t="e">
        <f>VLOOKUP($A3715,TAB_AMORTIZACAO_U[[Q_DIAS_U_PARC_TIR]:[V_FUT_U_PCPL-02]], F$5, FALSE)</f>
        <v>#N/A</v>
      </c>
      <c r="H3715" s="20">
        <f t="shared" si="292"/>
        <v>0</v>
      </c>
      <c r="I3715" s="21">
        <f t="shared" si="293"/>
        <v>0</v>
      </c>
      <c r="J3715" s="22" t="e">
        <f>VLOOKUP($A3715, TAB_JUROS_C[[DIAS_CORRIDOS]:[V_FUT_UTEIS]], J$5, FALSE)</f>
        <v>#N/A</v>
      </c>
      <c r="K3715" s="22" t="e">
        <f>VLOOKUP($A3715, TAB_CORRECAO_C[[DIAS_CORRIDOS]:[V_FUT_UTEIS]],K$5, FALSE)</f>
        <v>#N/A</v>
      </c>
      <c r="L3715" s="22" t="e">
        <f>VLOOKUP($A3715, TAB_AMORTIZACAO_C[[DIAS_CORRIDOS]:[V_FUT_UTEIS]], L$5, FALSE)</f>
        <v>#N/A</v>
      </c>
    </row>
    <row r="3716" spans="1:12" hidden="1">
      <c r="A3716" s="19">
        <f t="shared" si="294"/>
        <v>3710</v>
      </c>
      <c r="B3716" s="20">
        <f t="shared" si="290"/>
        <v>0</v>
      </c>
      <c r="C3716" s="21">
        <f t="shared" si="291"/>
        <v>0</v>
      </c>
      <c r="D3716" s="22" t="e">
        <f>VLOOKUP($A3716, TAB_JUROS_U[[Q_DIAS_U_PARC_TIR]:[V_FUT_U_JURS CENARIO]], D$5, FALSE)</f>
        <v>#N/A</v>
      </c>
      <c r="E3716" s="22" t="e">
        <f>VLOOKUP($A3716,TAB_CORRECAO_U[[Q_DIAS_U_PARC_TIR]:[V_FUT_U_CORC-02]],E$5, FALSE)</f>
        <v>#N/A</v>
      </c>
      <c r="F3716" s="22" t="e">
        <f>VLOOKUP($A3716,TAB_AMORTIZACAO_U[[Q_DIAS_U_PARC_TIR]:[V_FUT_U_PCPL-02]], F$5, FALSE)</f>
        <v>#N/A</v>
      </c>
      <c r="H3716" s="20">
        <f t="shared" si="292"/>
        <v>0</v>
      </c>
      <c r="I3716" s="21">
        <f t="shared" si="293"/>
        <v>0</v>
      </c>
      <c r="J3716" s="22" t="e">
        <f>VLOOKUP($A3716, TAB_JUROS_C[[DIAS_CORRIDOS]:[V_FUT_UTEIS]], J$5, FALSE)</f>
        <v>#N/A</v>
      </c>
      <c r="K3716" s="22" t="e">
        <f>VLOOKUP($A3716, TAB_CORRECAO_C[[DIAS_CORRIDOS]:[V_FUT_UTEIS]],K$5, FALSE)</f>
        <v>#N/A</v>
      </c>
      <c r="L3716" s="22" t="e">
        <f>VLOOKUP($A3716, TAB_AMORTIZACAO_C[[DIAS_CORRIDOS]:[V_FUT_UTEIS]], L$5, FALSE)</f>
        <v>#N/A</v>
      </c>
    </row>
    <row r="3717" spans="1:12" hidden="1">
      <c r="A3717" s="19">
        <f t="shared" si="294"/>
        <v>3711</v>
      </c>
      <c r="B3717" s="20">
        <f t="shared" si="290"/>
        <v>0</v>
      </c>
      <c r="C3717" s="21">
        <f t="shared" si="291"/>
        <v>0</v>
      </c>
      <c r="D3717" s="22" t="e">
        <f>VLOOKUP($A3717, TAB_JUROS_U[[Q_DIAS_U_PARC_TIR]:[V_FUT_U_JURS CENARIO]], D$5, FALSE)</f>
        <v>#N/A</v>
      </c>
      <c r="E3717" s="22" t="e">
        <f>VLOOKUP($A3717,TAB_CORRECAO_U[[Q_DIAS_U_PARC_TIR]:[V_FUT_U_CORC-02]],E$5, FALSE)</f>
        <v>#N/A</v>
      </c>
      <c r="F3717" s="22" t="e">
        <f>VLOOKUP($A3717,TAB_AMORTIZACAO_U[[Q_DIAS_U_PARC_TIR]:[V_FUT_U_PCPL-02]], F$5, FALSE)</f>
        <v>#N/A</v>
      </c>
      <c r="H3717" s="20">
        <f t="shared" si="292"/>
        <v>0</v>
      </c>
      <c r="I3717" s="21">
        <f t="shared" si="293"/>
        <v>0</v>
      </c>
      <c r="J3717" s="22" t="e">
        <f>VLOOKUP($A3717, TAB_JUROS_C[[DIAS_CORRIDOS]:[V_FUT_UTEIS]], J$5, FALSE)</f>
        <v>#N/A</v>
      </c>
      <c r="K3717" s="22" t="e">
        <f>VLOOKUP($A3717, TAB_CORRECAO_C[[DIAS_CORRIDOS]:[V_FUT_UTEIS]],K$5, FALSE)</f>
        <v>#N/A</v>
      </c>
      <c r="L3717" s="22" t="e">
        <f>VLOOKUP($A3717, TAB_AMORTIZACAO_C[[DIAS_CORRIDOS]:[V_FUT_UTEIS]], L$5, FALSE)</f>
        <v>#N/A</v>
      </c>
    </row>
    <row r="3718" spans="1:12" hidden="1">
      <c r="A3718" s="19">
        <f t="shared" si="294"/>
        <v>3712</v>
      </c>
      <c r="B3718" s="20">
        <f t="shared" si="290"/>
        <v>0</v>
      </c>
      <c r="C3718" s="21">
        <f t="shared" si="291"/>
        <v>0</v>
      </c>
      <c r="D3718" s="22" t="e">
        <f>VLOOKUP($A3718, TAB_JUROS_U[[Q_DIAS_U_PARC_TIR]:[V_FUT_U_JURS CENARIO]], D$5, FALSE)</f>
        <v>#N/A</v>
      </c>
      <c r="E3718" s="22" t="e">
        <f>VLOOKUP($A3718,TAB_CORRECAO_U[[Q_DIAS_U_PARC_TIR]:[V_FUT_U_CORC-02]],E$5, FALSE)</f>
        <v>#N/A</v>
      </c>
      <c r="F3718" s="22" t="e">
        <f>VLOOKUP($A3718,TAB_AMORTIZACAO_U[[Q_DIAS_U_PARC_TIR]:[V_FUT_U_PCPL-02]], F$5, FALSE)</f>
        <v>#N/A</v>
      </c>
      <c r="H3718" s="20">
        <f t="shared" si="292"/>
        <v>0</v>
      </c>
      <c r="I3718" s="21">
        <f t="shared" si="293"/>
        <v>0</v>
      </c>
      <c r="J3718" s="22" t="e">
        <f>VLOOKUP($A3718, TAB_JUROS_C[[DIAS_CORRIDOS]:[V_FUT_UTEIS]], J$5, FALSE)</f>
        <v>#N/A</v>
      </c>
      <c r="K3718" s="22" t="e">
        <f>VLOOKUP($A3718, TAB_CORRECAO_C[[DIAS_CORRIDOS]:[V_FUT_UTEIS]],K$5, FALSE)</f>
        <v>#N/A</v>
      </c>
      <c r="L3718" s="22" t="e">
        <f>VLOOKUP($A3718, TAB_AMORTIZACAO_C[[DIAS_CORRIDOS]:[V_FUT_UTEIS]], L$5, FALSE)</f>
        <v>#N/A</v>
      </c>
    </row>
    <row r="3719" spans="1:12" hidden="1">
      <c r="A3719" s="19">
        <f t="shared" si="294"/>
        <v>3713</v>
      </c>
      <c r="B3719" s="20">
        <f t="shared" si="290"/>
        <v>0</v>
      </c>
      <c r="C3719" s="21">
        <f t="shared" si="291"/>
        <v>0</v>
      </c>
      <c r="D3719" s="22" t="e">
        <f>VLOOKUP($A3719, TAB_JUROS_U[[Q_DIAS_U_PARC_TIR]:[V_FUT_U_JURS CENARIO]], D$5, FALSE)</f>
        <v>#N/A</v>
      </c>
      <c r="E3719" s="22" t="e">
        <f>VLOOKUP($A3719,TAB_CORRECAO_U[[Q_DIAS_U_PARC_TIR]:[V_FUT_U_CORC-02]],E$5, FALSE)</f>
        <v>#N/A</v>
      </c>
      <c r="F3719" s="22" t="e">
        <f>VLOOKUP($A3719,TAB_AMORTIZACAO_U[[Q_DIAS_U_PARC_TIR]:[V_FUT_U_PCPL-02]], F$5, FALSE)</f>
        <v>#N/A</v>
      </c>
      <c r="H3719" s="20">
        <f t="shared" si="292"/>
        <v>0</v>
      </c>
      <c r="I3719" s="21">
        <f t="shared" si="293"/>
        <v>0</v>
      </c>
      <c r="J3719" s="22" t="e">
        <f>VLOOKUP($A3719, TAB_JUROS_C[[DIAS_CORRIDOS]:[V_FUT_UTEIS]], J$5, FALSE)</f>
        <v>#N/A</v>
      </c>
      <c r="K3719" s="22" t="e">
        <f>VLOOKUP($A3719, TAB_CORRECAO_C[[DIAS_CORRIDOS]:[V_FUT_UTEIS]],K$5, FALSE)</f>
        <v>#N/A</v>
      </c>
      <c r="L3719" s="22" t="e">
        <f>VLOOKUP($A3719, TAB_AMORTIZACAO_C[[DIAS_CORRIDOS]:[V_FUT_UTEIS]], L$5, FALSE)</f>
        <v>#N/A</v>
      </c>
    </row>
    <row r="3720" spans="1:12" hidden="1">
      <c r="A3720" s="19">
        <f t="shared" si="294"/>
        <v>3714</v>
      </c>
      <c r="B3720" s="20">
        <f t="shared" si="290"/>
        <v>0</v>
      </c>
      <c r="C3720" s="21">
        <f t="shared" si="291"/>
        <v>0</v>
      </c>
      <c r="D3720" s="22" t="e">
        <f>VLOOKUP($A3720, TAB_JUROS_U[[Q_DIAS_U_PARC_TIR]:[V_FUT_U_JURS CENARIO]], D$5, FALSE)</f>
        <v>#N/A</v>
      </c>
      <c r="E3720" s="22" t="e">
        <f>VLOOKUP($A3720,TAB_CORRECAO_U[[Q_DIAS_U_PARC_TIR]:[V_FUT_U_CORC-02]],E$5, FALSE)</f>
        <v>#N/A</v>
      </c>
      <c r="F3720" s="22" t="e">
        <f>VLOOKUP($A3720,TAB_AMORTIZACAO_U[[Q_DIAS_U_PARC_TIR]:[V_FUT_U_PCPL-02]], F$5, FALSE)</f>
        <v>#N/A</v>
      </c>
      <c r="H3720" s="20">
        <f t="shared" si="292"/>
        <v>0</v>
      </c>
      <c r="I3720" s="21">
        <f t="shared" si="293"/>
        <v>0</v>
      </c>
      <c r="J3720" s="22" t="e">
        <f>VLOOKUP($A3720, TAB_JUROS_C[[DIAS_CORRIDOS]:[V_FUT_UTEIS]], J$5, FALSE)</f>
        <v>#N/A</v>
      </c>
      <c r="K3720" s="22" t="e">
        <f>VLOOKUP($A3720, TAB_CORRECAO_C[[DIAS_CORRIDOS]:[V_FUT_UTEIS]],K$5, FALSE)</f>
        <v>#N/A</v>
      </c>
      <c r="L3720" s="22" t="e">
        <f>VLOOKUP($A3720, TAB_AMORTIZACAO_C[[DIAS_CORRIDOS]:[V_FUT_UTEIS]], L$5, FALSE)</f>
        <v>#N/A</v>
      </c>
    </row>
    <row r="3721" spans="1:12" hidden="1">
      <c r="A3721" s="19">
        <f t="shared" si="294"/>
        <v>3715</v>
      </c>
      <c r="B3721" s="20">
        <f t="shared" ref="B3721:B3784" si="295">IF(ISERROR(C3721), 0, C3721)</f>
        <v>0</v>
      </c>
      <c r="C3721" s="21">
        <f t="shared" ref="C3721:C3784" si="296">SUMIF(D3721:F3721, "&gt;0", D3721:F3721)</f>
        <v>0</v>
      </c>
      <c r="D3721" s="22" t="e">
        <f>VLOOKUP($A3721, TAB_JUROS_U[[Q_DIAS_U_PARC_TIR]:[V_FUT_U_JURS CENARIO]], D$5, FALSE)</f>
        <v>#N/A</v>
      </c>
      <c r="E3721" s="22" t="e">
        <f>VLOOKUP($A3721,TAB_CORRECAO_U[[Q_DIAS_U_PARC_TIR]:[V_FUT_U_CORC-02]],E$5, FALSE)</f>
        <v>#N/A</v>
      </c>
      <c r="F3721" s="22" t="e">
        <f>VLOOKUP($A3721,TAB_AMORTIZACAO_U[[Q_DIAS_U_PARC_TIR]:[V_FUT_U_PCPL-02]], F$5, FALSE)</f>
        <v>#N/A</v>
      </c>
      <c r="H3721" s="20">
        <f t="shared" ref="H3721:H3784" si="297">IF(ISERROR(I3721), 0, I3721)</f>
        <v>0</v>
      </c>
      <c r="I3721" s="21">
        <f t="shared" ref="I3721:I3784" si="298">SUMIF(J3721:L3721, "&gt;0", J3721:L3721)</f>
        <v>0</v>
      </c>
      <c r="J3721" s="22" t="e">
        <f>VLOOKUP($A3721, TAB_JUROS_C[[DIAS_CORRIDOS]:[V_FUT_UTEIS]], J$5, FALSE)</f>
        <v>#N/A</v>
      </c>
      <c r="K3721" s="22" t="e">
        <f>VLOOKUP($A3721, TAB_CORRECAO_C[[DIAS_CORRIDOS]:[V_FUT_UTEIS]],K$5, FALSE)</f>
        <v>#N/A</v>
      </c>
      <c r="L3721" s="22" t="e">
        <f>VLOOKUP($A3721, TAB_AMORTIZACAO_C[[DIAS_CORRIDOS]:[V_FUT_UTEIS]], L$5, FALSE)</f>
        <v>#N/A</v>
      </c>
    </row>
    <row r="3722" spans="1:12" hidden="1">
      <c r="A3722" s="19">
        <f t="shared" ref="A3722:A3785" si="299">A3721+1</f>
        <v>3716</v>
      </c>
      <c r="B3722" s="20">
        <f t="shared" si="295"/>
        <v>0</v>
      </c>
      <c r="C3722" s="21">
        <f t="shared" si="296"/>
        <v>0</v>
      </c>
      <c r="D3722" s="22" t="e">
        <f>VLOOKUP($A3722, TAB_JUROS_U[[Q_DIAS_U_PARC_TIR]:[V_FUT_U_JURS CENARIO]], D$5, FALSE)</f>
        <v>#N/A</v>
      </c>
      <c r="E3722" s="22" t="e">
        <f>VLOOKUP($A3722,TAB_CORRECAO_U[[Q_DIAS_U_PARC_TIR]:[V_FUT_U_CORC-02]],E$5, FALSE)</f>
        <v>#N/A</v>
      </c>
      <c r="F3722" s="22" t="e">
        <f>VLOOKUP($A3722,TAB_AMORTIZACAO_U[[Q_DIAS_U_PARC_TIR]:[V_FUT_U_PCPL-02]], F$5, FALSE)</f>
        <v>#N/A</v>
      </c>
      <c r="H3722" s="20">
        <f t="shared" si="297"/>
        <v>0</v>
      </c>
      <c r="I3722" s="21">
        <f t="shared" si="298"/>
        <v>0</v>
      </c>
      <c r="J3722" s="22" t="e">
        <f>VLOOKUP($A3722, TAB_JUROS_C[[DIAS_CORRIDOS]:[V_FUT_UTEIS]], J$5, FALSE)</f>
        <v>#N/A</v>
      </c>
      <c r="K3722" s="22" t="e">
        <f>VLOOKUP($A3722, TAB_CORRECAO_C[[DIAS_CORRIDOS]:[V_FUT_UTEIS]],K$5, FALSE)</f>
        <v>#N/A</v>
      </c>
      <c r="L3722" s="22" t="e">
        <f>VLOOKUP($A3722, TAB_AMORTIZACAO_C[[DIAS_CORRIDOS]:[V_FUT_UTEIS]], L$5, FALSE)</f>
        <v>#N/A</v>
      </c>
    </row>
    <row r="3723" spans="1:12" hidden="1">
      <c r="A3723" s="19">
        <f t="shared" si="299"/>
        <v>3717</v>
      </c>
      <c r="B3723" s="20">
        <f t="shared" si="295"/>
        <v>0</v>
      </c>
      <c r="C3723" s="21">
        <f t="shared" si="296"/>
        <v>0</v>
      </c>
      <c r="D3723" s="22" t="e">
        <f>VLOOKUP($A3723, TAB_JUROS_U[[Q_DIAS_U_PARC_TIR]:[V_FUT_U_JURS CENARIO]], D$5, FALSE)</f>
        <v>#N/A</v>
      </c>
      <c r="E3723" s="22" t="e">
        <f>VLOOKUP($A3723,TAB_CORRECAO_U[[Q_DIAS_U_PARC_TIR]:[V_FUT_U_CORC-02]],E$5, FALSE)</f>
        <v>#N/A</v>
      </c>
      <c r="F3723" s="22" t="e">
        <f>VLOOKUP($A3723,TAB_AMORTIZACAO_U[[Q_DIAS_U_PARC_TIR]:[V_FUT_U_PCPL-02]], F$5, FALSE)</f>
        <v>#N/A</v>
      </c>
      <c r="H3723" s="20">
        <f t="shared" si="297"/>
        <v>0</v>
      </c>
      <c r="I3723" s="21">
        <f t="shared" si="298"/>
        <v>0</v>
      </c>
      <c r="J3723" s="22" t="e">
        <f>VLOOKUP($A3723, TAB_JUROS_C[[DIAS_CORRIDOS]:[V_FUT_UTEIS]], J$5, FALSE)</f>
        <v>#N/A</v>
      </c>
      <c r="K3723" s="22" t="e">
        <f>VLOOKUP($A3723, TAB_CORRECAO_C[[DIAS_CORRIDOS]:[V_FUT_UTEIS]],K$5, FALSE)</f>
        <v>#N/A</v>
      </c>
      <c r="L3723" s="22" t="e">
        <f>VLOOKUP($A3723, TAB_AMORTIZACAO_C[[DIAS_CORRIDOS]:[V_FUT_UTEIS]], L$5, FALSE)</f>
        <v>#N/A</v>
      </c>
    </row>
    <row r="3724" spans="1:12" hidden="1">
      <c r="A3724" s="19">
        <f t="shared" si="299"/>
        <v>3718</v>
      </c>
      <c r="B3724" s="20">
        <f t="shared" si="295"/>
        <v>0</v>
      </c>
      <c r="C3724" s="21">
        <f t="shared" si="296"/>
        <v>0</v>
      </c>
      <c r="D3724" s="22" t="e">
        <f>VLOOKUP($A3724, TAB_JUROS_U[[Q_DIAS_U_PARC_TIR]:[V_FUT_U_JURS CENARIO]], D$5, FALSE)</f>
        <v>#N/A</v>
      </c>
      <c r="E3724" s="22" t="e">
        <f>VLOOKUP($A3724,TAB_CORRECAO_U[[Q_DIAS_U_PARC_TIR]:[V_FUT_U_CORC-02]],E$5, FALSE)</f>
        <v>#N/A</v>
      </c>
      <c r="F3724" s="22" t="e">
        <f>VLOOKUP($A3724,TAB_AMORTIZACAO_U[[Q_DIAS_U_PARC_TIR]:[V_FUT_U_PCPL-02]], F$5, FALSE)</f>
        <v>#N/A</v>
      </c>
      <c r="H3724" s="20">
        <f t="shared" si="297"/>
        <v>0</v>
      </c>
      <c r="I3724" s="21">
        <f t="shared" si="298"/>
        <v>0</v>
      </c>
      <c r="J3724" s="22" t="e">
        <f>VLOOKUP($A3724, TAB_JUROS_C[[DIAS_CORRIDOS]:[V_FUT_UTEIS]], J$5, FALSE)</f>
        <v>#N/A</v>
      </c>
      <c r="K3724" s="22" t="e">
        <f>VLOOKUP($A3724, TAB_CORRECAO_C[[DIAS_CORRIDOS]:[V_FUT_UTEIS]],K$5, FALSE)</f>
        <v>#N/A</v>
      </c>
      <c r="L3724" s="22" t="e">
        <f>VLOOKUP($A3724, TAB_AMORTIZACAO_C[[DIAS_CORRIDOS]:[V_FUT_UTEIS]], L$5, FALSE)</f>
        <v>#N/A</v>
      </c>
    </row>
    <row r="3725" spans="1:12" hidden="1">
      <c r="A3725" s="19">
        <f t="shared" si="299"/>
        <v>3719</v>
      </c>
      <c r="B3725" s="20">
        <f t="shared" si="295"/>
        <v>0</v>
      </c>
      <c r="C3725" s="21">
        <f t="shared" si="296"/>
        <v>0</v>
      </c>
      <c r="D3725" s="22" t="e">
        <f>VLOOKUP($A3725, TAB_JUROS_U[[Q_DIAS_U_PARC_TIR]:[V_FUT_U_JURS CENARIO]], D$5, FALSE)</f>
        <v>#N/A</v>
      </c>
      <c r="E3725" s="22" t="e">
        <f>VLOOKUP($A3725,TAB_CORRECAO_U[[Q_DIAS_U_PARC_TIR]:[V_FUT_U_CORC-02]],E$5, FALSE)</f>
        <v>#N/A</v>
      </c>
      <c r="F3725" s="22" t="e">
        <f>VLOOKUP($A3725,TAB_AMORTIZACAO_U[[Q_DIAS_U_PARC_TIR]:[V_FUT_U_PCPL-02]], F$5, FALSE)</f>
        <v>#N/A</v>
      </c>
      <c r="H3725" s="20">
        <f t="shared" si="297"/>
        <v>0</v>
      </c>
      <c r="I3725" s="21">
        <f t="shared" si="298"/>
        <v>0</v>
      </c>
      <c r="J3725" s="22" t="e">
        <f>VLOOKUP($A3725, TAB_JUROS_C[[DIAS_CORRIDOS]:[V_FUT_UTEIS]], J$5, FALSE)</f>
        <v>#N/A</v>
      </c>
      <c r="K3725" s="22" t="e">
        <f>VLOOKUP($A3725, TAB_CORRECAO_C[[DIAS_CORRIDOS]:[V_FUT_UTEIS]],K$5, FALSE)</f>
        <v>#N/A</v>
      </c>
      <c r="L3725" s="22" t="e">
        <f>VLOOKUP($A3725, TAB_AMORTIZACAO_C[[DIAS_CORRIDOS]:[V_FUT_UTEIS]], L$5, FALSE)</f>
        <v>#N/A</v>
      </c>
    </row>
    <row r="3726" spans="1:12" hidden="1">
      <c r="A3726" s="19">
        <f t="shared" si="299"/>
        <v>3720</v>
      </c>
      <c r="B3726" s="20">
        <f t="shared" si="295"/>
        <v>0</v>
      </c>
      <c r="C3726" s="21">
        <f t="shared" si="296"/>
        <v>0</v>
      </c>
      <c r="D3726" s="22" t="e">
        <f>VLOOKUP($A3726, TAB_JUROS_U[[Q_DIAS_U_PARC_TIR]:[V_FUT_U_JURS CENARIO]], D$5, FALSE)</f>
        <v>#N/A</v>
      </c>
      <c r="E3726" s="22" t="e">
        <f>VLOOKUP($A3726,TAB_CORRECAO_U[[Q_DIAS_U_PARC_TIR]:[V_FUT_U_CORC-02]],E$5, FALSE)</f>
        <v>#N/A</v>
      </c>
      <c r="F3726" s="22" t="e">
        <f>VLOOKUP($A3726,TAB_AMORTIZACAO_U[[Q_DIAS_U_PARC_TIR]:[V_FUT_U_PCPL-02]], F$5, FALSE)</f>
        <v>#N/A</v>
      </c>
      <c r="H3726" s="20">
        <f t="shared" si="297"/>
        <v>0</v>
      </c>
      <c r="I3726" s="21">
        <f t="shared" si="298"/>
        <v>0</v>
      </c>
      <c r="J3726" s="22" t="e">
        <f>VLOOKUP($A3726, TAB_JUROS_C[[DIAS_CORRIDOS]:[V_FUT_UTEIS]], J$5, FALSE)</f>
        <v>#N/A</v>
      </c>
      <c r="K3726" s="22" t="e">
        <f>VLOOKUP($A3726, TAB_CORRECAO_C[[DIAS_CORRIDOS]:[V_FUT_UTEIS]],K$5, FALSE)</f>
        <v>#N/A</v>
      </c>
      <c r="L3726" s="22" t="e">
        <f>VLOOKUP($A3726, TAB_AMORTIZACAO_C[[DIAS_CORRIDOS]:[V_FUT_UTEIS]], L$5, FALSE)</f>
        <v>#N/A</v>
      </c>
    </row>
    <row r="3727" spans="1:12" hidden="1">
      <c r="A3727" s="19">
        <f t="shared" si="299"/>
        <v>3721</v>
      </c>
      <c r="B3727" s="20">
        <f t="shared" si="295"/>
        <v>0</v>
      </c>
      <c r="C3727" s="21">
        <f t="shared" si="296"/>
        <v>0</v>
      </c>
      <c r="D3727" s="22" t="e">
        <f>VLOOKUP($A3727, TAB_JUROS_U[[Q_DIAS_U_PARC_TIR]:[V_FUT_U_JURS CENARIO]], D$5, FALSE)</f>
        <v>#N/A</v>
      </c>
      <c r="E3727" s="22" t="e">
        <f>VLOOKUP($A3727,TAB_CORRECAO_U[[Q_DIAS_U_PARC_TIR]:[V_FUT_U_CORC-02]],E$5, FALSE)</f>
        <v>#N/A</v>
      </c>
      <c r="F3727" s="22" t="e">
        <f>VLOOKUP($A3727,TAB_AMORTIZACAO_U[[Q_DIAS_U_PARC_TIR]:[V_FUT_U_PCPL-02]], F$5, FALSE)</f>
        <v>#N/A</v>
      </c>
      <c r="H3727" s="20">
        <f t="shared" si="297"/>
        <v>0</v>
      </c>
      <c r="I3727" s="21">
        <f t="shared" si="298"/>
        <v>0</v>
      </c>
      <c r="J3727" s="22" t="e">
        <f>VLOOKUP($A3727, TAB_JUROS_C[[DIAS_CORRIDOS]:[V_FUT_UTEIS]], J$5, FALSE)</f>
        <v>#N/A</v>
      </c>
      <c r="K3727" s="22" t="e">
        <f>VLOOKUP($A3727, TAB_CORRECAO_C[[DIAS_CORRIDOS]:[V_FUT_UTEIS]],K$5, FALSE)</f>
        <v>#N/A</v>
      </c>
      <c r="L3727" s="22" t="e">
        <f>VLOOKUP($A3727, TAB_AMORTIZACAO_C[[DIAS_CORRIDOS]:[V_FUT_UTEIS]], L$5, FALSE)</f>
        <v>#N/A</v>
      </c>
    </row>
    <row r="3728" spans="1:12" hidden="1">
      <c r="A3728" s="19">
        <f t="shared" si="299"/>
        <v>3722</v>
      </c>
      <c r="B3728" s="20">
        <f t="shared" si="295"/>
        <v>0</v>
      </c>
      <c r="C3728" s="21">
        <f t="shared" si="296"/>
        <v>0</v>
      </c>
      <c r="D3728" s="22" t="e">
        <f>VLOOKUP($A3728, TAB_JUROS_U[[Q_DIAS_U_PARC_TIR]:[V_FUT_U_JURS CENARIO]], D$5, FALSE)</f>
        <v>#N/A</v>
      </c>
      <c r="E3728" s="22" t="e">
        <f>VLOOKUP($A3728,TAB_CORRECAO_U[[Q_DIAS_U_PARC_TIR]:[V_FUT_U_CORC-02]],E$5, FALSE)</f>
        <v>#N/A</v>
      </c>
      <c r="F3728" s="22" t="e">
        <f>VLOOKUP($A3728,TAB_AMORTIZACAO_U[[Q_DIAS_U_PARC_TIR]:[V_FUT_U_PCPL-02]], F$5, FALSE)</f>
        <v>#N/A</v>
      </c>
      <c r="H3728" s="20">
        <f t="shared" si="297"/>
        <v>0</v>
      </c>
      <c r="I3728" s="21">
        <f t="shared" si="298"/>
        <v>0</v>
      </c>
      <c r="J3728" s="22" t="e">
        <f>VLOOKUP($A3728, TAB_JUROS_C[[DIAS_CORRIDOS]:[V_FUT_UTEIS]], J$5, FALSE)</f>
        <v>#N/A</v>
      </c>
      <c r="K3728" s="22" t="e">
        <f>VLOOKUP($A3728, TAB_CORRECAO_C[[DIAS_CORRIDOS]:[V_FUT_UTEIS]],K$5, FALSE)</f>
        <v>#N/A</v>
      </c>
      <c r="L3728" s="22" t="e">
        <f>VLOOKUP($A3728, TAB_AMORTIZACAO_C[[DIAS_CORRIDOS]:[V_FUT_UTEIS]], L$5, FALSE)</f>
        <v>#N/A</v>
      </c>
    </row>
    <row r="3729" spans="1:12" hidden="1">
      <c r="A3729" s="19">
        <f t="shared" si="299"/>
        <v>3723</v>
      </c>
      <c r="B3729" s="20">
        <f t="shared" si="295"/>
        <v>0</v>
      </c>
      <c r="C3729" s="21">
        <f t="shared" si="296"/>
        <v>0</v>
      </c>
      <c r="D3729" s="22" t="e">
        <f>VLOOKUP($A3729, TAB_JUROS_U[[Q_DIAS_U_PARC_TIR]:[V_FUT_U_JURS CENARIO]], D$5, FALSE)</f>
        <v>#N/A</v>
      </c>
      <c r="E3729" s="22" t="e">
        <f>VLOOKUP($A3729,TAB_CORRECAO_U[[Q_DIAS_U_PARC_TIR]:[V_FUT_U_CORC-02]],E$5, FALSE)</f>
        <v>#N/A</v>
      </c>
      <c r="F3729" s="22" t="e">
        <f>VLOOKUP($A3729,TAB_AMORTIZACAO_U[[Q_DIAS_U_PARC_TIR]:[V_FUT_U_PCPL-02]], F$5, FALSE)</f>
        <v>#N/A</v>
      </c>
      <c r="H3729" s="20">
        <f t="shared" si="297"/>
        <v>0</v>
      </c>
      <c r="I3729" s="21">
        <f t="shared" si="298"/>
        <v>0</v>
      </c>
      <c r="J3729" s="22" t="e">
        <f>VLOOKUP($A3729, TAB_JUROS_C[[DIAS_CORRIDOS]:[V_FUT_UTEIS]], J$5, FALSE)</f>
        <v>#N/A</v>
      </c>
      <c r="K3729" s="22" t="e">
        <f>VLOOKUP($A3729, TAB_CORRECAO_C[[DIAS_CORRIDOS]:[V_FUT_UTEIS]],K$5, FALSE)</f>
        <v>#N/A</v>
      </c>
      <c r="L3729" s="22" t="e">
        <f>VLOOKUP($A3729, TAB_AMORTIZACAO_C[[DIAS_CORRIDOS]:[V_FUT_UTEIS]], L$5, FALSE)</f>
        <v>#N/A</v>
      </c>
    </row>
    <row r="3730" spans="1:12" hidden="1">
      <c r="A3730" s="19">
        <f t="shared" si="299"/>
        <v>3724</v>
      </c>
      <c r="B3730" s="20">
        <f t="shared" si="295"/>
        <v>0</v>
      </c>
      <c r="C3730" s="21">
        <f t="shared" si="296"/>
        <v>0</v>
      </c>
      <c r="D3730" s="22" t="e">
        <f>VLOOKUP($A3730, TAB_JUROS_U[[Q_DIAS_U_PARC_TIR]:[V_FUT_U_JURS CENARIO]], D$5, FALSE)</f>
        <v>#N/A</v>
      </c>
      <c r="E3730" s="22" t="e">
        <f>VLOOKUP($A3730,TAB_CORRECAO_U[[Q_DIAS_U_PARC_TIR]:[V_FUT_U_CORC-02]],E$5, FALSE)</f>
        <v>#N/A</v>
      </c>
      <c r="F3730" s="22" t="e">
        <f>VLOOKUP($A3730,TAB_AMORTIZACAO_U[[Q_DIAS_U_PARC_TIR]:[V_FUT_U_PCPL-02]], F$5, FALSE)</f>
        <v>#N/A</v>
      </c>
      <c r="H3730" s="20">
        <f t="shared" si="297"/>
        <v>152.71360581069814</v>
      </c>
      <c r="I3730" s="21">
        <f t="shared" si="298"/>
        <v>152.71360581069814</v>
      </c>
      <c r="J3730" s="22">
        <f>VLOOKUP($A3730, TAB_JUROS_C[[DIAS_CORRIDOS]:[V_FUT_UTEIS]], J$5, FALSE)</f>
        <v>4.4200176748594737</v>
      </c>
      <c r="K3730" s="22">
        <f>VLOOKUP($A3730, TAB_CORRECAO_C[[DIAS_CORRIDOS]:[V_FUT_UTEIS]],K$5, FALSE)</f>
        <v>27.517196960013926</v>
      </c>
      <c r="L3730" s="22">
        <f>VLOOKUP($A3730, TAB_AMORTIZACAO_C[[DIAS_CORRIDOS]:[V_FUT_UTEIS]], L$5, FALSE)</f>
        <v>120.77639117582473</v>
      </c>
    </row>
    <row r="3731" spans="1:12" hidden="1">
      <c r="A3731" s="19">
        <f t="shared" si="299"/>
        <v>3725</v>
      </c>
      <c r="B3731" s="20">
        <f t="shared" si="295"/>
        <v>0</v>
      </c>
      <c r="C3731" s="21">
        <f t="shared" si="296"/>
        <v>0</v>
      </c>
      <c r="D3731" s="22" t="e">
        <f>VLOOKUP($A3731, TAB_JUROS_U[[Q_DIAS_U_PARC_TIR]:[V_FUT_U_JURS CENARIO]], D$5, FALSE)</f>
        <v>#N/A</v>
      </c>
      <c r="E3731" s="22" t="e">
        <f>VLOOKUP($A3731,TAB_CORRECAO_U[[Q_DIAS_U_PARC_TIR]:[V_FUT_U_CORC-02]],E$5, FALSE)</f>
        <v>#N/A</v>
      </c>
      <c r="F3731" s="22" t="e">
        <f>VLOOKUP($A3731,TAB_AMORTIZACAO_U[[Q_DIAS_U_PARC_TIR]:[V_FUT_U_PCPL-02]], F$5, FALSE)</f>
        <v>#N/A</v>
      </c>
      <c r="H3731" s="20">
        <f t="shared" si="297"/>
        <v>0</v>
      </c>
      <c r="I3731" s="21">
        <f t="shared" si="298"/>
        <v>0</v>
      </c>
      <c r="J3731" s="22" t="e">
        <f>VLOOKUP($A3731, TAB_JUROS_C[[DIAS_CORRIDOS]:[V_FUT_UTEIS]], J$5, FALSE)</f>
        <v>#N/A</v>
      </c>
      <c r="K3731" s="22" t="e">
        <f>VLOOKUP($A3731, TAB_CORRECAO_C[[DIAS_CORRIDOS]:[V_FUT_UTEIS]],K$5, FALSE)</f>
        <v>#N/A</v>
      </c>
      <c r="L3731" s="22" t="e">
        <f>VLOOKUP($A3731, TAB_AMORTIZACAO_C[[DIAS_CORRIDOS]:[V_FUT_UTEIS]], L$5, FALSE)</f>
        <v>#N/A</v>
      </c>
    </row>
    <row r="3732" spans="1:12" hidden="1">
      <c r="A3732" s="19">
        <f t="shared" si="299"/>
        <v>3726</v>
      </c>
      <c r="B3732" s="20">
        <f t="shared" si="295"/>
        <v>0</v>
      </c>
      <c r="C3732" s="21">
        <f t="shared" si="296"/>
        <v>0</v>
      </c>
      <c r="D3732" s="22" t="e">
        <f>VLOOKUP($A3732, TAB_JUROS_U[[Q_DIAS_U_PARC_TIR]:[V_FUT_U_JURS CENARIO]], D$5, FALSE)</f>
        <v>#N/A</v>
      </c>
      <c r="E3732" s="22" t="e">
        <f>VLOOKUP($A3732,TAB_CORRECAO_U[[Q_DIAS_U_PARC_TIR]:[V_FUT_U_CORC-02]],E$5, FALSE)</f>
        <v>#N/A</v>
      </c>
      <c r="F3732" s="22" t="e">
        <f>VLOOKUP($A3732,TAB_AMORTIZACAO_U[[Q_DIAS_U_PARC_TIR]:[V_FUT_U_PCPL-02]], F$5, FALSE)</f>
        <v>#N/A</v>
      </c>
      <c r="H3732" s="20">
        <f t="shared" si="297"/>
        <v>0</v>
      </c>
      <c r="I3732" s="21">
        <f t="shared" si="298"/>
        <v>0</v>
      </c>
      <c r="J3732" s="22" t="e">
        <f>VLOOKUP($A3732, TAB_JUROS_C[[DIAS_CORRIDOS]:[V_FUT_UTEIS]], J$5, FALSE)</f>
        <v>#N/A</v>
      </c>
      <c r="K3732" s="22" t="e">
        <f>VLOOKUP($A3732, TAB_CORRECAO_C[[DIAS_CORRIDOS]:[V_FUT_UTEIS]],K$5, FALSE)</f>
        <v>#N/A</v>
      </c>
      <c r="L3732" s="22" t="e">
        <f>VLOOKUP($A3732, TAB_AMORTIZACAO_C[[DIAS_CORRIDOS]:[V_FUT_UTEIS]], L$5, FALSE)</f>
        <v>#N/A</v>
      </c>
    </row>
    <row r="3733" spans="1:12" hidden="1">
      <c r="A3733" s="19">
        <f t="shared" si="299"/>
        <v>3727</v>
      </c>
      <c r="B3733" s="20">
        <f t="shared" si="295"/>
        <v>0</v>
      </c>
      <c r="C3733" s="21">
        <f t="shared" si="296"/>
        <v>0</v>
      </c>
      <c r="D3733" s="22" t="e">
        <f>VLOOKUP($A3733, TAB_JUROS_U[[Q_DIAS_U_PARC_TIR]:[V_FUT_U_JURS CENARIO]], D$5, FALSE)</f>
        <v>#N/A</v>
      </c>
      <c r="E3733" s="22" t="e">
        <f>VLOOKUP($A3733,TAB_CORRECAO_U[[Q_DIAS_U_PARC_TIR]:[V_FUT_U_CORC-02]],E$5, FALSE)</f>
        <v>#N/A</v>
      </c>
      <c r="F3733" s="22" t="e">
        <f>VLOOKUP($A3733,TAB_AMORTIZACAO_U[[Q_DIAS_U_PARC_TIR]:[V_FUT_U_PCPL-02]], F$5, FALSE)</f>
        <v>#N/A</v>
      </c>
      <c r="H3733" s="20">
        <f t="shared" si="297"/>
        <v>0</v>
      </c>
      <c r="I3733" s="21">
        <f t="shared" si="298"/>
        <v>0</v>
      </c>
      <c r="J3733" s="22" t="e">
        <f>VLOOKUP($A3733, TAB_JUROS_C[[DIAS_CORRIDOS]:[V_FUT_UTEIS]], J$5, FALSE)</f>
        <v>#N/A</v>
      </c>
      <c r="K3733" s="22" t="e">
        <f>VLOOKUP($A3733, TAB_CORRECAO_C[[DIAS_CORRIDOS]:[V_FUT_UTEIS]],K$5, FALSE)</f>
        <v>#N/A</v>
      </c>
      <c r="L3733" s="22" t="e">
        <f>VLOOKUP($A3733, TAB_AMORTIZACAO_C[[DIAS_CORRIDOS]:[V_FUT_UTEIS]], L$5, FALSE)</f>
        <v>#N/A</v>
      </c>
    </row>
    <row r="3734" spans="1:12" hidden="1">
      <c r="A3734" s="19">
        <f t="shared" si="299"/>
        <v>3728</v>
      </c>
      <c r="B3734" s="20">
        <f t="shared" si="295"/>
        <v>0</v>
      </c>
      <c r="C3734" s="21">
        <f t="shared" si="296"/>
        <v>0</v>
      </c>
      <c r="D3734" s="22" t="e">
        <f>VLOOKUP($A3734, TAB_JUROS_U[[Q_DIAS_U_PARC_TIR]:[V_FUT_U_JURS CENARIO]], D$5, FALSE)</f>
        <v>#N/A</v>
      </c>
      <c r="E3734" s="22" t="e">
        <f>VLOOKUP($A3734,TAB_CORRECAO_U[[Q_DIAS_U_PARC_TIR]:[V_FUT_U_CORC-02]],E$5, FALSE)</f>
        <v>#N/A</v>
      </c>
      <c r="F3734" s="22" t="e">
        <f>VLOOKUP($A3734,TAB_AMORTIZACAO_U[[Q_DIAS_U_PARC_TIR]:[V_FUT_U_PCPL-02]], F$5, FALSE)</f>
        <v>#N/A</v>
      </c>
      <c r="H3734" s="20">
        <f t="shared" si="297"/>
        <v>0</v>
      </c>
      <c r="I3734" s="21">
        <f t="shared" si="298"/>
        <v>0</v>
      </c>
      <c r="J3734" s="22" t="e">
        <f>VLOOKUP($A3734, TAB_JUROS_C[[DIAS_CORRIDOS]:[V_FUT_UTEIS]], J$5, FALSE)</f>
        <v>#N/A</v>
      </c>
      <c r="K3734" s="22" t="e">
        <f>VLOOKUP($A3734, TAB_CORRECAO_C[[DIAS_CORRIDOS]:[V_FUT_UTEIS]],K$5, FALSE)</f>
        <v>#N/A</v>
      </c>
      <c r="L3734" s="22" t="e">
        <f>VLOOKUP($A3734, TAB_AMORTIZACAO_C[[DIAS_CORRIDOS]:[V_FUT_UTEIS]], L$5, FALSE)</f>
        <v>#N/A</v>
      </c>
    </row>
    <row r="3735" spans="1:12" hidden="1">
      <c r="A3735" s="19">
        <f t="shared" si="299"/>
        <v>3729</v>
      </c>
      <c r="B3735" s="20">
        <f t="shared" si="295"/>
        <v>0</v>
      </c>
      <c r="C3735" s="21">
        <f t="shared" si="296"/>
        <v>0</v>
      </c>
      <c r="D3735" s="22" t="e">
        <f>VLOOKUP($A3735, TAB_JUROS_U[[Q_DIAS_U_PARC_TIR]:[V_FUT_U_JURS CENARIO]], D$5, FALSE)</f>
        <v>#N/A</v>
      </c>
      <c r="E3735" s="22" t="e">
        <f>VLOOKUP($A3735,TAB_CORRECAO_U[[Q_DIAS_U_PARC_TIR]:[V_FUT_U_CORC-02]],E$5, FALSE)</f>
        <v>#N/A</v>
      </c>
      <c r="F3735" s="22" t="e">
        <f>VLOOKUP($A3735,TAB_AMORTIZACAO_U[[Q_DIAS_U_PARC_TIR]:[V_FUT_U_PCPL-02]], F$5, FALSE)</f>
        <v>#N/A</v>
      </c>
      <c r="H3735" s="20">
        <f t="shared" si="297"/>
        <v>0</v>
      </c>
      <c r="I3735" s="21">
        <f t="shared" si="298"/>
        <v>0</v>
      </c>
      <c r="J3735" s="22" t="e">
        <f>VLOOKUP($A3735, TAB_JUROS_C[[DIAS_CORRIDOS]:[V_FUT_UTEIS]], J$5, FALSE)</f>
        <v>#N/A</v>
      </c>
      <c r="K3735" s="22" t="e">
        <f>VLOOKUP($A3735, TAB_CORRECAO_C[[DIAS_CORRIDOS]:[V_FUT_UTEIS]],K$5, FALSE)</f>
        <v>#N/A</v>
      </c>
      <c r="L3735" s="22" t="e">
        <f>VLOOKUP($A3735, TAB_AMORTIZACAO_C[[DIAS_CORRIDOS]:[V_FUT_UTEIS]], L$5, FALSE)</f>
        <v>#N/A</v>
      </c>
    </row>
    <row r="3736" spans="1:12" hidden="1">
      <c r="A3736" s="19">
        <f t="shared" si="299"/>
        <v>3730</v>
      </c>
      <c r="B3736" s="20">
        <f t="shared" si="295"/>
        <v>0</v>
      </c>
      <c r="C3736" s="21">
        <f t="shared" si="296"/>
        <v>0</v>
      </c>
      <c r="D3736" s="22" t="e">
        <f>VLOOKUP($A3736, TAB_JUROS_U[[Q_DIAS_U_PARC_TIR]:[V_FUT_U_JURS CENARIO]], D$5, FALSE)</f>
        <v>#N/A</v>
      </c>
      <c r="E3736" s="22" t="e">
        <f>VLOOKUP($A3736,TAB_CORRECAO_U[[Q_DIAS_U_PARC_TIR]:[V_FUT_U_CORC-02]],E$5, FALSE)</f>
        <v>#N/A</v>
      </c>
      <c r="F3736" s="22" t="e">
        <f>VLOOKUP($A3736,TAB_AMORTIZACAO_U[[Q_DIAS_U_PARC_TIR]:[V_FUT_U_PCPL-02]], F$5, FALSE)</f>
        <v>#N/A</v>
      </c>
      <c r="H3736" s="20">
        <f t="shared" si="297"/>
        <v>0</v>
      </c>
      <c r="I3736" s="21">
        <f t="shared" si="298"/>
        <v>0</v>
      </c>
      <c r="J3736" s="22" t="e">
        <f>VLOOKUP($A3736, TAB_JUROS_C[[DIAS_CORRIDOS]:[V_FUT_UTEIS]], J$5, FALSE)</f>
        <v>#N/A</v>
      </c>
      <c r="K3736" s="22" t="e">
        <f>VLOOKUP($A3736, TAB_CORRECAO_C[[DIAS_CORRIDOS]:[V_FUT_UTEIS]],K$5, FALSE)</f>
        <v>#N/A</v>
      </c>
      <c r="L3736" s="22" t="e">
        <f>VLOOKUP($A3736, TAB_AMORTIZACAO_C[[DIAS_CORRIDOS]:[V_FUT_UTEIS]], L$5, FALSE)</f>
        <v>#N/A</v>
      </c>
    </row>
    <row r="3737" spans="1:12" hidden="1">
      <c r="A3737" s="19">
        <f t="shared" si="299"/>
        <v>3731</v>
      </c>
      <c r="B3737" s="20">
        <f t="shared" si="295"/>
        <v>0</v>
      </c>
      <c r="C3737" s="21">
        <f t="shared" si="296"/>
        <v>0</v>
      </c>
      <c r="D3737" s="22" t="e">
        <f>VLOOKUP($A3737, TAB_JUROS_U[[Q_DIAS_U_PARC_TIR]:[V_FUT_U_JURS CENARIO]], D$5, FALSE)</f>
        <v>#N/A</v>
      </c>
      <c r="E3737" s="22" t="e">
        <f>VLOOKUP($A3737,TAB_CORRECAO_U[[Q_DIAS_U_PARC_TIR]:[V_FUT_U_CORC-02]],E$5, FALSE)</f>
        <v>#N/A</v>
      </c>
      <c r="F3737" s="22" t="e">
        <f>VLOOKUP($A3737,TAB_AMORTIZACAO_U[[Q_DIAS_U_PARC_TIR]:[V_FUT_U_PCPL-02]], F$5, FALSE)</f>
        <v>#N/A</v>
      </c>
      <c r="H3737" s="20">
        <f t="shared" si="297"/>
        <v>0</v>
      </c>
      <c r="I3737" s="21">
        <f t="shared" si="298"/>
        <v>0</v>
      </c>
      <c r="J3737" s="22" t="e">
        <f>VLOOKUP($A3737, TAB_JUROS_C[[DIAS_CORRIDOS]:[V_FUT_UTEIS]], J$5, FALSE)</f>
        <v>#N/A</v>
      </c>
      <c r="K3737" s="22" t="e">
        <f>VLOOKUP($A3737, TAB_CORRECAO_C[[DIAS_CORRIDOS]:[V_FUT_UTEIS]],K$5, FALSE)</f>
        <v>#N/A</v>
      </c>
      <c r="L3737" s="22" t="e">
        <f>VLOOKUP($A3737, TAB_AMORTIZACAO_C[[DIAS_CORRIDOS]:[V_FUT_UTEIS]], L$5, FALSE)</f>
        <v>#N/A</v>
      </c>
    </row>
    <row r="3738" spans="1:12" hidden="1">
      <c r="A3738" s="19">
        <f t="shared" si="299"/>
        <v>3732</v>
      </c>
      <c r="B3738" s="20">
        <f t="shared" si="295"/>
        <v>0</v>
      </c>
      <c r="C3738" s="21">
        <f t="shared" si="296"/>
        <v>0</v>
      </c>
      <c r="D3738" s="22" t="e">
        <f>VLOOKUP($A3738, TAB_JUROS_U[[Q_DIAS_U_PARC_TIR]:[V_FUT_U_JURS CENARIO]], D$5, FALSE)</f>
        <v>#N/A</v>
      </c>
      <c r="E3738" s="22" t="e">
        <f>VLOOKUP($A3738,TAB_CORRECAO_U[[Q_DIAS_U_PARC_TIR]:[V_FUT_U_CORC-02]],E$5, FALSE)</f>
        <v>#N/A</v>
      </c>
      <c r="F3738" s="22" t="e">
        <f>VLOOKUP($A3738,TAB_AMORTIZACAO_U[[Q_DIAS_U_PARC_TIR]:[V_FUT_U_PCPL-02]], F$5, FALSE)</f>
        <v>#N/A</v>
      </c>
      <c r="H3738" s="20">
        <f t="shared" si="297"/>
        <v>0</v>
      </c>
      <c r="I3738" s="21">
        <f t="shared" si="298"/>
        <v>0</v>
      </c>
      <c r="J3738" s="22" t="e">
        <f>VLOOKUP($A3738, TAB_JUROS_C[[DIAS_CORRIDOS]:[V_FUT_UTEIS]], J$5, FALSE)</f>
        <v>#N/A</v>
      </c>
      <c r="K3738" s="22" t="e">
        <f>VLOOKUP($A3738, TAB_CORRECAO_C[[DIAS_CORRIDOS]:[V_FUT_UTEIS]],K$5, FALSE)</f>
        <v>#N/A</v>
      </c>
      <c r="L3738" s="22" t="e">
        <f>VLOOKUP($A3738, TAB_AMORTIZACAO_C[[DIAS_CORRIDOS]:[V_FUT_UTEIS]], L$5, FALSE)</f>
        <v>#N/A</v>
      </c>
    </row>
    <row r="3739" spans="1:12" hidden="1">
      <c r="A3739" s="19">
        <f t="shared" si="299"/>
        <v>3733</v>
      </c>
      <c r="B3739" s="20">
        <f t="shared" si="295"/>
        <v>0</v>
      </c>
      <c r="C3739" s="21">
        <f t="shared" si="296"/>
        <v>0</v>
      </c>
      <c r="D3739" s="22" t="e">
        <f>VLOOKUP($A3739, TAB_JUROS_U[[Q_DIAS_U_PARC_TIR]:[V_FUT_U_JURS CENARIO]], D$5, FALSE)</f>
        <v>#N/A</v>
      </c>
      <c r="E3739" s="22" t="e">
        <f>VLOOKUP($A3739,TAB_CORRECAO_U[[Q_DIAS_U_PARC_TIR]:[V_FUT_U_CORC-02]],E$5, FALSE)</f>
        <v>#N/A</v>
      </c>
      <c r="F3739" s="22" t="e">
        <f>VLOOKUP($A3739,TAB_AMORTIZACAO_U[[Q_DIAS_U_PARC_TIR]:[V_FUT_U_PCPL-02]], F$5, FALSE)</f>
        <v>#N/A</v>
      </c>
      <c r="H3739" s="20">
        <f t="shared" si="297"/>
        <v>0</v>
      </c>
      <c r="I3739" s="21">
        <f t="shared" si="298"/>
        <v>0</v>
      </c>
      <c r="J3739" s="22" t="e">
        <f>VLOOKUP($A3739, TAB_JUROS_C[[DIAS_CORRIDOS]:[V_FUT_UTEIS]], J$5, FALSE)</f>
        <v>#N/A</v>
      </c>
      <c r="K3739" s="22" t="e">
        <f>VLOOKUP($A3739, TAB_CORRECAO_C[[DIAS_CORRIDOS]:[V_FUT_UTEIS]],K$5, FALSE)</f>
        <v>#N/A</v>
      </c>
      <c r="L3739" s="22" t="e">
        <f>VLOOKUP($A3739, TAB_AMORTIZACAO_C[[DIAS_CORRIDOS]:[V_FUT_UTEIS]], L$5, FALSE)</f>
        <v>#N/A</v>
      </c>
    </row>
    <row r="3740" spans="1:12" hidden="1">
      <c r="A3740" s="19">
        <f t="shared" si="299"/>
        <v>3734</v>
      </c>
      <c r="B3740" s="20">
        <f t="shared" si="295"/>
        <v>0</v>
      </c>
      <c r="C3740" s="21">
        <f t="shared" si="296"/>
        <v>0</v>
      </c>
      <c r="D3740" s="22" t="e">
        <f>VLOOKUP($A3740, TAB_JUROS_U[[Q_DIAS_U_PARC_TIR]:[V_FUT_U_JURS CENARIO]], D$5, FALSE)</f>
        <v>#N/A</v>
      </c>
      <c r="E3740" s="22" t="e">
        <f>VLOOKUP($A3740,TAB_CORRECAO_U[[Q_DIAS_U_PARC_TIR]:[V_FUT_U_CORC-02]],E$5, FALSE)</f>
        <v>#N/A</v>
      </c>
      <c r="F3740" s="22" t="e">
        <f>VLOOKUP($A3740,TAB_AMORTIZACAO_U[[Q_DIAS_U_PARC_TIR]:[V_FUT_U_PCPL-02]], F$5, FALSE)</f>
        <v>#N/A</v>
      </c>
      <c r="H3740" s="20">
        <f t="shared" si="297"/>
        <v>0</v>
      </c>
      <c r="I3740" s="21">
        <f t="shared" si="298"/>
        <v>0</v>
      </c>
      <c r="J3740" s="22" t="e">
        <f>VLOOKUP($A3740, TAB_JUROS_C[[DIAS_CORRIDOS]:[V_FUT_UTEIS]], J$5, FALSE)</f>
        <v>#N/A</v>
      </c>
      <c r="K3740" s="22" t="e">
        <f>VLOOKUP($A3740, TAB_CORRECAO_C[[DIAS_CORRIDOS]:[V_FUT_UTEIS]],K$5, FALSE)</f>
        <v>#N/A</v>
      </c>
      <c r="L3740" s="22" t="e">
        <f>VLOOKUP($A3740, TAB_AMORTIZACAO_C[[DIAS_CORRIDOS]:[V_FUT_UTEIS]], L$5, FALSE)</f>
        <v>#N/A</v>
      </c>
    </row>
    <row r="3741" spans="1:12" hidden="1">
      <c r="A3741" s="19">
        <f t="shared" si="299"/>
        <v>3735</v>
      </c>
      <c r="B3741" s="20">
        <f t="shared" si="295"/>
        <v>0</v>
      </c>
      <c r="C3741" s="21">
        <f t="shared" si="296"/>
        <v>0</v>
      </c>
      <c r="D3741" s="22" t="e">
        <f>VLOOKUP($A3741, TAB_JUROS_U[[Q_DIAS_U_PARC_TIR]:[V_FUT_U_JURS CENARIO]], D$5, FALSE)</f>
        <v>#N/A</v>
      </c>
      <c r="E3741" s="22" t="e">
        <f>VLOOKUP($A3741,TAB_CORRECAO_U[[Q_DIAS_U_PARC_TIR]:[V_FUT_U_CORC-02]],E$5, FALSE)</f>
        <v>#N/A</v>
      </c>
      <c r="F3741" s="22" t="e">
        <f>VLOOKUP($A3741,TAB_AMORTIZACAO_U[[Q_DIAS_U_PARC_TIR]:[V_FUT_U_PCPL-02]], F$5, FALSE)</f>
        <v>#N/A</v>
      </c>
      <c r="H3741" s="20">
        <f t="shared" si="297"/>
        <v>0</v>
      </c>
      <c r="I3741" s="21">
        <f t="shared" si="298"/>
        <v>0</v>
      </c>
      <c r="J3741" s="22" t="e">
        <f>VLOOKUP($A3741, TAB_JUROS_C[[DIAS_CORRIDOS]:[V_FUT_UTEIS]], J$5, FALSE)</f>
        <v>#N/A</v>
      </c>
      <c r="K3741" s="22" t="e">
        <f>VLOOKUP($A3741, TAB_CORRECAO_C[[DIAS_CORRIDOS]:[V_FUT_UTEIS]],K$5, FALSE)</f>
        <v>#N/A</v>
      </c>
      <c r="L3741" s="22" t="e">
        <f>VLOOKUP($A3741, TAB_AMORTIZACAO_C[[DIAS_CORRIDOS]:[V_FUT_UTEIS]], L$5, FALSE)</f>
        <v>#N/A</v>
      </c>
    </row>
    <row r="3742" spans="1:12" hidden="1">
      <c r="A3742" s="19">
        <f t="shared" si="299"/>
        <v>3736</v>
      </c>
      <c r="B3742" s="20">
        <f t="shared" si="295"/>
        <v>0</v>
      </c>
      <c r="C3742" s="21">
        <f t="shared" si="296"/>
        <v>0</v>
      </c>
      <c r="D3742" s="22" t="e">
        <f>VLOOKUP($A3742, TAB_JUROS_U[[Q_DIAS_U_PARC_TIR]:[V_FUT_U_JURS CENARIO]], D$5, FALSE)</f>
        <v>#N/A</v>
      </c>
      <c r="E3742" s="22" t="e">
        <f>VLOOKUP($A3742,TAB_CORRECAO_U[[Q_DIAS_U_PARC_TIR]:[V_FUT_U_CORC-02]],E$5, FALSE)</f>
        <v>#N/A</v>
      </c>
      <c r="F3742" s="22" t="e">
        <f>VLOOKUP($A3742,TAB_AMORTIZACAO_U[[Q_DIAS_U_PARC_TIR]:[V_FUT_U_PCPL-02]], F$5, FALSE)</f>
        <v>#N/A</v>
      </c>
      <c r="H3742" s="20">
        <f t="shared" si="297"/>
        <v>0</v>
      </c>
      <c r="I3742" s="21">
        <f t="shared" si="298"/>
        <v>0</v>
      </c>
      <c r="J3742" s="22" t="e">
        <f>VLOOKUP($A3742, TAB_JUROS_C[[DIAS_CORRIDOS]:[V_FUT_UTEIS]], J$5, FALSE)</f>
        <v>#N/A</v>
      </c>
      <c r="K3742" s="22" t="e">
        <f>VLOOKUP($A3742, TAB_CORRECAO_C[[DIAS_CORRIDOS]:[V_FUT_UTEIS]],K$5, FALSE)</f>
        <v>#N/A</v>
      </c>
      <c r="L3742" s="22" t="e">
        <f>VLOOKUP($A3742, TAB_AMORTIZACAO_C[[DIAS_CORRIDOS]:[V_FUT_UTEIS]], L$5, FALSE)</f>
        <v>#N/A</v>
      </c>
    </row>
    <row r="3743" spans="1:12" hidden="1">
      <c r="A3743" s="19">
        <f t="shared" si="299"/>
        <v>3737</v>
      </c>
      <c r="B3743" s="20">
        <f t="shared" si="295"/>
        <v>0</v>
      </c>
      <c r="C3743" s="21">
        <f t="shared" si="296"/>
        <v>0</v>
      </c>
      <c r="D3743" s="22" t="e">
        <f>VLOOKUP($A3743, TAB_JUROS_U[[Q_DIAS_U_PARC_TIR]:[V_FUT_U_JURS CENARIO]], D$5, FALSE)</f>
        <v>#N/A</v>
      </c>
      <c r="E3743" s="22" t="e">
        <f>VLOOKUP($A3743,TAB_CORRECAO_U[[Q_DIAS_U_PARC_TIR]:[V_FUT_U_CORC-02]],E$5, FALSE)</f>
        <v>#N/A</v>
      </c>
      <c r="F3743" s="22" t="e">
        <f>VLOOKUP($A3743,TAB_AMORTIZACAO_U[[Q_DIAS_U_PARC_TIR]:[V_FUT_U_PCPL-02]], F$5, FALSE)</f>
        <v>#N/A</v>
      </c>
      <c r="H3743" s="20">
        <f t="shared" si="297"/>
        <v>0</v>
      </c>
      <c r="I3743" s="21">
        <f t="shared" si="298"/>
        <v>0</v>
      </c>
      <c r="J3743" s="22" t="e">
        <f>VLOOKUP($A3743, TAB_JUROS_C[[DIAS_CORRIDOS]:[V_FUT_UTEIS]], J$5, FALSE)</f>
        <v>#N/A</v>
      </c>
      <c r="K3743" s="22" t="e">
        <f>VLOOKUP($A3743, TAB_CORRECAO_C[[DIAS_CORRIDOS]:[V_FUT_UTEIS]],K$5, FALSE)</f>
        <v>#N/A</v>
      </c>
      <c r="L3743" s="22" t="e">
        <f>VLOOKUP($A3743, TAB_AMORTIZACAO_C[[DIAS_CORRIDOS]:[V_FUT_UTEIS]], L$5, FALSE)</f>
        <v>#N/A</v>
      </c>
    </row>
    <row r="3744" spans="1:12" hidden="1">
      <c r="A3744" s="19">
        <f t="shared" si="299"/>
        <v>3738</v>
      </c>
      <c r="B3744" s="20">
        <f t="shared" si="295"/>
        <v>0</v>
      </c>
      <c r="C3744" s="21">
        <f t="shared" si="296"/>
        <v>0</v>
      </c>
      <c r="D3744" s="22" t="e">
        <f>VLOOKUP($A3744, TAB_JUROS_U[[Q_DIAS_U_PARC_TIR]:[V_FUT_U_JURS CENARIO]], D$5, FALSE)</f>
        <v>#N/A</v>
      </c>
      <c r="E3744" s="22" t="e">
        <f>VLOOKUP($A3744,TAB_CORRECAO_U[[Q_DIAS_U_PARC_TIR]:[V_FUT_U_CORC-02]],E$5, FALSE)</f>
        <v>#N/A</v>
      </c>
      <c r="F3744" s="22" t="e">
        <f>VLOOKUP($A3744,TAB_AMORTIZACAO_U[[Q_DIAS_U_PARC_TIR]:[V_FUT_U_PCPL-02]], F$5, FALSE)</f>
        <v>#N/A</v>
      </c>
      <c r="H3744" s="20">
        <f t="shared" si="297"/>
        <v>0</v>
      </c>
      <c r="I3744" s="21">
        <f t="shared" si="298"/>
        <v>0</v>
      </c>
      <c r="J3744" s="22" t="e">
        <f>VLOOKUP($A3744, TAB_JUROS_C[[DIAS_CORRIDOS]:[V_FUT_UTEIS]], J$5, FALSE)</f>
        <v>#N/A</v>
      </c>
      <c r="K3744" s="22" t="e">
        <f>VLOOKUP($A3744, TAB_CORRECAO_C[[DIAS_CORRIDOS]:[V_FUT_UTEIS]],K$5, FALSE)</f>
        <v>#N/A</v>
      </c>
      <c r="L3744" s="22" t="e">
        <f>VLOOKUP($A3744, TAB_AMORTIZACAO_C[[DIAS_CORRIDOS]:[V_FUT_UTEIS]], L$5, FALSE)</f>
        <v>#N/A</v>
      </c>
    </row>
    <row r="3745" spans="1:12" hidden="1">
      <c r="A3745" s="19">
        <f t="shared" si="299"/>
        <v>3739</v>
      </c>
      <c r="B3745" s="20">
        <f t="shared" si="295"/>
        <v>0</v>
      </c>
      <c r="C3745" s="21">
        <f t="shared" si="296"/>
        <v>0</v>
      </c>
      <c r="D3745" s="22" t="e">
        <f>VLOOKUP($A3745, TAB_JUROS_U[[Q_DIAS_U_PARC_TIR]:[V_FUT_U_JURS CENARIO]], D$5, FALSE)</f>
        <v>#N/A</v>
      </c>
      <c r="E3745" s="22" t="e">
        <f>VLOOKUP($A3745,TAB_CORRECAO_U[[Q_DIAS_U_PARC_TIR]:[V_FUT_U_CORC-02]],E$5, FALSE)</f>
        <v>#N/A</v>
      </c>
      <c r="F3745" s="22" t="e">
        <f>VLOOKUP($A3745,TAB_AMORTIZACAO_U[[Q_DIAS_U_PARC_TIR]:[V_FUT_U_PCPL-02]], F$5, FALSE)</f>
        <v>#N/A</v>
      </c>
      <c r="H3745" s="20">
        <f t="shared" si="297"/>
        <v>0</v>
      </c>
      <c r="I3745" s="21">
        <f t="shared" si="298"/>
        <v>0</v>
      </c>
      <c r="J3745" s="22" t="e">
        <f>VLOOKUP($A3745, TAB_JUROS_C[[DIAS_CORRIDOS]:[V_FUT_UTEIS]], J$5, FALSE)</f>
        <v>#N/A</v>
      </c>
      <c r="K3745" s="22" t="e">
        <f>VLOOKUP($A3745, TAB_CORRECAO_C[[DIAS_CORRIDOS]:[V_FUT_UTEIS]],K$5, FALSE)</f>
        <v>#N/A</v>
      </c>
      <c r="L3745" s="22" t="e">
        <f>VLOOKUP($A3745, TAB_AMORTIZACAO_C[[DIAS_CORRIDOS]:[V_FUT_UTEIS]], L$5, FALSE)</f>
        <v>#N/A</v>
      </c>
    </row>
    <row r="3746" spans="1:12" hidden="1">
      <c r="A3746" s="19">
        <f t="shared" si="299"/>
        <v>3740</v>
      </c>
      <c r="B3746" s="20">
        <f t="shared" si="295"/>
        <v>0</v>
      </c>
      <c r="C3746" s="21">
        <f t="shared" si="296"/>
        <v>0</v>
      </c>
      <c r="D3746" s="22" t="e">
        <f>VLOOKUP($A3746, TAB_JUROS_U[[Q_DIAS_U_PARC_TIR]:[V_FUT_U_JURS CENARIO]], D$5, FALSE)</f>
        <v>#N/A</v>
      </c>
      <c r="E3746" s="22" t="e">
        <f>VLOOKUP($A3746,TAB_CORRECAO_U[[Q_DIAS_U_PARC_TIR]:[V_FUT_U_CORC-02]],E$5, FALSE)</f>
        <v>#N/A</v>
      </c>
      <c r="F3746" s="22" t="e">
        <f>VLOOKUP($A3746,TAB_AMORTIZACAO_U[[Q_DIAS_U_PARC_TIR]:[V_FUT_U_PCPL-02]], F$5, FALSE)</f>
        <v>#N/A</v>
      </c>
      <c r="H3746" s="20">
        <f t="shared" si="297"/>
        <v>0</v>
      </c>
      <c r="I3746" s="21">
        <f t="shared" si="298"/>
        <v>0</v>
      </c>
      <c r="J3746" s="22" t="e">
        <f>VLOOKUP($A3746, TAB_JUROS_C[[DIAS_CORRIDOS]:[V_FUT_UTEIS]], J$5, FALSE)</f>
        <v>#N/A</v>
      </c>
      <c r="K3746" s="22" t="e">
        <f>VLOOKUP($A3746, TAB_CORRECAO_C[[DIAS_CORRIDOS]:[V_FUT_UTEIS]],K$5, FALSE)</f>
        <v>#N/A</v>
      </c>
      <c r="L3746" s="22" t="e">
        <f>VLOOKUP($A3746, TAB_AMORTIZACAO_C[[DIAS_CORRIDOS]:[V_FUT_UTEIS]], L$5, FALSE)</f>
        <v>#N/A</v>
      </c>
    </row>
    <row r="3747" spans="1:12" hidden="1">
      <c r="A3747" s="19">
        <f t="shared" si="299"/>
        <v>3741</v>
      </c>
      <c r="B3747" s="20">
        <f t="shared" si="295"/>
        <v>0</v>
      </c>
      <c r="C3747" s="21">
        <f t="shared" si="296"/>
        <v>0</v>
      </c>
      <c r="D3747" s="22" t="e">
        <f>VLOOKUP($A3747, TAB_JUROS_U[[Q_DIAS_U_PARC_TIR]:[V_FUT_U_JURS CENARIO]], D$5, FALSE)</f>
        <v>#N/A</v>
      </c>
      <c r="E3747" s="22" t="e">
        <f>VLOOKUP($A3747,TAB_CORRECAO_U[[Q_DIAS_U_PARC_TIR]:[V_FUT_U_CORC-02]],E$5, FALSE)</f>
        <v>#N/A</v>
      </c>
      <c r="F3747" s="22" t="e">
        <f>VLOOKUP($A3747,TAB_AMORTIZACAO_U[[Q_DIAS_U_PARC_TIR]:[V_FUT_U_PCPL-02]], F$5, FALSE)</f>
        <v>#N/A</v>
      </c>
      <c r="H3747" s="20">
        <f t="shared" si="297"/>
        <v>0</v>
      </c>
      <c r="I3747" s="21">
        <f t="shared" si="298"/>
        <v>0</v>
      </c>
      <c r="J3747" s="22" t="e">
        <f>VLOOKUP($A3747, TAB_JUROS_C[[DIAS_CORRIDOS]:[V_FUT_UTEIS]], J$5, FALSE)</f>
        <v>#N/A</v>
      </c>
      <c r="K3747" s="22" t="e">
        <f>VLOOKUP($A3747, TAB_CORRECAO_C[[DIAS_CORRIDOS]:[V_FUT_UTEIS]],K$5, FALSE)</f>
        <v>#N/A</v>
      </c>
      <c r="L3747" s="22" t="e">
        <f>VLOOKUP($A3747, TAB_AMORTIZACAO_C[[DIAS_CORRIDOS]:[V_FUT_UTEIS]], L$5, FALSE)</f>
        <v>#N/A</v>
      </c>
    </row>
    <row r="3748" spans="1:12" hidden="1">
      <c r="A3748" s="19">
        <f t="shared" si="299"/>
        <v>3742</v>
      </c>
      <c r="B3748" s="20">
        <f t="shared" si="295"/>
        <v>0</v>
      </c>
      <c r="C3748" s="21">
        <f t="shared" si="296"/>
        <v>0</v>
      </c>
      <c r="D3748" s="22" t="e">
        <f>VLOOKUP($A3748, TAB_JUROS_U[[Q_DIAS_U_PARC_TIR]:[V_FUT_U_JURS CENARIO]], D$5, FALSE)</f>
        <v>#N/A</v>
      </c>
      <c r="E3748" s="22" t="e">
        <f>VLOOKUP($A3748,TAB_CORRECAO_U[[Q_DIAS_U_PARC_TIR]:[V_FUT_U_CORC-02]],E$5, FALSE)</f>
        <v>#N/A</v>
      </c>
      <c r="F3748" s="22" t="e">
        <f>VLOOKUP($A3748,TAB_AMORTIZACAO_U[[Q_DIAS_U_PARC_TIR]:[V_FUT_U_PCPL-02]], F$5, FALSE)</f>
        <v>#N/A</v>
      </c>
      <c r="H3748" s="20">
        <f t="shared" si="297"/>
        <v>0</v>
      </c>
      <c r="I3748" s="21">
        <f t="shared" si="298"/>
        <v>0</v>
      </c>
      <c r="J3748" s="22" t="e">
        <f>VLOOKUP($A3748, TAB_JUROS_C[[DIAS_CORRIDOS]:[V_FUT_UTEIS]], J$5, FALSE)</f>
        <v>#N/A</v>
      </c>
      <c r="K3748" s="22" t="e">
        <f>VLOOKUP($A3748, TAB_CORRECAO_C[[DIAS_CORRIDOS]:[V_FUT_UTEIS]],K$5, FALSE)</f>
        <v>#N/A</v>
      </c>
      <c r="L3748" s="22" t="e">
        <f>VLOOKUP($A3748, TAB_AMORTIZACAO_C[[DIAS_CORRIDOS]:[V_FUT_UTEIS]], L$5, FALSE)</f>
        <v>#N/A</v>
      </c>
    </row>
    <row r="3749" spans="1:12" hidden="1">
      <c r="A3749" s="19">
        <f t="shared" si="299"/>
        <v>3743</v>
      </c>
      <c r="B3749" s="20">
        <f t="shared" si="295"/>
        <v>0</v>
      </c>
      <c r="C3749" s="21">
        <f t="shared" si="296"/>
        <v>0</v>
      </c>
      <c r="D3749" s="22" t="e">
        <f>VLOOKUP($A3749, TAB_JUROS_U[[Q_DIAS_U_PARC_TIR]:[V_FUT_U_JURS CENARIO]], D$5, FALSE)</f>
        <v>#N/A</v>
      </c>
      <c r="E3749" s="22" t="e">
        <f>VLOOKUP($A3749,TAB_CORRECAO_U[[Q_DIAS_U_PARC_TIR]:[V_FUT_U_CORC-02]],E$5, FALSE)</f>
        <v>#N/A</v>
      </c>
      <c r="F3749" s="22" t="e">
        <f>VLOOKUP($A3749,TAB_AMORTIZACAO_U[[Q_DIAS_U_PARC_TIR]:[V_FUT_U_PCPL-02]], F$5, FALSE)</f>
        <v>#N/A</v>
      </c>
      <c r="H3749" s="20">
        <f t="shared" si="297"/>
        <v>0</v>
      </c>
      <c r="I3749" s="21">
        <f t="shared" si="298"/>
        <v>0</v>
      </c>
      <c r="J3749" s="22" t="e">
        <f>VLOOKUP($A3749, TAB_JUROS_C[[DIAS_CORRIDOS]:[V_FUT_UTEIS]], J$5, FALSE)</f>
        <v>#N/A</v>
      </c>
      <c r="K3749" s="22" t="e">
        <f>VLOOKUP($A3749, TAB_CORRECAO_C[[DIAS_CORRIDOS]:[V_FUT_UTEIS]],K$5, FALSE)</f>
        <v>#N/A</v>
      </c>
      <c r="L3749" s="22" t="e">
        <f>VLOOKUP($A3749, TAB_AMORTIZACAO_C[[DIAS_CORRIDOS]:[V_FUT_UTEIS]], L$5, FALSE)</f>
        <v>#N/A</v>
      </c>
    </row>
    <row r="3750" spans="1:12" hidden="1">
      <c r="A3750" s="19">
        <f t="shared" si="299"/>
        <v>3744</v>
      </c>
      <c r="B3750" s="20">
        <f t="shared" si="295"/>
        <v>0</v>
      </c>
      <c r="C3750" s="21">
        <f t="shared" si="296"/>
        <v>0</v>
      </c>
      <c r="D3750" s="22" t="e">
        <f>VLOOKUP($A3750, TAB_JUROS_U[[Q_DIAS_U_PARC_TIR]:[V_FUT_U_JURS CENARIO]], D$5, FALSE)</f>
        <v>#N/A</v>
      </c>
      <c r="E3750" s="22" t="e">
        <f>VLOOKUP($A3750,TAB_CORRECAO_U[[Q_DIAS_U_PARC_TIR]:[V_FUT_U_CORC-02]],E$5, FALSE)</f>
        <v>#N/A</v>
      </c>
      <c r="F3750" s="22" t="e">
        <f>VLOOKUP($A3750,TAB_AMORTIZACAO_U[[Q_DIAS_U_PARC_TIR]:[V_FUT_U_PCPL-02]], F$5, FALSE)</f>
        <v>#N/A</v>
      </c>
      <c r="H3750" s="20">
        <f t="shared" si="297"/>
        <v>0</v>
      </c>
      <c r="I3750" s="21">
        <f t="shared" si="298"/>
        <v>0</v>
      </c>
      <c r="J3750" s="22" t="e">
        <f>VLOOKUP($A3750, TAB_JUROS_C[[DIAS_CORRIDOS]:[V_FUT_UTEIS]], J$5, FALSE)</f>
        <v>#N/A</v>
      </c>
      <c r="K3750" s="22" t="e">
        <f>VLOOKUP($A3750, TAB_CORRECAO_C[[DIAS_CORRIDOS]:[V_FUT_UTEIS]],K$5, FALSE)</f>
        <v>#N/A</v>
      </c>
      <c r="L3750" s="22" t="e">
        <f>VLOOKUP($A3750, TAB_AMORTIZACAO_C[[DIAS_CORRIDOS]:[V_FUT_UTEIS]], L$5, FALSE)</f>
        <v>#N/A</v>
      </c>
    </row>
    <row r="3751" spans="1:12" hidden="1">
      <c r="A3751" s="19">
        <f t="shared" si="299"/>
        <v>3745</v>
      </c>
      <c r="B3751" s="20">
        <f t="shared" si="295"/>
        <v>0</v>
      </c>
      <c r="C3751" s="21">
        <f t="shared" si="296"/>
        <v>0</v>
      </c>
      <c r="D3751" s="22" t="e">
        <f>VLOOKUP($A3751, TAB_JUROS_U[[Q_DIAS_U_PARC_TIR]:[V_FUT_U_JURS CENARIO]], D$5, FALSE)</f>
        <v>#N/A</v>
      </c>
      <c r="E3751" s="22" t="e">
        <f>VLOOKUP($A3751,TAB_CORRECAO_U[[Q_DIAS_U_PARC_TIR]:[V_FUT_U_CORC-02]],E$5, FALSE)</f>
        <v>#N/A</v>
      </c>
      <c r="F3751" s="22" t="e">
        <f>VLOOKUP($A3751,TAB_AMORTIZACAO_U[[Q_DIAS_U_PARC_TIR]:[V_FUT_U_PCPL-02]], F$5, FALSE)</f>
        <v>#N/A</v>
      </c>
      <c r="H3751" s="20">
        <f t="shared" si="297"/>
        <v>0</v>
      </c>
      <c r="I3751" s="21">
        <f t="shared" si="298"/>
        <v>0</v>
      </c>
      <c r="J3751" s="22" t="e">
        <f>VLOOKUP($A3751, TAB_JUROS_C[[DIAS_CORRIDOS]:[V_FUT_UTEIS]], J$5, FALSE)</f>
        <v>#N/A</v>
      </c>
      <c r="K3751" s="22" t="e">
        <f>VLOOKUP($A3751, TAB_CORRECAO_C[[DIAS_CORRIDOS]:[V_FUT_UTEIS]],K$5, FALSE)</f>
        <v>#N/A</v>
      </c>
      <c r="L3751" s="22" t="e">
        <f>VLOOKUP($A3751, TAB_AMORTIZACAO_C[[DIAS_CORRIDOS]:[V_FUT_UTEIS]], L$5, FALSE)</f>
        <v>#N/A</v>
      </c>
    </row>
    <row r="3752" spans="1:12" hidden="1">
      <c r="A3752" s="19">
        <f t="shared" si="299"/>
        <v>3746</v>
      </c>
      <c r="B3752" s="20">
        <f t="shared" si="295"/>
        <v>0</v>
      </c>
      <c r="C3752" s="21">
        <f t="shared" si="296"/>
        <v>0</v>
      </c>
      <c r="D3752" s="22" t="e">
        <f>VLOOKUP($A3752, TAB_JUROS_U[[Q_DIAS_U_PARC_TIR]:[V_FUT_U_JURS CENARIO]], D$5, FALSE)</f>
        <v>#N/A</v>
      </c>
      <c r="E3752" s="22" t="e">
        <f>VLOOKUP($A3752,TAB_CORRECAO_U[[Q_DIAS_U_PARC_TIR]:[V_FUT_U_CORC-02]],E$5, FALSE)</f>
        <v>#N/A</v>
      </c>
      <c r="F3752" s="22" t="e">
        <f>VLOOKUP($A3752,TAB_AMORTIZACAO_U[[Q_DIAS_U_PARC_TIR]:[V_FUT_U_PCPL-02]], F$5, FALSE)</f>
        <v>#N/A</v>
      </c>
      <c r="H3752" s="20">
        <f t="shared" si="297"/>
        <v>0</v>
      </c>
      <c r="I3752" s="21">
        <f t="shared" si="298"/>
        <v>0</v>
      </c>
      <c r="J3752" s="22" t="e">
        <f>VLOOKUP($A3752, TAB_JUROS_C[[DIAS_CORRIDOS]:[V_FUT_UTEIS]], J$5, FALSE)</f>
        <v>#N/A</v>
      </c>
      <c r="K3752" s="22" t="e">
        <f>VLOOKUP($A3752, TAB_CORRECAO_C[[DIAS_CORRIDOS]:[V_FUT_UTEIS]],K$5, FALSE)</f>
        <v>#N/A</v>
      </c>
      <c r="L3752" s="22" t="e">
        <f>VLOOKUP($A3752, TAB_AMORTIZACAO_C[[DIAS_CORRIDOS]:[V_FUT_UTEIS]], L$5, FALSE)</f>
        <v>#N/A</v>
      </c>
    </row>
    <row r="3753" spans="1:12" hidden="1">
      <c r="A3753" s="19">
        <f t="shared" si="299"/>
        <v>3747</v>
      </c>
      <c r="B3753" s="20">
        <f t="shared" si="295"/>
        <v>0</v>
      </c>
      <c r="C3753" s="21">
        <f t="shared" si="296"/>
        <v>0</v>
      </c>
      <c r="D3753" s="22" t="e">
        <f>VLOOKUP($A3753, TAB_JUROS_U[[Q_DIAS_U_PARC_TIR]:[V_FUT_U_JURS CENARIO]], D$5, FALSE)</f>
        <v>#N/A</v>
      </c>
      <c r="E3753" s="22" t="e">
        <f>VLOOKUP($A3753,TAB_CORRECAO_U[[Q_DIAS_U_PARC_TIR]:[V_FUT_U_CORC-02]],E$5, FALSE)</f>
        <v>#N/A</v>
      </c>
      <c r="F3753" s="22" t="e">
        <f>VLOOKUP($A3753,TAB_AMORTIZACAO_U[[Q_DIAS_U_PARC_TIR]:[V_FUT_U_PCPL-02]], F$5, FALSE)</f>
        <v>#N/A</v>
      </c>
      <c r="H3753" s="20">
        <f t="shared" si="297"/>
        <v>0</v>
      </c>
      <c r="I3753" s="21">
        <f t="shared" si="298"/>
        <v>0</v>
      </c>
      <c r="J3753" s="22" t="e">
        <f>VLOOKUP($A3753, TAB_JUROS_C[[DIAS_CORRIDOS]:[V_FUT_UTEIS]], J$5, FALSE)</f>
        <v>#N/A</v>
      </c>
      <c r="K3753" s="22" t="e">
        <f>VLOOKUP($A3753, TAB_CORRECAO_C[[DIAS_CORRIDOS]:[V_FUT_UTEIS]],K$5, FALSE)</f>
        <v>#N/A</v>
      </c>
      <c r="L3753" s="22" t="e">
        <f>VLOOKUP($A3753, TAB_AMORTIZACAO_C[[DIAS_CORRIDOS]:[V_FUT_UTEIS]], L$5, FALSE)</f>
        <v>#N/A</v>
      </c>
    </row>
    <row r="3754" spans="1:12" hidden="1">
      <c r="A3754" s="19">
        <f t="shared" si="299"/>
        <v>3748</v>
      </c>
      <c r="B3754" s="20">
        <f t="shared" si="295"/>
        <v>0</v>
      </c>
      <c r="C3754" s="21">
        <f t="shared" si="296"/>
        <v>0</v>
      </c>
      <c r="D3754" s="22" t="e">
        <f>VLOOKUP($A3754, TAB_JUROS_U[[Q_DIAS_U_PARC_TIR]:[V_FUT_U_JURS CENARIO]], D$5, FALSE)</f>
        <v>#N/A</v>
      </c>
      <c r="E3754" s="22" t="e">
        <f>VLOOKUP($A3754,TAB_CORRECAO_U[[Q_DIAS_U_PARC_TIR]:[V_FUT_U_CORC-02]],E$5, FALSE)</f>
        <v>#N/A</v>
      </c>
      <c r="F3754" s="22" t="e">
        <f>VLOOKUP($A3754,TAB_AMORTIZACAO_U[[Q_DIAS_U_PARC_TIR]:[V_FUT_U_PCPL-02]], F$5, FALSE)</f>
        <v>#N/A</v>
      </c>
      <c r="H3754" s="20">
        <f t="shared" si="297"/>
        <v>0</v>
      </c>
      <c r="I3754" s="21">
        <f t="shared" si="298"/>
        <v>0</v>
      </c>
      <c r="J3754" s="22" t="e">
        <f>VLOOKUP($A3754, TAB_JUROS_C[[DIAS_CORRIDOS]:[V_FUT_UTEIS]], J$5, FALSE)</f>
        <v>#N/A</v>
      </c>
      <c r="K3754" s="22" t="e">
        <f>VLOOKUP($A3754, TAB_CORRECAO_C[[DIAS_CORRIDOS]:[V_FUT_UTEIS]],K$5, FALSE)</f>
        <v>#N/A</v>
      </c>
      <c r="L3754" s="22" t="e">
        <f>VLOOKUP($A3754, TAB_AMORTIZACAO_C[[DIAS_CORRIDOS]:[V_FUT_UTEIS]], L$5, FALSE)</f>
        <v>#N/A</v>
      </c>
    </row>
    <row r="3755" spans="1:12" hidden="1">
      <c r="A3755" s="19">
        <f t="shared" si="299"/>
        <v>3749</v>
      </c>
      <c r="B3755" s="20">
        <f t="shared" si="295"/>
        <v>0</v>
      </c>
      <c r="C3755" s="21">
        <f t="shared" si="296"/>
        <v>0</v>
      </c>
      <c r="D3755" s="22" t="e">
        <f>VLOOKUP($A3755, TAB_JUROS_U[[Q_DIAS_U_PARC_TIR]:[V_FUT_U_JURS CENARIO]], D$5, FALSE)</f>
        <v>#N/A</v>
      </c>
      <c r="E3755" s="22" t="e">
        <f>VLOOKUP($A3755,TAB_CORRECAO_U[[Q_DIAS_U_PARC_TIR]:[V_FUT_U_CORC-02]],E$5, FALSE)</f>
        <v>#N/A</v>
      </c>
      <c r="F3755" s="22" t="e">
        <f>VLOOKUP($A3755,TAB_AMORTIZACAO_U[[Q_DIAS_U_PARC_TIR]:[V_FUT_U_PCPL-02]], F$5, FALSE)</f>
        <v>#N/A</v>
      </c>
      <c r="H3755" s="20">
        <f t="shared" si="297"/>
        <v>0</v>
      </c>
      <c r="I3755" s="21">
        <f t="shared" si="298"/>
        <v>0</v>
      </c>
      <c r="J3755" s="22" t="e">
        <f>VLOOKUP($A3755, TAB_JUROS_C[[DIAS_CORRIDOS]:[V_FUT_UTEIS]], J$5, FALSE)</f>
        <v>#N/A</v>
      </c>
      <c r="K3755" s="22" t="e">
        <f>VLOOKUP($A3755, TAB_CORRECAO_C[[DIAS_CORRIDOS]:[V_FUT_UTEIS]],K$5, FALSE)</f>
        <v>#N/A</v>
      </c>
      <c r="L3755" s="22" t="e">
        <f>VLOOKUP($A3755, TAB_AMORTIZACAO_C[[DIAS_CORRIDOS]:[V_FUT_UTEIS]], L$5, FALSE)</f>
        <v>#N/A</v>
      </c>
    </row>
    <row r="3756" spans="1:12" hidden="1">
      <c r="A3756" s="19">
        <f t="shared" si="299"/>
        <v>3750</v>
      </c>
      <c r="B3756" s="20">
        <f t="shared" si="295"/>
        <v>0</v>
      </c>
      <c r="C3756" s="21">
        <f t="shared" si="296"/>
        <v>0</v>
      </c>
      <c r="D3756" s="22" t="e">
        <f>VLOOKUP($A3756, TAB_JUROS_U[[Q_DIAS_U_PARC_TIR]:[V_FUT_U_JURS CENARIO]], D$5, FALSE)</f>
        <v>#N/A</v>
      </c>
      <c r="E3756" s="22" t="e">
        <f>VLOOKUP($A3756,TAB_CORRECAO_U[[Q_DIAS_U_PARC_TIR]:[V_FUT_U_CORC-02]],E$5, FALSE)</f>
        <v>#N/A</v>
      </c>
      <c r="F3756" s="22" t="e">
        <f>VLOOKUP($A3756,TAB_AMORTIZACAO_U[[Q_DIAS_U_PARC_TIR]:[V_FUT_U_PCPL-02]], F$5, FALSE)</f>
        <v>#N/A</v>
      </c>
      <c r="H3756" s="20">
        <f t="shared" si="297"/>
        <v>0</v>
      </c>
      <c r="I3756" s="21">
        <f t="shared" si="298"/>
        <v>0</v>
      </c>
      <c r="J3756" s="22" t="e">
        <f>VLOOKUP($A3756, TAB_JUROS_C[[DIAS_CORRIDOS]:[V_FUT_UTEIS]], J$5, FALSE)</f>
        <v>#N/A</v>
      </c>
      <c r="K3756" s="22" t="e">
        <f>VLOOKUP($A3756, TAB_CORRECAO_C[[DIAS_CORRIDOS]:[V_FUT_UTEIS]],K$5, FALSE)</f>
        <v>#N/A</v>
      </c>
      <c r="L3756" s="22" t="e">
        <f>VLOOKUP($A3756, TAB_AMORTIZACAO_C[[DIAS_CORRIDOS]:[V_FUT_UTEIS]], L$5, FALSE)</f>
        <v>#N/A</v>
      </c>
    </row>
    <row r="3757" spans="1:12" hidden="1">
      <c r="A3757" s="19">
        <f t="shared" si="299"/>
        <v>3751</v>
      </c>
      <c r="B3757" s="20">
        <f t="shared" si="295"/>
        <v>0</v>
      </c>
      <c r="C3757" s="21">
        <f t="shared" si="296"/>
        <v>0</v>
      </c>
      <c r="D3757" s="22" t="e">
        <f>VLOOKUP($A3757, TAB_JUROS_U[[Q_DIAS_U_PARC_TIR]:[V_FUT_U_JURS CENARIO]], D$5, FALSE)</f>
        <v>#N/A</v>
      </c>
      <c r="E3757" s="22" t="e">
        <f>VLOOKUP($A3757,TAB_CORRECAO_U[[Q_DIAS_U_PARC_TIR]:[V_FUT_U_CORC-02]],E$5, FALSE)</f>
        <v>#N/A</v>
      </c>
      <c r="F3757" s="22" t="e">
        <f>VLOOKUP($A3757,TAB_AMORTIZACAO_U[[Q_DIAS_U_PARC_TIR]:[V_FUT_U_PCPL-02]], F$5, FALSE)</f>
        <v>#N/A</v>
      </c>
      <c r="H3757" s="20">
        <f t="shared" si="297"/>
        <v>0</v>
      </c>
      <c r="I3757" s="21">
        <f t="shared" si="298"/>
        <v>0</v>
      </c>
      <c r="J3757" s="22" t="e">
        <f>VLOOKUP($A3757, TAB_JUROS_C[[DIAS_CORRIDOS]:[V_FUT_UTEIS]], J$5, FALSE)</f>
        <v>#N/A</v>
      </c>
      <c r="K3757" s="22" t="e">
        <f>VLOOKUP($A3757, TAB_CORRECAO_C[[DIAS_CORRIDOS]:[V_FUT_UTEIS]],K$5, FALSE)</f>
        <v>#N/A</v>
      </c>
      <c r="L3757" s="22" t="e">
        <f>VLOOKUP($A3757, TAB_AMORTIZACAO_C[[DIAS_CORRIDOS]:[V_FUT_UTEIS]], L$5, FALSE)</f>
        <v>#N/A</v>
      </c>
    </row>
    <row r="3758" spans="1:12" hidden="1">
      <c r="A3758" s="19">
        <f t="shared" si="299"/>
        <v>3752</v>
      </c>
      <c r="B3758" s="20">
        <f t="shared" si="295"/>
        <v>0</v>
      </c>
      <c r="C3758" s="21">
        <f t="shared" si="296"/>
        <v>0</v>
      </c>
      <c r="D3758" s="22" t="e">
        <f>VLOOKUP($A3758, TAB_JUROS_U[[Q_DIAS_U_PARC_TIR]:[V_FUT_U_JURS CENARIO]], D$5, FALSE)</f>
        <v>#N/A</v>
      </c>
      <c r="E3758" s="22" t="e">
        <f>VLOOKUP($A3758,TAB_CORRECAO_U[[Q_DIAS_U_PARC_TIR]:[V_FUT_U_CORC-02]],E$5, FALSE)</f>
        <v>#N/A</v>
      </c>
      <c r="F3758" s="22" t="e">
        <f>VLOOKUP($A3758,TAB_AMORTIZACAO_U[[Q_DIAS_U_PARC_TIR]:[V_FUT_U_PCPL-02]], F$5, FALSE)</f>
        <v>#N/A</v>
      </c>
      <c r="H3758" s="20">
        <f t="shared" si="297"/>
        <v>0</v>
      </c>
      <c r="I3758" s="21">
        <f t="shared" si="298"/>
        <v>0</v>
      </c>
      <c r="J3758" s="22" t="e">
        <f>VLOOKUP($A3758, TAB_JUROS_C[[DIAS_CORRIDOS]:[V_FUT_UTEIS]], J$5, FALSE)</f>
        <v>#N/A</v>
      </c>
      <c r="K3758" s="22" t="e">
        <f>VLOOKUP($A3758, TAB_CORRECAO_C[[DIAS_CORRIDOS]:[V_FUT_UTEIS]],K$5, FALSE)</f>
        <v>#N/A</v>
      </c>
      <c r="L3758" s="22" t="e">
        <f>VLOOKUP($A3758, TAB_AMORTIZACAO_C[[DIAS_CORRIDOS]:[V_FUT_UTEIS]], L$5, FALSE)</f>
        <v>#N/A</v>
      </c>
    </row>
    <row r="3759" spans="1:12" hidden="1">
      <c r="A3759" s="19">
        <f t="shared" si="299"/>
        <v>3753</v>
      </c>
      <c r="B3759" s="20">
        <f t="shared" si="295"/>
        <v>0</v>
      </c>
      <c r="C3759" s="21">
        <f t="shared" si="296"/>
        <v>0</v>
      </c>
      <c r="D3759" s="22" t="e">
        <f>VLOOKUP($A3759, TAB_JUROS_U[[Q_DIAS_U_PARC_TIR]:[V_FUT_U_JURS CENARIO]], D$5, FALSE)</f>
        <v>#N/A</v>
      </c>
      <c r="E3759" s="22" t="e">
        <f>VLOOKUP($A3759,TAB_CORRECAO_U[[Q_DIAS_U_PARC_TIR]:[V_FUT_U_CORC-02]],E$5, FALSE)</f>
        <v>#N/A</v>
      </c>
      <c r="F3759" s="22" t="e">
        <f>VLOOKUP($A3759,TAB_AMORTIZACAO_U[[Q_DIAS_U_PARC_TIR]:[V_FUT_U_PCPL-02]], F$5, FALSE)</f>
        <v>#N/A</v>
      </c>
      <c r="H3759" s="20">
        <f t="shared" si="297"/>
        <v>0</v>
      </c>
      <c r="I3759" s="21">
        <f t="shared" si="298"/>
        <v>0</v>
      </c>
      <c r="J3759" s="22" t="e">
        <f>VLOOKUP($A3759, TAB_JUROS_C[[DIAS_CORRIDOS]:[V_FUT_UTEIS]], J$5, FALSE)</f>
        <v>#N/A</v>
      </c>
      <c r="K3759" s="22" t="e">
        <f>VLOOKUP($A3759, TAB_CORRECAO_C[[DIAS_CORRIDOS]:[V_FUT_UTEIS]],K$5, FALSE)</f>
        <v>#N/A</v>
      </c>
      <c r="L3759" s="22" t="e">
        <f>VLOOKUP($A3759, TAB_AMORTIZACAO_C[[DIAS_CORRIDOS]:[V_FUT_UTEIS]], L$5, FALSE)</f>
        <v>#N/A</v>
      </c>
    </row>
    <row r="3760" spans="1:12" hidden="1">
      <c r="A3760" s="19">
        <f t="shared" si="299"/>
        <v>3754</v>
      </c>
      <c r="B3760" s="20">
        <f t="shared" si="295"/>
        <v>0</v>
      </c>
      <c r="C3760" s="21">
        <f t="shared" si="296"/>
        <v>0</v>
      </c>
      <c r="D3760" s="22" t="e">
        <f>VLOOKUP($A3760, TAB_JUROS_U[[Q_DIAS_U_PARC_TIR]:[V_FUT_U_JURS CENARIO]], D$5, FALSE)</f>
        <v>#N/A</v>
      </c>
      <c r="E3760" s="22" t="e">
        <f>VLOOKUP($A3760,TAB_CORRECAO_U[[Q_DIAS_U_PARC_TIR]:[V_FUT_U_CORC-02]],E$5, FALSE)</f>
        <v>#N/A</v>
      </c>
      <c r="F3760" s="22" t="e">
        <f>VLOOKUP($A3760,TAB_AMORTIZACAO_U[[Q_DIAS_U_PARC_TIR]:[V_FUT_U_PCPL-02]], F$5, FALSE)</f>
        <v>#N/A</v>
      </c>
      <c r="H3760" s="20">
        <f t="shared" si="297"/>
        <v>0</v>
      </c>
      <c r="I3760" s="21">
        <f t="shared" si="298"/>
        <v>0</v>
      </c>
      <c r="J3760" s="22" t="e">
        <f>VLOOKUP($A3760, TAB_JUROS_C[[DIAS_CORRIDOS]:[V_FUT_UTEIS]], J$5, FALSE)</f>
        <v>#N/A</v>
      </c>
      <c r="K3760" s="22" t="e">
        <f>VLOOKUP($A3760, TAB_CORRECAO_C[[DIAS_CORRIDOS]:[V_FUT_UTEIS]],K$5, FALSE)</f>
        <v>#N/A</v>
      </c>
      <c r="L3760" s="22" t="e">
        <f>VLOOKUP($A3760, TAB_AMORTIZACAO_C[[DIAS_CORRIDOS]:[V_FUT_UTEIS]], L$5, FALSE)</f>
        <v>#N/A</v>
      </c>
    </row>
    <row r="3761" spans="1:12" hidden="1">
      <c r="A3761" s="19">
        <f t="shared" si="299"/>
        <v>3755</v>
      </c>
      <c r="B3761" s="20">
        <f t="shared" si="295"/>
        <v>0</v>
      </c>
      <c r="C3761" s="21">
        <f t="shared" si="296"/>
        <v>0</v>
      </c>
      <c r="D3761" s="22" t="e">
        <f>VLOOKUP($A3761, TAB_JUROS_U[[Q_DIAS_U_PARC_TIR]:[V_FUT_U_JURS CENARIO]], D$5, FALSE)</f>
        <v>#N/A</v>
      </c>
      <c r="E3761" s="22" t="e">
        <f>VLOOKUP($A3761,TAB_CORRECAO_U[[Q_DIAS_U_PARC_TIR]:[V_FUT_U_CORC-02]],E$5, FALSE)</f>
        <v>#N/A</v>
      </c>
      <c r="F3761" s="22" t="e">
        <f>VLOOKUP($A3761,TAB_AMORTIZACAO_U[[Q_DIAS_U_PARC_TIR]:[V_FUT_U_PCPL-02]], F$5, FALSE)</f>
        <v>#N/A</v>
      </c>
      <c r="H3761" s="20">
        <f t="shared" si="297"/>
        <v>153.55187796621752</v>
      </c>
      <c r="I3761" s="21">
        <f t="shared" si="298"/>
        <v>153.55187796621752</v>
      </c>
      <c r="J3761" s="22">
        <f>VLOOKUP($A3761, TAB_JUROS_C[[DIAS_CORRIDOS]:[V_FUT_UTEIS]], J$5, FALSE)</f>
        <v>5.0843455994928721</v>
      </c>
      <c r="K3761" s="22">
        <f>VLOOKUP($A3761, TAB_CORRECAO_C[[DIAS_CORRIDOS]:[V_FUT_UTEIS]],K$5, FALSE)</f>
        <v>31.608072394027236</v>
      </c>
      <c r="L3761" s="22">
        <f>VLOOKUP($A3761, TAB_AMORTIZACAO_C[[DIAS_CORRIDOS]:[V_FUT_UTEIS]], L$5, FALSE)</f>
        <v>116.85945997269741</v>
      </c>
    </row>
    <row r="3762" spans="1:12" hidden="1">
      <c r="A3762" s="19">
        <f t="shared" si="299"/>
        <v>3756</v>
      </c>
      <c r="B3762" s="20">
        <f t="shared" si="295"/>
        <v>0</v>
      </c>
      <c r="C3762" s="21">
        <f t="shared" si="296"/>
        <v>0</v>
      </c>
      <c r="D3762" s="22" t="e">
        <f>VLOOKUP($A3762, TAB_JUROS_U[[Q_DIAS_U_PARC_TIR]:[V_FUT_U_JURS CENARIO]], D$5, FALSE)</f>
        <v>#N/A</v>
      </c>
      <c r="E3762" s="22" t="e">
        <f>VLOOKUP($A3762,TAB_CORRECAO_U[[Q_DIAS_U_PARC_TIR]:[V_FUT_U_CORC-02]],E$5, FALSE)</f>
        <v>#N/A</v>
      </c>
      <c r="F3762" s="22" t="e">
        <f>VLOOKUP($A3762,TAB_AMORTIZACAO_U[[Q_DIAS_U_PARC_TIR]:[V_FUT_U_PCPL-02]], F$5, FALSE)</f>
        <v>#N/A</v>
      </c>
      <c r="H3762" s="20">
        <f t="shared" si="297"/>
        <v>0</v>
      </c>
      <c r="I3762" s="21">
        <f t="shared" si="298"/>
        <v>0</v>
      </c>
      <c r="J3762" s="22" t="e">
        <f>VLOOKUP($A3762, TAB_JUROS_C[[DIAS_CORRIDOS]:[V_FUT_UTEIS]], J$5, FALSE)</f>
        <v>#N/A</v>
      </c>
      <c r="K3762" s="22" t="e">
        <f>VLOOKUP($A3762, TAB_CORRECAO_C[[DIAS_CORRIDOS]:[V_FUT_UTEIS]],K$5, FALSE)</f>
        <v>#N/A</v>
      </c>
      <c r="L3762" s="22" t="e">
        <f>VLOOKUP($A3762, TAB_AMORTIZACAO_C[[DIAS_CORRIDOS]:[V_FUT_UTEIS]], L$5, FALSE)</f>
        <v>#N/A</v>
      </c>
    </row>
    <row r="3763" spans="1:12" hidden="1">
      <c r="A3763" s="19">
        <f t="shared" si="299"/>
        <v>3757</v>
      </c>
      <c r="B3763" s="20">
        <f t="shared" si="295"/>
        <v>0</v>
      </c>
      <c r="C3763" s="21">
        <f t="shared" si="296"/>
        <v>0</v>
      </c>
      <c r="D3763" s="22" t="e">
        <f>VLOOKUP($A3763, TAB_JUROS_U[[Q_DIAS_U_PARC_TIR]:[V_FUT_U_JURS CENARIO]], D$5, FALSE)</f>
        <v>#N/A</v>
      </c>
      <c r="E3763" s="22" t="e">
        <f>VLOOKUP($A3763,TAB_CORRECAO_U[[Q_DIAS_U_PARC_TIR]:[V_FUT_U_CORC-02]],E$5, FALSE)</f>
        <v>#N/A</v>
      </c>
      <c r="F3763" s="22" t="e">
        <f>VLOOKUP($A3763,TAB_AMORTIZACAO_U[[Q_DIAS_U_PARC_TIR]:[V_FUT_U_PCPL-02]], F$5, FALSE)</f>
        <v>#N/A</v>
      </c>
      <c r="H3763" s="20">
        <f t="shared" si="297"/>
        <v>0</v>
      </c>
      <c r="I3763" s="21">
        <f t="shared" si="298"/>
        <v>0</v>
      </c>
      <c r="J3763" s="22" t="e">
        <f>VLOOKUP($A3763, TAB_JUROS_C[[DIAS_CORRIDOS]:[V_FUT_UTEIS]], J$5, FALSE)</f>
        <v>#N/A</v>
      </c>
      <c r="K3763" s="22" t="e">
        <f>VLOOKUP($A3763, TAB_CORRECAO_C[[DIAS_CORRIDOS]:[V_FUT_UTEIS]],K$5, FALSE)</f>
        <v>#N/A</v>
      </c>
      <c r="L3763" s="22" t="e">
        <f>VLOOKUP($A3763, TAB_AMORTIZACAO_C[[DIAS_CORRIDOS]:[V_FUT_UTEIS]], L$5, FALSE)</f>
        <v>#N/A</v>
      </c>
    </row>
    <row r="3764" spans="1:12" hidden="1">
      <c r="A3764" s="19">
        <f t="shared" si="299"/>
        <v>3758</v>
      </c>
      <c r="B3764" s="20">
        <f t="shared" si="295"/>
        <v>0</v>
      </c>
      <c r="C3764" s="21">
        <f t="shared" si="296"/>
        <v>0</v>
      </c>
      <c r="D3764" s="22" t="e">
        <f>VLOOKUP($A3764, TAB_JUROS_U[[Q_DIAS_U_PARC_TIR]:[V_FUT_U_JURS CENARIO]], D$5, FALSE)</f>
        <v>#N/A</v>
      </c>
      <c r="E3764" s="22" t="e">
        <f>VLOOKUP($A3764,TAB_CORRECAO_U[[Q_DIAS_U_PARC_TIR]:[V_FUT_U_CORC-02]],E$5, FALSE)</f>
        <v>#N/A</v>
      </c>
      <c r="F3764" s="22" t="e">
        <f>VLOOKUP($A3764,TAB_AMORTIZACAO_U[[Q_DIAS_U_PARC_TIR]:[V_FUT_U_PCPL-02]], F$5, FALSE)</f>
        <v>#N/A</v>
      </c>
      <c r="H3764" s="20">
        <f t="shared" si="297"/>
        <v>0</v>
      </c>
      <c r="I3764" s="21">
        <f t="shared" si="298"/>
        <v>0</v>
      </c>
      <c r="J3764" s="22" t="e">
        <f>VLOOKUP($A3764, TAB_JUROS_C[[DIAS_CORRIDOS]:[V_FUT_UTEIS]], J$5, FALSE)</f>
        <v>#N/A</v>
      </c>
      <c r="K3764" s="22" t="e">
        <f>VLOOKUP($A3764, TAB_CORRECAO_C[[DIAS_CORRIDOS]:[V_FUT_UTEIS]],K$5, FALSE)</f>
        <v>#N/A</v>
      </c>
      <c r="L3764" s="22" t="e">
        <f>VLOOKUP($A3764, TAB_AMORTIZACAO_C[[DIAS_CORRIDOS]:[V_FUT_UTEIS]], L$5, FALSE)</f>
        <v>#N/A</v>
      </c>
    </row>
    <row r="3765" spans="1:12" hidden="1">
      <c r="A3765" s="19">
        <f t="shared" si="299"/>
        <v>3759</v>
      </c>
      <c r="B3765" s="20">
        <f t="shared" si="295"/>
        <v>0</v>
      </c>
      <c r="C3765" s="21">
        <f t="shared" si="296"/>
        <v>0</v>
      </c>
      <c r="D3765" s="22" t="e">
        <f>VLOOKUP($A3765, TAB_JUROS_U[[Q_DIAS_U_PARC_TIR]:[V_FUT_U_JURS CENARIO]], D$5, FALSE)</f>
        <v>#N/A</v>
      </c>
      <c r="E3765" s="22" t="e">
        <f>VLOOKUP($A3765,TAB_CORRECAO_U[[Q_DIAS_U_PARC_TIR]:[V_FUT_U_CORC-02]],E$5, FALSE)</f>
        <v>#N/A</v>
      </c>
      <c r="F3765" s="22" t="e">
        <f>VLOOKUP($A3765,TAB_AMORTIZACAO_U[[Q_DIAS_U_PARC_TIR]:[V_FUT_U_PCPL-02]], F$5, FALSE)</f>
        <v>#N/A</v>
      </c>
      <c r="H3765" s="20">
        <f t="shared" si="297"/>
        <v>0</v>
      </c>
      <c r="I3765" s="21">
        <f t="shared" si="298"/>
        <v>0</v>
      </c>
      <c r="J3765" s="22" t="e">
        <f>VLOOKUP($A3765, TAB_JUROS_C[[DIAS_CORRIDOS]:[V_FUT_UTEIS]], J$5, FALSE)</f>
        <v>#N/A</v>
      </c>
      <c r="K3765" s="22" t="e">
        <f>VLOOKUP($A3765, TAB_CORRECAO_C[[DIAS_CORRIDOS]:[V_FUT_UTEIS]],K$5, FALSE)</f>
        <v>#N/A</v>
      </c>
      <c r="L3765" s="22" t="e">
        <f>VLOOKUP($A3765, TAB_AMORTIZACAO_C[[DIAS_CORRIDOS]:[V_FUT_UTEIS]], L$5, FALSE)</f>
        <v>#N/A</v>
      </c>
    </row>
    <row r="3766" spans="1:12" hidden="1">
      <c r="A3766" s="19">
        <f t="shared" si="299"/>
        <v>3760</v>
      </c>
      <c r="B3766" s="20">
        <f t="shared" si="295"/>
        <v>0</v>
      </c>
      <c r="C3766" s="21">
        <f t="shared" si="296"/>
        <v>0</v>
      </c>
      <c r="D3766" s="22" t="e">
        <f>VLOOKUP($A3766, TAB_JUROS_U[[Q_DIAS_U_PARC_TIR]:[V_FUT_U_JURS CENARIO]], D$5, FALSE)</f>
        <v>#N/A</v>
      </c>
      <c r="E3766" s="22" t="e">
        <f>VLOOKUP($A3766,TAB_CORRECAO_U[[Q_DIAS_U_PARC_TIR]:[V_FUT_U_CORC-02]],E$5, FALSE)</f>
        <v>#N/A</v>
      </c>
      <c r="F3766" s="22" t="e">
        <f>VLOOKUP($A3766,TAB_AMORTIZACAO_U[[Q_DIAS_U_PARC_TIR]:[V_FUT_U_PCPL-02]], F$5, FALSE)</f>
        <v>#N/A</v>
      </c>
      <c r="H3766" s="20">
        <f t="shared" si="297"/>
        <v>0</v>
      </c>
      <c r="I3766" s="21">
        <f t="shared" si="298"/>
        <v>0</v>
      </c>
      <c r="J3766" s="22" t="e">
        <f>VLOOKUP($A3766, TAB_JUROS_C[[DIAS_CORRIDOS]:[V_FUT_UTEIS]], J$5, FALSE)</f>
        <v>#N/A</v>
      </c>
      <c r="K3766" s="22" t="e">
        <f>VLOOKUP($A3766, TAB_CORRECAO_C[[DIAS_CORRIDOS]:[V_FUT_UTEIS]],K$5, FALSE)</f>
        <v>#N/A</v>
      </c>
      <c r="L3766" s="22" t="e">
        <f>VLOOKUP($A3766, TAB_AMORTIZACAO_C[[DIAS_CORRIDOS]:[V_FUT_UTEIS]], L$5, FALSE)</f>
        <v>#N/A</v>
      </c>
    </row>
    <row r="3767" spans="1:12" hidden="1">
      <c r="A3767" s="19">
        <f t="shared" si="299"/>
        <v>3761</v>
      </c>
      <c r="B3767" s="20">
        <f t="shared" si="295"/>
        <v>0</v>
      </c>
      <c r="C3767" s="21">
        <f t="shared" si="296"/>
        <v>0</v>
      </c>
      <c r="D3767" s="22" t="e">
        <f>VLOOKUP($A3767, TAB_JUROS_U[[Q_DIAS_U_PARC_TIR]:[V_FUT_U_JURS CENARIO]], D$5, FALSE)</f>
        <v>#N/A</v>
      </c>
      <c r="E3767" s="22" t="e">
        <f>VLOOKUP($A3767,TAB_CORRECAO_U[[Q_DIAS_U_PARC_TIR]:[V_FUT_U_CORC-02]],E$5, FALSE)</f>
        <v>#N/A</v>
      </c>
      <c r="F3767" s="22" t="e">
        <f>VLOOKUP($A3767,TAB_AMORTIZACAO_U[[Q_DIAS_U_PARC_TIR]:[V_FUT_U_PCPL-02]], F$5, FALSE)</f>
        <v>#N/A</v>
      </c>
      <c r="H3767" s="20">
        <f t="shared" si="297"/>
        <v>0</v>
      </c>
      <c r="I3767" s="21">
        <f t="shared" si="298"/>
        <v>0</v>
      </c>
      <c r="J3767" s="22" t="e">
        <f>VLOOKUP($A3767, TAB_JUROS_C[[DIAS_CORRIDOS]:[V_FUT_UTEIS]], J$5, FALSE)</f>
        <v>#N/A</v>
      </c>
      <c r="K3767" s="22" t="e">
        <f>VLOOKUP($A3767, TAB_CORRECAO_C[[DIAS_CORRIDOS]:[V_FUT_UTEIS]],K$5, FALSE)</f>
        <v>#N/A</v>
      </c>
      <c r="L3767" s="22" t="e">
        <f>VLOOKUP($A3767, TAB_AMORTIZACAO_C[[DIAS_CORRIDOS]:[V_FUT_UTEIS]], L$5, FALSE)</f>
        <v>#N/A</v>
      </c>
    </row>
    <row r="3768" spans="1:12" hidden="1">
      <c r="A3768" s="19">
        <f t="shared" si="299"/>
        <v>3762</v>
      </c>
      <c r="B3768" s="20">
        <f t="shared" si="295"/>
        <v>0</v>
      </c>
      <c r="C3768" s="21">
        <f t="shared" si="296"/>
        <v>0</v>
      </c>
      <c r="D3768" s="22" t="e">
        <f>VLOOKUP($A3768, TAB_JUROS_U[[Q_DIAS_U_PARC_TIR]:[V_FUT_U_JURS CENARIO]], D$5, FALSE)</f>
        <v>#N/A</v>
      </c>
      <c r="E3768" s="22" t="e">
        <f>VLOOKUP($A3768,TAB_CORRECAO_U[[Q_DIAS_U_PARC_TIR]:[V_FUT_U_CORC-02]],E$5, FALSE)</f>
        <v>#N/A</v>
      </c>
      <c r="F3768" s="22" t="e">
        <f>VLOOKUP($A3768,TAB_AMORTIZACAO_U[[Q_DIAS_U_PARC_TIR]:[V_FUT_U_PCPL-02]], F$5, FALSE)</f>
        <v>#N/A</v>
      </c>
      <c r="H3768" s="20">
        <f t="shared" si="297"/>
        <v>0</v>
      </c>
      <c r="I3768" s="21">
        <f t="shared" si="298"/>
        <v>0</v>
      </c>
      <c r="J3768" s="22" t="e">
        <f>VLOOKUP($A3768, TAB_JUROS_C[[DIAS_CORRIDOS]:[V_FUT_UTEIS]], J$5, FALSE)</f>
        <v>#N/A</v>
      </c>
      <c r="K3768" s="22" t="e">
        <f>VLOOKUP($A3768, TAB_CORRECAO_C[[DIAS_CORRIDOS]:[V_FUT_UTEIS]],K$5, FALSE)</f>
        <v>#N/A</v>
      </c>
      <c r="L3768" s="22" t="e">
        <f>VLOOKUP($A3768, TAB_AMORTIZACAO_C[[DIAS_CORRIDOS]:[V_FUT_UTEIS]], L$5, FALSE)</f>
        <v>#N/A</v>
      </c>
    </row>
    <row r="3769" spans="1:12" hidden="1">
      <c r="A3769" s="19">
        <f t="shared" si="299"/>
        <v>3763</v>
      </c>
      <c r="B3769" s="20">
        <f t="shared" si="295"/>
        <v>0</v>
      </c>
      <c r="C3769" s="21">
        <f t="shared" si="296"/>
        <v>0</v>
      </c>
      <c r="D3769" s="22" t="e">
        <f>VLOOKUP($A3769, TAB_JUROS_U[[Q_DIAS_U_PARC_TIR]:[V_FUT_U_JURS CENARIO]], D$5, FALSE)</f>
        <v>#N/A</v>
      </c>
      <c r="E3769" s="22" t="e">
        <f>VLOOKUP($A3769,TAB_CORRECAO_U[[Q_DIAS_U_PARC_TIR]:[V_FUT_U_CORC-02]],E$5, FALSE)</f>
        <v>#N/A</v>
      </c>
      <c r="F3769" s="22" t="e">
        <f>VLOOKUP($A3769,TAB_AMORTIZACAO_U[[Q_DIAS_U_PARC_TIR]:[V_FUT_U_PCPL-02]], F$5, FALSE)</f>
        <v>#N/A</v>
      </c>
      <c r="H3769" s="20">
        <f t="shared" si="297"/>
        <v>0</v>
      </c>
      <c r="I3769" s="21">
        <f t="shared" si="298"/>
        <v>0</v>
      </c>
      <c r="J3769" s="22" t="e">
        <f>VLOOKUP($A3769, TAB_JUROS_C[[DIAS_CORRIDOS]:[V_FUT_UTEIS]], J$5, FALSE)</f>
        <v>#N/A</v>
      </c>
      <c r="K3769" s="22" t="e">
        <f>VLOOKUP($A3769, TAB_CORRECAO_C[[DIAS_CORRIDOS]:[V_FUT_UTEIS]],K$5, FALSE)</f>
        <v>#N/A</v>
      </c>
      <c r="L3769" s="22" t="e">
        <f>VLOOKUP($A3769, TAB_AMORTIZACAO_C[[DIAS_CORRIDOS]:[V_FUT_UTEIS]], L$5, FALSE)</f>
        <v>#N/A</v>
      </c>
    </row>
    <row r="3770" spans="1:12" hidden="1">
      <c r="A3770" s="19">
        <f t="shared" si="299"/>
        <v>3764</v>
      </c>
      <c r="B3770" s="20">
        <f t="shared" si="295"/>
        <v>0</v>
      </c>
      <c r="C3770" s="21">
        <f t="shared" si="296"/>
        <v>0</v>
      </c>
      <c r="D3770" s="22" t="e">
        <f>VLOOKUP($A3770, TAB_JUROS_U[[Q_DIAS_U_PARC_TIR]:[V_FUT_U_JURS CENARIO]], D$5, FALSE)</f>
        <v>#N/A</v>
      </c>
      <c r="E3770" s="22" t="e">
        <f>VLOOKUP($A3770,TAB_CORRECAO_U[[Q_DIAS_U_PARC_TIR]:[V_FUT_U_CORC-02]],E$5, FALSE)</f>
        <v>#N/A</v>
      </c>
      <c r="F3770" s="22" t="e">
        <f>VLOOKUP($A3770,TAB_AMORTIZACAO_U[[Q_DIAS_U_PARC_TIR]:[V_FUT_U_PCPL-02]], F$5, FALSE)</f>
        <v>#N/A</v>
      </c>
      <c r="H3770" s="20">
        <f t="shared" si="297"/>
        <v>0</v>
      </c>
      <c r="I3770" s="21">
        <f t="shared" si="298"/>
        <v>0</v>
      </c>
      <c r="J3770" s="22" t="e">
        <f>VLOOKUP($A3770, TAB_JUROS_C[[DIAS_CORRIDOS]:[V_FUT_UTEIS]], J$5, FALSE)</f>
        <v>#N/A</v>
      </c>
      <c r="K3770" s="22" t="e">
        <f>VLOOKUP($A3770, TAB_CORRECAO_C[[DIAS_CORRIDOS]:[V_FUT_UTEIS]],K$5, FALSE)</f>
        <v>#N/A</v>
      </c>
      <c r="L3770" s="22" t="e">
        <f>VLOOKUP($A3770, TAB_AMORTIZACAO_C[[DIAS_CORRIDOS]:[V_FUT_UTEIS]], L$5, FALSE)</f>
        <v>#N/A</v>
      </c>
    </row>
    <row r="3771" spans="1:12" hidden="1">
      <c r="A3771" s="19">
        <f t="shared" si="299"/>
        <v>3765</v>
      </c>
      <c r="B3771" s="20">
        <f t="shared" si="295"/>
        <v>0</v>
      </c>
      <c r="C3771" s="21">
        <f t="shared" si="296"/>
        <v>0</v>
      </c>
      <c r="D3771" s="22" t="e">
        <f>VLOOKUP($A3771, TAB_JUROS_U[[Q_DIAS_U_PARC_TIR]:[V_FUT_U_JURS CENARIO]], D$5, FALSE)</f>
        <v>#N/A</v>
      </c>
      <c r="E3771" s="22" t="e">
        <f>VLOOKUP($A3771,TAB_CORRECAO_U[[Q_DIAS_U_PARC_TIR]:[V_FUT_U_CORC-02]],E$5, FALSE)</f>
        <v>#N/A</v>
      </c>
      <c r="F3771" s="22" t="e">
        <f>VLOOKUP($A3771,TAB_AMORTIZACAO_U[[Q_DIAS_U_PARC_TIR]:[V_FUT_U_PCPL-02]], F$5, FALSE)</f>
        <v>#N/A</v>
      </c>
      <c r="H3771" s="20">
        <f t="shared" si="297"/>
        <v>0</v>
      </c>
      <c r="I3771" s="21">
        <f t="shared" si="298"/>
        <v>0</v>
      </c>
      <c r="J3771" s="22" t="e">
        <f>VLOOKUP($A3771, TAB_JUROS_C[[DIAS_CORRIDOS]:[V_FUT_UTEIS]], J$5, FALSE)</f>
        <v>#N/A</v>
      </c>
      <c r="K3771" s="22" t="e">
        <f>VLOOKUP($A3771, TAB_CORRECAO_C[[DIAS_CORRIDOS]:[V_FUT_UTEIS]],K$5, FALSE)</f>
        <v>#N/A</v>
      </c>
      <c r="L3771" s="22" t="e">
        <f>VLOOKUP($A3771, TAB_AMORTIZACAO_C[[DIAS_CORRIDOS]:[V_FUT_UTEIS]], L$5, FALSE)</f>
        <v>#N/A</v>
      </c>
    </row>
    <row r="3772" spans="1:12" hidden="1">
      <c r="A3772" s="19">
        <f t="shared" si="299"/>
        <v>3766</v>
      </c>
      <c r="B3772" s="20">
        <f t="shared" si="295"/>
        <v>0</v>
      </c>
      <c r="C3772" s="21">
        <f t="shared" si="296"/>
        <v>0</v>
      </c>
      <c r="D3772" s="22" t="e">
        <f>VLOOKUP($A3772, TAB_JUROS_U[[Q_DIAS_U_PARC_TIR]:[V_FUT_U_JURS CENARIO]], D$5, FALSE)</f>
        <v>#N/A</v>
      </c>
      <c r="E3772" s="22" t="e">
        <f>VLOOKUP($A3772,TAB_CORRECAO_U[[Q_DIAS_U_PARC_TIR]:[V_FUT_U_CORC-02]],E$5, FALSE)</f>
        <v>#N/A</v>
      </c>
      <c r="F3772" s="22" t="e">
        <f>VLOOKUP($A3772,TAB_AMORTIZACAO_U[[Q_DIAS_U_PARC_TIR]:[V_FUT_U_PCPL-02]], F$5, FALSE)</f>
        <v>#N/A</v>
      </c>
      <c r="H3772" s="20">
        <f t="shared" si="297"/>
        <v>0</v>
      </c>
      <c r="I3772" s="21">
        <f t="shared" si="298"/>
        <v>0</v>
      </c>
      <c r="J3772" s="22" t="e">
        <f>VLOOKUP($A3772, TAB_JUROS_C[[DIAS_CORRIDOS]:[V_FUT_UTEIS]], J$5, FALSE)</f>
        <v>#N/A</v>
      </c>
      <c r="K3772" s="22" t="e">
        <f>VLOOKUP($A3772, TAB_CORRECAO_C[[DIAS_CORRIDOS]:[V_FUT_UTEIS]],K$5, FALSE)</f>
        <v>#N/A</v>
      </c>
      <c r="L3772" s="22" t="e">
        <f>VLOOKUP($A3772, TAB_AMORTIZACAO_C[[DIAS_CORRIDOS]:[V_FUT_UTEIS]], L$5, FALSE)</f>
        <v>#N/A</v>
      </c>
    </row>
    <row r="3773" spans="1:12" hidden="1">
      <c r="A3773" s="19">
        <f t="shared" si="299"/>
        <v>3767</v>
      </c>
      <c r="B3773" s="20">
        <f t="shared" si="295"/>
        <v>0</v>
      </c>
      <c r="C3773" s="21">
        <f t="shared" si="296"/>
        <v>0</v>
      </c>
      <c r="D3773" s="22" t="e">
        <f>VLOOKUP($A3773, TAB_JUROS_U[[Q_DIAS_U_PARC_TIR]:[V_FUT_U_JURS CENARIO]], D$5, FALSE)</f>
        <v>#N/A</v>
      </c>
      <c r="E3773" s="22" t="e">
        <f>VLOOKUP($A3773,TAB_CORRECAO_U[[Q_DIAS_U_PARC_TIR]:[V_FUT_U_CORC-02]],E$5, FALSE)</f>
        <v>#N/A</v>
      </c>
      <c r="F3773" s="22" t="e">
        <f>VLOOKUP($A3773,TAB_AMORTIZACAO_U[[Q_DIAS_U_PARC_TIR]:[V_FUT_U_PCPL-02]], F$5, FALSE)</f>
        <v>#N/A</v>
      </c>
      <c r="H3773" s="20">
        <f t="shared" si="297"/>
        <v>0</v>
      </c>
      <c r="I3773" s="21">
        <f t="shared" si="298"/>
        <v>0</v>
      </c>
      <c r="J3773" s="22" t="e">
        <f>VLOOKUP($A3773, TAB_JUROS_C[[DIAS_CORRIDOS]:[V_FUT_UTEIS]], J$5, FALSE)</f>
        <v>#N/A</v>
      </c>
      <c r="K3773" s="22" t="e">
        <f>VLOOKUP($A3773, TAB_CORRECAO_C[[DIAS_CORRIDOS]:[V_FUT_UTEIS]],K$5, FALSE)</f>
        <v>#N/A</v>
      </c>
      <c r="L3773" s="22" t="e">
        <f>VLOOKUP($A3773, TAB_AMORTIZACAO_C[[DIAS_CORRIDOS]:[V_FUT_UTEIS]], L$5, FALSE)</f>
        <v>#N/A</v>
      </c>
    </row>
    <row r="3774" spans="1:12" hidden="1">
      <c r="A3774" s="19">
        <f t="shared" si="299"/>
        <v>3768</v>
      </c>
      <c r="B3774" s="20">
        <f t="shared" si="295"/>
        <v>0</v>
      </c>
      <c r="C3774" s="21">
        <f t="shared" si="296"/>
        <v>0</v>
      </c>
      <c r="D3774" s="22" t="e">
        <f>VLOOKUP($A3774, TAB_JUROS_U[[Q_DIAS_U_PARC_TIR]:[V_FUT_U_JURS CENARIO]], D$5, FALSE)</f>
        <v>#N/A</v>
      </c>
      <c r="E3774" s="22" t="e">
        <f>VLOOKUP($A3774,TAB_CORRECAO_U[[Q_DIAS_U_PARC_TIR]:[V_FUT_U_CORC-02]],E$5, FALSE)</f>
        <v>#N/A</v>
      </c>
      <c r="F3774" s="22" t="e">
        <f>VLOOKUP($A3774,TAB_AMORTIZACAO_U[[Q_DIAS_U_PARC_TIR]:[V_FUT_U_PCPL-02]], F$5, FALSE)</f>
        <v>#N/A</v>
      </c>
      <c r="H3774" s="20">
        <f t="shared" si="297"/>
        <v>0</v>
      </c>
      <c r="I3774" s="21">
        <f t="shared" si="298"/>
        <v>0</v>
      </c>
      <c r="J3774" s="22" t="e">
        <f>VLOOKUP($A3774, TAB_JUROS_C[[DIAS_CORRIDOS]:[V_FUT_UTEIS]], J$5, FALSE)</f>
        <v>#N/A</v>
      </c>
      <c r="K3774" s="22" t="e">
        <f>VLOOKUP($A3774, TAB_CORRECAO_C[[DIAS_CORRIDOS]:[V_FUT_UTEIS]],K$5, FALSE)</f>
        <v>#N/A</v>
      </c>
      <c r="L3774" s="22" t="e">
        <f>VLOOKUP($A3774, TAB_AMORTIZACAO_C[[DIAS_CORRIDOS]:[V_FUT_UTEIS]], L$5, FALSE)</f>
        <v>#N/A</v>
      </c>
    </row>
    <row r="3775" spans="1:12" hidden="1">
      <c r="A3775" s="19">
        <f t="shared" si="299"/>
        <v>3769</v>
      </c>
      <c r="B3775" s="20">
        <f t="shared" si="295"/>
        <v>0</v>
      </c>
      <c r="C3775" s="21">
        <f t="shared" si="296"/>
        <v>0</v>
      </c>
      <c r="D3775" s="22" t="e">
        <f>VLOOKUP($A3775, TAB_JUROS_U[[Q_DIAS_U_PARC_TIR]:[V_FUT_U_JURS CENARIO]], D$5, FALSE)</f>
        <v>#N/A</v>
      </c>
      <c r="E3775" s="22" t="e">
        <f>VLOOKUP($A3775,TAB_CORRECAO_U[[Q_DIAS_U_PARC_TIR]:[V_FUT_U_CORC-02]],E$5, FALSE)</f>
        <v>#N/A</v>
      </c>
      <c r="F3775" s="22" t="e">
        <f>VLOOKUP($A3775,TAB_AMORTIZACAO_U[[Q_DIAS_U_PARC_TIR]:[V_FUT_U_PCPL-02]], F$5, FALSE)</f>
        <v>#N/A</v>
      </c>
      <c r="H3775" s="20">
        <f t="shared" si="297"/>
        <v>0</v>
      </c>
      <c r="I3775" s="21">
        <f t="shared" si="298"/>
        <v>0</v>
      </c>
      <c r="J3775" s="22" t="e">
        <f>VLOOKUP($A3775, TAB_JUROS_C[[DIAS_CORRIDOS]:[V_FUT_UTEIS]], J$5, FALSE)</f>
        <v>#N/A</v>
      </c>
      <c r="K3775" s="22" t="e">
        <f>VLOOKUP($A3775, TAB_CORRECAO_C[[DIAS_CORRIDOS]:[V_FUT_UTEIS]],K$5, FALSE)</f>
        <v>#N/A</v>
      </c>
      <c r="L3775" s="22" t="e">
        <f>VLOOKUP($A3775, TAB_AMORTIZACAO_C[[DIAS_CORRIDOS]:[V_FUT_UTEIS]], L$5, FALSE)</f>
        <v>#N/A</v>
      </c>
    </row>
    <row r="3776" spans="1:12" hidden="1">
      <c r="A3776" s="19">
        <f t="shared" si="299"/>
        <v>3770</v>
      </c>
      <c r="B3776" s="20">
        <f t="shared" si="295"/>
        <v>0</v>
      </c>
      <c r="C3776" s="21">
        <f t="shared" si="296"/>
        <v>0</v>
      </c>
      <c r="D3776" s="22" t="e">
        <f>VLOOKUP($A3776, TAB_JUROS_U[[Q_DIAS_U_PARC_TIR]:[V_FUT_U_JURS CENARIO]], D$5, FALSE)</f>
        <v>#N/A</v>
      </c>
      <c r="E3776" s="22" t="e">
        <f>VLOOKUP($A3776,TAB_CORRECAO_U[[Q_DIAS_U_PARC_TIR]:[V_FUT_U_CORC-02]],E$5, FALSE)</f>
        <v>#N/A</v>
      </c>
      <c r="F3776" s="22" t="e">
        <f>VLOOKUP($A3776,TAB_AMORTIZACAO_U[[Q_DIAS_U_PARC_TIR]:[V_FUT_U_PCPL-02]], F$5, FALSE)</f>
        <v>#N/A</v>
      </c>
      <c r="H3776" s="20">
        <f t="shared" si="297"/>
        <v>0</v>
      </c>
      <c r="I3776" s="21">
        <f t="shared" si="298"/>
        <v>0</v>
      </c>
      <c r="J3776" s="22" t="e">
        <f>VLOOKUP($A3776, TAB_JUROS_C[[DIAS_CORRIDOS]:[V_FUT_UTEIS]], J$5, FALSE)</f>
        <v>#N/A</v>
      </c>
      <c r="K3776" s="22" t="e">
        <f>VLOOKUP($A3776, TAB_CORRECAO_C[[DIAS_CORRIDOS]:[V_FUT_UTEIS]],K$5, FALSE)</f>
        <v>#N/A</v>
      </c>
      <c r="L3776" s="22" t="e">
        <f>VLOOKUP($A3776, TAB_AMORTIZACAO_C[[DIAS_CORRIDOS]:[V_FUT_UTEIS]], L$5, FALSE)</f>
        <v>#N/A</v>
      </c>
    </row>
    <row r="3777" spans="1:12" hidden="1">
      <c r="A3777" s="19">
        <f t="shared" si="299"/>
        <v>3771</v>
      </c>
      <c r="B3777" s="20">
        <f t="shared" si="295"/>
        <v>0</v>
      </c>
      <c r="C3777" s="21">
        <f t="shared" si="296"/>
        <v>0</v>
      </c>
      <c r="D3777" s="22" t="e">
        <f>VLOOKUP($A3777, TAB_JUROS_U[[Q_DIAS_U_PARC_TIR]:[V_FUT_U_JURS CENARIO]], D$5, FALSE)</f>
        <v>#N/A</v>
      </c>
      <c r="E3777" s="22" t="e">
        <f>VLOOKUP($A3777,TAB_CORRECAO_U[[Q_DIAS_U_PARC_TIR]:[V_FUT_U_CORC-02]],E$5, FALSE)</f>
        <v>#N/A</v>
      </c>
      <c r="F3777" s="22" t="e">
        <f>VLOOKUP($A3777,TAB_AMORTIZACAO_U[[Q_DIAS_U_PARC_TIR]:[V_FUT_U_PCPL-02]], F$5, FALSE)</f>
        <v>#N/A</v>
      </c>
      <c r="H3777" s="20">
        <f t="shared" si="297"/>
        <v>0</v>
      </c>
      <c r="I3777" s="21">
        <f t="shared" si="298"/>
        <v>0</v>
      </c>
      <c r="J3777" s="22" t="e">
        <f>VLOOKUP($A3777, TAB_JUROS_C[[DIAS_CORRIDOS]:[V_FUT_UTEIS]], J$5, FALSE)</f>
        <v>#N/A</v>
      </c>
      <c r="K3777" s="22" t="e">
        <f>VLOOKUP($A3777, TAB_CORRECAO_C[[DIAS_CORRIDOS]:[V_FUT_UTEIS]],K$5, FALSE)</f>
        <v>#N/A</v>
      </c>
      <c r="L3777" s="22" t="e">
        <f>VLOOKUP($A3777, TAB_AMORTIZACAO_C[[DIAS_CORRIDOS]:[V_FUT_UTEIS]], L$5, FALSE)</f>
        <v>#N/A</v>
      </c>
    </row>
    <row r="3778" spans="1:12" hidden="1">
      <c r="A3778" s="19">
        <f t="shared" si="299"/>
        <v>3772</v>
      </c>
      <c r="B3778" s="20">
        <f t="shared" si="295"/>
        <v>0</v>
      </c>
      <c r="C3778" s="21">
        <f t="shared" si="296"/>
        <v>0</v>
      </c>
      <c r="D3778" s="22" t="e">
        <f>VLOOKUP($A3778, TAB_JUROS_U[[Q_DIAS_U_PARC_TIR]:[V_FUT_U_JURS CENARIO]], D$5, FALSE)</f>
        <v>#N/A</v>
      </c>
      <c r="E3778" s="22" t="e">
        <f>VLOOKUP($A3778,TAB_CORRECAO_U[[Q_DIAS_U_PARC_TIR]:[V_FUT_U_CORC-02]],E$5, FALSE)</f>
        <v>#N/A</v>
      </c>
      <c r="F3778" s="22" t="e">
        <f>VLOOKUP($A3778,TAB_AMORTIZACAO_U[[Q_DIAS_U_PARC_TIR]:[V_FUT_U_PCPL-02]], F$5, FALSE)</f>
        <v>#N/A</v>
      </c>
      <c r="H3778" s="20">
        <f t="shared" si="297"/>
        <v>0</v>
      </c>
      <c r="I3778" s="21">
        <f t="shared" si="298"/>
        <v>0</v>
      </c>
      <c r="J3778" s="22" t="e">
        <f>VLOOKUP($A3778, TAB_JUROS_C[[DIAS_CORRIDOS]:[V_FUT_UTEIS]], J$5, FALSE)</f>
        <v>#N/A</v>
      </c>
      <c r="K3778" s="22" t="e">
        <f>VLOOKUP($A3778, TAB_CORRECAO_C[[DIAS_CORRIDOS]:[V_FUT_UTEIS]],K$5, FALSE)</f>
        <v>#N/A</v>
      </c>
      <c r="L3778" s="22" t="e">
        <f>VLOOKUP($A3778, TAB_AMORTIZACAO_C[[DIAS_CORRIDOS]:[V_FUT_UTEIS]], L$5, FALSE)</f>
        <v>#N/A</v>
      </c>
    </row>
    <row r="3779" spans="1:12" hidden="1">
      <c r="A3779" s="19">
        <f t="shared" si="299"/>
        <v>3773</v>
      </c>
      <c r="B3779" s="20">
        <f t="shared" si="295"/>
        <v>0</v>
      </c>
      <c r="C3779" s="21">
        <f t="shared" si="296"/>
        <v>0</v>
      </c>
      <c r="D3779" s="22" t="e">
        <f>VLOOKUP($A3779, TAB_JUROS_U[[Q_DIAS_U_PARC_TIR]:[V_FUT_U_JURS CENARIO]], D$5, FALSE)</f>
        <v>#N/A</v>
      </c>
      <c r="E3779" s="22" t="e">
        <f>VLOOKUP($A3779,TAB_CORRECAO_U[[Q_DIAS_U_PARC_TIR]:[V_FUT_U_CORC-02]],E$5, FALSE)</f>
        <v>#N/A</v>
      </c>
      <c r="F3779" s="22" t="e">
        <f>VLOOKUP($A3779,TAB_AMORTIZACAO_U[[Q_DIAS_U_PARC_TIR]:[V_FUT_U_PCPL-02]], F$5, FALSE)</f>
        <v>#N/A</v>
      </c>
      <c r="H3779" s="20">
        <f t="shared" si="297"/>
        <v>0</v>
      </c>
      <c r="I3779" s="21">
        <f t="shared" si="298"/>
        <v>0</v>
      </c>
      <c r="J3779" s="22" t="e">
        <f>VLOOKUP($A3779, TAB_JUROS_C[[DIAS_CORRIDOS]:[V_FUT_UTEIS]], J$5, FALSE)</f>
        <v>#N/A</v>
      </c>
      <c r="K3779" s="22" t="e">
        <f>VLOOKUP($A3779, TAB_CORRECAO_C[[DIAS_CORRIDOS]:[V_FUT_UTEIS]],K$5, FALSE)</f>
        <v>#N/A</v>
      </c>
      <c r="L3779" s="22" t="e">
        <f>VLOOKUP($A3779, TAB_AMORTIZACAO_C[[DIAS_CORRIDOS]:[V_FUT_UTEIS]], L$5, FALSE)</f>
        <v>#N/A</v>
      </c>
    </row>
    <row r="3780" spans="1:12" hidden="1">
      <c r="A3780" s="19">
        <f t="shared" si="299"/>
        <v>3774</v>
      </c>
      <c r="B3780" s="20">
        <f t="shared" si="295"/>
        <v>0</v>
      </c>
      <c r="C3780" s="21">
        <f t="shared" si="296"/>
        <v>0</v>
      </c>
      <c r="D3780" s="22" t="e">
        <f>VLOOKUP($A3780, TAB_JUROS_U[[Q_DIAS_U_PARC_TIR]:[V_FUT_U_JURS CENARIO]], D$5, FALSE)</f>
        <v>#N/A</v>
      </c>
      <c r="E3780" s="22" t="e">
        <f>VLOOKUP($A3780,TAB_CORRECAO_U[[Q_DIAS_U_PARC_TIR]:[V_FUT_U_CORC-02]],E$5, FALSE)</f>
        <v>#N/A</v>
      </c>
      <c r="F3780" s="22" t="e">
        <f>VLOOKUP($A3780,TAB_AMORTIZACAO_U[[Q_DIAS_U_PARC_TIR]:[V_FUT_U_PCPL-02]], F$5, FALSE)</f>
        <v>#N/A</v>
      </c>
      <c r="H3780" s="20">
        <f t="shared" si="297"/>
        <v>0</v>
      </c>
      <c r="I3780" s="21">
        <f t="shared" si="298"/>
        <v>0</v>
      </c>
      <c r="J3780" s="22" t="e">
        <f>VLOOKUP($A3780, TAB_JUROS_C[[DIAS_CORRIDOS]:[V_FUT_UTEIS]], J$5, FALSE)</f>
        <v>#N/A</v>
      </c>
      <c r="K3780" s="22" t="e">
        <f>VLOOKUP($A3780, TAB_CORRECAO_C[[DIAS_CORRIDOS]:[V_FUT_UTEIS]],K$5, FALSE)</f>
        <v>#N/A</v>
      </c>
      <c r="L3780" s="22" t="e">
        <f>VLOOKUP($A3780, TAB_AMORTIZACAO_C[[DIAS_CORRIDOS]:[V_FUT_UTEIS]], L$5, FALSE)</f>
        <v>#N/A</v>
      </c>
    </row>
    <row r="3781" spans="1:12" hidden="1">
      <c r="A3781" s="19">
        <f t="shared" si="299"/>
        <v>3775</v>
      </c>
      <c r="B3781" s="20">
        <f t="shared" si="295"/>
        <v>0</v>
      </c>
      <c r="C3781" s="21">
        <f t="shared" si="296"/>
        <v>0</v>
      </c>
      <c r="D3781" s="22" t="e">
        <f>VLOOKUP($A3781, TAB_JUROS_U[[Q_DIAS_U_PARC_TIR]:[V_FUT_U_JURS CENARIO]], D$5, FALSE)</f>
        <v>#N/A</v>
      </c>
      <c r="E3781" s="22" t="e">
        <f>VLOOKUP($A3781,TAB_CORRECAO_U[[Q_DIAS_U_PARC_TIR]:[V_FUT_U_CORC-02]],E$5, FALSE)</f>
        <v>#N/A</v>
      </c>
      <c r="F3781" s="22" t="e">
        <f>VLOOKUP($A3781,TAB_AMORTIZACAO_U[[Q_DIAS_U_PARC_TIR]:[V_FUT_U_PCPL-02]], F$5, FALSE)</f>
        <v>#N/A</v>
      </c>
      <c r="H3781" s="20">
        <f t="shared" si="297"/>
        <v>0</v>
      </c>
      <c r="I3781" s="21">
        <f t="shared" si="298"/>
        <v>0</v>
      </c>
      <c r="J3781" s="22" t="e">
        <f>VLOOKUP($A3781, TAB_JUROS_C[[DIAS_CORRIDOS]:[V_FUT_UTEIS]], J$5, FALSE)</f>
        <v>#N/A</v>
      </c>
      <c r="K3781" s="22" t="e">
        <f>VLOOKUP($A3781, TAB_CORRECAO_C[[DIAS_CORRIDOS]:[V_FUT_UTEIS]],K$5, FALSE)</f>
        <v>#N/A</v>
      </c>
      <c r="L3781" s="22" t="e">
        <f>VLOOKUP($A3781, TAB_AMORTIZACAO_C[[DIAS_CORRIDOS]:[V_FUT_UTEIS]], L$5, FALSE)</f>
        <v>#N/A</v>
      </c>
    </row>
    <row r="3782" spans="1:12" hidden="1">
      <c r="A3782" s="19">
        <f t="shared" si="299"/>
        <v>3776</v>
      </c>
      <c r="B3782" s="20">
        <f t="shared" si="295"/>
        <v>0</v>
      </c>
      <c r="C3782" s="21">
        <f t="shared" si="296"/>
        <v>0</v>
      </c>
      <c r="D3782" s="22" t="e">
        <f>VLOOKUP($A3782, TAB_JUROS_U[[Q_DIAS_U_PARC_TIR]:[V_FUT_U_JURS CENARIO]], D$5, FALSE)</f>
        <v>#N/A</v>
      </c>
      <c r="E3782" s="22" t="e">
        <f>VLOOKUP($A3782,TAB_CORRECAO_U[[Q_DIAS_U_PARC_TIR]:[V_FUT_U_CORC-02]],E$5, FALSE)</f>
        <v>#N/A</v>
      </c>
      <c r="F3782" s="22" t="e">
        <f>VLOOKUP($A3782,TAB_AMORTIZACAO_U[[Q_DIAS_U_PARC_TIR]:[V_FUT_U_PCPL-02]], F$5, FALSE)</f>
        <v>#N/A</v>
      </c>
      <c r="H3782" s="20">
        <f t="shared" si="297"/>
        <v>0</v>
      </c>
      <c r="I3782" s="21">
        <f t="shared" si="298"/>
        <v>0</v>
      </c>
      <c r="J3782" s="22" t="e">
        <f>VLOOKUP($A3782, TAB_JUROS_C[[DIAS_CORRIDOS]:[V_FUT_UTEIS]], J$5, FALSE)</f>
        <v>#N/A</v>
      </c>
      <c r="K3782" s="22" t="e">
        <f>VLOOKUP($A3782, TAB_CORRECAO_C[[DIAS_CORRIDOS]:[V_FUT_UTEIS]],K$5, FALSE)</f>
        <v>#N/A</v>
      </c>
      <c r="L3782" s="22" t="e">
        <f>VLOOKUP($A3782, TAB_AMORTIZACAO_C[[DIAS_CORRIDOS]:[V_FUT_UTEIS]], L$5, FALSE)</f>
        <v>#N/A</v>
      </c>
    </row>
    <row r="3783" spans="1:12" hidden="1">
      <c r="A3783" s="19">
        <f t="shared" si="299"/>
        <v>3777</v>
      </c>
      <c r="B3783" s="20">
        <f t="shared" si="295"/>
        <v>0</v>
      </c>
      <c r="C3783" s="21">
        <f t="shared" si="296"/>
        <v>0</v>
      </c>
      <c r="D3783" s="22" t="e">
        <f>VLOOKUP($A3783, TAB_JUROS_U[[Q_DIAS_U_PARC_TIR]:[V_FUT_U_JURS CENARIO]], D$5, FALSE)</f>
        <v>#N/A</v>
      </c>
      <c r="E3783" s="22" t="e">
        <f>VLOOKUP($A3783,TAB_CORRECAO_U[[Q_DIAS_U_PARC_TIR]:[V_FUT_U_CORC-02]],E$5, FALSE)</f>
        <v>#N/A</v>
      </c>
      <c r="F3783" s="22" t="e">
        <f>VLOOKUP($A3783,TAB_AMORTIZACAO_U[[Q_DIAS_U_PARC_TIR]:[V_FUT_U_PCPL-02]], F$5, FALSE)</f>
        <v>#N/A</v>
      </c>
      <c r="H3783" s="20">
        <f t="shared" si="297"/>
        <v>0</v>
      </c>
      <c r="I3783" s="21">
        <f t="shared" si="298"/>
        <v>0</v>
      </c>
      <c r="J3783" s="22" t="e">
        <f>VLOOKUP($A3783, TAB_JUROS_C[[DIAS_CORRIDOS]:[V_FUT_UTEIS]], J$5, FALSE)</f>
        <v>#N/A</v>
      </c>
      <c r="K3783" s="22" t="e">
        <f>VLOOKUP($A3783, TAB_CORRECAO_C[[DIAS_CORRIDOS]:[V_FUT_UTEIS]],K$5, FALSE)</f>
        <v>#N/A</v>
      </c>
      <c r="L3783" s="22" t="e">
        <f>VLOOKUP($A3783, TAB_AMORTIZACAO_C[[DIAS_CORRIDOS]:[V_FUT_UTEIS]], L$5, FALSE)</f>
        <v>#N/A</v>
      </c>
    </row>
    <row r="3784" spans="1:12" hidden="1">
      <c r="A3784" s="19">
        <f t="shared" si="299"/>
        <v>3778</v>
      </c>
      <c r="B3784" s="20">
        <f t="shared" si="295"/>
        <v>0</v>
      </c>
      <c r="C3784" s="21">
        <f t="shared" si="296"/>
        <v>0</v>
      </c>
      <c r="D3784" s="22" t="e">
        <f>VLOOKUP($A3784, TAB_JUROS_U[[Q_DIAS_U_PARC_TIR]:[V_FUT_U_JURS CENARIO]], D$5, FALSE)</f>
        <v>#N/A</v>
      </c>
      <c r="E3784" s="22" t="e">
        <f>VLOOKUP($A3784,TAB_CORRECAO_U[[Q_DIAS_U_PARC_TIR]:[V_FUT_U_CORC-02]],E$5, FALSE)</f>
        <v>#N/A</v>
      </c>
      <c r="F3784" s="22" t="e">
        <f>VLOOKUP($A3784,TAB_AMORTIZACAO_U[[Q_DIAS_U_PARC_TIR]:[V_FUT_U_PCPL-02]], F$5, FALSE)</f>
        <v>#N/A</v>
      </c>
      <c r="H3784" s="20">
        <f t="shared" si="297"/>
        <v>0</v>
      </c>
      <c r="I3784" s="21">
        <f t="shared" si="298"/>
        <v>0</v>
      </c>
      <c r="J3784" s="22" t="e">
        <f>VLOOKUP($A3784, TAB_JUROS_C[[DIAS_CORRIDOS]:[V_FUT_UTEIS]], J$5, FALSE)</f>
        <v>#N/A</v>
      </c>
      <c r="K3784" s="22" t="e">
        <f>VLOOKUP($A3784, TAB_CORRECAO_C[[DIAS_CORRIDOS]:[V_FUT_UTEIS]],K$5, FALSE)</f>
        <v>#N/A</v>
      </c>
      <c r="L3784" s="22" t="e">
        <f>VLOOKUP($A3784, TAB_AMORTIZACAO_C[[DIAS_CORRIDOS]:[V_FUT_UTEIS]], L$5, FALSE)</f>
        <v>#N/A</v>
      </c>
    </row>
    <row r="3785" spans="1:12" hidden="1">
      <c r="A3785" s="19">
        <f t="shared" si="299"/>
        <v>3779</v>
      </c>
      <c r="B3785" s="20">
        <f t="shared" ref="B3785:B3848" si="300">IF(ISERROR(C3785), 0, C3785)</f>
        <v>0</v>
      </c>
      <c r="C3785" s="21">
        <f t="shared" ref="C3785:C3848" si="301">SUMIF(D3785:F3785, "&gt;0", D3785:F3785)</f>
        <v>0</v>
      </c>
      <c r="D3785" s="22" t="e">
        <f>VLOOKUP($A3785, TAB_JUROS_U[[Q_DIAS_U_PARC_TIR]:[V_FUT_U_JURS CENARIO]], D$5, FALSE)</f>
        <v>#N/A</v>
      </c>
      <c r="E3785" s="22" t="e">
        <f>VLOOKUP($A3785,TAB_CORRECAO_U[[Q_DIAS_U_PARC_TIR]:[V_FUT_U_CORC-02]],E$5, FALSE)</f>
        <v>#N/A</v>
      </c>
      <c r="F3785" s="22" t="e">
        <f>VLOOKUP($A3785,TAB_AMORTIZACAO_U[[Q_DIAS_U_PARC_TIR]:[V_FUT_U_PCPL-02]], F$5, FALSE)</f>
        <v>#N/A</v>
      </c>
      <c r="H3785" s="20">
        <f t="shared" ref="H3785:H3848" si="302">IF(ISERROR(I3785), 0, I3785)</f>
        <v>0</v>
      </c>
      <c r="I3785" s="21">
        <f t="shared" ref="I3785:I3848" si="303">SUMIF(J3785:L3785, "&gt;0", J3785:L3785)</f>
        <v>0</v>
      </c>
      <c r="J3785" s="22" t="e">
        <f>VLOOKUP($A3785, TAB_JUROS_C[[DIAS_CORRIDOS]:[V_FUT_UTEIS]], J$5, FALSE)</f>
        <v>#N/A</v>
      </c>
      <c r="K3785" s="22" t="e">
        <f>VLOOKUP($A3785, TAB_CORRECAO_C[[DIAS_CORRIDOS]:[V_FUT_UTEIS]],K$5, FALSE)</f>
        <v>#N/A</v>
      </c>
      <c r="L3785" s="22" t="e">
        <f>VLOOKUP($A3785, TAB_AMORTIZACAO_C[[DIAS_CORRIDOS]:[V_FUT_UTEIS]], L$5, FALSE)</f>
        <v>#N/A</v>
      </c>
    </row>
    <row r="3786" spans="1:12" hidden="1">
      <c r="A3786" s="19">
        <f t="shared" ref="A3786:A3849" si="304">A3785+1</f>
        <v>3780</v>
      </c>
      <c r="B3786" s="20">
        <f t="shared" si="300"/>
        <v>0</v>
      </c>
      <c r="C3786" s="21">
        <f t="shared" si="301"/>
        <v>0</v>
      </c>
      <c r="D3786" s="22" t="e">
        <f>VLOOKUP($A3786, TAB_JUROS_U[[Q_DIAS_U_PARC_TIR]:[V_FUT_U_JURS CENARIO]], D$5, FALSE)</f>
        <v>#N/A</v>
      </c>
      <c r="E3786" s="22" t="e">
        <f>VLOOKUP($A3786,TAB_CORRECAO_U[[Q_DIAS_U_PARC_TIR]:[V_FUT_U_CORC-02]],E$5, FALSE)</f>
        <v>#N/A</v>
      </c>
      <c r="F3786" s="22" t="e">
        <f>VLOOKUP($A3786,TAB_AMORTIZACAO_U[[Q_DIAS_U_PARC_TIR]:[V_FUT_U_PCPL-02]], F$5, FALSE)</f>
        <v>#N/A</v>
      </c>
      <c r="H3786" s="20">
        <f t="shared" si="302"/>
        <v>0</v>
      </c>
      <c r="I3786" s="21">
        <f t="shared" si="303"/>
        <v>0</v>
      </c>
      <c r="J3786" s="22" t="e">
        <f>VLOOKUP($A3786, TAB_JUROS_C[[DIAS_CORRIDOS]:[V_FUT_UTEIS]], J$5, FALSE)</f>
        <v>#N/A</v>
      </c>
      <c r="K3786" s="22" t="e">
        <f>VLOOKUP($A3786, TAB_CORRECAO_C[[DIAS_CORRIDOS]:[V_FUT_UTEIS]],K$5, FALSE)</f>
        <v>#N/A</v>
      </c>
      <c r="L3786" s="22" t="e">
        <f>VLOOKUP($A3786, TAB_AMORTIZACAO_C[[DIAS_CORRIDOS]:[V_FUT_UTEIS]], L$5, FALSE)</f>
        <v>#N/A</v>
      </c>
    </row>
    <row r="3787" spans="1:12" hidden="1">
      <c r="A3787" s="19">
        <f t="shared" si="304"/>
        <v>3781</v>
      </c>
      <c r="B3787" s="20">
        <f t="shared" si="300"/>
        <v>0</v>
      </c>
      <c r="C3787" s="21">
        <f t="shared" si="301"/>
        <v>0</v>
      </c>
      <c r="D3787" s="22" t="e">
        <f>VLOOKUP($A3787, TAB_JUROS_U[[Q_DIAS_U_PARC_TIR]:[V_FUT_U_JURS CENARIO]], D$5, FALSE)</f>
        <v>#N/A</v>
      </c>
      <c r="E3787" s="22" t="e">
        <f>VLOOKUP($A3787,TAB_CORRECAO_U[[Q_DIAS_U_PARC_TIR]:[V_FUT_U_CORC-02]],E$5, FALSE)</f>
        <v>#N/A</v>
      </c>
      <c r="F3787" s="22" t="e">
        <f>VLOOKUP($A3787,TAB_AMORTIZACAO_U[[Q_DIAS_U_PARC_TIR]:[V_FUT_U_PCPL-02]], F$5, FALSE)</f>
        <v>#N/A</v>
      </c>
      <c r="H3787" s="20">
        <f t="shared" si="302"/>
        <v>0</v>
      </c>
      <c r="I3787" s="21">
        <f t="shared" si="303"/>
        <v>0</v>
      </c>
      <c r="J3787" s="22" t="e">
        <f>VLOOKUP($A3787, TAB_JUROS_C[[DIAS_CORRIDOS]:[V_FUT_UTEIS]], J$5, FALSE)</f>
        <v>#N/A</v>
      </c>
      <c r="K3787" s="22" t="e">
        <f>VLOOKUP($A3787, TAB_CORRECAO_C[[DIAS_CORRIDOS]:[V_FUT_UTEIS]],K$5, FALSE)</f>
        <v>#N/A</v>
      </c>
      <c r="L3787" s="22" t="e">
        <f>VLOOKUP($A3787, TAB_AMORTIZACAO_C[[DIAS_CORRIDOS]:[V_FUT_UTEIS]], L$5, FALSE)</f>
        <v>#N/A</v>
      </c>
    </row>
    <row r="3788" spans="1:12" hidden="1">
      <c r="A3788" s="19">
        <f t="shared" si="304"/>
        <v>3782</v>
      </c>
      <c r="B3788" s="20">
        <f t="shared" si="300"/>
        <v>0</v>
      </c>
      <c r="C3788" s="21">
        <f t="shared" si="301"/>
        <v>0</v>
      </c>
      <c r="D3788" s="22" t="e">
        <f>VLOOKUP($A3788, TAB_JUROS_U[[Q_DIAS_U_PARC_TIR]:[V_FUT_U_JURS CENARIO]], D$5, FALSE)</f>
        <v>#N/A</v>
      </c>
      <c r="E3788" s="22" t="e">
        <f>VLOOKUP($A3788,TAB_CORRECAO_U[[Q_DIAS_U_PARC_TIR]:[V_FUT_U_CORC-02]],E$5, FALSE)</f>
        <v>#N/A</v>
      </c>
      <c r="F3788" s="22" t="e">
        <f>VLOOKUP($A3788,TAB_AMORTIZACAO_U[[Q_DIAS_U_PARC_TIR]:[V_FUT_U_PCPL-02]], F$5, FALSE)</f>
        <v>#N/A</v>
      </c>
      <c r="H3788" s="20">
        <f t="shared" si="302"/>
        <v>0</v>
      </c>
      <c r="I3788" s="21">
        <f t="shared" si="303"/>
        <v>0</v>
      </c>
      <c r="J3788" s="22" t="e">
        <f>VLOOKUP($A3788, TAB_JUROS_C[[DIAS_CORRIDOS]:[V_FUT_UTEIS]], J$5, FALSE)</f>
        <v>#N/A</v>
      </c>
      <c r="K3788" s="22" t="e">
        <f>VLOOKUP($A3788, TAB_CORRECAO_C[[DIAS_CORRIDOS]:[V_FUT_UTEIS]],K$5, FALSE)</f>
        <v>#N/A</v>
      </c>
      <c r="L3788" s="22" t="e">
        <f>VLOOKUP($A3788, TAB_AMORTIZACAO_C[[DIAS_CORRIDOS]:[V_FUT_UTEIS]], L$5, FALSE)</f>
        <v>#N/A</v>
      </c>
    </row>
    <row r="3789" spans="1:12" hidden="1">
      <c r="A3789" s="19">
        <f t="shared" si="304"/>
        <v>3783</v>
      </c>
      <c r="B3789" s="20">
        <f t="shared" si="300"/>
        <v>0</v>
      </c>
      <c r="C3789" s="21">
        <f t="shared" si="301"/>
        <v>0</v>
      </c>
      <c r="D3789" s="22" t="e">
        <f>VLOOKUP($A3789, TAB_JUROS_U[[Q_DIAS_U_PARC_TIR]:[V_FUT_U_JURS CENARIO]], D$5, FALSE)</f>
        <v>#N/A</v>
      </c>
      <c r="E3789" s="22" t="e">
        <f>VLOOKUP($A3789,TAB_CORRECAO_U[[Q_DIAS_U_PARC_TIR]:[V_FUT_U_CORC-02]],E$5, FALSE)</f>
        <v>#N/A</v>
      </c>
      <c r="F3789" s="22" t="e">
        <f>VLOOKUP($A3789,TAB_AMORTIZACAO_U[[Q_DIAS_U_PARC_TIR]:[V_FUT_U_PCPL-02]], F$5, FALSE)</f>
        <v>#N/A</v>
      </c>
      <c r="H3789" s="20">
        <f t="shared" si="302"/>
        <v>0</v>
      </c>
      <c r="I3789" s="21">
        <f t="shared" si="303"/>
        <v>0</v>
      </c>
      <c r="J3789" s="22" t="e">
        <f>VLOOKUP($A3789, TAB_JUROS_C[[DIAS_CORRIDOS]:[V_FUT_UTEIS]], J$5, FALSE)</f>
        <v>#N/A</v>
      </c>
      <c r="K3789" s="22" t="e">
        <f>VLOOKUP($A3789, TAB_CORRECAO_C[[DIAS_CORRIDOS]:[V_FUT_UTEIS]],K$5, FALSE)</f>
        <v>#N/A</v>
      </c>
      <c r="L3789" s="22" t="e">
        <f>VLOOKUP($A3789, TAB_AMORTIZACAO_C[[DIAS_CORRIDOS]:[V_FUT_UTEIS]], L$5, FALSE)</f>
        <v>#N/A</v>
      </c>
    </row>
    <row r="3790" spans="1:12" hidden="1">
      <c r="A3790" s="19">
        <f t="shared" si="304"/>
        <v>3784</v>
      </c>
      <c r="B3790" s="20">
        <f t="shared" si="300"/>
        <v>0</v>
      </c>
      <c r="C3790" s="21">
        <f t="shared" si="301"/>
        <v>0</v>
      </c>
      <c r="D3790" s="22" t="e">
        <f>VLOOKUP($A3790, TAB_JUROS_U[[Q_DIAS_U_PARC_TIR]:[V_FUT_U_JURS CENARIO]], D$5, FALSE)</f>
        <v>#N/A</v>
      </c>
      <c r="E3790" s="22" t="e">
        <f>VLOOKUP($A3790,TAB_CORRECAO_U[[Q_DIAS_U_PARC_TIR]:[V_FUT_U_CORC-02]],E$5, FALSE)</f>
        <v>#N/A</v>
      </c>
      <c r="F3790" s="22" t="e">
        <f>VLOOKUP($A3790,TAB_AMORTIZACAO_U[[Q_DIAS_U_PARC_TIR]:[V_FUT_U_PCPL-02]], F$5, FALSE)</f>
        <v>#N/A</v>
      </c>
      <c r="H3790" s="20">
        <f t="shared" si="302"/>
        <v>0</v>
      </c>
      <c r="I3790" s="21">
        <f t="shared" si="303"/>
        <v>0</v>
      </c>
      <c r="J3790" s="22" t="e">
        <f>VLOOKUP($A3790, TAB_JUROS_C[[DIAS_CORRIDOS]:[V_FUT_UTEIS]], J$5, FALSE)</f>
        <v>#N/A</v>
      </c>
      <c r="K3790" s="22" t="e">
        <f>VLOOKUP($A3790, TAB_CORRECAO_C[[DIAS_CORRIDOS]:[V_FUT_UTEIS]],K$5, FALSE)</f>
        <v>#N/A</v>
      </c>
      <c r="L3790" s="22" t="e">
        <f>VLOOKUP($A3790, TAB_AMORTIZACAO_C[[DIAS_CORRIDOS]:[V_FUT_UTEIS]], L$5, FALSE)</f>
        <v>#N/A</v>
      </c>
    </row>
    <row r="3791" spans="1:12" hidden="1">
      <c r="A3791" s="19">
        <f t="shared" si="304"/>
        <v>3785</v>
      </c>
      <c r="B3791" s="20">
        <f t="shared" si="300"/>
        <v>0</v>
      </c>
      <c r="C3791" s="21">
        <f t="shared" si="301"/>
        <v>0</v>
      </c>
      <c r="D3791" s="22" t="e">
        <f>VLOOKUP($A3791, TAB_JUROS_U[[Q_DIAS_U_PARC_TIR]:[V_FUT_U_JURS CENARIO]], D$5, FALSE)</f>
        <v>#N/A</v>
      </c>
      <c r="E3791" s="22" t="e">
        <f>VLOOKUP($A3791,TAB_CORRECAO_U[[Q_DIAS_U_PARC_TIR]:[V_FUT_U_CORC-02]],E$5, FALSE)</f>
        <v>#N/A</v>
      </c>
      <c r="F3791" s="22" t="e">
        <f>VLOOKUP($A3791,TAB_AMORTIZACAO_U[[Q_DIAS_U_PARC_TIR]:[V_FUT_U_PCPL-02]], F$5, FALSE)</f>
        <v>#N/A</v>
      </c>
      <c r="H3791" s="20">
        <f t="shared" si="302"/>
        <v>0</v>
      </c>
      <c r="I3791" s="21">
        <f t="shared" si="303"/>
        <v>0</v>
      </c>
      <c r="J3791" s="22" t="e">
        <f>VLOOKUP($A3791, TAB_JUROS_C[[DIAS_CORRIDOS]:[V_FUT_UTEIS]], J$5, FALSE)</f>
        <v>#N/A</v>
      </c>
      <c r="K3791" s="22" t="e">
        <f>VLOOKUP($A3791, TAB_CORRECAO_C[[DIAS_CORRIDOS]:[V_FUT_UTEIS]],K$5, FALSE)</f>
        <v>#N/A</v>
      </c>
      <c r="L3791" s="22" t="e">
        <f>VLOOKUP($A3791, TAB_AMORTIZACAO_C[[DIAS_CORRIDOS]:[V_FUT_UTEIS]], L$5, FALSE)</f>
        <v>#N/A</v>
      </c>
    </row>
    <row r="3792" spans="1:12" hidden="1">
      <c r="A3792" s="19">
        <f t="shared" si="304"/>
        <v>3786</v>
      </c>
      <c r="B3792" s="20">
        <f t="shared" si="300"/>
        <v>0</v>
      </c>
      <c r="C3792" s="21">
        <f t="shared" si="301"/>
        <v>0</v>
      </c>
      <c r="D3792" s="22" t="e">
        <f>VLOOKUP($A3792, TAB_JUROS_U[[Q_DIAS_U_PARC_TIR]:[V_FUT_U_JURS CENARIO]], D$5, FALSE)</f>
        <v>#N/A</v>
      </c>
      <c r="E3792" s="22" t="e">
        <f>VLOOKUP($A3792,TAB_CORRECAO_U[[Q_DIAS_U_PARC_TIR]:[V_FUT_U_CORC-02]],E$5, FALSE)</f>
        <v>#N/A</v>
      </c>
      <c r="F3792" s="22" t="e">
        <f>VLOOKUP($A3792,TAB_AMORTIZACAO_U[[Q_DIAS_U_PARC_TIR]:[V_FUT_U_PCPL-02]], F$5, FALSE)</f>
        <v>#N/A</v>
      </c>
      <c r="H3792" s="20">
        <f t="shared" si="302"/>
        <v>0</v>
      </c>
      <c r="I3792" s="21">
        <f t="shared" si="303"/>
        <v>0</v>
      </c>
      <c r="J3792" s="22" t="e">
        <f>VLOOKUP($A3792, TAB_JUROS_C[[DIAS_CORRIDOS]:[V_FUT_UTEIS]], J$5, FALSE)</f>
        <v>#N/A</v>
      </c>
      <c r="K3792" s="22" t="e">
        <f>VLOOKUP($A3792, TAB_CORRECAO_C[[DIAS_CORRIDOS]:[V_FUT_UTEIS]],K$5, FALSE)</f>
        <v>#N/A</v>
      </c>
      <c r="L3792" s="22" t="e">
        <f>VLOOKUP($A3792, TAB_AMORTIZACAO_C[[DIAS_CORRIDOS]:[V_FUT_UTEIS]], L$5, FALSE)</f>
        <v>#N/A</v>
      </c>
    </row>
    <row r="3793" spans="1:12" hidden="1">
      <c r="A3793" s="19">
        <f t="shared" si="304"/>
        <v>3787</v>
      </c>
      <c r="B3793" s="20">
        <f t="shared" si="300"/>
        <v>0</v>
      </c>
      <c r="C3793" s="21">
        <f t="shared" si="301"/>
        <v>0</v>
      </c>
      <c r="D3793" s="22" t="e">
        <f>VLOOKUP($A3793, TAB_JUROS_U[[Q_DIAS_U_PARC_TIR]:[V_FUT_U_JURS CENARIO]], D$5, FALSE)</f>
        <v>#N/A</v>
      </c>
      <c r="E3793" s="22" t="e">
        <f>VLOOKUP($A3793,TAB_CORRECAO_U[[Q_DIAS_U_PARC_TIR]:[V_FUT_U_CORC-02]],E$5, FALSE)</f>
        <v>#N/A</v>
      </c>
      <c r="F3793" s="22" t="e">
        <f>VLOOKUP($A3793,TAB_AMORTIZACAO_U[[Q_DIAS_U_PARC_TIR]:[V_FUT_U_PCPL-02]], F$5, FALSE)</f>
        <v>#N/A</v>
      </c>
      <c r="H3793" s="20">
        <f t="shared" si="302"/>
        <v>145.98077575808452</v>
      </c>
      <c r="I3793" s="21">
        <f t="shared" si="303"/>
        <v>145.98077575808452</v>
      </c>
      <c r="J3793" s="22">
        <f>VLOOKUP($A3793, TAB_JUROS_C[[DIAS_CORRIDOS]:[V_FUT_UTEIS]], J$5, FALSE)</f>
        <v>4.3312558654926976</v>
      </c>
      <c r="K3793" s="22">
        <f>VLOOKUP($A3793, TAB_CORRECAO_C[[DIAS_CORRIDOS]:[V_FUT_UTEIS]],K$5, FALSE)</f>
        <v>26.945464078809838</v>
      </c>
      <c r="L3793" s="22">
        <f>VLOOKUP($A3793, TAB_AMORTIZACAO_C[[DIAS_CORRIDOS]:[V_FUT_UTEIS]], L$5, FALSE)</f>
        <v>114.70405581378199</v>
      </c>
    </row>
    <row r="3794" spans="1:12" hidden="1">
      <c r="A3794" s="19">
        <f t="shared" si="304"/>
        <v>3788</v>
      </c>
      <c r="B3794" s="20">
        <f t="shared" si="300"/>
        <v>0</v>
      </c>
      <c r="C3794" s="21">
        <f t="shared" si="301"/>
        <v>0</v>
      </c>
      <c r="D3794" s="22" t="e">
        <f>VLOOKUP($A3794, TAB_JUROS_U[[Q_DIAS_U_PARC_TIR]:[V_FUT_U_JURS CENARIO]], D$5, FALSE)</f>
        <v>#N/A</v>
      </c>
      <c r="E3794" s="22" t="e">
        <f>VLOOKUP($A3794,TAB_CORRECAO_U[[Q_DIAS_U_PARC_TIR]:[V_FUT_U_CORC-02]],E$5, FALSE)</f>
        <v>#N/A</v>
      </c>
      <c r="F3794" s="22" t="e">
        <f>VLOOKUP($A3794,TAB_AMORTIZACAO_U[[Q_DIAS_U_PARC_TIR]:[V_FUT_U_PCPL-02]], F$5, FALSE)</f>
        <v>#N/A</v>
      </c>
      <c r="H3794" s="20">
        <f t="shared" si="302"/>
        <v>0</v>
      </c>
      <c r="I3794" s="21">
        <f t="shared" si="303"/>
        <v>0</v>
      </c>
      <c r="J3794" s="22" t="e">
        <f>VLOOKUP($A3794, TAB_JUROS_C[[DIAS_CORRIDOS]:[V_FUT_UTEIS]], J$5, FALSE)</f>
        <v>#N/A</v>
      </c>
      <c r="K3794" s="22" t="e">
        <f>VLOOKUP($A3794, TAB_CORRECAO_C[[DIAS_CORRIDOS]:[V_FUT_UTEIS]],K$5, FALSE)</f>
        <v>#N/A</v>
      </c>
      <c r="L3794" s="22" t="e">
        <f>VLOOKUP($A3794, TAB_AMORTIZACAO_C[[DIAS_CORRIDOS]:[V_FUT_UTEIS]], L$5, FALSE)</f>
        <v>#N/A</v>
      </c>
    </row>
    <row r="3795" spans="1:12" hidden="1">
      <c r="A3795" s="19">
        <f t="shared" si="304"/>
        <v>3789</v>
      </c>
      <c r="B3795" s="20">
        <f t="shared" si="300"/>
        <v>0</v>
      </c>
      <c r="C3795" s="21">
        <f t="shared" si="301"/>
        <v>0</v>
      </c>
      <c r="D3795" s="22" t="e">
        <f>VLOOKUP($A3795, TAB_JUROS_U[[Q_DIAS_U_PARC_TIR]:[V_FUT_U_JURS CENARIO]], D$5, FALSE)</f>
        <v>#N/A</v>
      </c>
      <c r="E3795" s="22" t="e">
        <f>VLOOKUP($A3795,TAB_CORRECAO_U[[Q_DIAS_U_PARC_TIR]:[V_FUT_U_CORC-02]],E$5, FALSE)</f>
        <v>#N/A</v>
      </c>
      <c r="F3795" s="22" t="e">
        <f>VLOOKUP($A3795,TAB_AMORTIZACAO_U[[Q_DIAS_U_PARC_TIR]:[V_FUT_U_PCPL-02]], F$5, FALSE)</f>
        <v>#N/A</v>
      </c>
      <c r="H3795" s="20">
        <f t="shared" si="302"/>
        <v>0</v>
      </c>
      <c r="I3795" s="21">
        <f t="shared" si="303"/>
        <v>0</v>
      </c>
      <c r="J3795" s="22" t="e">
        <f>VLOOKUP($A3795, TAB_JUROS_C[[DIAS_CORRIDOS]:[V_FUT_UTEIS]], J$5, FALSE)</f>
        <v>#N/A</v>
      </c>
      <c r="K3795" s="22" t="e">
        <f>VLOOKUP($A3795, TAB_CORRECAO_C[[DIAS_CORRIDOS]:[V_FUT_UTEIS]],K$5, FALSE)</f>
        <v>#N/A</v>
      </c>
      <c r="L3795" s="22" t="e">
        <f>VLOOKUP($A3795, TAB_AMORTIZACAO_C[[DIAS_CORRIDOS]:[V_FUT_UTEIS]], L$5, FALSE)</f>
        <v>#N/A</v>
      </c>
    </row>
    <row r="3796" spans="1:12" hidden="1">
      <c r="A3796" s="19">
        <f t="shared" si="304"/>
        <v>3790</v>
      </c>
      <c r="B3796" s="20">
        <f t="shared" si="300"/>
        <v>0</v>
      </c>
      <c r="C3796" s="21">
        <f t="shared" si="301"/>
        <v>0</v>
      </c>
      <c r="D3796" s="22" t="e">
        <f>VLOOKUP($A3796, TAB_JUROS_U[[Q_DIAS_U_PARC_TIR]:[V_FUT_U_JURS CENARIO]], D$5, FALSE)</f>
        <v>#N/A</v>
      </c>
      <c r="E3796" s="22" t="e">
        <f>VLOOKUP($A3796,TAB_CORRECAO_U[[Q_DIAS_U_PARC_TIR]:[V_FUT_U_CORC-02]],E$5, FALSE)</f>
        <v>#N/A</v>
      </c>
      <c r="F3796" s="22" t="e">
        <f>VLOOKUP($A3796,TAB_AMORTIZACAO_U[[Q_DIAS_U_PARC_TIR]:[V_FUT_U_PCPL-02]], F$5, FALSE)</f>
        <v>#N/A</v>
      </c>
      <c r="H3796" s="20">
        <f t="shared" si="302"/>
        <v>0</v>
      </c>
      <c r="I3796" s="21">
        <f t="shared" si="303"/>
        <v>0</v>
      </c>
      <c r="J3796" s="22" t="e">
        <f>VLOOKUP($A3796, TAB_JUROS_C[[DIAS_CORRIDOS]:[V_FUT_UTEIS]], J$5, FALSE)</f>
        <v>#N/A</v>
      </c>
      <c r="K3796" s="22" t="e">
        <f>VLOOKUP($A3796, TAB_CORRECAO_C[[DIAS_CORRIDOS]:[V_FUT_UTEIS]],K$5, FALSE)</f>
        <v>#N/A</v>
      </c>
      <c r="L3796" s="22" t="e">
        <f>VLOOKUP($A3796, TAB_AMORTIZACAO_C[[DIAS_CORRIDOS]:[V_FUT_UTEIS]], L$5, FALSE)</f>
        <v>#N/A</v>
      </c>
    </row>
    <row r="3797" spans="1:12" hidden="1">
      <c r="A3797" s="19">
        <f t="shared" si="304"/>
        <v>3791</v>
      </c>
      <c r="B3797" s="20">
        <f t="shared" si="300"/>
        <v>0</v>
      </c>
      <c r="C3797" s="21">
        <f t="shared" si="301"/>
        <v>0</v>
      </c>
      <c r="D3797" s="22" t="e">
        <f>VLOOKUP($A3797, TAB_JUROS_U[[Q_DIAS_U_PARC_TIR]:[V_FUT_U_JURS CENARIO]], D$5, FALSE)</f>
        <v>#N/A</v>
      </c>
      <c r="E3797" s="22" t="e">
        <f>VLOOKUP($A3797,TAB_CORRECAO_U[[Q_DIAS_U_PARC_TIR]:[V_FUT_U_CORC-02]],E$5, FALSE)</f>
        <v>#N/A</v>
      </c>
      <c r="F3797" s="22" t="e">
        <f>VLOOKUP($A3797,TAB_AMORTIZACAO_U[[Q_DIAS_U_PARC_TIR]:[V_FUT_U_PCPL-02]], F$5, FALSE)</f>
        <v>#N/A</v>
      </c>
      <c r="H3797" s="20">
        <f t="shared" si="302"/>
        <v>0</v>
      </c>
      <c r="I3797" s="21">
        <f t="shared" si="303"/>
        <v>0</v>
      </c>
      <c r="J3797" s="22" t="e">
        <f>VLOOKUP($A3797, TAB_JUROS_C[[DIAS_CORRIDOS]:[V_FUT_UTEIS]], J$5, FALSE)</f>
        <v>#N/A</v>
      </c>
      <c r="K3797" s="22" t="e">
        <f>VLOOKUP($A3797, TAB_CORRECAO_C[[DIAS_CORRIDOS]:[V_FUT_UTEIS]],K$5, FALSE)</f>
        <v>#N/A</v>
      </c>
      <c r="L3797" s="22" t="e">
        <f>VLOOKUP($A3797, TAB_AMORTIZACAO_C[[DIAS_CORRIDOS]:[V_FUT_UTEIS]], L$5, FALSE)</f>
        <v>#N/A</v>
      </c>
    </row>
    <row r="3798" spans="1:12" hidden="1">
      <c r="A3798" s="19">
        <f t="shared" si="304"/>
        <v>3792</v>
      </c>
      <c r="B3798" s="20">
        <f t="shared" si="300"/>
        <v>0</v>
      </c>
      <c r="C3798" s="21">
        <f t="shared" si="301"/>
        <v>0</v>
      </c>
      <c r="D3798" s="22" t="e">
        <f>VLOOKUP($A3798, TAB_JUROS_U[[Q_DIAS_U_PARC_TIR]:[V_FUT_U_JURS CENARIO]], D$5, FALSE)</f>
        <v>#N/A</v>
      </c>
      <c r="E3798" s="22" t="e">
        <f>VLOOKUP($A3798,TAB_CORRECAO_U[[Q_DIAS_U_PARC_TIR]:[V_FUT_U_CORC-02]],E$5, FALSE)</f>
        <v>#N/A</v>
      </c>
      <c r="F3798" s="22" t="e">
        <f>VLOOKUP($A3798,TAB_AMORTIZACAO_U[[Q_DIAS_U_PARC_TIR]:[V_FUT_U_PCPL-02]], F$5, FALSE)</f>
        <v>#N/A</v>
      </c>
      <c r="H3798" s="20">
        <f t="shared" si="302"/>
        <v>0</v>
      </c>
      <c r="I3798" s="21">
        <f t="shared" si="303"/>
        <v>0</v>
      </c>
      <c r="J3798" s="22" t="e">
        <f>VLOOKUP($A3798, TAB_JUROS_C[[DIAS_CORRIDOS]:[V_FUT_UTEIS]], J$5, FALSE)</f>
        <v>#N/A</v>
      </c>
      <c r="K3798" s="22" t="e">
        <f>VLOOKUP($A3798, TAB_CORRECAO_C[[DIAS_CORRIDOS]:[V_FUT_UTEIS]],K$5, FALSE)</f>
        <v>#N/A</v>
      </c>
      <c r="L3798" s="22" t="e">
        <f>VLOOKUP($A3798, TAB_AMORTIZACAO_C[[DIAS_CORRIDOS]:[V_FUT_UTEIS]], L$5, FALSE)</f>
        <v>#N/A</v>
      </c>
    </row>
    <row r="3799" spans="1:12" hidden="1">
      <c r="A3799" s="19">
        <f t="shared" si="304"/>
        <v>3793</v>
      </c>
      <c r="B3799" s="20">
        <f t="shared" si="300"/>
        <v>0</v>
      </c>
      <c r="C3799" s="21">
        <f t="shared" si="301"/>
        <v>0</v>
      </c>
      <c r="D3799" s="22" t="e">
        <f>VLOOKUP($A3799, TAB_JUROS_U[[Q_DIAS_U_PARC_TIR]:[V_FUT_U_JURS CENARIO]], D$5, FALSE)</f>
        <v>#N/A</v>
      </c>
      <c r="E3799" s="22" t="e">
        <f>VLOOKUP($A3799,TAB_CORRECAO_U[[Q_DIAS_U_PARC_TIR]:[V_FUT_U_CORC-02]],E$5, FALSE)</f>
        <v>#N/A</v>
      </c>
      <c r="F3799" s="22" t="e">
        <f>VLOOKUP($A3799,TAB_AMORTIZACAO_U[[Q_DIAS_U_PARC_TIR]:[V_FUT_U_PCPL-02]], F$5, FALSE)</f>
        <v>#N/A</v>
      </c>
      <c r="H3799" s="20">
        <f t="shared" si="302"/>
        <v>0</v>
      </c>
      <c r="I3799" s="21">
        <f t="shared" si="303"/>
        <v>0</v>
      </c>
      <c r="J3799" s="22" t="e">
        <f>VLOOKUP($A3799, TAB_JUROS_C[[DIAS_CORRIDOS]:[V_FUT_UTEIS]], J$5, FALSE)</f>
        <v>#N/A</v>
      </c>
      <c r="K3799" s="22" t="e">
        <f>VLOOKUP($A3799, TAB_CORRECAO_C[[DIAS_CORRIDOS]:[V_FUT_UTEIS]],K$5, FALSE)</f>
        <v>#N/A</v>
      </c>
      <c r="L3799" s="22" t="e">
        <f>VLOOKUP($A3799, TAB_AMORTIZACAO_C[[DIAS_CORRIDOS]:[V_FUT_UTEIS]], L$5, FALSE)</f>
        <v>#N/A</v>
      </c>
    </row>
    <row r="3800" spans="1:12" hidden="1">
      <c r="A3800" s="19">
        <f t="shared" si="304"/>
        <v>3794</v>
      </c>
      <c r="B3800" s="20">
        <f t="shared" si="300"/>
        <v>0</v>
      </c>
      <c r="C3800" s="21">
        <f t="shared" si="301"/>
        <v>0</v>
      </c>
      <c r="D3800" s="22" t="e">
        <f>VLOOKUP($A3800, TAB_JUROS_U[[Q_DIAS_U_PARC_TIR]:[V_FUT_U_JURS CENARIO]], D$5, FALSE)</f>
        <v>#N/A</v>
      </c>
      <c r="E3800" s="22" t="e">
        <f>VLOOKUP($A3800,TAB_CORRECAO_U[[Q_DIAS_U_PARC_TIR]:[V_FUT_U_CORC-02]],E$5, FALSE)</f>
        <v>#N/A</v>
      </c>
      <c r="F3800" s="22" t="e">
        <f>VLOOKUP($A3800,TAB_AMORTIZACAO_U[[Q_DIAS_U_PARC_TIR]:[V_FUT_U_PCPL-02]], F$5, FALSE)</f>
        <v>#N/A</v>
      </c>
      <c r="H3800" s="20">
        <f t="shared" si="302"/>
        <v>0</v>
      </c>
      <c r="I3800" s="21">
        <f t="shared" si="303"/>
        <v>0</v>
      </c>
      <c r="J3800" s="22" t="e">
        <f>VLOOKUP($A3800, TAB_JUROS_C[[DIAS_CORRIDOS]:[V_FUT_UTEIS]], J$5, FALSE)</f>
        <v>#N/A</v>
      </c>
      <c r="K3800" s="22" t="e">
        <f>VLOOKUP($A3800, TAB_CORRECAO_C[[DIAS_CORRIDOS]:[V_FUT_UTEIS]],K$5, FALSE)</f>
        <v>#N/A</v>
      </c>
      <c r="L3800" s="22" t="e">
        <f>VLOOKUP($A3800, TAB_AMORTIZACAO_C[[DIAS_CORRIDOS]:[V_FUT_UTEIS]], L$5, FALSE)</f>
        <v>#N/A</v>
      </c>
    </row>
    <row r="3801" spans="1:12" hidden="1">
      <c r="A3801" s="19">
        <f t="shared" si="304"/>
        <v>3795</v>
      </c>
      <c r="B3801" s="20">
        <f t="shared" si="300"/>
        <v>0</v>
      </c>
      <c r="C3801" s="21">
        <f t="shared" si="301"/>
        <v>0</v>
      </c>
      <c r="D3801" s="22" t="e">
        <f>VLOOKUP($A3801, TAB_JUROS_U[[Q_DIAS_U_PARC_TIR]:[V_FUT_U_JURS CENARIO]], D$5, FALSE)</f>
        <v>#N/A</v>
      </c>
      <c r="E3801" s="22" t="e">
        <f>VLOOKUP($A3801,TAB_CORRECAO_U[[Q_DIAS_U_PARC_TIR]:[V_FUT_U_CORC-02]],E$5, FALSE)</f>
        <v>#N/A</v>
      </c>
      <c r="F3801" s="22" t="e">
        <f>VLOOKUP($A3801,TAB_AMORTIZACAO_U[[Q_DIAS_U_PARC_TIR]:[V_FUT_U_PCPL-02]], F$5, FALSE)</f>
        <v>#N/A</v>
      </c>
      <c r="H3801" s="20">
        <f t="shared" si="302"/>
        <v>0</v>
      </c>
      <c r="I3801" s="21">
        <f t="shared" si="303"/>
        <v>0</v>
      </c>
      <c r="J3801" s="22" t="e">
        <f>VLOOKUP($A3801, TAB_JUROS_C[[DIAS_CORRIDOS]:[V_FUT_UTEIS]], J$5, FALSE)</f>
        <v>#N/A</v>
      </c>
      <c r="K3801" s="22" t="e">
        <f>VLOOKUP($A3801, TAB_CORRECAO_C[[DIAS_CORRIDOS]:[V_FUT_UTEIS]],K$5, FALSE)</f>
        <v>#N/A</v>
      </c>
      <c r="L3801" s="22" t="e">
        <f>VLOOKUP($A3801, TAB_AMORTIZACAO_C[[DIAS_CORRIDOS]:[V_FUT_UTEIS]], L$5, FALSE)</f>
        <v>#N/A</v>
      </c>
    </row>
    <row r="3802" spans="1:12" hidden="1">
      <c r="A3802" s="19">
        <f t="shared" si="304"/>
        <v>3796</v>
      </c>
      <c r="B3802" s="20">
        <f t="shared" si="300"/>
        <v>0</v>
      </c>
      <c r="C3802" s="21">
        <f t="shared" si="301"/>
        <v>0</v>
      </c>
      <c r="D3802" s="22" t="e">
        <f>VLOOKUP($A3802, TAB_JUROS_U[[Q_DIAS_U_PARC_TIR]:[V_FUT_U_JURS CENARIO]], D$5, FALSE)</f>
        <v>#N/A</v>
      </c>
      <c r="E3802" s="22" t="e">
        <f>VLOOKUP($A3802,TAB_CORRECAO_U[[Q_DIAS_U_PARC_TIR]:[V_FUT_U_CORC-02]],E$5, FALSE)</f>
        <v>#N/A</v>
      </c>
      <c r="F3802" s="22" t="e">
        <f>VLOOKUP($A3802,TAB_AMORTIZACAO_U[[Q_DIAS_U_PARC_TIR]:[V_FUT_U_PCPL-02]], F$5, FALSE)</f>
        <v>#N/A</v>
      </c>
      <c r="H3802" s="20">
        <f t="shared" si="302"/>
        <v>0</v>
      </c>
      <c r="I3802" s="21">
        <f t="shared" si="303"/>
        <v>0</v>
      </c>
      <c r="J3802" s="22" t="e">
        <f>VLOOKUP($A3802, TAB_JUROS_C[[DIAS_CORRIDOS]:[V_FUT_UTEIS]], J$5, FALSE)</f>
        <v>#N/A</v>
      </c>
      <c r="K3802" s="22" t="e">
        <f>VLOOKUP($A3802, TAB_CORRECAO_C[[DIAS_CORRIDOS]:[V_FUT_UTEIS]],K$5, FALSE)</f>
        <v>#N/A</v>
      </c>
      <c r="L3802" s="22" t="e">
        <f>VLOOKUP($A3802, TAB_AMORTIZACAO_C[[DIAS_CORRIDOS]:[V_FUT_UTEIS]], L$5, FALSE)</f>
        <v>#N/A</v>
      </c>
    </row>
    <row r="3803" spans="1:12" hidden="1">
      <c r="A3803" s="19">
        <f t="shared" si="304"/>
        <v>3797</v>
      </c>
      <c r="B3803" s="20">
        <f t="shared" si="300"/>
        <v>0</v>
      </c>
      <c r="C3803" s="21">
        <f t="shared" si="301"/>
        <v>0</v>
      </c>
      <c r="D3803" s="22" t="e">
        <f>VLOOKUP($A3803, TAB_JUROS_U[[Q_DIAS_U_PARC_TIR]:[V_FUT_U_JURS CENARIO]], D$5, FALSE)</f>
        <v>#N/A</v>
      </c>
      <c r="E3803" s="22" t="e">
        <f>VLOOKUP($A3803,TAB_CORRECAO_U[[Q_DIAS_U_PARC_TIR]:[V_FUT_U_CORC-02]],E$5, FALSE)</f>
        <v>#N/A</v>
      </c>
      <c r="F3803" s="22" t="e">
        <f>VLOOKUP($A3803,TAB_AMORTIZACAO_U[[Q_DIAS_U_PARC_TIR]:[V_FUT_U_PCPL-02]], F$5, FALSE)</f>
        <v>#N/A</v>
      </c>
      <c r="H3803" s="20">
        <f t="shared" si="302"/>
        <v>0</v>
      </c>
      <c r="I3803" s="21">
        <f t="shared" si="303"/>
        <v>0</v>
      </c>
      <c r="J3803" s="22" t="e">
        <f>VLOOKUP($A3803, TAB_JUROS_C[[DIAS_CORRIDOS]:[V_FUT_UTEIS]], J$5, FALSE)</f>
        <v>#N/A</v>
      </c>
      <c r="K3803" s="22" t="e">
        <f>VLOOKUP($A3803, TAB_CORRECAO_C[[DIAS_CORRIDOS]:[V_FUT_UTEIS]],K$5, FALSE)</f>
        <v>#N/A</v>
      </c>
      <c r="L3803" s="22" t="e">
        <f>VLOOKUP($A3803, TAB_AMORTIZACAO_C[[DIAS_CORRIDOS]:[V_FUT_UTEIS]], L$5, FALSE)</f>
        <v>#N/A</v>
      </c>
    </row>
    <row r="3804" spans="1:12" hidden="1">
      <c r="A3804" s="19">
        <f t="shared" si="304"/>
        <v>3798</v>
      </c>
      <c r="B3804" s="20">
        <f t="shared" si="300"/>
        <v>0</v>
      </c>
      <c r="C3804" s="21">
        <f t="shared" si="301"/>
        <v>0</v>
      </c>
      <c r="D3804" s="22" t="e">
        <f>VLOOKUP($A3804, TAB_JUROS_U[[Q_DIAS_U_PARC_TIR]:[V_FUT_U_JURS CENARIO]], D$5, FALSE)</f>
        <v>#N/A</v>
      </c>
      <c r="E3804" s="22" t="e">
        <f>VLOOKUP($A3804,TAB_CORRECAO_U[[Q_DIAS_U_PARC_TIR]:[V_FUT_U_CORC-02]],E$5, FALSE)</f>
        <v>#N/A</v>
      </c>
      <c r="F3804" s="22" t="e">
        <f>VLOOKUP($A3804,TAB_AMORTIZACAO_U[[Q_DIAS_U_PARC_TIR]:[V_FUT_U_PCPL-02]], F$5, FALSE)</f>
        <v>#N/A</v>
      </c>
      <c r="H3804" s="20">
        <f t="shared" si="302"/>
        <v>0</v>
      </c>
      <c r="I3804" s="21">
        <f t="shared" si="303"/>
        <v>0</v>
      </c>
      <c r="J3804" s="22" t="e">
        <f>VLOOKUP($A3804, TAB_JUROS_C[[DIAS_CORRIDOS]:[V_FUT_UTEIS]], J$5, FALSE)</f>
        <v>#N/A</v>
      </c>
      <c r="K3804" s="22" t="e">
        <f>VLOOKUP($A3804, TAB_CORRECAO_C[[DIAS_CORRIDOS]:[V_FUT_UTEIS]],K$5, FALSE)</f>
        <v>#N/A</v>
      </c>
      <c r="L3804" s="22" t="e">
        <f>VLOOKUP($A3804, TAB_AMORTIZACAO_C[[DIAS_CORRIDOS]:[V_FUT_UTEIS]], L$5, FALSE)</f>
        <v>#N/A</v>
      </c>
    </row>
    <row r="3805" spans="1:12" hidden="1">
      <c r="A3805" s="19">
        <f t="shared" si="304"/>
        <v>3799</v>
      </c>
      <c r="B3805" s="20">
        <f t="shared" si="300"/>
        <v>0</v>
      </c>
      <c r="C3805" s="21">
        <f t="shared" si="301"/>
        <v>0</v>
      </c>
      <c r="D3805" s="22" t="e">
        <f>VLOOKUP($A3805, TAB_JUROS_U[[Q_DIAS_U_PARC_TIR]:[V_FUT_U_JURS CENARIO]], D$5, FALSE)</f>
        <v>#N/A</v>
      </c>
      <c r="E3805" s="22" t="e">
        <f>VLOOKUP($A3805,TAB_CORRECAO_U[[Q_DIAS_U_PARC_TIR]:[V_FUT_U_CORC-02]],E$5, FALSE)</f>
        <v>#N/A</v>
      </c>
      <c r="F3805" s="22" t="e">
        <f>VLOOKUP($A3805,TAB_AMORTIZACAO_U[[Q_DIAS_U_PARC_TIR]:[V_FUT_U_PCPL-02]], F$5, FALSE)</f>
        <v>#N/A</v>
      </c>
      <c r="H3805" s="20">
        <f t="shared" si="302"/>
        <v>0</v>
      </c>
      <c r="I3805" s="21">
        <f t="shared" si="303"/>
        <v>0</v>
      </c>
      <c r="J3805" s="22" t="e">
        <f>VLOOKUP($A3805, TAB_JUROS_C[[DIAS_CORRIDOS]:[V_FUT_UTEIS]], J$5, FALSE)</f>
        <v>#N/A</v>
      </c>
      <c r="K3805" s="22" t="e">
        <f>VLOOKUP($A3805, TAB_CORRECAO_C[[DIAS_CORRIDOS]:[V_FUT_UTEIS]],K$5, FALSE)</f>
        <v>#N/A</v>
      </c>
      <c r="L3805" s="22" t="e">
        <f>VLOOKUP($A3805, TAB_AMORTIZACAO_C[[DIAS_CORRIDOS]:[V_FUT_UTEIS]], L$5, FALSE)</f>
        <v>#N/A</v>
      </c>
    </row>
    <row r="3806" spans="1:12" hidden="1">
      <c r="A3806" s="19">
        <f t="shared" si="304"/>
        <v>3800</v>
      </c>
      <c r="B3806" s="20">
        <f t="shared" si="300"/>
        <v>0</v>
      </c>
      <c r="C3806" s="21">
        <f t="shared" si="301"/>
        <v>0</v>
      </c>
      <c r="D3806" s="22" t="e">
        <f>VLOOKUP($A3806, TAB_JUROS_U[[Q_DIAS_U_PARC_TIR]:[V_FUT_U_JURS CENARIO]], D$5, FALSE)</f>
        <v>#N/A</v>
      </c>
      <c r="E3806" s="22" t="e">
        <f>VLOOKUP($A3806,TAB_CORRECAO_U[[Q_DIAS_U_PARC_TIR]:[V_FUT_U_CORC-02]],E$5, FALSE)</f>
        <v>#N/A</v>
      </c>
      <c r="F3806" s="22" t="e">
        <f>VLOOKUP($A3806,TAB_AMORTIZACAO_U[[Q_DIAS_U_PARC_TIR]:[V_FUT_U_PCPL-02]], F$5, FALSE)</f>
        <v>#N/A</v>
      </c>
      <c r="H3806" s="20">
        <f t="shared" si="302"/>
        <v>0</v>
      </c>
      <c r="I3806" s="21">
        <f t="shared" si="303"/>
        <v>0</v>
      </c>
      <c r="J3806" s="22" t="e">
        <f>VLOOKUP($A3806, TAB_JUROS_C[[DIAS_CORRIDOS]:[V_FUT_UTEIS]], J$5, FALSE)</f>
        <v>#N/A</v>
      </c>
      <c r="K3806" s="22" t="e">
        <f>VLOOKUP($A3806, TAB_CORRECAO_C[[DIAS_CORRIDOS]:[V_FUT_UTEIS]],K$5, FALSE)</f>
        <v>#N/A</v>
      </c>
      <c r="L3806" s="22" t="e">
        <f>VLOOKUP($A3806, TAB_AMORTIZACAO_C[[DIAS_CORRIDOS]:[V_FUT_UTEIS]], L$5, FALSE)</f>
        <v>#N/A</v>
      </c>
    </row>
    <row r="3807" spans="1:12" hidden="1">
      <c r="A3807" s="19">
        <f t="shared" si="304"/>
        <v>3801</v>
      </c>
      <c r="B3807" s="20">
        <f t="shared" si="300"/>
        <v>0</v>
      </c>
      <c r="C3807" s="21">
        <f t="shared" si="301"/>
        <v>0</v>
      </c>
      <c r="D3807" s="22" t="e">
        <f>VLOOKUP($A3807, TAB_JUROS_U[[Q_DIAS_U_PARC_TIR]:[V_FUT_U_JURS CENARIO]], D$5, FALSE)</f>
        <v>#N/A</v>
      </c>
      <c r="E3807" s="22" t="e">
        <f>VLOOKUP($A3807,TAB_CORRECAO_U[[Q_DIAS_U_PARC_TIR]:[V_FUT_U_CORC-02]],E$5, FALSE)</f>
        <v>#N/A</v>
      </c>
      <c r="F3807" s="22" t="e">
        <f>VLOOKUP($A3807,TAB_AMORTIZACAO_U[[Q_DIAS_U_PARC_TIR]:[V_FUT_U_PCPL-02]], F$5, FALSE)</f>
        <v>#N/A</v>
      </c>
      <c r="H3807" s="20">
        <f t="shared" si="302"/>
        <v>0</v>
      </c>
      <c r="I3807" s="21">
        <f t="shared" si="303"/>
        <v>0</v>
      </c>
      <c r="J3807" s="22" t="e">
        <f>VLOOKUP($A3807, TAB_JUROS_C[[DIAS_CORRIDOS]:[V_FUT_UTEIS]], J$5, FALSE)</f>
        <v>#N/A</v>
      </c>
      <c r="K3807" s="22" t="e">
        <f>VLOOKUP($A3807, TAB_CORRECAO_C[[DIAS_CORRIDOS]:[V_FUT_UTEIS]],K$5, FALSE)</f>
        <v>#N/A</v>
      </c>
      <c r="L3807" s="22" t="e">
        <f>VLOOKUP($A3807, TAB_AMORTIZACAO_C[[DIAS_CORRIDOS]:[V_FUT_UTEIS]], L$5, FALSE)</f>
        <v>#N/A</v>
      </c>
    </row>
    <row r="3808" spans="1:12" hidden="1">
      <c r="A3808" s="19">
        <f t="shared" si="304"/>
        <v>3802</v>
      </c>
      <c r="B3808" s="20">
        <f t="shared" si="300"/>
        <v>0</v>
      </c>
      <c r="C3808" s="21">
        <f t="shared" si="301"/>
        <v>0</v>
      </c>
      <c r="D3808" s="22" t="e">
        <f>VLOOKUP($A3808, TAB_JUROS_U[[Q_DIAS_U_PARC_TIR]:[V_FUT_U_JURS CENARIO]], D$5, FALSE)</f>
        <v>#N/A</v>
      </c>
      <c r="E3808" s="22" t="e">
        <f>VLOOKUP($A3808,TAB_CORRECAO_U[[Q_DIAS_U_PARC_TIR]:[V_FUT_U_CORC-02]],E$5, FALSE)</f>
        <v>#N/A</v>
      </c>
      <c r="F3808" s="22" t="e">
        <f>VLOOKUP($A3808,TAB_AMORTIZACAO_U[[Q_DIAS_U_PARC_TIR]:[V_FUT_U_PCPL-02]], F$5, FALSE)</f>
        <v>#N/A</v>
      </c>
      <c r="H3808" s="20">
        <f t="shared" si="302"/>
        <v>0</v>
      </c>
      <c r="I3808" s="21">
        <f t="shared" si="303"/>
        <v>0</v>
      </c>
      <c r="J3808" s="22" t="e">
        <f>VLOOKUP($A3808, TAB_JUROS_C[[DIAS_CORRIDOS]:[V_FUT_UTEIS]], J$5, FALSE)</f>
        <v>#N/A</v>
      </c>
      <c r="K3808" s="22" t="e">
        <f>VLOOKUP($A3808, TAB_CORRECAO_C[[DIAS_CORRIDOS]:[V_FUT_UTEIS]],K$5, FALSE)</f>
        <v>#N/A</v>
      </c>
      <c r="L3808" s="22" t="e">
        <f>VLOOKUP($A3808, TAB_AMORTIZACAO_C[[DIAS_CORRIDOS]:[V_FUT_UTEIS]], L$5, FALSE)</f>
        <v>#N/A</v>
      </c>
    </row>
    <row r="3809" spans="1:12" hidden="1">
      <c r="A3809" s="19">
        <f t="shared" si="304"/>
        <v>3803</v>
      </c>
      <c r="B3809" s="20">
        <f t="shared" si="300"/>
        <v>0</v>
      </c>
      <c r="C3809" s="21">
        <f t="shared" si="301"/>
        <v>0</v>
      </c>
      <c r="D3809" s="22" t="e">
        <f>VLOOKUP($A3809, TAB_JUROS_U[[Q_DIAS_U_PARC_TIR]:[V_FUT_U_JURS CENARIO]], D$5, FALSE)</f>
        <v>#N/A</v>
      </c>
      <c r="E3809" s="22" t="e">
        <f>VLOOKUP($A3809,TAB_CORRECAO_U[[Q_DIAS_U_PARC_TIR]:[V_FUT_U_CORC-02]],E$5, FALSE)</f>
        <v>#N/A</v>
      </c>
      <c r="F3809" s="22" t="e">
        <f>VLOOKUP($A3809,TAB_AMORTIZACAO_U[[Q_DIAS_U_PARC_TIR]:[V_FUT_U_PCPL-02]], F$5, FALSE)</f>
        <v>#N/A</v>
      </c>
      <c r="H3809" s="20">
        <f t="shared" si="302"/>
        <v>0</v>
      </c>
      <c r="I3809" s="21">
        <f t="shared" si="303"/>
        <v>0</v>
      </c>
      <c r="J3809" s="22" t="e">
        <f>VLOOKUP($A3809, TAB_JUROS_C[[DIAS_CORRIDOS]:[V_FUT_UTEIS]], J$5, FALSE)</f>
        <v>#N/A</v>
      </c>
      <c r="K3809" s="22" t="e">
        <f>VLOOKUP($A3809, TAB_CORRECAO_C[[DIAS_CORRIDOS]:[V_FUT_UTEIS]],K$5, FALSE)</f>
        <v>#N/A</v>
      </c>
      <c r="L3809" s="22" t="e">
        <f>VLOOKUP($A3809, TAB_AMORTIZACAO_C[[DIAS_CORRIDOS]:[V_FUT_UTEIS]], L$5, FALSE)</f>
        <v>#N/A</v>
      </c>
    </row>
    <row r="3810" spans="1:12" hidden="1">
      <c r="A3810" s="19">
        <f t="shared" si="304"/>
        <v>3804</v>
      </c>
      <c r="B3810" s="20">
        <f t="shared" si="300"/>
        <v>0</v>
      </c>
      <c r="C3810" s="21">
        <f t="shared" si="301"/>
        <v>0</v>
      </c>
      <c r="D3810" s="22" t="e">
        <f>VLOOKUP($A3810, TAB_JUROS_U[[Q_DIAS_U_PARC_TIR]:[V_FUT_U_JURS CENARIO]], D$5, FALSE)</f>
        <v>#N/A</v>
      </c>
      <c r="E3810" s="22" t="e">
        <f>VLOOKUP($A3810,TAB_CORRECAO_U[[Q_DIAS_U_PARC_TIR]:[V_FUT_U_CORC-02]],E$5, FALSE)</f>
        <v>#N/A</v>
      </c>
      <c r="F3810" s="22" t="e">
        <f>VLOOKUP($A3810,TAB_AMORTIZACAO_U[[Q_DIAS_U_PARC_TIR]:[V_FUT_U_PCPL-02]], F$5, FALSE)</f>
        <v>#N/A</v>
      </c>
      <c r="H3810" s="20">
        <f t="shared" si="302"/>
        <v>0</v>
      </c>
      <c r="I3810" s="21">
        <f t="shared" si="303"/>
        <v>0</v>
      </c>
      <c r="J3810" s="22" t="e">
        <f>VLOOKUP($A3810, TAB_JUROS_C[[DIAS_CORRIDOS]:[V_FUT_UTEIS]], J$5, FALSE)</f>
        <v>#N/A</v>
      </c>
      <c r="K3810" s="22" t="e">
        <f>VLOOKUP($A3810, TAB_CORRECAO_C[[DIAS_CORRIDOS]:[V_FUT_UTEIS]],K$5, FALSE)</f>
        <v>#N/A</v>
      </c>
      <c r="L3810" s="22" t="e">
        <f>VLOOKUP($A3810, TAB_AMORTIZACAO_C[[DIAS_CORRIDOS]:[V_FUT_UTEIS]], L$5, FALSE)</f>
        <v>#N/A</v>
      </c>
    </row>
    <row r="3811" spans="1:12" hidden="1">
      <c r="A3811" s="19">
        <f t="shared" si="304"/>
        <v>3805</v>
      </c>
      <c r="B3811" s="20">
        <f t="shared" si="300"/>
        <v>0</v>
      </c>
      <c r="C3811" s="21">
        <f t="shared" si="301"/>
        <v>0</v>
      </c>
      <c r="D3811" s="22" t="e">
        <f>VLOOKUP($A3811, TAB_JUROS_U[[Q_DIAS_U_PARC_TIR]:[V_FUT_U_JURS CENARIO]], D$5, FALSE)</f>
        <v>#N/A</v>
      </c>
      <c r="E3811" s="22" t="e">
        <f>VLOOKUP($A3811,TAB_CORRECAO_U[[Q_DIAS_U_PARC_TIR]:[V_FUT_U_CORC-02]],E$5, FALSE)</f>
        <v>#N/A</v>
      </c>
      <c r="F3811" s="22" t="e">
        <f>VLOOKUP($A3811,TAB_AMORTIZACAO_U[[Q_DIAS_U_PARC_TIR]:[V_FUT_U_PCPL-02]], F$5, FALSE)</f>
        <v>#N/A</v>
      </c>
      <c r="H3811" s="20">
        <f t="shared" si="302"/>
        <v>0</v>
      </c>
      <c r="I3811" s="21">
        <f t="shared" si="303"/>
        <v>0</v>
      </c>
      <c r="J3811" s="22" t="e">
        <f>VLOOKUP($A3811, TAB_JUROS_C[[DIAS_CORRIDOS]:[V_FUT_UTEIS]], J$5, FALSE)</f>
        <v>#N/A</v>
      </c>
      <c r="K3811" s="22" t="e">
        <f>VLOOKUP($A3811, TAB_CORRECAO_C[[DIAS_CORRIDOS]:[V_FUT_UTEIS]],K$5, FALSE)</f>
        <v>#N/A</v>
      </c>
      <c r="L3811" s="22" t="e">
        <f>VLOOKUP($A3811, TAB_AMORTIZACAO_C[[DIAS_CORRIDOS]:[V_FUT_UTEIS]], L$5, FALSE)</f>
        <v>#N/A</v>
      </c>
    </row>
    <row r="3812" spans="1:12" hidden="1">
      <c r="A3812" s="19">
        <f t="shared" si="304"/>
        <v>3806</v>
      </c>
      <c r="B3812" s="20">
        <f t="shared" si="300"/>
        <v>0</v>
      </c>
      <c r="C3812" s="21">
        <f t="shared" si="301"/>
        <v>0</v>
      </c>
      <c r="D3812" s="22" t="e">
        <f>VLOOKUP($A3812, TAB_JUROS_U[[Q_DIAS_U_PARC_TIR]:[V_FUT_U_JURS CENARIO]], D$5, FALSE)</f>
        <v>#N/A</v>
      </c>
      <c r="E3812" s="22" t="e">
        <f>VLOOKUP($A3812,TAB_CORRECAO_U[[Q_DIAS_U_PARC_TIR]:[V_FUT_U_CORC-02]],E$5, FALSE)</f>
        <v>#N/A</v>
      </c>
      <c r="F3812" s="22" t="e">
        <f>VLOOKUP($A3812,TAB_AMORTIZACAO_U[[Q_DIAS_U_PARC_TIR]:[V_FUT_U_PCPL-02]], F$5, FALSE)</f>
        <v>#N/A</v>
      </c>
      <c r="H3812" s="20">
        <f t="shared" si="302"/>
        <v>0</v>
      </c>
      <c r="I3812" s="21">
        <f t="shared" si="303"/>
        <v>0</v>
      </c>
      <c r="J3812" s="22" t="e">
        <f>VLOOKUP($A3812, TAB_JUROS_C[[DIAS_CORRIDOS]:[V_FUT_UTEIS]], J$5, FALSE)</f>
        <v>#N/A</v>
      </c>
      <c r="K3812" s="22" t="e">
        <f>VLOOKUP($A3812, TAB_CORRECAO_C[[DIAS_CORRIDOS]:[V_FUT_UTEIS]],K$5, FALSE)</f>
        <v>#N/A</v>
      </c>
      <c r="L3812" s="22" t="e">
        <f>VLOOKUP($A3812, TAB_AMORTIZACAO_C[[DIAS_CORRIDOS]:[V_FUT_UTEIS]], L$5, FALSE)</f>
        <v>#N/A</v>
      </c>
    </row>
    <row r="3813" spans="1:12" hidden="1">
      <c r="A3813" s="19">
        <f t="shared" si="304"/>
        <v>3807</v>
      </c>
      <c r="B3813" s="20">
        <f t="shared" si="300"/>
        <v>0</v>
      </c>
      <c r="C3813" s="21">
        <f t="shared" si="301"/>
        <v>0</v>
      </c>
      <c r="D3813" s="22" t="e">
        <f>VLOOKUP($A3813, TAB_JUROS_U[[Q_DIAS_U_PARC_TIR]:[V_FUT_U_JURS CENARIO]], D$5, FALSE)</f>
        <v>#N/A</v>
      </c>
      <c r="E3813" s="22" t="e">
        <f>VLOOKUP($A3813,TAB_CORRECAO_U[[Q_DIAS_U_PARC_TIR]:[V_FUT_U_CORC-02]],E$5, FALSE)</f>
        <v>#N/A</v>
      </c>
      <c r="F3813" s="22" t="e">
        <f>VLOOKUP($A3813,TAB_AMORTIZACAO_U[[Q_DIAS_U_PARC_TIR]:[V_FUT_U_PCPL-02]], F$5, FALSE)</f>
        <v>#N/A</v>
      </c>
      <c r="H3813" s="20">
        <f t="shared" si="302"/>
        <v>0</v>
      </c>
      <c r="I3813" s="21">
        <f t="shared" si="303"/>
        <v>0</v>
      </c>
      <c r="J3813" s="22" t="e">
        <f>VLOOKUP($A3813, TAB_JUROS_C[[DIAS_CORRIDOS]:[V_FUT_UTEIS]], J$5, FALSE)</f>
        <v>#N/A</v>
      </c>
      <c r="K3813" s="22" t="e">
        <f>VLOOKUP($A3813, TAB_CORRECAO_C[[DIAS_CORRIDOS]:[V_FUT_UTEIS]],K$5, FALSE)</f>
        <v>#N/A</v>
      </c>
      <c r="L3813" s="22" t="e">
        <f>VLOOKUP($A3813, TAB_AMORTIZACAO_C[[DIAS_CORRIDOS]:[V_FUT_UTEIS]], L$5, FALSE)</f>
        <v>#N/A</v>
      </c>
    </row>
    <row r="3814" spans="1:12" hidden="1">
      <c r="A3814" s="19">
        <f t="shared" si="304"/>
        <v>3808</v>
      </c>
      <c r="B3814" s="20">
        <f t="shared" si="300"/>
        <v>0</v>
      </c>
      <c r="C3814" s="21">
        <f t="shared" si="301"/>
        <v>0</v>
      </c>
      <c r="D3814" s="22" t="e">
        <f>VLOOKUP($A3814, TAB_JUROS_U[[Q_DIAS_U_PARC_TIR]:[V_FUT_U_JURS CENARIO]], D$5, FALSE)</f>
        <v>#N/A</v>
      </c>
      <c r="E3814" s="22" t="e">
        <f>VLOOKUP($A3814,TAB_CORRECAO_U[[Q_DIAS_U_PARC_TIR]:[V_FUT_U_CORC-02]],E$5, FALSE)</f>
        <v>#N/A</v>
      </c>
      <c r="F3814" s="22" t="e">
        <f>VLOOKUP($A3814,TAB_AMORTIZACAO_U[[Q_DIAS_U_PARC_TIR]:[V_FUT_U_PCPL-02]], F$5, FALSE)</f>
        <v>#N/A</v>
      </c>
      <c r="H3814" s="20">
        <f t="shared" si="302"/>
        <v>0</v>
      </c>
      <c r="I3814" s="21">
        <f t="shared" si="303"/>
        <v>0</v>
      </c>
      <c r="J3814" s="22" t="e">
        <f>VLOOKUP($A3814, TAB_JUROS_C[[DIAS_CORRIDOS]:[V_FUT_UTEIS]], J$5, FALSE)</f>
        <v>#N/A</v>
      </c>
      <c r="K3814" s="22" t="e">
        <f>VLOOKUP($A3814, TAB_CORRECAO_C[[DIAS_CORRIDOS]:[V_FUT_UTEIS]],K$5, FALSE)</f>
        <v>#N/A</v>
      </c>
      <c r="L3814" s="22" t="e">
        <f>VLOOKUP($A3814, TAB_AMORTIZACAO_C[[DIAS_CORRIDOS]:[V_FUT_UTEIS]], L$5, FALSE)</f>
        <v>#N/A</v>
      </c>
    </row>
    <row r="3815" spans="1:12" hidden="1">
      <c r="A3815" s="19">
        <f t="shared" si="304"/>
        <v>3809</v>
      </c>
      <c r="B3815" s="20">
        <f t="shared" si="300"/>
        <v>0</v>
      </c>
      <c r="C3815" s="21">
        <f t="shared" si="301"/>
        <v>0</v>
      </c>
      <c r="D3815" s="22" t="e">
        <f>VLOOKUP($A3815, TAB_JUROS_U[[Q_DIAS_U_PARC_TIR]:[V_FUT_U_JURS CENARIO]], D$5, FALSE)</f>
        <v>#N/A</v>
      </c>
      <c r="E3815" s="22" t="e">
        <f>VLOOKUP($A3815,TAB_CORRECAO_U[[Q_DIAS_U_PARC_TIR]:[V_FUT_U_CORC-02]],E$5, FALSE)</f>
        <v>#N/A</v>
      </c>
      <c r="F3815" s="22" t="e">
        <f>VLOOKUP($A3815,TAB_AMORTIZACAO_U[[Q_DIAS_U_PARC_TIR]:[V_FUT_U_PCPL-02]], F$5, FALSE)</f>
        <v>#N/A</v>
      </c>
      <c r="H3815" s="20">
        <f t="shared" si="302"/>
        <v>0</v>
      </c>
      <c r="I3815" s="21">
        <f t="shared" si="303"/>
        <v>0</v>
      </c>
      <c r="J3815" s="22" t="e">
        <f>VLOOKUP($A3815, TAB_JUROS_C[[DIAS_CORRIDOS]:[V_FUT_UTEIS]], J$5, FALSE)</f>
        <v>#N/A</v>
      </c>
      <c r="K3815" s="22" t="e">
        <f>VLOOKUP($A3815, TAB_CORRECAO_C[[DIAS_CORRIDOS]:[V_FUT_UTEIS]],K$5, FALSE)</f>
        <v>#N/A</v>
      </c>
      <c r="L3815" s="22" t="e">
        <f>VLOOKUP($A3815, TAB_AMORTIZACAO_C[[DIAS_CORRIDOS]:[V_FUT_UTEIS]], L$5, FALSE)</f>
        <v>#N/A</v>
      </c>
    </row>
    <row r="3816" spans="1:12" hidden="1">
      <c r="A3816" s="19">
        <f t="shared" si="304"/>
        <v>3810</v>
      </c>
      <c r="B3816" s="20">
        <f t="shared" si="300"/>
        <v>0</v>
      </c>
      <c r="C3816" s="21">
        <f t="shared" si="301"/>
        <v>0</v>
      </c>
      <c r="D3816" s="22" t="e">
        <f>VLOOKUP($A3816, TAB_JUROS_U[[Q_DIAS_U_PARC_TIR]:[V_FUT_U_JURS CENARIO]], D$5, FALSE)</f>
        <v>#N/A</v>
      </c>
      <c r="E3816" s="22" t="e">
        <f>VLOOKUP($A3816,TAB_CORRECAO_U[[Q_DIAS_U_PARC_TIR]:[V_FUT_U_CORC-02]],E$5, FALSE)</f>
        <v>#N/A</v>
      </c>
      <c r="F3816" s="22" t="e">
        <f>VLOOKUP($A3816,TAB_AMORTIZACAO_U[[Q_DIAS_U_PARC_TIR]:[V_FUT_U_PCPL-02]], F$5, FALSE)</f>
        <v>#N/A</v>
      </c>
      <c r="H3816" s="20">
        <f t="shared" si="302"/>
        <v>0</v>
      </c>
      <c r="I3816" s="21">
        <f t="shared" si="303"/>
        <v>0</v>
      </c>
      <c r="J3816" s="22" t="e">
        <f>VLOOKUP($A3816, TAB_JUROS_C[[DIAS_CORRIDOS]:[V_FUT_UTEIS]], J$5, FALSE)</f>
        <v>#N/A</v>
      </c>
      <c r="K3816" s="22" t="e">
        <f>VLOOKUP($A3816, TAB_CORRECAO_C[[DIAS_CORRIDOS]:[V_FUT_UTEIS]],K$5, FALSE)</f>
        <v>#N/A</v>
      </c>
      <c r="L3816" s="22" t="e">
        <f>VLOOKUP($A3816, TAB_AMORTIZACAO_C[[DIAS_CORRIDOS]:[V_FUT_UTEIS]], L$5, FALSE)</f>
        <v>#N/A</v>
      </c>
    </row>
    <row r="3817" spans="1:12" hidden="1">
      <c r="A3817" s="19">
        <f t="shared" si="304"/>
        <v>3811</v>
      </c>
      <c r="B3817" s="20">
        <f t="shared" si="300"/>
        <v>0</v>
      </c>
      <c r="C3817" s="21">
        <f t="shared" si="301"/>
        <v>0</v>
      </c>
      <c r="D3817" s="22" t="e">
        <f>VLOOKUP($A3817, TAB_JUROS_U[[Q_DIAS_U_PARC_TIR]:[V_FUT_U_JURS CENARIO]], D$5, FALSE)</f>
        <v>#N/A</v>
      </c>
      <c r="E3817" s="22" t="e">
        <f>VLOOKUP($A3817,TAB_CORRECAO_U[[Q_DIAS_U_PARC_TIR]:[V_FUT_U_CORC-02]],E$5, FALSE)</f>
        <v>#N/A</v>
      </c>
      <c r="F3817" s="22" t="e">
        <f>VLOOKUP($A3817,TAB_AMORTIZACAO_U[[Q_DIAS_U_PARC_TIR]:[V_FUT_U_PCPL-02]], F$5, FALSE)</f>
        <v>#N/A</v>
      </c>
      <c r="H3817" s="20">
        <f t="shared" si="302"/>
        <v>0</v>
      </c>
      <c r="I3817" s="21">
        <f t="shared" si="303"/>
        <v>0</v>
      </c>
      <c r="J3817" s="22" t="e">
        <f>VLOOKUP($A3817, TAB_JUROS_C[[DIAS_CORRIDOS]:[V_FUT_UTEIS]], J$5, FALSE)</f>
        <v>#N/A</v>
      </c>
      <c r="K3817" s="22" t="e">
        <f>VLOOKUP($A3817, TAB_CORRECAO_C[[DIAS_CORRIDOS]:[V_FUT_UTEIS]],K$5, FALSE)</f>
        <v>#N/A</v>
      </c>
      <c r="L3817" s="22" t="e">
        <f>VLOOKUP($A3817, TAB_AMORTIZACAO_C[[DIAS_CORRIDOS]:[V_FUT_UTEIS]], L$5, FALSE)</f>
        <v>#N/A</v>
      </c>
    </row>
    <row r="3818" spans="1:12" hidden="1">
      <c r="A3818" s="19">
        <f t="shared" si="304"/>
        <v>3812</v>
      </c>
      <c r="B3818" s="20">
        <f t="shared" si="300"/>
        <v>0</v>
      </c>
      <c r="C3818" s="21">
        <f t="shared" si="301"/>
        <v>0</v>
      </c>
      <c r="D3818" s="22" t="e">
        <f>VLOOKUP($A3818, TAB_JUROS_U[[Q_DIAS_U_PARC_TIR]:[V_FUT_U_JURS CENARIO]], D$5, FALSE)</f>
        <v>#N/A</v>
      </c>
      <c r="E3818" s="22" t="e">
        <f>VLOOKUP($A3818,TAB_CORRECAO_U[[Q_DIAS_U_PARC_TIR]:[V_FUT_U_CORC-02]],E$5, FALSE)</f>
        <v>#N/A</v>
      </c>
      <c r="F3818" s="22" t="e">
        <f>VLOOKUP($A3818,TAB_AMORTIZACAO_U[[Q_DIAS_U_PARC_TIR]:[V_FUT_U_PCPL-02]], F$5, FALSE)</f>
        <v>#N/A</v>
      </c>
      <c r="H3818" s="20">
        <f t="shared" si="302"/>
        <v>0</v>
      </c>
      <c r="I3818" s="21">
        <f t="shared" si="303"/>
        <v>0</v>
      </c>
      <c r="J3818" s="22" t="e">
        <f>VLOOKUP($A3818, TAB_JUROS_C[[DIAS_CORRIDOS]:[V_FUT_UTEIS]], J$5, FALSE)</f>
        <v>#N/A</v>
      </c>
      <c r="K3818" s="22" t="e">
        <f>VLOOKUP($A3818, TAB_CORRECAO_C[[DIAS_CORRIDOS]:[V_FUT_UTEIS]],K$5, FALSE)</f>
        <v>#N/A</v>
      </c>
      <c r="L3818" s="22" t="e">
        <f>VLOOKUP($A3818, TAB_AMORTIZACAO_C[[DIAS_CORRIDOS]:[V_FUT_UTEIS]], L$5, FALSE)</f>
        <v>#N/A</v>
      </c>
    </row>
    <row r="3819" spans="1:12" hidden="1">
      <c r="A3819" s="19">
        <f t="shared" si="304"/>
        <v>3813</v>
      </c>
      <c r="B3819" s="20">
        <f t="shared" si="300"/>
        <v>0</v>
      </c>
      <c r="C3819" s="21">
        <f t="shared" si="301"/>
        <v>0</v>
      </c>
      <c r="D3819" s="22" t="e">
        <f>VLOOKUP($A3819, TAB_JUROS_U[[Q_DIAS_U_PARC_TIR]:[V_FUT_U_JURS CENARIO]], D$5, FALSE)</f>
        <v>#N/A</v>
      </c>
      <c r="E3819" s="22" t="e">
        <f>VLOOKUP($A3819,TAB_CORRECAO_U[[Q_DIAS_U_PARC_TIR]:[V_FUT_U_CORC-02]],E$5, FALSE)</f>
        <v>#N/A</v>
      </c>
      <c r="F3819" s="22" t="e">
        <f>VLOOKUP($A3819,TAB_AMORTIZACAO_U[[Q_DIAS_U_PARC_TIR]:[V_FUT_U_PCPL-02]], F$5, FALSE)</f>
        <v>#N/A</v>
      </c>
      <c r="H3819" s="20">
        <f t="shared" si="302"/>
        <v>0</v>
      </c>
      <c r="I3819" s="21">
        <f t="shared" si="303"/>
        <v>0</v>
      </c>
      <c r="J3819" s="22" t="e">
        <f>VLOOKUP($A3819, TAB_JUROS_C[[DIAS_CORRIDOS]:[V_FUT_UTEIS]], J$5, FALSE)</f>
        <v>#N/A</v>
      </c>
      <c r="K3819" s="22" t="e">
        <f>VLOOKUP($A3819, TAB_CORRECAO_C[[DIAS_CORRIDOS]:[V_FUT_UTEIS]],K$5, FALSE)</f>
        <v>#N/A</v>
      </c>
      <c r="L3819" s="22" t="e">
        <f>VLOOKUP($A3819, TAB_AMORTIZACAO_C[[DIAS_CORRIDOS]:[V_FUT_UTEIS]], L$5, FALSE)</f>
        <v>#N/A</v>
      </c>
    </row>
    <row r="3820" spans="1:12" hidden="1">
      <c r="A3820" s="19">
        <f t="shared" si="304"/>
        <v>3814</v>
      </c>
      <c r="B3820" s="20">
        <f t="shared" si="300"/>
        <v>0</v>
      </c>
      <c r="C3820" s="21">
        <f t="shared" si="301"/>
        <v>0</v>
      </c>
      <c r="D3820" s="22" t="e">
        <f>VLOOKUP($A3820, TAB_JUROS_U[[Q_DIAS_U_PARC_TIR]:[V_FUT_U_JURS CENARIO]], D$5, FALSE)</f>
        <v>#N/A</v>
      </c>
      <c r="E3820" s="22" t="e">
        <f>VLOOKUP($A3820,TAB_CORRECAO_U[[Q_DIAS_U_PARC_TIR]:[V_FUT_U_CORC-02]],E$5, FALSE)</f>
        <v>#N/A</v>
      </c>
      <c r="F3820" s="22" t="e">
        <f>VLOOKUP($A3820,TAB_AMORTIZACAO_U[[Q_DIAS_U_PARC_TIR]:[V_FUT_U_PCPL-02]], F$5, FALSE)</f>
        <v>#N/A</v>
      </c>
      <c r="H3820" s="20">
        <f t="shared" si="302"/>
        <v>0</v>
      </c>
      <c r="I3820" s="21">
        <f t="shared" si="303"/>
        <v>0</v>
      </c>
      <c r="J3820" s="22" t="e">
        <f>VLOOKUP($A3820, TAB_JUROS_C[[DIAS_CORRIDOS]:[V_FUT_UTEIS]], J$5, FALSE)</f>
        <v>#N/A</v>
      </c>
      <c r="K3820" s="22" t="e">
        <f>VLOOKUP($A3820, TAB_CORRECAO_C[[DIAS_CORRIDOS]:[V_FUT_UTEIS]],K$5, FALSE)</f>
        <v>#N/A</v>
      </c>
      <c r="L3820" s="22" t="e">
        <f>VLOOKUP($A3820, TAB_AMORTIZACAO_C[[DIAS_CORRIDOS]:[V_FUT_UTEIS]], L$5, FALSE)</f>
        <v>#N/A</v>
      </c>
    </row>
    <row r="3821" spans="1:12" hidden="1">
      <c r="A3821" s="19">
        <f t="shared" si="304"/>
        <v>3815</v>
      </c>
      <c r="B3821" s="20">
        <f t="shared" si="300"/>
        <v>0</v>
      </c>
      <c r="C3821" s="21">
        <f t="shared" si="301"/>
        <v>0</v>
      </c>
      <c r="D3821" s="22" t="e">
        <f>VLOOKUP($A3821, TAB_JUROS_U[[Q_DIAS_U_PARC_TIR]:[V_FUT_U_JURS CENARIO]], D$5, FALSE)</f>
        <v>#N/A</v>
      </c>
      <c r="E3821" s="22" t="e">
        <f>VLOOKUP($A3821,TAB_CORRECAO_U[[Q_DIAS_U_PARC_TIR]:[V_FUT_U_CORC-02]],E$5, FALSE)</f>
        <v>#N/A</v>
      </c>
      <c r="F3821" s="22" t="e">
        <f>VLOOKUP($A3821,TAB_AMORTIZACAO_U[[Q_DIAS_U_PARC_TIR]:[V_FUT_U_PCPL-02]], F$5, FALSE)</f>
        <v>#N/A</v>
      </c>
      <c r="H3821" s="20">
        <f t="shared" si="302"/>
        <v>0</v>
      </c>
      <c r="I3821" s="21">
        <f t="shared" si="303"/>
        <v>0</v>
      </c>
      <c r="J3821" s="22" t="e">
        <f>VLOOKUP($A3821, TAB_JUROS_C[[DIAS_CORRIDOS]:[V_FUT_UTEIS]], J$5, FALSE)</f>
        <v>#N/A</v>
      </c>
      <c r="K3821" s="22" t="e">
        <f>VLOOKUP($A3821, TAB_CORRECAO_C[[DIAS_CORRIDOS]:[V_FUT_UTEIS]],K$5, FALSE)</f>
        <v>#N/A</v>
      </c>
      <c r="L3821" s="22" t="e">
        <f>VLOOKUP($A3821, TAB_AMORTIZACAO_C[[DIAS_CORRIDOS]:[V_FUT_UTEIS]], L$5, FALSE)</f>
        <v>#N/A</v>
      </c>
    </row>
    <row r="3822" spans="1:12" hidden="1">
      <c r="A3822" s="19">
        <f t="shared" si="304"/>
        <v>3816</v>
      </c>
      <c r="B3822" s="20">
        <f t="shared" si="300"/>
        <v>0</v>
      </c>
      <c r="C3822" s="21">
        <f t="shared" si="301"/>
        <v>0</v>
      </c>
      <c r="D3822" s="22" t="e">
        <f>VLOOKUP($A3822, TAB_JUROS_U[[Q_DIAS_U_PARC_TIR]:[V_FUT_U_JURS CENARIO]], D$5, FALSE)</f>
        <v>#N/A</v>
      </c>
      <c r="E3822" s="22" t="e">
        <f>VLOOKUP($A3822,TAB_CORRECAO_U[[Q_DIAS_U_PARC_TIR]:[V_FUT_U_CORC-02]],E$5, FALSE)</f>
        <v>#N/A</v>
      </c>
      <c r="F3822" s="22" t="e">
        <f>VLOOKUP($A3822,TAB_AMORTIZACAO_U[[Q_DIAS_U_PARC_TIR]:[V_FUT_U_PCPL-02]], F$5, FALSE)</f>
        <v>#N/A</v>
      </c>
      <c r="H3822" s="20">
        <f t="shared" si="302"/>
        <v>141.4562363989867</v>
      </c>
      <c r="I3822" s="21">
        <f t="shared" si="303"/>
        <v>141.4562363989867</v>
      </c>
      <c r="J3822" s="22">
        <f>VLOOKUP($A3822, TAB_JUROS_C[[DIAS_CORRIDOS]:[V_FUT_UTEIS]], J$5, FALSE)</f>
        <v>4.0541854180389212</v>
      </c>
      <c r="K3822" s="22">
        <f>VLOOKUP($A3822, TAB_CORRECAO_C[[DIAS_CORRIDOS]:[V_FUT_UTEIS]],K$5, FALSE)</f>
        <v>25.221762681105357</v>
      </c>
      <c r="L3822" s="22">
        <f>VLOOKUP($A3822, TAB_AMORTIZACAO_C[[DIAS_CORRIDOS]:[V_FUT_UTEIS]], L$5, FALSE)</f>
        <v>112.18028829984243</v>
      </c>
    </row>
    <row r="3823" spans="1:12" hidden="1">
      <c r="A3823" s="19">
        <f t="shared" si="304"/>
        <v>3817</v>
      </c>
      <c r="B3823" s="20">
        <f t="shared" si="300"/>
        <v>0</v>
      </c>
      <c r="C3823" s="21">
        <f t="shared" si="301"/>
        <v>0</v>
      </c>
      <c r="D3823" s="22" t="e">
        <f>VLOOKUP($A3823, TAB_JUROS_U[[Q_DIAS_U_PARC_TIR]:[V_FUT_U_JURS CENARIO]], D$5, FALSE)</f>
        <v>#N/A</v>
      </c>
      <c r="E3823" s="22" t="e">
        <f>VLOOKUP($A3823,TAB_CORRECAO_U[[Q_DIAS_U_PARC_TIR]:[V_FUT_U_CORC-02]],E$5, FALSE)</f>
        <v>#N/A</v>
      </c>
      <c r="F3823" s="22" t="e">
        <f>VLOOKUP($A3823,TAB_AMORTIZACAO_U[[Q_DIAS_U_PARC_TIR]:[V_FUT_U_PCPL-02]], F$5, FALSE)</f>
        <v>#N/A</v>
      </c>
      <c r="H3823" s="20">
        <f t="shared" si="302"/>
        <v>0</v>
      </c>
      <c r="I3823" s="21">
        <f t="shared" si="303"/>
        <v>0</v>
      </c>
      <c r="J3823" s="22" t="e">
        <f>VLOOKUP($A3823, TAB_JUROS_C[[DIAS_CORRIDOS]:[V_FUT_UTEIS]], J$5, FALSE)</f>
        <v>#N/A</v>
      </c>
      <c r="K3823" s="22" t="e">
        <f>VLOOKUP($A3823, TAB_CORRECAO_C[[DIAS_CORRIDOS]:[V_FUT_UTEIS]],K$5, FALSE)</f>
        <v>#N/A</v>
      </c>
      <c r="L3823" s="22" t="e">
        <f>VLOOKUP($A3823, TAB_AMORTIZACAO_C[[DIAS_CORRIDOS]:[V_FUT_UTEIS]], L$5, FALSE)</f>
        <v>#N/A</v>
      </c>
    </row>
    <row r="3824" spans="1:12" hidden="1">
      <c r="A3824" s="19">
        <f t="shared" si="304"/>
        <v>3818</v>
      </c>
      <c r="B3824" s="20">
        <f t="shared" si="300"/>
        <v>0</v>
      </c>
      <c r="C3824" s="21">
        <f t="shared" si="301"/>
        <v>0</v>
      </c>
      <c r="D3824" s="22" t="e">
        <f>VLOOKUP($A3824, TAB_JUROS_U[[Q_DIAS_U_PARC_TIR]:[V_FUT_U_JURS CENARIO]], D$5, FALSE)</f>
        <v>#N/A</v>
      </c>
      <c r="E3824" s="22" t="e">
        <f>VLOOKUP($A3824,TAB_CORRECAO_U[[Q_DIAS_U_PARC_TIR]:[V_FUT_U_CORC-02]],E$5, FALSE)</f>
        <v>#N/A</v>
      </c>
      <c r="F3824" s="22" t="e">
        <f>VLOOKUP($A3824,TAB_AMORTIZACAO_U[[Q_DIAS_U_PARC_TIR]:[V_FUT_U_PCPL-02]], F$5, FALSE)</f>
        <v>#N/A</v>
      </c>
      <c r="H3824" s="20">
        <f t="shared" si="302"/>
        <v>0</v>
      </c>
      <c r="I3824" s="21">
        <f t="shared" si="303"/>
        <v>0</v>
      </c>
      <c r="J3824" s="22" t="e">
        <f>VLOOKUP($A3824, TAB_JUROS_C[[DIAS_CORRIDOS]:[V_FUT_UTEIS]], J$5, FALSE)</f>
        <v>#N/A</v>
      </c>
      <c r="K3824" s="22" t="e">
        <f>VLOOKUP($A3824, TAB_CORRECAO_C[[DIAS_CORRIDOS]:[V_FUT_UTEIS]],K$5, FALSE)</f>
        <v>#N/A</v>
      </c>
      <c r="L3824" s="22" t="e">
        <f>VLOOKUP($A3824, TAB_AMORTIZACAO_C[[DIAS_CORRIDOS]:[V_FUT_UTEIS]], L$5, FALSE)</f>
        <v>#N/A</v>
      </c>
    </row>
    <row r="3825" spans="1:12" hidden="1">
      <c r="A3825" s="19">
        <f t="shared" si="304"/>
        <v>3819</v>
      </c>
      <c r="B3825" s="20">
        <f t="shared" si="300"/>
        <v>0</v>
      </c>
      <c r="C3825" s="21">
        <f t="shared" si="301"/>
        <v>0</v>
      </c>
      <c r="D3825" s="22" t="e">
        <f>VLOOKUP($A3825, TAB_JUROS_U[[Q_DIAS_U_PARC_TIR]:[V_FUT_U_JURS CENARIO]], D$5, FALSE)</f>
        <v>#N/A</v>
      </c>
      <c r="E3825" s="22" t="e">
        <f>VLOOKUP($A3825,TAB_CORRECAO_U[[Q_DIAS_U_PARC_TIR]:[V_FUT_U_CORC-02]],E$5, FALSE)</f>
        <v>#N/A</v>
      </c>
      <c r="F3825" s="22" t="e">
        <f>VLOOKUP($A3825,TAB_AMORTIZACAO_U[[Q_DIAS_U_PARC_TIR]:[V_FUT_U_PCPL-02]], F$5, FALSE)</f>
        <v>#N/A</v>
      </c>
      <c r="H3825" s="20">
        <f t="shared" si="302"/>
        <v>0</v>
      </c>
      <c r="I3825" s="21">
        <f t="shared" si="303"/>
        <v>0</v>
      </c>
      <c r="J3825" s="22" t="e">
        <f>VLOOKUP($A3825, TAB_JUROS_C[[DIAS_CORRIDOS]:[V_FUT_UTEIS]], J$5, FALSE)</f>
        <v>#N/A</v>
      </c>
      <c r="K3825" s="22" t="e">
        <f>VLOOKUP($A3825, TAB_CORRECAO_C[[DIAS_CORRIDOS]:[V_FUT_UTEIS]],K$5, FALSE)</f>
        <v>#N/A</v>
      </c>
      <c r="L3825" s="22" t="e">
        <f>VLOOKUP($A3825, TAB_AMORTIZACAO_C[[DIAS_CORRIDOS]:[V_FUT_UTEIS]], L$5, FALSE)</f>
        <v>#N/A</v>
      </c>
    </row>
    <row r="3826" spans="1:12" hidden="1">
      <c r="A3826" s="19">
        <f t="shared" si="304"/>
        <v>3820</v>
      </c>
      <c r="B3826" s="20">
        <f t="shared" si="300"/>
        <v>0</v>
      </c>
      <c r="C3826" s="21">
        <f t="shared" si="301"/>
        <v>0</v>
      </c>
      <c r="D3826" s="22" t="e">
        <f>VLOOKUP($A3826, TAB_JUROS_U[[Q_DIAS_U_PARC_TIR]:[V_FUT_U_JURS CENARIO]], D$5, FALSE)</f>
        <v>#N/A</v>
      </c>
      <c r="E3826" s="22" t="e">
        <f>VLOOKUP($A3826,TAB_CORRECAO_U[[Q_DIAS_U_PARC_TIR]:[V_FUT_U_CORC-02]],E$5, FALSE)</f>
        <v>#N/A</v>
      </c>
      <c r="F3826" s="22" t="e">
        <f>VLOOKUP($A3826,TAB_AMORTIZACAO_U[[Q_DIAS_U_PARC_TIR]:[V_FUT_U_PCPL-02]], F$5, FALSE)</f>
        <v>#N/A</v>
      </c>
      <c r="H3826" s="20">
        <f t="shared" si="302"/>
        <v>0</v>
      </c>
      <c r="I3826" s="21">
        <f t="shared" si="303"/>
        <v>0</v>
      </c>
      <c r="J3826" s="22" t="e">
        <f>VLOOKUP($A3826, TAB_JUROS_C[[DIAS_CORRIDOS]:[V_FUT_UTEIS]], J$5, FALSE)</f>
        <v>#N/A</v>
      </c>
      <c r="K3826" s="22" t="e">
        <f>VLOOKUP($A3826, TAB_CORRECAO_C[[DIAS_CORRIDOS]:[V_FUT_UTEIS]],K$5, FALSE)</f>
        <v>#N/A</v>
      </c>
      <c r="L3826" s="22" t="e">
        <f>VLOOKUP($A3826, TAB_AMORTIZACAO_C[[DIAS_CORRIDOS]:[V_FUT_UTEIS]], L$5, FALSE)</f>
        <v>#N/A</v>
      </c>
    </row>
    <row r="3827" spans="1:12" hidden="1">
      <c r="A3827" s="19">
        <f t="shared" si="304"/>
        <v>3821</v>
      </c>
      <c r="B3827" s="20">
        <f t="shared" si="300"/>
        <v>0</v>
      </c>
      <c r="C3827" s="21">
        <f t="shared" si="301"/>
        <v>0</v>
      </c>
      <c r="D3827" s="22" t="e">
        <f>VLOOKUP($A3827, TAB_JUROS_U[[Q_DIAS_U_PARC_TIR]:[V_FUT_U_JURS CENARIO]], D$5, FALSE)</f>
        <v>#N/A</v>
      </c>
      <c r="E3827" s="22" t="e">
        <f>VLOOKUP($A3827,TAB_CORRECAO_U[[Q_DIAS_U_PARC_TIR]:[V_FUT_U_CORC-02]],E$5, FALSE)</f>
        <v>#N/A</v>
      </c>
      <c r="F3827" s="22" t="e">
        <f>VLOOKUP($A3827,TAB_AMORTIZACAO_U[[Q_DIAS_U_PARC_TIR]:[V_FUT_U_PCPL-02]], F$5, FALSE)</f>
        <v>#N/A</v>
      </c>
      <c r="H3827" s="20">
        <f t="shared" si="302"/>
        <v>0</v>
      </c>
      <c r="I3827" s="21">
        <f t="shared" si="303"/>
        <v>0</v>
      </c>
      <c r="J3827" s="22" t="e">
        <f>VLOOKUP($A3827, TAB_JUROS_C[[DIAS_CORRIDOS]:[V_FUT_UTEIS]], J$5, FALSE)</f>
        <v>#N/A</v>
      </c>
      <c r="K3827" s="22" t="e">
        <f>VLOOKUP($A3827, TAB_CORRECAO_C[[DIAS_CORRIDOS]:[V_FUT_UTEIS]],K$5, FALSE)</f>
        <v>#N/A</v>
      </c>
      <c r="L3827" s="22" t="e">
        <f>VLOOKUP($A3827, TAB_AMORTIZACAO_C[[DIAS_CORRIDOS]:[V_FUT_UTEIS]], L$5, FALSE)</f>
        <v>#N/A</v>
      </c>
    </row>
    <row r="3828" spans="1:12" hidden="1">
      <c r="A3828" s="19">
        <f t="shared" si="304"/>
        <v>3822</v>
      </c>
      <c r="B3828" s="20">
        <f t="shared" si="300"/>
        <v>0</v>
      </c>
      <c r="C3828" s="21">
        <f t="shared" si="301"/>
        <v>0</v>
      </c>
      <c r="D3828" s="22" t="e">
        <f>VLOOKUP($A3828, TAB_JUROS_U[[Q_DIAS_U_PARC_TIR]:[V_FUT_U_JURS CENARIO]], D$5, FALSE)</f>
        <v>#N/A</v>
      </c>
      <c r="E3828" s="22" t="e">
        <f>VLOOKUP($A3828,TAB_CORRECAO_U[[Q_DIAS_U_PARC_TIR]:[V_FUT_U_CORC-02]],E$5, FALSE)</f>
        <v>#N/A</v>
      </c>
      <c r="F3828" s="22" t="e">
        <f>VLOOKUP($A3828,TAB_AMORTIZACAO_U[[Q_DIAS_U_PARC_TIR]:[V_FUT_U_PCPL-02]], F$5, FALSE)</f>
        <v>#N/A</v>
      </c>
      <c r="H3828" s="20">
        <f t="shared" si="302"/>
        <v>0</v>
      </c>
      <c r="I3828" s="21">
        <f t="shared" si="303"/>
        <v>0</v>
      </c>
      <c r="J3828" s="22" t="e">
        <f>VLOOKUP($A3828, TAB_JUROS_C[[DIAS_CORRIDOS]:[V_FUT_UTEIS]], J$5, FALSE)</f>
        <v>#N/A</v>
      </c>
      <c r="K3828" s="22" t="e">
        <f>VLOOKUP($A3828, TAB_CORRECAO_C[[DIAS_CORRIDOS]:[V_FUT_UTEIS]],K$5, FALSE)</f>
        <v>#N/A</v>
      </c>
      <c r="L3828" s="22" t="e">
        <f>VLOOKUP($A3828, TAB_AMORTIZACAO_C[[DIAS_CORRIDOS]:[V_FUT_UTEIS]], L$5, FALSE)</f>
        <v>#N/A</v>
      </c>
    </row>
    <row r="3829" spans="1:12" hidden="1">
      <c r="A3829" s="19">
        <f t="shared" si="304"/>
        <v>3823</v>
      </c>
      <c r="B3829" s="20">
        <f t="shared" si="300"/>
        <v>0</v>
      </c>
      <c r="C3829" s="21">
        <f t="shared" si="301"/>
        <v>0</v>
      </c>
      <c r="D3829" s="22" t="e">
        <f>VLOOKUP($A3829, TAB_JUROS_U[[Q_DIAS_U_PARC_TIR]:[V_FUT_U_JURS CENARIO]], D$5, FALSE)</f>
        <v>#N/A</v>
      </c>
      <c r="E3829" s="22" t="e">
        <f>VLOOKUP($A3829,TAB_CORRECAO_U[[Q_DIAS_U_PARC_TIR]:[V_FUT_U_CORC-02]],E$5, FALSE)</f>
        <v>#N/A</v>
      </c>
      <c r="F3829" s="22" t="e">
        <f>VLOOKUP($A3829,TAB_AMORTIZACAO_U[[Q_DIAS_U_PARC_TIR]:[V_FUT_U_PCPL-02]], F$5, FALSE)</f>
        <v>#N/A</v>
      </c>
      <c r="H3829" s="20">
        <f t="shared" si="302"/>
        <v>0</v>
      </c>
      <c r="I3829" s="21">
        <f t="shared" si="303"/>
        <v>0</v>
      </c>
      <c r="J3829" s="22" t="e">
        <f>VLOOKUP($A3829, TAB_JUROS_C[[DIAS_CORRIDOS]:[V_FUT_UTEIS]], J$5, FALSE)</f>
        <v>#N/A</v>
      </c>
      <c r="K3829" s="22" t="e">
        <f>VLOOKUP($A3829, TAB_CORRECAO_C[[DIAS_CORRIDOS]:[V_FUT_UTEIS]],K$5, FALSE)</f>
        <v>#N/A</v>
      </c>
      <c r="L3829" s="22" t="e">
        <f>VLOOKUP($A3829, TAB_AMORTIZACAO_C[[DIAS_CORRIDOS]:[V_FUT_UTEIS]], L$5, FALSE)</f>
        <v>#N/A</v>
      </c>
    </row>
    <row r="3830" spans="1:12" hidden="1">
      <c r="A3830" s="19">
        <f t="shared" si="304"/>
        <v>3824</v>
      </c>
      <c r="B3830" s="20">
        <f t="shared" si="300"/>
        <v>0</v>
      </c>
      <c r="C3830" s="21">
        <f t="shared" si="301"/>
        <v>0</v>
      </c>
      <c r="D3830" s="22" t="e">
        <f>VLOOKUP($A3830, TAB_JUROS_U[[Q_DIAS_U_PARC_TIR]:[V_FUT_U_JURS CENARIO]], D$5, FALSE)</f>
        <v>#N/A</v>
      </c>
      <c r="E3830" s="22" t="e">
        <f>VLOOKUP($A3830,TAB_CORRECAO_U[[Q_DIAS_U_PARC_TIR]:[V_FUT_U_CORC-02]],E$5, FALSE)</f>
        <v>#N/A</v>
      </c>
      <c r="F3830" s="22" t="e">
        <f>VLOOKUP($A3830,TAB_AMORTIZACAO_U[[Q_DIAS_U_PARC_TIR]:[V_FUT_U_PCPL-02]], F$5, FALSE)</f>
        <v>#N/A</v>
      </c>
      <c r="H3830" s="20">
        <f t="shared" si="302"/>
        <v>0</v>
      </c>
      <c r="I3830" s="21">
        <f t="shared" si="303"/>
        <v>0</v>
      </c>
      <c r="J3830" s="22" t="e">
        <f>VLOOKUP($A3830, TAB_JUROS_C[[DIAS_CORRIDOS]:[V_FUT_UTEIS]], J$5, FALSE)</f>
        <v>#N/A</v>
      </c>
      <c r="K3830" s="22" t="e">
        <f>VLOOKUP($A3830, TAB_CORRECAO_C[[DIAS_CORRIDOS]:[V_FUT_UTEIS]],K$5, FALSE)</f>
        <v>#N/A</v>
      </c>
      <c r="L3830" s="22" t="e">
        <f>VLOOKUP($A3830, TAB_AMORTIZACAO_C[[DIAS_CORRIDOS]:[V_FUT_UTEIS]], L$5, FALSE)</f>
        <v>#N/A</v>
      </c>
    </row>
    <row r="3831" spans="1:12" hidden="1">
      <c r="A3831" s="19">
        <f t="shared" si="304"/>
        <v>3825</v>
      </c>
      <c r="B3831" s="20">
        <f t="shared" si="300"/>
        <v>0</v>
      </c>
      <c r="C3831" s="21">
        <f t="shared" si="301"/>
        <v>0</v>
      </c>
      <c r="D3831" s="22" t="e">
        <f>VLOOKUP($A3831, TAB_JUROS_U[[Q_DIAS_U_PARC_TIR]:[V_FUT_U_JURS CENARIO]], D$5, FALSE)</f>
        <v>#N/A</v>
      </c>
      <c r="E3831" s="22" t="e">
        <f>VLOOKUP($A3831,TAB_CORRECAO_U[[Q_DIAS_U_PARC_TIR]:[V_FUT_U_CORC-02]],E$5, FALSE)</f>
        <v>#N/A</v>
      </c>
      <c r="F3831" s="22" t="e">
        <f>VLOOKUP($A3831,TAB_AMORTIZACAO_U[[Q_DIAS_U_PARC_TIR]:[V_FUT_U_PCPL-02]], F$5, FALSE)</f>
        <v>#N/A</v>
      </c>
      <c r="H3831" s="20">
        <f t="shared" si="302"/>
        <v>0</v>
      </c>
      <c r="I3831" s="21">
        <f t="shared" si="303"/>
        <v>0</v>
      </c>
      <c r="J3831" s="22" t="e">
        <f>VLOOKUP($A3831, TAB_JUROS_C[[DIAS_CORRIDOS]:[V_FUT_UTEIS]], J$5, FALSE)</f>
        <v>#N/A</v>
      </c>
      <c r="K3831" s="22" t="e">
        <f>VLOOKUP($A3831, TAB_CORRECAO_C[[DIAS_CORRIDOS]:[V_FUT_UTEIS]],K$5, FALSE)</f>
        <v>#N/A</v>
      </c>
      <c r="L3831" s="22" t="e">
        <f>VLOOKUP($A3831, TAB_AMORTIZACAO_C[[DIAS_CORRIDOS]:[V_FUT_UTEIS]], L$5, FALSE)</f>
        <v>#N/A</v>
      </c>
    </row>
    <row r="3832" spans="1:12" hidden="1">
      <c r="A3832" s="19">
        <f t="shared" si="304"/>
        <v>3826</v>
      </c>
      <c r="B3832" s="20">
        <f t="shared" si="300"/>
        <v>0</v>
      </c>
      <c r="C3832" s="21">
        <f t="shared" si="301"/>
        <v>0</v>
      </c>
      <c r="D3832" s="22" t="e">
        <f>VLOOKUP($A3832, TAB_JUROS_U[[Q_DIAS_U_PARC_TIR]:[V_FUT_U_JURS CENARIO]], D$5, FALSE)</f>
        <v>#N/A</v>
      </c>
      <c r="E3832" s="22" t="e">
        <f>VLOOKUP($A3832,TAB_CORRECAO_U[[Q_DIAS_U_PARC_TIR]:[V_FUT_U_CORC-02]],E$5, FALSE)</f>
        <v>#N/A</v>
      </c>
      <c r="F3832" s="22" t="e">
        <f>VLOOKUP($A3832,TAB_AMORTIZACAO_U[[Q_DIAS_U_PARC_TIR]:[V_FUT_U_PCPL-02]], F$5, FALSE)</f>
        <v>#N/A</v>
      </c>
      <c r="H3832" s="20">
        <f t="shared" si="302"/>
        <v>0</v>
      </c>
      <c r="I3832" s="21">
        <f t="shared" si="303"/>
        <v>0</v>
      </c>
      <c r="J3832" s="22" t="e">
        <f>VLOOKUP($A3832, TAB_JUROS_C[[DIAS_CORRIDOS]:[V_FUT_UTEIS]], J$5, FALSE)</f>
        <v>#N/A</v>
      </c>
      <c r="K3832" s="22" t="e">
        <f>VLOOKUP($A3832, TAB_CORRECAO_C[[DIAS_CORRIDOS]:[V_FUT_UTEIS]],K$5, FALSE)</f>
        <v>#N/A</v>
      </c>
      <c r="L3832" s="22" t="e">
        <f>VLOOKUP($A3832, TAB_AMORTIZACAO_C[[DIAS_CORRIDOS]:[V_FUT_UTEIS]], L$5, FALSE)</f>
        <v>#N/A</v>
      </c>
    </row>
    <row r="3833" spans="1:12" hidden="1">
      <c r="A3833" s="19">
        <f t="shared" si="304"/>
        <v>3827</v>
      </c>
      <c r="B3833" s="20">
        <f t="shared" si="300"/>
        <v>0</v>
      </c>
      <c r="C3833" s="21">
        <f t="shared" si="301"/>
        <v>0</v>
      </c>
      <c r="D3833" s="22" t="e">
        <f>VLOOKUP($A3833, TAB_JUROS_U[[Q_DIAS_U_PARC_TIR]:[V_FUT_U_JURS CENARIO]], D$5, FALSE)</f>
        <v>#N/A</v>
      </c>
      <c r="E3833" s="22" t="e">
        <f>VLOOKUP($A3833,TAB_CORRECAO_U[[Q_DIAS_U_PARC_TIR]:[V_FUT_U_CORC-02]],E$5, FALSE)</f>
        <v>#N/A</v>
      </c>
      <c r="F3833" s="22" t="e">
        <f>VLOOKUP($A3833,TAB_AMORTIZACAO_U[[Q_DIAS_U_PARC_TIR]:[V_FUT_U_PCPL-02]], F$5, FALSE)</f>
        <v>#N/A</v>
      </c>
      <c r="H3833" s="20">
        <f t="shared" si="302"/>
        <v>0</v>
      </c>
      <c r="I3833" s="21">
        <f t="shared" si="303"/>
        <v>0</v>
      </c>
      <c r="J3833" s="22" t="e">
        <f>VLOOKUP($A3833, TAB_JUROS_C[[DIAS_CORRIDOS]:[V_FUT_UTEIS]], J$5, FALSE)</f>
        <v>#N/A</v>
      </c>
      <c r="K3833" s="22" t="e">
        <f>VLOOKUP($A3833, TAB_CORRECAO_C[[DIAS_CORRIDOS]:[V_FUT_UTEIS]],K$5, FALSE)</f>
        <v>#N/A</v>
      </c>
      <c r="L3833" s="22" t="e">
        <f>VLOOKUP($A3833, TAB_AMORTIZACAO_C[[DIAS_CORRIDOS]:[V_FUT_UTEIS]], L$5, FALSE)</f>
        <v>#N/A</v>
      </c>
    </row>
    <row r="3834" spans="1:12" hidden="1">
      <c r="A3834" s="19">
        <f t="shared" si="304"/>
        <v>3828</v>
      </c>
      <c r="B3834" s="20">
        <f t="shared" si="300"/>
        <v>0</v>
      </c>
      <c r="C3834" s="21">
        <f t="shared" si="301"/>
        <v>0</v>
      </c>
      <c r="D3834" s="22" t="e">
        <f>VLOOKUP($A3834, TAB_JUROS_U[[Q_DIAS_U_PARC_TIR]:[V_FUT_U_JURS CENARIO]], D$5, FALSE)</f>
        <v>#N/A</v>
      </c>
      <c r="E3834" s="22" t="e">
        <f>VLOOKUP($A3834,TAB_CORRECAO_U[[Q_DIAS_U_PARC_TIR]:[V_FUT_U_CORC-02]],E$5, FALSE)</f>
        <v>#N/A</v>
      </c>
      <c r="F3834" s="22" t="e">
        <f>VLOOKUP($A3834,TAB_AMORTIZACAO_U[[Q_DIAS_U_PARC_TIR]:[V_FUT_U_PCPL-02]], F$5, FALSE)</f>
        <v>#N/A</v>
      </c>
      <c r="H3834" s="20">
        <f t="shared" si="302"/>
        <v>0</v>
      </c>
      <c r="I3834" s="21">
        <f t="shared" si="303"/>
        <v>0</v>
      </c>
      <c r="J3834" s="22" t="e">
        <f>VLOOKUP($A3834, TAB_JUROS_C[[DIAS_CORRIDOS]:[V_FUT_UTEIS]], J$5, FALSE)</f>
        <v>#N/A</v>
      </c>
      <c r="K3834" s="22" t="e">
        <f>VLOOKUP($A3834, TAB_CORRECAO_C[[DIAS_CORRIDOS]:[V_FUT_UTEIS]],K$5, FALSE)</f>
        <v>#N/A</v>
      </c>
      <c r="L3834" s="22" t="e">
        <f>VLOOKUP($A3834, TAB_AMORTIZACAO_C[[DIAS_CORRIDOS]:[V_FUT_UTEIS]], L$5, FALSE)</f>
        <v>#N/A</v>
      </c>
    </row>
    <row r="3835" spans="1:12" hidden="1">
      <c r="A3835" s="19">
        <f t="shared" si="304"/>
        <v>3829</v>
      </c>
      <c r="B3835" s="20">
        <f t="shared" si="300"/>
        <v>0</v>
      </c>
      <c r="C3835" s="21">
        <f t="shared" si="301"/>
        <v>0</v>
      </c>
      <c r="D3835" s="22" t="e">
        <f>VLOOKUP($A3835, TAB_JUROS_U[[Q_DIAS_U_PARC_TIR]:[V_FUT_U_JURS CENARIO]], D$5, FALSE)</f>
        <v>#N/A</v>
      </c>
      <c r="E3835" s="22" t="e">
        <f>VLOOKUP($A3835,TAB_CORRECAO_U[[Q_DIAS_U_PARC_TIR]:[V_FUT_U_CORC-02]],E$5, FALSE)</f>
        <v>#N/A</v>
      </c>
      <c r="F3835" s="22" t="e">
        <f>VLOOKUP($A3835,TAB_AMORTIZACAO_U[[Q_DIAS_U_PARC_TIR]:[V_FUT_U_PCPL-02]], F$5, FALSE)</f>
        <v>#N/A</v>
      </c>
      <c r="H3835" s="20">
        <f t="shared" si="302"/>
        <v>0</v>
      </c>
      <c r="I3835" s="21">
        <f t="shared" si="303"/>
        <v>0</v>
      </c>
      <c r="J3835" s="22" t="e">
        <f>VLOOKUP($A3835, TAB_JUROS_C[[DIAS_CORRIDOS]:[V_FUT_UTEIS]], J$5, FALSE)</f>
        <v>#N/A</v>
      </c>
      <c r="K3835" s="22" t="e">
        <f>VLOOKUP($A3835, TAB_CORRECAO_C[[DIAS_CORRIDOS]:[V_FUT_UTEIS]],K$5, FALSE)</f>
        <v>#N/A</v>
      </c>
      <c r="L3835" s="22" t="e">
        <f>VLOOKUP($A3835, TAB_AMORTIZACAO_C[[DIAS_CORRIDOS]:[V_FUT_UTEIS]], L$5, FALSE)</f>
        <v>#N/A</v>
      </c>
    </row>
    <row r="3836" spans="1:12" hidden="1">
      <c r="A3836" s="19">
        <f t="shared" si="304"/>
        <v>3830</v>
      </c>
      <c r="B3836" s="20">
        <f t="shared" si="300"/>
        <v>0</v>
      </c>
      <c r="C3836" s="21">
        <f t="shared" si="301"/>
        <v>0</v>
      </c>
      <c r="D3836" s="22" t="e">
        <f>VLOOKUP($A3836, TAB_JUROS_U[[Q_DIAS_U_PARC_TIR]:[V_FUT_U_JURS CENARIO]], D$5, FALSE)</f>
        <v>#N/A</v>
      </c>
      <c r="E3836" s="22" t="e">
        <f>VLOOKUP($A3836,TAB_CORRECAO_U[[Q_DIAS_U_PARC_TIR]:[V_FUT_U_CORC-02]],E$5, FALSE)</f>
        <v>#N/A</v>
      </c>
      <c r="F3836" s="22" t="e">
        <f>VLOOKUP($A3836,TAB_AMORTIZACAO_U[[Q_DIAS_U_PARC_TIR]:[V_FUT_U_PCPL-02]], F$5, FALSE)</f>
        <v>#N/A</v>
      </c>
      <c r="H3836" s="20">
        <f t="shared" si="302"/>
        <v>0</v>
      </c>
      <c r="I3836" s="21">
        <f t="shared" si="303"/>
        <v>0</v>
      </c>
      <c r="J3836" s="22" t="e">
        <f>VLOOKUP($A3836, TAB_JUROS_C[[DIAS_CORRIDOS]:[V_FUT_UTEIS]], J$5, FALSE)</f>
        <v>#N/A</v>
      </c>
      <c r="K3836" s="22" t="e">
        <f>VLOOKUP($A3836, TAB_CORRECAO_C[[DIAS_CORRIDOS]:[V_FUT_UTEIS]],K$5, FALSE)</f>
        <v>#N/A</v>
      </c>
      <c r="L3836" s="22" t="e">
        <f>VLOOKUP($A3836, TAB_AMORTIZACAO_C[[DIAS_CORRIDOS]:[V_FUT_UTEIS]], L$5, FALSE)</f>
        <v>#N/A</v>
      </c>
    </row>
    <row r="3837" spans="1:12" hidden="1">
      <c r="A3837" s="19">
        <f t="shared" si="304"/>
        <v>3831</v>
      </c>
      <c r="B3837" s="20">
        <f t="shared" si="300"/>
        <v>0</v>
      </c>
      <c r="C3837" s="21">
        <f t="shared" si="301"/>
        <v>0</v>
      </c>
      <c r="D3837" s="22" t="e">
        <f>VLOOKUP($A3837, TAB_JUROS_U[[Q_DIAS_U_PARC_TIR]:[V_FUT_U_JURS CENARIO]], D$5, FALSE)</f>
        <v>#N/A</v>
      </c>
      <c r="E3837" s="22" t="e">
        <f>VLOOKUP($A3837,TAB_CORRECAO_U[[Q_DIAS_U_PARC_TIR]:[V_FUT_U_CORC-02]],E$5, FALSE)</f>
        <v>#N/A</v>
      </c>
      <c r="F3837" s="22" t="e">
        <f>VLOOKUP($A3837,TAB_AMORTIZACAO_U[[Q_DIAS_U_PARC_TIR]:[V_FUT_U_PCPL-02]], F$5, FALSE)</f>
        <v>#N/A</v>
      </c>
      <c r="H3837" s="20">
        <f t="shared" si="302"/>
        <v>0</v>
      </c>
      <c r="I3837" s="21">
        <f t="shared" si="303"/>
        <v>0</v>
      </c>
      <c r="J3837" s="22" t="e">
        <f>VLOOKUP($A3837, TAB_JUROS_C[[DIAS_CORRIDOS]:[V_FUT_UTEIS]], J$5, FALSE)</f>
        <v>#N/A</v>
      </c>
      <c r="K3837" s="22" t="e">
        <f>VLOOKUP($A3837, TAB_CORRECAO_C[[DIAS_CORRIDOS]:[V_FUT_UTEIS]],K$5, FALSE)</f>
        <v>#N/A</v>
      </c>
      <c r="L3837" s="22" t="e">
        <f>VLOOKUP($A3837, TAB_AMORTIZACAO_C[[DIAS_CORRIDOS]:[V_FUT_UTEIS]], L$5, FALSE)</f>
        <v>#N/A</v>
      </c>
    </row>
    <row r="3838" spans="1:12" hidden="1">
      <c r="A3838" s="19">
        <f t="shared" si="304"/>
        <v>3832</v>
      </c>
      <c r="B3838" s="20">
        <f t="shared" si="300"/>
        <v>0</v>
      </c>
      <c r="C3838" s="21">
        <f t="shared" si="301"/>
        <v>0</v>
      </c>
      <c r="D3838" s="22" t="e">
        <f>VLOOKUP($A3838, TAB_JUROS_U[[Q_DIAS_U_PARC_TIR]:[V_FUT_U_JURS CENARIO]], D$5, FALSE)</f>
        <v>#N/A</v>
      </c>
      <c r="E3838" s="22" t="e">
        <f>VLOOKUP($A3838,TAB_CORRECAO_U[[Q_DIAS_U_PARC_TIR]:[V_FUT_U_CORC-02]],E$5, FALSE)</f>
        <v>#N/A</v>
      </c>
      <c r="F3838" s="22" t="e">
        <f>VLOOKUP($A3838,TAB_AMORTIZACAO_U[[Q_DIAS_U_PARC_TIR]:[V_FUT_U_PCPL-02]], F$5, FALSE)</f>
        <v>#N/A</v>
      </c>
      <c r="H3838" s="20">
        <f t="shared" si="302"/>
        <v>0</v>
      </c>
      <c r="I3838" s="21">
        <f t="shared" si="303"/>
        <v>0</v>
      </c>
      <c r="J3838" s="22" t="e">
        <f>VLOOKUP($A3838, TAB_JUROS_C[[DIAS_CORRIDOS]:[V_FUT_UTEIS]], J$5, FALSE)</f>
        <v>#N/A</v>
      </c>
      <c r="K3838" s="22" t="e">
        <f>VLOOKUP($A3838, TAB_CORRECAO_C[[DIAS_CORRIDOS]:[V_FUT_UTEIS]],K$5, FALSE)</f>
        <v>#N/A</v>
      </c>
      <c r="L3838" s="22" t="e">
        <f>VLOOKUP($A3838, TAB_AMORTIZACAO_C[[DIAS_CORRIDOS]:[V_FUT_UTEIS]], L$5, FALSE)</f>
        <v>#N/A</v>
      </c>
    </row>
    <row r="3839" spans="1:12" hidden="1">
      <c r="A3839" s="19">
        <f t="shared" si="304"/>
        <v>3833</v>
      </c>
      <c r="B3839" s="20">
        <f t="shared" si="300"/>
        <v>0</v>
      </c>
      <c r="C3839" s="21">
        <f t="shared" si="301"/>
        <v>0</v>
      </c>
      <c r="D3839" s="22" t="e">
        <f>VLOOKUP($A3839, TAB_JUROS_U[[Q_DIAS_U_PARC_TIR]:[V_FUT_U_JURS CENARIO]], D$5, FALSE)</f>
        <v>#N/A</v>
      </c>
      <c r="E3839" s="22" t="e">
        <f>VLOOKUP($A3839,TAB_CORRECAO_U[[Q_DIAS_U_PARC_TIR]:[V_FUT_U_CORC-02]],E$5, FALSE)</f>
        <v>#N/A</v>
      </c>
      <c r="F3839" s="22" t="e">
        <f>VLOOKUP($A3839,TAB_AMORTIZACAO_U[[Q_DIAS_U_PARC_TIR]:[V_FUT_U_PCPL-02]], F$5, FALSE)</f>
        <v>#N/A</v>
      </c>
      <c r="H3839" s="20">
        <f t="shared" si="302"/>
        <v>0</v>
      </c>
      <c r="I3839" s="21">
        <f t="shared" si="303"/>
        <v>0</v>
      </c>
      <c r="J3839" s="22" t="e">
        <f>VLOOKUP($A3839, TAB_JUROS_C[[DIAS_CORRIDOS]:[V_FUT_UTEIS]], J$5, FALSE)</f>
        <v>#N/A</v>
      </c>
      <c r="K3839" s="22" t="e">
        <f>VLOOKUP($A3839, TAB_CORRECAO_C[[DIAS_CORRIDOS]:[V_FUT_UTEIS]],K$5, FALSE)</f>
        <v>#N/A</v>
      </c>
      <c r="L3839" s="22" t="e">
        <f>VLOOKUP($A3839, TAB_AMORTIZACAO_C[[DIAS_CORRIDOS]:[V_FUT_UTEIS]], L$5, FALSE)</f>
        <v>#N/A</v>
      </c>
    </row>
    <row r="3840" spans="1:12" hidden="1">
      <c r="A3840" s="19">
        <f t="shared" si="304"/>
        <v>3834</v>
      </c>
      <c r="B3840" s="20">
        <f t="shared" si="300"/>
        <v>0</v>
      </c>
      <c r="C3840" s="21">
        <f t="shared" si="301"/>
        <v>0</v>
      </c>
      <c r="D3840" s="22" t="e">
        <f>VLOOKUP($A3840, TAB_JUROS_U[[Q_DIAS_U_PARC_TIR]:[V_FUT_U_JURS CENARIO]], D$5, FALSE)</f>
        <v>#N/A</v>
      </c>
      <c r="E3840" s="22" t="e">
        <f>VLOOKUP($A3840,TAB_CORRECAO_U[[Q_DIAS_U_PARC_TIR]:[V_FUT_U_CORC-02]],E$5, FALSE)</f>
        <v>#N/A</v>
      </c>
      <c r="F3840" s="22" t="e">
        <f>VLOOKUP($A3840,TAB_AMORTIZACAO_U[[Q_DIAS_U_PARC_TIR]:[V_FUT_U_PCPL-02]], F$5, FALSE)</f>
        <v>#N/A</v>
      </c>
      <c r="H3840" s="20">
        <f t="shared" si="302"/>
        <v>0</v>
      </c>
      <c r="I3840" s="21">
        <f t="shared" si="303"/>
        <v>0</v>
      </c>
      <c r="J3840" s="22" t="e">
        <f>VLOOKUP($A3840, TAB_JUROS_C[[DIAS_CORRIDOS]:[V_FUT_UTEIS]], J$5, FALSE)</f>
        <v>#N/A</v>
      </c>
      <c r="K3840" s="22" t="e">
        <f>VLOOKUP($A3840, TAB_CORRECAO_C[[DIAS_CORRIDOS]:[V_FUT_UTEIS]],K$5, FALSE)</f>
        <v>#N/A</v>
      </c>
      <c r="L3840" s="22" t="e">
        <f>VLOOKUP($A3840, TAB_AMORTIZACAO_C[[DIAS_CORRIDOS]:[V_FUT_UTEIS]], L$5, FALSE)</f>
        <v>#N/A</v>
      </c>
    </row>
    <row r="3841" spans="1:12" hidden="1">
      <c r="A3841" s="19">
        <f t="shared" si="304"/>
        <v>3835</v>
      </c>
      <c r="B3841" s="20">
        <f t="shared" si="300"/>
        <v>0</v>
      </c>
      <c r="C3841" s="21">
        <f t="shared" si="301"/>
        <v>0</v>
      </c>
      <c r="D3841" s="22" t="e">
        <f>VLOOKUP($A3841, TAB_JUROS_U[[Q_DIAS_U_PARC_TIR]:[V_FUT_U_JURS CENARIO]], D$5, FALSE)</f>
        <v>#N/A</v>
      </c>
      <c r="E3841" s="22" t="e">
        <f>VLOOKUP($A3841,TAB_CORRECAO_U[[Q_DIAS_U_PARC_TIR]:[V_FUT_U_CORC-02]],E$5, FALSE)</f>
        <v>#N/A</v>
      </c>
      <c r="F3841" s="22" t="e">
        <f>VLOOKUP($A3841,TAB_AMORTIZACAO_U[[Q_DIAS_U_PARC_TIR]:[V_FUT_U_PCPL-02]], F$5, FALSE)</f>
        <v>#N/A</v>
      </c>
      <c r="H3841" s="20">
        <f t="shared" si="302"/>
        <v>0</v>
      </c>
      <c r="I3841" s="21">
        <f t="shared" si="303"/>
        <v>0</v>
      </c>
      <c r="J3841" s="22" t="e">
        <f>VLOOKUP($A3841, TAB_JUROS_C[[DIAS_CORRIDOS]:[V_FUT_UTEIS]], J$5, FALSE)</f>
        <v>#N/A</v>
      </c>
      <c r="K3841" s="22" t="e">
        <f>VLOOKUP($A3841, TAB_CORRECAO_C[[DIAS_CORRIDOS]:[V_FUT_UTEIS]],K$5, FALSE)</f>
        <v>#N/A</v>
      </c>
      <c r="L3841" s="22" t="e">
        <f>VLOOKUP($A3841, TAB_AMORTIZACAO_C[[DIAS_CORRIDOS]:[V_FUT_UTEIS]], L$5, FALSE)</f>
        <v>#N/A</v>
      </c>
    </row>
    <row r="3842" spans="1:12" hidden="1">
      <c r="A3842" s="19">
        <f t="shared" si="304"/>
        <v>3836</v>
      </c>
      <c r="B3842" s="20">
        <f t="shared" si="300"/>
        <v>0</v>
      </c>
      <c r="C3842" s="21">
        <f t="shared" si="301"/>
        <v>0</v>
      </c>
      <c r="D3842" s="22" t="e">
        <f>VLOOKUP($A3842, TAB_JUROS_U[[Q_DIAS_U_PARC_TIR]:[V_FUT_U_JURS CENARIO]], D$5, FALSE)</f>
        <v>#N/A</v>
      </c>
      <c r="E3842" s="22" t="e">
        <f>VLOOKUP($A3842,TAB_CORRECAO_U[[Q_DIAS_U_PARC_TIR]:[V_FUT_U_CORC-02]],E$5, FALSE)</f>
        <v>#N/A</v>
      </c>
      <c r="F3842" s="22" t="e">
        <f>VLOOKUP($A3842,TAB_AMORTIZACAO_U[[Q_DIAS_U_PARC_TIR]:[V_FUT_U_PCPL-02]], F$5, FALSE)</f>
        <v>#N/A</v>
      </c>
      <c r="H3842" s="20">
        <f t="shared" si="302"/>
        <v>0</v>
      </c>
      <c r="I3842" s="21">
        <f t="shared" si="303"/>
        <v>0</v>
      </c>
      <c r="J3842" s="22" t="e">
        <f>VLOOKUP($A3842, TAB_JUROS_C[[DIAS_CORRIDOS]:[V_FUT_UTEIS]], J$5, FALSE)</f>
        <v>#N/A</v>
      </c>
      <c r="K3842" s="22" t="e">
        <f>VLOOKUP($A3842, TAB_CORRECAO_C[[DIAS_CORRIDOS]:[V_FUT_UTEIS]],K$5, FALSE)</f>
        <v>#N/A</v>
      </c>
      <c r="L3842" s="22" t="e">
        <f>VLOOKUP($A3842, TAB_AMORTIZACAO_C[[DIAS_CORRIDOS]:[V_FUT_UTEIS]], L$5, FALSE)</f>
        <v>#N/A</v>
      </c>
    </row>
    <row r="3843" spans="1:12" hidden="1">
      <c r="A3843" s="19">
        <f t="shared" si="304"/>
        <v>3837</v>
      </c>
      <c r="B3843" s="20">
        <f t="shared" si="300"/>
        <v>0</v>
      </c>
      <c r="C3843" s="21">
        <f t="shared" si="301"/>
        <v>0</v>
      </c>
      <c r="D3843" s="22" t="e">
        <f>VLOOKUP($A3843, TAB_JUROS_U[[Q_DIAS_U_PARC_TIR]:[V_FUT_U_JURS CENARIO]], D$5, FALSE)</f>
        <v>#N/A</v>
      </c>
      <c r="E3843" s="22" t="e">
        <f>VLOOKUP($A3843,TAB_CORRECAO_U[[Q_DIAS_U_PARC_TIR]:[V_FUT_U_CORC-02]],E$5, FALSE)</f>
        <v>#N/A</v>
      </c>
      <c r="F3843" s="22" t="e">
        <f>VLOOKUP($A3843,TAB_AMORTIZACAO_U[[Q_DIAS_U_PARC_TIR]:[V_FUT_U_PCPL-02]], F$5, FALSE)</f>
        <v>#N/A</v>
      </c>
      <c r="H3843" s="20">
        <f t="shared" si="302"/>
        <v>0</v>
      </c>
      <c r="I3843" s="21">
        <f t="shared" si="303"/>
        <v>0</v>
      </c>
      <c r="J3843" s="22" t="e">
        <f>VLOOKUP($A3843, TAB_JUROS_C[[DIAS_CORRIDOS]:[V_FUT_UTEIS]], J$5, FALSE)</f>
        <v>#N/A</v>
      </c>
      <c r="K3843" s="22" t="e">
        <f>VLOOKUP($A3843, TAB_CORRECAO_C[[DIAS_CORRIDOS]:[V_FUT_UTEIS]],K$5, FALSE)</f>
        <v>#N/A</v>
      </c>
      <c r="L3843" s="22" t="e">
        <f>VLOOKUP($A3843, TAB_AMORTIZACAO_C[[DIAS_CORRIDOS]:[V_FUT_UTEIS]], L$5, FALSE)</f>
        <v>#N/A</v>
      </c>
    </row>
    <row r="3844" spans="1:12" hidden="1">
      <c r="A3844" s="19">
        <f t="shared" si="304"/>
        <v>3838</v>
      </c>
      <c r="B3844" s="20">
        <f t="shared" si="300"/>
        <v>0</v>
      </c>
      <c r="C3844" s="21">
        <f t="shared" si="301"/>
        <v>0</v>
      </c>
      <c r="D3844" s="22" t="e">
        <f>VLOOKUP($A3844, TAB_JUROS_U[[Q_DIAS_U_PARC_TIR]:[V_FUT_U_JURS CENARIO]], D$5, FALSE)</f>
        <v>#N/A</v>
      </c>
      <c r="E3844" s="22" t="e">
        <f>VLOOKUP($A3844,TAB_CORRECAO_U[[Q_DIAS_U_PARC_TIR]:[V_FUT_U_CORC-02]],E$5, FALSE)</f>
        <v>#N/A</v>
      </c>
      <c r="F3844" s="22" t="e">
        <f>VLOOKUP($A3844,TAB_AMORTIZACAO_U[[Q_DIAS_U_PARC_TIR]:[V_FUT_U_PCPL-02]], F$5, FALSE)</f>
        <v>#N/A</v>
      </c>
      <c r="H3844" s="20">
        <f t="shared" si="302"/>
        <v>0</v>
      </c>
      <c r="I3844" s="21">
        <f t="shared" si="303"/>
        <v>0</v>
      </c>
      <c r="J3844" s="22" t="e">
        <f>VLOOKUP($A3844, TAB_JUROS_C[[DIAS_CORRIDOS]:[V_FUT_UTEIS]], J$5, FALSE)</f>
        <v>#N/A</v>
      </c>
      <c r="K3844" s="22" t="e">
        <f>VLOOKUP($A3844, TAB_CORRECAO_C[[DIAS_CORRIDOS]:[V_FUT_UTEIS]],K$5, FALSE)</f>
        <v>#N/A</v>
      </c>
      <c r="L3844" s="22" t="e">
        <f>VLOOKUP($A3844, TAB_AMORTIZACAO_C[[DIAS_CORRIDOS]:[V_FUT_UTEIS]], L$5, FALSE)</f>
        <v>#N/A</v>
      </c>
    </row>
    <row r="3845" spans="1:12" hidden="1">
      <c r="A3845" s="19">
        <f t="shared" si="304"/>
        <v>3839</v>
      </c>
      <c r="B3845" s="20">
        <f t="shared" si="300"/>
        <v>0</v>
      </c>
      <c r="C3845" s="21">
        <f t="shared" si="301"/>
        <v>0</v>
      </c>
      <c r="D3845" s="22" t="e">
        <f>VLOOKUP($A3845, TAB_JUROS_U[[Q_DIAS_U_PARC_TIR]:[V_FUT_U_JURS CENARIO]], D$5, FALSE)</f>
        <v>#N/A</v>
      </c>
      <c r="E3845" s="22" t="e">
        <f>VLOOKUP($A3845,TAB_CORRECAO_U[[Q_DIAS_U_PARC_TIR]:[V_FUT_U_CORC-02]],E$5, FALSE)</f>
        <v>#N/A</v>
      </c>
      <c r="F3845" s="22" t="e">
        <f>VLOOKUP($A3845,TAB_AMORTIZACAO_U[[Q_DIAS_U_PARC_TIR]:[V_FUT_U_PCPL-02]], F$5, FALSE)</f>
        <v>#N/A</v>
      </c>
      <c r="H3845" s="20">
        <f t="shared" si="302"/>
        <v>0</v>
      </c>
      <c r="I3845" s="21">
        <f t="shared" si="303"/>
        <v>0</v>
      </c>
      <c r="J3845" s="22" t="e">
        <f>VLOOKUP($A3845, TAB_JUROS_C[[DIAS_CORRIDOS]:[V_FUT_UTEIS]], J$5, FALSE)</f>
        <v>#N/A</v>
      </c>
      <c r="K3845" s="22" t="e">
        <f>VLOOKUP($A3845, TAB_CORRECAO_C[[DIAS_CORRIDOS]:[V_FUT_UTEIS]],K$5, FALSE)</f>
        <v>#N/A</v>
      </c>
      <c r="L3845" s="22" t="e">
        <f>VLOOKUP($A3845, TAB_AMORTIZACAO_C[[DIAS_CORRIDOS]:[V_FUT_UTEIS]], L$5, FALSE)</f>
        <v>#N/A</v>
      </c>
    </row>
    <row r="3846" spans="1:12" hidden="1">
      <c r="A3846" s="19">
        <f t="shared" si="304"/>
        <v>3840</v>
      </c>
      <c r="B3846" s="20">
        <f t="shared" si="300"/>
        <v>0</v>
      </c>
      <c r="C3846" s="21">
        <f t="shared" si="301"/>
        <v>0</v>
      </c>
      <c r="D3846" s="22" t="e">
        <f>VLOOKUP($A3846, TAB_JUROS_U[[Q_DIAS_U_PARC_TIR]:[V_FUT_U_JURS CENARIO]], D$5, FALSE)</f>
        <v>#N/A</v>
      </c>
      <c r="E3846" s="22" t="e">
        <f>VLOOKUP($A3846,TAB_CORRECAO_U[[Q_DIAS_U_PARC_TIR]:[V_FUT_U_CORC-02]],E$5, FALSE)</f>
        <v>#N/A</v>
      </c>
      <c r="F3846" s="22" t="e">
        <f>VLOOKUP($A3846,TAB_AMORTIZACAO_U[[Q_DIAS_U_PARC_TIR]:[V_FUT_U_PCPL-02]], F$5, FALSE)</f>
        <v>#N/A</v>
      </c>
      <c r="H3846" s="20">
        <f t="shared" si="302"/>
        <v>0</v>
      </c>
      <c r="I3846" s="21">
        <f t="shared" si="303"/>
        <v>0</v>
      </c>
      <c r="J3846" s="22" t="e">
        <f>VLOOKUP($A3846, TAB_JUROS_C[[DIAS_CORRIDOS]:[V_FUT_UTEIS]], J$5, FALSE)</f>
        <v>#N/A</v>
      </c>
      <c r="K3846" s="22" t="e">
        <f>VLOOKUP($A3846, TAB_CORRECAO_C[[DIAS_CORRIDOS]:[V_FUT_UTEIS]],K$5, FALSE)</f>
        <v>#N/A</v>
      </c>
      <c r="L3846" s="22" t="e">
        <f>VLOOKUP($A3846, TAB_AMORTIZACAO_C[[DIAS_CORRIDOS]:[V_FUT_UTEIS]], L$5, FALSE)</f>
        <v>#N/A</v>
      </c>
    </row>
    <row r="3847" spans="1:12" hidden="1">
      <c r="A3847" s="19">
        <f t="shared" si="304"/>
        <v>3841</v>
      </c>
      <c r="B3847" s="20">
        <f t="shared" si="300"/>
        <v>0</v>
      </c>
      <c r="C3847" s="21">
        <f t="shared" si="301"/>
        <v>0</v>
      </c>
      <c r="D3847" s="22" t="e">
        <f>VLOOKUP($A3847, TAB_JUROS_U[[Q_DIAS_U_PARC_TIR]:[V_FUT_U_JURS CENARIO]], D$5, FALSE)</f>
        <v>#N/A</v>
      </c>
      <c r="E3847" s="22" t="e">
        <f>VLOOKUP($A3847,TAB_CORRECAO_U[[Q_DIAS_U_PARC_TIR]:[V_FUT_U_CORC-02]],E$5, FALSE)</f>
        <v>#N/A</v>
      </c>
      <c r="F3847" s="22" t="e">
        <f>VLOOKUP($A3847,TAB_AMORTIZACAO_U[[Q_DIAS_U_PARC_TIR]:[V_FUT_U_PCPL-02]], F$5, FALSE)</f>
        <v>#N/A</v>
      </c>
      <c r="H3847" s="20">
        <f t="shared" si="302"/>
        <v>0</v>
      </c>
      <c r="I3847" s="21">
        <f t="shared" si="303"/>
        <v>0</v>
      </c>
      <c r="J3847" s="22" t="e">
        <f>VLOOKUP($A3847, TAB_JUROS_C[[DIAS_CORRIDOS]:[V_FUT_UTEIS]], J$5, FALSE)</f>
        <v>#N/A</v>
      </c>
      <c r="K3847" s="22" t="e">
        <f>VLOOKUP($A3847, TAB_CORRECAO_C[[DIAS_CORRIDOS]:[V_FUT_UTEIS]],K$5, FALSE)</f>
        <v>#N/A</v>
      </c>
      <c r="L3847" s="22" t="e">
        <f>VLOOKUP($A3847, TAB_AMORTIZACAO_C[[DIAS_CORRIDOS]:[V_FUT_UTEIS]], L$5, FALSE)</f>
        <v>#N/A</v>
      </c>
    </row>
    <row r="3848" spans="1:12" hidden="1">
      <c r="A3848" s="19">
        <f t="shared" si="304"/>
        <v>3842</v>
      </c>
      <c r="B3848" s="20">
        <f t="shared" si="300"/>
        <v>0</v>
      </c>
      <c r="C3848" s="21">
        <f t="shared" si="301"/>
        <v>0</v>
      </c>
      <c r="D3848" s="22" t="e">
        <f>VLOOKUP($A3848, TAB_JUROS_U[[Q_DIAS_U_PARC_TIR]:[V_FUT_U_JURS CENARIO]], D$5, FALSE)</f>
        <v>#N/A</v>
      </c>
      <c r="E3848" s="22" t="e">
        <f>VLOOKUP($A3848,TAB_CORRECAO_U[[Q_DIAS_U_PARC_TIR]:[V_FUT_U_CORC-02]],E$5, FALSE)</f>
        <v>#N/A</v>
      </c>
      <c r="F3848" s="22" t="e">
        <f>VLOOKUP($A3848,TAB_AMORTIZACAO_U[[Q_DIAS_U_PARC_TIR]:[V_FUT_U_PCPL-02]], F$5, FALSE)</f>
        <v>#N/A</v>
      </c>
      <c r="H3848" s="20">
        <f t="shared" si="302"/>
        <v>0</v>
      </c>
      <c r="I3848" s="21">
        <f t="shared" si="303"/>
        <v>0</v>
      </c>
      <c r="J3848" s="22" t="e">
        <f>VLOOKUP($A3848, TAB_JUROS_C[[DIAS_CORRIDOS]:[V_FUT_UTEIS]], J$5, FALSE)</f>
        <v>#N/A</v>
      </c>
      <c r="K3848" s="22" t="e">
        <f>VLOOKUP($A3848, TAB_CORRECAO_C[[DIAS_CORRIDOS]:[V_FUT_UTEIS]],K$5, FALSE)</f>
        <v>#N/A</v>
      </c>
      <c r="L3848" s="22" t="e">
        <f>VLOOKUP($A3848, TAB_AMORTIZACAO_C[[DIAS_CORRIDOS]:[V_FUT_UTEIS]], L$5, FALSE)</f>
        <v>#N/A</v>
      </c>
    </row>
    <row r="3849" spans="1:12" hidden="1">
      <c r="A3849" s="19">
        <f t="shared" si="304"/>
        <v>3843</v>
      </c>
      <c r="B3849" s="20">
        <f t="shared" ref="B3849:B3912" si="305">IF(ISERROR(C3849), 0, C3849)</f>
        <v>0</v>
      </c>
      <c r="C3849" s="21">
        <f t="shared" ref="C3849:C3912" si="306">SUMIF(D3849:F3849, "&gt;0", D3849:F3849)</f>
        <v>0</v>
      </c>
      <c r="D3849" s="22" t="e">
        <f>VLOOKUP($A3849, TAB_JUROS_U[[Q_DIAS_U_PARC_TIR]:[V_FUT_U_JURS CENARIO]], D$5, FALSE)</f>
        <v>#N/A</v>
      </c>
      <c r="E3849" s="22" t="e">
        <f>VLOOKUP($A3849,TAB_CORRECAO_U[[Q_DIAS_U_PARC_TIR]:[V_FUT_U_CORC-02]],E$5, FALSE)</f>
        <v>#N/A</v>
      </c>
      <c r="F3849" s="22" t="e">
        <f>VLOOKUP($A3849,TAB_AMORTIZACAO_U[[Q_DIAS_U_PARC_TIR]:[V_FUT_U_PCPL-02]], F$5, FALSE)</f>
        <v>#N/A</v>
      </c>
      <c r="H3849" s="20">
        <f t="shared" ref="H3849:H3912" si="307">IF(ISERROR(I3849), 0, I3849)</f>
        <v>0</v>
      </c>
      <c r="I3849" s="21">
        <f t="shared" ref="I3849:I3912" si="308">SUMIF(J3849:L3849, "&gt;0", J3849:L3849)</f>
        <v>0</v>
      </c>
      <c r="J3849" s="22" t="e">
        <f>VLOOKUP($A3849, TAB_JUROS_C[[DIAS_CORRIDOS]:[V_FUT_UTEIS]], J$5, FALSE)</f>
        <v>#N/A</v>
      </c>
      <c r="K3849" s="22" t="e">
        <f>VLOOKUP($A3849, TAB_CORRECAO_C[[DIAS_CORRIDOS]:[V_FUT_UTEIS]],K$5, FALSE)</f>
        <v>#N/A</v>
      </c>
      <c r="L3849" s="22" t="e">
        <f>VLOOKUP($A3849, TAB_AMORTIZACAO_C[[DIAS_CORRIDOS]:[V_FUT_UTEIS]], L$5, FALSE)</f>
        <v>#N/A</v>
      </c>
    </row>
    <row r="3850" spans="1:12" hidden="1">
      <c r="A3850" s="19">
        <f t="shared" ref="A3850:A3913" si="309">A3849+1</f>
        <v>3844</v>
      </c>
      <c r="B3850" s="20">
        <f t="shared" si="305"/>
        <v>0</v>
      </c>
      <c r="C3850" s="21">
        <f t="shared" si="306"/>
        <v>0</v>
      </c>
      <c r="D3850" s="22" t="e">
        <f>VLOOKUP($A3850, TAB_JUROS_U[[Q_DIAS_U_PARC_TIR]:[V_FUT_U_JURS CENARIO]], D$5, FALSE)</f>
        <v>#N/A</v>
      </c>
      <c r="E3850" s="22" t="e">
        <f>VLOOKUP($A3850,TAB_CORRECAO_U[[Q_DIAS_U_PARC_TIR]:[V_FUT_U_CORC-02]],E$5, FALSE)</f>
        <v>#N/A</v>
      </c>
      <c r="F3850" s="22" t="e">
        <f>VLOOKUP($A3850,TAB_AMORTIZACAO_U[[Q_DIAS_U_PARC_TIR]:[V_FUT_U_PCPL-02]], F$5, FALSE)</f>
        <v>#N/A</v>
      </c>
      <c r="H3850" s="20">
        <f t="shared" si="307"/>
        <v>0</v>
      </c>
      <c r="I3850" s="21">
        <f t="shared" si="308"/>
        <v>0</v>
      </c>
      <c r="J3850" s="22" t="e">
        <f>VLOOKUP($A3850, TAB_JUROS_C[[DIAS_CORRIDOS]:[V_FUT_UTEIS]], J$5, FALSE)</f>
        <v>#N/A</v>
      </c>
      <c r="K3850" s="22" t="e">
        <f>VLOOKUP($A3850, TAB_CORRECAO_C[[DIAS_CORRIDOS]:[V_FUT_UTEIS]],K$5, FALSE)</f>
        <v>#N/A</v>
      </c>
      <c r="L3850" s="22" t="e">
        <f>VLOOKUP($A3850, TAB_AMORTIZACAO_C[[DIAS_CORRIDOS]:[V_FUT_UTEIS]], L$5, FALSE)</f>
        <v>#N/A</v>
      </c>
    </row>
    <row r="3851" spans="1:12" hidden="1">
      <c r="A3851" s="19">
        <f t="shared" si="309"/>
        <v>3845</v>
      </c>
      <c r="B3851" s="20">
        <f t="shared" si="305"/>
        <v>0</v>
      </c>
      <c r="C3851" s="21">
        <f t="shared" si="306"/>
        <v>0</v>
      </c>
      <c r="D3851" s="22" t="e">
        <f>VLOOKUP($A3851, TAB_JUROS_U[[Q_DIAS_U_PARC_TIR]:[V_FUT_U_JURS CENARIO]], D$5, FALSE)</f>
        <v>#N/A</v>
      </c>
      <c r="E3851" s="22" t="e">
        <f>VLOOKUP($A3851,TAB_CORRECAO_U[[Q_DIAS_U_PARC_TIR]:[V_FUT_U_CORC-02]],E$5, FALSE)</f>
        <v>#N/A</v>
      </c>
      <c r="F3851" s="22" t="e">
        <f>VLOOKUP($A3851,TAB_AMORTIZACAO_U[[Q_DIAS_U_PARC_TIR]:[V_FUT_U_PCPL-02]], F$5, FALSE)</f>
        <v>#N/A</v>
      </c>
      <c r="H3851" s="20">
        <f t="shared" si="307"/>
        <v>138.10144198149439</v>
      </c>
      <c r="I3851" s="21">
        <f t="shared" si="308"/>
        <v>138.10144198149439</v>
      </c>
      <c r="J3851" s="22">
        <f>VLOOKUP($A3851, TAB_JUROS_C[[DIAS_CORRIDOS]:[V_FUT_UTEIS]], J$5, FALSE)</f>
        <v>3.9748727567126187</v>
      </c>
      <c r="K3851" s="22">
        <f>VLOOKUP($A3851, TAB_CORRECAO_C[[DIAS_CORRIDOS]:[V_FUT_UTEIS]],K$5, FALSE)</f>
        <v>24.719544881217129</v>
      </c>
      <c r="L3851" s="22">
        <f>VLOOKUP($A3851, TAB_AMORTIZACAO_C[[DIAS_CORRIDOS]:[V_FUT_UTEIS]], L$5, FALSE)</f>
        <v>109.40702434356464</v>
      </c>
    </row>
    <row r="3852" spans="1:12" hidden="1">
      <c r="A3852" s="19">
        <f t="shared" si="309"/>
        <v>3846</v>
      </c>
      <c r="B3852" s="20">
        <f t="shared" si="305"/>
        <v>0</v>
      </c>
      <c r="C3852" s="21">
        <f t="shared" si="306"/>
        <v>0</v>
      </c>
      <c r="D3852" s="22" t="e">
        <f>VLOOKUP($A3852, TAB_JUROS_U[[Q_DIAS_U_PARC_TIR]:[V_FUT_U_JURS CENARIO]], D$5, FALSE)</f>
        <v>#N/A</v>
      </c>
      <c r="E3852" s="22" t="e">
        <f>VLOOKUP($A3852,TAB_CORRECAO_U[[Q_DIAS_U_PARC_TIR]:[V_FUT_U_CORC-02]],E$5, FALSE)</f>
        <v>#N/A</v>
      </c>
      <c r="F3852" s="22" t="e">
        <f>VLOOKUP($A3852,TAB_AMORTIZACAO_U[[Q_DIAS_U_PARC_TIR]:[V_FUT_U_PCPL-02]], F$5, FALSE)</f>
        <v>#N/A</v>
      </c>
      <c r="H3852" s="20">
        <f t="shared" si="307"/>
        <v>0</v>
      </c>
      <c r="I3852" s="21">
        <f t="shared" si="308"/>
        <v>0</v>
      </c>
      <c r="J3852" s="22" t="e">
        <f>VLOOKUP($A3852, TAB_JUROS_C[[DIAS_CORRIDOS]:[V_FUT_UTEIS]], J$5, FALSE)</f>
        <v>#N/A</v>
      </c>
      <c r="K3852" s="22" t="e">
        <f>VLOOKUP($A3852, TAB_CORRECAO_C[[DIAS_CORRIDOS]:[V_FUT_UTEIS]],K$5, FALSE)</f>
        <v>#N/A</v>
      </c>
      <c r="L3852" s="22" t="e">
        <f>VLOOKUP($A3852, TAB_AMORTIZACAO_C[[DIAS_CORRIDOS]:[V_FUT_UTEIS]], L$5, FALSE)</f>
        <v>#N/A</v>
      </c>
    </row>
    <row r="3853" spans="1:12" hidden="1">
      <c r="A3853" s="19">
        <f t="shared" si="309"/>
        <v>3847</v>
      </c>
      <c r="B3853" s="20">
        <f t="shared" si="305"/>
        <v>0</v>
      </c>
      <c r="C3853" s="21">
        <f t="shared" si="306"/>
        <v>0</v>
      </c>
      <c r="D3853" s="22" t="e">
        <f>VLOOKUP($A3853, TAB_JUROS_U[[Q_DIAS_U_PARC_TIR]:[V_FUT_U_JURS CENARIO]], D$5, FALSE)</f>
        <v>#N/A</v>
      </c>
      <c r="E3853" s="22" t="e">
        <f>VLOOKUP($A3853,TAB_CORRECAO_U[[Q_DIAS_U_PARC_TIR]:[V_FUT_U_CORC-02]],E$5, FALSE)</f>
        <v>#N/A</v>
      </c>
      <c r="F3853" s="22" t="e">
        <f>VLOOKUP($A3853,TAB_AMORTIZACAO_U[[Q_DIAS_U_PARC_TIR]:[V_FUT_U_PCPL-02]], F$5, FALSE)</f>
        <v>#N/A</v>
      </c>
      <c r="H3853" s="20">
        <f t="shared" si="307"/>
        <v>0</v>
      </c>
      <c r="I3853" s="21">
        <f t="shared" si="308"/>
        <v>0</v>
      </c>
      <c r="J3853" s="22" t="e">
        <f>VLOOKUP($A3853, TAB_JUROS_C[[DIAS_CORRIDOS]:[V_FUT_UTEIS]], J$5, FALSE)</f>
        <v>#N/A</v>
      </c>
      <c r="K3853" s="22" t="e">
        <f>VLOOKUP($A3853, TAB_CORRECAO_C[[DIAS_CORRIDOS]:[V_FUT_UTEIS]],K$5, FALSE)</f>
        <v>#N/A</v>
      </c>
      <c r="L3853" s="22" t="e">
        <f>VLOOKUP($A3853, TAB_AMORTIZACAO_C[[DIAS_CORRIDOS]:[V_FUT_UTEIS]], L$5, FALSE)</f>
        <v>#N/A</v>
      </c>
    </row>
    <row r="3854" spans="1:12" hidden="1">
      <c r="A3854" s="19">
        <f t="shared" si="309"/>
        <v>3848</v>
      </c>
      <c r="B3854" s="20">
        <f t="shared" si="305"/>
        <v>0</v>
      </c>
      <c r="C3854" s="21">
        <f t="shared" si="306"/>
        <v>0</v>
      </c>
      <c r="D3854" s="22" t="e">
        <f>VLOOKUP($A3854, TAB_JUROS_U[[Q_DIAS_U_PARC_TIR]:[V_FUT_U_JURS CENARIO]], D$5, FALSE)</f>
        <v>#N/A</v>
      </c>
      <c r="E3854" s="22" t="e">
        <f>VLOOKUP($A3854,TAB_CORRECAO_U[[Q_DIAS_U_PARC_TIR]:[V_FUT_U_CORC-02]],E$5, FALSE)</f>
        <v>#N/A</v>
      </c>
      <c r="F3854" s="22" t="e">
        <f>VLOOKUP($A3854,TAB_AMORTIZACAO_U[[Q_DIAS_U_PARC_TIR]:[V_FUT_U_PCPL-02]], F$5, FALSE)</f>
        <v>#N/A</v>
      </c>
      <c r="H3854" s="20">
        <f t="shared" si="307"/>
        <v>0</v>
      </c>
      <c r="I3854" s="21">
        <f t="shared" si="308"/>
        <v>0</v>
      </c>
      <c r="J3854" s="22" t="e">
        <f>VLOOKUP($A3854, TAB_JUROS_C[[DIAS_CORRIDOS]:[V_FUT_UTEIS]], J$5, FALSE)</f>
        <v>#N/A</v>
      </c>
      <c r="K3854" s="22" t="e">
        <f>VLOOKUP($A3854, TAB_CORRECAO_C[[DIAS_CORRIDOS]:[V_FUT_UTEIS]],K$5, FALSE)</f>
        <v>#N/A</v>
      </c>
      <c r="L3854" s="22" t="e">
        <f>VLOOKUP($A3854, TAB_AMORTIZACAO_C[[DIAS_CORRIDOS]:[V_FUT_UTEIS]], L$5, FALSE)</f>
        <v>#N/A</v>
      </c>
    </row>
    <row r="3855" spans="1:12" hidden="1">
      <c r="A3855" s="19">
        <f t="shared" si="309"/>
        <v>3849</v>
      </c>
      <c r="B3855" s="20">
        <f t="shared" si="305"/>
        <v>0</v>
      </c>
      <c r="C3855" s="21">
        <f t="shared" si="306"/>
        <v>0</v>
      </c>
      <c r="D3855" s="22" t="e">
        <f>VLOOKUP($A3855, TAB_JUROS_U[[Q_DIAS_U_PARC_TIR]:[V_FUT_U_JURS CENARIO]], D$5, FALSE)</f>
        <v>#N/A</v>
      </c>
      <c r="E3855" s="22" t="e">
        <f>VLOOKUP($A3855,TAB_CORRECAO_U[[Q_DIAS_U_PARC_TIR]:[V_FUT_U_CORC-02]],E$5, FALSE)</f>
        <v>#N/A</v>
      </c>
      <c r="F3855" s="22" t="e">
        <f>VLOOKUP($A3855,TAB_AMORTIZACAO_U[[Q_DIAS_U_PARC_TIR]:[V_FUT_U_PCPL-02]], F$5, FALSE)</f>
        <v>#N/A</v>
      </c>
      <c r="H3855" s="20">
        <f t="shared" si="307"/>
        <v>0</v>
      </c>
      <c r="I3855" s="21">
        <f t="shared" si="308"/>
        <v>0</v>
      </c>
      <c r="J3855" s="22" t="e">
        <f>VLOOKUP($A3855, TAB_JUROS_C[[DIAS_CORRIDOS]:[V_FUT_UTEIS]], J$5, FALSE)</f>
        <v>#N/A</v>
      </c>
      <c r="K3855" s="22" t="e">
        <f>VLOOKUP($A3855, TAB_CORRECAO_C[[DIAS_CORRIDOS]:[V_FUT_UTEIS]],K$5, FALSE)</f>
        <v>#N/A</v>
      </c>
      <c r="L3855" s="22" t="e">
        <f>VLOOKUP($A3855, TAB_AMORTIZACAO_C[[DIAS_CORRIDOS]:[V_FUT_UTEIS]], L$5, FALSE)</f>
        <v>#N/A</v>
      </c>
    </row>
    <row r="3856" spans="1:12" hidden="1">
      <c r="A3856" s="19">
        <f t="shared" si="309"/>
        <v>3850</v>
      </c>
      <c r="B3856" s="20">
        <f t="shared" si="305"/>
        <v>0</v>
      </c>
      <c r="C3856" s="21">
        <f t="shared" si="306"/>
        <v>0</v>
      </c>
      <c r="D3856" s="22" t="e">
        <f>VLOOKUP($A3856, TAB_JUROS_U[[Q_DIAS_U_PARC_TIR]:[V_FUT_U_JURS CENARIO]], D$5, FALSE)</f>
        <v>#N/A</v>
      </c>
      <c r="E3856" s="22" t="e">
        <f>VLOOKUP($A3856,TAB_CORRECAO_U[[Q_DIAS_U_PARC_TIR]:[V_FUT_U_CORC-02]],E$5, FALSE)</f>
        <v>#N/A</v>
      </c>
      <c r="F3856" s="22" t="e">
        <f>VLOOKUP($A3856,TAB_AMORTIZACAO_U[[Q_DIAS_U_PARC_TIR]:[V_FUT_U_PCPL-02]], F$5, FALSE)</f>
        <v>#N/A</v>
      </c>
      <c r="H3856" s="20">
        <f t="shared" si="307"/>
        <v>0</v>
      </c>
      <c r="I3856" s="21">
        <f t="shared" si="308"/>
        <v>0</v>
      </c>
      <c r="J3856" s="22" t="e">
        <f>VLOOKUP($A3856, TAB_JUROS_C[[DIAS_CORRIDOS]:[V_FUT_UTEIS]], J$5, FALSE)</f>
        <v>#N/A</v>
      </c>
      <c r="K3856" s="22" t="e">
        <f>VLOOKUP($A3856, TAB_CORRECAO_C[[DIAS_CORRIDOS]:[V_FUT_UTEIS]],K$5, FALSE)</f>
        <v>#N/A</v>
      </c>
      <c r="L3856" s="22" t="e">
        <f>VLOOKUP($A3856, TAB_AMORTIZACAO_C[[DIAS_CORRIDOS]:[V_FUT_UTEIS]], L$5, FALSE)</f>
        <v>#N/A</v>
      </c>
    </row>
    <row r="3857" spans="1:12" hidden="1">
      <c r="A3857" s="19">
        <f t="shared" si="309"/>
        <v>3851</v>
      </c>
      <c r="B3857" s="20">
        <f t="shared" si="305"/>
        <v>0</v>
      </c>
      <c r="C3857" s="21">
        <f t="shared" si="306"/>
        <v>0</v>
      </c>
      <c r="D3857" s="22" t="e">
        <f>VLOOKUP($A3857, TAB_JUROS_U[[Q_DIAS_U_PARC_TIR]:[V_FUT_U_JURS CENARIO]], D$5, FALSE)</f>
        <v>#N/A</v>
      </c>
      <c r="E3857" s="22" t="e">
        <f>VLOOKUP($A3857,TAB_CORRECAO_U[[Q_DIAS_U_PARC_TIR]:[V_FUT_U_CORC-02]],E$5, FALSE)</f>
        <v>#N/A</v>
      </c>
      <c r="F3857" s="22" t="e">
        <f>VLOOKUP($A3857,TAB_AMORTIZACAO_U[[Q_DIAS_U_PARC_TIR]:[V_FUT_U_PCPL-02]], F$5, FALSE)</f>
        <v>#N/A</v>
      </c>
      <c r="H3857" s="20">
        <f t="shared" si="307"/>
        <v>0</v>
      </c>
      <c r="I3857" s="21">
        <f t="shared" si="308"/>
        <v>0</v>
      </c>
      <c r="J3857" s="22" t="e">
        <f>VLOOKUP($A3857, TAB_JUROS_C[[DIAS_CORRIDOS]:[V_FUT_UTEIS]], J$5, FALSE)</f>
        <v>#N/A</v>
      </c>
      <c r="K3857" s="22" t="e">
        <f>VLOOKUP($A3857, TAB_CORRECAO_C[[DIAS_CORRIDOS]:[V_FUT_UTEIS]],K$5, FALSE)</f>
        <v>#N/A</v>
      </c>
      <c r="L3857" s="22" t="e">
        <f>VLOOKUP($A3857, TAB_AMORTIZACAO_C[[DIAS_CORRIDOS]:[V_FUT_UTEIS]], L$5, FALSE)</f>
        <v>#N/A</v>
      </c>
    </row>
    <row r="3858" spans="1:12" hidden="1">
      <c r="A3858" s="19">
        <f t="shared" si="309"/>
        <v>3852</v>
      </c>
      <c r="B3858" s="20">
        <f t="shared" si="305"/>
        <v>0</v>
      </c>
      <c r="C3858" s="21">
        <f t="shared" si="306"/>
        <v>0</v>
      </c>
      <c r="D3858" s="22" t="e">
        <f>VLOOKUP($A3858, TAB_JUROS_U[[Q_DIAS_U_PARC_TIR]:[V_FUT_U_JURS CENARIO]], D$5, FALSE)</f>
        <v>#N/A</v>
      </c>
      <c r="E3858" s="22" t="e">
        <f>VLOOKUP($A3858,TAB_CORRECAO_U[[Q_DIAS_U_PARC_TIR]:[V_FUT_U_CORC-02]],E$5, FALSE)</f>
        <v>#N/A</v>
      </c>
      <c r="F3858" s="22" t="e">
        <f>VLOOKUP($A3858,TAB_AMORTIZACAO_U[[Q_DIAS_U_PARC_TIR]:[V_FUT_U_PCPL-02]], F$5, FALSE)</f>
        <v>#N/A</v>
      </c>
      <c r="H3858" s="20">
        <f t="shared" si="307"/>
        <v>0</v>
      </c>
      <c r="I3858" s="21">
        <f t="shared" si="308"/>
        <v>0</v>
      </c>
      <c r="J3858" s="22" t="e">
        <f>VLOOKUP($A3858, TAB_JUROS_C[[DIAS_CORRIDOS]:[V_FUT_UTEIS]], J$5, FALSE)</f>
        <v>#N/A</v>
      </c>
      <c r="K3858" s="22" t="e">
        <f>VLOOKUP($A3858, TAB_CORRECAO_C[[DIAS_CORRIDOS]:[V_FUT_UTEIS]],K$5, FALSE)</f>
        <v>#N/A</v>
      </c>
      <c r="L3858" s="22" t="e">
        <f>VLOOKUP($A3858, TAB_AMORTIZACAO_C[[DIAS_CORRIDOS]:[V_FUT_UTEIS]], L$5, FALSE)</f>
        <v>#N/A</v>
      </c>
    </row>
    <row r="3859" spans="1:12" hidden="1">
      <c r="A3859" s="19">
        <f t="shared" si="309"/>
        <v>3853</v>
      </c>
      <c r="B3859" s="20">
        <f t="shared" si="305"/>
        <v>0</v>
      </c>
      <c r="C3859" s="21">
        <f t="shared" si="306"/>
        <v>0</v>
      </c>
      <c r="D3859" s="22" t="e">
        <f>VLOOKUP($A3859, TAB_JUROS_U[[Q_DIAS_U_PARC_TIR]:[V_FUT_U_JURS CENARIO]], D$5, FALSE)</f>
        <v>#N/A</v>
      </c>
      <c r="E3859" s="22" t="e">
        <f>VLOOKUP($A3859,TAB_CORRECAO_U[[Q_DIAS_U_PARC_TIR]:[V_FUT_U_CORC-02]],E$5, FALSE)</f>
        <v>#N/A</v>
      </c>
      <c r="F3859" s="22" t="e">
        <f>VLOOKUP($A3859,TAB_AMORTIZACAO_U[[Q_DIAS_U_PARC_TIR]:[V_FUT_U_PCPL-02]], F$5, FALSE)</f>
        <v>#N/A</v>
      </c>
      <c r="H3859" s="20">
        <f t="shared" si="307"/>
        <v>0</v>
      </c>
      <c r="I3859" s="21">
        <f t="shared" si="308"/>
        <v>0</v>
      </c>
      <c r="J3859" s="22" t="e">
        <f>VLOOKUP($A3859, TAB_JUROS_C[[DIAS_CORRIDOS]:[V_FUT_UTEIS]], J$5, FALSE)</f>
        <v>#N/A</v>
      </c>
      <c r="K3859" s="22" t="e">
        <f>VLOOKUP($A3859, TAB_CORRECAO_C[[DIAS_CORRIDOS]:[V_FUT_UTEIS]],K$5, FALSE)</f>
        <v>#N/A</v>
      </c>
      <c r="L3859" s="22" t="e">
        <f>VLOOKUP($A3859, TAB_AMORTIZACAO_C[[DIAS_CORRIDOS]:[V_FUT_UTEIS]], L$5, FALSE)</f>
        <v>#N/A</v>
      </c>
    </row>
    <row r="3860" spans="1:12" hidden="1">
      <c r="A3860" s="19">
        <f t="shared" si="309"/>
        <v>3854</v>
      </c>
      <c r="B3860" s="20">
        <f t="shared" si="305"/>
        <v>0</v>
      </c>
      <c r="C3860" s="21">
        <f t="shared" si="306"/>
        <v>0</v>
      </c>
      <c r="D3860" s="22" t="e">
        <f>VLOOKUP($A3860, TAB_JUROS_U[[Q_DIAS_U_PARC_TIR]:[V_FUT_U_JURS CENARIO]], D$5, FALSE)</f>
        <v>#N/A</v>
      </c>
      <c r="E3860" s="22" t="e">
        <f>VLOOKUP($A3860,TAB_CORRECAO_U[[Q_DIAS_U_PARC_TIR]:[V_FUT_U_CORC-02]],E$5, FALSE)</f>
        <v>#N/A</v>
      </c>
      <c r="F3860" s="22" t="e">
        <f>VLOOKUP($A3860,TAB_AMORTIZACAO_U[[Q_DIAS_U_PARC_TIR]:[V_FUT_U_PCPL-02]], F$5, FALSE)</f>
        <v>#N/A</v>
      </c>
      <c r="H3860" s="20">
        <f t="shared" si="307"/>
        <v>0</v>
      </c>
      <c r="I3860" s="21">
        <f t="shared" si="308"/>
        <v>0</v>
      </c>
      <c r="J3860" s="22" t="e">
        <f>VLOOKUP($A3860, TAB_JUROS_C[[DIAS_CORRIDOS]:[V_FUT_UTEIS]], J$5, FALSE)</f>
        <v>#N/A</v>
      </c>
      <c r="K3860" s="22" t="e">
        <f>VLOOKUP($A3860, TAB_CORRECAO_C[[DIAS_CORRIDOS]:[V_FUT_UTEIS]],K$5, FALSE)</f>
        <v>#N/A</v>
      </c>
      <c r="L3860" s="22" t="e">
        <f>VLOOKUP($A3860, TAB_AMORTIZACAO_C[[DIAS_CORRIDOS]:[V_FUT_UTEIS]], L$5, FALSE)</f>
        <v>#N/A</v>
      </c>
    </row>
    <row r="3861" spans="1:12" hidden="1">
      <c r="A3861" s="19">
        <f t="shared" si="309"/>
        <v>3855</v>
      </c>
      <c r="B3861" s="20">
        <f t="shared" si="305"/>
        <v>0</v>
      </c>
      <c r="C3861" s="21">
        <f t="shared" si="306"/>
        <v>0</v>
      </c>
      <c r="D3861" s="22" t="e">
        <f>VLOOKUP($A3861, TAB_JUROS_U[[Q_DIAS_U_PARC_TIR]:[V_FUT_U_JURS CENARIO]], D$5, FALSE)</f>
        <v>#N/A</v>
      </c>
      <c r="E3861" s="22" t="e">
        <f>VLOOKUP($A3861,TAB_CORRECAO_U[[Q_DIAS_U_PARC_TIR]:[V_FUT_U_CORC-02]],E$5, FALSE)</f>
        <v>#N/A</v>
      </c>
      <c r="F3861" s="22" t="e">
        <f>VLOOKUP($A3861,TAB_AMORTIZACAO_U[[Q_DIAS_U_PARC_TIR]:[V_FUT_U_PCPL-02]], F$5, FALSE)</f>
        <v>#N/A</v>
      </c>
      <c r="H3861" s="20">
        <f t="shared" si="307"/>
        <v>0</v>
      </c>
      <c r="I3861" s="21">
        <f t="shared" si="308"/>
        <v>0</v>
      </c>
      <c r="J3861" s="22" t="e">
        <f>VLOOKUP($A3861, TAB_JUROS_C[[DIAS_CORRIDOS]:[V_FUT_UTEIS]], J$5, FALSE)</f>
        <v>#N/A</v>
      </c>
      <c r="K3861" s="22" t="e">
        <f>VLOOKUP($A3861, TAB_CORRECAO_C[[DIAS_CORRIDOS]:[V_FUT_UTEIS]],K$5, FALSE)</f>
        <v>#N/A</v>
      </c>
      <c r="L3861" s="22" t="e">
        <f>VLOOKUP($A3861, TAB_AMORTIZACAO_C[[DIAS_CORRIDOS]:[V_FUT_UTEIS]], L$5, FALSE)</f>
        <v>#N/A</v>
      </c>
    </row>
    <row r="3862" spans="1:12" hidden="1">
      <c r="A3862" s="19">
        <f t="shared" si="309"/>
        <v>3856</v>
      </c>
      <c r="B3862" s="20">
        <f t="shared" si="305"/>
        <v>0</v>
      </c>
      <c r="C3862" s="21">
        <f t="shared" si="306"/>
        <v>0</v>
      </c>
      <c r="D3862" s="22" t="e">
        <f>VLOOKUP($A3862, TAB_JUROS_U[[Q_DIAS_U_PARC_TIR]:[V_FUT_U_JURS CENARIO]], D$5, FALSE)</f>
        <v>#N/A</v>
      </c>
      <c r="E3862" s="22" t="e">
        <f>VLOOKUP($A3862,TAB_CORRECAO_U[[Q_DIAS_U_PARC_TIR]:[V_FUT_U_CORC-02]],E$5, FALSE)</f>
        <v>#N/A</v>
      </c>
      <c r="F3862" s="22" t="e">
        <f>VLOOKUP($A3862,TAB_AMORTIZACAO_U[[Q_DIAS_U_PARC_TIR]:[V_FUT_U_PCPL-02]], F$5, FALSE)</f>
        <v>#N/A</v>
      </c>
      <c r="H3862" s="20">
        <f t="shared" si="307"/>
        <v>0</v>
      </c>
      <c r="I3862" s="21">
        <f t="shared" si="308"/>
        <v>0</v>
      </c>
      <c r="J3862" s="22" t="e">
        <f>VLOOKUP($A3862, TAB_JUROS_C[[DIAS_CORRIDOS]:[V_FUT_UTEIS]], J$5, FALSE)</f>
        <v>#N/A</v>
      </c>
      <c r="K3862" s="22" t="e">
        <f>VLOOKUP($A3862, TAB_CORRECAO_C[[DIAS_CORRIDOS]:[V_FUT_UTEIS]],K$5, FALSE)</f>
        <v>#N/A</v>
      </c>
      <c r="L3862" s="22" t="e">
        <f>VLOOKUP($A3862, TAB_AMORTIZACAO_C[[DIAS_CORRIDOS]:[V_FUT_UTEIS]], L$5, FALSE)</f>
        <v>#N/A</v>
      </c>
    </row>
    <row r="3863" spans="1:12" hidden="1">
      <c r="A3863" s="19">
        <f t="shared" si="309"/>
        <v>3857</v>
      </c>
      <c r="B3863" s="20">
        <f t="shared" si="305"/>
        <v>0</v>
      </c>
      <c r="C3863" s="21">
        <f t="shared" si="306"/>
        <v>0</v>
      </c>
      <c r="D3863" s="22" t="e">
        <f>VLOOKUP($A3863, TAB_JUROS_U[[Q_DIAS_U_PARC_TIR]:[V_FUT_U_JURS CENARIO]], D$5, FALSE)</f>
        <v>#N/A</v>
      </c>
      <c r="E3863" s="22" t="e">
        <f>VLOOKUP($A3863,TAB_CORRECAO_U[[Q_DIAS_U_PARC_TIR]:[V_FUT_U_CORC-02]],E$5, FALSE)</f>
        <v>#N/A</v>
      </c>
      <c r="F3863" s="22" t="e">
        <f>VLOOKUP($A3863,TAB_AMORTIZACAO_U[[Q_DIAS_U_PARC_TIR]:[V_FUT_U_PCPL-02]], F$5, FALSE)</f>
        <v>#N/A</v>
      </c>
      <c r="H3863" s="20">
        <f t="shared" si="307"/>
        <v>0</v>
      </c>
      <c r="I3863" s="21">
        <f t="shared" si="308"/>
        <v>0</v>
      </c>
      <c r="J3863" s="22" t="e">
        <f>VLOOKUP($A3863, TAB_JUROS_C[[DIAS_CORRIDOS]:[V_FUT_UTEIS]], J$5, FALSE)</f>
        <v>#N/A</v>
      </c>
      <c r="K3863" s="22" t="e">
        <f>VLOOKUP($A3863, TAB_CORRECAO_C[[DIAS_CORRIDOS]:[V_FUT_UTEIS]],K$5, FALSE)</f>
        <v>#N/A</v>
      </c>
      <c r="L3863" s="22" t="e">
        <f>VLOOKUP($A3863, TAB_AMORTIZACAO_C[[DIAS_CORRIDOS]:[V_FUT_UTEIS]], L$5, FALSE)</f>
        <v>#N/A</v>
      </c>
    </row>
    <row r="3864" spans="1:12" hidden="1">
      <c r="A3864" s="19">
        <f t="shared" si="309"/>
        <v>3858</v>
      </c>
      <c r="B3864" s="20">
        <f t="shared" si="305"/>
        <v>0</v>
      </c>
      <c r="C3864" s="21">
        <f t="shared" si="306"/>
        <v>0</v>
      </c>
      <c r="D3864" s="22" t="e">
        <f>VLOOKUP($A3864, TAB_JUROS_U[[Q_DIAS_U_PARC_TIR]:[V_FUT_U_JURS CENARIO]], D$5, FALSE)</f>
        <v>#N/A</v>
      </c>
      <c r="E3864" s="22" t="e">
        <f>VLOOKUP($A3864,TAB_CORRECAO_U[[Q_DIAS_U_PARC_TIR]:[V_FUT_U_CORC-02]],E$5, FALSE)</f>
        <v>#N/A</v>
      </c>
      <c r="F3864" s="22" t="e">
        <f>VLOOKUP($A3864,TAB_AMORTIZACAO_U[[Q_DIAS_U_PARC_TIR]:[V_FUT_U_PCPL-02]], F$5, FALSE)</f>
        <v>#N/A</v>
      </c>
      <c r="H3864" s="20">
        <f t="shared" si="307"/>
        <v>0</v>
      </c>
      <c r="I3864" s="21">
        <f t="shared" si="308"/>
        <v>0</v>
      </c>
      <c r="J3864" s="22" t="e">
        <f>VLOOKUP($A3864, TAB_JUROS_C[[DIAS_CORRIDOS]:[V_FUT_UTEIS]], J$5, FALSE)</f>
        <v>#N/A</v>
      </c>
      <c r="K3864" s="22" t="e">
        <f>VLOOKUP($A3864, TAB_CORRECAO_C[[DIAS_CORRIDOS]:[V_FUT_UTEIS]],K$5, FALSE)</f>
        <v>#N/A</v>
      </c>
      <c r="L3864" s="22" t="e">
        <f>VLOOKUP($A3864, TAB_AMORTIZACAO_C[[DIAS_CORRIDOS]:[V_FUT_UTEIS]], L$5, FALSE)</f>
        <v>#N/A</v>
      </c>
    </row>
    <row r="3865" spans="1:12" hidden="1">
      <c r="A3865" s="19">
        <f t="shared" si="309"/>
        <v>3859</v>
      </c>
      <c r="B3865" s="20">
        <f t="shared" si="305"/>
        <v>0</v>
      </c>
      <c r="C3865" s="21">
        <f t="shared" si="306"/>
        <v>0</v>
      </c>
      <c r="D3865" s="22" t="e">
        <f>VLOOKUP($A3865, TAB_JUROS_U[[Q_DIAS_U_PARC_TIR]:[V_FUT_U_JURS CENARIO]], D$5, FALSE)</f>
        <v>#N/A</v>
      </c>
      <c r="E3865" s="22" t="e">
        <f>VLOOKUP($A3865,TAB_CORRECAO_U[[Q_DIAS_U_PARC_TIR]:[V_FUT_U_CORC-02]],E$5, FALSE)</f>
        <v>#N/A</v>
      </c>
      <c r="F3865" s="22" t="e">
        <f>VLOOKUP($A3865,TAB_AMORTIZACAO_U[[Q_DIAS_U_PARC_TIR]:[V_FUT_U_PCPL-02]], F$5, FALSE)</f>
        <v>#N/A</v>
      </c>
      <c r="H3865" s="20">
        <f t="shared" si="307"/>
        <v>0</v>
      </c>
      <c r="I3865" s="21">
        <f t="shared" si="308"/>
        <v>0</v>
      </c>
      <c r="J3865" s="22" t="e">
        <f>VLOOKUP($A3865, TAB_JUROS_C[[DIAS_CORRIDOS]:[V_FUT_UTEIS]], J$5, FALSE)</f>
        <v>#N/A</v>
      </c>
      <c r="K3865" s="22" t="e">
        <f>VLOOKUP($A3865, TAB_CORRECAO_C[[DIAS_CORRIDOS]:[V_FUT_UTEIS]],K$5, FALSE)</f>
        <v>#N/A</v>
      </c>
      <c r="L3865" s="22" t="e">
        <f>VLOOKUP($A3865, TAB_AMORTIZACAO_C[[DIAS_CORRIDOS]:[V_FUT_UTEIS]], L$5, FALSE)</f>
        <v>#N/A</v>
      </c>
    </row>
    <row r="3866" spans="1:12" hidden="1">
      <c r="A3866" s="19">
        <f t="shared" si="309"/>
        <v>3860</v>
      </c>
      <c r="B3866" s="20">
        <f t="shared" si="305"/>
        <v>0</v>
      </c>
      <c r="C3866" s="21">
        <f t="shared" si="306"/>
        <v>0</v>
      </c>
      <c r="D3866" s="22" t="e">
        <f>VLOOKUP($A3866, TAB_JUROS_U[[Q_DIAS_U_PARC_TIR]:[V_FUT_U_JURS CENARIO]], D$5, FALSE)</f>
        <v>#N/A</v>
      </c>
      <c r="E3866" s="22" t="e">
        <f>VLOOKUP($A3866,TAB_CORRECAO_U[[Q_DIAS_U_PARC_TIR]:[V_FUT_U_CORC-02]],E$5, FALSE)</f>
        <v>#N/A</v>
      </c>
      <c r="F3866" s="22" t="e">
        <f>VLOOKUP($A3866,TAB_AMORTIZACAO_U[[Q_DIAS_U_PARC_TIR]:[V_FUT_U_PCPL-02]], F$5, FALSE)</f>
        <v>#N/A</v>
      </c>
      <c r="H3866" s="20">
        <f t="shared" si="307"/>
        <v>0</v>
      </c>
      <c r="I3866" s="21">
        <f t="shared" si="308"/>
        <v>0</v>
      </c>
      <c r="J3866" s="22" t="e">
        <f>VLOOKUP($A3866, TAB_JUROS_C[[DIAS_CORRIDOS]:[V_FUT_UTEIS]], J$5, FALSE)</f>
        <v>#N/A</v>
      </c>
      <c r="K3866" s="22" t="e">
        <f>VLOOKUP($A3866, TAB_CORRECAO_C[[DIAS_CORRIDOS]:[V_FUT_UTEIS]],K$5, FALSE)</f>
        <v>#N/A</v>
      </c>
      <c r="L3866" s="22" t="e">
        <f>VLOOKUP($A3866, TAB_AMORTIZACAO_C[[DIAS_CORRIDOS]:[V_FUT_UTEIS]], L$5, FALSE)</f>
        <v>#N/A</v>
      </c>
    </row>
    <row r="3867" spans="1:12" hidden="1">
      <c r="A3867" s="19">
        <f t="shared" si="309"/>
        <v>3861</v>
      </c>
      <c r="B3867" s="20">
        <f t="shared" si="305"/>
        <v>0</v>
      </c>
      <c r="C3867" s="21">
        <f t="shared" si="306"/>
        <v>0</v>
      </c>
      <c r="D3867" s="22" t="e">
        <f>VLOOKUP($A3867, TAB_JUROS_U[[Q_DIAS_U_PARC_TIR]:[V_FUT_U_JURS CENARIO]], D$5, FALSE)</f>
        <v>#N/A</v>
      </c>
      <c r="E3867" s="22" t="e">
        <f>VLOOKUP($A3867,TAB_CORRECAO_U[[Q_DIAS_U_PARC_TIR]:[V_FUT_U_CORC-02]],E$5, FALSE)</f>
        <v>#N/A</v>
      </c>
      <c r="F3867" s="22" t="e">
        <f>VLOOKUP($A3867,TAB_AMORTIZACAO_U[[Q_DIAS_U_PARC_TIR]:[V_FUT_U_PCPL-02]], F$5, FALSE)</f>
        <v>#N/A</v>
      </c>
      <c r="H3867" s="20">
        <f t="shared" si="307"/>
        <v>0</v>
      </c>
      <c r="I3867" s="21">
        <f t="shared" si="308"/>
        <v>0</v>
      </c>
      <c r="J3867" s="22" t="e">
        <f>VLOOKUP($A3867, TAB_JUROS_C[[DIAS_CORRIDOS]:[V_FUT_UTEIS]], J$5, FALSE)</f>
        <v>#N/A</v>
      </c>
      <c r="K3867" s="22" t="e">
        <f>VLOOKUP($A3867, TAB_CORRECAO_C[[DIAS_CORRIDOS]:[V_FUT_UTEIS]],K$5, FALSE)</f>
        <v>#N/A</v>
      </c>
      <c r="L3867" s="22" t="e">
        <f>VLOOKUP($A3867, TAB_AMORTIZACAO_C[[DIAS_CORRIDOS]:[V_FUT_UTEIS]], L$5, FALSE)</f>
        <v>#N/A</v>
      </c>
    </row>
    <row r="3868" spans="1:12" hidden="1">
      <c r="A3868" s="19">
        <f t="shared" si="309"/>
        <v>3862</v>
      </c>
      <c r="B3868" s="20">
        <f t="shared" si="305"/>
        <v>0</v>
      </c>
      <c r="C3868" s="21">
        <f t="shared" si="306"/>
        <v>0</v>
      </c>
      <c r="D3868" s="22" t="e">
        <f>VLOOKUP($A3868, TAB_JUROS_U[[Q_DIAS_U_PARC_TIR]:[V_FUT_U_JURS CENARIO]], D$5, FALSE)</f>
        <v>#N/A</v>
      </c>
      <c r="E3868" s="22" t="e">
        <f>VLOOKUP($A3868,TAB_CORRECAO_U[[Q_DIAS_U_PARC_TIR]:[V_FUT_U_CORC-02]],E$5, FALSE)</f>
        <v>#N/A</v>
      </c>
      <c r="F3868" s="22" t="e">
        <f>VLOOKUP($A3868,TAB_AMORTIZACAO_U[[Q_DIAS_U_PARC_TIR]:[V_FUT_U_PCPL-02]], F$5, FALSE)</f>
        <v>#N/A</v>
      </c>
      <c r="H3868" s="20">
        <f t="shared" si="307"/>
        <v>0</v>
      </c>
      <c r="I3868" s="21">
        <f t="shared" si="308"/>
        <v>0</v>
      </c>
      <c r="J3868" s="22" t="e">
        <f>VLOOKUP($A3868, TAB_JUROS_C[[DIAS_CORRIDOS]:[V_FUT_UTEIS]], J$5, FALSE)</f>
        <v>#N/A</v>
      </c>
      <c r="K3868" s="22" t="e">
        <f>VLOOKUP($A3868, TAB_CORRECAO_C[[DIAS_CORRIDOS]:[V_FUT_UTEIS]],K$5, FALSE)</f>
        <v>#N/A</v>
      </c>
      <c r="L3868" s="22" t="e">
        <f>VLOOKUP($A3868, TAB_AMORTIZACAO_C[[DIAS_CORRIDOS]:[V_FUT_UTEIS]], L$5, FALSE)</f>
        <v>#N/A</v>
      </c>
    </row>
    <row r="3869" spans="1:12" hidden="1">
      <c r="A3869" s="19">
        <f t="shared" si="309"/>
        <v>3863</v>
      </c>
      <c r="B3869" s="20">
        <f t="shared" si="305"/>
        <v>0</v>
      </c>
      <c r="C3869" s="21">
        <f t="shared" si="306"/>
        <v>0</v>
      </c>
      <c r="D3869" s="22" t="e">
        <f>VLOOKUP($A3869, TAB_JUROS_U[[Q_DIAS_U_PARC_TIR]:[V_FUT_U_JURS CENARIO]], D$5, FALSE)</f>
        <v>#N/A</v>
      </c>
      <c r="E3869" s="22" t="e">
        <f>VLOOKUP($A3869,TAB_CORRECAO_U[[Q_DIAS_U_PARC_TIR]:[V_FUT_U_CORC-02]],E$5, FALSE)</f>
        <v>#N/A</v>
      </c>
      <c r="F3869" s="22" t="e">
        <f>VLOOKUP($A3869,TAB_AMORTIZACAO_U[[Q_DIAS_U_PARC_TIR]:[V_FUT_U_PCPL-02]], F$5, FALSE)</f>
        <v>#N/A</v>
      </c>
      <c r="H3869" s="20">
        <f t="shared" si="307"/>
        <v>0</v>
      </c>
      <c r="I3869" s="21">
        <f t="shared" si="308"/>
        <v>0</v>
      </c>
      <c r="J3869" s="22" t="e">
        <f>VLOOKUP($A3869, TAB_JUROS_C[[DIAS_CORRIDOS]:[V_FUT_UTEIS]], J$5, FALSE)</f>
        <v>#N/A</v>
      </c>
      <c r="K3869" s="22" t="e">
        <f>VLOOKUP($A3869, TAB_CORRECAO_C[[DIAS_CORRIDOS]:[V_FUT_UTEIS]],K$5, FALSE)</f>
        <v>#N/A</v>
      </c>
      <c r="L3869" s="22" t="e">
        <f>VLOOKUP($A3869, TAB_AMORTIZACAO_C[[DIAS_CORRIDOS]:[V_FUT_UTEIS]], L$5, FALSE)</f>
        <v>#N/A</v>
      </c>
    </row>
    <row r="3870" spans="1:12" hidden="1">
      <c r="A3870" s="19">
        <f t="shared" si="309"/>
        <v>3864</v>
      </c>
      <c r="B3870" s="20">
        <f t="shared" si="305"/>
        <v>0</v>
      </c>
      <c r="C3870" s="21">
        <f t="shared" si="306"/>
        <v>0</v>
      </c>
      <c r="D3870" s="22" t="e">
        <f>VLOOKUP($A3870, TAB_JUROS_U[[Q_DIAS_U_PARC_TIR]:[V_FUT_U_JURS CENARIO]], D$5, FALSE)</f>
        <v>#N/A</v>
      </c>
      <c r="E3870" s="22" t="e">
        <f>VLOOKUP($A3870,TAB_CORRECAO_U[[Q_DIAS_U_PARC_TIR]:[V_FUT_U_CORC-02]],E$5, FALSE)</f>
        <v>#N/A</v>
      </c>
      <c r="F3870" s="22" t="e">
        <f>VLOOKUP($A3870,TAB_AMORTIZACAO_U[[Q_DIAS_U_PARC_TIR]:[V_FUT_U_PCPL-02]], F$5, FALSE)</f>
        <v>#N/A</v>
      </c>
      <c r="H3870" s="20">
        <f t="shared" si="307"/>
        <v>0</v>
      </c>
      <c r="I3870" s="21">
        <f t="shared" si="308"/>
        <v>0</v>
      </c>
      <c r="J3870" s="22" t="e">
        <f>VLOOKUP($A3870, TAB_JUROS_C[[DIAS_CORRIDOS]:[V_FUT_UTEIS]], J$5, FALSE)</f>
        <v>#N/A</v>
      </c>
      <c r="K3870" s="22" t="e">
        <f>VLOOKUP($A3870, TAB_CORRECAO_C[[DIAS_CORRIDOS]:[V_FUT_UTEIS]],K$5, FALSE)</f>
        <v>#N/A</v>
      </c>
      <c r="L3870" s="22" t="e">
        <f>VLOOKUP($A3870, TAB_AMORTIZACAO_C[[DIAS_CORRIDOS]:[V_FUT_UTEIS]], L$5, FALSE)</f>
        <v>#N/A</v>
      </c>
    </row>
    <row r="3871" spans="1:12" hidden="1">
      <c r="A3871" s="19">
        <f t="shared" si="309"/>
        <v>3865</v>
      </c>
      <c r="B3871" s="20">
        <f t="shared" si="305"/>
        <v>0</v>
      </c>
      <c r="C3871" s="21">
        <f t="shared" si="306"/>
        <v>0</v>
      </c>
      <c r="D3871" s="22" t="e">
        <f>VLOOKUP($A3871, TAB_JUROS_U[[Q_DIAS_U_PARC_TIR]:[V_FUT_U_JURS CENARIO]], D$5, FALSE)</f>
        <v>#N/A</v>
      </c>
      <c r="E3871" s="22" t="e">
        <f>VLOOKUP($A3871,TAB_CORRECAO_U[[Q_DIAS_U_PARC_TIR]:[V_FUT_U_CORC-02]],E$5, FALSE)</f>
        <v>#N/A</v>
      </c>
      <c r="F3871" s="22" t="e">
        <f>VLOOKUP($A3871,TAB_AMORTIZACAO_U[[Q_DIAS_U_PARC_TIR]:[V_FUT_U_PCPL-02]], F$5, FALSE)</f>
        <v>#N/A</v>
      </c>
      <c r="H3871" s="20">
        <f t="shared" si="307"/>
        <v>0</v>
      </c>
      <c r="I3871" s="21">
        <f t="shared" si="308"/>
        <v>0</v>
      </c>
      <c r="J3871" s="22" t="e">
        <f>VLOOKUP($A3871, TAB_JUROS_C[[DIAS_CORRIDOS]:[V_FUT_UTEIS]], J$5, FALSE)</f>
        <v>#N/A</v>
      </c>
      <c r="K3871" s="22" t="e">
        <f>VLOOKUP($A3871, TAB_CORRECAO_C[[DIAS_CORRIDOS]:[V_FUT_UTEIS]],K$5, FALSE)</f>
        <v>#N/A</v>
      </c>
      <c r="L3871" s="22" t="e">
        <f>VLOOKUP($A3871, TAB_AMORTIZACAO_C[[DIAS_CORRIDOS]:[V_FUT_UTEIS]], L$5, FALSE)</f>
        <v>#N/A</v>
      </c>
    </row>
    <row r="3872" spans="1:12" hidden="1">
      <c r="A3872" s="19">
        <f t="shared" si="309"/>
        <v>3866</v>
      </c>
      <c r="B3872" s="20">
        <f t="shared" si="305"/>
        <v>0</v>
      </c>
      <c r="C3872" s="21">
        <f t="shared" si="306"/>
        <v>0</v>
      </c>
      <c r="D3872" s="22" t="e">
        <f>VLOOKUP($A3872, TAB_JUROS_U[[Q_DIAS_U_PARC_TIR]:[V_FUT_U_JURS CENARIO]], D$5, FALSE)</f>
        <v>#N/A</v>
      </c>
      <c r="E3872" s="22" t="e">
        <f>VLOOKUP($A3872,TAB_CORRECAO_U[[Q_DIAS_U_PARC_TIR]:[V_FUT_U_CORC-02]],E$5, FALSE)</f>
        <v>#N/A</v>
      </c>
      <c r="F3872" s="22" t="e">
        <f>VLOOKUP($A3872,TAB_AMORTIZACAO_U[[Q_DIAS_U_PARC_TIR]:[V_FUT_U_PCPL-02]], F$5, FALSE)</f>
        <v>#N/A</v>
      </c>
      <c r="H3872" s="20">
        <f t="shared" si="307"/>
        <v>0</v>
      </c>
      <c r="I3872" s="21">
        <f t="shared" si="308"/>
        <v>0</v>
      </c>
      <c r="J3872" s="22" t="e">
        <f>VLOOKUP($A3872, TAB_JUROS_C[[DIAS_CORRIDOS]:[V_FUT_UTEIS]], J$5, FALSE)</f>
        <v>#N/A</v>
      </c>
      <c r="K3872" s="22" t="e">
        <f>VLOOKUP($A3872, TAB_CORRECAO_C[[DIAS_CORRIDOS]:[V_FUT_UTEIS]],K$5, FALSE)</f>
        <v>#N/A</v>
      </c>
      <c r="L3872" s="22" t="e">
        <f>VLOOKUP($A3872, TAB_AMORTIZACAO_C[[DIAS_CORRIDOS]:[V_FUT_UTEIS]], L$5, FALSE)</f>
        <v>#N/A</v>
      </c>
    </row>
    <row r="3873" spans="1:12" hidden="1">
      <c r="A3873" s="19">
        <f t="shared" si="309"/>
        <v>3867</v>
      </c>
      <c r="B3873" s="20">
        <f t="shared" si="305"/>
        <v>0</v>
      </c>
      <c r="C3873" s="21">
        <f t="shared" si="306"/>
        <v>0</v>
      </c>
      <c r="D3873" s="22" t="e">
        <f>VLOOKUP($A3873, TAB_JUROS_U[[Q_DIAS_U_PARC_TIR]:[V_FUT_U_JURS CENARIO]], D$5, FALSE)</f>
        <v>#N/A</v>
      </c>
      <c r="E3873" s="22" t="e">
        <f>VLOOKUP($A3873,TAB_CORRECAO_U[[Q_DIAS_U_PARC_TIR]:[V_FUT_U_CORC-02]],E$5, FALSE)</f>
        <v>#N/A</v>
      </c>
      <c r="F3873" s="22" t="e">
        <f>VLOOKUP($A3873,TAB_AMORTIZACAO_U[[Q_DIAS_U_PARC_TIR]:[V_FUT_U_PCPL-02]], F$5, FALSE)</f>
        <v>#N/A</v>
      </c>
      <c r="H3873" s="20">
        <f t="shared" si="307"/>
        <v>0</v>
      </c>
      <c r="I3873" s="21">
        <f t="shared" si="308"/>
        <v>0</v>
      </c>
      <c r="J3873" s="22" t="e">
        <f>VLOOKUP($A3873, TAB_JUROS_C[[DIAS_CORRIDOS]:[V_FUT_UTEIS]], J$5, FALSE)</f>
        <v>#N/A</v>
      </c>
      <c r="K3873" s="22" t="e">
        <f>VLOOKUP($A3873, TAB_CORRECAO_C[[DIAS_CORRIDOS]:[V_FUT_UTEIS]],K$5, FALSE)</f>
        <v>#N/A</v>
      </c>
      <c r="L3873" s="22" t="e">
        <f>VLOOKUP($A3873, TAB_AMORTIZACAO_C[[DIAS_CORRIDOS]:[V_FUT_UTEIS]], L$5, FALSE)</f>
        <v>#N/A</v>
      </c>
    </row>
    <row r="3874" spans="1:12" hidden="1">
      <c r="A3874" s="19">
        <f t="shared" si="309"/>
        <v>3868</v>
      </c>
      <c r="B3874" s="20">
        <f t="shared" si="305"/>
        <v>0</v>
      </c>
      <c r="C3874" s="21">
        <f t="shared" si="306"/>
        <v>0</v>
      </c>
      <c r="D3874" s="22" t="e">
        <f>VLOOKUP($A3874, TAB_JUROS_U[[Q_DIAS_U_PARC_TIR]:[V_FUT_U_JURS CENARIO]], D$5, FALSE)</f>
        <v>#N/A</v>
      </c>
      <c r="E3874" s="22" t="e">
        <f>VLOOKUP($A3874,TAB_CORRECAO_U[[Q_DIAS_U_PARC_TIR]:[V_FUT_U_CORC-02]],E$5, FALSE)</f>
        <v>#N/A</v>
      </c>
      <c r="F3874" s="22" t="e">
        <f>VLOOKUP($A3874,TAB_AMORTIZACAO_U[[Q_DIAS_U_PARC_TIR]:[V_FUT_U_PCPL-02]], F$5, FALSE)</f>
        <v>#N/A</v>
      </c>
      <c r="H3874" s="20">
        <f t="shared" si="307"/>
        <v>0</v>
      </c>
      <c r="I3874" s="21">
        <f t="shared" si="308"/>
        <v>0</v>
      </c>
      <c r="J3874" s="22" t="e">
        <f>VLOOKUP($A3874, TAB_JUROS_C[[DIAS_CORRIDOS]:[V_FUT_UTEIS]], J$5, FALSE)</f>
        <v>#N/A</v>
      </c>
      <c r="K3874" s="22" t="e">
        <f>VLOOKUP($A3874, TAB_CORRECAO_C[[DIAS_CORRIDOS]:[V_FUT_UTEIS]],K$5, FALSE)</f>
        <v>#N/A</v>
      </c>
      <c r="L3874" s="22" t="e">
        <f>VLOOKUP($A3874, TAB_AMORTIZACAO_C[[DIAS_CORRIDOS]:[V_FUT_UTEIS]], L$5, FALSE)</f>
        <v>#N/A</v>
      </c>
    </row>
    <row r="3875" spans="1:12" hidden="1">
      <c r="A3875" s="19">
        <f t="shared" si="309"/>
        <v>3869</v>
      </c>
      <c r="B3875" s="20">
        <f t="shared" si="305"/>
        <v>0</v>
      </c>
      <c r="C3875" s="21">
        <f t="shared" si="306"/>
        <v>0</v>
      </c>
      <c r="D3875" s="22" t="e">
        <f>VLOOKUP($A3875, TAB_JUROS_U[[Q_DIAS_U_PARC_TIR]:[V_FUT_U_JURS CENARIO]], D$5, FALSE)</f>
        <v>#N/A</v>
      </c>
      <c r="E3875" s="22" t="e">
        <f>VLOOKUP($A3875,TAB_CORRECAO_U[[Q_DIAS_U_PARC_TIR]:[V_FUT_U_CORC-02]],E$5, FALSE)</f>
        <v>#N/A</v>
      </c>
      <c r="F3875" s="22" t="e">
        <f>VLOOKUP($A3875,TAB_AMORTIZACAO_U[[Q_DIAS_U_PARC_TIR]:[V_FUT_U_PCPL-02]], F$5, FALSE)</f>
        <v>#N/A</v>
      </c>
      <c r="H3875" s="20">
        <f t="shared" si="307"/>
        <v>0</v>
      </c>
      <c r="I3875" s="21">
        <f t="shared" si="308"/>
        <v>0</v>
      </c>
      <c r="J3875" s="22" t="e">
        <f>VLOOKUP($A3875, TAB_JUROS_C[[DIAS_CORRIDOS]:[V_FUT_UTEIS]], J$5, FALSE)</f>
        <v>#N/A</v>
      </c>
      <c r="K3875" s="22" t="e">
        <f>VLOOKUP($A3875, TAB_CORRECAO_C[[DIAS_CORRIDOS]:[V_FUT_UTEIS]],K$5, FALSE)</f>
        <v>#N/A</v>
      </c>
      <c r="L3875" s="22" t="e">
        <f>VLOOKUP($A3875, TAB_AMORTIZACAO_C[[DIAS_CORRIDOS]:[V_FUT_UTEIS]], L$5, FALSE)</f>
        <v>#N/A</v>
      </c>
    </row>
    <row r="3876" spans="1:12" hidden="1">
      <c r="A3876" s="19">
        <f t="shared" si="309"/>
        <v>3870</v>
      </c>
      <c r="B3876" s="20">
        <f t="shared" si="305"/>
        <v>0</v>
      </c>
      <c r="C3876" s="21">
        <f t="shared" si="306"/>
        <v>0</v>
      </c>
      <c r="D3876" s="22" t="e">
        <f>VLOOKUP($A3876, TAB_JUROS_U[[Q_DIAS_U_PARC_TIR]:[V_FUT_U_JURS CENARIO]], D$5, FALSE)</f>
        <v>#N/A</v>
      </c>
      <c r="E3876" s="22" t="e">
        <f>VLOOKUP($A3876,TAB_CORRECAO_U[[Q_DIAS_U_PARC_TIR]:[V_FUT_U_CORC-02]],E$5, FALSE)</f>
        <v>#N/A</v>
      </c>
      <c r="F3876" s="22" t="e">
        <f>VLOOKUP($A3876,TAB_AMORTIZACAO_U[[Q_DIAS_U_PARC_TIR]:[V_FUT_U_PCPL-02]], F$5, FALSE)</f>
        <v>#N/A</v>
      </c>
      <c r="H3876" s="20">
        <f t="shared" si="307"/>
        <v>0</v>
      </c>
      <c r="I3876" s="21">
        <f t="shared" si="308"/>
        <v>0</v>
      </c>
      <c r="J3876" s="22" t="e">
        <f>VLOOKUP($A3876, TAB_JUROS_C[[DIAS_CORRIDOS]:[V_FUT_UTEIS]], J$5, FALSE)</f>
        <v>#N/A</v>
      </c>
      <c r="K3876" s="22" t="e">
        <f>VLOOKUP($A3876, TAB_CORRECAO_C[[DIAS_CORRIDOS]:[V_FUT_UTEIS]],K$5, FALSE)</f>
        <v>#N/A</v>
      </c>
      <c r="L3876" s="22" t="e">
        <f>VLOOKUP($A3876, TAB_AMORTIZACAO_C[[DIAS_CORRIDOS]:[V_FUT_UTEIS]], L$5, FALSE)</f>
        <v>#N/A</v>
      </c>
    </row>
    <row r="3877" spans="1:12" hidden="1">
      <c r="A3877" s="19">
        <f t="shared" si="309"/>
        <v>3871</v>
      </c>
      <c r="B3877" s="20">
        <f t="shared" si="305"/>
        <v>0</v>
      </c>
      <c r="C3877" s="21">
        <f t="shared" si="306"/>
        <v>0</v>
      </c>
      <c r="D3877" s="22" t="e">
        <f>VLOOKUP($A3877, TAB_JUROS_U[[Q_DIAS_U_PARC_TIR]:[V_FUT_U_JURS CENARIO]], D$5, FALSE)</f>
        <v>#N/A</v>
      </c>
      <c r="E3877" s="22" t="e">
        <f>VLOOKUP($A3877,TAB_CORRECAO_U[[Q_DIAS_U_PARC_TIR]:[V_FUT_U_CORC-02]],E$5, FALSE)</f>
        <v>#N/A</v>
      </c>
      <c r="F3877" s="22" t="e">
        <f>VLOOKUP($A3877,TAB_AMORTIZACAO_U[[Q_DIAS_U_PARC_TIR]:[V_FUT_U_PCPL-02]], F$5, FALSE)</f>
        <v>#N/A</v>
      </c>
      <c r="H3877" s="20">
        <f t="shared" si="307"/>
        <v>0</v>
      </c>
      <c r="I3877" s="21">
        <f t="shared" si="308"/>
        <v>0</v>
      </c>
      <c r="J3877" s="22" t="e">
        <f>VLOOKUP($A3877, TAB_JUROS_C[[DIAS_CORRIDOS]:[V_FUT_UTEIS]], J$5, FALSE)</f>
        <v>#N/A</v>
      </c>
      <c r="K3877" s="22" t="e">
        <f>VLOOKUP($A3877, TAB_CORRECAO_C[[DIAS_CORRIDOS]:[V_FUT_UTEIS]],K$5, FALSE)</f>
        <v>#N/A</v>
      </c>
      <c r="L3877" s="22" t="e">
        <f>VLOOKUP($A3877, TAB_AMORTIZACAO_C[[DIAS_CORRIDOS]:[V_FUT_UTEIS]], L$5, FALSE)</f>
        <v>#N/A</v>
      </c>
    </row>
    <row r="3878" spans="1:12" hidden="1">
      <c r="A3878" s="19">
        <f t="shared" si="309"/>
        <v>3872</v>
      </c>
      <c r="B3878" s="20">
        <f t="shared" si="305"/>
        <v>0</v>
      </c>
      <c r="C3878" s="21">
        <f t="shared" si="306"/>
        <v>0</v>
      </c>
      <c r="D3878" s="22" t="e">
        <f>VLOOKUP($A3878, TAB_JUROS_U[[Q_DIAS_U_PARC_TIR]:[V_FUT_U_JURS CENARIO]], D$5, FALSE)</f>
        <v>#N/A</v>
      </c>
      <c r="E3878" s="22" t="e">
        <f>VLOOKUP($A3878,TAB_CORRECAO_U[[Q_DIAS_U_PARC_TIR]:[V_FUT_U_CORC-02]],E$5, FALSE)</f>
        <v>#N/A</v>
      </c>
      <c r="F3878" s="22" t="e">
        <f>VLOOKUP($A3878,TAB_AMORTIZACAO_U[[Q_DIAS_U_PARC_TIR]:[V_FUT_U_PCPL-02]], F$5, FALSE)</f>
        <v>#N/A</v>
      </c>
      <c r="H3878" s="20">
        <f t="shared" si="307"/>
        <v>0</v>
      </c>
      <c r="I3878" s="21">
        <f t="shared" si="308"/>
        <v>0</v>
      </c>
      <c r="J3878" s="22" t="e">
        <f>VLOOKUP($A3878, TAB_JUROS_C[[DIAS_CORRIDOS]:[V_FUT_UTEIS]], J$5, FALSE)</f>
        <v>#N/A</v>
      </c>
      <c r="K3878" s="22" t="e">
        <f>VLOOKUP($A3878, TAB_CORRECAO_C[[DIAS_CORRIDOS]:[V_FUT_UTEIS]],K$5, FALSE)</f>
        <v>#N/A</v>
      </c>
      <c r="L3878" s="22" t="e">
        <f>VLOOKUP($A3878, TAB_AMORTIZACAO_C[[DIAS_CORRIDOS]:[V_FUT_UTEIS]], L$5, FALSE)</f>
        <v>#N/A</v>
      </c>
    </row>
    <row r="3879" spans="1:12" hidden="1">
      <c r="A3879" s="19">
        <f t="shared" si="309"/>
        <v>3873</v>
      </c>
      <c r="B3879" s="20">
        <f t="shared" si="305"/>
        <v>0</v>
      </c>
      <c r="C3879" s="21">
        <f t="shared" si="306"/>
        <v>0</v>
      </c>
      <c r="D3879" s="22" t="e">
        <f>VLOOKUP($A3879, TAB_JUROS_U[[Q_DIAS_U_PARC_TIR]:[V_FUT_U_JURS CENARIO]], D$5, FALSE)</f>
        <v>#N/A</v>
      </c>
      <c r="E3879" s="22" t="e">
        <f>VLOOKUP($A3879,TAB_CORRECAO_U[[Q_DIAS_U_PARC_TIR]:[V_FUT_U_CORC-02]],E$5, FALSE)</f>
        <v>#N/A</v>
      </c>
      <c r="F3879" s="22" t="e">
        <f>VLOOKUP($A3879,TAB_AMORTIZACAO_U[[Q_DIAS_U_PARC_TIR]:[V_FUT_U_PCPL-02]], F$5, FALSE)</f>
        <v>#N/A</v>
      </c>
      <c r="H3879" s="20">
        <f t="shared" si="307"/>
        <v>0</v>
      </c>
      <c r="I3879" s="21">
        <f t="shared" si="308"/>
        <v>0</v>
      </c>
      <c r="J3879" s="22" t="e">
        <f>VLOOKUP($A3879, TAB_JUROS_C[[DIAS_CORRIDOS]:[V_FUT_UTEIS]], J$5, FALSE)</f>
        <v>#N/A</v>
      </c>
      <c r="K3879" s="22" t="e">
        <f>VLOOKUP($A3879, TAB_CORRECAO_C[[DIAS_CORRIDOS]:[V_FUT_UTEIS]],K$5, FALSE)</f>
        <v>#N/A</v>
      </c>
      <c r="L3879" s="22" t="e">
        <f>VLOOKUP($A3879, TAB_AMORTIZACAO_C[[DIAS_CORRIDOS]:[V_FUT_UTEIS]], L$5, FALSE)</f>
        <v>#N/A</v>
      </c>
    </row>
    <row r="3880" spans="1:12" hidden="1">
      <c r="A3880" s="19">
        <f t="shared" si="309"/>
        <v>3874</v>
      </c>
      <c r="B3880" s="20">
        <f t="shared" si="305"/>
        <v>0</v>
      </c>
      <c r="C3880" s="21">
        <f t="shared" si="306"/>
        <v>0</v>
      </c>
      <c r="D3880" s="22" t="e">
        <f>VLOOKUP($A3880, TAB_JUROS_U[[Q_DIAS_U_PARC_TIR]:[V_FUT_U_JURS CENARIO]], D$5, FALSE)</f>
        <v>#N/A</v>
      </c>
      <c r="E3880" s="22" t="e">
        <f>VLOOKUP($A3880,TAB_CORRECAO_U[[Q_DIAS_U_PARC_TIR]:[V_FUT_U_CORC-02]],E$5, FALSE)</f>
        <v>#N/A</v>
      </c>
      <c r="F3880" s="22" t="e">
        <f>VLOOKUP($A3880,TAB_AMORTIZACAO_U[[Q_DIAS_U_PARC_TIR]:[V_FUT_U_PCPL-02]], F$5, FALSE)</f>
        <v>#N/A</v>
      </c>
      <c r="H3880" s="20">
        <f t="shared" si="307"/>
        <v>0</v>
      </c>
      <c r="I3880" s="21">
        <f t="shared" si="308"/>
        <v>0</v>
      </c>
      <c r="J3880" s="22" t="e">
        <f>VLOOKUP($A3880, TAB_JUROS_C[[DIAS_CORRIDOS]:[V_FUT_UTEIS]], J$5, FALSE)</f>
        <v>#N/A</v>
      </c>
      <c r="K3880" s="22" t="e">
        <f>VLOOKUP($A3880, TAB_CORRECAO_C[[DIAS_CORRIDOS]:[V_FUT_UTEIS]],K$5, FALSE)</f>
        <v>#N/A</v>
      </c>
      <c r="L3880" s="22" t="e">
        <f>VLOOKUP($A3880, TAB_AMORTIZACAO_C[[DIAS_CORRIDOS]:[V_FUT_UTEIS]], L$5, FALSE)</f>
        <v>#N/A</v>
      </c>
    </row>
    <row r="3881" spans="1:12" hidden="1">
      <c r="A3881" s="19">
        <f t="shared" si="309"/>
        <v>3875</v>
      </c>
      <c r="B3881" s="20">
        <f t="shared" si="305"/>
        <v>0</v>
      </c>
      <c r="C3881" s="21">
        <f t="shared" si="306"/>
        <v>0</v>
      </c>
      <c r="D3881" s="22" t="e">
        <f>VLOOKUP($A3881, TAB_JUROS_U[[Q_DIAS_U_PARC_TIR]:[V_FUT_U_JURS CENARIO]], D$5, FALSE)</f>
        <v>#N/A</v>
      </c>
      <c r="E3881" s="22" t="e">
        <f>VLOOKUP($A3881,TAB_CORRECAO_U[[Q_DIAS_U_PARC_TIR]:[V_FUT_U_CORC-02]],E$5, FALSE)</f>
        <v>#N/A</v>
      </c>
      <c r="F3881" s="22" t="e">
        <f>VLOOKUP($A3881,TAB_AMORTIZACAO_U[[Q_DIAS_U_PARC_TIR]:[V_FUT_U_PCPL-02]], F$5, FALSE)</f>
        <v>#N/A</v>
      </c>
      <c r="H3881" s="20">
        <f t="shared" si="307"/>
        <v>0</v>
      </c>
      <c r="I3881" s="21">
        <f t="shared" si="308"/>
        <v>0</v>
      </c>
      <c r="J3881" s="22" t="e">
        <f>VLOOKUP($A3881, TAB_JUROS_C[[DIAS_CORRIDOS]:[V_FUT_UTEIS]], J$5, FALSE)</f>
        <v>#N/A</v>
      </c>
      <c r="K3881" s="22" t="e">
        <f>VLOOKUP($A3881, TAB_CORRECAO_C[[DIAS_CORRIDOS]:[V_FUT_UTEIS]],K$5, FALSE)</f>
        <v>#N/A</v>
      </c>
      <c r="L3881" s="22" t="e">
        <f>VLOOKUP($A3881, TAB_AMORTIZACAO_C[[DIAS_CORRIDOS]:[V_FUT_UTEIS]], L$5, FALSE)</f>
        <v>#N/A</v>
      </c>
    </row>
    <row r="3882" spans="1:12" hidden="1">
      <c r="A3882" s="19">
        <f t="shared" si="309"/>
        <v>3876</v>
      </c>
      <c r="B3882" s="20">
        <f t="shared" si="305"/>
        <v>0</v>
      </c>
      <c r="C3882" s="21">
        <f t="shared" si="306"/>
        <v>0</v>
      </c>
      <c r="D3882" s="22" t="e">
        <f>VLOOKUP($A3882, TAB_JUROS_U[[Q_DIAS_U_PARC_TIR]:[V_FUT_U_JURS CENARIO]], D$5, FALSE)</f>
        <v>#N/A</v>
      </c>
      <c r="E3882" s="22" t="e">
        <f>VLOOKUP($A3882,TAB_CORRECAO_U[[Q_DIAS_U_PARC_TIR]:[V_FUT_U_CORC-02]],E$5, FALSE)</f>
        <v>#N/A</v>
      </c>
      <c r="F3882" s="22" t="e">
        <f>VLOOKUP($A3882,TAB_AMORTIZACAO_U[[Q_DIAS_U_PARC_TIR]:[V_FUT_U_PCPL-02]], F$5, FALSE)</f>
        <v>#N/A</v>
      </c>
      <c r="H3882" s="20">
        <f t="shared" si="307"/>
        <v>0</v>
      </c>
      <c r="I3882" s="21">
        <f t="shared" si="308"/>
        <v>0</v>
      </c>
      <c r="J3882" s="22" t="e">
        <f>VLOOKUP($A3882, TAB_JUROS_C[[DIAS_CORRIDOS]:[V_FUT_UTEIS]], J$5, FALSE)</f>
        <v>#N/A</v>
      </c>
      <c r="K3882" s="22" t="e">
        <f>VLOOKUP($A3882, TAB_CORRECAO_C[[DIAS_CORRIDOS]:[V_FUT_UTEIS]],K$5, FALSE)</f>
        <v>#N/A</v>
      </c>
      <c r="L3882" s="22" t="e">
        <f>VLOOKUP($A3882, TAB_AMORTIZACAO_C[[DIAS_CORRIDOS]:[V_FUT_UTEIS]], L$5, FALSE)</f>
        <v>#N/A</v>
      </c>
    </row>
    <row r="3883" spans="1:12" hidden="1">
      <c r="A3883" s="19">
        <f t="shared" si="309"/>
        <v>3877</v>
      </c>
      <c r="B3883" s="20">
        <f t="shared" si="305"/>
        <v>0</v>
      </c>
      <c r="C3883" s="21">
        <f t="shared" si="306"/>
        <v>0</v>
      </c>
      <c r="D3883" s="22" t="e">
        <f>VLOOKUP($A3883, TAB_JUROS_U[[Q_DIAS_U_PARC_TIR]:[V_FUT_U_JURS CENARIO]], D$5, FALSE)</f>
        <v>#N/A</v>
      </c>
      <c r="E3883" s="22" t="e">
        <f>VLOOKUP($A3883,TAB_CORRECAO_U[[Q_DIAS_U_PARC_TIR]:[V_FUT_U_CORC-02]],E$5, FALSE)</f>
        <v>#N/A</v>
      </c>
      <c r="F3883" s="22" t="e">
        <f>VLOOKUP($A3883,TAB_AMORTIZACAO_U[[Q_DIAS_U_PARC_TIR]:[V_FUT_U_PCPL-02]], F$5, FALSE)</f>
        <v>#N/A</v>
      </c>
      <c r="H3883" s="20">
        <f t="shared" si="307"/>
        <v>0</v>
      </c>
      <c r="I3883" s="21">
        <f t="shared" si="308"/>
        <v>0</v>
      </c>
      <c r="J3883" s="22" t="e">
        <f>VLOOKUP($A3883, TAB_JUROS_C[[DIAS_CORRIDOS]:[V_FUT_UTEIS]], J$5, FALSE)</f>
        <v>#N/A</v>
      </c>
      <c r="K3883" s="22" t="e">
        <f>VLOOKUP($A3883, TAB_CORRECAO_C[[DIAS_CORRIDOS]:[V_FUT_UTEIS]],K$5, FALSE)</f>
        <v>#N/A</v>
      </c>
      <c r="L3883" s="22" t="e">
        <f>VLOOKUP($A3883, TAB_AMORTIZACAO_C[[DIAS_CORRIDOS]:[V_FUT_UTEIS]], L$5, FALSE)</f>
        <v>#N/A</v>
      </c>
    </row>
    <row r="3884" spans="1:12" hidden="1">
      <c r="A3884" s="19">
        <f t="shared" si="309"/>
        <v>3878</v>
      </c>
      <c r="B3884" s="20">
        <f t="shared" si="305"/>
        <v>0</v>
      </c>
      <c r="C3884" s="21">
        <f t="shared" si="306"/>
        <v>0</v>
      </c>
      <c r="D3884" s="22" t="e">
        <f>VLOOKUP($A3884, TAB_JUROS_U[[Q_DIAS_U_PARC_TIR]:[V_FUT_U_JURS CENARIO]], D$5, FALSE)</f>
        <v>#N/A</v>
      </c>
      <c r="E3884" s="22" t="e">
        <f>VLOOKUP($A3884,TAB_CORRECAO_U[[Q_DIAS_U_PARC_TIR]:[V_FUT_U_CORC-02]],E$5, FALSE)</f>
        <v>#N/A</v>
      </c>
      <c r="F3884" s="22" t="e">
        <f>VLOOKUP($A3884,TAB_AMORTIZACAO_U[[Q_DIAS_U_PARC_TIR]:[V_FUT_U_PCPL-02]], F$5, FALSE)</f>
        <v>#N/A</v>
      </c>
      <c r="H3884" s="20">
        <f t="shared" si="307"/>
        <v>135.52018204370225</v>
      </c>
      <c r="I3884" s="21">
        <f t="shared" si="308"/>
        <v>135.52018204370225</v>
      </c>
      <c r="J3884" s="22">
        <f>VLOOKUP($A3884, TAB_JUROS_C[[DIAS_CORRIDOS]:[V_FUT_UTEIS]], J$5, FALSE)</f>
        <v>4.0521175505055451</v>
      </c>
      <c r="K3884" s="22">
        <f>VLOOKUP($A3884, TAB_CORRECAO_C[[DIAS_CORRIDOS]:[V_FUT_UTEIS]],K$5, FALSE)</f>
        <v>25.182041950752652</v>
      </c>
      <c r="L3884" s="22">
        <f>VLOOKUP($A3884, TAB_AMORTIZACAO_C[[DIAS_CORRIDOS]:[V_FUT_UTEIS]], L$5, FALSE)</f>
        <v>106.28602254244404</v>
      </c>
    </row>
    <row r="3885" spans="1:12" hidden="1">
      <c r="A3885" s="19">
        <f t="shared" si="309"/>
        <v>3879</v>
      </c>
      <c r="B3885" s="20">
        <f t="shared" si="305"/>
        <v>0</v>
      </c>
      <c r="C3885" s="21">
        <f t="shared" si="306"/>
        <v>0</v>
      </c>
      <c r="D3885" s="22" t="e">
        <f>VLOOKUP($A3885, TAB_JUROS_U[[Q_DIAS_U_PARC_TIR]:[V_FUT_U_JURS CENARIO]], D$5, FALSE)</f>
        <v>#N/A</v>
      </c>
      <c r="E3885" s="22" t="e">
        <f>VLOOKUP($A3885,TAB_CORRECAO_U[[Q_DIAS_U_PARC_TIR]:[V_FUT_U_CORC-02]],E$5, FALSE)</f>
        <v>#N/A</v>
      </c>
      <c r="F3885" s="22" t="e">
        <f>VLOOKUP($A3885,TAB_AMORTIZACAO_U[[Q_DIAS_U_PARC_TIR]:[V_FUT_U_PCPL-02]], F$5, FALSE)</f>
        <v>#N/A</v>
      </c>
      <c r="H3885" s="20">
        <f t="shared" si="307"/>
        <v>0</v>
      </c>
      <c r="I3885" s="21">
        <f t="shared" si="308"/>
        <v>0</v>
      </c>
      <c r="J3885" s="22" t="e">
        <f>VLOOKUP($A3885, TAB_JUROS_C[[DIAS_CORRIDOS]:[V_FUT_UTEIS]], J$5, FALSE)</f>
        <v>#N/A</v>
      </c>
      <c r="K3885" s="22" t="e">
        <f>VLOOKUP($A3885, TAB_CORRECAO_C[[DIAS_CORRIDOS]:[V_FUT_UTEIS]],K$5, FALSE)</f>
        <v>#N/A</v>
      </c>
      <c r="L3885" s="22" t="e">
        <f>VLOOKUP($A3885, TAB_AMORTIZACAO_C[[DIAS_CORRIDOS]:[V_FUT_UTEIS]], L$5, FALSE)</f>
        <v>#N/A</v>
      </c>
    </row>
    <row r="3886" spans="1:12" hidden="1">
      <c r="A3886" s="19">
        <f t="shared" si="309"/>
        <v>3880</v>
      </c>
      <c r="B3886" s="20">
        <f t="shared" si="305"/>
        <v>0</v>
      </c>
      <c r="C3886" s="21">
        <f t="shared" si="306"/>
        <v>0</v>
      </c>
      <c r="D3886" s="22" t="e">
        <f>VLOOKUP($A3886, TAB_JUROS_U[[Q_DIAS_U_PARC_TIR]:[V_FUT_U_JURS CENARIO]], D$5, FALSE)</f>
        <v>#N/A</v>
      </c>
      <c r="E3886" s="22" t="e">
        <f>VLOOKUP($A3886,TAB_CORRECAO_U[[Q_DIAS_U_PARC_TIR]:[V_FUT_U_CORC-02]],E$5, FALSE)</f>
        <v>#N/A</v>
      </c>
      <c r="F3886" s="22" t="e">
        <f>VLOOKUP($A3886,TAB_AMORTIZACAO_U[[Q_DIAS_U_PARC_TIR]:[V_FUT_U_PCPL-02]], F$5, FALSE)</f>
        <v>#N/A</v>
      </c>
      <c r="H3886" s="20">
        <f t="shared" si="307"/>
        <v>0</v>
      </c>
      <c r="I3886" s="21">
        <f t="shared" si="308"/>
        <v>0</v>
      </c>
      <c r="J3886" s="22" t="e">
        <f>VLOOKUP($A3886, TAB_JUROS_C[[DIAS_CORRIDOS]:[V_FUT_UTEIS]], J$5, FALSE)</f>
        <v>#N/A</v>
      </c>
      <c r="K3886" s="22" t="e">
        <f>VLOOKUP($A3886, TAB_CORRECAO_C[[DIAS_CORRIDOS]:[V_FUT_UTEIS]],K$5, FALSE)</f>
        <v>#N/A</v>
      </c>
      <c r="L3886" s="22" t="e">
        <f>VLOOKUP($A3886, TAB_AMORTIZACAO_C[[DIAS_CORRIDOS]:[V_FUT_UTEIS]], L$5, FALSE)</f>
        <v>#N/A</v>
      </c>
    </row>
    <row r="3887" spans="1:12" hidden="1">
      <c r="A3887" s="19">
        <f t="shared" si="309"/>
        <v>3881</v>
      </c>
      <c r="B3887" s="20">
        <f t="shared" si="305"/>
        <v>0</v>
      </c>
      <c r="C3887" s="21">
        <f t="shared" si="306"/>
        <v>0</v>
      </c>
      <c r="D3887" s="22" t="e">
        <f>VLOOKUP($A3887, TAB_JUROS_U[[Q_DIAS_U_PARC_TIR]:[V_FUT_U_JURS CENARIO]], D$5, FALSE)</f>
        <v>#N/A</v>
      </c>
      <c r="E3887" s="22" t="e">
        <f>VLOOKUP($A3887,TAB_CORRECAO_U[[Q_DIAS_U_PARC_TIR]:[V_FUT_U_CORC-02]],E$5, FALSE)</f>
        <v>#N/A</v>
      </c>
      <c r="F3887" s="22" t="e">
        <f>VLOOKUP($A3887,TAB_AMORTIZACAO_U[[Q_DIAS_U_PARC_TIR]:[V_FUT_U_PCPL-02]], F$5, FALSE)</f>
        <v>#N/A</v>
      </c>
      <c r="H3887" s="20">
        <f t="shared" si="307"/>
        <v>0</v>
      </c>
      <c r="I3887" s="21">
        <f t="shared" si="308"/>
        <v>0</v>
      </c>
      <c r="J3887" s="22" t="e">
        <f>VLOOKUP($A3887, TAB_JUROS_C[[DIAS_CORRIDOS]:[V_FUT_UTEIS]], J$5, FALSE)</f>
        <v>#N/A</v>
      </c>
      <c r="K3887" s="22" t="e">
        <f>VLOOKUP($A3887, TAB_CORRECAO_C[[DIAS_CORRIDOS]:[V_FUT_UTEIS]],K$5, FALSE)</f>
        <v>#N/A</v>
      </c>
      <c r="L3887" s="22" t="e">
        <f>VLOOKUP($A3887, TAB_AMORTIZACAO_C[[DIAS_CORRIDOS]:[V_FUT_UTEIS]], L$5, FALSE)</f>
        <v>#N/A</v>
      </c>
    </row>
    <row r="3888" spans="1:12" hidden="1">
      <c r="A3888" s="19">
        <f t="shared" si="309"/>
        <v>3882</v>
      </c>
      <c r="B3888" s="20">
        <f t="shared" si="305"/>
        <v>0</v>
      </c>
      <c r="C3888" s="21">
        <f t="shared" si="306"/>
        <v>0</v>
      </c>
      <c r="D3888" s="22" t="e">
        <f>VLOOKUP($A3888, TAB_JUROS_U[[Q_DIAS_U_PARC_TIR]:[V_FUT_U_JURS CENARIO]], D$5, FALSE)</f>
        <v>#N/A</v>
      </c>
      <c r="E3888" s="22" t="e">
        <f>VLOOKUP($A3888,TAB_CORRECAO_U[[Q_DIAS_U_PARC_TIR]:[V_FUT_U_CORC-02]],E$5, FALSE)</f>
        <v>#N/A</v>
      </c>
      <c r="F3888" s="22" t="e">
        <f>VLOOKUP($A3888,TAB_AMORTIZACAO_U[[Q_DIAS_U_PARC_TIR]:[V_FUT_U_PCPL-02]], F$5, FALSE)</f>
        <v>#N/A</v>
      </c>
      <c r="H3888" s="20">
        <f t="shared" si="307"/>
        <v>0</v>
      </c>
      <c r="I3888" s="21">
        <f t="shared" si="308"/>
        <v>0</v>
      </c>
      <c r="J3888" s="22" t="e">
        <f>VLOOKUP($A3888, TAB_JUROS_C[[DIAS_CORRIDOS]:[V_FUT_UTEIS]], J$5, FALSE)</f>
        <v>#N/A</v>
      </c>
      <c r="K3888" s="22" t="e">
        <f>VLOOKUP($A3888, TAB_CORRECAO_C[[DIAS_CORRIDOS]:[V_FUT_UTEIS]],K$5, FALSE)</f>
        <v>#N/A</v>
      </c>
      <c r="L3888" s="22" t="e">
        <f>VLOOKUP($A3888, TAB_AMORTIZACAO_C[[DIAS_CORRIDOS]:[V_FUT_UTEIS]], L$5, FALSE)</f>
        <v>#N/A</v>
      </c>
    </row>
    <row r="3889" spans="1:12" hidden="1">
      <c r="A3889" s="19">
        <f t="shared" si="309"/>
        <v>3883</v>
      </c>
      <c r="B3889" s="20">
        <f t="shared" si="305"/>
        <v>0</v>
      </c>
      <c r="C3889" s="21">
        <f t="shared" si="306"/>
        <v>0</v>
      </c>
      <c r="D3889" s="22" t="e">
        <f>VLOOKUP($A3889, TAB_JUROS_U[[Q_DIAS_U_PARC_TIR]:[V_FUT_U_JURS CENARIO]], D$5, FALSE)</f>
        <v>#N/A</v>
      </c>
      <c r="E3889" s="22" t="e">
        <f>VLOOKUP($A3889,TAB_CORRECAO_U[[Q_DIAS_U_PARC_TIR]:[V_FUT_U_CORC-02]],E$5, FALSE)</f>
        <v>#N/A</v>
      </c>
      <c r="F3889" s="22" t="e">
        <f>VLOOKUP($A3889,TAB_AMORTIZACAO_U[[Q_DIAS_U_PARC_TIR]:[V_FUT_U_PCPL-02]], F$5, FALSE)</f>
        <v>#N/A</v>
      </c>
      <c r="H3889" s="20">
        <f t="shared" si="307"/>
        <v>0</v>
      </c>
      <c r="I3889" s="21">
        <f t="shared" si="308"/>
        <v>0</v>
      </c>
      <c r="J3889" s="22" t="e">
        <f>VLOOKUP($A3889, TAB_JUROS_C[[DIAS_CORRIDOS]:[V_FUT_UTEIS]], J$5, FALSE)</f>
        <v>#N/A</v>
      </c>
      <c r="K3889" s="22" t="e">
        <f>VLOOKUP($A3889, TAB_CORRECAO_C[[DIAS_CORRIDOS]:[V_FUT_UTEIS]],K$5, FALSE)</f>
        <v>#N/A</v>
      </c>
      <c r="L3889" s="22" t="e">
        <f>VLOOKUP($A3889, TAB_AMORTIZACAO_C[[DIAS_CORRIDOS]:[V_FUT_UTEIS]], L$5, FALSE)</f>
        <v>#N/A</v>
      </c>
    </row>
    <row r="3890" spans="1:12" hidden="1">
      <c r="A3890" s="19">
        <f t="shared" si="309"/>
        <v>3884</v>
      </c>
      <c r="B3890" s="20">
        <f t="shared" si="305"/>
        <v>0</v>
      </c>
      <c r="C3890" s="21">
        <f t="shared" si="306"/>
        <v>0</v>
      </c>
      <c r="D3890" s="22" t="e">
        <f>VLOOKUP($A3890, TAB_JUROS_U[[Q_DIAS_U_PARC_TIR]:[V_FUT_U_JURS CENARIO]], D$5, FALSE)</f>
        <v>#N/A</v>
      </c>
      <c r="E3890" s="22" t="e">
        <f>VLOOKUP($A3890,TAB_CORRECAO_U[[Q_DIAS_U_PARC_TIR]:[V_FUT_U_CORC-02]],E$5, FALSE)</f>
        <v>#N/A</v>
      </c>
      <c r="F3890" s="22" t="e">
        <f>VLOOKUP($A3890,TAB_AMORTIZACAO_U[[Q_DIAS_U_PARC_TIR]:[V_FUT_U_PCPL-02]], F$5, FALSE)</f>
        <v>#N/A</v>
      </c>
      <c r="H3890" s="20">
        <f t="shared" si="307"/>
        <v>0</v>
      </c>
      <c r="I3890" s="21">
        <f t="shared" si="308"/>
        <v>0</v>
      </c>
      <c r="J3890" s="22" t="e">
        <f>VLOOKUP($A3890, TAB_JUROS_C[[DIAS_CORRIDOS]:[V_FUT_UTEIS]], J$5, FALSE)</f>
        <v>#N/A</v>
      </c>
      <c r="K3890" s="22" t="e">
        <f>VLOOKUP($A3890, TAB_CORRECAO_C[[DIAS_CORRIDOS]:[V_FUT_UTEIS]],K$5, FALSE)</f>
        <v>#N/A</v>
      </c>
      <c r="L3890" s="22" t="e">
        <f>VLOOKUP($A3890, TAB_AMORTIZACAO_C[[DIAS_CORRIDOS]:[V_FUT_UTEIS]], L$5, FALSE)</f>
        <v>#N/A</v>
      </c>
    </row>
    <row r="3891" spans="1:12" hidden="1">
      <c r="A3891" s="19">
        <f t="shared" si="309"/>
        <v>3885</v>
      </c>
      <c r="B3891" s="20">
        <f t="shared" si="305"/>
        <v>0</v>
      </c>
      <c r="C3891" s="21">
        <f t="shared" si="306"/>
        <v>0</v>
      </c>
      <c r="D3891" s="22" t="e">
        <f>VLOOKUP($A3891, TAB_JUROS_U[[Q_DIAS_U_PARC_TIR]:[V_FUT_U_JURS CENARIO]], D$5, FALSE)</f>
        <v>#N/A</v>
      </c>
      <c r="E3891" s="22" t="e">
        <f>VLOOKUP($A3891,TAB_CORRECAO_U[[Q_DIAS_U_PARC_TIR]:[V_FUT_U_CORC-02]],E$5, FALSE)</f>
        <v>#N/A</v>
      </c>
      <c r="F3891" s="22" t="e">
        <f>VLOOKUP($A3891,TAB_AMORTIZACAO_U[[Q_DIAS_U_PARC_TIR]:[V_FUT_U_PCPL-02]], F$5, FALSE)</f>
        <v>#N/A</v>
      </c>
      <c r="H3891" s="20">
        <f t="shared" si="307"/>
        <v>0</v>
      </c>
      <c r="I3891" s="21">
        <f t="shared" si="308"/>
        <v>0</v>
      </c>
      <c r="J3891" s="22" t="e">
        <f>VLOOKUP($A3891, TAB_JUROS_C[[DIAS_CORRIDOS]:[V_FUT_UTEIS]], J$5, FALSE)</f>
        <v>#N/A</v>
      </c>
      <c r="K3891" s="22" t="e">
        <f>VLOOKUP($A3891, TAB_CORRECAO_C[[DIAS_CORRIDOS]:[V_FUT_UTEIS]],K$5, FALSE)</f>
        <v>#N/A</v>
      </c>
      <c r="L3891" s="22" t="e">
        <f>VLOOKUP($A3891, TAB_AMORTIZACAO_C[[DIAS_CORRIDOS]:[V_FUT_UTEIS]], L$5, FALSE)</f>
        <v>#N/A</v>
      </c>
    </row>
    <row r="3892" spans="1:12" hidden="1">
      <c r="A3892" s="19">
        <f t="shared" si="309"/>
        <v>3886</v>
      </c>
      <c r="B3892" s="20">
        <f t="shared" si="305"/>
        <v>0</v>
      </c>
      <c r="C3892" s="21">
        <f t="shared" si="306"/>
        <v>0</v>
      </c>
      <c r="D3892" s="22" t="e">
        <f>VLOOKUP($A3892, TAB_JUROS_U[[Q_DIAS_U_PARC_TIR]:[V_FUT_U_JURS CENARIO]], D$5, FALSE)</f>
        <v>#N/A</v>
      </c>
      <c r="E3892" s="22" t="e">
        <f>VLOOKUP($A3892,TAB_CORRECAO_U[[Q_DIAS_U_PARC_TIR]:[V_FUT_U_CORC-02]],E$5, FALSE)</f>
        <v>#N/A</v>
      </c>
      <c r="F3892" s="22" t="e">
        <f>VLOOKUP($A3892,TAB_AMORTIZACAO_U[[Q_DIAS_U_PARC_TIR]:[V_FUT_U_PCPL-02]], F$5, FALSE)</f>
        <v>#N/A</v>
      </c>
      <c r="H3892" s="20">
        <f t="shared" si="307"/>
        <v>0</v>
      </c>
      <c r="I3892" s="21">
        <f t="shared" si="308"/>
        <v>0</v>
      </c>
      <c r="J3892" s="22" t="e">
        <f>VLOOKUP($A3892, TAB_JUROS_C[[DIAS_CORRIDOS]:[V_FUT_UTEIS]], J$5, FALSE)</f>
        <v>#N/A</v>
      </c>
      <c r="K3892" s="22" t="e">
        <f>VLOOKUP($A3892, TAB_CORRECAO_C[[DIAS_CORRIDOS]:[V_FUT_UTEIS]],K$5, FALSE)</f>
        <v>#N/A</v>
      </c>
      <c r="L3892" s="22" t="e">
        <f>VLOOKUP($A3892, TAB_AMORTIZACAO_C[[DIAS_CORRIDOS]:[V_FUT_UTEIS]], L$5, FALSE)</f>
        <v>#N/A</v>
      </c>
    </row>
    <row r="3893" spans="1:12" hidden="1">
      <c r="A3893" s="19">
        <f t="shared" si="309"/>
        <v>3887</v>
      </c>
      <c r="B3893" s="20">
        <f t="shared" si="305"/>
        <v>0</v>
      </c>
      <c r="C3893" s="21">
        <f t="shared" si="306"/>
        <v>0</v>
      </c>
      <c r="D3893" s="22" t="e">
        <f>VLOOKUP($A3893, TAB_JUROS_U[[Q_DIAS_U_PARC_TIR]:[V_FUT_U_JURS CENARIO]], D$5, FALSE)</f>
        <v>#N/A</v>
      </c>
      <c r="E3893" s="22" t="e">
        <f>VLOOKUP($A3893,TAB_CORRECAO_U[[Q_DIAS_U_PARC_TIR]:[V_FUT_U_CORC-02]],E$5, FALSE)</f>
        <v>#N/A</v>
      </c>
      <c r="F3893" s="22" t="e">
        <f>VLOOKUP($A3893,TAB_AMORTIZACAO_U[[Q_DIAS_U_PARC_TIR]:[V_FUT_U_PCPL-02]], F$5, FALSE)</f>
        <v>#N/A</v>
      </c>
      <c r="H3893" s="20">
        <f t="shared" si="307"/>
        <v>0</v>
      </c>
      <c r="I3893" s="21">
        <f t="shared" si="308"/>
        <v>0</v>
      </c>
      <c r="J3893" s="22" t="e">
        <f>VLOOKUP($A3893, TAB_JUROS_C[[DIAS_CORRIDOS]:[V_FUT_UTEIS]], J$5, FALSE)</f>
        <v>#N/A</v>
      </c>
      <c r="K3893" s="22" t="e">
        <f>VLOOKUP($A3893, TAB_CORRECAO_C[[DIAS_CORRIDOS]:[V_FUT_UTEIS]],K$5, FALSE)</f>
        <v>#N/A</v>
      </c>
      <c r="L3893" s="22" t="e">
        <f>VLOOKUP($A3893, TAB_AMORTIZACAO_C[[DIAS_CORRIDOS]:[V_FUT_UTEIS]], L$5, FALSE)</f>
        <v>#N/A</v>
      </c>
    </row>
    <row r="3894" spans="1:12" hidden="1">
      <c r="A3894" s="19">
        <f t="shared" si="309"/>
        <v>3888</v>
      </c>
      <c r="B3894" s="20">
        <f t="shared" si="305"/>
        <v>0</v>
      </c>
      <c r="C3894" s="21">
        <f t="shared" si="306"/>
        <v>0</v>
      </c>
      <c r="D3894" s="22" t="e">
        <f>VLOOKUP($A3894, TAB_JUROS_U[[Q_DIAS_U_PARC_TIR]:[V_FUT_U_JURS CENARIO]], D$5, FALSE)</f>
        <v>#N/A</v>
      </c>
      <c r="E3894" s="22" t="e">
        <f>VLOOKUP($A3894,TAB_CORRECAO_U[[Q_DIAS_U_PARC_TIR]:[V_FUT_U_CORC-02]],E$5, FALSE)</f>
        <v>#N/A</v>
      </c>
      <c r="F3894" s="22" t="e">
        <f>VLOOKUP($A3894,TAB_AMORTIZACAO_U[[Q_DIAS_U_PARC_TIR]:[V_FUT_U_PCPL-02]], F$5, FALSE)</f>
        <v>#N/A</v>
      </c>
      <c r="H3894" s="20">
        <f t="shared" si="307"/>
        <v>0</v>
      </c>
      <c r="I3894" s="21">
        <f t="shared" si="308"/>
        <v>0</v>
      </c>
      <c r="J3894" s="22" t="e">
        <f>VLOOKUP($A3894, TAB_JUROS_C[[DIAS_CORRIDOS]:[V_FUT_UTEIS]], J$5, FALSE)</f>
        <v>#N/A</v>
      </c>
      <c r="K3894" s="22" t="e">
        <f>VLOOKUP($A3894, TAB_CORRECAO_C[[DIAS_CORRIDOS]:[V_FUT_UTEIS]],K$5, FALSE)</f>
        <v>#N/A</v>
      </c>
      <c r="L3894" s="22" t="e">
        <f>VLOOKUP($A3894, TAB_AMORTIZACAO_C[[DIAS_CORRIDOS]:[V_FUT_UTEIS]], L$5, FALSE)</f>
        <v>#N/A</v>
      </c>
    </row>
    <row r="3895" spans="1:12" hidden="1">
      <c r="A3895" s="19">
        <f t="shared" si="309"/>
        <v>3889</v>
      </c>
      <c r="B3895" s="20">
        <f t="shared" si="305"/>
        <v>0</v>
      </c>
      <c r="C3895" s="21">
        <f t="shared" si="306"/>
        <v>0</v>
      </c>
      <c r="D3895" s="22" t="e">
        <f>VLOOKUP($A3895, TAB_JUROS_U[[Q_DIAS_U_PARC_TIR]:[V_FUT_U_JURS CENARIO]], D$5, FALSE)</f>
        <v>#N/A</v>
      </c>
      <c r="E3895" s="22" t="e">
        <f>VLOOKUP($A3895,TAB_CORRECAO_U[[Q_DIAS_U_PARC_TIR]:[V_FUT_U_CORC-02]],E$5, FALSE)</f>
        <v>#N/A</v>
      </c>
      <c r="F3895" s="22" t="e">
        <f>VLOOKUP($A3895,TAB_AMORTIZACAO_U[[Q_DIAS_U_PARC_TIR]:[V_FUT_U_PCPL-02]], F$5, FALSE)</f>
        <v>#N/A</v>
      </c>
      <c r="H3895" s="20">
        <f t="shared" si="307"/>
        <v>0</v>
      </c>
      <c r="I3895" s="21">
        <f t="shared" si="308"/>
        <v>0</v>
      </c>
      <c r="J3895" s="22" t="e">
        <f>VLOOKUP($A3895, TAB_JUROS_C[[DIAS_CORRIDOS]:[V_FUT_UTEIS]], J$5, FALSE)</f>
        <v>#N/A</v>
      </c>
      <c r="K3895" s="22" t="e">
        <f>VLOOKUP($A3895, TAB_CORRECAO_C[[DIAS_CORRIDOS]:[V_FUT_UTEIS]],K$5, FALSE)</f>
        <v>#N/A</v>
      </c>
      <c r="L3895" s="22" t="e">
        <f>VLOOKUP($A3895, TAB_AMORTIZACAO_C[[DIAS_CORRIDOS]:[V_FUT_UTEIS]], L$5, FALSE)</f>
        <v>#N/A</v>
      </c>
    </row>
    <row r="3896" spans="1:12" hidden="1">
      <c r="A3896" s="19">
        <f t="shared" si="309"/>
        <v>3890</v>
      </c>
      <c r="B3896" s="20">
        <f t="shared" si="305"/>
        <v>0</v>
      </c>
      <c r="C3896" s="21">
        <f t="shared" si="306"/>
        <v>0</v>
      </c>
      <c r="D3896" s="22" t="e">
        <f>VLOOKUP($A3896, TAB_JUROS_U[[Q_DIAS_U_PARC_TIR]:[V_FUT_U_JURS CENARIO]], D$5, FALSE)</f>
        <v>#N/A</v>
      </c>
      <c r="E3896" s="22" t="e">
        <f>VLOOKUP($A3896,TAB_CORRECAO_U[[Q_DIAS_U_PARC_TIR]:[V_FUT_U_CORC-02]],E$5, FALSE)</f>
        <v>#N/A</v>
      </c>
      <c r="F3896" s="22" t="e">
        <f>VLOOKUP($A3896,TAB_AMORTIZACAO_U[[Q_DIAS_U_PARC_TIR]:[V_FUT_U_PCPL-02]], F$5, FALSE)</f>
        <v>#N/A</v>
      </c>
      <c r="H3896" s="20">
        <f t="shared" si="307"/>
        <v>0</v>
      </c>
      <c r="I3896" s="21">
        <f t="shared" si="308"/>
        <v>0</v>
      </c>
      <c r="J3896" s="22" t="e">
        <f>VLOOKUP($A3896, TAB_JUROS_C[[DIAS_CORRIDOS]:[V_FUT_UTEIS]], J$5, FALSE)</f>
        <v>#N/A</v>
      </c>
      <c r="K3896" s="22" t="e">
        <f>VLOOKUP($A3896, TAB_CORRECAO_C[[DIAS_CORRIDOS]:[V_FUT_UTEIS]],K$5, FALSE)</f>
        <v>#N/A</v>
      </c>
      <c r="L3896" s="22" t="e">
        <f>VLOOKUP($A3896, TAB_AMORTIZACAO_C[[DIAS_CORRIDOS]:[V_FUT_UTEIS]], L$5, FALSE)</f>
        <v>#N/A</v>
      </c>
    </row>
    <row r="3897" spans="1:12" hidden="1">
      <c r="A3897" s="19">
        <f t="shared" si="309"/>
        <v>3891</v>
      </c>
      <c r="B3897" s="20">
        <f t="shared" si="305"/>
        <v>0</v>
      </c>
      <c r="C3897" s="21">
        <f t="shared" si="306"/>
        <v>0</v>
      </c>
      <c r="D3897" s="22" t="e">
        <f>VLOOKUP($A3897, TAB_JUROS_U[[Q_DIAS_U_PARC_TIR]:[V_FUT_U_JURS CENARIO]], D$5, FALSE)</f>
        <v>#N/A</v>
      </c>
      <c r="E3897" s="22" t="e">
        <f>VLOOKUP($A3897,TAB_CORRECAO_U[[Q_DIAS_U_PARC_TIR]:[V_FUT_U_CORC-02]],E$5, FALSE)</f>
        <v>#N/A</v>
      </c>
      <c r="F3897" s="22" t="e">
        <f>VLOOKUP($A3897,TAB_AMORTIZACAO_U[[Q_DIAS_U_PARC_TIR]:[V_FUT_U_PCPL-02]], F$5, FALSE)</f>
        <v>#N/A</v>
      </c>
      <c r="H3897" s="20">
        <f t="shared" si="307"/>
        <v>0</v>
      </c>
      <c r="I3897" s="21">
        <f t="shared" si="308"/>
        <v>0</v>
      </c>
      <c r="J3897" s="22" t="e">
        <f>VLOOKUP($A3897, TAB_JUROS_C[[DIAS_CORRIDOS]:[V_FUT_UTEIS]], J$5, FALSE)</f>
        <v>#N/A</v>
      </c>
      <c r="K3897" s="22" t="e">
        <f>VLOOKUP($A3897, TAB_CORRECAO_C[[DIAS_CORRIDOS]:[V_FUT_UTEIS]],K$5, FALSE)</f>
        <v>#N/A</v>
      </c>
      <c r="L3897" s="22" t="e">
        <f>VLOOKUP($A3897, TAB_AMORTIZACAO_C[[DIAS_CORRIDOS]:[V_FUT_UTEIS]], L$5, FALSE)</f>
        <v>#N/A</v>
      </c>
    </row>
    <row r="3898" spans="1:12" hidden="1">
      <c r="A3898" s="19">
        <f t="shared" si="309"/>
        <v>3892</v>
      </c>
      <c r="B3898" s="20">
        <f t="shared" si="305"/>
        <v>0</v>
      </c>
      <c r="C3898" s="21">
        <f t="shared" si="306"/>
        <v>0</v>
      </c>
      <c r="D3898" s="22" t="e">
        <f>VLOOKUP($A3898, TAB_JUROS_U[[Q_DIAS_U_PARC_TIR]:[V_FUT_U_JURS CENARIO]], D$5, FALSE)</f>
        <v>#N/A</v>
      </c>
      <c r="E3898" s="22" t="e">
        <f>VLOOKUP($A3898,TAB_CORRECAO_U[[Q_DIAS_U_PARC_TIR]:[V_FUT_U_CORC-02]],E$5, FALSE)</f>
        <v>#N/A</v>
      </c>
      <c r="F3898" s="22" t="e">
        <f>VLOOKUP($A3898,TAB_AMORTIZACAO_U[[Q_DIAS_U_PARC_TIR]:[V_FUT_U_PCPL-02]], F$5, FALSE)</f>
        <v>#N/A</v>
      </c>
      <c r="H3898" s="20">
        <f t="shared" si="307"/>
        <v>0</v>
      </c>
      <c r="I3898" s="21">
        <f t="shared" si="308"/>
        <v>0</v>
      </c>
      <c r="J3898" s="22" t="e">
        <f>VLOOKUP($A3898, TAB_JUROS_C[[DIAS_CORRIDOS]:[V_FUT_UTEIS]], J$5, FALSE)</f>
        <v>#N/A</v>
      </c>
      <c r="K3898" s="22" t="e">
        <f>VLOOKUP($A3898, TAB_CORRECAO_C[[DIAS_CORRIDOS]:[V_FUT_UTEIS]],K$5, FALSE)</f>
        <v>#N/A</v>
      </c>
      <c r="L3898" s="22" t="e">
        <f>VLOOKUP($A3898, TAB_AMORTIZACAO_C[[DIAS_CORRIDOS]:[V_FUT_UTEIS]], L$5, FALSE)</f>
        <v>#N/A</v>
      </c>
    </row>
    <row r="3899" spans="1:12" hidden="1">
      <c r="A3899" s="19">
        <f t="shared" si="309"/>
        <v>3893</v>
      </c>
      <c r="B3899" s="20">
        <f t="shared" si="305"/>
        <v>0</v>
      </c>
      <c r="C3899" s="21">
        <f t="shared" si="306"/>
        <v>0</v>
      </c>
      <c r="D3899" s="22" t="e">
        <f>VLOOKUP($A3899, TAB_JUROS_U[[Q_DIAS_U_PARC_TIR]:[V_FUT_U_JURS CENARIO]], D$5, FALSE)</f>
        <v>#N/A</v>
      </c>
      <c r="E3899" s="22" t="e">
        <f>VLOOKUP($A3899,TAB_CORRECAO_U[[Q_DIAS_U_PARC_TIR]:[V_FUT_U_CORC-02]],E$5, FALSE)</f>
        <v>#N/A</v>
      </c>
      <c r="F3899" s="22" t="e">
        <f>VLOOKUP($A3899,TAB_AMORTIZACAO_U[[Q_DIAS_U_PARC_TIR]:[V_FUT_U_PCPL-02]], F$5, FALSE)</f>
        <v>#N/A</v>
      </c>
      <c r="H3899" s="20">
        <f t="shared" si="307"/>
        <v>0</v>
      </c>
      <c r="I3899" s="21">
        <f t="shared" si="308"/>
        <v>0</v>
      </c>
      <c r="J3899" s="22" t="e">
        <f>VLOOKUP($A3899, TAB_JUROS_C[[DIAS_CORRIDOS]:[V_FUT_UTEIS]], J$5, FALSE)</f>
        <v>#N/A</v>
      </c>
      <c r="K3899" s="22" t="e">
        <f>VLOOKUP($A3899, TAB_CORRECAO_C[[DIAS_CORRIDOS]:[V_FUT_UTEIS]],K$5, FALSE)</f>
        <v>#N/A</v>
      </c>
      <c r="L3899" s="22" t="e">
        <f>VLOOKUP($A3899, TAB_AMORTIZACAO_C[[DIAS_CORRIDOS]:[V_FUT_UTEIS]], L$5, FALSE)</f>
        <v>#N/A</v>
      </c>
    </row>
    <row r="3900" spans="1:12" hidden="1">
      <c r="A3900" s="19">
        <f t="shared" si="309"/>
        <v>3894</v>
      </c>
      <c r="B3900" s="20">
        <f t="shared" si="305"/>
        <v>0</v>
      </c>
      <c r="C3900" s="21">
        <f t="shared" si="306"/>
        <v>0</v>
      </c>
      <c r="D3900" s="22" t="e">
        <f>VLOOKUP($A3900, TAB_JUROS_U[[Q_DIAS_U_PARC_TIR]:[V_FUT_U_JURS CENARIO]], D$5, FALSE)</f>
        <v>#N/A</v>
      </c>
      <c r="E3900" s="22" t="e">
        <f>VLOOKUP($A3900,TAB_CORRECAO_U[[Q_DIAS_U_PARC_TIR]:[V_FUT_U_CORC-02]],E$5, FALSE)</f>
        <v>#N/A</v>
      </c>
      <c r="F3900" s="22" t="e">
        <f>VLOOKUP($A3900,TAB_AMORTIZACAO_U[[Q_DIAS_U_PARC_TIR]:[V_FUT_U_PCPL-02]], F$5, FALSE)</f>
        <v>#N/A</v>
      </c>
      <c r="H3900" s="20">
        <f t="shared" si="307"/>
        <v>0</v>
      </c>
      <c r="I3900" s="21">
        <f t="shared" si="308"/>
        <v>0</v>
      </c>
      <c r="J3900" s="22" t="e">
        <f>VLOOKUP($A3900, TAB_JUROS_C[[DIAS_CORRIDOS]:[V_FUT_UTEIS]], J$5, FALSE)</f>
        <v>#N/A</v>
      </c>
      <c r="K3900" s="22" t="e">
        <f>VLOOKUP($A3900, TAB_CORRECAO_C[[DIAS_CORRIDOS]:[V_FUT_UTEIS]],K$5, FALSE)</f>
        <v>#N/A</v>
      </c>
      <c r="L3900" s="22" t="e">
        <f>VLOOKUP($A3900, TAB_AMORTIZACAO_C[[DIAS_CORRIDOS]:[V_FUT_UTEIS]], L$5, FALSE)</f>
        <v>#N/A</v>
      </c>
    </row>
    <row r="3901" spans="1:12" hidden="1">
      <c r="A3901" s="19">
        <f t="shared" si="309"/>
        <v>3895</v>
      </c>
      <c r="B3901" s="20">
        <f t="shared" si="305"/>
        <v>0</v>
      </c>
      <c r="C3901" s="21">
        <f t="shared" si="306"/>
        <v>0</v>
      </c>
      <c r="D3901" s="22" t="e">
        <f>VLOOKUP($A3901, TAB_JUROS_U[[Q_DIAS_U_PARC_TIR]:[V_FUT_U_JURS CENARIO]], D$5, FALSE)</f>
        <v>#N/A</v>
      </c>
      <c r="E3901" s="22" t="e">
        <f>VLOOKUP($A3901,TAB_CORRECAO_U[[Q_DIAS_U_PARC_TIR]:[V_FUT_U_CORC-02]],E$5, FALSE)</f>
        <v>#N/A</v>
      </c>
      <c r="F3901" s="22" t="e">
        <f>VLOOKUP($A3901,TAB_AMORTIZACAO_U[[Q_DIAS_U_PARC_TIR]:[V_FUT_U_PCPL-02]], F$5, FALSE)</f>
        <v>#N/A</v>
      </c>
      <c r="H3901" s="20">
        <f t="shared" si="307"/>
        <v>0</v>
      </c>
      <c r="I3901" s="21">
        <f t="shared" si="308"/>
        <v>0</v>
      </c>
      <c r="J3901" s="22" t="e">
        <f>VLOOKUP($A3901, TAB_JUROS_C[[DIAS_CORRIDOS]:[V_FUT_UTEIS]], J$5, FALSE)</f>
        <v>#N/A</v>
      </c>
      <c r="K3901" s="22" t="e">
        <f>VLOOKUP($A3901, TAB_CORRECAO_C[[DIAS_CORRIDOS]:[V_FUT_UTEIS]],K$5, FALSE)</f>
        <v>#N/A</v>
      </c>
      <c r="L3901" s="22" t="e">
        <f>VLOOKUP($A3901, TAB_AMORTIZACAO_C[[DIAS_CORRIDOS]:[V_FUT_UTEIS]], L$5, FALSE)</f>
        <v>#N/A</v>
      </c>
    </row>
    <row r="3902" spans="1:12" hidden="1">
      <c r="A3902" s="19">
        <f t="shared" si="309"/>
        <v>3896</v>
      </c>
      <c r="B3902" s="20">
        <f t="shared" si="305"/>
        <v>0</v>
      </c>
      <c r="C3902" s="21">
        <f t="shared" si="306"/>
        <v>0</v>
      </c>
      <c r="D3902" s="22" t="e">
        <f>VLOOKUP($A3902, TAB_JUROS_U[[Q_DIAS_U_PARC_TIR]:[V_FUT_U_JURS CENARIO]], D$5, FALSE)</f>
        <v>#N/A</v>
      </c>
      <c r="E3902" s="22" t="e">
        <f>VLOOKUP($A3902,TAB_CORRECAO_U[[Q_DIAS_U_PARC_TIR]:[V_FUT_U_CORC-02]],E$5, FALSE)</f>
        <v>#N/A</v>
      </c>
      <c r="F3902" s="22" t="e">
        <f>VLOOKUP($A3902,TAB_AMORTIZACAO_U[[Q_DIAS_U_PARC_TIR]:[V_FUT_U_PCPL-02]], F$5, FALSE)</f>
        <v>#N/A</v>
      </c>
      <c r="H3902" s="20">
        <f t="shared" si="307"/>
        <v>0</v>
      </c>
      <c r="I3902" s="21">
        <f t="shared" si="308"/>
        <v>0</v>
      </c>
      <c r="J3902" s="22" t="e">
        <f>VLOOKUP($A3902, TAB_JUROS_C[[DIAS_CORRIDOS]:[V_FUT_UTEIS]], J$5, FALSE)</f>
        <v>#N/A</v>
      </c>
      <c r="K3902" s="22" t="e">
        <f>VLOOKUP($A3902, TAB_CORRECAO_C[[DIAS_CORRIDOS]:[V_FUT_UTEIS]],K$5, FALSE)</f>
        <v>#N/A</v>
      </c>
      <c r="L3902" s="22" t="e">
        <f>VLOOKUP($A3902, TAB_AMORTIZACAO_C[[DIAS_CORRIDOS]:[V_FUT_UTEIS]], L$5, FALSE)</f>
        <v>#N/A</v>
      </c>
    </row>
    <row r="3903" spans="1:12" hidden="1">
      <c r="A3903" s="19">
        <f t="shared" si="309"/>
        <v>3897</v>
      </c>
      <c r="B3903" s="20">
        <f t="shared" si="305"/>
        <v>0</v>
      </c>
      <c r="C3903" s="21">
        <f t="shared" si="306"/>
        <v>0</v>
      </c>
      <c r="D3903" s="22" t="e">
        <f>VLOOKUP($A3903, TAB_JUROS_U[[Q_DIAS_U_PARC_TIR]:[V_FUT_U_JURS CENARIO]], D$5, FALSE)</f>
        <v>#N/A</v>
      </c>
      <c r="E3903" s="22" t="e">
        <f>VLOOKUP($A3903,TAB_CORRECAO_U[[Q_DIAS_U_PARC_TIR]:[V_FUT_U_CORC-02]],E$5, FALSE)</f>
        <v>#N/A</v>
      </c>
      <c r="F3903" s="22" t="e">
        <f>VLOOKUP($A3903,TAB_AMORTIZACAO_U[[Q_DIAS_U_PARC_TIR]:[V_FUT_U_PCPL-02]], F$5, FALSE)</f>
        <v>#N/A</v>
      </c>
      <c r="H3903" s="20">
        <f t="shared" si="307"/>
        <v>0</v>
      </c>
      <c r="I3903" s="21">
        <f t="shared" si="308"/>
        <v>0</v>
      </c>
      <c r="J3903" s="22" t="e">
        <f>VLOOKUP($A3903, TAB_JUROS_C[[DIAS_CORRIDOS]:[V_FUT_UTEIS]], J$5, FALSE)</f>
        <v>#N/A</v>
      </c>
      <c r="K3903" s="22" t="e">
        <f>VLOOKUP($A3903, TAB_CORRECAO_C[[DIAS_CORRIDOS]:[V_FUT_UTEIS]],K$5, FALSE)</f>
        <v>#N/A</v>
      </c>
      <c r="L3903" s="22" t="e">
        <f>VLOOKUP($A3903, TAB_AMORTIZACAO_C[[DIAS_CORRIDOS]:[V_FUT_UTEIS]], L$5, FALSE)</f>
        <v>#N/A</v>
      </c>
    </row>
    <row r="3904" spans="1:12" hidden="1">
      <c r="A3904" s="19">
        <f t="shared" si="309"/>
        <v>3898</v>
      </c>
      <c r="B3904" s="20">
        <f t="shared" si="305"/>
        <v>0</v>
      </c>
      <c r="C3904" s="21">
        <f t="shared" si="306"/>
        <v>0</v>
      </c>
      <c r="D3904" s="22" t="e">
        <f>VLOOKUP($A3904, TAB_JUROS_U[[Q_DIAS_U_PARC_TIR]:[V_FUT_U_JURS CENARIO]], D$5, FALSE)</f>
        <v>#N/A</v>
      </c>
      <c r="E3904" s="22" t="e">
        <f>VLOOKUP($A3904,TAB_CORRECAO_U[[Q_DIAS_U_PARC_TIR]:[V_FUT_U_CORC-02]],E$5, FALSE)</f>
        <v>#N/A</v>
      </c>
      <c r="F3904" s="22" t="e">
        <f>VLOOKUP($A3904,TAB_AMORTIZACAO_U[[Q_DIAS_U_PARC_TIR]:[V_FUT_U_PCPL-02]], F$5, FALSE)</f>
        <v>#N/A</v>
      </c>
      <c r="H3904" s="20">
        <f t="shared" si="307"/>
        <v>0</v>
      </c>
      <c r="I3904" s="21">
        <f t="shared" si="308"/>
        <v>0</v>
      </c>
      <c r="J3904" s="22" t="e">
        <f>VLOOKUP($A3904, TAB_JUROS_C[[DIAS_CORRIDOS]:[V_FUT_UTEIS]], J$5, FALSE)</f>
        <v>#N/A</v>
      </c>
      <c r="K3904" s="22" t="e">
        <f>VLOOKUP($A3904, TAB_CORRECAO_C[[DIAS_CORRIDOS]:[V_FUT_UTEIS]],K$5, FALSE)</f>
        <v>#N/A</v>
      </c>
      <c r="L3904" s="22" t="e">
        <f>VLOOKUP($A3904, TAB_AMORTIZACAO_C[[DIAS_CORRIDOS]:[V_FUT_UTEIS]], L$5, FALSE)</f>
        <v>#N/A</v>
      </c>
    </row>
    <row r="3905" spans="1:12" hidden="1">
      <c r="A3905" s="19">
        <f t="shared" si="309"/>
        <v>3899</v>
      </c>
      <c r="B3905" s="20">
        <f t="shared" si="305"/>
        <v>0</v>
      </c>
      <c r="C3905" s="21">
        <f t="shared" si="306"/>
        <v>0</v>
      </c>
      <c r="D3905" s="22" t="e">
        <f>VLOOKUP($A3905, TAB_JUROS_U[[Q_DIAS_U_PARC_TIR]:[V_FUT_U_JURS CENARIO]], D$5, FALSE)</f>
        <v>#N/A</v>
      </c>
      <c r="E3905" s="22" t="e">
        <f>VLOOKUP($A3905,TAB_CORRECAO_U[[Q_DIAS_U_PARC_TIR]:[V_FUT_U_CORC-02]],E$5, FALSE)</f>
        <v>#N/A</v>
      </c>
      <c r="F3905" s="22" t="e">
        <f>VLOOKUP($A3905,TAB_AMORTIZACAO_U[[Q_DIAS_U_PARC_TIR]:[V_FUT_U_PCPL-02]], F$5, FALSE)</f>
        <v>#N/A</v>
      </c>
      <c r="H3905" s="20">
        <f t="shared" si="307"/>
        <v>0</v>
      </c>
      <c r="I3905" s="21">
        <f t="shared" si="308"/>
        <v>0</v>
      </c>
      <c r="J3905" s="22" t="e">
        <f>VLOOKUP($A3905, TAB_JUROS_C[[DIAS_CORRIDOS]:[V_FUT_UTEIS]], J$5, FALSE)</f>
        <v>#N/A</v>
      </c>
      <c r="K3905" s="22" t="e">
        <f>VLOOKUP($A3905, TAB_CORRECAO_C[[DIAS_CORRIDOS]:[V_FUT_UTEIS]],K$5, FALSE)</f>
        <v>#N/A</v>
      </c>
      <c r="L3905" s="22" t="e">
        <f>VLOOKUP($A3905, TAB_AMORTIZACAO_C[[DIAS_CORRIDOS]:[V_FUT_UTEIS]], L$5, FALSE)</f>
        <v>#N/A</v>
      </c>
    </row>
    <row r="3906" spans="1:12" hidden="1">
      <c r="A3906" s="19">
        <f t="shared" si="309"/>
        <v>3900</v>
      </c>
      <c r="B3906" s="20">
        <f t="shared" si="305"/>
        <v>0</v>
      </c>
      <c r="C3906" s="21">
        <f t="shared" si="306"/>
        <v>0</v>
      </c>
      <c r="D3906" s="22" t="e">
        <f>VLOOKUP($A3906, TAB_JUROS_U[[Q_DIAS_U_PARC_TIR]:[V_FUT_U_JURS CENARIO]], D$5, FALSE)</f>
        <v>#N/A</v>
      </c>
      <c r="E3906" s="22" t="e">
        <f>VLOOKUP($A3906,TAB_CORRECAO_U[[Q_DIAS_U_PARC_TIR]:[V_FUT_U_CORC-02]],E$5, FALSE)</f>
        <v>#N/A</v>
      </c>
      <c r="F3906" s="22" t="e">
        <f>VLOOKUP($A3906,TAB_AMORTIZACAO_U[[Q_DIAS_U_PARC_TIR]:[V_FUT_U_PCPL-02]], F$5, FALSE)</f>
        <v>#N/A</v>
      </c>
      <c r="H3906" s="20">
        <f t="shared" si="307"/>
        <v>0</v>
      </c>
      <c r="I3906" s="21">
        <f t="shared" si="308"/>
        <v>0</v>
      </c>
      <c r="J3906" s="22" t="e">
        <f>VLOOKUP($A3906, TAB_JUROS_C[[DIAS_CORRIDOS]:[V_FUT_UTEIS]], J$5, FALSE)</f>
        <v>#N/A</v>
      </c>
      <c r="K3906" s="22" t="e">
        <f>VLOOKUP($A3906, TAB_CORRECAO_C[[DIAS_CORRIDOS]:[V_FUT_UTEIS]],K$5, FALSE)</f>
        <v>#N/A</v>
      </c>
      <c r="L3906" s="22" t="e">
        <f>VLOOKUP($A3906, TAB_AMORTIZACAO_C[[DIAS_CORRIDOS]:[V_FUT_UTEIS]], L$5, FALSE)</f>
        <v>#N/A</v>
      </c>
    </row>
    <row r="3907" spans="1:12" hidden="1">
      <c r="A3907" s="19">
        <f t="shared" si="309"/>
        <v>3901</v>
      </c>
      <c r="B3907" s="20">
        <f t="shared" si="305"/>
        <v>0</v>
      </c>
      <c r="C3907" s="21">
        <f t="shared" si="306"/>
        <v>0</v>
      </c>
      <c r="D3907" s="22" t="e">
        <f>VLOOKUP($A3907, TAB_JUROS_U[[Q_DIAS_U_PARC_TIR]:[V_FUT_U_JURS CENARIO]], D$5, FALSE)</f>
        <v>#N/A</v>
      </c>
      <c r="E3907" s="22" t="e">
        <f>VLOOKUP($A3907,TAB_CORRECAO_U[[Q_DIAS_U_PARC_TIR]:[V_FUT_U_CORC-02]],E$5, FALSE)</f>
        <v>#N/A</v>
      </c>
      <c r="F3907" s="22" t="e">
        <f>VLOOKUP($A3907,TAB_AMORTIZACAO_U[[Q_DIAS_U_PARC_TIR]:[V_FUT_U_PCPL-02]], F$5, FALSE)</f>
        <v>#N/A</v>
      </c>
      <c r="H3907" s="20">
        <f t="shared" si="307"/>
        <v>0</v>
      </c>
      <c r="I3907" s="21">
        <f t="shared" si="308"/>
        <v>0</v>
      </c>
      <c r="J3907" s="22" t="e">
        <f>VLOOKUP($A3907, TAB_JUROS_C[[DIAS_CORRIDOS]:[V_FUT_UTEIS]], J$5, FALSE)</f>
        <v>#N/A</v>
      </c>
      <c r="K3907" s="22" t="e">
        <f>VLOOKUP($A3907, TAB_CORRECAO_C[[DIAS_CORRIDOS]:[V_FUT_UTEIS]],K$5, FALSE)</f>
        <v>#N/A</v>
      </c>
      <c r="L3907" s="22" t="e">
        <f>VLOOKUP($A3907, TAB_AMORTIZACAO_C[[DIAS_CORRIDOS]:[V_FUT_UTEIS]], L$5, FALSE)</f>
        <v>#N/A</v>
      </c>
    </row>
    <row r="3908" spans="1:12" hidden="1">
      <c r="A3908" s="19">
        <f t="shared" si="309"/>
        <v>3902</v>
      </c>
      <c r="B3908" s="20">
        <f t="shared" si="305"/>
        <v>0</v>
      </c>
      <c r="C3908" s="21">
        <f t="shared" si="306"/>
        <v>0</v>
      </c>
      <c r="D3908" s="22" t="e">
        <f>VLOOKUP($A3908, TAB_JUROS_U[[Q_DIAS_U_PARC_TIR]:[V_FUT_U_JURS CENARIO]], D$5, FALSE)</f>
        <v>#N/A</v>
      </c>
      <c r="E3908" s="22" t="e">
        <f>VLOOKUP($A3908,TAB_CORRECAO_U[[Q_DIAS_U_PARC_TIR]:[V_FUT_U_CORC-02]],E$5, FALSE)</f>
        <v>#N/A</v>
      </c>
      <c r="F3908" s="22" t="e">
        <f>VLOOKUP($A3908,TAB_AMORTIZACAO_U[[Q_DIAS_U_PARC_TIR]:[V_FUT_U_PCPL-02]], F$5, FALSE)</f>
        <v>#N/A</v>
      </c>
      <c r="H3908" s="20">
        <f t="shared" si="307"/>
        <v>0</v>
      </c>
      <c r="I3908" s="21">
        <f t="shared" si="308"/>
        <v>0</v>
      </c>
      <c r="J3908" s="22" t="e">
        <f>VLOOKUP($A3908, TAB_JUROS_C[[DIAS_CORRIDOS]:[V_FUT_UTEIS]], J$5, FALSE)</f>
        <v>#N/A</v>
      </c>
      <c r="K3908" s="22" t="e">
        <f>VLOOKUP($A3908, TAB_CORRECAO_C[[DIAS_CORRIDOS]:[V_FUT_UTEIS]],K$5, FALSE)</f>
        <v>#N/A</v>
      </c>
      <c r="L3908" s="22" t="e">
        <f>VLOOKUP($A3908, TAB_AMORTIZACAO_C[[DIAS_CORRIDOS]:[V_FUT_UTEIS]], L$5, FALSE)</f>
        <v>#N/A</v>
      </c>
    </row>
    <row r="3909" spans="1:12" hidden="1">
      <c r="A3909" s="19">
        <f t="shared" si="309"/>
        <v>3903</v>
      </c>
      <c r="B3909" s="20">
        <f t="shared" si="305"/>
        <v>0</v>
      </c>
      <c r="C3909" s="21">
        <f t="shared" si="306"/>
        <v>0</v>
      </c>
      <c r="D3909" s="22" t="e">
        <f>VLOOKUP($A3909, TAB_JUROS_U[[Q_DIAS_U_PARC_TIR]:[V_FUT_U_JURS CENARIO]], D$5, FALSE)</f>
        <v>#N/A</v>
      </c>
      <c r="E3909" s="22" t="e">
        <f>VLOOKUP($A3909,TAB_CORRECAO_U[[Q_DIAS_U_PARC_TIR]:[V_FUT_U_CORC-02]],E$5, FALSE)</f>
        <v>#N/A</v>
      </c>
      <c r="F3909" s="22" t="e">
        <f>VLOOKUP($A3909,TAB_AMORTIZACAO_U[[Q_DIAS_U_PARC_TIR]:[V_FUT_U_PCPL-02]], F$5, FALSE)</f>
        <v>#N/A</v>
      </c>
      <c r="H3909" s="20">
        <f t="shared" si="307"/>
        <v>0</v>
      </c>
      <c r="I3909" s="21">
        <f t="shared" si="308"/>
        <v>0</v>
      </c>
      <c r="J3909" s="22" t="e">
        <f>VLOOKUP($A3909, TAB_JUROS_C[[DIAS_CORRIDOS]:[V_FUT_UTEIS]], J$5, FALSE)</f>
        <v>#N/A</v>
      </c>
      <c r="K3909" s="22" t="e">
        <f>VLOOKUP($A3909, TAB_CORRECAO_C[[DIAS_CORRIDOS]:[V_FUT_UTEIS]],K$5, FALSE)</f>
        <v>#N/A</v>
      </c>
      <c r="L3909" s="22" t="e">
        <f>VLOOKUP($A3909, TAB_AMORTIZACAO_C[[DIAS_CORRIDOS]:[V_FUT_UTEIS]], L$5, FALSE)</f>
        <v>#N/A</v>
      </c>
    </row>
    <row r="3910" spans="1:12" hidden="1">
      <c r="A3910" s="19">
        <f t="shared" si="309"/>
        <v>3904</v>
      </c>
      <c r="B3910" s="20">
        <f t="shared" si="305"/>
        <v>0</v>
      </c>
      <c r="C3910" s="21">
        <f t="shared" si="306"/>
        <v>0</v>
      </c>
      <c r="D3910" s="22" t="e">
        <f>VLOOKUP($A3910, TAB_JUROS_U[[Q_DIAS_U_PARC_TIR]:[V_FUT_U_JURS CENARIO]], D$5, FALSE)</f>
        <v>#N/A</v>
      </c>
      <c r="E3910" s="22" t="e">
        <f>VLOOKUP($A3910,TAB_CORRECAO_U[[Q_DIAS_U_PARC_TIR]:[V_FUT_U_CORC-02]],E$5, FALSE)</f>
        <v>#N/A</v>
      </c>
      <c r="F3910" s="22" t="e">
        <f>VLOOKUP($A3910,TAB_AMORTIZACAO_U[[Q_DIAS_U_PARC_TIR]:[V_FUT_U_PCPL-02]], F$5, FALSE)</f>
        <v>#N/A</v>
      </c>
      <c r="H3910" s="20">
        <f t="shared" si="307"/>
        <v>0</v>
      </c>
      <c r="I3910" s="21">
        <f t="shared" si="308"/>
        <v>0</v>
      </c>
      <c r="J3910" s="22" t="e">
        <f>VLOOKUP($A3910, TAB_JUROS_C[[DIAS_CORRIDOS]:[V_FUT_UTEIS]], J$5, FALSE)</f>
        <v>#N/A</v>
      </c>
      <c r="K3910" s="22" t="e">
        <f>VLOOKUP($A3910, TAB_CORRECAO_C[[DIAS_CORRIDOS]:[V_FUT_UTEIS]],K$5, FALSE)</f>
        <v>#N/A</v>
      </c>
      <c r="L3910" s="22" t="e">
        <f>VLOOKUP($A3910, TAB_AMORTIZACAO_C[[DIAS_CORRIDOS]:[V_FUT_UTEIS]], L$5, FALSE)</f>
        <v>#N/A</v>
      </c>
    </row>
    <row r="3911" spans="1:12" hidden="1">
      <c r="A3911" s="19">
        <f t="shared" si="309"/>
        <v>3905</v>
      </c>
      <c r="B3911" s="20">
        <f t="shared" si="305"/>
        <v>0</v>
      </c>
      <c r="C3911" s="21">
        <f t="shared" si="306"/>
        <v>0</v>
      </c>
      <c r="D3911" s="22" t="e">
        <f>VLOOKUP($A3911, TAB_JUROS_U[[Q_DIAS_U_PARC_TIR]:[V_FUT_U_JURS CENARIO]], D$5, FALSE)</f>
        <v>#N/A</v>
      </c>
      <c r="E3911" s="22" t="e">
        <f>VLOOKUP($A3911,TAB_CORRECAO_U[[Q_DIAS_U_PARC_TIR]:[V_FUT_U_CORC-02]],E$5, FALSE)</f>
        <v>#N/A</v>
      </c>
      <c r="F3911" s="22" t="e">
        <f>VLOOKUP($A3911,TAB_AMORTIZACAO_U[[Q_DIAS_U_PARC_TIR]:[V_FUT_U_PCPL-02]], F$5, FALSE)</f>
        <v>#N/A</v>
      </c>
      <c r="H3911" s="20">
        <f t="shared" si="307"/>
        <v>0</v>
      </c>
      <c r="I3911" s="21">
        <f t="shared" si="308"/>
        <v>0</v>
      </c>
      <c r="J3911" s="22" t="e">
        <f>VLOOKUP($A3911, TAB_JUROS_C[[DIAS_CORRIDOS]:[V_FUT_UTEIS]], J$5, FALSE)</f>
        <v>#N/A</v>
      </c>
      <c r="K3911" s="22" t="e">
        <f>VLOOKUP($A3911, TAB_CORRECAO_C[[DIAS_CORRIDOS]:[V_FUT_UTEIS]],K$5, FALSE)</f>
        <v>#N/A</v>
      </c>
      <c r="L3911" s="22" t="e">
        <f>VLOOKUP($A3911, TAB_AMORTIZACAO_C[[DIAS_CORRIDOS]:[V_FUT_UTEIS]], L$5, FALSE)</f>
        <v>#N/A</v>
      </c>
    </row>
    <row r="3912" spans="1:12" hidden="1">
      <c r="A3912" s="19">
        <f t="shared" si="309"/>
        <v>3906</v>
      </c>
      <c r="B3912" s="20">
        <f t="shared" si="305"/>
        <v>0</v>
      </c>
      <c r="C3912" s="21">
        <f t="shared" si="306"/>
        <v>0</v>
      </c>
      <c r="D3912" s="22" t="e">
        <f>VLOOKUP($A3912, TAB_JUROS_U[[Q_DIAS_U_PARC_TIR]:[V_FUT_U_JURS CENARIO]], D$5, FALSE)</f>
        <v>#N/A</v>
      </c>
      <c r="E3912" s="22" t="e">
        <f>VLOOKUP($A3912,TAB_CORRECAO_U[[Q_DIAS_U_PARC_TIR]:[V_FUT_U_CORC-02]],E$5, FALSE)</f>
        <v>#N/A</v>
      </c>
      <c r="F3912" s="22" t="e">
        <f>VLOOKUP($A3912,TAB_AMORTIZACAO_U[[Q_DIAS_U_PARC_TIR]:[V_FUT_U_PCPL-02]], F$5, FALSE)</f>
        <v>#N/A</v>
      </c>
      <c r="H3912" s="20">
        <f t="shared" si="307"/>
        <v>0</v>
      </c>
      <c r="I3912" s="21">
        <f t="shared" si="308"/>
        <v>0</v>
      </c>
      <c r="J3912" s="22" t="e">
        <f>VLOOKUP($A3912, TAB_JUROS_C[[DIAS_CORRIDOS]:[V_FUT_UTEIS]], J$5, FALSE)</f>
        <v>#N/A</v>
      </c>
      <c r="K3912" s="22" t="e">
        <f>VLOOKUP($A3912, TAB_CORRECAO_C[[DIAS_CORRIDOS]:[V_FUT_UTEIS]],K$5, FALSE)</f>
        <v>#N/A</v>
      </c>
      <c r="L3912" s="22" t="e">
        <f>VLOOKUP($A3912, TAB_AMORTIZACAO_C[[DIAS_CORRIDOS]:[V_FUT_UTEIS]], L$5, FALSE)</f>
        <v>#N/A</v>
      </c>
    </row>
    <row r="3913" spans="1:12" hidden="1">
      <c r="A3913" s="19">
        <f t="shared" si="309"/>
        <v>3907</v>
      </c>
      <c r="B3913" s="20">
        <f t="shared" ref="B3913:B3976" si="310">IF(ISERROR(C3913), 0, C3913)</f>
        <v>0</v>
      </c>
      <c r="C3913" s="21">
        <f t="shared" ref="C3913:C3976" si="311">SUMIF(D3913:F3913, "&gt;0", D3913:F3913)</f>
        <v>0</v>
      </c>
      <c r="D3913" s="22" t="e">
        <f>VLOOKUP($A3913, TAB_JUROS_U[[Q_DIAS_U_PARC_TIR]:[V_FUT_U_JURS CENARIO]], D$5, FALSE)</f>
        <v>#N/A</v>
      </c>
      <c r="E3913" s="22" t="e">
        <f>VLOOKUP($A3913,TAB_CORRECAO_U[[Q_DIAS_U_PARC_TIR]:[V_FUT_U_CORC-02]],E$5, FALSE)</f>
        <v>#N/A</v>
      </c>
      <c r="F3913" s="22" t="e">
        <f>VLOOKUP($A3913,TAB_AMORTIZACAO_U[[Q_DIAS_U_PARC_TIR]:[V_FUT_U_PCPL-02]], F$5, FALSE)</f>
        <v>#N/A</v>
      </c>
      <c r="H3913" s="20">
        <f t="shared" ref="H3913:H3976" si="312">IF(ISERROR(I3913), 0, I3913)</f>
        <v>0</v>
      </c>
      <c r="I3913" s="21">
        <f t="shared" ref="I3913:I3976" si="313">SUMIF(J3913:L3913, "&gt;0", J3913:L3913)</f>
        <v>0</v>
      </c>
      <c r="J3913" s="22" t="e">
        <f>VLOOKUP($A3913, TAB_JUROS_C[[DIAS_CORRIDOS]:[V_FUT_UTEIS]], J$5, FALSE)</f>
        <v>#N/A</v>
      </c>
      <c r="K3913" s="22" t="e">
        <f>VLOOKUP($A3913, TAB_CORRECAO_C[[DIAS_CORRIDOS]:[V_FUT_UTEIS]],K$5, FALSE)</f>
        <v>#N/A</v>
      </c>
      <c r="L3913" s="22" t="e">
        <f>VLOOKUP($A3913, TAB_AMORTIZACAO_C[[DIAS_CORRIDOS]:[V_FUT_UTEIS]], L$5, FALSE)</f>
        <v>#N/A</v>
      </c>
    </row>
    <row r="3914" spans="1:12" hidden="1">
      <c r="A3914" s="19">
        <f t="shared" ref="A3914:A3977" si="314">A3913+1</f>
        <v>3908</v>
      </c>
      <c r="B3914" s="20">
        <f t="shared" si="310"/>
        <v>0</v>
      </c>
      <c r="C3914" s="21">
        <f t="shared" si="311"/>
        <v>0</v>
      </c>
      <c r="D3914" s="22" t="e">
        <f>VLOOKUP($A3914, TAB_JUROS_U[[Q_DIAS_U_PARC_TIR]:[V_FUT_U_JURS CENARIO]], D$5, FALSE)</f>
        <v>#N/A</v>
      </c>
      <c r="E3914" s="22" t="e">
        <f>VLOOKUP($A3914,TAB_CORRECAO_U[[Q_DIAS_U_PARC_TIR]:[V_FUT_U_CORC-02]],E$5, FALSE)</f>
        <v>#N/A</v>
      </c>
      <c r="F3914" s="22" t="e">
        <f>VLOOKUP($A3914,TAB_AMORTIZACAO_U[[Q_DIAS_U_PARC_TIR]:[V_FUT_U_PCPL-02]], F$5, FALSE)</f>
        <v>#N/A</v>
      </c>
      <c r="H3914" s="20">
        <f t="shared" si="312"/>
        <v>128.93838349843719</v>
      </c>
      <c r="I3914" s="21">
        <f t="shared" si="313"/>
        <v>128.93838349843719</v>
      </c>
      <c r="J3914" s="22">
        <f>VLOOKUP($A3914, TAB_JUROS_C[[DIAS_CORRIDOS]:[V_FUT_UTEIS]], J$5, FALSE)</f>
        <v>3.4293013724494186</v>
      </c>
      <c r="K3914" s="22">
        <f>VLOOKUP($A3914, TAB_CORRECAO_C[[DIAS_CORRIDOS]:[V_FUT_UTEIS]],K$5, FALSE)</f>
        <v>21.326662355247766</v>
      </c>
      <c r="L3914" s="22">
        <f>VLOOKUP($A3914, TAB_AMORTIZACAO_C[[DIAS_CORRIDOS]:[V_FUT_UTEIS]], L$5, FALSE)</f>
        <v>104.18241977074001</v>
      </c>
    </row>
    <row r="3915" spans="1:12" hidden="1">
      <c r="A3915" s="19">
        <f t="shared" si="314"/>
        <v>3909</v>
      </c>
      <c r="B3915" s="20">
        <f t="shared" si="310"/>
        <v>0</v>
      </c>
      <c r="C3915" s="21">
        <f t="shared" si="311"/>
        <v>0</v>
      </c>
      <c r="D3915" s="22" t="e">
        <f>VLOOKUP($A3915, TAB_JUROS_U[[Q_DIAS_U_PARC_TIR]:[V_FUT_U_JURS CENARIO]], D$5, FALSE)</f>
        <v>#N/A</v>
      </c>
      <c r="E3915" s="22" t="e">
        <f>VLOOKUP($A3915,TAB_CORRECAO_U[[Q_DIAS_U_PARC_TIR]:[V_FUT_U_CORC-02]],E$5, FALSE)</f>
        <v>#N/A</v>
      </c>
      <c r="F3915" s="22" t="e">
        <f>VLOOKUP($A3915,TAB_AMORTIZACAO_U[[Q_DIAS_U_PARC_TIR]:[V_FUT_U_PCPL-02]], F$5, FALSE)</f>
        <v>#N/A</v>
      </c>
      <c r="H3915" s="20">
        <f t="shared" si="312"/>
        <v>0</v>
      </c>
      <c r="I3915" s="21">
        <f t="shared" si="313"/>
        <v>0</v>
      </c>
      <c r="J3915" s="22" t="e">
        <f>VLOOKUP($A3915, TAB_JUROS_C[[DIAS_CORRIDOS]:[V_FUT_UTEIS]], J$5, FALSE)</f>
        <v>#N/A</v>
      </c>
      <c r="K3915" s="22" t="e">
        <f>VLOOKUP($A3915, TAB_CORRECAO_C[[DIAS_CORRIDOS]:[V_FUT_UTEIS]],K$5, FALSE)</f>
        <v>#N/A</v>
      </c>
      <c r="L3915" s="22" t="e">
        <f>VLOOKUP($A3915, TAB_AMORTIZACAO_C[[DIAS_CORRIDOS]:[V_FUT_UTEIS]], L$5, FALSE)</f>
        <v>#N/A</v>
      </c>
    </row>
    <row r="3916" spans="1:12" hidden="1">
      <c r="A3916" s="19">
        <f t="shared" si="314"/>
        <v>3910</v>
      </c>
      <c r="B3916" s="20">
        <f t="shared" si="310"/>
        <v>0</v>
      </c>
      <c r="C3916" s="21">
        <f t="shared" si="311"/>
        <v>0</v>
      </c>
      <c r="D3916" s="22" t="e">
        <f>VLOOKUP($A3916, TAB_JUROS_U[[Q_DIAS_U_PARC_TIR]:[V_FUT_U_JURS CENARIO]], D$5, FALSE)</f>
        <v>#N/A</v>
      </c>
      <c r="E3916" s="22" t="e">
        <f>VLOOKUP($A3916,TAB_CORRECAO_U[[Q_DIAS_U_PARC_TIR]:[V_FUT_U_CORC-02]],E$5, FALSE)</f>
        <v>#N/A</v>
      </c>
      <c r="F3916" s="22" t="e">
        <f>VLOOKUP($A3916,TAB_AMORTIZACAO_U[[Q_DIAS_U_PARC_TIR]:[V_FUT_U_PCPL-02]], F$5, FALSE)</f>
        <v>#N/A</v>
      </c>
      <c r="H3916" s="20">
        <f t="shared" si="312"/>
        <v>0</v>
      </c>
      <c r="I3916" s="21">
        <f t="shared" si="313"/>
        <v>0</v>
      </c>
      <c r="J3916" s="22" t="e">
        <f>VLOOKUP($A3916, TAB_JUROS_C[[DIAS_CORRIDOS]:[V_FUT_UTEIS]], J$5, FALSE)</f>
        <v>#N/A</v>
      </c>
      <c r="K3916" s="22" t="e">
        <f>VLOOKUP($A3916, TAB_CORRECAO_C[[DIAS_CORRIDOS]:[V_FUT_UTEIS]],K$5, FALSE)</f>
        <v>#N/A</v>
      </c>
      <c r="L3916" s="22" t="e">
        <f>VLOOKUP($A3916, TAB_AMORTIZACAO_C[[DIAS_CORRIDOS]:[V_FUT_UTEIS]], L$5, FALSE)</f>
        <v>#N/A</v>
      </c>
    </row>
    <row r="3917" spans="1:12" hidden="1">
      <c r="A3917" s="19">
        <f t="shared" si="314"/>
        <v>3911</v>
      </c>
      <c r="B3917" s="20">
        <f t="shared" si="310"/>
        <v>0</v>
      </c>
      <c r="C3917" s="21">
        <f t="shared" si="311"/>
        <v>0</v>
      </c>
      <c r="D3917" s="22" t="e">
        <f>VLOOKUP($A3917, TAB_JUROS_U[[Q_DIAS_U_PARC_TIR]:[V_FUT_U_JURS CENARIO]], D$5, FALSE)</f>
        <v>#N/A</v>
      </c>
      <c r="E3917" s="22" t="e">
        <f>VLOOKUP($A3917,TAB_CORRECAO_U[[Q_DIAS_U_PARC_TIR]:[V_FUT_U_CORC-02]],E$5, FALSE)</f>
        <v>#N/A</v>
      </c>
      <c r="F3917" s="22" t="e">
        <f>VLOOKUP($A3917,TAB_AMORTIZACAO_U[[Q_DIAS_U_PARC_TIR]:[V_FUT_U_PCPL-02]], F$5, FALSE)</f>
        <v>#N/A</v>
      </c>
      <c r="H3917" s="20">
        <f t="shared" si="312"/>
        <v>0</v>
      </c>
      <c r="I3917" s="21">
        <f t="shared" si="313"/>
        <v>0</v>
      </c>
      <c r="J3917" s="22" t="e">
        <f>VLOOKUP($A3917, TAB_JUROS_C[[DIAS_CORRIDOS]:[V_FUT_UTEIS]], J$5, FALSE)</f>
        <v>#N/A</v>
      </c>
      <c r="K3917" s="22" t="e">
        <f>VLOOKUP($A3917, TAB_CORRECAO_C[[DIAS_CORRIDOS]:[V_FUT_UTEIS]],K$5, FALSE)</f>
        <v>#N/A</v>
      </c>
      <c r="L3917" s="22" t="e">
        <f>VLOOKUP($A3917, TAB_AMORTIZACAO_C[[DIAS_CORRIDOS]:[V_FUT_UTEIS]], L$5, FALSE)</f>
        <v>#N/A</v>
      </c>
    </row>
    <row r="3918" spans="1:12" hidden="1">
      <c r="A3918" s="19">
        <f t="shared" si="314"/>
        <v>3912</v>
      </c>
      <c r="B3918" s="20">
        <f t="shared" si="310"/>
        <v>0</v>
      </c>
      <c r="C3918" s="21">
        <f t="shared" si="311"/>
        <v>0</v>
      </c>
      <c r="D3918" s="22" t="e">
        <f>VLOOKUP($A3918, TAB_JUROS_U[[Q_DIAS_U_PARC_TIR]:[V_FUT_U_JURS CENARIO]], D$5, FALSE)</f>
        <v>#N/A</v>
      </c>
      <c r="E3918" s="22" t="e">
        <f>VLOOKUP($A3918,TAB_CORRECAO_U[[Q_DIAS_U_PARC_TIR]:[V_FUT_U_CORC-02]],E$5, FALSE)</f>
        <v>#N/A</v>
      </c>
      <c r="F3918" s="22" t="e">
        <f>VLOOKUP($A3918,TAB_AMORTIZACAO_U[[Q_DIAS_U_PARC_TIR]:[V_FUT_U_PCPL-02]], F$5, FALSE)</f>
        <v>#N/A</v>
      </c>
      <c r="H3918" s="20">
        <f t="shared" si="312"/>
        <v>0</v>
      </c>
      <c r="I3918" s="21">
        <f t="shared" si="313"/>
        <v>0</v>
      </c>
      <c r="J3918" s="22" t="e">
        <f>VLOOKUP($A3918, TAB_JUROS_C[[DIAS_CORRIDOS]:[V_FUT_UTEIS]], J$5, FALSE)</f>
        <v>#N/A</v>
      </c>
      <c r="K3918" s="22" t="e">
        <f>VLOOKUP($A3918, TAB_CORRECAO_C[[DIAS_CORRIDOS]:[V_FUT_UTEIS]],K$5, FALSE)</f>
        <v>#N/A</v>
      </c>
      <c r="L3918" s="22" t="e">
        <f>VLOOKUP($A3918, TAB_AMORTIZACAO_C[[DIAS_CORRIDOS]:[V_FUT_UTEIS]], L$5, FALSE)</f>
        <v>#N/A</v>
      </c>
    </row>
    <row r="3919" spans="1:12" hidden="1">
      <c r="A3919" s="19">
        <f t="shared" si="314"/>
        <v>3913</v>
      </c>
      <c r="B3919" s="20">
        <f t="shared" si="310"/>
        <v>0</v>
      </c>
      <c r="C3919" s="21">
        <f t="shared" si="311"/>
        <v>0</v>
      </c>
      <c r="D3919" s="22" t="e">
        <f>VLOOKUP($A3919, TAB_JUROS_U[[Q_DIAS_U_PARC_TIR]:[V_FUT_U_JURS CENARIO]], D$5, FALSE)</f>
        <v>#N/A</v>
      </c>
      <c r="E3919" s="22" t="e">
        <f>VLOOKUP($A3919,TAB_CORRECAO_U[[Q_DIAS_U_PARC_TIR]:[V_FUT_U_CORC-02]],E$5, FALSE)</f>
        <v>#N/A</v>
      </c>
      <c r="F3919" s="22" t="e">
        <f>VLOOKUP($A3919,TAB_AMORTIZACAO_U[[Q_DIAS_U_PARC_TIR]:[V_FUT_U_PCPL-02]], F$5, FALSE)</f>
        <v>#N/A</v>
      </c>
      <c r="H3919" s="20">
        <f t="shared" si="312"/>
        <v>0</v>
      </c>
      <c r="I3919" s="21">
        <f t="shared" si="313"/>
        <v>0</v>
      </c>
      <c r="J3919" s="22" t="e">
        <f>VLOOKUP($A3919, TAB_JUROS_C[[DIAS_CORRIDOS]:[V_FUT_UTEIS]], J$5, FALSE)</f>
        <v>#N/A</v>
      </c>
      <c r="K3919" s="22" t="e">
        <f>VLOOKUP($A3919, TAB_CORRECAO_C[[DIAS_CORRIDOS]:[V_FUT_UTEIS]],K$5, FALSE)</f>
        <v>#N/A</v>
      </c>
      <c r="L3919" s="22" t="e">
        <f>VLOOKUP($A3919, TAB_AMORTIZACAO_C[[DIAS_CORRIDOS]:[V_FUT_UTEIS]], L$5, FALSE)</f>
        <v>#N/A</v>
      </c>
    </row>
    <row r="3920" spans="1:12" hidden="1">
      <c r="A3920" s="19">
        <f t="shared" si="314"/>
        <v>3914</v>
      </c>
      <c r="B3920" s="20">
        <f t="shared" si="310"/>
        <v>0</v>
      </c>
      <c r="C3920" s="21">
        <f t="shared" si="311"/>
        <v>0</v>
      </c>
      <c r="D3920" s="22" t="e">
        <f>VLOOKUP($A3920, TAB_JUROS_U[[Q_DIAS_U_PARC_TIR]:[V_FUT_U_JURS CENARIO]], D$5, FALSE)</f>
        <v>#N/A</v>
      </c>
      <c r="E3920" s="22" t="e">
        <f>VLOOKUP($A3920,TAB_CORRECAO_U[[Q_DIAS_U_PARC_TIR]:[V_FUT_U_CORC-02]],E$5, FALSE)</f>
        <v>#N/A</v>
      </c>
      <c r="F3920" s="22" t="e">
        <f>VLOOKUP($A3920,TAB_AMORTIZACAO_U[[Q_DIAS_U_PARC_TIR]:[V_FUT_U_PCPL-02]], F$5, FALSE)</f>
        <v>#N/A</v>
      </c>
      <c r="H3920" s="20">
        <f t="shared" si="312"/>
        <v>0</v>
      </c>
      <c r="I3920" s="21">
        <f t="shared" si="313"/>
        <v>0</v>
      </c>
      <c r="J3920" s="22" t="e">
        <f>VLOOKUP($A3920, TAB_JUROS_C[[DIAS_CORRIDOS]:[V_FUT_UTEIS]], J$5, FALSE)</f>
        <v>#N/A</v>
      </c>
      <c r="K3920" s="22" t="e">
        <f>VLOOKUP($A3920, TAB_CORRECAO_C[[DIAS_CORRIDOS]:[V_FUT_UTEIS]],K$5, FALSE)</f>
        <v>#N/A</v>
      </c>
      <c r="L3920" s="22" t="e">
        <f>VLOOKUP($A3920, TAB_AMORTIZACAO_C[[DIAS_CORRIDOS]:[V_FUT_UTEIS]], L$5, FALSE)</f>
        <v>#N/A</v>
      </c>
    </row>
    <row r="3921" spans="1:12" hidden="1">
      <c r="A3921" s="19">
        <f t="shared" si="314"/>
        <v>3915</v>
      </c>
      <c r="B3921" s="20">
        <f t="shared" si="310"/>
        <v>0</v>
      </c>
      <c r="C3921" s="21">
        <f t="shared" si="311"/>
        <v>0</v>
      </c>
      <c r="D3921" s="22" t="e">
        <f>VLOOKUP($A3921, TAB_JUROS_U[[Q_DIAS_U_PARC_TIR]:[V_FUT_U_JURS CENARIO]], D$5, FALSE)</f>
        <v>#N/A</v>
      </c>
      <c r="E3921" s="22" t="e">
        <f>VLOOKUP($A3921,TAB_CORRECAO_U[[Q_DIAS_U_PARC_TIR]:[V_FUT_U_CORC-02]],E$5, FALSE)</f>
        <v>#N/A</v>
      </c>
      <c r="F3921" s="22" t="e">
        <f>VLOOKUP($A3921,TAB_AMORTIZACAO_U[[Q_DIAS_U_PARC_TIR]:[V_FUT_U_PCPL-02]], F$5, FALSE)</f>
        <v>#N/A</v>
      </c>
      <c r="H3921" s="20">
        <f t="shared" si="312"/>
        <v>0</v>
      </c>
      <c r="I3921" s="21">
        <f t="shared" si="313"/>
        <v>0</v>
      </c>
      <c r="J3921" s="22" t="e">
        <f>VLOOKUP($A3921, TAB_JUROS_C[[DIAS_CORRIDOS]:[V_FUT_UTEIS]], J$5, FALSE)</f>
        <v>#N/A</v>
      </c>
      <c r="K3921" s="22" t="e">
        <f>VLOOKUP($A3921, TAB_CORRECAO_C[[DIAS_CORRIDOS]:[V_FUT_UTEIS]],K$5, FALSE)</f>
        <v>#N/A</v>
      </c>
      <c r="L3921" s="22" t="e">
        <f>VLOOKUP($A3921, TAB_AMORTIZACAO_C[[DIAS_CORRIDOS]:[V_FUT_UTEIS]], L$5, FALSE)</f>
        <v>#N/A</v>
      </c>
    </row>
    <row r="3922" spans="1:12" hidden="1">
      <c r="A3922" s="19">
        <f t="shared" si="314"/>
        <v>3916</v>
      </c>
      <c r="B3922" s="20">
        <f t="shared" si="310"/>
        <v>0</v>
      </c>
      <c r="C3922" s="21">
        <f t="shared" si="311"/>
        <v>0</v>
      </c>
      <c r="D3922" s="22" t="e">
        <f>VLOOKUP($A3922, TAB_JUROS_U[[Q_DIAS_U_PARC_TIR]:[V_FUT_U_JURS CENARIO]], D$5, FALSE)</f>
        <v>#N/A</v>
      </c>
      <c r="E3922" s="22" t="e">
        <f>VLOOKUP($A3922,TAB_CORRECAO_U[[Q_DIAS_U_PARC_TIR]:[V_FUT_U_CORC-02]],E$5, FALSE)</f>
        <v>#N/A</v>
      </c>
      <c r="F3922" s="22" t="e">
        <f>VLOOKUP($A3922,TAB_AMORTIZACAO_U[[Q_DIAS_U_PARC_TIR]:[V_FUT_U_PCPL-02]], F$5, FALSE)</f>
        <v>#N/A</v>
      </c>
      <c r="H3922" s="20">
        <f t="shared" si="312"/>
        <v>0</v>
      </c>
      <c r="I3922" s="21">
        <f t="shared" si="313"/>
        <v>0</v>
      </c>
      <c r="J3922" s="22" t="e">
        <f>VLOOKUP($A3922, TAB_JUROS_C[[DIAS_CORRIDOS]:[V_FUT_UTEIS]], J$5, FALSE)</f>
        <v>#N/A</v>
      </c>
      <c r="K3922" s="22" t="e">
        <f>VLOOKUP($A3922, TAB_CORRECAO_C[[DIAS_CORRIDOS]:[V_FUT_UTEIS]],K$5, FALSE)</f>
        <v>#N/A</v>
      </c>
      <c r="L3922" s="22" t="e">
        <f>VLOOKUP($A3922, TAB_AMORTIZACAO_C[[DIAS_CORRIDOS]:[V_FUT_UTEIS]], L$5, FALSE)</f>
        <v>#N/A</v>
      </c>
    </row>
    <row r="3923" spans="1:12" hidden="1">
      <c r="A3923" s="19">
        <f t="shared" si="314"/>
        <v>3917</v>
      </c>
      <c r="B3923" s="20">
        <f t="shared" si="310"/>
        <v>0</v>
      </c>
      <c r="C3923" s="21">
        <f t="shared" si="311"/>
        <v>0</v>
      </c>
      <c r="D3923" s="22" t="e">
        <f>VLOOKUP($A3923, TAB_JUROS_U[[Q_DIAS_U_PARC_TIR]:[V_FUT_U_JURS CENARIO]], D$5, FALSE)</f>
        <v>#N/A</v>
      </c>
      <c r="E3923" s="22" t="e">
        <f>VLOOKUP($A3923,TAB_CORRECAO_U[[Q_DIAS_U_PARC_TIR]:[V_FUT_U_CORC-02]],E$5, FALSE)</f>
        <v>#N/A</v>
      </c>
      <c r="F3923" s="22" t="e">
        <f>VLOOKUP($A3923,TAB_AMORTIZACAO_U[[Q_DIAS_U_PARC_TIR]:[V_FUT_U_PCPL-02]], F$5, FALSE)</f>
        <v>#N/A</v>
      </c>
      <c r="H3923" s="20">
        <f t="shared" si="312"/>
        <v>0</v>
      </c>
      <c r="I3923" s="21">
        <f t="shared" si="313"/>
        <v>0</v>
      </c>
      <c r="J3923" s="22" t="e">
        <f>VLOOKUP($A3923, TAB_JUROS_C[[DIAS_CORRIDOS]:[V_FUT_UTEIS]], J$5, FALSE)</f>
        <v>#N/A</v>
      </c>
      <c r="K3923" s="22" t="e">
        <f>VLOOKUP($A3923, TAB_CORRECAO_C[[DIAS_CORRIDOS]:[V_FUT_UTEIS]],K$5, FALSE)</f>
        <v>#N/A</v>
      </c>
      <c r="L3923" s="22" t="e">
        <f>VLOOKUP($A3923, TAB_AMORTIZACAO_C[[DIAS_CORRIDOS]:[V_FUT_UTEIS]], L$5, FALSE)</f>
        <v>#N/A</v>
      </c>
    </row>
    <row r="3924" spans="1:12" hidden="1">
      <c r="A3924" s="19">
        <f t="shared" si="314"/>
        <v>3918</v>
      </c>
      <c r="B3924" s="20">
        <f t="shared" si="310"/>
        <v>0</v>
      </c>
      <c r="C3924" s="21">
        <f t="shared" si="311"/>
        <v>0</v>
      </c>
      <c r="D3924" s="22" t="e">
        <f>VLOOKUP($A3924, TAB_JUROS_U[[Q_DIAS_U_PARC_TIR]:[V_FUT_U_JURS CENARIO]], D$5, FALSE)</f>
        <v>#N/A</v>
      </c>
      <c r="E3924" s="22" t="e">
        <f>VLOOKUP($A3924,TAB_CORRECAO_U[[Q_DIAS_U_PARC_TIR]:[V_FUT_U_CORC-02]],E$5, FALSE)</f>
        <v>#N/A</v>
      </c>
      <c r="F3924" s="22" t="e">
        <f>VLOOKUP($A3924,TAB_AMORTIZACAO_U[[Q_DIAS_U_PARC_TIR]:[V_FUT_U_PCPL-02]], F$5, FALSE)</f>
        <v>#N/A</v>
      </c>
      <c r="H3924" s="20">
        <f t="shared" si="312"/>
        <v>0</v>
      </c>
      <c r="I3924" s="21">
        <f t="shared" si="313"/>
        <v>0</v>
      </c>
      <c r="J3924" s="22" t="e">
        <f>VLOOKUP($A3924, TAB_JUROS_C[[DIAS_CORRIDOS]:[V_FUT_UTEIS]], J$5, FALSE)</f>
        <v>#N/A</v>
      </c>
      <c r="K3924" s="22" t="e">
        <f>VLOOKUP($A3924, TAB_CORRECAO_C[[DIAS_CORRIDOS]:[V_FUT_UTEIS]],K$5, FALSE)</f>
        <v>#N/A</v>
      </c>
      <c r="L3924" s="22" t="e">
        <f>VLOOKUP($A3924, TAB_AMORTIZACAO_C[[DIAS_CORRIDOS]:[V_FUT_UTEIS]], L$5, FALSE)</f>
        <v>#N/A</v>
      </c>
    </row>
    <row r="3925" spans="1:12" hidden="1">
      <c r="A3925" s="19">
        <f t="shared" si="314"/>
        <v>3919</v>
      </c>
      <c r="B3925" s="20">
        <f t="shared" si="310"/>
        <v>0</v>
      </c>
      <c r="C3925" s="21">
        <f t="shared" si="311"/>
        <v>0</v>
      </c>
      <c r="D3925" s="22" t="e">
        <f>VLOOKUP($A3925, TAB_JUROS_U[[Q_DIAS_U_PARC_TIR]:[V_FUT_U_JURS CENARIO]], D$5, FALSE)</f>
        <v>#N/A</v>
      </c>
      <c r="E3925" s="22" t="e">
        <f>VLOOKUP($A3925,TAB_CORRECAO_U[[Q_DIAS_U_PARC_TIR]:[V_FUT_U_CORC-02]],E$5, FALSE)</f>
        <v>#N/A</v>
      </c>
      <c r="F3925" s="22" t="e">
        <f>VLOOKUP($A3925,TAB_AMORTIZACAO_U[[Q_DIAS_U_PARC_TIR]:[V_FUT_U_PCPL-02]], F$5, FALSE)</f>
        <v>#N/A</v>
      </c>
      <c r="H3925" s="20">
        <f t="shared" si="312"/>
        <v>0</v>
      </c>
      <c r="I3925" s="21">
        <f t="shared" si="313"/>
        <v>0</v>
      </c>
      <c r="J3925" s="22" t="e">
        <f>VLOOKUP($A3925, TAB_JUROS_C[[DIAS_CORRIDOS]:[V_FUT_UTEIS]], J$5, FALSE)</f>
        <v>#N/A</v>
      </c>
      <c r="K3925" s="22" t="e">
        <f>VLOOKUP($A3925, TAB_CORRECAO_C[[DIAS_CORRIDOS]:[V_FUT_UTEIS]],K$5, FALSE)</f>
        <v>#N/A</v>
      </c>
      <c r="L3925" s="22" t="e">
        <f>VLOOKUP($A3925, TAB_AMORTIZACAO_C[[DIAS_CORRIDOS]:[V_FUT_UTEIS]], L$5, FALSE)</f>
        <v>#N/A</v>
      </c>
    </row>
    <row r="3926" spans="1:12" hidden="1">
      <c r="A3926" s="19">
        <f t="shared" si="314"/>
        <v>3920</v>
      </c>
      <c r="B3926" s="20">
        <f t="shared" si="310"/>
        <v>0</v>
      </c>
      <c r="C3926" s="21">
        <f t="shared" si="311"/>
        <v>0</v>
      </c>
      <c r="D3926" s="22" t="e">
        <f>VLOOKUP($A3926, TAB_JUROS_U[[Q_DIAS_U_PARC_TIR]:[V_FUT_U_JURS CENARIO]], D$5, FALSE)</f>
        <v>#N/A</v>
      </c>
      <c r="E3926" s="22" t="e">
        <f>VLOOKUP($A3926,TAB_CORRECAO_U[[Q_DIAS_U_PARC_TIR]:[V_FUT_U_CORC-02]],E$5, FALSE)</f>
        <v>#N/A</v>
      </c>
      <c r="F3926" s="22" t="e">
        <f>VLOOKUP($A3926,TAB_AMORTIZACAO_U[[Q_DIAS_U_PARC_TIR]:[V_FUT_U_PCPL-02]], F$5, FALSE)</f>
        <v>#N/A</v>
      </c>
      <c r="H3926" s="20">
        <f t="shared" si="312"/>
        <v>0</v>
      </c>
      <c r="I3926" s="21">
        <f t="shared" si="313"/>
        <v>0</v>
      </c>
      <c r="J3926" s="22" t="e">
        <f>VLOOKUP($A3926, TAB_JUROS_C[[DIAS_CORRIDOS]:[V_FUT_UTEIS]], J$5, FALSE)</f>
        <v>#N/A</v>
      </c>
      <c r="K3926" s="22" t="e">
        <f>VLOOKUP($A3926, TAB_CORRECAO_C[[DIAS_CORRIDOS]:[V_FUT_UTEIS]],K$5, FALSE)</f>
        <v>#N/A</v>
      </c>
      <c r="L3926" s="22" t="e">
        <f>VLOOKUP($A3926, TAB_AMORTIZACAO_C[[DIAS_CORRIDOS]:[V_FUT_UTEIS]], L$5, FALSE)</f>
        <v>#N/A</v>
      </c>
    </row>
    <row r="3927" spans="1:12" hidden="1">
      <c r="A3927" s="19">
        <f t="shared" si="314"/>
        <v>3921</v>
      </c>
      <c r="B3927" s="20">
        <f t="shared" si="310"/>
        <v>0</v>
      </c>
      <c r="C3927" s="21">
        <f t="shared" si="311"/>
        <v>0</v>
      </c>
      <c r="D3927" s="22" t="e">
        <f>VLOOKUP($A3927, TAB_JUROS_U[[Q_DIAS_U_PARC_TIR]:[V_FUT_U_JURS CENARIO]], D$5, FALSE)</f>
        <v>#N/A</v>
      </c>
      <c r="E3927" s="22" t="e">
        <f>VLOOKUP($A3927,TAB_CORRECAO_U[[Q_DIAS_U_PARC_TIR]:[V_FUT_U_CORC-02]],E$5, FALSE)</f>
        <v>#N/A</v>
      </c>
      <c r="F3927" s="22" t="e">
        <f>VLOOKUP($A3927,TAB_AMORTIZACAO_U[[Q_DIAS_U_PARC_TIR]:[V_FUT_U_PCPL-02]], F$5, FALSE)</f>
        <v>#N/A</v>
      </c>
      <c r="H3927" s="20">
        <f t="shared" si="312"/>
        <v>0</v>
      </c>
      <c r="I3927" s="21">
        <f t="shared" si="313"/>
        <v>0</v>
      </c>
      <c r="J3927" s="22" t="e">
        <f>VLOOKUP($A3927, TAB_JUROS_C[[DIAS_CORRIDOS]:[V_FUT_UTEIS]], J$5, FALSE)</f>
        <v>#N/A</v>
      </c>
      <c r="K3927" s="22" t="e">
        <f>VLOOKUP($A3927, TAB_CORRECAO_C[[DIAS_CORRIDOS]:[V_FUT_UTEIS]],K$5, FALSE)</f>
        <v>#N/A</v>
      </c>
      <c r="L3927" s="22" t="e">
        <f>VLOOKUP($A3927, TAB_AMORTIZACAO_C[[DIAS_CORRIDOS]:[V_FUT_UTEIS]], L$5, FALSE)</f>
        <v>#N/A</v>
      </c>
    </row>
    <row r="3928" spans="1:12" hidden="1">
      <c r="A3928" s="19">
        <f t="shared" si="314"/>
        <v>3922</v>
      </c>
      <c r="B3928" s="20">
        <f t="shared" si="310"/>
        <v>0</v>
      </c>
      <c r="C3928" s="21">
        <f t="shared" si="311"/>
        <v>0</v>
      </c>
      <c r="D3928" s="22" t="e">
        <f>VLOOKUP($A3928, TAB_JUROS_U[[Q_DIAS_U_PARC_TIR]:[V_FUT_U_JURS CENARIO]], D$5, FALSE)</f>
        <v>#N/A</v>
      </c>
      <c r="E3928" s="22" t="e">
        <f>VLOOKUP($A3928,TAB_CORRECAO_U[[Q_DIAS_U_PARC_TIR]:[V_FUT_U_CORC-02]],E$5, FALSE)</f>
        <v>#N/A</v>
      </c>
      <c r="F3928" s="22" t="e">
        <f>VLOOKUP($A3928,TAB_AMORTIZACAO_U[[Q_DIAS_U_PARC_TIR]:[V_FUT_U_PCPL-02]], F$5, FALSE)</f>
        <v>#N/A</v>
      </c>
      <c r="H3928" s="20">
        <f t="shared" si="312"/>
        <v>0</v>
      </c>
      <c r="I3928" s="21">
        <f t="shared" si="313"/>
        <v>0</v>
      </c>
      <c r="J3928" s="22" t="e">
        <f>VLOOKUP($A3928, TAB_JUROS_C[[DIAS_CORRIDOS]:[V_FUT_UTEIS]], J$5, FALSE)</f>
        <v>#N/A</v>
      </c>
      <c r="K3928" s="22" t="e">
        <f>VLOOKUP($A3928, TAB_CORRECAO_C[[DIAS_CORRIDOS]:[V_FUT_UTEIS]],K$5, FALSE)</f>
        <v>#N/A</v>
      </c>
      <c r="L3928" s="22" t="e">
        <f>VLOOKUP($A3928, TAB_AMORTIZACAO_C[[DIAS_CORRIDOS]:[V_FUT_UTEIS]], L$5, FALSE)</f>
        <v>#N/A</v>
      </c>
    </row>
    <row r="3929" spans="1:12" hidden="1">
      <c r="A3929" s="19">
        <f t="shared" si="314"/>
        <v>3923</v>
      </c>
      <c r="B3929" s="20">
        <f t="shared" si="310"/>
        <v>0</v>
      </c>
      <c r="C3929" s="21">
        <f t="shared" si="311"/>
        <v>0</v>
      </c>
      <c r="D3929" s="22" t="e">
        <f>VLOOKUP($A3929, TAB_JUROS_U[[Q_DIAS_U_PARC_TIR]:[V_FUT_U_JURS CENARIO]], D$5, FALSE)</f>
        <v>#N/A</v>
      </c>
      <c r="E3929" s="22" t="e">
        <f>VLOOKUP($A3929,TAB_CORRECAO_U[[Q_DIAS_U_PARC_TIR]:[V_FUT_U_CORC-02]],E$5, FALSE)</f>
        <v>#N/A</v>
      </c>
      <c r="F3929" s="22" t="e">
        <f>VLOOKUP($A3929,TAB_AMORTIZACAO_U[[Q_DIAS_U_PARC_TIR]:[V_FUT_U_PCPL-02]], F$5, FALSE)</f>
        <v>#N/A</v>
      </c>
      <c r="H3929" s="20">
        <f t="shared" si="312"/>
        <v>0</v>
      </c>
      <c r="I3929" s="21">
        <f t="shared" si="313"/>
        <v>0</v>
      </c>
      <c r="J3929" s="22" t="e">
        <f>VLOOKUP($A3929, TAB_JUROS_C[[DIAS_CORRIDOS]:[V_FUT_UTEIS]], J$5, FALSE)</f>
        <v>#N/A</v>
      </c>
      <c r="K3929" s="22" t="e">
        <f>VLOOKUP($A3929, TAB_CORRECAO_C[[DIAS_CORRIDOS]:[V_FUT_UTEIS]],K$5, FALSE)</f>
        <v>#N/A</v>
      </c>
      <c r="L3929" s="22" t="e">
        <f>VLOOKUP($A3929, TAB_AMORTIZACAO_C[[DIAS_CORRIDOS]:[V_FUT_UTEIS]], L$5, FALSE)</f>
        <v>#N/A</v>
      </c>
    </row>
    <row r="3930" spans="1:12" hidden="1">
      <c r="A3930" s="19">
        <f t="shared" si="314"/>
        <v>3924</v>
      </c>
      <c r="B3930" s="20">
        <f t="shared" si="310"/>
        <v>0</v>
      </c>
      <c r="C3930" s="21">
        <f t="shared" si="311"/>
        <v>0</v>
      </c>
      <c r="D3930" s="22" t="e">
        <f>VLOOKUP($A3930, TAB_JUROS_U[[Q_DIAS_U_PARC_TIR]:[V_FUT_U_JURS CENARIO]], D$5, FALSE)</f>
        <v>#N/A</v>
      </c>
      <c r="E3930" s="22" t="e">
        <f>VLOOKUP($A3930,TAB_CORRECAO_U[[Q_DIAS_U_PARC_TIR]:[V_FUT_U_CORC-02]],E$5, FALSE)</f>
        <v>#N/A</v>
      </c>
      <c r="F3930" s="22" t="e">
        <f>VLOOKUP($A3930,TAB_AMORTIZACAO_U[[Q_DIAS_U_PARC_TIR]:[V_FUT_U_PCPL-02]], F$5, FALSE)</f>
        <v>#N/A</v>
      </c>
      <c r="H3930" s="20">
        <f t="shared" si="312"/>
        <v>0</v>
      </c>
      <c r="I3930" s="21">
        <f t="shared" si="313"/>
        <v>0</v>
      </c>
      <c r="J3930" s="22" t="e">
        <f>VLOOKUP($A3930, TAB_JUROS_C[[DIAS_CORRIDOS]:[V_FUT_UTEIS]], J$5, FALSE)</f>
        <v>#N/A</v>
      </c>
      <c r="K3930" s="22" t="e">
        <f>VLOOKUP($A3930, TAB_CORRECAO_C[[DIAS_CORRIDOS]:[V_FUT_UTEIS]],K$5, FALSE)</f>
        <v>#N/A</v>
      </c>
      <c r="L3930" s="22" t="e">
        <f>VLOOKUP($A3930, TAB_AMORTIZACAO_C[[DIAS_CORRIDOS]:[V_FUT_UTEIS]], L$5, FALSE)</f>
        <v>#N/A</v>
      </c>
    </row>
    <row r="3931" spans="1:12" hidden="1">
      <c r="A3931" s="19">
        <f t="shared" si="314"/>
        <v>3925</v>
      </c>
      <c r="B3931" s="20">
        <f t="shared" si="310"/>
        <v>0</v>
      </c>
      <c r="C3931" s="21">
        <f t="shared" si="311"/>
        <v>0</v>
      </c>
      <c r="D3931" s="22" t="e">
        <f>VLOOKUP($A3931, TAB_JUROS_U[[Q_DIAS_U_PARC_TIR]:[V_FUT_U_JURS CENARIO]], D$5, FALSE)</f>
        <v>#N/A</v>
      </c>
      <c r="E3931" s="22" t="e">
        <f>VLOOKUP($A3931,TAB_CORRECAO_U[[Q_DIAS_U_PARC_TIR]:[V_FUT_U_CORC-02]],E$5, FALSE)</f>
        <v>#N/A</v>
      </c>
      <c r="F3931" s="22" t="e">
        <f>VLOOKUP($A3931,TAB_AMORTIZACAO_U[[Q_DIAS_U_PARC_TIR]:[V_FUT_U_PCPL-02]], F$5, FALSE)</f>
        <v>#N/A</v>
      </c>
      <c r="H3931" s="20">
        <f t="shared" si="312"/>
        <v>0</v>
      </c>
      <c r="I3931" s="21">
        <f t="shared" si="313"/>
        <v>0</v>
      </c>
      <c r="J3931" s="22" t="e">
        <f>VLOOKUP($A3931, TAB_JUROS_C[[DIAS_CORRIDOS]:[V_FUT_UTEIS]], J$5, FALSE)</f>
        <v>#N/A</v>
      </c>
      <c r="K3931" s="22" t="e">
        <f>VLOOKUP($A3931, TAB_CORRECAO_C[[DIAS_CORRIDOS]:[V_FUT_UTEIS]],K$5, FALSE)</f>
        <v>#N/A</v>
      </c>
      <c r="L3931" s="22" t="e">
        <f>VLOOKUP($A3931, TAB_AMORTIZACAO_C[[DIAS_CORRIDOS]:[V_FUT_UTEIS]], L$5, FALSE)</f>
        <v>#N/A</v>
      </c>
    </row>
    <row r="3932" spans="1:12" hidden="1">
      <c r="A3932" s="19">
        <f t="shared" si="314"/>
        <v>3926</v>
      </c>
      <c r="B3932" s="20">
        <f t="shared" si="310"/>
        <v>0</v>
      </c>
      <c r="C3932" s="21">
        <f t="shared" si="311"/>
        <v>0</v>
      </c>
      <c r="D3932" s="22" t="e">
        <f>VLOOKUP($A3932, TAB_JUROS_U[[Q_DIAS_U_PARC_TIR]:[V_FUT_U_JURS CENARIO]], D$5, FALSE)</f>
        <v>#N/A</v>
      </c>
      <c r="E3932" s="22" t="e">
        <f>VLOOKUP($A3932,TAB_CORRECAO_U[[Q_DIAS_U_PARC_TIR]:[V_FUT_U_CORC-02]],E$5, FALSE)</f>
        <v>#N/A</v>
      </c>
      <c r="F3932" s="22" t="e">
        <f>VLOOKUP($A3932,TAB_AMORTIZACAO_U[[Q_DIAS_U_PARC_TIR]:[V_FUT_U_PCPL-02]], F$5, FALSE)</f>
        <v>#N/A</v>
      </c>
      <c r="H3932" s="20">
        <f t="shared" si="312"/>
        <v>0</v>
      </c>
      <c r="I3932" s="21">
        <f t="shared" si="313"/>
        <v>0</v>
      </c>
      <c r="J3932" s="22" t="e">
        <f>VLOOKUP($A3932, TAB_JUROS_C[[DIAS_CORRIDOS]:[V_FUT_UTEIS]], J$5, FALSE)</f>
        <v>#N/A</v>
      </c>
      <c r="K3932" s="22" t="e">
        <f>VLOOKUP($A3932, TAB_CORRECAO_C[[DIAS_CORRIDOS]:[V_FUT_UTEIS]],K$5, FALSE)</f>
        <v>#N/A</v>
      </c>
      <c r="L3932" s="22" t="e">
        <f>VLOOKUP($A3932, TAB_AMORTIZACAO_C[[DIAS_CORRIDOS]:[V_FUT_UTEIS]], L$5, FALSE)</f>
        <v>#N/A</v>
      </c>
    </row>
    <row r="3933" spans="1:12" hidden="1">
      <c r="A3933" s="19">
        <f t="shared" si="314"/>
        <v>3927</v>
      </c>
      <c r="B3933" s="20">
        <f t="shared" si="310"/>
        <v>0</v>
      </c>
      <c r="C3933" s="21">
        <f t="shared" si="311"/>
        <v>0</v>
      </c>
      <c r="D3933" s="22" t="e">
        <f>VLOOKUP($A3933, TAB_JUROS_U[[Q_DIAS_U_PARC_TIR]:[V_FUT_U_JURS CENARIO]], D$5, FALSE)</f>
        <v>#N/A</v>
      </c>
      <c r="E3933" s="22" t="e">
        <f>VLOOKUP($A3933,TAB_CORRECAO_U[[Q_DIAS_U_PARC_TIR]:[V_FUT_U_CORC-02]],E$5, FALSE)</f>
        <v>#N/A</v>
      </c>
      <c r="F3933" s="22" t="e">
        <f>VLOOKUP($A3933,TAB_AMORTIZACAO_U[[Q_DIAS_U_PARC_TIR]:[V_FUT_U_PCPL-02]], F$5, FALSE)</f>
        <v>#N/A</v>
      </c>
      <c r="H3933" s="20">
        <f t="shared" si="312"/>
        <v>0</v>
      </c>
      <c r="I3933" s="21">
        <f t="shared" si="313"/>
        <v>0</v>
      </c>
      <c r="J3933" s="22" t="e">
        <f>VLOOKUP($A3933, TAB_JUROS_C[[DIAS_CORRIDOS]:[V_FUT_UTEIS]], J$5, FALSE)</f>
        <v>#N/A</v>
      </c>
      <c r="K3933" s="22" t="e">
        <f>VLOOKUP($A3933, TAB_CORRECAO_C[[DIAS_CORRIDOS]:[V_FUT_UTEIS]],K$5, FALSE)</f>
        <v>#N/A</v>
      </c>
      <c r="L3933" s="22" t="e">
        <f>VLOOKUP($A3933, TAB_AMORTIZACAO_C[[DIAS_CORRIDOS]:[V_FUT_UTEIS]], L$5, FALSE)</f>
        <v>#N/A</v>
      </c>
    </row>
    <row r="3934" spans="1:12" hidden="1">
      <c r="A3934" s="19">
        <f t="shared" si="314"/>
        <v>3928</v>
      </c>
      <c r="B3934" s="20">
        <f t="shared" si="310"/>
        <v>0</v>
      </c>
      <c r="C3934" s="21">
        <f t="shared" si="311"/>
        <v>0</v>
      </c>
      <c r="D3934" s="22" t="e">
        <f>VLOOKUP($A3934, TAB_JUROS_U[[Q_DIAS_U_PARC_TIR]:[V_FUT_U_JURS CENARIO]], D$5, FALSE)</f>
        <v>#N/A</v>
      </c>
      <c r="E3934" s="22" t="e">
        <f>VLOOKUP($A3934,TAB_CORRECAO_U[[Q_DIAS_U_PARC_TIR]:[V_FUT_U_CORC-02]],E$5, FALSE)</f>
        <v>#N/A</v>
      </c>
      <c r="F3934" s="22" t="e">
        <f>VLOOKUP($A3934,TAB_AMORTIZACAO_U[[Q_DIAS_U_PARC_TIR]:[V_FUT_U_PCPL-02]], F$5, FALSE)</f>
        <v>#N/A</v>
      </c>
      <c r="H3934" s="20">
        <f t="shared" si="312"/>
        <v>0</v>
      </c>
      <c r="I3934" s="21">
        <f t="shared" si="313"/>
        <v>0</v>
      </c>
      <c r="J3934" s="22" t="e">
        <f>VLOOKUP($A3934, TAB_JUROS_C[[DIAS_CORRIDOS]:[V_FUT_UTEIS]], J$5, FALSE)</f>
        <v>#N/A</v>
      </c>
      <c r="K3934" s="22" t="e">
        <f>VLOOKUP($A3934, TAB_CORRECAO_C[[DIAS_CORRIDOS]:[V_FUT_UTEIS]],K$5, FALSE)</f>
        <v>#N/A</v>
      </c>
      <c r="L3934" s="22" t="e">
        <f>VLOOKUP($A3934, TAB_AMORTIZACAO_C[[DIAS_CORRIDOS]:[V_FUT_UTEIS]], L$5, FALSE)</f>
        <v>#N/A</v>
      </c>
    </row>
    <row r="3935" spans="1:12" hidden="1">
      <c r="A3935" s="19">
        <f t="shared" si="314"/>
        <v>3929</v>
      </c>
      <c r="B3935" s="20">
        <f t="shared" si="310"/>
        <v>0</v>
      </c>
      <c r="C3935" s="21">
        <f t="shared" si="311"/>
        <v>0</v>
      </c>
      <c r="D3935" s="22" t="e">
        <f>VLOOKUP($A3935, TAB_JUROS_U[[Q_DIAS_U_PARC_TIR]:[V_FUT_U_JURS CENARIO]], D$5, FALSE)</f>
        <v>#N/A</v>
      </c>
      <c r="E3935" s="22" t="e">
        <f>VLOOKUP($A3935,TAB_CORRECAO_U[[Q_DIAS_U_PARC_TIR]:[V_FUT_U_CORC-02]],E$5, FALSE)</f>
        <v>#N/A</v>
      </c>
      <c r="F3935" s="22" t="e">
        <f>VLOOKUP($A3935,TAB_AMORTIZACAO_U[[Q_DIAS_U_PARC_TIR]:[V_FUT_U_PCPL-02]], F$5, FALSE)</f>
        <v>#N/A</v>
      </c>
      <c r="H3935" s="20">
        <f t="shared" si="312"/>
        <v>0</v>
      </c>
      <c r="I3935" s="21">
        <f t="shared" si="313"/>
        <v>0</v>
      </c>
      <c r="J3935" s="22" t="e">
        <f>VLOOKUP($A3935, TAB_JUROS_C[[DIAS_CORRIDOS]:[V_FUT_UTEIS]], J$5, FALSE)</f>
        <v>#N/A</v>
      </c>
      <c r="K3935" s="22" t="e">
        <f>VLOOKUP($A3935, TAB_CORRECAO_C[[DIAS_CORRIDOS]:[V_FUT_UTEIS]],K$5, FALSE)</f>
        <v>#N/A</v>
      </c>
      <c r="L3935" s="22" t="e">
        <f>VLOOKUP($A3935, TAB_AMORTIZACAO_C[[DIAS_CORRIDOS]:[V_FUT_UTEIS]], L$5, FALSE)</f>
        <v>#N/A</v>
      </c>
    </row>
    <row r="3936" spans="1:12" hidden="1">
      <c r="A3936" s="19">
        <f t="shared" si="314"/>
        <v>3930</v>
      </c>
      <c r="B3936" s="20">
        <f t="shared" si="310"/>
        <v>0</v>
      </c>
      <c r="C3936" s="21">
        <f t="shared" si="311"/>
        <v>0</v>
      </c>
      <c r="D3936" s="22" t="e">
        <f>VLOOKUP($A3936, TAB_JUROS_U[[Q_DIAS_U_PARC_TIR]:[V_FUT_U_JURS CENARIO]], D$5, FALSE)</f>
        <v>#N/A</v>
      </c>
      <c r="E3936" s="22" t="e">
        <f>VLOOKUP($A3936,TAB_CORRECAO_U[[Q_DIAS_U_PARC_TIR]:[V_FUT_U_CORC-02]],E$5, FALSE)</f>
        <v>#N/A</v>
      </c>
      <c r="F3936" s="22" t="e">
        <f>VLOOKUP($A3936,TAB_AMORTIZACAO_U[[Q_DIAS_U_PARC_TIR]:[V_FUT_U_PCPL-02]], F$5, FALSE)</f>
        <v>#N/A</v>
      </c>
      <c r="H3936" s="20">
        <f t="shared" si="312"/>
        <v>0</v>
      </c>
      <c r="I3936" s="21">
        <f t="shared" si="313"/>
        <v>0</v>
      </c>
      <c r="J3936" s="22" t="e">
        <f>VLOOKUP($A3936, TAB_JUROS_C[[DIAS_CORRIDOS]:[V_FUT_UTEIS]], J$5, FALSE)</f>
        <v>#N/A</v>
      </c>
      <c r="K3936" s="22" t="e">
        <f>VLOOKUP($A3936, TAB_CORRECAO_C[[DIAS_CORRIDOS]:[V_FUT_UTEIS]],K$5, FALSE)</f>
        <v>#N/A</v>
      </c>
      <c r="L3936" s="22" t="e">
        <f>VLOOKUP($A3936, TAB_AMORTIZACAO_C[[DIAS_CORRIDOS]:[V_FUT_UTEIS]], L$5, FALSE)</f>
        <v>#N/A</v>
      </c>
    </row>
    <row r="3937" spans="1:12" hidden="1">
      <c r="A3937" s="19">
        <f t="shared" si="314"/>
        <v>3931</v>
      </c>
      <c r="B3937" s="20">
        <f t="shared" si="310"/>
        <v>0</v>
      </c>
      <c r="C3937" s="21">
        <f t="shared" si="311"/>
        <v>0</v>
      </c>
      <c r="D3937" s="22" t="e">
        <f>VLOOKUP($A3937, TAB_JUROS_U[[Q_DIAS_U_PARC_TIR]:[V_FUT_U_JURS CENARIO]], D$5, FALSE)</f>
        <v>#N/A</v>
      </c>
      <c r="E3937" s="22" t="e">
        <f>VLOOKUP($A3937,TAB_CORRECAO_U[[Q_DIAS_U_PARC_TIR]:[V_FUT_U_CORC-02]],E$5, FALSE)</f>
        <v>#N/A</v>
      </c>
      <c r="F3937" s="22" t="e">
        <f>VLOOKUP($A3937,TAB_AMORTIZACAO_U[[Q_DIAS_U_PARC_TIR]:[V_FUT_U_PCPL-02]], F$5, FALSE)</f>
        <v>#N/A</v>
      </c>
      <c r="H3937" s="20">
        <f t="shared" si="312"/>
        <v>0</v>
      </c>
      <c r="I3937" s="21">
        <f t="shared" si="313"/>
        <v>0</v>
      </c>
      <c r="J3937" s="22" t="e">
        <f>VLOOKUP($A3937, TAB_JUROS_C[[DIAS_CORRIDOS]:[V_FUT_UTEIS]], J$5, FALSE)</f>
        <v>#N/A</v>
      </c>
      <c r="K3937" s="22" t="e">
        <f>VLOOKUP($A3937, TAB_CORRECAO_C[[DIAS_CORRIDOS]:[V_FUT_UTEIS]],K$5, FALSE)</f>
        <v>#N/A</v>
      </c>
      <c r="L3937" s="22" t="e">
        <f>VLOOKUP($A3937, TAB_AMORTIZACAO_C[[DIAS_CORRIDOS]:[V_FUT_UTEIS]], L$5, FALSE)</f>
        <v>#N/A</v>
      </c>
    </row>
    <row r="3938" spans="1:12" hidden="1">
      <c r="A3938" s="19">
        <f t="shared" si="314"/>
        <v>3932</v>
      </c>
      <c r="B3938" s="20">
        <f t="shared" si="310"/>
        <v>0</v>
      </c>
      <c r="C3938" s="21">
        <f t="shared" si="311"/>
        <v>0</v>
      </c>
      <c r="D3938" s="22" t="e">
        <f>VLOOKUP($A3938, TAB_JUROS_U[[Q_DIAS_U_PARC_TIR]:[V_FUT_U_JURS CENARIO]], D$5, FALSE)</f>
        <v>#N/A</v>
      </c>
      <c r="E3938" s="22" t="e">
        <f>VLOOKUP($A3938,TAB_CORRECAO_U[[Q_DIAS_U_PARC_TIR]:[V_FUT_U_CORC-02]],E$5, FALSE)</f>
        <v>#N/A</v>
      </c>
      <c r="F3938" s="22" t="e">
        <f>VLOOKUP($A3938,TAB_AMORTIZACAO_U[[Q_DIAS_U_PARC_TIR]:[V_FUT_U_PCPL-02]], F$5, FALSE)</f>
        <v>#N/A</v>
      </c>
      <c r="H3938" s="20">
        <f t="shared" si="312"/>
        <v>0</v>
      </c>
      <c r="I3938" s="21">
        <f t="shared" si="313"/>
        <v>0</v>
      </c>
      <c r="J3938" s="22" t="e">
        <f>VLOOKUP($A3938, TAB_JUROS_C[[DIAS_CORRIDOS]:[V_FUT_UTEIS]], J$5, FALSE)</f>
        <v>#N/A</v>
      </c>
      <c r="K3938" s="22" t="e">
        <f>VLOOKUP($A3938, TAB_CORRECAO_C[[DIAS_CORRIDOS]:[V_FUT_UTEIS]],K$5, FALSE)</f>
        <v>#N/A</v>
      </c>
      <c r="L3938" s="22" t="e">
        <f>VLOOKUP($A3938, TAB_AMORTIZACAO_C[[DIAS_CORRIDOS]:[V_FUT_UTEIS]], L$5, FALSE)</f>
        <v>#N/A</v>
      </c>
    </row>
    <row r="3939" spans="1:12" hidden="1">
      <c r="A3939" s="19">
        <f t="shared" si="314"/>
        <v>3933</v>
      </c>
      <c r="B3939" s="20">
        <f t="shared" si="310"/>
        <v>0</v>
      </c>
      <c r="C3939" s="21">
        <f t="shared" si="311"/>
        <v>0</v>
      </c>
      <c r="D3939" s="22" t="e">
        <f>VLOOKUP($A3939, TAB_JUROS_U[[Q_DIAS_U_PARC_TIR]:[V_FUT_U_JURS CENARIO]], D$5, FALSE)</f>
        <v>#N/A</v>
      </c>
      <c r="E3939" s="22" t="e">
        <f>VLOOKUP($A3939,TAB_CORRECAO_U[[Q_DIAS_U_PARC_TIR]:[V_FUT_U_CORC-02]],E$5, FALSE)</f>
        <v>#N/A</v>
      </c>
      <c r="F3939" s="22" t="e">
        <f>VLOOKUP($A3939,TAB_AMORTIZACAO_U[[Q_DIAS_U_PARC_TIR]:[V_FUT_U_PCPL-02]], F$5, FALSE)</f>
        <v>#N/A</v>
      </c>
      <c r="H3939" s="20">
        <f t="shared" si="312"/>
        <v>0</v>
      </c>
      <c r="I3939" s="21">
        <f t="shared" si="313"/>
        <v>0</v>
      </c>
      <c r="J3939" s="22" t="e">
        <f>VLOOKUP($A3939, TAB_JUROS_C[[DIAS_CORRIDOS]:[V_FUT_UTEIS]], J$5, FALSE)</f>
        <v>#N/A</v>
      </c>
      <c r="K3939" s="22" t="e">
        <f>VLOOKUP($A3939, TAB_CORRECAO_C[[DIAS_CORRIDOS]:[V_FUT_UTEIS]],K$5, FALSE)</f>
        <v>#N/A</v>
      </c>
      <c r="L3939" s="22" t="e">
        <f>VLOOKUP($A3939, TAB_AMORTIZACAO_C[[DIAS_CORRIDOS]:[V_FUT_UTEIS]], L$5, FALSE)</f>
        <v>#N/A</v>
      </c>
    </row>
    <row r="3940" spans="1:12" hidden="1">
      <c r="A3940" s="19">
        <f t="shared" si="314"/>
        <v>3934</v>
      </c>
      <c r="B3940" s="20">
        <f t="shared" si="310"/>
        <v>0</v>
      </c>
      <c r="C3940" s="21">
        <f t="shared" si="311"/>
        <v>0</v>
      </c>
      <c r="D3940" s="22" t="e">
        <f>VLOOKUP($A3940, TAB_JUROS_U[[Q_DIAS_U_PARC_TIR]:[V_FUT_U_JURS CENARIO]], D$5, FALSE)</f>
        <v>#N/A</v>
      </c>
      <c r="E3940" s="22" t="e">
        <f>VLOOKUP($A3940,TAB_CORRECAO_U[[Q_DIAS_U_PARC_TIR]:[V_FUT_U_CORC-02]],E$5, FALSE)</f>
        <v>#N/A</v>
      </c>
      <c r="F3940" s="22" t="e">
        <f>VLOOKUP($A3940,TAB_AMORTIZACAO_U[[Q_DIAS_U_PARC_TIR]:[V_FUT_U_PCPL-02]], F$5, FALSE)</f>
        <v>#N/A</v>
      </c>
      <c r="H3940" s="20">
        <f t="shared" si="312"/>
        <v>0</v>
      </c>
      <c r="I3940" s="21">
        <f t="shared" si="313"/>
        <v>0</v>
      </c>
      <c r="J3940" s="22" t="e">
        <f>VLOOKUP($A3940, TAB_JUROS_C[[DIAS_CORRIDOS]:[V_FUT_UTEIS]], J$5, FALSE)</f>
        <v>#N/A</v>
      </c>
      <c r="K3940" s="22" t="e">
        <f>VLOOKUP($A3940, TAB_CORRECAO_C[[DIAS_CORRIDOS]:[V_FUT_UTEIS]],K$5, FALSE)</f>
        <v>#N/A</v>
      </c>
      <c r="L3940" s="22" t="e">
        <f>VLOOKUP($A3940, TAB_AMORTIZACAO_C[[DIAS_CORRIDOS]:[V_FUT_UTEIS]], L$5, FALSE)</f>
        <v>#N/A</v>
      </c>
    </row>
    <row r="3941" spans="1:12" hidden="1">
      <c r="A3941" s="19">
        <f t="shared" si="314"/>
        <v>3935</v>
      </c>
      <c r="B3941" s="20">
        <f t="shared" si="310"/>
        <v>0</v>
      </c>
      <c r="C3941" s="21">
        <f t="shared" si="311"/>
        <v>0</v>
      </c>
      <c r="D3941" s="22" t="e">
        <f>VLOOKUP($A3941, TAB_JUROS_U[[Q_DIAS_U_PARC_TIR]:[V_FUT_U_JURS CENARIO]], D$5, FALSE)</f>
        <v>#N/A</v>
      </c>
      <c r="E3941" s="22" t="e">
        <f>VLOOKUP($A3941,TAB_CORRECAO_U[[Q_DIAS_U_PARC_TIR]:[V_FUT_U_CORC-02]],E$5, FALSE)</f>
        <v>#N/A</v>
      </c>
      <c r="F3941" s="22" t="e">
        <f>VLOOKUP($A3941,TAB_AMORTIZACAO_U[[Q_DIAS_U_PARC_TIR]:[V_FUT_U_PCPL-02]], F$5, FALSE)</f>
        <v>#N/A</v>
      </c>
      <c r="H3941" s="20">
        <f t="shared" si="312"/>
        <v>0</v>
      </c>
      <c r="I3941" s="21">
        <f t="shared" si="313"/>
        <v>0</v>
      </c>
      <c r="J3941" s="22" t="e">
        <f>VLOOKUP($A3941, TAB_JUROS_C[[DIAS_CORRIDOS]:[V_FUT_UTEIS]], J$5, FALSE)</f>
        <v>#N/A</v>
      </c>
      <c r="K3941" s="22" t="e">
        <f>VLOOKUP($A3941, TAB_CORRECAO_C[[DIAS_CORRIDOS]:[V_FUT_UTEIS]],K$5, FALSE)</f>
        <v>#N/A</v>
      </c>
      <c r="L3941" s="22" t="e">
        <f>VLOOKUP($A3941, TAB_AMORTIZACAO_C[[DIAS_CORRIDOS]:[V_FUT_UTEIS]], L$5, FALSE)</f>
        <v>#N/A</v>
      </c>
    </row>
    <row r="3942" spans="1:12" hidden="1">
      <c r="A3942" s="19">
        <f t="shared" si="314"/>
        <v>3936</v>
      </c>
      <c r="B3942" s="20">
        <f t="shared" si="310"/>
        <v>0</v>
      </c>
      <c r="C3942" s="21">
        <f t="shared" si="311"/>
        <v>0</v>
      </c>
      <c r="D3942" s="22" t="e">
        <f>VLOOKUP($A3942, TAB_JUROS_U[[Q_DIAS_U_PARC_TIR]:[V_FUT_U_JURS CENARIO]], D$5, FALSE)</f>
        <v>#N/A</v>
      </c>
      <c r="E3942" s="22" t="e">
        <f>VLOOKUP($A3942,TAB_CORRECAO_U[[Q_DIAS_U_PARC_TIR]:[V_FUT_U_CORC-02]],E$5, FALSE)</f>
        <v>#N/A</v>
      </c>
      <c r="F3942" s="22" t="e">
        <f>VLOOKUP($A3942,TAB_AMORTIZACAO_U[[Q_DIAS_U_PARC_TIR]:[V_FUT_U_PCPL-02]], F$5, FALSE)</f>
        <v>#N/A</v>
      </c>
      <c r="H3942" s="20">
        <f t="shared" si="312"/>
        <v>0</v>
      </c>
      <c r="I3942" s="21">
        <f t="shared" si="313"/>
        <v>0</v>
      </c>
      <c r="J3942" s="22" t="e">
        <f>VLOOKUP($A3942, TAB_JUROS_C[[DIAS_CORRIDOS]:[V_FUT_UTEIS]], J$5, FALSE)</f>
        <v>#N/A</v>
      </c>
      <c r="K3942" s="22" t="e">
        <f>VLOOKUP($A3942, TAB_CORRECAO_C[[DIAS_CORRIDOS]:[V_FUT_UTEIS]],K$5, FALSE)</f>
        <v>#N/A</v>
      </c>
      <c r="L3942" s="22" t="e">
        <f>VLOOKUP($A3942, TAB_AMORTIZACAO_C[[DIAS_CORRIDOS]:[V_FUT_UTEIS]], L$5, FALSE)</f>
        <v>#N/A</v>
      </c>
    </row>
    <row r="3943" spans="1:12" hidden="1">
      <c r="A3943" s="19">
        <f t="shared" si="314"/>
        <v>3937</v>
      </c>
      <c r="B3943" s="20">
        <f t="shared" si="310"/>
        <v>0</v>
      </c>
      <c r="C3943" s="21">
        <f t="shared" si="311"/>
        <v>0</v>
      </c>
      <c r="D3943" s="22" t="e">
        <f>VLOOKUP($A3943, TAB_JUROS_U[[Q_DIAS_U_PARC_TIR]:[V_FUT_U_JURS CENARIO]], D$5, FALSE)</f>
        <v>#N/A</v>
      </c>
      <c r="E3943" s="22" t="e">
        <f>VLOOKUP($A3943,TAB_CORRECAO_U[[Q_DIAS_U_PARC_TIR]:[V_FUT_U_CORC-02]],E$5, FALSE)</f>
        <v>#N/A</v>
      </c>
      <c r="F3943" s="22" t="e">
        <f>VLOOKUP($A3943,TAB_AMORTIZACAO_U[[Q_DIAS_U_PARC_TIR]:[V_FUT_U_PCPL-02]], F$5, FALSE)</f>
        <v>#N/A</v>
      </c>
      <c r="H3943" s="20">
        <f t="shared" si="312"/>
        <v>0</v>
      </c>
      <c r="I3943" s="21">
        <f t="shared" si="313"/>
        <v>0</v>
      </c>
      <c r="J3943" s="22" t="e">
        <f>VLOOKUP($A3943, TAB_JUROS_C[[DIAS_CORRIDOS]:[V_FUT_UTEIS]], J$5, FALSE)</f>
        <v>#N/A</v>
      </c>
      <c r="K3943" s="22" t="e">
        <f>VLOOKUP($A3943, TAB_CORRECAO_C[[DIAS_CORRIDOS]:[V_FUT_UTEIS]],K$5, FALSE)</f>
        <v>#N/A</v>
      </c>
      <c r="L3943" s="22" t="e">
        <f>VLOOKUP($A3943, TAB_AMORTIZACAO_C[[DIAS_CORRIDOS]:[V_FUT_UTEIS]], L$5, FALSE)</f>
        <v>#N/A</v>
      </c>
    </row>
    <row r="3944" spans="1:12" hidden="1">
      <c r="A3944" s="19">
        <f t="shared" si="314"/>
        <v>3938</v>
      </c>
      <c r="B3944" s="20">
        <f t="shared" si="310"/>
        <v>0</v>
      </c>
      <c r="C3944" s="21">
        <f t="shared" si="311"/>
        <v>0</v>
      </c>
      <c r="D3944" s="22" t="e">
        <f>VLOOKUP($A3944, TAB_JUROS_U[[Q_DIAS_U_PARC_TIR]:[V_FUT_U_JURS CENARIO]], D$5, FALSE)</f>
        <v>#N/A</v>
      </c>
      <c r="E3944" s="22" t="e">
        <f>VLOOKUP($A3944,TAB_CORRECAO_U[[Q_DIAS_U_PARC_TIR]:[V_FUT_U_CORC-02]],E$5, FALSE)</f>
        <v>#N/A</v>
      </c>
      <c r="F3944" s="22" t="e">
        <f>VLOOKUP($A3944,TAB_AMORTIZACAO_U[[Q_DIAS_U_PARC_TIR]:[V_FUT_U_PCPL-02]], F$5, FALSE)</f>
        <v>#N/A</v>
      </c>
      <c r="H3944" s="20">
        <f t="shared" si="312"/>
        <v>125.63159712443225</v>
      </c>
      <c r="I3944" s="21">
        <f t="shared" si="313"/>
        <v>125.63159712443225</v>
      </c>
      <c r="J3944" s="22">
        <f>VLOOKUP($A3944, TAB_JUROS_C[[DIAS_CORRIDOS]:[V_FUT_UTEIS]], J$5, FALSE)</f>
        <v>3.1733414544991381</v>
      </c>
      <c r="K3944" s="22">
        <f>VLOOKUP($A3944, TAB_CORRECAO_C[[DIAS_CORRIDOS]:[V_FUT_UTEIS]],K$5, FALSE)</f>
        <v>20.668284178767355</v>
      </c>
      <c r="L3944" s="22">
        <f>VLOOKUP($A3944, TAB_AMORTIZACAO_C[[DIAS_CORRIDOS]:[V_FUT_UTEIS]], L$5, FALSE)</f>
        <v>101.78997149116576</v>
      </c>
    </row>
    <row r="3945" spans="1:12" hidden="1">
      <c r="A3945" s="19">
        <f t="shared" si="314"/>
        <v>3939</v>
      </c>
      <c r="B3945" s="20">
        <f t="shared" si="310"/>
        <v>0</v>
      </c>
      <c r="C3945" s="21">
        <f t="shared" si="311"/>
        <v>0</v>
      </c>
      <c r="D3945" s="22" t="e">
        <f>VLOOKUP($A3945, TAB_JUROS_U[[Q_DIAS_U_PARC_TIR]:[V_FUT_U_JURS CENARIO]], D$5, FALSE)</f>
        <v>#N/A</v>
      </c>
      <c r="E3945" s="22" t="e">
        <f>VLOOKUP($A3945,TAB_CORRECAO_U[[Q_DIAS_U_PARC_TIR]:[V_FUT_U_CORC-02]],E$5, FALSE)</f>
        <v>#N/A</v>
      </c>
      <c r="F3945" s="22" t="e">
        <f>VLOOKUP($A3945,TAB_AMORTIZACAO_U[[Q_DIAS_U_PARC_TIR]:[V_FUT_U_PCPL-02]], F$5, FALSE)</f>
        <v>#N/A</v>
      </c>
      <c r="H3945" s="20">
        <f t="shared" si="312"/>
        <v>0</v>
      </c>
      <c r="I3945" s="21">
        <f t="shared" si="313"/>
        <v>0</v>
      </c>
      <c r="J3945" s="22" t="e">
        <f>VLOOKUP($A3945, TAB_JUROS_C[[DIAS_CORRIDOS]:[V_FUT_UTEIS]], J$5, FALSE)</f>
        <v>#N/A</v>
      </c>
      <c r="K3945" s="22" t="e">
        <f>VLOOKUP($A3945, TAB_CORRECAO_C[[DIAS_CORRIDOS]:[V_FUT_UTEIS]],K$5, FALSE)</f>
        <v>#N/A</v>
      </c>
      <c r="L3945" s="22" t="e">
        <f>VLOOKUP($A3945, TAB_AMORTIZACAO_C[[DIAS_CORRIDOS]:[V_FUT_UTEIS]], L$5, FALSE)</f>
        <v>#N/A</v>
      </c>
    </row>
    <row r="3946" spans="1:12" hidden="1">
      <c r="A3946" s="19">
        <f t="shared" si="314"/>
        <v>3940</v>
      </c>
      <c r="B3946" s="20">
        <f t="shared" si="310"/>
        <v>0</v>
      </c>
      <c r="C3946" s="21">
        <f t="shared" si="311"/>
        <v>0</v>
      </c>
      <c r="D3946" s="22" t="e">
        <f>VLOOKUP($A3946, TAB_JUROS_U[[Q_DIAS_U_PARC_TIR]:[V_FUT_U_JURS CENARIO]], D$5, FALSE)</f>
        <v>#N/A</v>
      </c>
      <c r="E3946" s="22" t="e">
        <f>VLOOKUP($A3946,TAB_CORRECAO_U[[Q_DIAS_U_PARC_TIR]:[V_FUT_U_CORC-02]],E$5, FALSE)</f>
        <v>#N/A</v>
      </c>
      <c r="F3946" s="22" t="e">
        <f>VLOOKUP($A3946,TAB_AMORTIZACAO_U[[Q_DIAS_U_PARC_TIR]:[V_FUT_U_PCPL-02]], F$5, FALSE)</f>
        <v>#N/A</v>
      </c>
      <c r="H3946" s="20">
        <f t="shared" si="312"/>
        <v>0</v>
      </c>
      <c r="I3946" s="21">
        <f t="shared" si="313"/>
        <v>0</v>
      </c>
      <c r="J3946" s="22" t="e">
        <f>VLOOKUP($A3946, TAB_JUROS_C[[DIAS_CORRIDOS]:[V_FUT_UTEIS]], J$5, FALSE)</f>
        <v>#N/A</v>
      </c>
      <c r="K3946" s="22" t="e">
        <f>VLOOKUP($A3946, TAB_CORRECAO_C[[DIAS_CORRIDOS]:[V_FUT_UTEIS]],K$5, FALSE)</f>
        <v>#N/A</v>
      </c>
      <c r="L3946" s="22" t="e">
        <f>VLOOKUP($A3946, TAB_AMORTIZACAO_C[[DIAS_CORRIDOS]:[V_FUT_UTEIS]], L$5, FALSE)</f>
        <v>#N/A</v>
      </c>
    </row>
    <row r="3947" spans="1:12" hidden="1">
      <c r="A3947" s="19">
        <f t="shared" si="314"/>
        <v>3941</v>
      </c>
      <c r="B3947" s="20">
        <f t="shared" si="310"/>
        <v>0</v>
      </c>
      <c r="C3947" s="21">
        <f t="shared" si="311"/>
        <v>0</v>
      </c>
      <c r="D3947" s="22" t="e">
        <f>VLOOKUP($A3947, TAB_JUROS_U[[Q_DIAS_U_PARC_TIR]:[V_FUT_U_JURS CENARIO]], D$5, FALSE)</f>
        <v>#N/A</v>
      </c>
      <c r="E3947" s="22" t="e">
        <f>VLOOKUP($A3947,TAB_CORRECAO_U[[Q_DIAS_U_PARC_TIR]:[V_FUT_U_CORC-02]],E$5, FALSE)</f>
        <v>#N/A</v>
      </c>
      <c r="F3947" s="22" t="e">
        <f>VLOOKUP($A3947,TAB_AMORTIZACAO_U[[Q_DIAS_U_PARC_TIR]:[V_FUT_U_PCPL-02]], F$5, FALSE)</f>
        <v>#N/A</v>
      </c>
      <c r="H3947" s="20">
        <f t="shared" si="312"/>
        <v>0</v>
      </c>
      <c r="I3947" s="21">
        <f t="shared" si="313"/>
        <v>0</v>
      </c>
      <c r="J3947" s="22" t="e">
        <f>VLOOKUP($A3947, TAB_JUROS_C[[DIAS_CORRIDOS]:[V_FUT_UTEIS]], J$5, FALSE)</f>
        <v>#N/A</v>
      </c>
      <c r="K3947" s="22" t="e">
        <f>VLOOKUP($A3947, TAB_CORRECAO_C[[DIAS_CORRIDOS]:[V_FUT_UTEIS]],K$5, FALSE)</f>
        <v>#N/A</v>
      </c>
      <c r="L3947" s="22" t="e">
        <f>VLOOKUP($A3947, TAB_AMORTIZACAO_C[[DIAS_CORRIDOS]:[V_FUT_UTEIS]], L$5, FALSE)</f>
        <v>#N/A</v>
      </c>
    </row>
    <row r="3948" spans="1:12" hidden="1">
      <c r="A3948" s="19">
        <f t="shared" si="314"/>
        <v>3942</v>
      </c>
      <c r="B3948" s="20">
        <f t="shared" si="310"/>
        <v>0</v>
      </c>
      <c r="C3948" s="21">
        <f t="shared" si="311"/>
        <v>0</v>
      </c>
      <c r="D3948" s="22" t="e">
        <f>VLOOKUP($A3948, TAB_JUROS_U[[Q_DIAS_U_PARC_TIR]:[V_FUT_U_JURS CENARIO]], D$5, FALSE)</f>
        <v>#N/A</v>
      </c>
      <c r="E3948" s="22" t="e">
        <f>VLOOKUP($A3948,TAB_CORRECAO_U[[Q_DIAS_U_PARC_TIR]:[V_FUT_U_CORC-02]],E$5, FALSE)</f>
        <v>#N/A</v>
      </c>
      <c r="F3948" s="22" t="e">
        <f>VLOOKUP($A3948,TAB_AMORTIZACAO_U[[Q_DIAS_U_PARC_TIR]:[V_FUT_U_PCPL-02]], F$5, FALSE)</f>
        <v>#N/A</v>
      </c>
      <c r="H3948" s="20">
        <f t="shared" si="312"/>
        <v>0</v>
      </c>
      <c r="I3948" s="21">
        <f t="shared" si="313"/>
        <v>0</v>
      </c>
      <c r="J3948" s="22" t="e">
        <f>VLOOKUP($A3948, TAB_JUROS_C[[DIAS_CORRIDOS]:[V_FUT_UTEIS]], J$5, FALSE)</f>
        <v>#N/A</v>
      </c>
      <c r="K3948" s="22" t="e">
        <f>VLOOKUP($A3948, TAB_CORRECAO_C[[DIAS_CORRIDOS]:[V_FUT_UTEIS]],K$5, FALSE)</f>
        <v>#N/A</v>
      </c>
      <c r="L3948" s="22" t="e">
        <f>VLOOKUP($A3948, TAB_AMORTIZACAO_C[[DIAS_CORRIDOS]:[V_FUT_UTEIS]], L$5, FALSE)</f>
        <v>#N/A</v>
      </c>
    </row>
    <row r="3949" spans="1:12" hidden="1">
      <c r="A3949" s="19">
        <f t="shared" si="314"/>
        <v>3943</v>
      </c>
      <c r="B3949" s="20">
        <f t="shared" si="310"/>
        <v>0</v>
      </c>
      <c r="C3949" s="21">
        <f t="shared" si="311"/>
        <v>0</v>
      </c>
      <c r="D3949" s="22" t="e">
        <f>VLOOKUP($A3949, TAB_JUROS_U[[Q_DIAS_U_PARC_TIR]:[V_FUT_U_JURS CENARIO]], D$5, FALSE)</f>
        <v>#N/A</v>
      </c>
      <c r="E3949" s="22" t="e">
        <f>VLOOKUP($A3949,TAB_CORRECAO_U[[Q_DIAS_U_PARC_TIR]:[V_FUT_U_CORC-02]],E$5, FALSE)</f>
        <v>#N/A</v>
      </c>
      <c r="F3949" s="22" t="e">
        <f>VLOOKUP($A3949,TAB_AMORTIZACAO_U[[Q_DIAS_U_PARC_TIR]:[V_FUT_U_PCPL-02]], F$5, FALSE)</f>
        <v>#N/A</v>
      </c>
      <c r="H3949" s="20">
        <f t="shared" si="312"/>
        <v>0</v>
      </c>
      <c r="I3949" s="21">
        <f t="shared" si="313"/>
        <v>0</v>
      </c>
      <c r="J3949" s="22" t="e">
        <f>VLOOKUP($A3949, TAB_JUROS_C[[DIAS_CORRIDOS]:[V_FUT_UTEIS]], J$5, FALSE)</f>
        <v>#N/A</v>
      </c>
      <c r="K3949" s="22" t="e">
        <f>VLOOKUP($A3949, TAB_CORRECAO_C[[DIAS_CORRIDOS]:[V_FUT_UTEIS]],K$5, FALSE)</f>
        <v>#N/A</v>
      </c>
      <c r="L3949" s="22" t="e">
        <f>VLOOKUP($A3949, TAB_AMORTIZACAO_C[[DIAS_CORRIDOS]:[V_FUT_UTEIS]], L$5, FALSE)</f>
        <v>#N/A</v>
      </c>
    </row>
    <row r="3950" spans="1:12" hidden="1">
      <c r="A3950" s="19">
        <f t="shared" si="314"/>
        <v>3944</v>
      </c>
      <c r="B3950" s="20">
        <f t="shared" si="310"/>
        <v>0</v>
      </c>
      <c r="C3950" s="21">
        <f t="shared" si="311"/>
        <v>0</v>
      </c>
      <c r="D3950" s="22" t="e">
        <f>VLOOKUP($A3950, TAB_JUROS_U[[Q_DIAS_U_PARC_TIR]:[V_FUT_U_JURS CENARIO]], D$5, FALSE)</f>
        <v>#N/A</v>
      </c>
      <c r="E3950" s="22" t="e">
        <f>VLOOKUP($A3950,TAB_CORRECAO_U[[Q_DIAS_U_PARC_TIR]:[V_FUT_U_CORC-02]],E$5, FALSE)</f>
        <v>#N/A</v>
      </c>
      <c r="F3950" s="22" t="e">
        <f>VLOOKUP($A3950,TAB_AMORTIZACAO_U[[Q_DIAS_U_PARC_TIR]:[V_FUT_U_PCPL-02]], F$5, FALSE)</f>
        <v>#N/A</v>
      </c>
      <c r="H3950" s="20">
        <f t="shared" si="312"/>
        <v>0</v>
      </c>
      <c r="I3950" s="21">
        <f t="shared" si="313"/>
        <v>0</v>
      </c>
      <c r="J3950" s="22" t="e">
        <f>VLOOKUP($A3950, TAB_JUROS_C[[DIAS_CORRIDOS]:[V_FUT_UTEIS]], J$5, FALSE)</f>
        <v>#N/A</v>
      </c>
      <c r="K3950" s="22" t="e">
        <f>VLOOKUP($A3950, TAB_CORRECAO_C[[DIAS_CORRIDOS]:[V_FUT_UTEIS]],K$5, FALSE)</f>
        <v>#N/A</v>
      </c>
      <c r="L3950" s="22" t="e">
        <f>VLOOKUP($A3950, TAB_AMORTIZACAO_C[[DIAS_CORRIDOS]:[V_FUT_UTEIS]], L$5, FALSE)</f>
        <v>#N/A</v>
      </c>
    </row>
    <row r="3951" spans="1:12" hidden="1">
      <c r="A3951" s="19">
        <f t="shared" si="314"/>
        <v>3945</v>
      </c>
      <c r="B3951" s="20">
        <f t="shared" si="310"/>
        <v>0</v>
      </c>
      <c r="C3951" s="21">
        <f t="shared" si="311"/>
        <v>0</v>
      </c>
      <c r="D3951" s="22" t="e">
        <f>VLOOKUP($A3951, TAB_JUROS_U[[Q_DIAS_U_PARC_TIR]:[V_FUT_U_JURS CENARIO]], D$5, FALSE)</f>
        <v>#N/A</v>
      </c>
      <c r="E3951" s="22" t="e">
        <f>VLOOKUP($A3951,TAB_CORRECAO_U[[Q_DIAS_U_PARC_TIR]:[V_FUT_U_CORC-02]],E$5, FALSE)</f>
        <v>#N/A</v>
      </c>
      <c r="F3951" s="22" t="e">
        <f>VLOOKUP($A3951,TAB_AMORTIZACAO_U[[Q_DIAS_U_PARC_TIR]:[V_FUT_U_PCPL-02]], F$5, FALSE)</f>
        <v>#N/A</v>
      </c>
      <c r="H3951" s="20">
        <f t="shared" si="312"/>
        <v>0</v>
      </c>
      <c r="I3951" s="21">
        <f t="shared" si="313"/>
        <v>0</v>
      </c>
      <c r="J3951" s="22" t="e">
        <f>VLOOKUP($A3951, TAB_JUROS_C[[DIAS_CORRIDOS]:[V_FUT_UTEIS]], J$5, FALSE)</f>
        <v>#N/A</v>
      </c>
      <c r="K3951" s="22" t="e">
        <f>VLOOKUP($A3951, TAB_CORRECAO_C[[DIAS_CORRIDOS]:[V_FUT_UTEIS]],K$5, FALSE)</f>
        <v>#N/A</v>
      </c>
      <c r="L3951" s="22" t="e">
        <f>VLOOKUP($A3951, TAB_AMORTIZACAO_C[[DIAS_CORRIDOS]:[V_FUT_UTEIS]], L$5, FALSE)</f>
        <v>#N/A</v>
      </c>
    </row>
    <row r="3952" spans="1:12" hidden="1">
      <c r="A3952" s="19">
        <f t="shared" si="314"/>
        <v>3946</v>
      </c>
      <c r="B3952" s="20">
        <f t="shared" si="310"/>
        <v>0</v>
      </c>
      <c r="C3952" s="21">
        <f t="shared" si="311"/>
        <v>0</v>
      </c>
      <c r="D3952" s="22" t="e">
        <f>VLOOKUP($A3952, TAB_JUROS_U[[Q_DIAS_U_PARC_TIR]:[V_FUT_U_JURS CENARIO]], D$5, FALSE)</f>
        <v>#N/A</v>
      </c>
      <c r="E3952" s="22" t="e">
        <f>VLOOKUP($A3952,TAB_CORRECAO_U[[Q_DIAS_U_PARC_TIR]:[V_FUT_U_CORC-02]],E$5, FALSE)</f>
        <v>#N/A</v>
      </c>
      <c r="F3952" s="22" t="e">
        <f>VLOOKUP($A3952,TAB_AMORTIZACAO_U[[Q_DIAS_U_PARC_TIR]:[V_FUT_U_PCPL-02]], F$5, FALSE)</f>
        <v>#N/A</v>
      </c>
      <c r="H3952" s="20">
        <f t="shared" si="312"/>
        <v>0</v>
      </c>
      <c r="I3952" s="21">
        <f t="shared" si="313"/>
        <v>0</v>
      </c>
      <c r="J3952" s="22" t="e">
        <f>VLOOKUP($A3952, TAB_JUROS_C[[DIAS_CORRIDOS]:[V_FUT_UTEIS]], J$5, FALSE)</f>
        <v>#N/A</v>
      </c>
      <c r="K3952" s="22" t="e">
        <f>VLOOKUP($A3952, TAB_CORRECAO_C[[DIAS_CORRIDOS]:[V_FUT_UTEIS]],K$5, FALSE)</f>
        <v>#N/A</v>
      </c>
      <c r="L3952" s="22" t="e">
        <f>VLOOKUP($A3952, TAB_AMORTIZACAO_C[[DIAS_CORRIDOS]:[V_FUT_UTEIS]], L$5, FALSE)</f>
        <v>#N/A</v>
      </c>
    </row>
    <row r="3953" spans="1:12" hidden="1">
      <c r="A3953" s="19">
        <f t="shared" si="314"/>
        <v>3947</v>
      </c>
      <c r="B3953" s="20">
        <f t="shared" si="310"/>
        <v>0</v>
      </c>
      <c r="C3953" s="21">
        <f t="shared" si="311"/>
        <v>0</v>
      </c>
      <c r="D3953" s="22" t="e">
        <f>VLOOKUP($A3953, TAB_JUROS_U[[Q_DIAS_U_PARC_TIR]:[V_FUT_U_JURS CENARIO]], D$5, FALSE)</f>
        <v>#N/A</v>
      </c>
      <c r="E3953" s="22" t="e">
        <f>VLOOKUP($A3953,TAB_CORRECAO_U[[Q_DIAS_U_PARC_TIR]:[V_FUT_U_CORC-02]],E$5, FALSE)</f>
        <v>#N/A</v>
      </c>
      <c r="F3953" s="22" t="e">
        <f>VLOOKUP($A3953,TAB_AMORTIZACAO_U[[Q_DIAS_U_PARC_TIR]:[V_FUT_U_PCPL-02]], F$5, FALSE)</f>
        <v>#N/A</v>
      </c>
      <c r="H3953" s="20">
        <f t="shared" si="312"/>
        <v>0</v>
      </c>
      <c r="I3953" s="21">
        <f t="shared" si="313"/>
        <v>0</v>
      </c>
      <c r="J3953" s="22" t="e">
        <f>VLOOKUP($A3953, TAB_JUROS_C[[DIAS_CORRIDOS]:[V_FUT_UTEIS]], J$5, FALSE)</f>
        <v>#N/A</v>
      </c>
      <c r="K3953" s="22" t="e">
        <f>VLOOKUP($A3953, TAB_CORRECAO_C[[DIAS_CORRIDOS]:[V_FUT_UTEIS]],K$5, FALSE)</f>
        <v>#N/A</v>
      </c>
      <c r="L3953" s="22" t="e">
        <f>VLOOKUP($A3953, TAB_AMORTIZACAO_C[[DIAS_CORRIDOS]:[V_FUT_UTEIS]], L$5, FALSE)</f>
        <v>#N/A</v>
      </c>
    </row>
    <row r="3954" spans="1:12" hidden="1">
      <c r="A3954" s="19">
        <f t="shared" si="314"/>
        <v>3948</v>
      </c>
      <c r="B3954" s="20">
        <f t="shared" si="310"/>
        <v>0</v>
      </c>
      <c r="C3954" s="21">
        <f t="shared" si="311"/>
        <v>0</v>
      </c>
      <c r="D3954" s="22" t="e">
        <f>VLOOKUP($A3954, TAB_JUROS_U[[Q_DIAS_U_PARC_TIR]:[V_FUT_U_JURS CENARIO]], D$5, FALSE)</f>
        <v>#N/A</v>
      </c>
      <c r="E3954" s="22" t="e">
        <f>VLOOKUP($A3954,TAB_CORRECAO_U[[Q_DIAS_U_PARC_TIR]:[V_FUT_U_CORC-02]],E$5, FALSE)</f>
        <v>#N/A</v>
      </c>
      <c r="F3954" s="22" t="e">
        <f>VLOOKUP($A3954,TAB_AMORTIZACAO_U[[Q_DIAS_U_PARC_TIR]:[V_FUT_U_PCPL-02]], F$5, FALSE)</f>
        <v>#N/A</v>
      </c>
      <c r="H3954" s="20">
        <f t="shared" si="312"/>
        <v>0</v>
      </c>
      <c r="I3954" s="21">
        <f t="shared" si="313"/>
        <v>0</v>
      </c>
      <c r="J3954" s="22" t="e">
        <f>VLOOKUP($A3954, TAB_JUROS_C[[DIAS_CORRIDOS]:[V_FUT_UTEIS]], J$5, FALSE)</f>
        <v>#N/A</v>
      </c>
      <c r="K3954" s="22" t="e">
        <f>VLOOKUP($A3954, TAB_CORRECAO_C[[DIAS_CORRIDOS]:[V_FUT_UTEIS]],K$5, FALSE)</f>
        <v>#N/A</v>
      </c>
      <c r="L3954" s="22" t="e">
        <f>VLOOKUP($A3954, TAB_AMORTIZACAO_C[[DIAS_CORRIDOS]:[V_FUT_UTEIS]], L$5, FALSE)</f>
        <v>#N/A</v>
      </c>
    </row>
    <row r="3955" spans="1:12" hidden="1">
      <c r="A3955" s="19">
        <f t="shared" si="314"/>
        <v>3949</v>
      </c>
      <c r="B3955" s="20">
        <f t="shared" si="310"/>
        <v>0</v>
      </c>
      <c r="C3955" s="21">
        <f t="shared" si="311"/>
        <v>0</v>
      </c>
      <c r="D3955" s="22" t="e">
        <f>VLOOKUP($A3955, TAB_JUROS_U[[Q_DIAS_U_PARC_TIR]:[V_FUT_U_JURS CENARIO]], D$5, FALSE)</f>
        <v>#N/A</v>
      </c>
      <c r="E3955" s="22" t="e">
        <f>VLOOKUP($A3955,TAB_CORRECAO_U[[Q_DIAS_U_PARC_TIR]:[V_FUT_U_CORC-02]],E$5, FALSE)</f>
        <v>#N/A</v>
      </c>
      <c r="F3955" s="22" t="e">
        <f>VLOOKUP($A3955,TAB_AMORTIZACAO_U[[Q_DIAS_U_PARC_TIR]:[V_FUT_U_PCPL-02]], F$5, FALSE)</f>
        <v>#N/A</v>
      </c>
      <c r="H3955" s="20">
        <f t="shared" si="312"/>
        <v>0</v>
      </c>
      <c r="I3955" s="21">
        <f t="shared" si="313"/>
        <v>0</v>
      </c>
      <c r="J3955" s="22" t="e">
        <f>VLOOKUP($A3955, TAB_JUROS_C[[DIAS_CORRIDOS]:[V_FUT_UTEIS]], J$5, FALSE)</f>
        <v>#N/A</v>
      </c>
      <c r="K3955" s="22" t="e">
        <f>VLOOKUP($A3955, TAB_CORRECAO_C[[DIAS_CORRIDOS]:[V_FUT_UTEIS]],K$5, FALSE)</f>
        <v>#N/A</v>
      </c>
      <c r="L3955" s="22" t="e">
        <f>VLOOKUP($A3955, TAB_AMORTIZACAO_C[[DIAS_CORRIDOS]:[V_FUT_UTEIS]], L$5, FALSE)</f>
        <v>#N/A</v>
      </c>
    </row>
    <row r="3956" spans="1:12" hidden="1">
      <c r="A3956" s="19">
        <f t="shared" si="314"/>
        <v>3950</v>
      </c>
      <c r="B3956" s="20">
        <f t="shared" si="310"/>
        <v>0</v>
      </c>
      <c r="C3956" s="21">
        <f t="shared" si="311"/>
        <v>0</v>
      </c>
      <c r="D3956" s="22" t="e">
        <f>VLOOKUP($A3956, TAB_JUROS_U[[Q_DIAS_U_PARC_TIR]:[V_FUT_U_JURS CENARIO]], D$5, FALSE)</f>
        <v>#N/A</v>
      </c>
      <c r="E3956" s="22" t="e">
        <f>VLOOKUP($A3956,TAB_CORRECAO_U[[Q_DIAS_U_PARC_TIR]:[V_FUT_U_CORC-02]],E$5, FALSE)</f>
        <v>#N/A</v>
      </c>
      <c r="F3956" s="22" t="e">
        <f>VLOOKUP($A3956,TAB_AMORTIZACAO_U[[Q_DIAS_U_PARC_TIR]:[V_FUT_U_PCPL-02]], F$5, FALSE)</f>
        <v>#N/A</v>
      </c>
      <c r="H3956" s="20">
        <f t="shared" si="312"/>
        <v>0</v>
      </c>
      <c r="I3956" s="21">
        <f t="shared" si="313"/>
        <v>0</v>
      </c>
      <c r="J3956" s="22" t="e">
        <f>VLOOKUP($A3956, TAB_JUROS_C[[DIAS_CORRIDOS]:[V_FUT_UTEIS]], J$5, FALSE)</f>
        <v>#N/A</v>
      </c>
      <c r="K3956" s="22" t="e">
        <f>VLOOKUP($A3956, TAB_CORRECAO_C[[DIAS_CORRIDOS]:[V_FUT_UTEIS]],K$5, FALSE)</f>
        <v>#N/A</v>
      </c>
      <c r="L3956" s="22" t="e">
        <f>VLOOKUP($A3956, TAB_AMORTIZACAO_C[[DIAS_CORRIDOS]:[V_FUT_UTEIS]], L$5, FALSE)</f>
        <v>#N/A</v>
      </c>
    </row>
    <row r="3957" spans="1:12" hidden="1">
      <c r="A3957" s="19">
        <f t="shared" si="314"/>
        <v>3951</v>
      </c>
      <c r="B3957" s="20">
        <f t="shared" si="310"/>
        <v>0</v>
      </c>
      <c r="C3957" s="21">
        <f t="shared" si="311"/>
        <v>0</v>
      </c>
      <c r="D3957" s="22" t="e">
        <f>VLOOKUP($A3957, TAB_JUROS_U[[Q_DIAS_U_PARC_TIR]:[V_FUT_U_JURS CENARIO]], D$5, FALSE)</f>
        <v>#N/A</v>
      </c>
      <c r="E3957" s="22" t="e">
        <f>VLOOKUP($A3957,TAB_CORRECAO_U[[Q_DIAS_U_PARC_TIR]:[V_FUT_U_CORC-02]],E$5, FALSE)</f>
        <v>#N/A</v>
      </c>
      <c r="F3957" s="22" t="e">
        <f>VLOOKUP($A3957,TAB_AMORTIZACAO_U[[Q_DIAS_U_PARC_TIR]:[V_FUT_U_PCPL-02]], F$5, FALSE)</f>
        <v>#N/A</v>
      </c>
      <c r="H3957" s="20">
        <f t="shared" si="312"/>
        <v>0</v>
      </c>
      <c r="I3957" s="21">
        <f t="shared" si="313"/>
        <v>0</v>
      </c>
      <c r="J3957" s="22" t="e">
        <f>VLOOKUP($A3957, TAB_JUROS_C[[DIAS_CORRIDOS]:[V_FUT_UTEIS]], J$5, FALSE)</f>
        <v>#N/A</v>
      </c>
      <c r="K3957" s="22" t="e">
        <f>VLOOKUP($A3957, TAB_CORRECAO_C[[DIAS_CORRIDOS]:[V_FUT_UTEIS]],K$5, FALSE)</f>
        <v>#N/A</v>
      </c>
      <c r="L3957" s="22" t="e">
        <f>VLOOKUP($A3957, TAB_AMORTIZACAO_C[[DIAS_CORRIDOS]:[V_FUT_UTEIS]], L$5, FALSE)</f>
        <v>#N/A</v>
      </c>
    </row>
    <row r="3958" spans="1:12" hidden="1">
      <c r="A3958" s="19">
        <f t="shared" si="314"/>
        <v>3952</v>
      </c>
      <c r="B3958" s="20">
        <f t="shared" si="310"/>
        <v>0</v>
      </c>
      <c r="C3958" s="21">
        <f t="shared" si="311"/>
        <v>0</v>
      </c>
      <c r="D3958" s="22" t="e">
        <f>VLOOKUP($A3958, TAB_JUROS_U[[Q_DIAS_U_PARC_TIR]:[V_FUT_U_JURS CENARIO]], D$5, FALSE)</f>
        <v>#N/A</v>
      </c>
      <c r="E3958" s="22" t="e">
        <f>VLOOKUP($A3958,TAB_CORRECAO_U[[Q_DIAS_U_PARC_TIR]:[V_FUT_U_CORC-02]],E$5, FALSE)</f>
        <v>#N/A</v>
      </c>
      <c r="F3958" s="22" t="e">
        <f>VLOOKUP($A3958,TAB_AMORTIZACAO_U[[Q_DIAS_U_PARC_TIR]:[V_FUT_U_PCPL-02]], F$5, FALSE)</f>
        <v>#N/A</v>
      </c>
      <c r="H3958" s="20">
        <f t="shared" si="312"/>
        <v>0</v>
      </c>
      <c r="I3958" s="21">
        <f t="shared" si="313"/>
        <v>0</v>
      </c>
      <c r="J3958" s="22" t="e">
        <f>VLOOKUP($A3958, TAB_JUROS_C[[DIAS_CORRIDOS]:[V_FUT_UTEIS]], J$5, FALSE)</f>
        <v>#N/A</v>
      </c>
      <c r="K3958" s="22" t="e">
        <f>VLOOKUP($A3958, TAB_CORRECAO_C[[DIAS_CORRIDOS]:[V_FUT_UTEIS]],K$5, FALSE)</f>
        <v>#N/A</v>
      </c>
      <c r="L3958" s="22" t="e">
        <f>VLOOKUP($A3958, TAB_AMORTIZACAO_C[[DIAS_CORRIDOS]:[V_FUT_UTEIS]], L$5, FALSE)</f>
        <v>#N/A</v>
      </c>
    </row>
    <row r="3959" spans="1:12" hidden="1">
      <c r="A3959" s="19">
        <f t="shared" si="314"/>
        <v>3953</v>
      </c>
      <c r="B3959" s="20">
        <f t="shared" si="310"/>
        <v>0</v>
      </c>
      <c r="C3959" s="21">
        <f t="shared" si="311"/>
        <v>0</v>
      </c>
      <c r="D3959" s="22" t="e">
        <f>VLOOKUP($A3959, TAB_JUROS_U[[Q_DIAS_U_PARC_TIR]:[V_FUT_U_JURS CENARIO]], D$5, FALSE)</f>
        <v>#N/A</v>
      </c>
      <c r="E3959" s="22" t="e">
        <f>VLOOKUP($A3959,TAB_CORRECAO_U[[Q_DIAS_U_PARC_TIR]:[V_FUT_U_CORC-02]],E$5, FALSE)</f>
        <v>#N/A</v>
      </c>
      <c r="F3959" s="22" t="e">
        <f>VLOOKUP($A3959,TAB_AMORTIZACAO_U[[Q_DIAS_U_PARC_TIR]:[V_FUT_U_PCPL-02]], F$5, FALSE)</f>
        <v>#N/A</v>
      </c>
      <c r="H3959" s="20">
        <f t="shared" si="312"/>
        <v>0</v>
      </c>
      <c r="I3959" s="21">
        <f t="shared" si="313"/>
        <v>0</v>
      </c>
      <c r="J3959" s="22" t="e">
        <f>VLOOKUP($A3959, TAB_JUROS_C[[DIAS_CORRIDOS]:[V_FUT_UTEIS]], J$5, FALSE)</f>
        <v>#N/A</v>
      </c>
      <c r="K3959" s="22" t="e">
        <f>VLOOKUP($A3959, TAB_CORRECAO_C[[DIAS_CORRIDOS]:[V_FUT_UTEIS]],K$5, FALSE)</f>
        <v>#N/A</v>
      </c>
      <c r="L3959" s="22" t="e">
        <f>VLOOKUP($A3959, TAB_AMORTIZACAO_C[[DIAS_CORRIDOS]:[V_FUT_UTEIS]], L$5, FALSE)</f>
        <v>#N/A</v>
      </c>
    </row>
    <row r="3960" spans="1:12" hidden="1">
      <c r="A3960" s="19">
        <f t="shared" si="314"/>
        <v>3954</v>
      </c>
      <c r="B3960" s="20">
        <f t="shared" si="310"/>
        <v>0</v>
      </c>
      <c r="C3960" s="21">
        <f t="shared" si="311"/>
        <v>0</v>
      </c>
      <c r="D3960" s="22" t="e">
        <f>VLOOKUP($A3960, TAB_JUROS_U[[Q_DIAS_U_PARC_TIR]:[V_FUT_U_JURS CENARIO]], D$5, FALSE)</f>
        <v>#N/A</v>
      </c>
      <c r="E3960" s="22" t="e">
        <f>VLOOKUP($A3960,TAB_CORRECAO_U[[Q_DIAS_U_PARC_TIR]:[V_FUT_U_CORC-02]],E$5, FALSE)</f>
        <v>#N/A</v>
      </c>
      <c r="F3960" s="22" t="e">
        <f>VLOOKUP($A3960,TAB_AMORTIZACAO_U[[Q_DIAS_U_PARC_TIR]:[V_FUT_U_PCPL-02]], F$5, FALSE)</f>
        <v>#N/A</v>
      </c>
      <c r="H3960" s="20">
        <f t="shared" si="312"/>
        <v>0</v>
      </c>
      <c r="I3960" s="21">
        <f t="shared" si="313"/>
        <v>0</v>
      </c>
      <c r="J3960" s="22" t="e">
        <f>VLOOKUP($A3960, TAB_JUROS_C[[DIAS_CORRIDOS]:[V_FUT_UTEIS]], J$5, FALSE)</f>
        <v>#N/A</v>
      </c>
      <c r="K3960" s="22" t="e">
        <f>VLOOKUP($A3960, TAB_CORRECAO_C[[DIAS_CORRIDOS]:[V_FUT_UTEIS]],K$5, FALSE)</f>
        <v>#N/A</v>
      </c>
      <c r="L3960" s="22" t="e">
        <f>VLOOKUP($A3960, TAB_AMORTIZACAO_C[[DIAS_CORRIDOS]:[V_FUT_UTEIS]], L$5, FALSE)</f>
        <v>#N/A</v>
      </c>
    </row>
    <row r="3961" spans="1:12" hidden="1">
      <c r="A3961" s="19">
        <f t="shared" si="314"/>
        <v>3955</v>
      </c>
      <c r="B3961" s="20">
        <f t="shared" si="310"/>
        <v>0</v>
      </c>
      <c r="C3961" s="21">
        <f t="shared" si="311"/>
        <v>0</v>
      </c>
      <c r="D3961" s="22" t="e">
        <f>VLOOKUP($A3961, TAB_JUROS_U[[Q_DIAS_U_PARC_TIR]:[V_FUT_U_JURS CENARIO]], D$5, FALSE)</f>
        <v>#N/A</v>
      </c>
      <c r="E3961" s="22" t="e">
        <f>VLOOKUP($A3961,TAB_CORRECAO_U[[Q_DIAS_U_PARC_TIR]:[V_FUT_U_CORC-02]],E$5, FALSE)</f>
        <v>#N/A</v>
      </c>
      <c r="F3961" s="22" t="e">
        <f>VLOOKUP($A3961,TAB_AMORTIZACAO_U[[Q_DIAS_U_PARC_TIR]:[V_FUT_U_PCPL-02]], F$5, FALSE)</f>
        <v>#N/A</v>
      </c>
      <c r="H3961" s="20">
        <f t="shared" si="312"/>
        <v>0</v>
      </c>
      <c r="I3961" s="21">
        <f t="shared" si="313"/>
        <v>0</v>
      </c>
      <c r="J3961" s="22" t="e">
        <f>VLOOKUP($A3961, TAB_JUROS_C[[DIAS_CORRIDOS]:[V_FUT_UTEIS]], J$5, FALSE)</f>
        <v>#N/A</v>
      </c>
      <c r="K3961" s="22" t="e">
        <f>VLOOKUP($A3961, TAB_CORRECAO_C[[DIAS_CORRIDOS]:[V_FUT_UTEIS]],K$5, FALSE)</f>
        <v>#N/A</v>
      </c>
      <c r="L3961" s="22" t="e">
        <f>VLOOKUP($A3961, TAB_AMORTIZACAO_C[[DIAS_CORRIDOS]:[V_FUT_UTEIS]], L$5, FALSE)</f>
        <v>#N/A</v>
      </c>
    </row>
    <row r="3962" spans="1:12" hidden="1">
      <c r="A3962" s="19">
        <f t="shared" si="314"/>
        <v>3956</v>
      </c>
      <c r="B3962" s="20">
        <f t="shared" si="310"/>
        <v>0</v>
      </c>
      <c r="C3962" s="21">
        <f t="shared" si="311"/>
        <v>0</v>
      </c>
      <c r="D3962" s="22" t="e">
        <f>VLOOKUP($A3962, TAB_JUROS_U[[Q_DIAS_U_PARC_TIR]:[V_FUT_U_JURS CENARIO]], D$5, FALSE)</f>
        <v>#N/A</v>
      </c>
      <c r="E3962" s="22" t="e">
        <f>VLOOKUP($A3962,TAB_CORRECAO_U[[Q_DIAS_U_PARC_TIR]:[V_FUT_U_CORC-02]],E$5, FALSE)</f>
        <v>#N/A</v>
      </c>
      <c r="F3962" s="22" t="e">
        <f>VLOOKUP($A3962,TAB_AMORTIZACAO_U[[Q_DIAS_U_PARC_TIR]:[V_FUT_U_PCPL-02]], F$5, FALSE)</f>
        <v>#N/A</v>
      </c>
      <c r="H3962" s="20">
        <f t="shared" si="312"/>
        <v>0</v>
      </c>
      <c r="I3962" s="21">
        <f t="shared" si="313"/>
        <v>0</v>
      </c>
      <c r="J3962" s="22" t="e">
        <f>VLOOKUP($A3962, TAB_JUROS_C[[DIAS_CORRIDOS]:[V_FUT_UTEIS]], J$5, FALSE)</f>
        <v>#N/A</v>
      </c>
      <c r="K3962" s="22" t="e">
        <f>VLOOKUP($A3962, TAB_CORRECAO_C[[DIAS_CORRIDOS]:[V_FUT_UTEIS]],K$5, FALSE)</f>
        <v>#N/A</v>
      </c>
      <c r="L3962" s="22" t="e">
        <f>VLOOKUP($A3962, TAB_AMORTIZACAO_C[[DIAS_CORRIDOS]:[V_FUT_UTEIS]], L$5, FALSE)</f>
        <v>#N/A</v>
      </c>
    </row>
    <row r="3963" spans="1:12" hidden="1">
      <c r="A3963" s="19">
        <f t="shared" si="314"/>
        <v>3957</v>
      </c>
      <c r="B3963" s="20">
        <f t="shared" si="310"/>
        <v>0</v>
      </c>
      <c r="C3963" s="21">
        <f t="shared" si="311"/>
        <v>0</v>
      </c>
      <c r="D3963" s="22" t="e">
        <f>VLOOKUP($A3963, TAB_JUROS_U[[Q_DIAS_U_PARC_TIR]:[V_FUT_U_JURS CENARIO]], D$5, FALSE)</f>
        <v>#N/A</v>
      </c>
      <c r="E3963" s="22" t="e">
        <f>VLOOKUP($A3963,TAB_CORRECAO_U[[Q_DIAS_U_PARC_TIR]:[V_FUT_U_CORC-02]],E$5, FALSE)</f>
        <v>#N/A</v>
      </c>
      <c r="F3963" s="22" t="e">
        <f>VLOOKUP($A3963,TAB_AMORTIZACAO_U[[Q_DIAS_U_PARC_TIR]:[V_FUT_U_PCPL-02]], F$5, FALSE)</f>
        <v>#N/A</v>
      </c>
      <c r="H3963" s="20">
        <f t="shared" si="312"/>
        <v>0</v>
      </c>
      <c r="I3963" s="21">
        <f t="shared" si="313"/>
        <v>0</v>
      </c>
      <c r="J3963" s="22" t="e">
        <f>VLOOKUP($A3963, TAB_JUROS_C[[DIAS_CORRIDOS]:[V_FUT_UTEIS]], J$5, FALSE)</f>
        <v>#N/A</v>
      </c>
      <c r="K3963" s="22" t="e">
        <f>VLOOKUP($A3963, TAB_CORRECAO_C[[DIAS_CORRIDOS]:[V_FUT_UTEIS]],K$5, FALSE)</f>
        <v>#N/A</v>
      </c>
      <c r="L3963" s="22" t="e">
        <f>VLOOKUP($A3963, TAB_AMORTIZACAO_C[[DIAS_CORRIDOS]:[V_FUT_UTEIS]], L$5, FALSE)</f>
        <v>#N/A</v>
      </c>
    </row>
    <row r="3964" spans="1:12" hidden="1">
      <c r="A3964" s="19">
        <f t="shared" si="314"/>
        <v>3958</v>
      </c>
      <c r="B3964" s="20">
        <f t="shared" si="310"/>
        <v>0</v>
      </c>
      <c r="C3964" s="21">
        <f t="shared" si="311"/>
        <v>0</v>
      </c>
      <c r="D3964" s="22" t="e">
        <f>VLOOKUP($A3964, TAB_JUROS_U[[Q_DIAS_U_PARC_TIR]:[V_FUT_U_JURS CENARIO]], D$5, FALSE)</f>
        <v>#N/A</v>
      </c>
      <c r="E3964" s="22" t="e">
        <f>VLOOKUP($A3964,TAB_CORRECAO_U[[Q_DIAS_U_PARC_TIR]:[V_FUT_U_CORC-02]],E$5, FALSE)</f>
        <v>#N/A</v>
      </c>
      <c r="F3964" s="22" t="e">
        <f>VLOOKUP($A3964,TAB_AMORTIZACAO_U[[Q_DIAS_U_PARC_TIR]:[V_FUT_U_PCPL-02]], F$5, FALSE)</f>
        <v>#N/A</v>
      </c>
      <c r="H3964" s="20">
        <f t="shared" si="312"/>
        <v>0</v>
      </c>
      <c r="I3964" s="21">
        <f t="shared" si="313"/>
        <v>0</v>
      </c>
      <c r="J3964" s="22" t="e">
        <f>VLOOKUP($A3964, TAB_JUROS_C[[DIAS_CORRIDOS]:[V_FUT_UTEIS]], J$5, FALSE)</f>
        <v>#N/A</v>
      </c>
      <c r="K3964" s="22" t="e">
        <f>VLOOKUP($A3964, TAB_CORRECAO_C[[DIAS_CORRIDOS]:[V_FUT_UTEIS]],K$5, FALSE)</f>
        <v>#N/A</v>
      </c>
      <c r="L3964" s="22" t="e">
        <f>VLOOKUP($A3964, TAB_AMORTIZACAO_C[[DIAS_CORRIDOS]:[V_FUT_UTEIS]], L$5, FALSE)</f>
        <v>#N/A</v>
      </c>
    </row>
    <row r="3965" spans="1:12" hidden="1">
      <c r="A3965" s="19">
        <f t="shared" si="314"/>
        <v>3959</v>
      </c>
      <c r="B3965" s="20">
        <f t="shared" si="310"/>
        <v>0</v>
      </c>
      <c r="C3965" s="21">
        <f t="shared" si="311"/>
        <v>0</v>
      </c>
      <c r="D3965" s="22" t="e">
        <f>VLOOKUP($A3965, TAB_JUROS_U[[Q_DIAS_U_PARC_TIR]:[V_FUT_U_JURS CENARIO]], D$5, FALSE)</f>
        <v>#N/A</v>
      </c>
      <c r="E3965" s="22" t="e">
        <f>VLOOKUP($A3965,TAB_CORRECAO_U[[Q_DIAS_U_PARC_TIR]:[V_FUT_U_CORC-02]],E$5, FALSE)</f>
        <v>#N/A</v>
      </c>
      <c r="F3965" s="22" t="e">
        <f>VLOOKUP($A3965,TAB_AMORTIZACAO_U[[Q_DIAS_U_PARC_TIR]:[V_FUT_U_PCPL-02]], F$5, FALSE)</f>
        <v>#N/A</v>
      </c>
      <c r="H3965" s="20">
        <f t="shared" si="312"/>
        <v>0</v>
      </c>
      <c r="I3965" s="21">
        <f t="shared" si="313"/>
        <v>0</v>
      </c>
      <c r="J3965" s="22" t="e">
        <f>VLOOKUP($A3965, TAB_JUROS_C[[DIAS_CORRIDOS]:[V_FUT_UTEIS]], J$5, FALSE)</f>
        <v>#N/A</v>
      </c>
      <c r="K3965" s="22" t="e">
        <f>VLOOKUP($A3965, TAB_CORRECAO_C[[DIAS_CORRIDOS]:[V_FUT_UTEIS]],K$5, FALSE)</f>
        <v>#N/A</v>
      </c>
      <c r="L3965" s="22" t="e">
        <f>VLOOKUP($A3965, TAB_AMORTIZACAO_C[[DIAS_CORRIDOS]:[V_FUT_UTEIS]], L$5, FALSE)</f>
        <v>#N/A</v>
      </c>
    </row>
    <row r="3966" spans="1:12" hidden="1">
      <c r="A3966" s="19">
        <f t="shared" si="314"/>
        <v>3960</v>
      </c>
      <c r="B3966" s="20">
        <f t="shared" si="310"/>
        <v>0</v>
      </c>
      <c r="C3966" s="21">
        <f t="shared" si="311"/>
        <v>0</v>
      </c>
      <c r="D3966" s="22" t="e">
        <f>VLOOKUP($A3966, TAB_JUROS_U[[Q_DIAS_U_PARC_TIR]:[V_FUT_U_JURS CENARIO]], D$5, FALSE)</f>
        <v>#N/A</v>
      </c>
      <c r="E3966" s="22" t="e">
        <f>VLOOKUP($A3966,TAB_CORRECAO_U[[Q_DIAS_U_PARC_TIR]:[V_FUT_U_CORC-02]],E$5, FALSE)</f>
        <v>#N/A</v>
      </c>
      <c r="F3966" s="22" t="e">
        <f>VLOOKUP($A3966,TAB_AMORTIZACAO_U[[Q_DIAS_U_PARC_TIR]:[V_FUT_U_PCPL-02]], F$5, FALSE)</f>
        <v>#N/A</v>
      </c>
      <c r="H3966" s="20">
        <f t="shared" si="312"/>
        <v>0</v>
      </c>
      <c r="I3966" s="21">
        <f t="shared" si="313"/>
        <v>0</v>
      </c>
      <c r="J3966" s="22" t="e">
        <f>VLOOKUP($A3966, TAB_JUROS_C[[DIAS_CORRIDOS]:[V_FUT_UTEIS]], J$5, FALSE)</f>
        <v>#N/A</v>
      </c>
      <c r="K3966" s="22" t="e">
        <f>VLOOKUP($A3966, TAB_CORRECAO_C[[DIAS_CORRIDOS]:[V_FUT_UTEIS]],K$5, FALSE)</f>
        <v>#N/A</v>
      </c>
      <c r="L3966" s="22" t="e">
        <f>VLOOKUP($A3966, TAB_AMORTIZACAO_C[[DIAS_CORRIDOS]:[V_FUT_UTEIS]], L$5, FALSE)</f>
        <v>#N/A</v>
      </c>
    </row>
    <row r="3967" spans="1:12" hidden="1">
      <c r="A3967" s="19">
        <f t="shared" si="314"/>
        <v>3961</v>
      </c>
      <c r="B3967" s="20">
        <f t="shared" si="310"/>
        <v>0</v>
      </c>
      <c r="C3967" s="21">
        <f t="shared" si="311"/>
        <v>0</v>
      </c>
      <c r="D3967" s="22" t="e">
        <f>VLOOKUP($A3967, TAB_JUROS_U[[Q_DIAS_U_PARC_TIR]:[V_FUT_U_JURS CENARIO]], D$5, FALSE)</f>
        <v>#N/A</v>
      </c>
      <c r="E3967" s="22" t="e">
        <f>VLOOKUP($A3967,TAB_CORRECAO_U[[Q_DIAS_U_PARC_TIR]:[V_FUT_U_CORC-02]],E$5, FALSE)</f>
        <v>#N/A</v>
      </c>
      <c r="F3967" s="22" t="e">
        <f>VLOOKUP($A3967,TAB_AMORTIZACAO_U[[Q_DIAS_U_PARC_TIR]:[V_FUT_U_PCPL-02]], F$5, FALSE)</f>
        <v>#N/A</v>
      </c>
      <c r="H3967" s="20">
        <f t="shared" si="312"/>
        <v>0</v>
      </c>
      <c r="I3967" s="21">
        <f t="shared" si="313"/>
        <v>0</v>
      </c>
      <c r="J3967" s="22" t="e">
        <f>VLOOKUP($A3967, TAB_JUROS_C[[DIAS_CORRIDOS]:[V_FUT_UTEIS]], J$5, FALSE)</f>
        <v>#N/A</v>
      </c>
      <c r="K3967" s="22" t="e">
        <f>VLOOKUP($A3967, TAB_CORRECAO_C[[DIAS_CORRIDOS]:[V_FUT_UTEIS]],K$5, FALSE)</f>
        <v>#N/A</v>
      </c>
      <c r="L3967" s="22" t="e">
        <f>VLOOKUP($A3967, TAB_AMORTIZACAO_C[[DIAS_CORRIDOS]:[V_FUT_UTEIS]], L$5, FALSE)</f>
        <v>#N/A</v>
      </c>
    </row>
    <row r="3968" spans="1:12" hidden="1">
      <c r="A3968" s="19">
        <f t="shared" si="314"/>
        <v>3962</v>
      </c>
      <c r="B3968" s="20">
        <f t="shared" si="310"/>
        <v>0</v>
      </c>
      <c r="C3968" s="21">
        <f t="shared" si="311"/>
        <v>0</v>
      </c>
      <c r="D3968" s="22" t="e">
        <f>VLOOKUP($A3968, TAB_JUROS_U[[Q_DIAS_U_PARC_TIR]:[V_FUT_U_JURS CENARIO]], D$5, FALSE)</f>
        <v>#N/A</v>
      </c>
      <c r="E3968" s="22" t="e">
        <f>VLOOKUP($A3968,TAB_CORRECAO_U[[Q_DIAS_U_PARC_TIR]:[V_FUT_U_CORC-02]],E$5, FALSE)</f>
        <v>#N/A</v>
      </c>
      <c r="F3968" s="22" t="e">
        <f>VLOOKUP($A3968,TAB_AMORTIZACAO_U[[Q_DIAS_U_PARC_TIR]:[V_FUT_U_PCPL-02]], F$5, FALSE)</f>
        <v>#N/A</v>
      </c>
      <c r="H3968" s="20">
        <f t="shared" si="312"/>
        <v>0</v>
      </c>
      <c r="I3968" s="21">
        <f t="shared" si="313"/>
        <v>0</v>
      </c>
      <c r="J3968" s="22" t="e">
        <f>VLOOKUP($A3968, TAB_JUROS_C[[DIAS_CORRIDOS]:[V_FUT_UTEIS]], J$5, FALSE)</f>
        <v>#N/A</v>
      </c>
      <c r="K3968" s="22" t="e">
        <f>VLOOKUP($A3968, TAB_CORRECAO_C[[DIAS_CORRIDOS]:[V_FUT_UTEIS]],K$5, FALSE)</f>
        <v>#N/A</v>
      </c>
      <c r="L3968" s="22" t="e">
        <f>VLOOKUP($A3968, TAB_AMORTIZACAO_C[[DIAS_CORRIDOS]:[V_FUT_UTEIS]], L$5, FALSE)</f>
        <v>#N/A</v>
      </c>
    </row>
    <row r="3969" spans="1:12" hidden="1">
      <c r="A3969" s="19">
        <f t="shared" si="314"/>
        <v>3963</v>
      </c>
      <c r="B3969" s="20">
        <f t="shared" si="310"/>
        <v>0</v>
      </c>
      <c r="C3969" s="21">
        <f t="shared" si="311"/>
        <v>0</v>
      </c>
      <c r="D3969" s="22" t="e">
        <f>VLOOKUP($A3969, TAB_JUROS_U[[Q_DIAS_U_PARC_TIR]:[V_FUT_U_JURS CENARIO]], D$5, FALSE)</f>
        <v>#N/A</v>
      </c>
      <c r="E3969" s="22" t="e">
        <f>VLOOKUP($A3969,TAB_CORRECAO_U[[Q_DIAS_U_PARC_TIR]:[V_FUT_U_CORC-02]],E$5, FALSE)</f>
        <v>#N/A</v>
      </c>
      <c r="F3969" s="22" t="e">
        <f>VLOOKUP($A3969,TAB_AMORTIZACAO_U[[Q_DIAS_U_PARC_TIR]:[V_FUT_U_PCPL-02]], F$5, FALSE)</f>
        <v>#N/A</v>
      </c>
      <c r="H3969" s="20">
        <f t="shared" si="312"/>
        <v>0</v>
      </c>
      <c r="I3969" s="21">
        <f t="shared" si="313"/>
        <v>0</v>
      </c>
      <c r="J3969" s="22" t="e">
        <f>VLOOKUP($A3969, TAB_JUROS_C[[DIAS_CORRIDOS]:[V_FUT_UTEIS]], J$5, FALSE)</f>
        <v>#N/A</v>
      </c>
      <c r="K3969" s="22" t="e">
        <f>VLOOKUP($A3969, TAB_CORRECAO_C[[DIAS_CORRIDOS]:[V_FUT_UTEIS]],K$5, FALSE)</f>
        <v>#N/A</v>
      </c>
      <c r="L3969" s="22" t="e">
        <f>VLOOKUP($A3969, TAB_AMORTIZACAO_C[[DIAS_CORRIDOS]:[V_FUT_UTEIS]], L$5, FALSE)</f>
        <v>#N/A</v>
      </c>
    </row>
    <row r="3970" spans="1:12" hidden="1">
      <c r="A3970" s="19">
        <f t="shared" si="314"/>
        <v>3964</v>
      </c>
      <c r="B3970" s="20">
        <f t="shared" si="310"/>
        <v>0</v>
      </c>
      <c r="C3970" s="21">
        <f t="shared" si="311"/>
        <v>0</v>
      </c>
      <c r="D3970" s="22" t="e">
        <f>VLOOKUP($A3970, TAB_JUROS_U[[Q_DIAS_U_PARC_TIR]:[V_FUT_U_JURS CENARIO]], D$5, FALSE)</f>
        <v>#N/A</v>
      </c>
      <c r="E3970" s="22" t="e">
        <f>VLOOKUP($A3970,TAB_CORRECAO_U[[Q_DIAS_U_PARC_TIR]:[V_FUT_U_CORC-02]],E$5, FALSE)</f>
        <v>#N/A</v>
      </c>
      <c r="F3970" s="22" t="e">
        <f>VLOOKUP($A3970,TAB_AMORTIZACAO_U[[Q_DIAS_U_PARC_TIR]:[V_FUT_U_PCPL-02]], F$5, FALSE)</f>
        <v>#N/A</v>
      </c>
      <c r="H3970" s="20">
        <f t="shared" si="312"/>
        <v>0</v>
      </c>
      <c r="I3970" s="21">
        <f t="shared" si="313"/>
        <v>0</v>
      </c>
      <c r="J3970" s="22" t="e">
        <f>VLOOKUP($A3970, TAB_JUROS_C[[DIAS_CORRIDOS]:[V_FUT_UTEIS]], J$5, FALSE)</f>
        <v>#N/A</v>
      </c>
      <c r="K3970" s="22" t="e">
        <f>VLOOKUP($A3970, TAB_CORRECAO_C[[DIAS_CORRIDOS]:[V_FUT_UTEIS]],K$5, FALSE)</f>
        <v>#N/A</v>
      </c>
      <c r="L3970" s="22" t="e">
        <f>VLOOKUP($A3970, TAB_AMORTIZACAO_C[[DIAS_CORRIDOS]:[V_FUT_UTEIS]], L$5, FALSE)</f>
        <v>#N/A</v>
      </c>
    </row>
    <row r="3971" spans="1:12" hidden="1">
      <c r="A3971" s="19">
        <f t="shared" si="314"/>
        <v>3965</v>
      </c>
      <c r="B3971" s="20">
        <f t="shared" si="310"/>
        <v>0</v>
      </c>
      <c r="C3971" s="21">
        <f t="shared" si="311"/>
        <v>0</v>
      </c>
      <c r="D3971" s="22" t="e">
        <f>VLOOKUP($A3971, TAB_JUROS_U[[Q_DIAS_U_PARC_TIR]:[V_FUT_U_JURS CENARIO]], D$5, FALSE)</f>
        <v>#N/A</v>
      </c>
      <c r="E3971" s="22" t="e">
        <f>VLOOKUP($A3971,TAB_CORRECAO_U[[Q_DIAS_U_PARC_TIR]:[V_FUT_U_CORC-02]],E$5, FALSE)</f>
        <v>#N/A</v>
      </c>
      <c r="F3971" s="22" t="e">
        <f>VLOOKUP($A3971,TAB_AMORTIZACAO_U[[Q_DIAS_U_PARC_TIR]:[V_FUT_U_PCPL-02]], F$5, FALSE)</f>
        <v>#N/A</v>
      </c>
      <c r="H3971" s="20">
        <f t="shared" si="312"/>
        <v>0</v>
      </c>
      <c r="I3971" s="21">
        <f t="shared" si="313"/>
        <v>0</v>
      </c>
      <c r="J3971" s="22" t="e">
        <f>VLOOKUP($A3971, TAB_JUROS_C[[DIAS_CORRIDOS]:[V_FUT_UTEIS]], J$5, FALSE)</f>
        <v>#N/A</v>
      </c>
      <c r="K3971" s="22" t="e">
        <f>VLOOKUP($A3971, TAB_CORRECAO_C[[DIAS_CORRIDOS]:[V_FUT_UTEIS]],K$5, FALSE)</f>
        <v>#N/A</v>
      </c>
      <c r="L3971" s="22" t="e">
        <f>VLOOKUP($A3971, TAB_AMORTIZACAO_C[[DIAS_CORRIDOS]:[V_FUT_UTEIS]], L$5, FALSE)</f>
        <v>#N/A</v>
      </c>
    </row>
    <row r="3972" spans="1:12" hidden="1">
      <c r="A3972" s="19">
        <f t="shared" si="314"/>
        <v>3966</v>
      </c>
      <c r="B3972" s="20">
        <f t="shared" si="310"/>
        <v>0</v>
      </c>
      <c r="C3972" s="21">
        <f t="shared" si="311"/>
        <v>0</v>
      </c>
      <c r="D3972" s="22" t="e">
        <f>VLOOKUP($A3972, TAB_JUROS_U[[Q_DIAS_U_PARC_TIR]:[V_FUT_U_JURS CENARIO]], D$5, FALSE)</f>
        <v>#N/A</v>
      </c>
      <c r="E3972" s="22" t="e">
        <f>VLOOKUP($A3972,TAB_CORRECAO_U[[Q_DIAS_U_PARC_TIR]:[V_FUT_U_CORC-02]],E$5, FALSE)</f>
        <v>#N/A</v>
      </c>
      <c r="F3972" s="22" t="e">
        <f>VLOOKUP($A3972,TAB_AMORTIZACAO_U[[Q_DIAS_U_PARC_TIR]:[V_FUT_U_PCPL-02]], F$5, FALSE)</f>
        <v>#N/A</v>
      </c>
      <c r="H3972" s="20">
        <f t="shared" si="312"/>
        <v>0</v>
      </c>
      <c r="I3972" s="21">
        <f t="shared" si="313"/>
        <v>0</v>
      </c>
      <c r="J3972" s="22" t="e">
        <f>VLOOKUP($A3972, TAB_JUROS_C[[DIAS_CORRIDOS]:[V_FUT_UTEIS]], J$5, FALSE)</f>
        <v>#N/A</v>
      </c>
      <c r="K3972" s="22" t="e">
        <f>VLOOKUP($A3972, TAB_CORRECAO_C[[DIAS_CORRIDOS]:[V_FUT_UTEIS]],K$5, FALSE)</f>
        <v>#N/A</v>
      </c>
      <c r="L3972" s="22" t="e">
        <f>VLOOKUP($A3972, TAB_AMORTIZACAO_C[[DIAS_CORRIDOS]:[V_FUT_UTEIS]], L$5, FALSE)</f>
        <v>#N/A</v>
      </c>
    </row>
    <row r="3973" spans="1:12" hidden="1">
      <c r="A3973" s="19">
        <f t="shared" si="314"/>
        <v>3967</v>
      </c>
      <c r="B3973" s="20">
        <f t="shared" si="310"/>
        <v>0</v>
      </c>
      <c r="C3973" s="21">
        <f t="shared" si="311"/>
        <v>0</v>
      </c>
      <c r="D3973" s="22" t="e">
        <f>VLOOKUP($A3973, TAB_JUROS_U[[Q_DIAS_U_PARC_TIR]:[V_FUT_U_JURS CENARIO]], D$5, FALSE)</f>
        <v>#N/A</v>
      </c>
      <c r="E3973" s="22" t="e">
        <f>VLOOKUP($A3973,TAB_CORRECAO_U[[Q_DIAS_U_PARC_TIR]:[V_FUT_U_CORC-02]],E$5, FALSE)</f>
        <v>#N/A</v>
      </c>
      <c r="F3973" s="22" t="e">
        <f>VLOOKUP($A3973,TAB_AMORTIZACAO_U[[Q_DIAS_U_PARC_TIR]:[V_FUT_U_PCPL-02]], F$5, FALSE)</f>
        <v>#N/A</v>
      </c>
      <c r="H3973" s="20">
        <f t="shared" si="312"/>
        <v>0</v>
      </c>
      <c r="I3973" s="21">
        <f t="shared" si="313"/>
        <v>0</v>
      </c>
      <c r="J3973" s="22" t="e">
        <f>VLOOKUP($A3973, TAB_JUROS_C[[DIAS_CORRIDOS]:[V_FUT_UTEIS]], J$5, FALSE)</f>
        <v>#N/A</v>
      </c>
      <c r="K3973" s="22" t="e">
        <f>VLOOKUP($A3973, TAB_CORRECAO_C[[DIAS_CORRIDOS]:[V_FUT_UTEIS]],K$5, FALSE)</f>
        <v>#N/A</v>
      </c>
      <c r="L3973" s="22" t="e">
        <f>VLOOKUP($A3973, TAB_AMORTIZACAO_C[[DIAS_CORRIDOS]:[V_FUT_UTEIS]], L$5, FALSE)</f>
        <v>#N/A</v>
      </c>
    </row>
    <row r="3974" spans="1:12" hidden="1">
      <c r="A3974" s="19">
        <f t="shared" si="314"/>
        <v>3968</v>
      </c>
      <c r="B3974" s="20">
        <f t="shared" si="310"/>
        <v>0</v>
      </c>
      <c r="C3974" s="21">
        <f t="shared" si="311"/>
        <v>0</v>
      </c>
      <c r="D3974" s="22" t="e">
        <f>VLOOKUP($A3974, TAB_JUROS_U[[Q_DIAS_U_PARC_TIR]:[V_FUT_U_JURS CENARIO]], D$5, FALSE)</f>
        <v>#N/A</v>
      </c>
      <c r="E3974" s="22" t="e">
        <f>VLOOKUP($A3974,TAB_CORRECAO_U[[Q_DIAS_U_PARC_TIR]:[V_FUT_U_CORC-02]],E$5, FALSE)</f>
        <v>#N/A</v>
      </c>
      <c r="F3974" s="22" t="e">
        <f>VLOOKUP($A3974,TAB_AMORTIZACAO_U[[Q_DIAS_U_PARC_TIR]:[V_FUT_U_PCPL-02]], F$5, FALSE)</f>
        <v>#N/A</v>
      </c>
      <c r="H3974" s="20">
        <f t="shared" si="312"/>
        <v>0</v>
      </c>
      <c r="I3974" s="21">
        <f t="shared" si="313"/>
        <v>0</v>
      </c>
      <c r="J3974" s="22" t="e">
        <f>VLOOKUP($A3974, TAB_JUROS_C[[DIAS_CORRIDOS]:[V_FUT_UTEIS]], J$5, FALSE)</f>
        <v>#N/A</v>
      </c>
      <c r="K3974" s="22" t="e">
        <f>VLOOKUP($A3974, TAB_CORRECAO_C[[DIAS_CORRIDOS]:[V_FUT_UTEIS]],K$5, FALSE)</f>
        <v>#N/A</v>
      </c>
      <c r="L3974" s="22" t="e">
        <f>VLOOKUP($A3974, TAB_AMORTIZACAO_C[[DIAS_CORRIDOS]:[V_FUT_UTEIS]], L$5, FALSE)</f>
        <v>#N/A</v>
      </c>
    </row>
    <row r="3975" spans="1:12" hidden="1">
      <c r="A3975" s="19">
        <f t="shared" si="314"/>
        <v>3969</v>
      </c>
      <c r="B3975" s="20">
        <f t="shared" si="310"/>
        <v>0</v>
      </c>
      <c r="C3975" s="21">
        <f t="shared" si="311"/>
        <v>0</v>
      </c>
      <c r="D3975" s="22" t="e">
        <f>VLOOKUP($A3975, TAB_JUROS_U[[Q_DIAS_U_PARC_TIR]:[V_FUT_U_JURS CENARIO]], D$5, FALSE)</f>
        <v>#N/A</v>
      </c>
      <c r="E3975" s="22" t="e">
        <f>VLOOKUP($A3975,TAB_CORRECAO_U[[Q_DIAS_U_PARC_TIR]:[V_FUT_U_CORC-02]],E$5, FALSE)</f>
        <v>#N/A</v>
      </c>
      <c r="F3975" s="22" t="e">
        <f>VLOOKUP($A3975,TAB_AMORTIZACAO_U[[Q_DIAS_U_PARC_TIR]:[V_FUT_U_PCPL-02]], F$5, FALSE)</f>
        <v>#N/A</v>
      </c>
      <c r="H3975" s="20">
        <f t="shared" si="312"/>
        <v>0</v>
      </c>
      <c r="I3975" s="21">
        <f t="shared" si="313"/>
        <v>0</v>
      </c>
      <c r="J3975" s="22" t="e">
        <f>VLOOKUP($A3975, TAB_JUROS_C[[DIAS_CORRIDOS]:[V_FUT_UTEIS]], J$5, FALSE)</f>
        <v>#N/A</v>
      </c>
      <c r="K3975" s="22" t="e">
        <f>VLOOKUP($A3975, TAB_CORRECAO_C[[DIAS_CORRIDOS]:[V_FUT_UTEIS]],K$5, FALSE)</f>
        <v>#N/A</v>
      </c>
      <c r="L3975" s="22" t="e">
        <f>VLOOKUP($A3975, TAB_AMORTIZACAO_C[[DIAS_CORRIDOS]:[V_FUT_UTEIS]], L$5, FALSE)</f>
        <v>#N/A</v>
      </c>
    </row>
    <row r="3976" spans="1:12" hidden="1">
      <c r="A3976" s="19">
        <f t="shared" si="314"/>
        <v>3970</v>
      </c>
      <c r="B3976" s="20">
        <f t="shared" si="310"/>
        <v>0</v>
      </c>
      <c r="C3976" s="21">
        <f t="shared" si="311"/>
        <v>0</v>
      </c>
      <c r="D3976" s="22" t="e">
        <f>VLOOKUP($A3976, TAB_JUROS_U[[Q_DIAS_U_PARC_TIR]:[V_FUT_U_JURS CENARIO]], D$5, FALSE)</f>
        <v>#N/A</v>
      </c>
      <c r="E3976" s="22" t="e">
        <f>VLOOKUP($A3976,TAB_CORRECAO_U[[Q_DIAS_U_PARC_TIR]:[V_FUT_U_CORC-02]],E$5, FALSE)</f>
        <v>#N/A</v>
      </c>
      <c r="F3976" s="22" t="e">
        <f>VLOOKUP($A3976,TAB_AMORTIZACAO_U[[Q_DIAS_U_PARC_TIR]:[V_FUT_U_PCPL-02]], F$5, FALSE)</f>
        <v>#N/A</v>
      </c>
      <c r="H3976" s="20">
        <f t="shared" si="312"/>
        <v>119.67547442115091</v>
      </c>
      <c r="I3976" s="21">
        <f t="shared" si="313"/>
        <v>119.67547442115091</v>
      </c>
      <c r="J3976" s="22">
        <f>VLOOKUP($A3976, TAB_JUROS_C[[DIAS_CORRIDOS]:[V_FUT_UTEIS]], J$5, FALSE)</f>
        <v>2.9198990994188545</v>
      </c>
      <c r="K3976" s="22">
        <f>VLOOKUP($A3976, TAB_CORRECAO_C[[DIAS_CORRIDOS]:[V_FUT_UTEIS]],K$5, FALSE)</f>
        <v>17.299322226597237</v>
      </c>
      <c r="L3976" s="22">
        <f>VLOOKUP($A3976, TAB_AMORTIZACAO_C[[DIAS_CORRIDOS]:[V_FUT_UTEIS]], L$5, FALSE)</f>
        <v>99.456253095134826</v>
      </c>
    </row>
    <row r="3977" spans="1:12" hidden="1">
      <c r="A3977" s="19">
        <f t="shared" si="314"/>
        <v>3971</v>
      </c>
      <c r="B3977" s="20">
        <f t="shared" ref="B3977:B4040" si="315">IF(ISERROR(C3977), 0, C3977)</f>
        <v>0</v>
      </c>
      <c r="C3977" s="21">
        <f t="shared" ref="C3977:C4040" si="316">SUMIF(D3977:F3977, "&gt;0", D3977:F3977)</f>
        <v>0</v>
      </c>
      <c r="D3977" s="22" t="e">
        <f>VLOOKUP($A3977, TAB_JUROS_U[[Q_DIAS_U_PARC_TIR]:[V_FUT_U_JURS CENARIO]], D$5, FALSE)</f>
        <v>#N/A</v>
      </c>
      <c r="E3977" s="22" t="e">
        <f>VLOOKUP($A3977,TAB_CORRECAO_U[[Q_DIAS_U_PARC_TIR]:[V_FUT_U_CORC-02]],E$5, FALSE)</f>
        <v>#N/A</v>
      </c>
      <c r="F3977" s="22" t="e">
        <f>VLOOKUP($A3977,TAB_AMORTIZACAO_U[[Q_DIAS_U_PARC_TIR]:[V_FUT_U_PCPL-02]], F$5, FALSE)</f>
        <v>#N/A</v>
      </c>
      <c r="H3977" s="20">
        <f t="shared" ref="H3977:H4040" si="317">IF(ISERROR(I3977), 0, I3977)</f>
        <v>0</v>
      </c>
      <c r="I3977" s="21">
        <f t="shared" ref="I3977:I4040" si="318">SUMIF(J3977:L3977, "&gt;0", J3977:L3977)</f>
        <v>0</v>
      </c>
      <c r="J3977" s="22" t="e">
        <f>VLOOKUP($A3977, TAB_JUROS_C[[DIAS_CORRIDOS]:[V_FUT_UTEIS]], J$5, FALSE)</f>
        <v>#N/A</v>
      </c>
      <c r="K3977" s="22" t="e">
        <f>VLOOKUP($A3977, TAB_CORRECAO_C[[DIAS_CORRIDOS]:[V_FUT_UTEIS]],K$5, FALSE)</f>
        <v>#N/A</v>
      </c>
      <c r="L3977" s="22" t="e">
        <f>VLOOKUP($A3977, TAB_AMORTIZACAO_C[[DIAS_CORRIDOS]:[V_FUT_UTEIS]], L$5, FALSE)</f>
        <v>#N/A</v>
      </c>
    </row>
    <row r="3978" spans="1:12" hidden="1">
      <c r="A3978" s="19">
        <f t="shared" ref="A3978:A4041" si="319">A3977+1</f>
        <v>3972</v>
      </c>
      <c r="B3978" s="20">
        <f t="shared" si="315"/>
        <v>0</v>
      </c>
      <c r="C3978" s="21">
        <f t="shared" si="316"/>
        <v>0</v>
      </c>
      <c r="D3978" s="22" t="e">
        <f>VLOOKUP($A3978, TAB_JUROS_U[[Q_DIAS_U_PARC_TIR]:[V_FUT_U_JURS CENARIO]], D$5, FALSE)</f>
        <v>#N/A</v>
      </c>
      <c r="E3978" s="22" t="e">
        <f>VLOOKUP($A3978,TAB_CORRECAO_U[[Q_DIAS_U_PARC_TIR]:[V_FUT_U_CORC-02]],E$5, FALSE)</f>
        <v>#N/A</v>
      </c>
      <c r="F3978" s="22" t="e">
        <f>VLOOKUP($A3978,TAB_AMORTIZACAO_U[[Q_DIAS_U_PARC_TIR]:[V_FUT_U_PCPL-02]], F$5, FALSE)</f>
        <v>#N/A</v>
      </c>
      <c r="H3978" s="20">
        <f t="shared" si="317"/>
        <v>0</v>
      </c>
      <c r="I3978" s="21">
        <f t="shared" si="318"/>
        <v>0</v>
      </c>
      <c r="J3978" s="22" t="e">
        <f>VLOOKUP($A3978, TAB_JUROS_C[[DIAS_CORRIDOS]:[V_FUT_UTEIS]], J$5, FALSE)</f>
        <v>#N/A</v>
      </c>
      <c r="K3978" s="22" t="e">
        <f>VLOOKUP($A3978, TAB_CORRECAO_C[[DIAS_CORRIDOS]:[V_FUT_UTEIS]],K$5, FALSE)</f>
        <v>#N/A</v>
      </c>
      <c r="L3978" s="22" t="e">
        <f>VLOOKUP($A3978, TAB_AMORTIZACAO_C[[DIAS_CORRIDOS]:[V_FUT_UTEIS]], L$5, FALSE)</f>
        <v>#N/A</v>
      </c>
    </row>
    <row r="3979" spans="1:12" hidden="1">
      <c r="A3979" s="19">
        <f t="shared" si="319"/>
        <v>3973</v>
      </c>
      <c r="B3979" s="20">
        <f t="shared" si="315"/>
        <v>0</v>
      </c>
      <c r="C3979" s="21">
        <f t="shared" si="316"/>
        <v>0</v>
      </c>
      <c r="D3979" s="22" t="e">
        <f>VLOOKUP($A3979, TAB_JUROS_U[[Q_DIAS_U_PARC_TIR]:[V_FUT_U_JURS CENARIO]], D$5, FALSE)</f>
        <v>#N/A</v>
      </c>
      <c r="E3979" s="22" t="e">
        <f>VLOOKUP($A3979,TAB_CORRECAO_U[[Q_DIAS_U_PARC_TIR]:[V_FUT_U_CORC-02]],E$5, FALSE)</f>
        <v>#N/A</v>
      </c>
      <c r="F3979" s="22" t="e">
        <f>VLOOKUP($A3979,TAB_AMORTIZACAO_U[[Q_DIAS_U_PARC_TIR]:[V_FUT_U_PCPL-02]], F$5, FALSE)</f>
        <v>#N/A</v>
      </c>
      <c r="H3979" s="20">
        <f t="shared" si="317"/>
        <v>0</v>
      </c>
      <c r="I3979" s="21">
        <f t="shared" si="318"/>
        <v>0</v>
      </c>
      <c r="J3979" s="22" t="e">
        <f>VLOOKUP($A3979, TAB_JUROS_C[[DIAS_CORRIDOS]:[V_FUT_UTEIS]], J$5, FALSE)</f>
        <v>#N/A</v>
      </c>
      <c r="K3979" s="22" t="e">
        <f>VLOOKUP($A3979, TAB_CORRECAO_C[[DIAS_CORRIDOS]:[V_FUT_UTEIS]],K$5, FALSE)</f>
        <v>#N/A</v>
      </c>
      <c r="L3979" s="22" t="e">
        <f>VLOOKUP($A3979, TAB_AMORTIZACAO_C[[DIAS_CORRIDOS]:[V_FUT_UTEIS]], L$5, FALSE)</f>
        <v>#N/A</v>
      </c>
    </row>
    <row r="3980" spans="1:12" hidden="1">
      <c r="A3980" s="19">
        <f t="shared" si="319"/>
        <v>3974</v>
      </c>
      <c r="B3980" s="20">
        <f t="shared" si="315"/>
        <v>0</v>
      </c>
      <c r="C3980" s="21">
        <f t="shared" si="316"/>
        <v>0</v>
      </c>
      <c r="D3980" s="22" t="e">
        <f>VLOOKUP($A3980, TAB_JUROS_U[[Q_DIAS_U_PARC_TIR]:[V_FUT_U_JURS CENARIO]], D$5, FALSE)</f>
        <v>#N/A</v>
      </c>
      <c r="E3980" s="22" t="e">
        <f>VLOOKUP($A3980,TAB_CORRECAO_U[[Q_DIAS_U_PARC_TIR]:[V_FUT_U_CORC-02]],E$5, FALSE)</f>
        <v>#N/A</v>
      </c>
      <c r="F3980" s="22" t="e">
        <f>VLOOKUP($A3980,TAB_AMORTIZACAO_U[[Q_DIAS_U_PARC_TIR]:[V_FUT_U_PCPL-02]], F$5, FALSE)</f>
        <v>#N/A</v>
      </c>
      <c r="H3980" s="20">
        <f t="shared" si="317"/>
        <v>0</v>
      </c>
      <c r="I3980" s="21">
        <f t="shared" si="318"/>
        <v>0</v>
      </c>
      <c r="J3980" s="22" t="e">
        <f>VLOOKUP($A3980, TAB_JUROS_C[[DIAS_CORRIDOS]:[V_FUT_UTEIS]], J$5, FALSE)</f>
        <v>#N/A</v>
      </c>
      <c r="K3980" s="22" t="e">
        <f>VLOOKUP($A3980, TAB_CORRECAO_C[[DIAS_CORRIDOS]:[V_FUT_UTEIS]],K$5, FALSE)</f>
        <v>#N/A</v>
      </c>
      <c r="L3980" s="22" t="e">
        <f>VLOOKUP($A3980, TAB_AMORTIZACAO_C[[DIAS_CORRIDOS]:[V_FUT_UTEIS]], L$5, FALSE)</f>
        <v>#N/A</v>
      </c>
    </row>
    <row r="3981" spans="1:12" hidden="1">
      <c r="A3981" s="19">
        <f t="shared" si="319"/>
        <v>3975</v>
      </c>
      <c r="B3981" s="20">
        <f t="shared" si="315"/>
        <v>0</v>
      </c>
      <c r="C3981" s="21">
        <f t="shared" si="316"/>
        <v>0</v>
      </c>
      <c r="D3981" s="22" t="e">
        <f>VLOOKUP($A3981, TAB_JUROS_U[[Q_DIAS_U_PARC_TIR]:[V_FUT_U_JURS CENARIO]], D$5, FALSE)</f>
        <v>#N/A</v>
      </c>
      <c r="E3981" s="22" t="e">
        <f>VLOOKUP($A3981,TAB_CORRECAO_U[[Q_DIAS_U_PARC_TIR]:[V_FUT_U_CORC-02]],E$5, FALSE)</f>
        <v>#N/A</v>
      </c>
      <c r="F3981" s="22" t="e">
        <f>VLOOKUP($A3981,TAB_AMORTIZACAO_U[[Q_DIAS_U_PARC_TIR]:[V_FUT_U_PCPL-02]], F$5, FALSE)</f>
        <v>#N/A</v>
      </c>
      <c r="H3981" s="20">
        <f t="shared" si="317"/>
        <v>0</v>
      </c>
      <c r="I3981" s="21">
        <f t="shared" si="318"/>
        <v>0</v>
      </c>
      <c r="J3981" s="22" t="e">
        <f>VLOOKUP($A3981, TAB_JUROS_C[[DIAS_CORRIDOS]:[V_FUT_UTEIS]], J$5, FALSE)</f>
        <v>#N/A</v>
      </c>
      <c r="K3981" s="22" t="e">
        <f>VLOOKUP($A3981, TAB_CORRECAO_C[[DIAS_CORRIDOS]:[V_FUT_UTEIS]],K$5, FALSE)</f>
        <v>#N/A</v>
      </c>
      <c r="L3981" s="22" t="e">
        <f>VLOOKUP($A3981, TAB_AMORTIZACAO_C[[DIAS_CORRIDOS]:[V_FUT_UTEIS]], L$5, FALSE)</f>
        <v>#N/A</v>
      </c>
    </row>
    <row r="3982" spans="1:12" hidden="1">
      <c r="A3982" s="19">
        <f t="shared" si="319"/>
        <v>3976</v>
      </c>
      <c r="B3982" s="20">
        <f t="shared" si="315"/>
        <v>0</v>
      </c>
      <c r="C3982" s="21">
        <f t="shared" si="316"/>
        <v>0</v>
      </c>
      <c r="D3982" s="22" t="e">
        <f>VLOOKUP($A3982, TAB_JUROS_U[[Q_DIAS_U_PARC_TIR]:[V_FUT_U_JURS CENARIO]], D$5, FALSE)</f>
        <v>#N/A</v>
      </c>
      <c r="E3982" s="22" t="e">
        <f>VLOOKUP($A3982,TAB_CORRECAO_U[[Q_DIAS_U_PARC_TIR]:[V_FUT_U_CORC-02]],E$5, FALSE)</f>
        <v>#N/A</v>
      </c>
      <c r="F3982" s="22" t="e">
        <f>VLOOKUP($A3982,TAB_AMORTIZACAO_U[[Q_DIAS_U_PARC_TIR]:[V_FUT_U_PCPL-02]], F$5, FALSE)</f>
        <v>#N/A</v>
      </c>
      <c r="H3982" s="20">
        <f t="shared" si="317"/>
        <v>0</v>
      </c>
      <c r="I3982" s="21">
        <f t="shared" si="318"/>
        <v>0</v>
      </c>
      <c r="J3982" s="22" t="e">
        <f>VLOOKUP($A3982, TAB_JUROS_C[[DIAS_CORRIDOS]:[V_FUT_UTEIS]], J$5, FALSE)</f>
        <v>#N/A</v>
      </c>
      <c r="K3982" s="22" t="e">
        <f>VLOOKUP($A3982, TAB_CORRECAO_C[[DIAS_CORRIDOS]:[V_FUT_UTEIS]],K$5, FALSE)</f>
        <v>#N/A</v>
      </c>
      <c r="L3982" s="22" t="e">
        <f>VLOOKUP($A3982, TAB_AMORTIZACAO_C[[DIAS_CORRIDOS]:[V_FUT_UTEIS]], L$5, FALSE)</f>
        <v>#N/A</v>
      </c>
    </row>
    <row r="3983" spans="1:12" hidden="1">
      <c r="A3983" s="19">
        <f t="shared" si="319"/>
        <v>3977</v>
      </c>
      <c r="B3983" s="20">
        <f t="shared" si="315"/>
        <v>0</v>
      </c>
      <c r="C3983" s="21">
        <f t="shared" si="316"/>
        <v>0</v>
      </c>
      <c r="D3983" s="22" t="e">
        <f>VLOOKUP($A3983, TAB_JUROS_U[[Q_DIAS_U_PARC_TIR]:[V_FUT_U_JURS CENARIO]], D$5, FALSE)</f>
        <v>#N/A</v>
      </c>
      <c r="E3983" s="22" t="e">
        <f>VLOOKUP($A3983,TAB_CORRECAO_U[[Q_DIAS_U_PARC_TIR]:[V_FUT_U_CORC-02]],E$5, FALSE)</f>
        <v>#N/A</v>
      </c>
      <c r="F3983" s="22" t="e">
        <f>VLOOKUP($A3983,TAB_AMORTIZACAO_U[[Q_DIAS_U_PARC_TIR]:[V_FUT_U_PCPL-02]], F$5, FALSE)</f>
        <v>#N/A</v>
      </c>
      <c r="H3983" s="20">
        <f t="shared" si="317"/>
        <v>0</v>
      </c>
      <c r="I3983" s="21">
        <f t="shared" si="318"/>
        <v>0</v>
      </c>
      <c r="J3983" s="22" t="e">
        <f>VLOOKUP($A3983, TAB_JUROS_C[[DIAS_CORRIDOS]:[V_FUT_UTEIS]], J$5, FALSE)</f>
        <v>#N/A</v>
      </c>
      <c r="K3983" s="22" t="e">
        <f>VLOOKUP($A3983, TAB_CORRECAO_C[[DIAS_CORRIDOS]:[V_FUT_UTEIS]],K$5, FALSE)</f>
        <v>#N/A</v>
      </c>
      <c r="L3983" s="22" t="e">
        <f>VLOOKUP($A3983, TAB_AMORTIZACAO_C[[DIAS_CORRIDOS]:[V_FUT_UTEIS]], L$5, FALSE)</f>
        <v>#N/A</v>
      </c>
    </row>
    <row r="3984" spans="1:12" hidden="1">
      <c r="A3984" s="19">
        <f t="shared" si="319"/>
        <v>3978</v>
      </c>
      <c r="B3984" s="20">
        <f t="shared" si="315"/>
        <v>0</v>
      </c>
      <c r="C3984" s="21">
        <f t="shared" si="316"/>
        <v>0</v>
      </c>
      <c r="D3984" s="22" t="e">
        <f>VLOOKUP($A3984, TAB_JUROS_U[[Q_DIAS_U_PARC_TIR]:[V_FUT_U_JURS CENARIO]], D$5, FALSE)</f>
        <v>#N/A</v>
      </c>
      <c r="E3984" s="22" t="e">
        <f>VLOOKUP($A3984,TAB_CORRECAO_U[[Q_DIAS_U_PARC_TIR]:[V_FUT_U_CORC-02]],E$5, FALSE)</f>
        <v>#N/A</v>
      </c>
      <c r="F3984" s="22" t="e">
        <f>VLOOKUP($A3984,TAB_AMORTIZACAO_U[[Q_DIAS_U_PARC_TIR]:[V_FUT_U_PCPL-02]], F$5, FALSE)</f>
        <v>#N/A</v>
      </c>
      <c r="H3984" s="20">
        <f t="shared" si="317"/>
        <v>0</v>
      </c>
      <c r="I3984" s="21">
        <f t="shared" si="318"/>
        <v>0</v>
      </c>
      <c r="J3984" s="22" t="e">
        <f>VLOOKUP($A3984, TAB_JUROS_C[[DIAS_CORRIDOS]:[V_FUT_UTEIS]], J$5, FALSE)</f>
        <v>#N/A</v>
      </c>
      <c r="K3984" s="22" t="e">
        <f>VLOOKUP($A3984, TAB_CORRECAO_C[[DIAS_CORRIDOS]:[V_FUT_UTEIS]],K$5, FALSE)</f>
        <v>#N/A</v>
      </c>
      <c r="L3984" s="22" t="e">
        <f>VLOOKUP($A3984, TAB_AMORTIZACAO_C[[DIAS_CORRIDOS]:[V_FUT_UTEIS]], L$5, FALSE)</f>
        <v>#N/A</v>
      </c>
    </row>
    <row r="3985" spans="1:12" hidden="1">
      <c r="A3985" s="19">
        <f t="shared" si="319"/>
        <v>3979</v>
      </c>
      <c r="B3985" s="20">
        <f t="shared" si="315"/>
        <v>0</v>
      </c>
      <c r="C3985" s="21">
        <f t="shared" si="316"/>
        <v>0</v>
      </c>
      <c r="D3985" s="22" t="e">
        <f>VLOOKUP($A3985, TAB_JUROS_U[[Q_DIAS_U_PARC_TIR]:[V_FUT_U_JURS CENARIO]], D$5, FALSE)</f>
        <v>#N/A</v>
      </c>
      <c r="E3985" s="22" t="e">
        <f>VLOOKUP($A3985,TAB_CORRECAO_U[[Q_DIAS_U_PARC_TIR]:[V_FUT_U_CORC-02]],E$5, FALSE)</f>
        <v>#N/A</v>
      </c>
      <c r="F3985" s="22" t="e">
        <f>VLOOKUP($A3985,TAB_AMORTIZACAO_U[[Q_DIAS_U_PARC_TIR]:[V_FUT_U_PCPL-02]], F$5, FALSE)</f>
        <v>#N/A</v>
      </c>
      <c r="H3985" s="20">
        <f t="shared" si="317"/>
        <v>0</v>
      </c>
      <c r="I3985" s="21">
        <f t="shared" si="318"/>
        <v>0</v>
      </c>
      <c r="J3985" s="22" t="e">
        <f>VLOOKUP($A3985, TAB_JUROS_C[[DIAS_CORRIDOS]:[V_FUT_UTEIS]], J$5, FALSE)</f>
        <v>#N/A</v>
      </c>
      <c r="K3985" s="22" t="e">
        <f>VLOOKUP($A3985, TAB_CORRECAO_C[[DIAS_CORRIDOS]:[V_FUT_UTEIS]],K$5, FALSE)</f>
        <v>#N/A</v>
      </c>
      <c r="L3985" s="22" t="e">
        <f>VLOOKUP($A3985, TAB_AMORTIZACAO_C[[DIAS_CORRIDOS]:[V_FUT_UTEIS]], L$5, FALSE)</f>
        <v>#N/A</v>
      </c>
    </row>
    <row r="3986" spans="1:12" hidden="1">
      <c r="A3986" s="19">
        <f t="shared" si="319"/>
        <v>3980</v>
      </c>
      <c r="B3986" s="20">
        <f t="shared" si="315"/>
        <v>0</v>
      </c>
      <c r="C3986" s="21">
        <f t="shared" si="316"/>
        <v>0</v>
      </c>
      <c r="D3986" s="22" t="e">
        <f>VLOOKUP($A3986, TAB_JUROS_U[[Q_DIAS_U_PARC_TIR]:[V_FUT_U_JURS CENARIO]], D$5, FALSE)</f>
        <v>#N/A</v>
      </c>
      <c r="E3986" s="22" t="e">
        <f>VLOOKUP($A3986,TAB_CORRECAO_U[[Q_DIAS_U_PARC_TIR]:[V_FUT_U_CORC-02]],E$5, FALSE)</f>
        <v>#N/A</v>
      </c>
      <c r="F3986" s="22" t="e">
        <f>VLOOKUP($A3986,TAB_AMORTIZACAO_U[[Q_DIAS_U_PARC_TIR]:[V_FUT_U_PCPL-02]], F$5, FALSE)</f>
        <v>#N/A</v>
      </c>
      <c r="H3986" s="20">
        <f t="shared" si="317"/>
        <v>0</v>
      </c>
      <c r="I3986" s="21">
        <f t="shared" si="318"/>
        <v>0</v>
      </c>
      <c r="J3986" s="22" t="e">
        <f>VLOOKUP($A3986, TAB_JUROS_C[[DIAS_CORRIDOS]:[V_FUT_UTEIS]], J$5, FALSE)</f>
        <v>#N/A</v>
      </c>
      <c r="K3986" s="22" t="e">
        <f>VLOOKUP($A3986, TAB_CORRECAO_C[[DIAS_CORRIDOS]:[V_FUT_UTEIS]],K$5, FALSE)</f>
        <v>#N/A</v>
      </c>
      <c r="L3986" s="22" t="e">
        <f>VLOOKUP($A3986, TAB_AMORTIZACAO_C[[DIAS_CORRIDOS]:[V_FUT_UTEIS]], L$5, FALSE)</f>
        <v>#N/A</v>
      </c>
    </row>
    <row r="3987" spans="1:12" hidden="1">
      <c r="A3987" s="19">
        <f t="shared" si="319"/>
        <v>3981</v>
      </c>
      <c r="B3987" s="20">
        <f t="shared" si="315"/>
        <v>0</v>
      </c>
      <c r="C3987" s="21">
        <f t="shared" si="316"/>
        <v>0</v>
      </c>
      <c r="D3987" s="22" t="e">
        <f>VLOOKUP($A3987, TAB_JUROS_U[[Q_DIAS_U_PARC_TIR]:[V_FUT_U_JURS CENARIO]], D$5, FALSE)</f>
        <v>#N/A</v>
      </c>
      <c r="E3987" s="22" t="e">
        <f>VLOOKUP($A3987,TAB_CORRECAO_U[[Q_DIAS_U_PARC_TIR]:[V_FUT_U_CORC-02]],E$5, FALSE)</f>
        <v>#N/A</v>
      </c>
      <c r="F3987" s="22" t="e">
        <f>VLOOKUP($A3987,TAB_AMORTIZACAO_U[[Q_DIAS_U_PARC_TIR]:[V_FUT_U_PCPL-02]], F$5, FALSE)</f>
        <v>#N/A</v>
      </c>
      <c r="H3987" s="20">
        <f t="shared" si="317"/>
        <v>0</v>
      </c>
      <c r="I3987" s="21">
        <f t="shared" si="318"/>
        <v>0</v>
      </c>
      <c r="J3987" s="22" t="e">
        <f>VLOOKUP($A3987, TAB_JUROS_C[[DIAS_CORRIDOS]:[V_FUT_UTEIS]], J$5, FALSE)</f>
        <v>#N/A</v>
      </c>
      <c r="K3987" s="22" t="e">
        <f>VLOOKUP($A3987, TAB_CORRECAO_C[[DIAS_CORRIDOS]:[V_FUT_UTEIS]],K$5, FALSE)</f>
        <v>#N/A</v>
      </c>
      <c r="L3987" s="22" t="e">
        <f>VLOOKUP($A3987, TAB_AMORTIZACAO_C[[DIAS_CORRIDOS]:[V_FUT_UTEIS]], L$5, FALSE)</f>
        <v>#N/A</v>
      </c>
    </row>
    <row r="3988" spans="1:12" hidden="1">
      <c r="A3988" s="19">
        <f t="shared" si="319"/>
        <v>3982</v>
      </c>
      <c r="B3988" s="20">
        <f t="shared" si="315"/>
        <v>0</v>
      </c>
      <c r="C3988" s="21">
        <f t="shared" si="316"/>
        <v>0</v>
      </c>
      <c r="D3988" s="22" t="e">
        <f>VLOOKUP($A3988, TAB_JUROS_U[[Q_DIAS_U_PARC_TIR]:[V_FUT_U_JURS CENARIO]], D$5, FALSE)</f>
        <v>#N/A</v>
      </c>
      <c r="E3988" s="22" t="e">
        <f>VLOOKUP($A3988,TAB_CORRECAO_U[[Q_DIAS_U_PARC_TIR]:[V_FUT_U_CORC-02]],E$5, FALSE)</f>
        <v>#N/A</v>
      </c>
      <c r="F3988" s="22" t="e">
        <f>VLOOKUP($A3988,TAB_AMORTIZACAO_U[[Q_DIAS_U_PARC_TIR]:[V_FUT_U_PCPL-02]], F$5, FALSE)</f>
        <v>#N/A</v>
      </c>
      <c r="H3988" s="20">
        <f t="shared" si="317"/>
        <v>0</v>
      </c>
      <c r="I3988" s="21">
        <f t="shared" si="318"/>
        <v>0</v>
      </c>
      <c r="J3988" s="22" t="e">
        <f>VLOOKUP($A3988, TAB_JUROS_C[[DIAS_CORRIDOS]:[V_FUT_UTEIS]], J$5, FALSE)</f>
        <v>#N/A</v>
      </c>
      <c r="K3988" s="22" t="e">
        <f>VLOOKUP($A3988, TAB_CORRECAO_C[[DIAS_CORRIDOS]:[V_FUT_UTEIS]],K$5, FALSE)</f>
        <v>#N/A</v>
      </c>
      <c r="L3988" s="22" t="e">
        <f>VLOOKUP($A3988, TAB_AMORTIZACAO_C[[DIAS_CORRIDOS]:[V_FUT_UTEIS]], L$5, FALSE)</f>
        <v>#N/A</v>
      </c>
    </row>
    <row r="3989" spans="1:12" hidden="1">
      <c r="A3989" s="19">
        <f t="shared" si="319"/>
        <v>3983</v>
      </c>
      <c r="B3989" s="20">
        <f t="shared" si="315"/>
        <v>0</v>
      </c>
      <c r="C3989" s="21">
        <f t="shared" si="316"/>
        <v>0</v>
      </c>
      <c r="D3989" s="22" t="e">
        <f>VLOOKUP($A3989, TAB_JUROS_U[[Q_DIAS_U_PARC_TIR]:[V_FUT_U_JURS CENARIO]], D$5, FALSE)</f>
        <v>#N/A</v>
      </c>
      <c r="E3989" s="22" t="e">
        <f>VLOOKUP($A3989,TAB_CORRECAO_U[[Q_DIAS_U_PARC_TIR]:[V_FUT_U_CORC-02]],E$5, FALSE)</f>
        <v>#N/A</v>
      </c>
      <c r="F3989" s="22" t="e">
        <f>VLOOKUP($A3989,TAB_AMORTIZACAO_U[[Q_DIAS_U_PARC_TIR]:[V_FUT_U_PCPL-02]], F$5, FALSE)</f>
        <v>#N/A</v>
      </c>
      <c r="H3989" s="20">
        <f t="shared" si="317"/>
        <v>0</v>
      </c>
      <c r="I3989" s="21">
        <f t="shared" si="318"/>
        <v>0</v>
      </c>
      <c r="J3989" s="22" t="e">
        <f>VLOOKUP($A3989, TAB_JUROS_C[[DIAS_CORRIDOS]:[V_FUT_UTEIS]], J$5, FALSE)</f>
        <v>#N/A</v>
      </c>
      <c r="K3989" s="22" t="e">
        <f>VLOOKUP($A3989, TAB_CORRECAO_C[[DIAS_CORRIDOS]:[V_FUT_UTEIS]],K$5, FALSE)</f>
        <v>#N/A</v>
      </c>
      <c r="L3989" s="22" t="e">
        <f>VLOOKUP($A3989, TAB_AMORTIZACAO_C[[DIAS_CORRIDOS]:[V_FUT_UTEIS]], L$5, FALSE)</f>
        <v>#N/A</v>
      </c>
    </row>
    <row r="3990" spans="1:12" hidden="1">
      <c r="A3990" s="19">
        <f t="shared" si="319"/>
        <v>3984</v>
      </c>
      <c r="B3990" s="20">
        <f t="shared" si="315"/>
        <v>0</v>
      </c>
      <c r="C3990" s="21">
        <f t="shared" si="316"/>
        <v>0</v>
      </c>
      <c r="D3990" s="22" t="e">
        <f>VLOOKUP($A3990, TAB_JUROS_U[[Q_DIAS_U_PARC_TIR]:[V_FUT_U_JURS CENARIO]], D$5, FALSE)</f>
        <v>#N/A</v>
      </c>
      <c r="E3990" s="22" t="e">
        <f>VLOOKUP($A3990,TAB_CORRECAO_U[[Q_DIAS_U_PARC_TIR]:[V_FUT_U_CORC-02]],E$5, FALSE)</f>
        <v>#N/A</v>
      </c>
      <c r="F3990" s="22" t="e">
        <f>VLOOKUP($A3990,TAB_AMORTIZACAO_U[[Q_DIAS_U_PARC_TIR]:[V_FUT_U_PCPL-02]], F$5, FALSE)</f>
        <v>#N/A</v>
      </c>
      <c r="H3990" s="20">
        <f t="shared" si="317"/>
        <v>0</v>
      </c>
      <c r="I3990" s="21">
        <f t="shared" si="318"/>
        <v>0</v>
      </c>
      <c r="J3990" s="22" t="e">
        <f>VLOOKUP($A3990, TAB_JUROS_C[[DIAS_CORRIDOS]:[V_FUT_UTEIS]], J$5, FALSE)</f>
        <v>#N/A</v>
      </c>
      <c r="K3990" s="22" t="e">
        <f>VLOOKUP($A3990, TAB_CORRECAO_C[[DIAS_CORRIDOS]:[V_FUT_UTEIS]],K$5, FALSE)</f>
        <v>#N/A</v>
      </c>
      <c r="L3990" s="22" t="e">
        <f>VLOOKUP($A3990, TAB_AMORTIZACAO_C[[DIAS_CORRIDOS]:[V_FUT_UTEIS]], L$5, FALSE)</f>
        <v>#N/A</v>
      </c>
    </row>
    <row r="3991" spans="1:12" hidden="1">
      <c r="A3991" s="19">
        <f t="shared" si="319"/>
        <v>3985</v>
      </c>
      <c r="B3991" s="20">
        <f t="shared" si="315"/>
        <v>0</v>
      </c>
      <c r="C3991" s="21">
        <f t="shared" si="316"/>
        <v>0</v>
      </c>
      <c r="D3991" s="22" t="e">
        <f>VLOOKUP($A3991, TAB_JUROS_U[[Q_DIAS_U_PARC_TIR]:[V_FUT_U_JURS CENARIO]], D$5, FALSE)</f>
        <v>#N/A</v>
      </c>
      <c r="E3991" s="22" t="e">
        <f>VLOOKUP($A3991,TAB_CORRECAO_U[[Q_DIAS_U_PARC_TIR]:[V_FUT_U_CORC-02]],E$5, FALSE)</f>
        <v>#N/A</v>
      </c>
      <c r="F3991" s="22" t="e">
        <f>VLOOKUP($A3991,TAB_AMORTIZACAO_U[[Q_DIAS_U_PARC_TIR]:[V_FUT_U_PCPL-02]], F$5, FALSE)</f>
        <v>#N/A</v>
      </c>
      <c r="H3991" s="20">
        <f t="shared" si="317"/>
        <v>0</v>
      </c>
      <c r="I3991" s="21">
        <f t="shared" si="318"/>
        <v>0</v>
      </c>
      <c r="J3991" s="22" t="e">
        <f>VLOOKUP($A3991, TAB_JUROS_C[[DIAS_CORRIDOS]:[V_FUT_UTEIS]], J$5, FALSE)</f>
        <v>#N/A</v>
      </c>
      <c r="K3991" s="22" t="e">
        <f>VLOOKUP($A3991, TAB_CORRECAO_C[[DIAS_CORRIDOS]:[V_FUT_UTEIS]],K$5, FALSE)</f>
        <v>#N/A</v>
      </c>
      <c r="L3991" s="22" t="e">
        <f>VLOOKUP($A3991, TAB_AMORTIZACAO_C[[DIAS_CORRIDOS]:[V_FUT_UTEIS]], L$5, FALSE)</f>
        <v>#N/A</v>
      </c>
    </row>
    <row r="3992" spans="1:12" hidden="1">
      <c r="A3992" s="19">
        <f t="shared" si="319"/>
        <v>3986</v>
      </c>
      <c r="B3992" s="20">
        <f t="shared" si="315"/>
        <v>0</v>
      </c>
      <c r="C3992" s="21">
        <f t="shared" si="316"/>
        <v>0</v>
      </c>
      <c r="D3992" s="22" t="e">
        <f>VLOOKUP($A3992, TAB_JUROS_U[[Q_DIAS_U_PARC_TIR]:[V_FUT_U_JURS CENARIO]], D$5, FALSE)</f>
        <v>#N/A</v>
      </c>
      <c r="E3992" s="22" t="e">
        <f>VLOOKUP($A3992,TAB_CORRECAO_U[[Q_DIAS_U_PARC_TIR]:[V_FUT_U_CORC-02]],E$5, FALSE)</f>
        <v>#N/A</v>
      </c>
      <c r="F3992" s="22" t="e">
        <f>VLOOKUP($A3992,TAB_AMORTIZACAO_U[[Q_DIAS_U_PARC_TIR]:[V_FUT_U_PCPL-02]], F$5, FALSE)</f>
        <v>#N/A</v>
      </c>
      <c r="H3992" s="20">
        <f t="shared" si="317"/>
        <v>0</v>
      </c>
      <c r="I3992" s="21">
        <f t="shared" si="318"/>
        <v>0</v>
      </c>
      <c r="J3992" s="22" t="e">
        <f>VLOOKUP($A3992, TAB_JUROS_C[[DIAS_CORRIDOS]:[V_FUT_UTEIS]], J$5, FALSE)</f>
        <v>#N/A</v>
      </c>
      <c r="K3992" s="22" t="e">
        <f>VLOOKUP($A3992, TAB_CORRECAO_C[[DIAS_CORRIDOS]:[V_FUT_UTEIS]],K$5, FALSE)</f>
        <v>#N/A</v>
      </c>
      <c r="L3992" s="22" t="e">
        <f>VLOOKUP($A3992, TAB_AMORTIZACAO_C[[DIAS_CORRIDOS]:[V_FUT_UTEIS]], L$5, FALSE)</f>
        <v>#N/A</v>
      </c>
    </row>
    <row r="3993" spans="1:12" hidden="1">
      <c r="A3993" s="19">
        <f t="shared" si="319"/>
        <v>3987</v>
      </c>
      <c r="B3993" s="20">
        <f t="shared" si="315"/>
        <v>0</v>
      </c>
      <c r="C3993" s="21">
        <f t="shared" si="316"/>
        <v>0</v>
      </c>
      <c r="D3993" s="22" t="e">
        <f>VLOOKUP($A3993, TAB_JUROS_U[[Q_DIAS_U_PARC_TIR]:[V_FUT_U_JURS CENARIO]], D$5, FALSE)</f>
        <v>#N/A</v>
      </c>
      <c r="E3993" s="22" t="e">
        <f>VLOOKUP($A3993,TAB_CORRECAO_U[[Q_DIAS_U_PARC_TIR]:[V_FUT_U_CORC-02]],E$5, FALSE)</f>
        <v>#N/A</v>
      </c>
      <c r="F3993" s="22" t="e">
        <f>VLOOKUP($A3993,TAB_AMORTIZACAO_U[[Q_DIAS_U_PARC_TIR]:[V_FUT_U_PCPL-02]], F$5, FALSE)</f>
        <v>#N/A</v>
      </c>
      <c r="H3993" s="20">
        <f t="shared" si="317"/>
        <v>0</v>
      </c>
      <c r="I3993" s="21">
        <f t="shared" si="318"/>
        <v>0</v>
      </c>
      <c r="J3993" s="22" t="e">
        <f>VLOOKUP($A3993, TAB_JUROS_C[[DIAS_CORRIDOS]:[V_FUT_UTEIS]], J$5, FALSE)</f>
        <v>#N/A</v>
      </c>
      <c r="K3993" s="22" t="e">
        <f>VLOOKUP($A3993, TAB_CORRECAO_C[[DIAS_CORRIDOS]:[V_FUT_UTEIS]],K$5, FALSE)</f>
        <v>#N/A</v>
      </c>
      <c r="L3993" s="22" t="e">
        <f>VLOOKUP($A3993, TAB_AMORTIZACAO_C[[DIAS_CORRIDOS]:[V_FUT_UTEIS]], L$5, FALSE)</f>
        <v>#N/A</v>
      </c>
    </row>
    <row r="3994" spans="1:12" hidden="1">
      <c r="A3994" s="19">
        <f t="shared" si="319"/>
        <v>3988</v>
      </c>
      <c r="B3994" s="20">
        <f t="shared" si="315"/>
        <v>0</v>
      </c>
      <c r="C3994" s="21">
        <f t="shared" si="316"/>
        <v>0</v>
      </c>
      <c r="D3994" s="22" t="e">
        <f>VLOOKUP($A3994, TAB_JUROS_U[[Q_DIAS_U_PARC_TIR]:[V_FUT_U_JURS CENARIO]], D$5, FALSE)</f>
        <v>#N/A</v>
      </c>
      <c r="E3994" s="22" t="e">
        <f>VLOOKUP($A3994,TAB_CORRECAO_U[[Q_DIAS_U_PARC_TIR]:[V_FUT_U_CORC-02]],E$5, FALSE)</f>
        <v>#N/A</v>
      </c>
      <c r="F3994" s="22" t="e">
        <f>VLOOKUP($A3994,TAB_AMORTIZACAO_U[[Q_DIAS_U_PARC_TIR]:[V_FUT_U_PCPL-02]], F$5, FALSE)</f>
        <v>#N/A</v>
      </c>
      <c r="H3994" s="20">
        <f t="shared" si="317"/>
        <v>0</v>
      </c>
      <c r="I3994" s="21">
        <f t="shared" si="318"/>
        <v>0</v>
      </c>
      <c r="J3994" s="22" t="e">
        <f>VLOOKUP($A3994, TAB_JUROS_C[[DIAS_CORRIDOS]:[V_FUT_UTEIS]], J$5, FALSE)</f>
        <v>#N/A</v>
      </c>
      <c r="K3994" s="22" t="e">
        <f>VLOOKUP($A3994, TAB_CORRECAO_C[[DIAS_CORRIDOS]:[V_FUT_UTEIS]],K$5, FALSE)</f>
        <v>#N/A</v>
      </c>
      <c r="L3994" s="22" t="e">
        <f>VLOOKUP($A3994, TAB_AMORTIZACAO_C[[DIAS_CORRIDOS]:[V_FUT_UTEIS]], L$5, FALSE)</f>
        <v>#N/A</v>
      </c>
    </row>
    <row r="3995" spans="1:12" hidden="1">
      <c r="A3995" s="19">
        <f t="shared" si="319"/>
        <v>3989</v>
      </c>
      <c r="B3995" s="20">
        <f t="shared" si="315"/>
        <v>0</v>
      </c>
      <c r="C3995" s="21">
        <f t="shared" si="316"/>
        <v>0</v>
      </c>
      <c r="D3995" s="22" t="e">
        <f>VLOOKUP($A3995, TAB_JUROS_U[[Q_DIAS_U_PARC_TIR]:[V_FUT_U_JURS CENARIO]], D$5, FALSE)</f>
        <v>#N/A</v>
      </c>
      <c r="E3995" s="22" t="e">
        <f>VLOOKUP($A3995,TAB_CORRECAO_U[[Q_DIAS_U_PARC_TIR]:[V_FUT_U_CORC-02]],E$5, FALSE)</f>
        <v>#N/A</v>
      </c>
      <c r="F3995" s="22" t="e">
        <f>VLOOKUP($A3995,TAB_AMORTIZACAO_U[[Q_DIAS_U_PARC_TIR]:[V_FUT_U_PCPL-02]], F$5, FALSE)</f>
        <v>#N/A</v>
      </c>
      <c r="H3995" s="20">
        <f t="shared" si="317"/>
        <v>0</v>
      </c>
      <c r="I3995" s="21">
        <f t="shared" si="318"/>
        <v>0</v>
      </c>
      <c r="J3995" s="22" t="e">
        <f>VLOOKUP($A3995, TAB_JUROS_C[[DIAS_CORRIDOS]:[V_FUT_UTEIS]], J$5, FALSE)</f>
        <v>#N/A</v>
      </c>
      <c r="K3995" s="22" t="e">
        <f>VLOOKUP($A3995, TAB_CORRECAO_C[[DIAS_CORRIDOS]:[V_FUT_UTEIS]],K$5, FALSE)</f>
        <v>#N/A</v>
      </c>
      <c r="L3995" s="22" t="e">
        <f>VLOOKUP($A3995, TAB_AMORTIZACAO_C[[DIAS_CORRIDOS]:[V_FUT_UTEIS]], L$5, FALSE)</f>
        <v>#N/A</v>
      </c>
    </row>
    <row r="3996" spans="1:12" hidden="1">
      <c r="A3996" s="19">
        <f t="shared" si="319"/>
        <v>3990</v>
      </c>
      <c r="B3996" s="20">
        <f t="shared" si="315"/>
        <v>0</v>
      </c>
      <c r="C3996" s="21">
        <f t="shared" si="316"/>
        <v>0</v>
      </c>
      <c r="D3996" s="22" t="e">
        <f>VLOOKUP($A3996, TAB_JUROS_U[[Q_DIAS_U_PARC_TIR]:[V_FUT_U_JURS CENARIO]], D$5, FALSE)</f>
        <v>#N/A</v>
      </c>
      <c r="E3996" s="22" t="e">
        <f>VLOOKUP($A3996,TAB_CORRECAO_U[[Q_DIAS_U_PARC_TIR]:[V_FUT_U_CORC-02]],E$5, FALSE)</f>
        <v>#N/A</v>
      </c>
      <c r="F3996" s="22" t="e">
        <f>VLOOKUP($A3996,TAB_AMORTIZACAO_U[[Q_DIAS_U_PARC_TIR]:[V_FUT_U_PCPL-02]], F$5, FALSE)</f>
        <v>#N/A</v>
      </c>
      <c r="H3996" s="20">
        <f t="shared" si="317"/>
        <v>0</v>
      </c>
      <c r="I3996" s="21">
        <f t="shared" si="318"/>
        <v>0</v>
      </c>
      <c r="J3996" s="22" t="e">
        <f>VLOOKUP($A3996, TAB_JUROS_C[[DIAS_CORRIDOS]:[V_FUT_UTEIS]], J$5, FALSE)</f>
        <v>#N/A</v>
      </c>
      <c r="K3996" s="22" t="e">
        <f>VLOOKUP($A3996, TAB_CORRECAO_C[[DIAS_CORRIDOS]:[V_FUT_UTEIS]],K$5, FALSE)</f>
        <v>#N/A</v>
      </c>
      <c r="L3996" s="22" t="e">
        <f>VLOOKUP($A3996, TAB_AMORTIZACAO_C[[DIAS_CORRIDOS]:[V_FUT_UTEIS]], L$5, FALSE)</f>
        <v>#N/A</v>
      </c>
    </row>
    <row r="3997" spans="1:12" hidden="1">
      <c r="A3997" s="19">
        <f t="shared" si="319"/>
        <v>3991</v>
      </c>
      <c r="B3997" s="20">
        <f t="shared" si="315"/>
        <v>0</v>
      </c>
      <c r="C3997" s="21">
        <f t="shared" si="316"/>
        <v>0</v>
      </c>
      <c r="D3997" s="22" t="e">
        <f>VLOOKUP($A3997, TAB_JUROS_U[[Q_DIAS_U_PARC_TIR]:[V_FUT_U_JURS CENARIO]], D$5, FALSE)</f>
        <v>#N/A</v>
      </c>
      <c r="E3997" s="22" t="e">
        <f>VLOOKUP($A3997,TAB_CORRECAO_U[[Q_DIAS_U_PARC_TIR]:[V_FUT_U_CORC-02]],E$5, FALSE)</f>
        <v>#N/A</v>
      </c>
      <c r="F3997" s="22" t="e">
        <f>VLOOKUP($A3997,TAB_AMORTIZACAO_U[[Q_DIAS_U_PARC_TIR]:[V_FUT_U_PCPL-02]], F$5, FALSE)</f>
        <v>#N/A</v>
      </c>
      <c r="H3997" s="20">
        <f t="shared" si="317"/>
        <v>0</v>
      </c>
      <c r="I3997" s="21">
        <f t="shared" si="318"/>
        <v>0</v>
      </c>
      <c r="J3997" s="22" t="e">
        <f>VLOOKUP($A3997, TAB_JUROS_C[[DIAS_CORRIDOS]:[V_FUT_UTEIS]], J$5, FALSE)</f>
        <v>#N/A</v>
      </c>
      <c r="K3997" s="22" t="e">
        <f>VLOOKUP($A3997, TAB_CORRECAO_C[[DIAS_CORRIDOS]:[V_FUT_UTEIS]],K$5, FALSE)</f>
        <v>#N/A</v>
      </c>
      <c r="L3997" s="22" t="e">
        <f>VLOOKUP($A3997, TAB_AMORTIZACAO_C[[DIAS_CORRIDOS]:[V_FUT_UTEIS]], L$5, FALSE)</f>
        <v>#N/A</v>
      </c>
    </row>
    <row r="3998" spans="1:12" hidden="1">
      <c r="A3998" s="19">
        <f t="shared" si="319"/>
        <v>3992</v>
      </c>
      <c r="B3998" s="20">
        <f t="shared" si="315"/>
        <v>0</v>
      </c>
      <c r="C3998" s="21">
        <f t="shared" si="316"/>
        <v>0</v>
      </c>
      <c r="D3998" s="22" t="e">
        <f>VLOOKUP($A3998, TAB_JUROS_U[[Q_DIAS_U_PARC_TIR]:[V_FUT_U_JURS CENARIO]], D$5, FALSE)</f>
        <v>#N/A</v>
      </c>
      <c r="E3998" s="22" t="e">
        <f>VLOOKUP($A3998,TAB_CORRECAO_U[[Q_DIAS_U_PARC_TIR]:[V_FUT_U_CORC-02]],E$5, FALSE)</f>
        <v>#N/A</v>
      </c>
      <c r="F3998" s="22" t="e">
        <f>VLOOKUP($A3998,TAB_AMORTIZACAO_U[[Q_DIAS_U_PARC_TIR]:[V_FUT_U_PCPL-02]], F$5, FALSE)</f>
        <v>#N/A</v>
      </c>
      <c r="H3998" s="20">
        <f t="shared" si="317"/>
        <v>0</v>
      </c>
      <c r="I3998" s="21">
        <f t="shared" si="318"/>
        <v>0</v>
      </c>
      <c r="J3998" s="22" t="e">
        <f>VLOOKUP($A3998, TAB_JUROS_C[[DIAS_CORRIDOS]:[V_FUT_UTEIS]], J$5, FALSE)</f>
        <v>#N/A</v>
      </c>
      <c r="K3998" s="22" t="e">
        <f>VLOOKUP($A3998, TAB_CORRECAO_C[[DIAS_CORRIDOS]:[V_FUT_UTEIS]],K$5, FALSE)</f>
        <v>#N/A</v>
      </c>
      <c r="L3998" s="22" t="e">
        <f>VLOOKUP($A3998, TAB_AMORTIZACAO_C[[DIAS_CORRIDOS]:[V_FUT_UTEIS]], L$5, FALSE)</f>
        <v>#N/A</v>
      </c>
    </row>
    <row r="3999" spans="1:12" hidden="1">
      <c r="A3999" s="19">
        <f t="shared" si="319"/>
        <v>3993</v>
      </c>
      <c r="B3999" s="20">
        <f t="shared" si="315"/>
        <v>0</v>
      </c>
      <c r="C3999" s="21">
        <f t="shared" si="316"/>
        <v>0</v>
      </c>
      <c r="D3999" s="22" t="e">
        <f>VLOOKUP($A3999, TAB_JUROS_U[[Q_DIAS_U_PARC_TIR]:[V_FUT_U_JURS CENARIO]], D$5, FALSE)</f>
        <v>#N/A</v>
      </c>
      <c r="E3999" s="22" t="e">
        <f>VLOOKUP($A3999,TAB_CORRECAO_U[[Q_DIAS_U_PARC_TIR]:[V_FUT_U_CORC-02]],E$5, FALSE)</f>
        <v>#N/A</v>
      </c>
      <c r="F3999" s="22" t="e">
        <f>VLOOKUP($A3999,TAB_AMORTIZACAO_U[[Q_DIAS_U_PARC_TIR]:[V_FUT_U_PCPL-02]], F$5, FALSE)</f>
        <v>#N/A</v>
      </c>
      <c r="H3999" s="20">
        <f t="shared" si="317"/>
        <v>0</v>
      </c>
      <c r="I3999" s="21">
        <f t="shared" si="318"/>
        <v>0</v>
      </c>
      <c r="J3999" s="22" t="e">
        <f>VLOOKUP($A3999, TAB_JUROS_C[[DIAS_CORRIDOS]:[V_FUT_UTEIS]], J$5, FALSE)</f>
        <v>#N/A</v>
      </c>
      <c r="K3999" s="22" t="e">
        <f>VLOOKUP($A3999, TAB_CORRECAO_C[[DIAS_CORRIDOS]:[V_FUT_UTEIS]],K$5, FALSE)</f>
        <v>#N/A</v>
      </c>
      <c r="L3999" s="22" t="e">
        <f>VLOOKUP($A3999, TAB_AMORTIZACAO_C[[DIAS_CORRIDOS]:[V_FUT_UTEIS]], L$5, FALSE)</f>
        <v>#N/A</v>
      </c>
    </row>
    <row r="4000" spans="1:12" hidden="1">
      <c r="A4000" s="19">
        <f t="shared" si="319"/>
        <v>3994</v>
      </c>
      <c r="B4000" s="20">
        <f t="shared" si="315"/>
        <v>0</v>
      </c>
      <c r="C4000" s="21">
        <f t="shared" si="316"/>
        <v>0</v>
      </c>
      <c r="D4000" s="22" t="e">
        <f>VLOOKUP($A4000, TAB_JUROS_U[[Q_DIAS_U_PARC_TIR]:[V_FUT_U_JURS CENARIO]], D$5, FALSE)</f>
        <v>#N/A</v>
      </c>
      <c r="E4000" s="22" t="e">
        <f>VLOOKUP($A4000,TAB_CORRECAO_U[[Q_DIAS_U_PARC_TIR]:[V_FUT_U_CORC-02]],E$5, FALSE)</f>
        <v>#N/A</v>
      </c>
      <c r="F4000" s="22" t="e">
        <f>VLOOKUP($A4000,TAB_AMORTIZACAO_U[[Q_DIAS_U_PARC_TIR]:[V_FUT_U_PCPL-02]], F$5, FALSE)</f>
        <v>#N/A</v>
      </c>
      <c r="H4000" s="20">
        <f t="shared" si="317"/>
        <v>0</v>
      </c>
      <c r="I4000" s="21">
        <f t="shared" si="318"/>
        <v>0</v>
      </c>
      <c r="J4000" s="22" t="e">
        <f>VLOOKUP($A4000, TAB_JUROS_C[[DIAS_CORRIDOS]:[V_FUT_UTEIS]], J$5, FALSE)</f>
        <v>#N/A</v>
      </c>
      <c r="K4000" s="22" t="e">
        <f>VLOOKUP($A4000, TAB_CORRECAO_C[[DIAS_CORRIDOS]:[V_FUT_UTEIS]],K$5, FALSE)</f>
        <v>#N/A</v>
      </c>
      <c r="L4000" s="22" t="e">
        <f>VLOOKUP($A4000, TAB_AMORTIZACAO_C[[DIAS_CORRIDOS]:[V_FUT_UTEIS]], L$5, FALSE)</f>
        <v>#N/A</v>
      </c>
    </row>
    <row r="4001" spans="1:12" hidden="1">
      <c r="A4001" s="19">
        <f t="shared" si="319"/>
        <v>3995</v>
      </c>
      <c r="B4001" s="20">
        <f t="shared" si="315"/>
        <v>0</v>
      </c>
      <c r="C4001" s="21">
        <f t="shared" si="316"/>
        <v>0</v>
      </c>
      <c r="D4001" s="22" t="e">
        <f>VLOOKUP($A4001, TAB_JUROS_U[[Q_DIAS_U_PARC_TIR]:[V_FUT_U_JURS CENARIO]], D$5, FALSE)</f>
        <v>#N/A</v>
      </c>
      <c r="E4001" s="22" t="e">
        <f>VLOOKUP($A4001,TAB_CORRECAO_U[[Q_DIAS_U_PARC_TIR]:[V_FUT_U_CORC-02]],E$5, FALSE)</f>
        <v>#N/A</v>
      </c>
      <c r="F4001" s="22" t="e">
        <f>VLOOKUP($A4001,TAB_AMORTIZACAO_U[[Q_DIAS_U_PARC_TIR]:[V_FUT_U_PCPL-02]], F$5, FALSE)</f>
        <v>#N/A</v>
      </c>
      <c r="H4001" s="20">
        <f t="shared" si="317"/>
        <v>0</v>
      </c>
      <c r="I4001" s="21">
        <f t="shared" si="318"/>
        <v>0</v>
      </c>
      <c r="J4001" s="22" t="e">
        <f>VLOOKUP($A4001, TAB_JUROS_C[[DIAS_CORRIDOS]:[V_FUT_UTEIS]], J$5, FALSE)</f>
        <v>#N/A</v>
      </c>
      <c r="K4001" s="22" t="e">
        <f>VLOOKUP($A4001, TAB_CORRECAO_C[[DIAS_CORRIDOS]:[V_FUT_UTEIS]],K$5, FALSE)</f>
        <v>#N/A</v>
      </c>
      <c r="L4001" s="22" t="e">
        <f>VLOOKUP($A4001, TAB_AMORTIZACAO_C[[DIAS_CORRIDOS]:[V_FUT_UTEIS]], L$5, FALSE)</f>
        <v>#N/A</v>
      </c>
    </row>
    <row r="4002" spans="1:12" hidden="1">
      <c r="A4002" s="19">
        <f t="shared" si="319"/>
        <v>3996</v>
      </c>
      <c r="B4002" s="20">
        <f t="shared" si="315"/>
        <v>0</v>
      </c>
      <c r="C4002" s="21">
        <f t="shared" si="316"/>
        <v>0</v>
      </c>
      <c r="D4002" s="22" t="e">
        <f>VLOOKUP($A4002, TAB_JUROS_U[[Q_DIAS_U_PARC_TIR]:[V_FUT_U_JURS CENARIO]], D$5, FALSE)</f>
        <v>#N/A</v>
      </c>
      <c r="E4002" s="22" t="e">
        <f>VLOOKUP($A4002,TAB_CORRECAO_U[[Q_DIAS_U_PARC_TIR]:[V_FUT_U_CORC-02]],E$5, FALSE)</f>
        <v>#N/A</v>
      </c>
      <c r="F4002" s="22" t="e">
        <f>VLOOKUP($A4002,TAB_AMORTIZACAO_U[[Q_DIAS_U_PARC_TIR]:[V_FUT_U_PCPL-02]], F$5, FALSE)</f>
        <v>#N/A</v>
      </c>
      <c r="H4002" s="20">
        <f t="shared" si="317"/>
        <v>0</v>
      </c>
      <c r="I4002" s="21">
        <f t="shared" si="318"/>
        <v>0</v>
      </c>
      <c r="J4002" s="22" t="e">
        <f>VLOOKUP($A4002, TAB_JUROS_C[[DIAS_CORRIDOS]:[V_FUT_UTEIS]], J$5, FALSE)</f>
        <v>#N/A</v>
      </c>
      <c r="K4002" s="22" t="e">
        <f>VLOOKUP($A4002, TAB_CORRECAO_C[[DIAS_CORRIDOS]:[V_FUT_UTEIS]],K$5, FALSE)</f>
        <v>#N/A</v>
      </c>
      <c r="L4002" s="22" t="e">
        <f>VLOOKUP($A4002, TAB_AMORTIZACAO_C[[DIAS_CORRIDOS]:[V_FUT_UTEIS]], L$5, FALSE)</f>
        <v>#N/A</v>
      </c>
    </row>
    <row r="4003" spans="1:12" hidden="1">
      <c r="A4003" s="19">
        <f t="shared" si="319"/>
        <v>3997</v>
      </c>
      <c r="B4003" s="20">
        <f t="shared" si="315"/>
        <v>0</v>
      </c>
      <c r="C4003" s="21">
        <f t="shared" si="316"/>
        <v>0</v>
      </c>
      <c r="D4003" s="22" t="e">
        <f>VLOOKUP($A4003, TAB_JUROS_U[[Q_DIAS_U_PARC_TIR]:[V_FUT_U_JURS CENARIO]], D$5, FALSE)</f>
        <v>#N/A</v>
      </c>
      <c r="E4003" s="22" t="e">
        <f>VLOOKUP($A4003,TAB_CORRECAO_U[[Q_DIAS_U_PARC_TIR]:[V_FUT_U_CORC-02]],E$5, FALSE)</f>
        <v>#N/A</v>
      </c>
      <c r="F4003" s="22" t="e">
        <f>VLOOKUP($A4003,TAB_AMORTIZACAO_U[[Q_DIAS_U_PARC_TIR]:[V_FUT_U_PCPL-02]], F$5, FALSE)</f>
        <v>#N/A</v>
      </c>
      <c r="H4003" s="20">
        <f t="shared" si="317"/>
        <v>0</v>
      </c>
      <c r="I4003" s="21">
        <f t="shared" si="318"/>
        <v>0</v>
      </c>
      <c r="J4003" s="22" t="e">
        <f>VLOOKUP($A4003, TAB_JUROS_C[[DIAS_CORRIDOS]:[V_FUT_UTEIS]], J$5, FALSE)</f>
        <v>#N/A</v>
      </c>
      <c r="K4003" s="22" t="e">
        <f>VLOOKUP($A4003, TAB_CORRECAO_C[[DIAS_CORRIDOS]:[V_FUT_UTEIS]],K$5, FALSE)</f>
        <v>#N/A</v>
      </c>
      <c r="L4003" s="22" t="e">
        <f>VLOOKUP($A4003, TAB_AMORTIZACAO_C[[DIAS_CORRIDOS]:[V_FUT_UTEIS]], L$5, FALSE)</f>
        <v>#N/A</v>
      </c>
    </row>
    <row r="4004" spans="1:12" hidden="1">
      <c r="A4004" s="19">
        <f t="shared" si="319"/>
        <v>3998</v>
      </c>
      <c r="B4004" s="20">
        <f t="shared" si="315"/>
        <v>0</v>
      </c>
      <c r="C4004" s="21">
        <f t="shared" si="316"/>
        <v>0</v>
      </c>
      <c r="D4004" s="22" t="e">
        <f>VLOOKUP($A4004, TAB_JUROS_U[[Q_DIAS_U_PARC_TIR]:[V_FUT_U_JURS CENARIO]], D$5, FALSE)</f>
        <v>#N/A</v>
      </c>
      <c r="E4004" s="22" t="e">
        <f>VLOOKUP($A4004,TAB_CORRECAO_U[[Q_DIAS_U_PARC_TIR]:[V_FUT_U_CORC-02]],E$5, FALSE)</f>
        <v>#N/A</v>
      </c>
      <c r="F4004" s="22" t="e">
        <f>VLOOKUP($A4004,TAB_AMORTIZACAO_U[[Q_DIAS_U_PARC_TIR]:[V_FUT_U_PCPL-02]], F$5, FALSE)</f>
        <v>#N/A</v>
      </c>
      <c r="H4004" s="20">
        <f t="shared" si="317"/>
        <v>115.84908012567048</v>
      </c>
      <c r="I4004" s="21">
        <f t="shared" si="318"/>
        <v>115.84908012567048</v>
      </c>
      <c r="J4004" s="22">
        <f>VLOOKUP($A4004, TAB_JUROS_C[[DIAS_CORRIDOS]:[V_FUT_UTEIS]], J$5, FALSE)</f>
        <v>2.552191585830093</v>
      </c>
      <c r="K4004" s="22">
        <f>VLOOKUP($A4004, TAB_CORRECAO_C[[DIAS_CORRIDOS]:[V_FUT_UTEIS]],K$5, FALSE)</f>
        <v>15.877608904641017</v>
      </c>
      <c r="L4004" s="22">
        <f>VLOOKUP($A4004, TAB_AMORTIZACAO_C[[DIAS_CORRIDOS]:[V_FUT_UTEIS]], L$5, FALSE)</f>
        <v>97.419279635199374</v>
      </c>
    </row>
    <row r="4005" spans="1:12" hidden="1">
      <c r="A4005" s="19">
        <f t="shared" si="319"/>
        <v>3999</v>
      </c>
      <c r="B4005" s="20">
        <f t="shared" si="315"/>
        <v>0</v>
      </c>
      <c r="C4005" s="21">
        <f t="shared" si="316"/>
        <v>0</v>
      </c>
      <c r="D4005" s="22" t="e">
        <f>VLOOKUP($A4005, TAB_JUROS_U[[Q_DIAS_U_PARC_TIR]:[V_FUT_U_JURS CENARIO]], D$5, FALSE)</f>
        <v>#N/A</v>
      </c>
      <c r="E4005" s="22" t="e">
        <f>VLOOKUP($A4005,TAB_CORRECAO_U[[Q_DIAS_U_PARC_TIR]:[V_FUT_U_CORC-02]],E$5, FALSE)</f>
        <v>#N/A</v>
      </c>
      <c r="F4005" s="22" t="e">
        <f>VLOOKUP($A4005,TAB_AMORTIZACAO_U[[Q_DIAS_U_PARC_TIR]:[V_FUT_U_PCPL-02]], F$5, FALSE)</f>
        <v>#N/A</v>
      </c>
      <c r="H4005" s="20">
        <f t="shared" si="317"/>
        <v>0</v>
      </c>
      <c r="I4005" s="21">
        <f t="shared" si="318"/>
        <v>0</v>
      </c>
      <c r="J4005" s="22" t="e">
        <f>VLOOKUP($A4005, TAB_JUROS_C[[DIAS_CORRIDOS]:[V_FUT_UTEIS]], J$5, FALSE)</f>
        <v>#N/A</v>
      </c>
      <c r="K4005" s="22" t="e">
        <f>VLOOKUP($A4005, TAB_CORRECAO_C[[DIAS_CORRIDOS]:[V_FUT_UTEIS]],K$5, FALSE)</f>
        <v>#N/A</v>
      </c>
      <c r="L4005" s="22" t="e">
        <f>VLOOKUP($A4005, TAB_AMORTIZACAO_C[[DIAS_CORRIDOS]:[V_FUT_UTEIS]], L$5, FALSE)</f>
        <v>#N/A</v>
      </c>
    </row>
    <row r="4006" spans="1:12" hidden="1">
      <c r="A4006" s="19">
        <f t="shared" si="319"/>
        <v>4000</v>
      </c>
      <c r="B4006" s="20">
        <f t="shared" si="315"/>
        <v>0</v>
      </c>
      <c r="C4006" s="21">
        <f t="shared" si="316"/>
        <v>0</v>
      </c>
      <c r="D4006" s="22" t="e">
        <f>VLOOKUP($A4006, TAB_JUROS_U[[Q_DIAS_U_PARC_TIR]:[V_FUT_U_JURS CENARIO]], D$5, FALSE)</f>
        <v>#N/A</v>
      </c>
      <c r="E4006" s="22" t="e">
        <f>VLOOKUP($A4006,TAB_CORRECAO_U[[Q_DIAS_U_PARC_TIR]:[V_FUT_U_CORC-02]],E$5, FALSE)</f>
        <v>#N/A</v>
      </c>
      <c r="F4006" s="22" t="e">
        <f>VLOOKUP($A4006,TAB_AMORTIZACAO_U[[Q_DIAS_U_PARC_TIR]:[V_FUT_U_PCPL-02]], F$5, FALSE)</f>
        <v>#N/A</v>
      </c>
      <c r="H4006" s="20">
        <f t="shared" si="317"/>
        <v>0</v>
      </c>
      <c r="I4006" s="21">
        <f t="shared" si="318"/>
        <v>0</v>
      </c>
      <c r="J4006" s="22" t="e">
        <f>VLOOKUP($A4006, TAB_JUROS_C[[DIAS_CORRIDOS]:[V_FUT_UTEIS]], J$5, FALSE)</f>
        <v>#N/A</v>
      </c>
      <c r="K4006" s="22" t="e">
        <f>VLOOKUP($A4006, TAB_CORRECAO_C[[DIAS_CORRIDOS]:[V_FUT_UTEIS]],K$5, FALSE)</f>
        <v>#N/A</v>
      </c>
      <c r="L4006" s="22" t="e">
        <f>VLOOKUP($A4006, TAB_AMORTIZACAO_C[[DIAS_CORRIDOS]:[V_FUT_UTEIS]], L$5, FALSE)</f>
        <v>#N/A</v>
      </c>
    </row>
    <row r="4007" spans="1:12" hidden="1">
      <c r="A4007" s="19">
        <f t="shared" si="319"/>
        <v>4001</v>
      </c>
      <c r="B4007" s="20">
        <f t="shared" si="315"/>
        <v>0</v>
      </c>
      <c r="C4007" s="21">
        <f t="shared" si="316"/>
        <v>0</v>
      </c>
      <c r="D4007" s="22" t="e">
        <f>VLOOKUP($A4007, TAB_JUROS_U[[Q_DIAS_U_PARC_TIR]:[V_FUT_U_JURS CENARIO]], D$5, FALSE)</f>
        <v>#N/A</v>
      </c>
      <c r="E4007" s="22" t="e">
        <f>VLOOKUP($A4007,TAB_CORRECAO_U[[Q_DIAS_U_PARC_TIR]:[V_FUT_U_CORC-02]],E$5, FALSE)</f>
        <v>#N/A</v>
      </c>
      <c r="F4007" s="22" t="e">
        <f>VLOOKUP($A4007,TAB_AMORTIZACAO_U[[Q_DIAS_U_PARC_TIR]:[V_FUT_U_PCPL-02]], F$5, FALSE)</f>
        <v>#N/A</v>
      </c>
      <c r="H4007" s="20">
        <f t="shared" si="317"/>
        <v>0</v>
      </c>
      <c r="I4007" s="21">
        <f t="shared" si="318"/>
        <v>0</v>
      </c>
      <c r="J4007" s="22" t="e">
        <f>VLOOKUP($A4007, TAB_JUROS_C[[DIAS_CORRIDOS]:[V_FUT_UTEIS]], J$5, FALSE)</f>
        <v>#N/A</v>
      </c>
      <c r="K4007" s="22" t="e">
        <f>VLOOKUP($A4007, TAB_CORRECAO_C[[DIAS_CORRIDOS]:[V_FUT_UTEIS]],K$5, FALSE)</f>
        <v>#N/A</v>
      </c>
      <c r="L4007" s="22" t="e">
        <f>VLOOKUP($A4007, TAB_AMORTIZACAO_C[[DIAS_CORRIDOS]:[V_FUT_UTEIS]], L$5, FALSE)</f>
        <v>#N/A</v>
      </c>
    </row>
    <row r="4008" spans="1:12" hidden="1">
      <c r="A4008" s="19">
        <f t="shared" si="319"/>
        <v>4002</v>
      </c>
      <c r="B4008" s="20">
        <f t="shared" si="315"/>
        <v>0</v>
      </c>
      <c r="C4008" s="21">
        <f t="shared" si="316"/>
        <v>0</v>
      </c>
      <c r="D4008" s="22" t="e">
        <f>VLOOKUP($A4008, TAB_JUROS_U[[Q_DIAS_U_PARC_TIR]:[V_FUT_U_JURS CENARIO]], D$5, FALSE)</f>
        <v>#N/A</v>
      </c>
      <c r="E4008" s="22" t="e">
        <f>VLOOKUP($A4008,TAB_CORRECAO_U[[Q_DIAS_U_PARC_TIR]:[V_FUT_U_CORC-02]],E$5, FALSE)</f>
        <v>#N/A</v>
      </c>
      <c r="F4008" s="22" t="e">
        <f>VLOOKUP($A4008,TAB_AMORTIZACAO_U[[Q_DIAS_U_PARC_TIR]:[V_FUT_U_PCPL-02]], F$5, FALSE)</f>
        <v>#N/A</v>
      </c>
      <c r="H4008" s="20">
        <f t="shared" si="317"/>
        <v>0</v>
      </c>
      <c r="I4008" s="21">
        <f t="shared" si="318"/>
        <v>0</v>
      </c>
      <c r="J4008" s="22" t="e">
        <f>VLOOKUP($A4008, TAB_JUROS_C[[DIAS_CORRIDOS]:[V_FUT_UTEIS]], J$5, FALSE)</f>
        <v>#N/A</v>
      </c>
      <c r="K4008" s="22" t="e">
        <f>VLOOKUP($A4008, TAB_CORRECAO_C[[DIAS_CORRIDOS]:[V_FUT_UTEIS]],K$5, FALSE)</f>
        <v>#N/A</v>
      </c>
      <c r="L4008" s="22" t="e">
        <f>VLOOKUP($A4008, TAB_AMORTIZACAO_C[[DIAS_CORRIDOS]:[V_FUT_UTEIS]], L$5, FALSE)</f>
        <v>#N/A</v>
      </c>
    </row>
    <row r="4009" spans="1:12" hidden="1">
      <c r="A4009" s="19">
        <f t="shared" si="319"/>
        <v>4003</v>
      </c>
      <c r="B4009" s="20">
        <f t="shared" si="315"/>
        <v>0</v>
      </c>
      <c r="C4009" s="21">
        <f t="shared" si="316"/>
        <v>0</v>
      </c>
      <c r="D4009" s="22" t="e">
        <f>VLOOKUP($A4009, TAB_JUROS_U[[Q_DIAS_U_PARC_TIR]:[V_FUT_U_JURS CENARIO]], D$5, FALSE)</f>
        <v>#N/A</v>
      </c>
      <c r="E4009" s="22" t="e">
        <f>VLOOKUP($A4009,TAB_CORRECAO_U[[Q_DIAS_U_PARC_TIR]:[V_FUT_U_CORC-02]],E$5, FALSE)</f>
        <v>#N/A</v>
      </c>
      <c r="F4009" s="22" t="e">
        <f>VLOOKUP($A4009,TAB_AMORTIZACAO_U[[Q_DIAS_U_PARC_TIR]:[V_FUT_U_PCPL-02]], F$5, FALSE)</f>
        <v>#N/A</v>
      </c>
      <c r="H4009" s="20">
        <f t="shared" si="317"/>
        <v>0</v>
      </c>
      <c r="I4009" s="21">
        <f t="shared" si="318"/>
        <v>0</v>
      </c>
      <c r="J4009" s="22" t="e">
        <f>VLOOKUP($A4009, TAB_JUROS_C[[DIAS_CORRIDOS]:[V_FUT_UTEIS]], J$5, FALSE)</f>
        <v>#N/A</v>
      </c>
      <c r="K4009" s="22" t="e">
        <f>VLOOKUP($A4009, TAB_CORRECAO_C[[DIAS_CORRIDOS]:[V_FUT_UTEIS]],K$5, FALSE)</f>
        <v>#N/A</v>
      </c>
      <c r="L4009" s="22" t="e">
        <f>VLOOKUP($A4009, TAB_AMORTIZACAO_C[[DIAS_CORRIDOS]:[V_FUT_UTEIS]], L$5, FALSE)</f>
        <v>#N/A</v>
      </c>
    </row>
    <row r="4010" spans="1:12" hidden="1">
      <c r="A4010" s="19">
        <f t="shared" si="319"/>
        <v>4004</v>
      </c>
      <c r="B4010" s="20">
        <f t="shared" si="315"/>
        <v>0</v>
      </c>
      <c r="C4010" s="21">
        <f t="shared" si="316"/>
        <v>0</v>
      </c>
      <c r="D4010" s="22" t="e">
        <f>VLOOKUP($A4010, TAB_JUROS_U[[Q_DIAS_U_PARC_TIR]:[V_FUT_U_JURS CENARIO]], D$5, FALSE)</f>
        <v>#N/A</v>
      </c>
      <c r="E4010" s="22" t="e">
        <f>VLOOKUP($A4010,TAB_CORRECAO_U[[Q_DIAS_U_PARC_TIR]:[V_FUT_U_CORC-02]],E$5, FALSE)</f>
        <v>#N/A</v>
      </c>
      <c r="F4010" s="22" t="e">
        <f>VLOOKUP($A4010,TAB_AMORTIZACAO_U[[Q_DIAS_U_PARC_TIR]:[V_FUT_U_PCPL-02]], F$5, FALSE)</f>
        <v>#N/A</v>
      </c>
      <c r="H4010" s="20">
        <f t="shared" si="317"/>
        <v>0</v>
      </c>
      <c r="I4010" s="21">
        <f t="shared" si="318"/>
        <v>0</v>
      </c>
      <c r="J4010" s="22" t="e">
        <f>VLOOKUP($A4010, TAB_JUROS_C[[DIAS_CORRIDOS]:[V_FUT_UTEIS]], J$5, FALSE)</f>
        <v>#N/A</v>
      </c>
      <c r="K4010" s="22" t="e">
        <f>VLOOKUP($A4010, TAB_CORRECAO_C[[DIAS_CORRIDOS]:[V_FUT_UTEIS]],K$5, FALSE)</f>
        <v>#N/A</v>
      </c>
      <c r="L4010" s="22" t="e">
        <f>VLOOKUP($A4010, TAB_AMORTIZACAO_C[[DIAS_CORRIDOS]:[V_FUT_UTEIS]], L$5, FALSE)</f>
        <v>#N/A</v>
      </c>
    </row>
    <row r="4011" spans="1:12" hidden="1">
      <c r="A4011" s="19">
        <f t="shared" si="319"/>
        <v>4005</v>
      </c>
      <c r="B4011" s="20">
        <f t="shared" si="315"/>
        <v>0</v>
      </c>
      <c r="C4011" s="21">
        <f t="shared" si="316"/>
        <v>0</v>
      </c>
      <c r="D4011" s="22" t="e">
        <f>VLOOKUP($A4011, TAB_JUROS_U[[Q_DIAS_U_PARC_TIR]:[V_FUT_U_JURS CENARIO]], D$5, FALSE)</f>
        <v>#N/A</v>
      </c>
      <c r="E4011" s="22" t="e">
        <f>VLOOKUP($A4011,TAB_CORRECAO_U[[Q_DIAS_U_PARC_TIR]:[V_FUT_U_CORC-02]],E$5, FALSE)</f>
        <v>#N/A</v>
      </c>
      <c r="F4011" s="22" t="e">
        <f>VLOOKUP($A4011,TAB_AMORTIZACAO_U[[Q_DIAS_U_PARC_TIR]:[V_FUT_U_PCPL-02]], F$5, FALSE)</f>
        <v>#N/A</v>
      </c>
      <c r="H4011" s="20">
        <f t="shared" si="317"/>
        <v>0</v>
      </c>
      <c r="I4011" s="21">
        <f t="shared" si="318"/>
        <v>0</v>
      </c>
      <c r="J4011" s="22" t="e">
        <f>VLOOKUP($A4011, TAB_JUROS_C[[DIAS_CORRIDOS]:[V_FUT_UTEIS]], J$5, FALSE)</f>
        <v>#N/A</v>
      </c>
      <c r="K4011" s="22" t="e">
        <f>VLOOKUP($A4011, TAB_CORRECAO_C[[DIAS_CORRIDOS]:[V_FUT_UTEIS]],K$5, FALSE)</f>
        <v>#N/A</v>
      </c>
      <c r="L4011" s="22" t="e">
        <f>VLOOKUP($A4011, TAB_AMORTIZACAO_C[[DIAS_CORRIDOS]:[V_FUT_UTEIS]], L$5, FALSE)</f>
        <v>#N/A</v>
      </c>
    </row>
    <row r="4012" spans="1:12" hidden="1">
      <c r="A4012" s="19">
        <f t="shared" si="319"/>
        <v>4006</v>
      </c>
      <c r="B4012" s="20">
        <f t="shared" si="315"/>
        <v>0</v>
      </c>
      <c r="C4012" s="21">
        <f t="shared" si="316"/>
        <v>0</v>
      </c>
      <c r="D4012" s="22" t="e">
        <f>VLOOKUP($A4012, TAB_JUROS_U[[Q_DIAS_U_PARC_TIR]:[V_FUT_U_JURS CENARIO]], D$5, FALSE)</f>
        <v>#N/A</v>
      </c>
      <c r="E4012" s="22" t="e">
        <f>VLOOKUP($A4012,TAB_CORRECAO_U[[Q_DIAS_U_PARC_TIR]:[V_FUT_U_CORC-02]],E$5, FALSE)</f>
        <v>#N/A</v>
      </c>
      <c r="F4012" s="22" t="e">
        <f>VLOOKUP($A4012,TAB_AMORTIZACAO_U[[Q_DIAS_U_PARC_TIR]:[V_FUT_U_PCPL-02]], F$5, FALSE)</f>
        <v>#N/A</v>
      </c>
      <c r="H4012" s="20">
        <f t="shared" si="317"/>
        <v>0</v>
      </c>
      <c r="I4012" s="21">
        <f t="shared" si="318"/>
        <v>0</v>
      </c>
      <c r="J4012" s="22" t="e">
        <f>VLOOKUP($A4012, TAB_JUROS_C[[DIAS_CORRIDOS]:[V_FUT_UTEIS]], J$5, FALSE)</f>
        <v>#N/A</v>
      </c>
      <c r="K4012" s="22" t="e">
        <f>VLOOKUP($A4012, TAB_CORRECAO_C[[DIAS_CORRIDOS]:[V_FUT_UTEIS]],K$5, FALSE)</f>
        <v>#N/A</v>
      </c>
      <c r="L4012" s="22" t="e">
        <f>VLOOKUP($A4012, TAB_AMORTIZACAO_C[[DIAS_CORRIDOS]:[V_FUT_UTEIS]], L$5, FALSE)</f>
        <v>#N/A</v>
      </c>
    </row>
    <row r="4013" spans="1:12" hidden="1">
      <c r="A4013" s="19">
        <f t="shared" si="319"/>
        <v>4007</v>
      </c>
      <c r="B4013" s="20">
        <f t="shared" si="315"/>
        <v>0</v>
      </c>
      <c r="C4013" s="21">
        <f t="shared" si="316"/>
        <v>0</v>
      </c>
      <c r="D4013" s="22" t="e">
        <f>VLOOKUP($A4013, TAB_JUROS_U[[Q_DIAS_U_PARC_TIR]:[V_FUT_U_JURS CENARIO]], D$5, FALSE)</f>
        <v>#N/A</v>
      </c>
      <c r="E4013" s="22" t="e">
        <f>VLOOKUP($A4013,TAB_CORRECAO_U[[Q_DIAS_U_PARC_TIR]:[V_FUT_U_CORC-02]],E$5, FALSE)</f>
        <v>#N/A</v>
      </c>
      <c r="F4013" s="22" t="e">
        <f>VLOOKUP($A4013,TAB_AMORTIZACAO_U[[Q_DIAS_U_PARC_TIR]:[V_FUT_U_PCPL-02]], F$5, FALSE)</f>
        <v>#N/A</v>
      </c>
      <c r="H4013" s="20">
        <f t="shared" si="317"/>
        <v>0</v>
      </c>
      <c r="I4013" s="21">
        <f t="shared" si="318"/>
        <v>0</v>
      </c>
      <c r="J4013" s="22" t="e">
        <f>VLOOKUP($A4013, TAB_JUROS_C[[DIAS_CORRIDOS]:[V_FUT_UTEIS]], J$5, FALSE)</f>
        <v>#N/A</v>
      </c>
      <c r="K4013" s="22" t="e">
        <f>VLOOKUP($A4013, TAB_CORRECAO_C[[DIAS_CORRIDOS]:[V_FUT_UTEIS]],K$5, FALSE)</f>
        <v>#N/A</v>
      </c>
      <c r="L4013" s="22" t="e">
        <f>VLOOKUP($A4013, TAB_AMORTIZACAO_C[[DIAS_CORRIDOS]:[V_FUT_UTEIS]], L$5, FALSE)</f>
        <v>#N/A</v>
      </c>
    </row>
    <row r="4014" spans="1:12" hidden="1">
      <c r="A4014" s="19">
        <f t="shared" si="319"/>
        <v>4008</v>
      </c>
      <c r="B4014" s="20">
        <f t="shared" si="315"/>
        <v>0</v>
      </c>
      <c r="C4014" s="21">
        <f t="shared" si="316"/>
        <v>0</v>
      </c>
      <c r="D4014" s="22" t="e">
        <f>VLOOKUP($A4014, TAB_JUROS_U[[Q_DIAS_U_PARC_TIR]:[V_FUT_U_JURS CENARIO]], D$5, FALSE)</f>
        <v>#N/A</v>
      </c>
      <c r="E4014" s="22" t="e">
        <f>VLOOKUP($A4014,TAB_CORRECAO_U[[Q_DIAS_U_PARC_TIR]:[V_FUT_U_CORC-02]],E$5, FALSE)</f>
        <v>#N/A</v>
      </c>
      <c r="F4014" s="22" t="e">
        <f>VLOOKUP($A4014,TAB_AMORTIZACAO_U[[Q_DIAS_U_PARC_TIR]:[V_FUT_U_PCPL-02]], F$5, FALSE)</f>
        <v>#N/A</v>
      </c>
      <c r="H4014" s="20">
        <f t="shared" si="317"/>
        <v>0</v>
      </c>
      <c r="I4014" s="21">
        <f t="shared" si="318"/>
        <v>0</v>
      </c>
      <c r="J4014" s="22" t="e">
        <f>VLOOKUP($A4014, TAB_JUROS_C[[DIAS_CORRIDOS]:[V_FUT_UTEIS]], J$5, FALSE)</f>
        <v>#N/A</v>
      </c>
      <c r="K4014" s="22" t="e">
        <f>VLOOKUP($A4014, TAB_CORRECAO_C[[DIAS_CORRIDOS]:[V_FUT_UTEIS]],K$5, FALSE)</f>
        <v>#N/A</v>
      </c>
      <c r="L4014" s="22" t="e">
        <f>VLOOKUP($A4014, TAB_AMORTIZACAO_C[[DIAS_CORRIDOS]:[V_FUT_UTEIS]], L$5, FALSE)</f>
        <v>#N/A</v>
      </c>
    </row>
    <row r="4015" spans="1:12" hidden="1">
      <c r="A4015" s="19">
        <f t="shared" si="319"/>
        <v>4009</v>
      </c>
      <c r="B4015" s="20">
        <f t="shared" si="315"/>
        <v>0</v>
      </c>
      <c r="C4015" s="21">
        <f t="shared" si="316"/>
        <v>0</v>
      </c>
      <c r="D4015" s="22" t="e">
        <f>VLOOKUP($A4015, TAB_JUROS_U[[Q_DIAS_U_PARC_TIR]:[V_FUT_U_JURS CENARIO]], D$5, FALSE)</f>
        <v>#N/A</v>
      </c>
      <c r="E4015" s="22" t="e">
        <f>VLOOKUP($A4015,TAB_CORRECAO_U[[Q_DIAS_U_PARC_TIR]:[V_FUT_U_CORC-02]],E$5, FALSE)</f>
        <v>#N/A</v>
      </c>
      <c r="F4015" s="22" t="e">
        <f>VLOOKUP($A4015,TAB_AMORTIZACAO_U[[Q_DIAS_U_PARC_TIR]:[V_FUT_U_PCPL-02]], F$5, FALSE)</f>
        <v>#N/A</v>
      </c>
      <c r="H4015" s="20">
        <f t="shared" si="317"/>
        <v>0</v>
      </c>
      <c r="I4015" s="21">
        <f t="shared" si="318"/>
        <v>0</v>
      </c>
      <c r="J4015" s="22" t="e">
        <f>VLOOKUP($A4015, TAB_JUROS_C[[DIAS_CORRIDOS]:[V_FUT_UTEIS]], J$5, FALSE)</f>
        <v>#N/A</v>
      </c>
      <c r="K4015" s="22" t="e">
        <f>VLOOKUP($A4015, TAB_CORRECAO_C[[DIAS_CORRIDOS]:[V_FUT_UTEIS]],K$5, FALSE)</f>
        <v>#N/A</v>
      </c>
      <c r="L4015" s="22" t="e">
        <f>VLOOKUP($A4015, TAB_AMORTIZACAO_C[[DIAS_CORRIDOS]:[V_FUT_UTEIS]], L$5, FALSE)</f>
        <v>#N/A</v>
      </c>
    </row>
    <row r="4016" spans="1:12" hidden="1">
      <c r="A4016" s="19">
        <f t="shared" si="319"/>
        <v>4010</v>
      </c>
      <c r="B4016" s="20">
        <f t="shared" si="315"/>
        <v>0</v>
      </c>
      <c r="C4016" s="21">
        <f t="shared" si="316"/>
        <v>0</v>
      </c>
      <c r="D4016" s="22" t="e">
        <f>VLOOKUP($A4016, TAB_JUROS_U[[Q_DIAS_U_PARC_TIR]:[V_FUT_U_JURS CENARIO]], D$5, FALSE)</f>
        <v>#N/A</v>
      </c>
      <c r="E4016" s="22" t="e">
        <f>VLOOKUP($A4016,TAB_CORRECAO_U[[Q_DIAS_U_PARC_TIR]:[V_FUT_U_CORC-02]],E$5, FALSE)</f>
        <v>#N/A</v>
      </c>
      <c r="F4016" s="22" t="e">
        <f>VLOOKUP($A4016,TAB_AMORTIZACAO_U[[Q_DIAS_U_PARC_TIR]:[V_FUT_U_PCPL-02]], F$5, FALSE)</f>
        <v>#N/A</v>
      </c>
      <c r="H4016" s="20">
        <f t="shared" si="317"/>
        <v>0</v>
      </c>
      <c r="I4016" s="21">
        <f t="shared" si="318"/>
        <v>0</v>
      </c>
      <c r="J4016" s="22" t="e">
        <f>VLOOKUP($A4016, TAB_JUROS_C[[DIAS_CORRIDOS]:[V_FUT_UTEIS]], J$5, FALSE)</f>
        <v>#N/A</v>
      </c>
      <c r="K4016" s="22" t="e">
        <f>VLOOKUP($A4016, TAB_CORRECAO_C[[DIAS_CORRIDOS]:[V_FUT_UTEIS]],K$5, FALSE)</f>
        <v>#N/A</v>
      </c>
      <c r="L4016" s="22" t="e">
        <f>VLOOKUP($A4016, TAB_AMORTIZACAO_C[[DIAS_CORRIDOS]:[V_FUT_UTEIS]], L$5, FALSE)</f>
        <v>#N/A</v>
      </c>
    </row>
    <row r="4017" spans="1:12" hidden="1">
      <c r="A4017" s="19">
        <f t="shared" si="319"/>
        <v>4011</v>
      </c>
      <c r="B4017" s="20">
        <f t="shared" si="315"/>
        <v>0</v>
      </c>
      <c r="C4017" s="21">
        <f t="shared" si="316"/>
        <v>0</v>
      </c>
      <c r="D4017" s="22" t="e">
        <f>VLOOKUP($A4017, TAB_JUROS_U[[Q_DIAS_U_PARC_TIR]:[V_FUT_U_JURS CENARIO]], D$5, FALSE)</f>
        <v>#N/A</v>
      </c>
      <c r="E4017" s="22" t="e">
        <f>VLOOKUP($A4017,TAB_CORRECAO_U[[Q_DIAS_U_PARC_TIR]:[V_FUT_U_CORC-02]],E$5, FALSE)</f>
        <v>#N/A</v>
      </c>
      <c r="F4017" s="22" t="e">
        <f>VLOOKUP($A4017,TAB_AMORTIZACAO_U[[Q_DIAS_U_PARC_TIR]:[V_FUT_U_PCPL-02]], F$5, FALSE)</f>
        <v>#N/A</v>
      </c>
      <c r="H4017" s="20">
        <f t="shared" si="317"/>
        <v>0</v>
      </c>
      <c r="I4017" s="21">
        <f t="shared" si="318"/>
        <v>0</v>
      </c>
      <c r="J4017" s="22" t="e">
        <f>VLOOKUP($A4017, TAB_JUROS_C[[DIAS_CORRIDOS]:[V_FUT_UTEIS]], J$5, FALSE)</f>
        <v>#N/A</v>
      </c>
      <c r="K4017" s="22" t="e">
        <f>VLOOKUP($A4017, TAB_CORRECAO_C[[DIAS_CORRIDOS]:[V_FUT_UTEIS]],K$5, FALSE)</f>
        <v>#N/A</v>
      </c>
      <c r="L4017" s="22" t="e">
        <f>VLOOKUP($A4017, TAB_AMORTIZACAO_C[[DIAS_CORRIDOS]:[V_FUT_UTEIS]], L$5, FALSE)</f>
        <v>#N/A</v>
      </c>
    </row>
    <row r="4018" spans="1:12" hidden="1">
      <c r="A4018" s="19">
        <f t="shared" si="319"/>
        <v>4012</v>
      </c>
      <c r="B4018" s="20">
        <f t="shared" si="315"/>
        <v>0</v>
      </c>
      <c r="C4018" s="21">
        <f t="shared" si="316"/>
        <v>0</v>
      </c>
      <c r="D4018" s="22" t="e">
        <f>VLOOKUP($A4018, TAB_JUROS_U[[Q_DIAS_U_PARC_TIR]:[V_FUT_U_JURS CENARIO]], D$5, FALSE)</f>
        <v>#N/A</v>
      </c>
      <c r="E4018" s="22" t="e">
        <f>VLOOKUP($A4018,TAB_CORRECAO_U[[Q_DIAS_U_PARC_TIR]:[V_FUT_U_CORC-02]],E$5, FALSE)</f>
        <v>#N/A</v>
      </c>
      <c r="F4018" s="22" t="e">
        <f>VLOOKUP($A4018,TAB_AMORTIZACAO_U[[Q_DIAS_U_PARC_TIR]:[V_FUT_U_PCPL-02]], F$5, FALSE)</f>
        <v>#N/A</v>
      </c>
      <c r="H4018" s="20">
        <f t="shared" si="317"/>
        <v>0</v>
      </c>
      <c r="I4018" s="21">
        <f t="shared" si="318"/>
        <v>0</v>
      </c>
      <c r="J4018" s="22" t="e">
        <f>VLOOKUP($A4018, TAB_JUROS_C[[DIAS_CORRIDOS]:[V_FUT_UTEIS]], J$5, FALSE)</f>
        <v>#N/A</v>
      </c>
      <c r="K4018" s="22" t="e">
        <f>VLOOKUP($A4018, TAB_CORRECAO_C[[DIAS_CORRIDOS]:[V_FUT_UTEIS]],K$5, FALSE)</f>
        <v>#N/A</v>
      </c>
      <c r="L4018" s="22" t="e">
        <f>VLOOKUP($A4018, TAB_AMORTIZACAO_C[[DIAS_CORRIDOS]:[V_FUT_UTEIS]], L$5, FALSE)</f>
        <v>#N/A</v>
      </c>
    </row>
    <row r="4019" spans="1:12" hidden="1">
      <c r="A4019" s="19">
        <f t="shared" si="319"/>
        <v>4013</v>
      </c>
      <c r="B4019" s="20">
        <f t="shared" si="315"/>
        <v>0</v>
      </c>
      <c r="C4019" s="21">
        <f t="shared" si="316"/>
        <v>0</v>
      </c>
      <c r="D4019" s="22" t="e">
        <f>VLOOKUP($A4019, TAB_JUROS_U[[Q_DIAS_U_PARC_TIR]:[V_FUT_U_JURS CENARIO]], D$5, FALSE)</f>
        <v>#N/A</v>
      </c>
      <c r="E4019" s="22" t="e">
        <f>VLOOKUP($A4019,TAB_CORRECAO_U[[Q_DIAS_U_PARC_TIR]:[V_FUT_U_CORC-02]],E$5, FALSE)</f>
        <v>#N/A</v>
      </c>
      <c r="F4019" s="22" t="e">
        <f>VLOOKUP($A4019,TAB_AMORTIZACAO_U[[Q_DIAS_U_PARC_TIR]:[V_FUT_U_PCPL-02]], F$5, FALSE)</f>
        <v>#N/A</v>
      </c>
      <c r="H4019" s="20">
        <f t="shared" si="317"/>
        <v>0</v>
      </c>
      <c r="I4019" s="21">
        <f t="shared" si="318"/>
        <v>0</v>
      </c>
      <c r="J4019" s="22" t="e">
        <f>VLOOKUP($A4019, TAB_JUROS_C[[DIAS_CORRIDOS]:[V_FUT_UTEIS]], J$5, FALSE)</f>
        <v>#N/A</v>
      </c>
      <c r="K4019" s="22" t="e">
        <f>VLOOKUP($A4019, TAB_CORRECAO_C[[DIAS_CORRIDOS]:[V_FUT_UTEIS]],K$5, FALSE)</f>
        <v>#N/A</v>
      </c>
      <c r="L4019" s="22" t="e">
        <f>VLOOKUP($A4019, TAB_AMORTIZACAO_C[[DIAS_CORRIDOS]:[V_FUT_UTEIS]], L$5, FALSE)</f>
        <v>#N/A</v>
      </c>
    </row>
    <row r="4020" spans="1:12" hidden="1">
      <c r="A4020" s="19">
        <f t="shared" si="319"/>
        <v>4014</v>
      </c>
      <c r="B4020" s="20">
        <f t="shared" si="315"/>
        <v>0</v>
      </c>
      <c r="C4020" s="21">
        <f t="shared" si="316"/>
        <v>0</v>
      </c>
      <c r="D4020" s="22" t="e">
        <f>VLOOKUP($A4020, TAB_JUROS_U[[Q_DIAS_U_PARC_TIR]:[V_FUT_U_JURS CENARIO]], D$5, FALSE)</f>
        <v>#N/A</v>
      </c>
      <c r="E4020" s="22" t="e">
        <f>VLOOKUP($A4020,TAB_CORRECAO_U[[Q_DIAS_U_PARC_TIR]:[V_FUT_U_CORC-02]],E$5, FALSE)</f>
        <v>#N/A</v>
      </c>
      <c r="F4020" s="22" t="e">
        <f>VLOOKUP($A4020,TAB_AMORTIZACAO_U[[Q_DIAS_U_PARC_TIR]:[V_FUT_U_PCPL-02]], F$5, FALSE)</f>
        <v>#N/A</v>
      </c>
      <c r="H4020" s="20">
        <f t="shared" si="317"/>
        <v>0</v>
      </c>
      <c r="I4020" s="21">
        <f t="shared" si="318"/>
        <v>0</v>
      </c>
      <c r="J4020" s="22" t="e">
        <f>VLOOKUP($A4020, TAB_JUROS_C[[DIAS_CORRIDOS]:[V_FUT_UTEIS]], J$5, FALSE)</f>
        <v>#N/A</v>
      </c>
      <c r="K4020" s="22" t="e">
        <f>VLOOKUP($A4020, TAB_CORRECAO_C[[DIAS_CORRIDOS]:[V_FUT_UTEIS]],K$5, FALSE)</f>
        <v>#N/A</v>
      </c>
      <c r="L4020" s="22" t="e">
        <f>VLOOKUP($A4020, TAB_AMORTIZACAO_C[[DIAS_CORRIDOS]:[V_FUT_UTEIS]], L$5, FALSE)</f>
        <v>#N/A</v>
      </c>
    </row>
    <row r="4021" spans="1:12" hidden="1">
      <c r="A4021" s="19">
        <f t="shared" si="319"/>
        <v>4015</v>
      </c>
      <c r="B4021" s="20">
        <f t="shared" si="315"/>
        <v>0</v>
      </c>
      <c r="C4021" s="21">
        <f t="shared" si="316"/>
        <v>0</v>
      </c>
      <c r="D4021" s="22" t="e">
        <f>VLOOKUP($A4021, TAB_JUROS_U[[Q_DIAS_U_PARC_TIR]:[V_FUT_U_JURS CENARIO]], D$5, FALSE)</f>
        <v>#N/A</v>
      </c>
      <c r="E4021" s="22" t="e">
        <f>VLOOKUP($A4021,TAB_CORRECAO_U[[Q_DIAS_U_PARC_TIR]:[V_FUT_U_CORC-02]],E$5, FALSE)</f>
        <v>#N/A</v>
      </c>
      <c r="F4021" s="22" t="e">
        <f>VLOOKUP($A4021,TAB_AMORTIZACAO_U[[Q_DIAS_U_PARC_TIR]:[V_FUT_U_PCPL-02]], F$5, FALSE)</f>
        <v>#N/A</v>
      </c>
      <c r="H4021" s="20">
        <f t="shared" si="317"/>
        <v>0</v>
      </c>
      <c r="I4021" s="21">
        <f t="shared" si="318"/>
        <v>0</v>
      </c>
      <c r="J4021" s="22" t="e">
        <f>VLOOKUP($A4021, TAB_JUROS_C[[DIAS_CORRIDOS]:[V_FUT_UTEIS]], J$5, FALSE)</f>
        <v>#N/A</v>
      </c>
      <c r="K4021" s="22" t="e">
        <f>VLOOKUP($A4021, TAB_CORRECAO_C[[DIAS_CORRIDOS]:[V_FUT_UTEIS]],K$5, FALSE)</f>
        <v>#N/A</v>
      </c>
      <c r="L4021" s="22" t="e">
        <f>VLOOKUP($A4021, TAB_AMORTIZACAO_C[[DIAS_CORRIDOS]:[V_FUT_UTEIS]], L$5, FALSE)</f>
        <v>#N/A</v>
      </c>
    </row>
    <row r="4022" spans="1:12" hidden="1">
      <c r="A4022" s="19">
        <f t="shared" si="319"/>
        <v>4016</v>
      </c>
      <c r="B4022" s="20">
        <f t="shared" si="315"/>
        <v>0</v>
      </c>
      <c r="C4022" s="21">
        <f t="shared" si="316"/>
        <v>0</v>
      </c>
      <c r="D4022" s="22" t="e">
        <f>VLOOKUP($A4022, TAB_JUROS_U[[Q_DIAS_U_PARC_TIR]:[V_FUT_U_JURS CENARIO]], D$5, FALSE)</f>
        <v>#N/A</v>
      </c>
      <c r="E4022" s="22" t="e">
        <f>VLOOKUP($A4022,TAB_CORRECAO_U[[Q_DIAS_U_PARC_TIR]:[V_FUT_U_CORC-02]],E$5, FALSE)</f>
        <v>#N/A</v>
      </c>
      <c r="F4022" s="22" t="e">
        <f>VLOOKUP($A4022,TAB_AMORTIZACAO_U[[Q_DIAS_U_PARC_TIR]:[V_FUT_U_PCPL-02]], F$5, FALSE)</f>
        <v>#N/A</v>
      </c>
      <c r="H4022" s="20">
        <f t="shared" si="317"/>
        <v>0</v>
      </c>
      <c r="I4022" s="21">
        <f t="shared" si="318"/>
        <v>0</v>
      </c>
      <c r="J4022" s="22" t="e">
        <f>VLOOKUP($A4022, TAB_JUROS_C[[DIAS_CORRIDOS]:[V_FUT_UTEIS]], J$5, FALSE)</f>
        <v>#N/A</v>
      </c>
      <c r="K4022" s="22" t="e">
        <f>VLOOKUP($A4022, TAB_CORRECAO_C[[DIAS_CORRIDOS]:[V_FUT_UTEIS]],K$5, FALSE)</f>
        <v>#N/A</v>
      </c>
      <c r="L4022" s="22" t="e">
        <f>VLOOKUP($A4022, TAB_AMORTIZACAO_C[[DIAS_CORRIDOS]:[V_FUT_UTEIS]], L$5, FALSE)</f>
        <v>#N/A</v>
      </c>
    </row>
    <row r="4023" spans="1:12" hidden="1">
      <c r="A4023" s="19">
        <f t="shared" si="319"/>
        <v>4017</v>
      </c>
      <c r="B4023" s="20">
        <f t="shared" si="315"/>
        <v>0</v>
      </c>
      <c r="C4023" s="21">
        <f t="shared" si="316"/>
        <v>0</v>
      </c>
      <c r="D4023" s="22" t="e">
        <f>VLOOKUP($A4023, TAB_JUROS_U[[Q_DIAS_U_PARC_TIR]:[V_FUT_U_JURS CENARIO]], D$5, FALSE)</f>
        <v>#N/A</v>
      </c>
      <c r="E4023" s="22" t="e">
        <f>VLOOKUP($A4023,TAB_CORRECAO_U[[Q_DIAS_U_PARC_TIR]:[V_FUT_U_CORC-02]],E$5, FALSE)</f>
        <v>#N/A</v>
      </c>
      <c r="F4023" s="22" t="e">
        <f>VLOOKUP($A4023,TAB_AMORTIZACAO_U[[Q_DIAS_U_PARC_TIR]:[V_FUT_U_PCPL-02]], F$5, FALSE)</f>
        <v>#N/A</v>
      </c>
      <c r="H4023" s="20">
        <f t="shared" si="317"/>
        <v>0</v>
      </c>
      <c r="I4023" s="21">
        <f t="shared" si="318"/>
        <v>0</v>
      </c>
      <c r="J4023" s="22" t="e">
        <f>VLOOKUP($A4023, TAB_JUROS_C[[DIAS_CORRIDOS]:[V_FUT_UTEIS]], J$5, FALSE)</f>
        <v>#N/A</v>
      </c>
      <c r="K4023" s="22" t="e">
        <f>VLOOKUP($A4023, TAB_CORRECAO_C[[DIAS_CORRIDOS]:[V_FUT_UTEIS]],K$5, FALSE)</f>
        <v>#N/A</v>
      </c>
      <c r="L4023" s="22" t="e">
        <f>VLOOKUP($A4023, TAB_AMORTIZACAO_C[[DIAS_CORRIDOS]:[V_FUT_UTEIS]], L$5, FALSE)</f>
        <v>#N/A</v>
      </c>
    </row>
    <row r="4024" spans="1:12" hidden="1">
      <c r="A4024" s="19">
        <f t="shared" si="319"/>
        <v>4018</v>
      </c>
      <c r="B4024" s="20">
        <f t="shared" si="315"/>
        <v>0</v>
      </c>
      <c r="C4024" s="21">
        <f t="shared" si="316"/>
        <v>0</v>
      </c>
      <c r="D4024" s="22" t="e">
        <f>VLOOKUP($A4024, TAB_JUROS_U[[Q_DIAS_U_PARC_TIR]:[V_FUT_U_JURS CENARIO]], D$5, FALSE)</f>
        <v>#N/A</v>
      </c>
      <c r="E4024" s="22" t="e">
        <f>VLOOKUP($A4024,TAB_CORRECAO_U[[Q_DIAS_U_PARC_TIR]:[V_FUT_U_CORC-02]],E$5, FALSE)</f>
        <v>#N/A</v>
      </c>
      <c r="F4024" s="22" t="e">
        <f>VLOOKUP($A4024,TAB_AMORTIZACAO_U[[Q_DIAS_U_PARC_TIR]:[V_FUT_U_PCPL-02]], F$5, FALSE)</f>
        <v>#N/A</v>
      </c>
      <c r="H4024" s="20">
        <f t="shared" si="317"/>
        <v>0</v>
      </c>
      <c r="I4024" s="21">
        <f t="shared" si="318"/>
        <v>0</v>
      </c>
      <c r="J4024" s="22" t="e">
        <f>VLOOKUP($A4024, TAB_JUROS_C[[DIAS_CORRIDOS]:[V_FUT_UTEIS]], J$5, FALSE)</f>
        <v>#N/A</v>
      </c>
      <c r="K4024" s="22" t="e">
        <f>VLOOKUP($A4024, TAB_CORRECAO_C[[DIAS_CORRIDOS]:[V_FUT_UTEIS]],K$5, FALSE)</f>
        <v>#N/A</v>
      </c>
      <c r="L4024" s="22" t="e">
        <f>VLOOKUP($A4024, TAB_AMORTIZACAO_C[[DIAS_CORRIDOS]:[V_FUT_UTEIS]], L$5, FALSE)</f>
        <v>#N/A</v>
      </c>
    </row>
    <row r="4025" spans="1:12" hidden="1">
      <c r="A4025" s="19">
        <f t="shared" si="319"/>
        <v>4019</v>
      </c>
      <c r="B4025" s="20">
        <f t="shared" si="315"/>
        <v>0</v>
      </c>
      <c r="C4025" s="21">
        <f t="shared" si="316"/>
        <v>0</v>
      </c>
      <c r="D4025" s="22" t="e">
        <f>VLOOKUP($A4025, TAB_JUROS_U[[Q_DIAS_U_PARC_TIR]:[V_FUT_U_JURS CENARIO]], D$5, FALSE)</f>
        <v>#N/A</v>
      </c>
      <c r="E4025" s="22" t="e">
        <f>VLOOKUP($A4025,TAB_CORRECAO_U[[Q_DIAS_U_PARC_TIR]:[V_FUT_U_CORC-02]],E$5, FALSE)</f>
        <v>#N/A</v>
      </c>
      <c r="F4025" s="22" t="e">
        <f>VLOOKUP($A4025,TAB_AMORTIZACAO_U[[Q_DIAS_U_PARC_TIR]:[V_FUT_U_PCPL-02]], F$5, FALSE)</f>
        <v>#N/A</v>
      </c>
      <c r="H4025" s="20">
        <f t="shared" si="317"/>
        <v>0</v>
      </c>
      <c r="I4025" s="21">
        <f t="shared" si="318"/>
        <v>0</v>
      </c>
      <c r="J4025" s="22" t="e">
        <f>VLOOKUP($A4025, TAB_JUROS_C[[DIAS_CORRIDOS]:[V_FUT_UTEIS]], J$5, FALSE)</f>
        <v>#N/A</v>
      </c>
      <c r="K4025" s="22" t="e">
        <f>VLOOKUP($A4025, TAB_CORRECAO_C[[DIAS_CORRIDOS]:[V_FUT_UTEIS]],K$5, FALSE)</f>
        <v>#N/A</v>
      </c>
      <c r="L4025" s="22" t="e">
        <f>VLOOKUP($A4025, TAB_AMORTIZACAO_C[[DIAS_CORRIDOS]:[V_FUT_UTEIS]], L$5, FALSE)</f>
        <v>#N/A</v>
      </c>
    </row>
    <row r="4026" spans="1:12" hidden="1">
      <c r="A4026" s="19">
        <f t="shared" si="319"/>
        <v>4020</v>
      </c>
      <c r="B4026" s="20">
        <f t="shared" si="315"/>
        <v>0</v>
      </c>
      <c r="C4026" s="21">
        <f t="shared" si="316"/>
        <v>0</v>
      </c>
      <c r="D4026" s="22" t="e">
        <f>VLOOKUP($A4026, TAB_JUROS_U[[Q_DIAS_U_PARC_TIR]:[V_FUT_U_JURS CENARIO]], D$5, FALSE)</f>
        <v>#N/A</v>
      </c>
      <c r="E4026" s="22" t="e">
        <f>VLOOKUP($A4026,TAB_CORRECAO_U[[Q_DIAS_U_PARC_TIR]:[V_FUT_U_CORC-02]],E$5, FALSE)</f>
        <v>#N/A</v>
      </c>
      <c r="F4026" s="22" t="e">
        <f>VLOOKUP($A4026,TAB_AMORTIZACAO_U[[Q_DIAS_U_PARC_TIR]:[V_FUT_U_PCPL-02]], F$5, FALSE)</f>
        <v>#N/A</v>
      </c>
      <c r="H4026" s="20">
        <f t="shared" si="317"/>
        <v>0</v>
      </c>
      <c r="I4026" s="21">
        <f t="shared" si="318"/>
        <v>0</v>
      </c>
      <c r="J4026" s="22" t="e">
        <f>VLOOKUP($A4026, TAB_JUROS_C[[DIAS_CORRIDOS]:[V_FUT_UTEIS]], J$5, FALSE)</f>
        <v>#N/A</v>
      </c>
      <c r="K4026" s="22" t="e">
        <f>VLOOKUP($A4026, TAB_CORRECAO_C[[DIAS_CORRIDOS]:[V_FUT_UTEIS]],K$5, FALSE)</f>
        <v>#N/A</v>
      </c>
      <c r="L4026" s="22" t="e">
        <f>VLOOKUP($A4026, TAB_AMORTIZACAO_C[[DIAS_CORRIDOS]:[V_FUT_UTEIS]], L$5, FALSE)</f>
        <v>#N/A</v>
      </c>
    </row>
    <row r="4027" spans="1:12" hidden="1">
      <c r="A4027" s="19">
        <f t="shared" si="319"/>
        <v>4021</v>
      </c>
      <c r="B4027" s="20">
        <f t="shared" si="315"/>
        <v>0</v>
      </c>
      <c r="C4027" s="21">
        <f t="shared" si="316"/>
        <v>0</v>
      </c>
      <c r="D4027" s="22" t="e">
        <f>VLOOKUP($A4027, TAB_JUROS_U[[Q_DIAS_U_PARC_TIR]:[V_FUT_U_JURS CENARIO]], D$5, FALSE)</f>
        <v>#N/A</v>
      </c>
      <c r="E4027" s="22" t="e">
        <f>VLOOKUP($A4027,TAB_CORRECAO_U[[Q_DIAS_U_PARC_TIR]:[V_FUT_U_CORC-02]],E$5, FALSE)</f>
        <v>#N/A</v>
      </c>
      <c r="F4027" s="22" t="e">
        <f>VLOOKUP($A4027,TAB_AMORTIZACAO_U[[Q_DIAS_U_PARC_TIR]:[V_FUT_U_PCPL-02]], F$5, FALSE)</f>
        <v>#N/A</v>
      </c>
      <c r="H4027" s="20">
        <f t="shared" si="317"/>
        <v>0</v>
      </c>
      <c r="I4027" s="21">
        <f t="shared" si="318"/>
        <v>0</v>
      </c>
      <c r="J4027" s="22" t="e">
        <f>VLOOKUP($A4027, TAB_JUROS_C[[DIAS_CORRIDOS]:[V_FUT_UTEIS]], J$5, FALSE)</f>
        <v>#N/A</v>
      </c>
      <c r="K4027" s="22" t="e">
        <f>VLOOKUP($A4027, TAB_CORRECAO_C[[DIAS_CORRIDOS]:[V_FUT_UTEIS]],K$5, FALSE)</f>
        <v>#N/A</v>
      </c>
      <c r="L4027" s="22" t="e">
        <f>VLOOKUP($A4027, TAB_AMORTIZACAO_C[[DIAS_CORRIDOS]:[V_FUT_UTEIS]], L$5, FALSE)</f>
        <v>#N/A</v>
      </c>
    </row>
    <row r="4028" spans="1:12" hidden="1">
      <c r="A4028" s="19">
        <f t="shared" si="319"/>
        <v>4022</v>
      </c>
      <c r="B4028" s="20">
        <f t="shared" si="315"/>
        <v>0</v>
      </c>
      <c r="C4028" s="21">
        <f t="shared" si="316"/>
        <v>0</v>
      </c>
      <c r="D4028" s="22" t="e">
        <f>VLOOKUP($A4028, TAB_JUROS_U[[Q_DIAS_U_PARC_TIR]:[V_FUT_U_JURS CENARIO]], D$5, FALSE)</f>
        <v>#N/A</v>
      </c>
      <c r="E4028" s="22" t="e">
        <f>VLOOKUP($A4028,TAB_CORRECAO_U[[Q_DIAS_U_PARC_TIR]:[V_FUT_U_CORC-02]],E$5, FALSE)</f>
        <v>#N/A</v>
      </c>
      <c r="F4028" s="22" t="e">
        <f>VLOOKUP($A4028,TAB_AMORTIZACAO_U[[Q_DIAS_U_PARC_TIR]:[V_FUT_U_PCPL-02]], F$5, FALSE)</f>
        <v>#N/A</v>
      </c>
      <c r="H4028" s="20">
        <f t="shared" si="317"/>
        <v>0</v>
      </c>
      <c r="I4028" s="21">
        <f t="shared" si="318"/>
        <v>0</v>
      </c>
      <c r="J4028" s="22" t="e">
        <f>VLOOKUP($A4028, TAB_JUROS_C[[DIAS_CORRIDOS]:[V_FUT_UTEIS]], J$5, FALSE)</f>
        <v>#N/A</v>
      </c>
      <c r="K4028" s="22" t="e">
        <f>VLOOKUP($A4028, TAB_CORRECAO_C[[DIAS_CORRIDOS]:[V_FUT_UTEIS]],K$5, FALSE)</f>
        <v>#N/A</v>
      </c>
      <c r="L4028" s="22" t="e">
        <f>VLOOKUP($A4028, TAB_AMORTIZACAO_C[[DIAS_CORRIDOS]:[V_FUT_UTEIS]], L$5, FALSE)</f>
        <v>#N/A</v>
      </c>
    </row>
    <row r="4029" spans="1:12" hidden="1">
      <c r="A4029" s="19">
        <f t="shared" si="319"/>
        <v>4023</v>
      </c>
      <c r="B4029" s="20">
        <f t="shared" si="315"/>
        <v>0</v>
      </c>
      <c r="C4029" s="21">
        <f t="shared" si="316"/>
        <v>0</v>
      </c>
      <c r="D4029" s="22" t="e">
        <f>VLOOKUP($A4029, TAB_JUROS_U[[Q_DIAS_U_PARC_TIR]:[V_FUT_U_JURS CENARIO]], D$5, FALSE)</f>
        <v>#N/A</v>
      </c>
      <c r="E4029" s="22" t="e">
        <f>VLOOKUP($A4029,TAB_CORRECAO_U[[Q_DIAS_U_PARC_TIR]:[V_FUT_U_CORC-02]],E$5, FALSE)</f>
        <v>#N/A</v>
      </c>
      <c r="F4029" s="22" t="e">
        <f>VLOOKUP($A4029,TAB_AMORTIZACAO_U[[Q_DIAS_U_PARC_TIR]:[V_FUT_U_PCPL-02]], F$5, FALSE)</f>
        <v>#N/A</v>
      </c>
      <c r="H4029" s="20">
        <f t="shared" si="317"/>
        <v>0</v>
      </c>
      <c r="I4029" s="21">
        <f t="shared" si="318"/>
        <v>0</v>
      </c>
      <c r="J4029" s="22" t="e">
        <f>VLOOKUP($A4029, TAB_JUROS_C[[DIAS_CORRIDOS]:[V_FUT_UTEIS]], J$5, FALSE)</f>
        <v>#N/A</v>
      </c>
      <c r="K4029" s="22" t="e">
        <f>VLOOKUP($A4029, TAB_CORRECAO_C[[DIAS_CORRIDOS]:[V_FUT_UTEIS]],K$5, FALSE)</f>
        <v>#N/A</v>
      </c>
      <c r="L4029" s="22" t="e">
        <f>VLOOKUP($A4029, TAB_AMORTIZACAO_C[[DIAS_CORRIDOS]:[V_FUT_UTEIS]], L$5, FALSE)</f>
        <v>#N/A</v>
      </c>
    </row>
    <row r="4030" spans="1:12" hidden="1">
      <c r="A4030" s="19">
        <f t="shared" si="319"/>
        <v>4024</v>
      </c>
      <c r="B4030" s="20">
        <f t="shared" si="315"/>
        <v>0</v>
      </c>
      <c r="C4030" s="21">
        <f t="shared" si="316"/>
        <v>0</v>
      </c>
      <c r="D4030" s="22" t="e">
        <f>VLOOKUP($A4030, TAB_JUROS_U[[Q_DIAS_U_PARC_TIR]:[V_FUT_U_JURS CENARIO]], D$5, FALSE)</f>
        <v>#N/A</v>
      </c>
      <c r="E4030" s="22" t="e">
        <f>VLOOKUP($A4030,TAB_CORRECAO_U[[Q_DIAS_U_PARC_TIR]:[V_FUT_U_CORC-02]],E$5, FALSE)</f>
        <v>#N/A</v>
      </c>
      <c r="F4030" s="22" t="e">
        <f>VLOOKUP($A4030,TAB_AMORTIZACAO_U[[Q_DIAS_U_PARC_TIR]:[V_FUT_U_PCPL-02]], F$5, FALSE)</f>
        <v>#N/A</v>
      </c>
      <c r="H4030" s="20">
        <f t="shared" si="317"/>
        <v>0</v>
      </c>
      <c r="I4030" s="21">
        <f t="shared" si="318"/>
        <v>0</v>
      </c>
      <c r="J4030" s="22" t="e">
        <f>VLOOKUP($A4030, TAB_JUROS_C[[DIAS_CORRIDOS]:[V_FUT_UTEIS]], J$5, FALSE)</f>
        <v>#N/A</v>
      </c>
      <c r="K4030" s="22" t="e">
        <f>VLOOKUP($A4030, TAB_CORRECAO_C[[DIAS_CORRIDOS]:[V_FUT_UTEIS]],K$5, FALSE)</f>
        <v>#N/A</v>
      </c>
      <c r="L4030" s="22" t="e">
        <f>VLOOKUP($A4030, TAB_AMORTIZACAO_C[[DIAS_CORRIDOS]:[V_FUT_UTEIS]], L$5, FALSE)</f>
        <v>#N/A</v>
      </c>
    </row>
    <row r="4031" spans="1:12" hidden="1">
      <c r="A4031" s="19">
        <f t="shared" si="319"/>
        <v>4025</v>
      </c>
      <c r="B4031" s="20">
        <f t="shared" si="315"/>
        <v>0</v>
      </c>
      <c r="C4031" s="21">
        <f t="shared" si="316"/>
        <v>0</v>
      </c>
      <c r="D4031" s="22" t="e">
        <f>VLOOKUP($A4031, TAB_JUROS_U[[Q_DIAS_U_PARC_TIR]:[V_FUT_U_JURS CENARIO]], D$5, FALSE)</f>
        <v>#N/A</v>
      </c>
      <c r="E4031" s="22" t="e">
        <f>VLOOKUP($A4031,TAB_CORRECAO_U[[Q_DIAS_U_PARC_TIR]:[V_FUT_U_CORC-02]],E$5, FALSE)</f>
        <v>#N/A</v>
      </c>
      <c r="F4031" s="22" t="e">
        <f>VLOOKUP($A4031,TAB_AMORTIZACAO_U[[Q_DIAS_U_PARC_TIR]:[V_FUT_U_PCPL-02]], F$5, FALSE)</f>
        <v>#N/A</v>
      </c>
      <c r="H4031" s="20">
        <f t="shared" si="317"/>
        <v>0</v>
      </c>
      <c r="I4031" s="21">
        <f t="shared" si="318"/>
        <v>0</v>
      </c>
      <c r="J4031" s="22" t="e">
        <f>VLOOKUP($A4031, TAB_JUROS_C[[DIAS_CORRIDOS]:[V_FUT_UTEIS]], J$5, FALSE)</f>
        <v>#N/A</v>
      </c>
      <c r="K4031" s="22" t="e">
        <f>VLOOKUP($A4031, TAB_CORRECAO_C[[DIAS_CORRIDOS]:[V_FUT_UTEIS]],K$5, FALSE)</f>
        <v>#N/A</v>
      </c>
      <c r="L4031" s="22" t="e">
        <f>VLOOKUP($A4031, TAB_AMORTIZACAO_C[[DIAS_CORRIDOS]:[V_FUT_UTEIS]], L$5, FALSE)</f>
        <v>#N/A</v>
      </c>
    </row>
    <row r="4032" spans="1:12" hidden="1">
      <c r="A4032" s="19">
        <f t="shared" si="319"/>
        <v>4026</v>
      </c>
      <c r="B4032" s="20">
        <f t="shared" si="315"/>
        <v>0</v>
      </c>
      <c r="C4032" s="21">
        <f t="shared" si="316"/>
        <v>0</v>
      </c>
      <c r="D4032" s="22" t="e">
        <f>VLOOKUP($A4032, TAB_JUROS_U[[Q_DIAS_U_PARC_TIR]:[V_FUT_U_JURS CENARIO]], D$5, FALSE)</f>
        <v>#N/A</v>
      </c>
      <c r="E4032" s="22" t="e">
        <f>VLOOKUP($A4032,TAB_CORRECAO_U[[Q_DIAS_U_PARC_TIR]:[V_FUT_U_CORC-02]],E$5, FALSE)</f>
        <v>#N/A</v>
      </c>
      <c r="F4032" s="22" t="e">
        <f>VLOOKUP($A4032,TAB_AMORTIZACAO_U[[Q_DIAS_U_PARC_TIR]:[V_FUT_U_PCPL-02]], F$5, FALSE)</f>
        <v>#N/A</v>
      </c>
      <c r="H4032" s="20">
        <f t="shared" si="317"/>
        <v>0</v>
      </c>
      <c r="I4032" s="21">
        <f t="shared" si="318"/>
        <v>0</v>
      </c>
      <c r="J4032" s="22" t="e">
        <f>VLOOKUP($A4032, TAB_JUROS_C[[DIAS_CORRIDOS]:[V_FUT_UTEIS]], J$5, FALSE)</f>
        <v>#N/A</v>
      </c>
      <c r="K4032" s="22" t="e">
        <f>VLOOKUP($A4032, TAB_CORRECAO_C[[DIAS_CORRIDOS]:[V_FUT_UTEIS]],K$5, FALSE)</f>
        <v>#N/A</v>
      </c>
      <c r="L4032" s="22" t="e">
        <f>VLOOKUP($A4032, TAB_AMORTIZACAO_C[[DIAS_CORRIDOS]:[V_FUT_UTEIS]], L$5, FALSE)</f>
        <v>#N/A</v>
      </c>
    </row>
    <row r="4033" spans="1:12" hidden="1">
      <c r="A4033" s="19">
        <f t="shared" si="319"/>
        <v>4027</v>
      </c>
      <c r="B4033" s="20">
        <f t="shared" si="315"/>
        <v>0</v>
      </c>
      <c r="C4033" s="21">
        <f t="shared" si="316"/>
        <v>0</v>
      </c>
      <c r="D4033" s="22" t="e">
        <f>VLOOKUP($A4033, TAB_JUROS_U[[Q_DIAS_U_PARC_TIR]:[V_FUT_U_JURS CENARIO]], D$5, FALSE)</f>
        <v>#N/A</v>
      </c>
      <c r="E4033" s="22" t="e">
        <f>VLOOKUP($A4033,TAB_CORRECAO_U[[Q_DIAS_U_PARC_TIR]:[V_FUT_U_CORC-02]],E$5, FALSE)</f>
        <v>#N/A</v>
      </c>
      <c r="F4033" s="22" t="e">
        <f>VLOOKUP($A4033,TAB_AMORTIZACAO_U[[Q_DIAS_U_PARC_TIR]:[V_FUT_U_PCPL-02]], F$5, FALSE)</f>
        <v>#N/A</v>
      </c>
      <c r="H4033" s="20">
        <f t="shared" si="317"/>
        <v>0</v>
      </c>
      <c r="I4033" s="21">
        <f t="shared" si="318"/>
        <v>0</v>
      </c>
      <c r="J4033" s="22" t="e">
        <f>VLOOKUP($A4033, TAB_JUROS_C[[DIAS_CORRIDOS]:[V_FUT_UTEIS]], J$5, FALSE)</f>
        <v>#N/A</v>
      </c>
      <c r="K4033" s="22" t="e">
        <f>VLOOKUP($A4033, TAB_CORRECAO_C[[DIAS_CORRIDOS]:[V_FUT_UTEIS]],K$5, FALSE)</f>
        <v>#N/A</v>
      </c>
      <c r="L4033" s="22" t="e">
        <f>VLOOKUP($A4033, TAB_AMORTIZACAO_C[[DIAS_CORRIDOS]:[V_FUT_UTEIS]], L$5, FALSE)</f>
        <v>#N/A</v>
      </c>
    </row>
    <row r="4034" spans="1:12" hidden="1">
      <c r="A4034" s="19">
        <f t="shared" si="319"/>
        <v>4028</v>
      </c>
      <c r="B4034" s="20">
        <f t="shared" si="315"/>
        <v>0</v>
      </c>
      <c r="C4034" s="21">
        <f t="shared" si="316"/>
        <v>0</v>
      </c>
      <c r="D4034" s="22" t="e">
        <f>VLOOKUP($A4034, TAB_JUROS_U[[Q_DIAS_U_PARC_TIR]:[V_FUT_U_JURS CENARIO]], D$5, FALSE)</f>
        <v>#N/A</v>
      </c>
      <c r="E4034" s="22" t="e">
        <f>VLOOKUP($A4034,TAB_CORRECAO_U[[Q_DIAS_U_PARC_TIR]:[V_FUT_U_CORC-02]],E$5, FALSE)</f>
        <v>#N/A</v>
      </c>
      <c r="F4034" s="22" t="e">
        <f>VLOOKUP($A4034,TAB_AMORTIZACAO_U[[Q_DIAS_U_PARC_TIR]:[V_FUT_U_PCPL-02]], F$5, FALSE)</f>
        <v>#N/A</v>
      </c>
      <c r="H4034" s="20">
        <f t="shared" si="317"/>
        <v>0</v>
      </c>
      <c r="I4034" s="21">
        <f t="shared" si="318"/>
        <v>0</v>
      </c>
      <c r="J4034" s="22" t="e">
        <f>VLOOKUP($A4034, TAB_JUROS_C[[DIAS_CORRIDOS]:[V_FUT_UTEIS]], J$5, FALSE)</f>
        <v>#N/A</v>
      </c>
      <c r="K4034" s="22" t="e">
        <f>VLOOKUP($A4034, TAB_CORRECAO_C[[DIAS_CORRIDOS]:[V_FUT_UTEIS]],K$5, FALSE)</f>
        <v>#N/A</v>
      </c>
      <c r="L4034" s="22" t="e">
        <f>VLOOKUP($A4034, TAB_AMORTIZACAO_C[[DIAS_CORRIDOS]:[V_FUT_UTEIS]], L$5, FALSE)</f>
        <v>#N/A</v>
      </c>
    </row>
    <row r="4035" spans="1:12" hidden="1">
      <c r="A4035" s="19">
        <f t="shared" si="319"/>
        <v>4029</v>
      </c>
      <c r="B4035" s="20">
        <f t="shared" si="315"/>
        <v>0</v>
      </c>
      <c r="C4035" s="21">
        <f t="shared" si="316"/>
        <v>0</v>
      </c>
      <c r="D4035" s="22" t="e">
        <f>VLOOKUP($A4035, TAB_JUROS_U[[Q_DIAS_U_PARC_TIR]:[V_FUT_U_JURS CENARIO]], D$5, FALSE)</f>
        <v>#N/A</v>
      </c>
      <c r="E4035" s="22" t="e">
        <f>VLOOKUP($A4035,TAB_CORRECAO_U[[Q_DIAS_U_PARC_TIR]:[V_FUT_U_CORC-02]],E$5, FALSE)</f>
        <v>#N/A</v>
      </c>
      <c r="F4035" s="22" t="e">
        <f>VLOOKUP($A4035,TAB_AMORTIZACAO_U[[Q_DIAS_U_PARC_TIR]:[V_FUT_U_PCPL-02]], F$5, FALSE)</f>
        <v>#N/A</v>
      </c>
      <c r="H4035" s="20">
        <f t="shared" si="317"/>
        <v>0</v>
      </c>
      <c r="I4035" s="21">
        <f t="shared" si="318"/>
        <v>0</v>
      </c>
      <c r="J4035" s="22" t="e">
        <f>VLOOKUP($A4035, TAB_JUROS_C[[DIAS_CORRIDOS]:[V_FUT_UTEIS]], J$5, FALSE)</f>
        <v>#N/A</v>
      </c>
      <c r="K4035" s="22" t="e">
        <f>VLOOKUP($A4035, TAB_CORRECAO_C[[DIAS_CORRIDOS]:[V_FUT_UTEIS]],K$5, FALSE)</f>
        <v>#N/A</v>
      </c>
      <c r="L4035" s="22" t="e">
        <f>VLOOKUP($A4035, TAB_AMORTIZACAO_C[[DIAS_CORRIDOS]:[V_FUT_UTEIS]], L$5, FALSE)</f>
        <v>#N/A</v>
      </c>
    </row>
    <row r="4036" spans="1:12" hidden="1">
      <c r="A4036" s="19">
        <f t="shared" si="319"/>
        <v>4030</v>
      </c>
      <c r="B4036" s="20">
        <f t="shared" si="315"/>
        <v>0</v>
      </c>
      <c r="C4036" s="21">
        <f t="shared" si="316"/>
        <v>0</v>
      </c>
      <c r="D4036" s="22" t="e">
        <f>VLOOKUP($A4036, TAB_JUROS_U[[Q_DIAS_U_PARC_TIR]:[V_FUT_U_JURS CENARIO]], D$5, FALSE)</f>
        <v>#N/A</v>
      </c>
      <c r="E4036" s="22" t="e">
        <f>VLOOKUP($A4036,TAB_CORRECAO_U[[Q_DIAS_U_PARC_TIR]:[V_FUT_U_CORC-02]],E$5, FALSE)</f>
        <v>#N/A</v>
      </c>
      <c r="F4036" s="22" t="e">
        <f>VLOOKUP($A4036,TAB_AMORTIZACAO_U[[Q_DIAS_U_PARC_TIR]:[V_FUT_U_PCPL-02]], F$5, FALSE)</f>
        <v>#N/A</v>
      </c>
      <c r="H4036" s="20">
        <f t="shared" si="317"/>
        <v>0</v>
      </c>
      <c r="I4036" s="21">
        <f t="shared" si="318"/>
        <v>0</v>
      </c>
      <c r="J4036" s="22" t="e">
        <f>VLOOKUP($A4036, TAB_JUROS_C[[DIAS_CORRIDOS]:[V_FUT_UTEIS]], J$5, FALSE)</f>
        <v>#N/A</v>
      </c>
      <c r="K4036" s="22" t="e">
        <f>VLOOKUP($A4036, TAB_CORRECAO_C[[DIAS_CORRIDOS]:[V_FUT_UTEIS]],K$5, FALSE)</f>
        <v>#N/A</v>
      </c>
      <c r="L4036" s="22" t="e">
        <f>VLOOKUP($A4036, TAB_AMORTIZACAO_C[[DIAS_CORRIDOS]:[V_FUT_UTEIS]], L$5, FALSE)</f>
        <v>#N/A</v>
      </c>
    </row>
    <row r="4037" spans="1:12" hidden="1">
      <c r="A4037" s="19">
        <f t="shared" si="319"/>
        <v>4031</v>
      </c>
      <c r="B4037" s="20">
        <f t="shared" si="315"/>
        <v>0</v>
      </c>
      <c r="C4037" s="21">
        <f t="shared" si="316"/>
        <v>0</v>
      </c>
      <c r="D4037" s="22" t="e">
        <f>VLOOKUP($A4037, TAB_JUROS_U[[Q_DIAS_U_PARC_TIR]:[V_FUT_U_JURS CENARIO]], D$5, FALSE)</f>
        <v>#N/A</v>
      </c>
      <c r="E4037" s="22" t="e">
        <f>VLOOKUP($A4037,TAB_CORRECAO_U[[Q_DIAS_U_PARC_TIR]:[V_FUT_U_CORC-02]],E$5, FALSE)</f>
        <v>#N/A</v>
      </c>
      <c r="F4037" s="22" t="e">
        <f>VLOOKUP($A4037,TAB_AMORTIZACAO_U[[Q_DIAS_U_PARC_TIR]:[V_FUT_U_PCPL-02]], F$5, FALSE)</f>
        <v>#N/A</v>
      </c>
      <c r="H4037" s="20">
        <f t="shared" si="317"/>
        <v>0</v>
      </c>
      <c r="I4037" s="21">
        <f t="shared" si="318"/>
        <v>0</v>
      </c>
      <c r="J4037" s="22" t="e">
        <f>VLOOKUP($A4037, TAB_JUROS_C[[DIAS_CORRIDOS]:[V_FUT_UTEIS]], J$5, FALSE)</f>
        <v>#N/A</v>
      </c>
      <c r="K4037" s="22" t="e">
        <f>VLOOKUP($A4037, TAB_CORRECAO_C[[DIAS_CORRIDOS]:[V_FUT_UTEIS]],K$5, FALSE)</f>
        <v>#N/A</v>
      </c>
      <c r="L4037" s="22" t="e">
        <f>VLOOKUP($A4037, TAB_AMORTIZACAO_C[[DIAS_CORRIDOS]:[V_FUT_UTEIS]], L$5, FALSE)</f>
        <v>#N/A</v>
      </c>
    </row>
    <row r="4038" spans="1:12" hidden="1">
      <c r="A4038" s="19">
        <f t="shared" si="319"/>
        <v>4032</v>
      </c>
      <c r="B4038" s="20">
        <f t="shared" si="315"/>
        <v>0</v>
      </c>
      <c r="C4038" s="21">
        <f t="shared" si="316"/>
        <v>0</v>
      </c>
      <c r="D4038" s="22" t="e">
        <f>VLOOKUP($A4038, TAB_JUROS_U[[Q_DIAS_U_PARC_TIR]:[V_FUT_U_JURS CENARIO]], D$5, FALSE)</f>
        <v>#N/A</v>
      </c>
      <c r="E4038" s="22" t="e">
        <f>VLOOKUP($A4038,TAB_CORRECAO_U[[Q_DIAS_U_PARC_TIR]:[V_FUT_U_CORC-02]],E$5, FALSE)</f>
        <v>#N/A</v>
      </c>
      <c r="F4038" s="22" t="e">
        <f>VLOOKUP($A4038,TAB_AMORTIZACAO_U[[Q_DIAS_U_PARC_TIR]:[V_FUT_U_PCPL-02]], F$5, FALSE)</f>
        <v>#N/A</v>
      </c>
      <c r="H4038" s="20">
        <f t="shared" si="317"/>
        <v>121.57382331805726</v>
      </c>
      <c r="I4038" s="21">
        <f t="shared" si="318"/>
        <v>121.57382331805726</v>
      </c>
      <c r="J4038" s="22">
        <f>VLOOKUP($A4038, TAB_JUROS_C[[DIAS_CORRIDOS]:[V_FUT_UTEIS]], J$5, FALSE)</f>
        <v>2.5635821729146926</v>
      </c>
      <c r="K4038" s="22">
        <f>VLOOKUP($A4038, TAB_CORRECAO_C[[DIAS_CORRIDOS]:[V_FUT_UTEIS]],K$5, FALSE)</f>
        <v>15.8768303585427</v>
      </c>
      <c r="L4038" s="22">
        <f>VLOOKUP($A4038, TAB_AMORTIZACAO_C[[DIAS_CORRIDOS]:[V_FUT_UTEIS]], L$5, FALSE)</f>
        <v>103.13341078659988</v>
      </c>
    </row>
    <row r="4039" spans="1:12" hidden="1">
      <c r="A4039" s="19">
        <f t="shared" si="319"/>
        <v>4033</v>
      </c>
      <c r="B4039" s="20">
        <f t="shared" si="315"/>
        <v>0</v>
      </c>
      <c r="C4039" s="21">
        <f t="shared" si="316"/>
        <v>0</v>
      </c>
      <c r="D4039" s="22" t="e">
        <f>VLOOKUP($A4039, TAB_JUROS_U[[Q_DIAS_U_PARC_TIR]:[V_FUT_U_JURS CENARIO]], D$5, FALSE)</f>
        <v>#N/A</v>
      </c>
      <c r="E4039" s="22" t="e">
        <f>VLOOKUP($A4039,TAB_CORRECAO_U[[Q_DIAS_U_PARC_TIR]:[V_FUT_U_CORC-02]],E$5, FALSE)</f>
        <v>#N/A</v>
      </c>
      <c r="F4039" s="22" t="e">
        <f>VLOOKUP($A4039,TAB_AMORTIZACAO_U[[Q_DIAS_U_PARC_TIR]:[V_FUT_U_PCPL-02]], F$5, FALSE)</f>
        <v>#N/A</v>
      </c>
      <c r="H4039" s="20">
        <f t="shared" si="317"/>
        <v>0</v>
      </c>
      <c r="I4039" s="21">
        <f t="shared" si="318"/>
        <v>0</v>
      </c>
      <c r="J4039" s="22" t="e">
        <f>VLOOKUP($A4039, TAB_JUROS_C[[DIAS_CORRIDOS]:[V_FUT_UTEIS]], J$5, FALSE)</f>
        <v>#N/A</v>
      </c>
      <c r="K4039" s="22" t="e">
        <f>VLOOKUP($A4039, TAB_CORRECAO_C[[DIAS_CORRIDOS]:[V_FUT_UTEIS]],K$5, FALSE)</f>
        <v>#N/A</v>
      </c>
      <c r="L4039" s="22" t="e">
        <f>VLOOKUP($A4039, TAB_AMORTIZACAO_C[[DIAS_CORRIDOS]:[V_FUT_UTEIS]], L$5, FALSE)</f>
        <v>#N/A</v>
      </c>
    </row>
    <row r="4040" spans="1:12" hidden="1">
      <c r="A4040" s="19">
        <f t="shared" si="319"/>
        <v>4034</v>
      </c>
      <c r="B4040" s="20">
        <f t="shared" si="315"/>
        <v>0</v>
      </c>
      <c r="C4040" s="21">
        <f t="shared" si="316"/>
        <v>0</v>
      </c>
      <c r="D4040" s="22" t="e">
        <f>VLOOKUP($A4040, TAB_JUROS_U[[Q_DIAS_U_PARC_TIR]:[V_FUT_U_JURS CENARIO]], D$5, FALSE)</f>
        <v>#N/A</v>
      </c>
      <c r="E4040" s="22" t="e">
        <f>VLOOKUP($A4040,TAB_CORRECAO_U[[Q_DIAS_U_PARC_TIR]:[V_FUT_U_CORC-02]],E$5, FALSE)</f>
        <v>#N/A</v>
      </c>
      <c r="F4040" s="22" t="e">
        <f>VLOOKUP($A4040,TAB_AMORTIZACAO_U[[Q_DIAS_U_PARC_TIR]:[V_FUT_U_PCPL-02]], F$5, FALSE)</f>
        <v>#N/A</v>
      </c>
      <c r="H4040" s="20">
        <f t="shared" si="317"/>
        <v>0</v>
      </c>
      <c r="I4040" s="21">
        <f t="shared" si="318"/>
        <v>0</v>
      </c>
      <c r="J4040" s="22" t="e">
        <f>VLOOKUP($A4040, TAB_JUROS_C[[DIAS_CORRIDOS]:[V_FUT_UTEIS]], J$5, FALSE)</f>
        <v>#N/A</v>
      </c>
      <c r="K4040" s="22" t="e">
        <f>VLOOKUP($A4040, TAB_CORRECAO_C[[DIAS_CORRIDOS]:[V_FUT_UTEIS]],K$5, FALSE)</f>
        <v>#N/A</v>
      </c>
      <c r="L4040" s="22" t="e">
        <f>VLOOKUP($A4040, TAB_AMORTIZACAO_C[[DIAS_CORRIDOS]:[V_FUT_UTEIS]], L$5, FALSE)</f>
        <v>#N/A</v>
      </c>
    </row>
    <row r="4041" spans="1:12" hidden="1">
      <c r="A4041" s="19">
        <f t="shared" si="319"/>
        <v>4035</v>
      </c>
      <c r="B4041" s="20">
        <f t="shared" ref="B4041:B4104" si="320">IF(ISERROR(C4041), 0, C4041)</f>
        <v>0</v>
      </c>
      <c r="C4041" s="21">
        <f t="shared" ref="C4041:C4104" si="321">SUMIF(D4041:F4041, "&gt;0", D4041:F4041)</f>
        <v>0</v>
      </c>
      <c r="D4041" s="22" t="e">
        <f>VLOOKUP($A4041, TAB_JUROS_U[[Q_DIAS_U_PARC_TIR]:[V_FUT_U_JURS CENARIO]], D$5, FALSE)</f>
        <v>#N/A</v>
      </c>
      <c r="E4041" s="22" t="e">
        <f>VLOOKUP($A4041,TAB_CORRECAO_U[[Q_DIAS_U_PARC_TIR]:[V_FUT_U_CORC-02]],E$5, FALSE)</f>
        <v>#N/A</v>
      </c>
      <c r="F4041" s="22" t="e">
        <f>VLOOKUP($A4041,TAB_AMORTIZACAO_U[[Q_DIAS_U_PARC_TIR]:[V_FUT_U_PCPL-02]], F$5, FALSE)</f>
        <v>#N/A</v>
      </c>
      <c r="H4041" s="20">
        <f t="shared" ref="H4041:H4104" si="322">IF(ISERROR(I4041), 0, I4041)</f>
        <v>0</v>
      </c>
      <c r="I4041" s="21">
        <f t="shared" ref="I4041:I4104" si="323">SUMIF(J4041:L4041, "&gt;0", J4041:L4041)</f>
        <v>0</v>
      </c>
      <c r="J4041" s="22" t="e">
        <f>VLOOKUP($A4041, TAB_JUROS_C[[DIAS_CORRIDOS]:[V_FUT_UTEIS]], J$5, FALSE)</f>
        <v>#N/A</v>
      </c>
      <c r="K4041" s="22" t="e">
        <f>VLOOKUP($A4041, TAB_CORRECAO_C[[DIAS_CORRIDOS]:[V_FUT_UTEIS]],K$5, FALSE)</f>
        <v>#N/A</v>
      </c>
      <c r="L4041" s="22" t="e">
        <f>VLOOKUP($A4041, TAB_AMORTIZACAO_C[[DIAS_CORRIDOS]:[V_FUT_UTEIS]], L$5, FALSE)</f>
        <v>#N/A</v>
      </c>
    </row>
    <row r="4042" spans="1:12" hidden="1">
      <c r="A4042" s="19">
        <f t="shared" ref="A4042:A4105" si="324">A4041+1</f>
        <v>4036</v>
      </c>
      <c r="B4042" s="20">
        <f t="shared" si="320"/>
        <v>0</v>
      </c>
      <c r="C4042" s="21">
        <f t="shared" si="321"/>
        <v>0</v>
      </c>
      <c r="D4042" s="22" t="e">
        <f>VLOOKUP($A4042, TAB_JUROS_U[[Q_DIAS_U_PARC_TIR]:[V_FUT_U_JURS CENARIO]], D$5, FALSE)</f>
        <v>#N/A</v>
      </c>
      <c r="E4042" s="22" t="e">
        <f>VLOOKUP($A4042,TAB_CORRECAO_U[[Q_DIAS_U_PARC_TIR]:[V_FUT_U_CORC-02]],E$5, FALSE)</f>
        <v>#N/A</v>
      </c>
      <c r="F4042" s="22" t="e">
        <f>VLOOKUP($A4042,TAB_AMORTIZACAO_U[[Q_DIAS_U_PARC_TIR]:[V_FUT_U_PCPL-02]], F$5, FALSE)</f>
        <v>#N/A</v>
      </c>
      <c r="H4042" s="20">
        <f t="shared" si="322"/>
        <v>0</v>
      </c>
      <c r="I4042" s="21">
        <f t="shared" si="323"/>
        <v>0</v>
      </c>
      <c r="J4042" s="22" t="e">
        <f>VLOOKUP($A4042, TAB_JUROS_C[[DIAS_CORRIDOS]:[V_FUT_UTEIS]], J$5, FALSE)</f>
        <v>#N/A</v>
      </c>
      <c r="K4042" s="22" t="e">
        <f>VLOOKUP($A4042, TAB_CORRECAO_C[[DIAS_CORRIDOS]:[V_FUT_UTEIS]],K$5, FALSE)</f>
        <v>#N/A</v>
      </c>
      <c r="L4042" s="22" t="e">
        <f>VLOOKUP($A4042, TAB_AMORTIZACAO_C[[DIAS_CORRIDOS]:[V_FUT_UTEIS]], L$5, FALSE)</f>
        <v>#N/A</v>
      </c>
    </row>
    <row r="4043" spans="1:12" hidden="1">
      <c r="A4043" s="19">
        <f t="shared" si="324"/>
        <v>4037</v>
      </c>
      <c r="B4043" s="20">
        <f t="shared" si="320"/>
        <v>0</v>
      </c>
      <c r="C4043" s="21">
        <f t="shared" si="321"/>
        <v>0</v>
      </c>
      <c r="D4043" s="22" t="e">
        <f>VLOOKUP($A4043, TAB_JUROS_U[[Q_DIAS_U_PARC_TIR]:[V_FUT_U_JURS CENARIO]], D$5, FALSE)</f>
        <v>#N/A</v>
      </c>
      <c r="E4043" s="22" t="e">
        <f>VLOOKUP($A4043,TAB_CORRECAO_U[[Q_DIAS_U_PARC_TIR]:[V_FUT_U_CORC-02]],E$5, FALSE)</f>
        <v>#N/A</v>
      </c>
      <c r="F4043" s="22" t="e">
        <f>VLOOKUP($A4043,TAB_AMORTIZACAO_U[[Q_DIAS_U_PARC_TIR]:[V_FUT_U_PCPL-02]], F$5, FALSE)</f>
        <v>#N/A</v>
      </c>
      <c r="H4043" s="20">
        <f t="shared" si="322"/>
        <v>0</v>
      </c>
      <c r="I4043" s="21">
        <f t="shared" si="323"/>
        <v>0</v>
      </c>
      <c r="J4043" s="22" t="e">
        <f>VLOOKUP($A4043, TAB_JUROS_C[[DIAS_CORRIDOS]:[V_FUT_UTEIS]], J$5, FALSE)</f>
        <v>#N/A</v>
      </c>
      <c r="K4043" s="22" t="e">
        <f>VLOOKUP($A4043, TAB_CORRECAO_C[[DIAS_CORRIDOS]:[V_FUT_UTEIS]],K$5, FALSE)</f>
        <v>#N/A</v>
      </c>
      <c r="L4043" s="22" t="e">
        <f>VLOOKUP($A4043, TAB_AMORTIZACAO_C[[DIAS_CORRIDOS]:[V_FUT_UTEIS]], L$5, FALSE)</f>
        <v>#N/A</v>
      </c>
    </row>
    <row r="4044" spans="1:12" hidden="1">
      <c r="A4044" s="19">
        <f t="shared" si="324"/>
        <v>4038</v>
      </c>
      <c r="B4044" s="20">
        <f t="shared" si="320"/>
        <v>0</v>
      </c>
      <c r="C4044" s="21">
        <f t="shared" si="321"/>
        <v>0</v>
      </c>
      <c r="D4044" s="22" t="e">
        <f>VLOOKUP($A4044, TAB_JUROS_U[[Q_DIAS_U_PARC_TIR]:[V_FUT_U_JURS CENARIO]], D$5, FALSE)</f>
        <v>#N/A</v>
      </c>
      <c r="E4044" s="22" t="e">
        <f>VLOOKUP($A4044,TAB_CORRECAO_U[[Q_DIAS_U_PARC_TIR]:[V_FUT_U_CORC-02]],E$5, FALSE)</f>
        <v>#N/A</v>
      </c>
      <c r="F4044" s="22" t="e">
        <f>VLOOKUP($A4044,TAB_AMORTIZACAO_U[[Q_DIAS_U_PARC_TIR]:[V_FUT_U_PCPL-02]], F$5, FALSE)</f>
        <v>#N/A</v>
      </c>
      <c r="H4044" s="20">
        <f t="shared" si="322"/>
        <v>0</v>
      </c>
      <c r="I4044" s="21">
        <f t="shared" si="323"/>
        <v>0</v>
      </c>
      <c r="J4044" s="22" t="e">
        <f>VLOOKUP($A4044, TAB_JUROS_C[[DIAS_CORRIDOS]:[V_FUT_UTEIS]], J$5, FALSE)</f>
        <v>#N/A</v>
      </c>
      <c r="K4044" s="22" t="e">
        <f>VLOOKUP($A4044, TAB_CORRECAO_C[[DIAS_CORRIDOS]:[V_FUT_UTEIS]],K$5, FALSE)</f>
        <v>#N/A</v>
      </c>
      <c r="L4044" s="22" t="e">
        <f>VLOOKUP($A4044, TAB_AMORTIZACAO_C[[DIAS_CORRIDOS]:[V_FUT_UTEIS]], L$5, FALSE)</f>
        <v>#N/A</v>
      </c>
    </row>
    <row r="4045" spans="1:12" hidden="1">
      <c r="A4045" s="19">
        <f t="shared" si="324"/>
        <v>4039</v>
      </c>
      <c r="B4045" s="20">
        <f t="shared" si="320"/>
        <v>0</v>
      </c>
      <c r="C4045" s="21">
        <f t="shared" si="321"/>
        <v>0</v>
      </c>
      <c r="D4045" s="22" t="e">
        <f>VLOOKUP($A4045, TAB_JUROS_U[[Q_DIAS_U_PARC_TIR]:[V_FUT_U_JURS CENARIO]], D$5, FALSE)</f>
        <v>#N/A</v>
      </c>
      <c r="E4045" s="22" t="e">
        <f>VLOOKUP($A4045,TAB_CORRECAO_U[[Q_DIAS_U_PARC_TIR]:[V_FUT_U_CORC-02]],E$5, FALSE)</f>
        <v>#N/A</v>
      </c>
      <c r="F4045" s="22" t="e">
        <f>VLOOKUP($A4045,TAB_AMORTIZACAO_U[[Q_DIAS_U_PARC_TIR]:[V_FUT_U_PCPL-02]], F$5, FALSE)</f>
        <v>#N/A</v>
      </c>
      <c r="H4045" s="20">
        <f t="shared" si="322"/>
        <v>0</v>
      </c>
      <c r="I4045" s="21">
        <f t="shared" si="323"/>
        <v>0</v>
      </c>
      <c r="J4045" s="22" t="e">
        <f>VLOOKUP($A4045, TAB_JUROS_C[[DIAS_CORRIDOS]:[V_FUT_UTEIS]], J$5, FALSE)</f>
        <v>#N/A</v>
      </c>
      <c r="K4045" s="22" t="e">
        <f>VLOOKUP($A4045, TAB_CORRECAO_C[[DIAS_CORRIDOS]:[V_FUT_UTEIS]],K$5, FALSE)</f>
        <v>#N/A</v>
      </c>
      <c r="L4045" s="22" t="e">
        <f>VLOOKUP($A4045, TAB_AMORTIZACAO_C[[DIAS_CORRIDOS]:[V_FUT_UTEIS]], L$5, FALSE)</f>
        <v>#N/A</v>
      </c>
    </row>
    <row r="4046" spans="1:12" hidden="1">
      <c r="A4046" s="19">
        <f t="shared" si="324"/>
        <v>4040</v>
      </c>
      <c r="B4046" s="20">
        <f t="shared" si="320"/>
        <v>0</v>
      </c>
      <c r="C4046" s="21">
        <f t="shared" si="321"/>
        <v>0</v>
      </c>
      <c r="D4046" s="22" t="e">
        <f>VLOOKUP($A4046, TAB_JUROS_U[[Q_DIAS_U_PARC_TIR]:[V_FUT_U_JURS CENARIO]], D$5, FALSE)</f>
        <v>#N/A</v>
      </c>
      <c r="E4046" s="22" t="e">
        <f>VLOOKUP($A4046,TAB_CORRECAO_U[[Q_DIAS_U_PARC_TIR]:[V_FUT_U_CORC-02]],E$5, FALSE)</f>
        <v>#N/A</v>
      </c>
      <c r="F4046" s="22" t="e">
        <f>VLOOKUP($A4046,TAB_AMORTIZACAO_U[[Q_DIAS_U_PARC_TIR]:[V_FUT_U_PCPL-02]], F$5, FALSE)</f>
        <v>#N/A</v>
      </c>
      <c r="H4046" s="20">
        <f t="shared" si="322"/>
        <v>0</v>
      </c>
      <c r="I4046" s="21">
        <f t="shared" si="323"/>
        <v>0</v>
      </c>
      <c r="J4046" s="22" t="e">
        <f>VLOOKUP($A4046, TAB_JUROS_C[[DIAS_CORRIDOS]:[V_FUT_UTEIS]], J$5, FALSE)</f>
        <v>#N/A</v>
      </c>
      <c r="K4046" s="22" t="e">
        <f>VLOOKUP($A4046, TAB_CORRECAO_C[[DIAS_CORRIDOS]:[V_FUT_UTEIS]],K$5, FALSE)</f>
        <v>#N/A</v>
      </c>
      <c r="L4046" s="22" t="e">
        <f>VLOOKUP($A4046, TAB_AMORTIZACAO_C[[DIAS_CORRIDOS]:[V_FUT_UTEIS]], L$5, FALSE)</f>
        <v>#N/A</v>
      </c>
    </row>
    <row r="4047" spans="1:12" hidden="1">
      <c r="A4047" s="19">
        <f t="shared" si="324"/>
        <v>4041</v>
      </c>
      <c r="B4047" s="20">
        <f t="shared" si="320"/>
        <v>0</v>
      </c>
      <c r="C4047" s="21">
        <f t="shared" si="321"/>
        <v>0</v>
      </c>
      <c r="D4047" s="22" t="e">
        <f>VLOOKUP($A4047, TAB_JUROS_U[[Q_DIAS_U_PARC_TIR]:[V_FUT_U_JURS CENARIO]], D$5, FALSE)</f>
        <v>#N/A</v>
      </c>
      <c r="E4047" s="22" t="e">
        <f>VLOOKUP($A4047,TAB_CORRECAO_U[[Q_DIAS_U_PARC_TIR]:[V_FUT_U_CORC-02]],E$5, FALSE)</f>
        <v>#N/A</v>
      </c>
      <c r="F4047" s="22" t="e">
        <f>VLOOKUP($A4047,TAB_AMORTIZACAO_U[[Q_DIAS_U_PARC_TIR]:[V_FUT_U_PCPL-02]], F$5, FALSE)</f>
        <v>#N/A</v>
      </c>
      <c r="H4047" s="20">
        <f t="shared" si="322"/>
        <v>0</v>
      </c>
      <c r="I4047" s="21">
        <f t="shared" si="323"/>
        <v>0</v>
      </c>
      <c r="J4047" s="22" t="e">
        <f>VLOOKUP($A4047, TAB_JUROS_C[[DIAS_CORRIDOS]:[V_FUT_UTEIS]], J$5, FALSE)</f>
        <v>#N/A</v>
      </c>
      <c r="K4047" s="22" t="e">
        <f>VLOOKUP($A4047, TAB_CORRECAO_C[[DIAS_CORRIDOS]:[V_FUT_UTEIS]],K$5, FALSE)</f>
        <v>#N/A</v>
      </c>
      <c r="L4047" s="22" t="e">
        <f>VLOOKUP($A4047, TAB_AMORTIZACAO_C[[DIAS_CORRIDOS]:[V_FUT_UTEIS]], L$5, FALSE)</f>
        <v>#N/A</v>
      </c>
    </row>
    <row r="4048" spans="1:12" hidden="1">
      <c r="A4048" s="19">
        <f t="shared" si="324"/>
        <v>4042</v>
      </c>
      <c r="B4048" s="20">
        <f t="shared" si="320"/>
        <v>0</v>
      </c>
      <c r="C4048" s="21">
        <f t="shared" si="321"/>
        <v>0</v>
      </c>
      <c r="D4048" s="22" t="e">
        <f>VLOOKUP($A4048, TAB_JUROS_U[[Q_DIAS_U_PARC_TIR]:[V_FUT_U_JURS CENARIO]], D$5, FALSE)</f>
        <v>#N/A</v>
      </c>
      <c r="E4048" s="22" t="e">
        <f>VLOOKUP($A4048,TAB_CORRECAO_U[[Q_DIAS_U_PARC_TIR]:[V_FUT_U_CORC-02]],E$5, FALSE)</f>
        <v>#N/A</v>
      </c>
      <c r="F4048" s="22" t="e">
        <f>VLOOKUP($A4048,TAB_AMORTIZACAO_U[[Q_DIAS_U_PARC_TIR]:[V_FUT_U_PCPL-02]], F$5, FALSE)</f>
        <v>#N/A</v>
      </c>
      <c r="H4048" s="20">
        <f t="shared" si="322"/>
        <v>0</v>
      </c>
      <c r="I4048" s="21">
        <f t="shared" si="323"/>
        <v>0</v>
      </c>
      <c r="J4048" s="22" t="e">
        <f>VLOOKUP($A4048, TAB_JUROS_C[[DIAS_CORRIDOS]:[V_FUT_UTEIS]], J$5, FALSE)</f>
        <v>#N/A</v>
      </c>
      <c r="K4048" s="22" t="e">
        <f>VLOOKUP($A4048, TAB_CORRECAO_C[[DIAS_CORRIDOS]:[V_FUT_UTEIS]],K$5, FALSE)</f>
        <v>#N/A</v>
      </c>
      <c r="L4048" s="22" t="e">
        <f>VLOOKUP($A4048, TAB_AMORTIZACAO_C[[DIAS_CORRIDOS]:[V_FUT_UTEIS]], L$5, FALSE)</f>
        <v>#N/A</v>
      </c>
    </row>
    <row r="4049" spans="1:12" hidden="1">
      <c r="A4049" s="19">
        <f t="shared" si="324"/>
        <v>4043</v>
      </c>
      <c r="B4049" s="20">
        <f t="shared" si="320"/>
        <v>0</v>
      </c>
      <c r="C4049" s="21">
        <f t="shared" si="321"/>
        <v>0</v>
      </c>
      <c r="D4049" s="22" t="e">
        <f>VLOOKUP($A4049, TAB_JUROS_U[[Q_DIAS_U_PARC_TIR]:[V_FUT_U_JURS CENARIO]], D$5, FALSE)</f>
        <v>#N/A</v>
      </c>
      <c r="E4049" s="22" t="e">
        <f>VLOOKUP($A4049,TAB_CORRECAO_U[[Q_DIAS_U_PARC_TIR]:[V_FUT_U_CORC-02]],E$5, FALSE)</f>
        <v>#N/A</v>
      </c>
      <c r="F4049" s="22" t="e">
        <f>VLOOKUP($A4049,TAB_AMORTIZACAO_U[[Q_DIAS_U_PARC_TIR]:[V_FUT_U_PCPL-02]], F$5, FALSE)</f>
        <v>#N/A</v>
      </c>
      <c r="H4049" s="20">
        <f t="shared" si="322"/>
        <v>0</v>
      </c>
      <c r="I4049" s="21">
        <f t="shared" si="323"/>
        <v>0</v>
      </c>
      <c r="J4049" s="22" t="e">
        <f>VLOOKUP($A4049, TAB_JUROS_C[[DIAS_CORRIDOS]:[V_FUT_UTEIS]], J$5, FALSE)</f>
        <v>#N/A</v>
      </c>
      <c r="K4049" s="22" t="e">
        <f>VLOOKUP($A4049, TAB_CORRECAO_C[[DIAS_CORRIDOS]:[V_FUT_UTEIS]],K$5, FALSE)</f>
        <v>#N/A</v>
      </c>
      <c r="L4049" s="22" t="e">
        <f>VLOOKUP($A4049, TAB_AMORTIZACAO_C[[DIAS_CORRIDOS]:[V_FUT_UTEIS]], L$5, FALSE)</f>
        <v>#N/A</v>
      </c>
    </row>
    <row r="4050" spans="1:12" hidden="1">
      <c r="A4050" s="19">
        <f t="shared" si="324"/>
        <v>4044</v>
      </c>
      <c r="B4050" s="20">
        <f t="shared" si="320"/>
        <v>0</v>
      </c>
      <c r="C4050" s="21">
        <f t="shared" si="321"/>
        <v>0</v>
      </c>
      <c r="D4050" s="22" t="e">
        <f>VLOOKUP($A4050, TAB_JUROS_U[[Q_DIAS_U_PARC_TIR]:[V_FUT_U_JURS CENARIO]], D$5, FALSE)</f>
        <v>#N/A</v>
      </c>
      <c r="E4050" s="22" t="e">
        <f>VLOOKUP($A4050,TAB_CORRECAO_U[[Q_DIAS_U_PARC_TIR]:[V_FUT_U_CORC-02]],E$5, FALSE)</f>
        <v>#N/A</v>
      </c>
      <c r="F4050" s="22" t="e">
        <f>VLOOKUP($A4050,TAB_AMORTIZACAO_U[[Q_DIAS_U_PARC_TIR]:[V_FUT_U_PCPL-02]], F$5, FALSE)</f>
        <v>#N/A</v>
      </c>
      <c r="H4050" s="20">
        <f t="shared" si="322"/>
        <v>0</v>
      </c>
      <c r="I4050" s="21">
        <f t="shared" si="323"/>
        <v>0</v>
      </c>
      <c r="J4050" s="22" t="e">
        <f>VLOOKUP($A4050, TAB_JUROS_C[[DIAS_CORRIDOS]:[V_FUT_UTEIS]], J$5, FALSE)</f>
        <v>#N/A</v>
      </c>
      <c r="K4050" s="22" t="e">
        <f>VLOOKUP($A4050, TAB_CORRECAO_C[[DIAS_CORRIDOS]:[V_FUT_UTEIS]],K$5, FALSE)</f>
        <v>#N/A</v>
      </c>
      <c r="L4050" s="22" t="e">
        <f>VLOOKUP($A4050, TAB_AMORTIZACAO_C[[DIAS_CORRIDOS]:[V_FUT_UTEIS]], L$5, FALSE)</f>
        <v>#N/A</v>
      </c>
    </row>
    <row r="4051" spans="1:12" hidden="1">
      <c r="A4051" s="19">
        <f t="shared" si="324"/>
        <v>4045</v>
      </c>
      <c r="B4051" s="20">
        <f t="shared" si="320"/>
        <v>0</v>
      </c>
      <c r="C4051" s="21">
        <f t="shared" si="321"/>
        <v>0</v>
      </c>
      <c r="D4051" s="22" t="e">
        <f>VLOOKUP($A4051, TAB_JUROS_U[[Q_DIAS_U_PARC_TIR]:[V_FUT_U_JURS CENARIO]], D$5, FALSE)</f>
        <v>#N/A</v>
      </c>
      <c r="E4051" s="22" t="e">
        <f>VLOOKUP($A4051,TAB_CORRECAO_U[[Q_DIAS_U_PARC_TIR]:[V_FUT_U_CORC-02]],E$5, FALSE)</f>
        <v>#N/A</v>
      </c>
      <c r="F4051" s="22" t="e">
        <f>VLOOKUP($A4051,TAB_AMORTIZACAO_U[[Q_DIAS_U_PARC_TIR]:[V_FUT_U_PCPL-02]], F$5, FALSE)</f>
        <v>#N/A</v>
      </c>
      <c r="H4051" s="20">
        <f t="shared" si="322"/>
        <v>0</v>
      </c>
      <c r="I4051" s="21">
        <f t="shared" si="323"/>
        <v>0</v>
      </c>
      <c r="J4051" s="22" t="e">
        <f>VLOOKUP($A4051, TAB_JUROS_C[[DIAS_CORRIDOS]:[V_FUT_UTEIS]], J$5, FALSE)</f>
        <v>#N/A</v>
      </c>
      <c r="K4051" s="22" t="e">
        <f>VLOOKUP($A4051, TAB_CORRECAO_C[[DIAS_CORRIDOS]:[V_FUT_UTEIS]],K$5, FALSE)</f>
        <v>#N/A</v>
      </c>
      <c r="L4051" s="22" t="e">
        <f>VLOOKUP($A4051, TAB_AMORTIZACAO_C[[DIAS_CORRIDOS]:[V_FUT_UTEIS]], L$5, FALSE)</f>
        <v>#N/A</v>
      </c>
    </row>
    <row r="4052" spans="1:12" hidden="1">
      <c r="A4052" s="19">
        <f t="shared" si="324"/>
        <v>4046</v>
      </c>
      <c r="B4052" s="20">
        <f t="shared" si="320"/>
        <v>0</v>
      </c>
      <c r="C4052" s="21">
        <f t="shared" si="321"/>
        <v>0</v>
      </c>
      <c r="D4052" s="22" t="e">
        <f>VLOOKUP($A4052, TAB_JUROS_U[[Q_DIAS_U_PARC_TIR]:[V_FUT_U_JURS CENARIO]], D$5, FALSE)</f>
        <v>#N/A</v>
      </c>
      <c r="E4052" s="22" t="e">
        <f>VLOOKUP($A4052,TAB_CORRECAO_U[[Q_DIAS_U_PARC_TIR]:[V_FUT_U_CORC-02]],E$5, FALSE)</f>
        <v>#N/A</v>
      </c>
      <c r="F4052" s="22" t="e">
        <f>VLOOKUP($A4052,TAB_AMORTIZACAO_U[[Q_DIAS_U_PARC_TIR]:[V_FUT_U_PCPL-02]], F$5, FALSE)</f>
        <v>#N/A</v>
      </c>
      <c r="H4052" s="20">
        <f t="shared" si="322"/>
        <v>0</v>
      </c>
      <c r="I4052" s="21">
        <f t="shared" si="323"/>
        <v>0</v>
      </c>
      <c r="J4052" s="22" t="e">
        <f>VLOOKUP($A4052, TAB_JUROS_C[[DIAS_CORRIDOS]:[V_FUT_UTEIS]], J$5, FALSE)</f>
        <v>#N/A</v>
      </c>
      <c r="K4052" s="22" t="e">
        <f>VLOOKUP($A4052, TAB_CORRECAO_C[[DIAS_CORRIDOS]:[V_FUT_UTEIS]],K$5, FALSE)</f>
        <v>#N/A</v>
      </c>
      <c r="L4052" s="22" t="e">
        <f>VLOOKUP($A4052, TAB_AMORTIZACAO_C[[DIAS_CORRIDOS]:[V_FUT_UTEIS]], L$5, FALSE)</f>
        <v>#N/A</v>
      </c>
    </row>
    <row r="4053" spans="1:12" hidden="1">
      <c r="A4053" s="19">
        <f t="shared" si="324"/>
        <v>4047</v>
      </c>
      <c r="B4053" s="20">
        <f t="shared" si="320"/>
        <v>0</v>
      </c>
      <c r="C4053" s="21">
        <f t="shared" si="321"/>
        <v>0</v>
      </c>
      <c r="D4053" s="22" t="e">
        <f>VLOOKUP($A4053, TAB_JUROS_U[[Q_DIAS_U_PARC_TIR]:[V_FUT_U_JURS CENARIO]], D$5, FALSE)</f>
        <v>#N/A</v>
      </c>
      <c r="E4053" s="22" t="e">
        <f>VLOOKUP($A4053,TAB_CORRECAO_U[[Q_DIAS_U_PARC_TIR]:[V_FUT_U_CORC-02]],E$5, FALSE)</f>
        <v>#N/A</v>
      </c>
      <c r="F4053" s="22" t="e">
        <f>VLOOKUP($A4053,TAB_AMORTIZACAO_U[[Q_DIAS_U_PARC_TIR]:[V_FUT_U_PCPL-02]], F$5, FALSE)</f>
        <v>#N/A</v>
      </c>
      <c r="H4053" s="20">
        <f t="shared" si="322"/>
        <v>0</v>
      </c>
      <c r="I4053" s="21">
        <f t="shared" si="323"/>
        <v>0</v>
      </c>
      <c r="J4053" s="22" t="e">
        <f>VLOOKUP($A4053, TAB_JUROS_C[[DIAS_CORRIDOS]:[V_FUT_UTEIS]], J$5, FALSE)</f>
        <v>#N/A</v>
      </c>
      <c r="K4053" s="22" t="e">
        <f>VLOOKUP($A4053, TAB_CORRECAO_C[[DIAS_CORRIDOS]:[V_FUT_UTEIS]],K$5, FALSE)</f>
        <v>#N/A</v>
      </c>
      <c r="L4053" s="22" t="e">
        <f>VLOOKUP($A4053, TAB_AMORTIZACAO_C[[DIAS_CORRIDOS]:[V_FUT_UTEIS]], L$5, FALSE)</f>
        <v>#N/A</v>
      </c>
    </row>
    <row r="4054" spans="1:12" hidden="1">
      <c r="A4054" s="19">
        <f t="shared" si="324"/>
        <v>4048</v>
      </c>
      <c r="B4054" s="20">
        <f t="shared" si="320"/>
        <v>0</v>
      </c>
      <c r="C4054" s="21">
        <f t="shared" si="321"/>
        <v>0</v>
      </c>
      <c r="D4054" s="22" t="e">
        <f>VLOOKUP($A4054, TAB_JUROS_U[[Q_DIAS_U_PARC_TIR]:[V_FUT_U_JURS CENARIO]], D$5, FALSE)</f>
        <v>#N/A</v>
      </c>
      <c r="E4054" s="22" t="e">
        <f>VLOOKUP($A4054,TAB_CORRECAO_U[[Q_DIAS_U_PARC_TIR]:[V_FUT_U_CORC-02]],E$5, FALSE)</f>
        <v>#N/A</v>
      </c>
      <c r="F4054" s="22" t="e">
        <f>VLOOKUP($A4054,TAB_AMORTIZACAO_U[[Q_DIAS_U_PARC_TIR]:[V_FUT_U_PCPL-02]], F$5, FALSE)</f>
        <v>#N/A</v>
      </c>
      <c r="H4054" s="20">
        <f t="shared" si="322"/>
        <v>0</v>
      </c>
      <c r="I4054" s="21">
        <f t="shared" si="323"/>
        <v>0</v>
      </c>
      <c r="J4054" s="22" t="e">
        <f>VLOOKUP($A4054, TAB_JUROS_C[[DIAS_CORRIDOS]:[V_FUT_UTEIS]], J$5, FALSE)</f>
        <v>#N/A</v>
      </c>
      <c r="K4054" s="22" t="e">
        <f>VLOOKUP($A4054, TAB_CORRECAO_C[[DIAS_CORRIDOS]:[V_FUT_UTEIS]],K$5, FALSE)</f>
        <v>#N/A</v>
      </c>
      <c r="L4054" s="22" t="e">
        <f>VLOOKUP($A4054, TAB_AMORTIZACAO_C[[DIAS_CORRIDOS]:[V_FUT_UTEIS]], L$5, FALSE)</f>
        <v>#N/A</v>
      </c>
    </row>
    <row r="4055" spans="1:12" hidden="1">
      <c r="A4055" s="19">
        <f t="shared" si="324"/>
        <v>4049</v>
      </c>
      <c r="B4055" s="20">
        <f t="shared" si="320"/>
        <v>0</v>
      </c>
      <c r="C4055" s="21">
        <f t="shared" si="321"/>
        <v>0</v>
      </c>
      <c r="D4055" s="22" t="e">
        <f>VLOOKUP($A4055, TAB_JUROS_U[[Q_DIAS_U_PARC_TIR]:[V_FUT_U_JURS CENARIO]], D$5, FALSE)</f>
        <v>#N/A</v>
      </c>
      <c r="E4055" s="22" t="e">
        <f>VLOOKUP($A4055,TAB_CORRECAO_U[[Q_DIAS_U_PARC_TIR]:[V_FUT_U_CORC-02]],E$5, FALSE)</f>
        <v>#N/A</v>
      </c>
      <c r="F4055" s="22" t="e">
        <f>VLOOKUP($A4055,TAB_AMORTIZACAO_U[[Q_DIAS_U_PARC_TIR]:[V_FUT_U_PCPL-02]], F$5, FALSE)</f>
        <v>#N/A</v>
      </c>
      <c r="H4055" s="20">
        <f t="shared" si="322"/>
        <v>0</v>
      </c>
      <c r="I4055" s="21">
        <f t="shared" si="323"/>
        <v>0</v>
      </c>
      <c r="J4055" s="22" t="e">
        <f>VLOOKUP($A4055, TAB_JUROS_C[[DIAS_CORRIDOS]:[V_FUT_UTEIS]], J$5, FALSE)</f>
        <v>#N/A</v>
      </c>
      <c r="K4055" s="22" t="e">
        <f>VLOOKUP($A4055, TAB_CORRECAO_C[[DIAS_CORRIDOS]:[V_FUT_UTEIS]],K$5, FALSE)</f>
        <v>#N/A</v>
      </c>
      <c r="L4055" s="22" t="e">
        <f>VLOOKUP($A4055, TAB_AMORTIZACAO_C[[DIAS_CORRIDOS]:[V_FUT_UTEIS]], L$5, FALSE)</f>
        <v>#N/A</v>
      </c>
    </row>
    <row r="4056" spans="1:12" hidden="1">
      <c r="A4056" s="19">
        <f t="shared" si="324"/>
        <v>4050</v>
      </c>
      <c r="B4056" s="20">
        <f t="shared" si="320"/>
        <v>0</v>
      </c>
      <c r="C4056" s="21">
        <f t="shared" si="321"/>
        <v>0</v>
      </c>
      <c r="D4056" s="22" t="e">
        <f>VLOOKUP($A4056, TAB_JUROS_U[[Q_DIAS_U_PARC_TIR]:[V_FUT_U_JURS CENARIO]], D$5, FALSE)</f>
        <v>#N/A</v>
      </c>
      <c r="E4056" s="22" t="e">
        <f>VLOOKUP($A4056,TAB_CORRECAO_U[[Q_DIAS_U_PARC_TIR]:[V_FUT_U_CORC-02]],E$5, FALSE)</f>
        <v>#N/A</v>
      </c>
      <c r="F4056" s="22" t="e">
        <f>VLOOKUP($A4056,TAB_AMORTIZACAO_U[[Q_DIAS_U_PARC_TIR]:[V_FUT_U_PCPL-02]], F$5, FALSE)</f>
        <v>#N/A</v>
      </c>
      <c r="H4056" s="20">
        <f t="shared" si="322"/>
        <v>0</v>
      </c>
      <c r="I4056" s="21">
        <f t="shared" si="323"/>
        <v>0</v>
      </c>
      <c r="J4056" s="22" t="e">
        <f>VLOOKUP($A4056, TAB_JUROS_C[[DIAS_CORRIDOS]:[V_FUT_UTEIS]], J$5, FALSE)</f>
        <v>#N/A</v>
      </c>
      <c r="K4056" s="22" t="e">
        <f>VLOOKUP($A4056, TAB_CORRECAO_C[[DIAS_CORRIDOS]:[V_FUT_UTEIS]],K$5, FALSE)</f>
        <v>#N/A</v>
      </c>
      <c r="L4056" s="22" t="e">
        <f>VLOOKUP($A4056, TAB_AMORTIZACAO_C[[DIAS_CORRIDOS]:[V_FUT_UTEIS]], L$5, FALSE)</f>
        <v>#N/A</v>
      </c>
    </row>
    <row r="4057" spans="1:12" hidden="1">
      <c r="A4057" s="19">
        <f t="shared" si="324"/>
        <v>4051</v>
      </c>
      <c r="B4057" s="20">
        <f t="shared" si="320"/>
        <v>0</v>
      </c>
      <c r="C4057" s="21">
        <f t="shared" si="321"/>
        <v>0</v>
      </c>
      <c r="D4057" s="22" t="e">
        <f>VLOOKUP($A4057, TAB_JUROS_U[[Q_DIAS_U_PARC_TIR]:[V_FUT_U_JURS CENARIO]], D$5, FALSE)</f>
        <v>#N/A</v>
      </c>
      <c r="E4057" s="22" t="e">
        <f>VLOOKUP($A4057,TAB_CORRECAO_U[[Q_DIAS_U_PARC_TIR]:[V_FUT_U_CORC-02]],E$5, FALSE)</f>
        <v>#N/A</v>
      </c>
      <c r="F4057" s="22" t="e">
        <f>VLOOKUP($A4057,TAB_AMORTIZACAO_U[[Q_DIAS_U_PARC_TIR]:[V_FUT_U_PCPL-02]], F$5, FALSE)</f>
        <v>#N/A</v>
      </c>
      <c r="H4057" s="20">
        <f t="shared" si="322"/>
        <v>0</v>
      </c>
      <c r="I4057" s="21">
        <f t="shared" si="323"/>
        <v>0</v>
      </c>
      <c r="J4057" s="22" t="e">
        <f>VLOOKUP($A4057, TAB_JUROS_C[[DIAS_CORRIDOS]:[V_FUT_UTEIS]], J$5, FALSE)</f>
        <v>#N/A</v>
      </c>
      <c r="K4057" s="22" t="e">
        <f>VLOOKUP($A4057, TAB_CORRECAO_C[[DIAS_CORRIDOS]:[V_FUT_UTEIS]],K$5, FALSE)</f>
        <v>#N/A</v>
      </c>
      <c r="L4057" s="22" t="e">
        <f>VLOOKUP($A4057, TAB_AMORTIZACAO_C[[DIAS_CORRIDOS]:[V_FUT_UTEIS]], L$5, FALSE)</f>
        <v>#N/A</v>
      </c>
    </row>
    <row r="4058" spans="1:12" hidden="1">
      <c r="A4058" s="19">
        <f t="shared" si="324"/>
        <v>4052</v>
      </c>
      <c r="B4058" s="20">
        <f t="shared" si="320"/>
        <v>0</v>
      </c>
      <c r="C4058" s="21">
        <f t="shared" si="321"/>
        <v>0</v>
      </c>
      <c r="D4058" s="22" t="e">
        <f>VLOOKUP($A4058, TAB_JUROS_U[[Q_DIAS_U_PARC_TIR]:[V_FUT_U_JURS CENARIO]], D$5, FALSE)</f>
        <v>#N/A</v>
      </c>
      <c r="E4058" s="22" t="e">
        <f>VLOOKUP($A4058,TAB_CORRECAO_U[[Q_DIAS_U_PARC_TIR]:[V_FUT_U_CORC-02]],E$5, FALSE)</f>
        <v>#N/A</v>
      </c>
      <c r="F4058" s="22" t="e">
        <f>VLOOKUP($A4058,TAB_AMORTIZACAO_U[[Q_DIAS_U_PARC_TIR]:[V_FUT_U_PCPL-02]], F$5, FALSE)</f>
        <v>#N/A</v>
      </c>
      <c r="H4058" s="20">
        <f t="shared" si="322"/>
        <v>0</v>
      </c>
      <c r="I4058" s="21">
        <f t="shared" si="323"/>
        <v>0</v>
      </c>
      <c r="J4058" s="22" t="e">
        <f>VLOOKUP($A4058, TAB_JUROS_C[[DIAS_CORRIDOS]:[V_FUT_UTEIS]], J$5, FALSE)</f>
        <v>#N/A</v>
      </c>
      <c r="K4058" s="22" t="e">
        <f>VLOOKUP($A4058, TAB_CORRECAO_C[[DIAS_CORRIDOS]:[V_FUT_UTEIS]],K$5, FALSE)</f>
        <v>#N/A</v>
      </c>
      <c r="L4058" s="22" t="e">
        <f>VLOOKUP($A4058, TAB_AMORTIZACAO_C[[DIAS_CORRIDOS]:[V_FUT_UTEIS]], L$5, FALSE)</f>
        <v>#N/A</v>
      </c>
    </row>
    <row r="4059" spans="1:12" hidden="1">
      <c r="A4059" s="19">
        <f t="shared" si="324"/>
        <v>4053</v>
      </c>
      <c r="B4059" s="20">
        <f t="shared" si="320"/>
        <v>0</v>
      </c>
      <c r="C4059" s="21">
        <f t="shared" si="321"/>
        <v>0</v>
      </c>
      <c r="D4059" s="22" t="e">
        <f>VLOOKUP($A4059, TAB_JUROS_U[[Q_DIAS_U_PARC_TIR]:[V_FUT_U_JURS CENARIO]], D$5, FALSE)</f>
        <v>#N/A</v>
      </c>
      <c r="E4059" s="22" t="e">
        <f>VLOOKUP($A4059,TAB_CORRECAO_U[[Q_DIAS_U_PARC_TIR]:[V_FUT_U_CORC-02]],E$5, FALSE)</f>
        <v>#N/A</v>
      </c>
      <c r="F4059" s="22" t="e">
        <f>VLOOKUP($A4059,TAB_AMORTIZACAO_U[[Q_DIAS_U_PARC_TIR]:[V_FUT_U_PCPL-02]], F$5, FALSE)</f>
        <v>#N/A</v>
      </c>
      <c r="H4059" s="20">
        <f t="shared" si="322"/>
        <v>0</v>
      </c>
      <c r="I4059" s="21">
        <f t="shared" si="323"/>
        <v>0</v>
      </c>
      <c r="J4059" s="22" t="e">
        <f>VLOOKUP($A4059, TAB_JUROS_C[[DIAS_CORRIDOS]:[V_FUT_UTEIS]], J$5, FALSE)</f>
        <v>#N/A</v>
      </c>
      <c r="K4059" s="22" t="e">
        <f>VLOOKUP($A4059, TAB_CORRECAO_C[[DIAS_CORRIDOS]:[V_FUT_UTEIS]],K$5, FALSE)</f>
        <v>#N/A</v>
      </c>
      <c r="L4059" s="22" t="e">
        <f>VLOOKUP($A4059, TAB_AMORTIZACAO_C[[DIAS_CORRIDOS]:[V_FUT_UTEIS]], L$5, FALSE)</f>
        <v>#N/A</v>
      </c>
    </row>
    <row r="4060" spans="1:12" hidden="1">
      <c r="A4060" s="19">
        <f t="shared" si="324"/>
        <v>4054</v>
      </c>
      <c r="B4060" s="20">
        <f t="shared" si="320"/>
        <v>0</v>
      </c>
      <c r="C4060" s="21">
        <f t="shared" si="321"/>
        <v>0</v>
      </c>
      <c r="D4060" s="22" t="e">
        <f>VLOOKUP($A4060, TAB_JUROS_U[[Q_DIAS_U_PARC_TIR]:[V_FUT_U_JURS CENARIO]], D$5, FALSE)</f>
        <v>#N/A</v>
      </c>
      <c r="E4060" s="22" t="e">
        <f>VLOOKUP($A4060,TAB_CORRECAO_U[[Q_DIAS_U_PARC_TIR]:[V_FUT_U_CORC-02]],E$5, FALSE)</f>
        <v>#N/A</v>
      </c>
      <c r="F4060" s="22" t="e">
        <f>VLOOKUP($A4060,TAB_AMORTIZACAO_U[[Q_DIAS_U_PARC_TIR]:[V_FUT_U_PCPL-02]], F$5, FALSE)</f>
        <v>#N/A</v>
      </c>
      <c r="H4060" s="20">
        <f t="shared" si="322"/>
        <v>0</v>
      </c>
      <c r="I4060" s="21">
        <f t="shared" si="323"/>
        <v>0</v>
      </c>
      <c r="J4060" s="22" t="e">
        <f>VLOOKUP($A4060, TAB_JUROS_C[[DIAS_CORRIDOS]:[V_FUT_UTEIS]], J$5, FALSE)</f>
        <v>#N/A</v>
      </c>
      <c r="K4060" s="22" t="e">
        <f>VLOOKUP($A4060, TAB_CORRECAO_C[[DIAS_CORRIDOS]:[V_FUT_UTEIS]],K$5, FALSE)</f>
        <v>#N/A</v>
      </c>
      <c r="L4060" s="22" t="e">
        <f>VLOOKUP($A4060, TAB_AMORTIZACAO_C[[DIAS_CORRIDOS]:[V_FUT_UTEIS]], L$5, FALSE)</f>
        <v>#N/A</v>
      </c>
    </row>
    <row r="4061" spans="1:12" hidden="1">
      <c r="A4061" s="19">
        <f t="shared" si="324"/>
        <v>4055</v>
      </c>
      <c r="B4061" s="20">
        <f t="shared" si="320"/>
        <v>0</v>
      </c>
      <c r="C4061" s="21">
        <f t="shared" si="321"/>
        <v>0</v>
      </c>
      <c r="D4061" s="22" t="e">
        <f>VLOOKUP($A4061, TAB_JUROS_U[[Q_DIAS_U_PARC_TIR]:[V_FUT_U_JURS CENARIO]], D$5, FALSE)</f>
        <v>#N/A</v>
      </c>
      <c r="E4061" s="22" t="e">
        <f>VLOOKUP($A4061,TAB_CORRECAO_U[[Q_DIAS_U_PARC_TIR]:[V_FUT_U_CORC-02]],E$5, FALSE)</f>
        <v>#N/A</v>
      </c>
      <c r="F4061" s="22" t="e">
        <f>VLOOKUP($A4061,TAB_AMORTIZACAO_U[[Q_DIAS_U_PARC_TIR]:[V_FUT_U_PCPL-02]], F$5, FALSE)</f>
        <v>#N/A</v>
      </c>
      <c r="H4061" s="20">
        <f t="shared" si="322"/>
        <v>0</v>
      </c>
      <c r="I4061" s="21">
        <f t="shared" si="323"/>
        <v>0</v>
      </c>
      <c r="J4061" s="22" t="e">
        <f>VLOOKUP($A4061, TAB_JUROS_C[[DIAS_CORRIDOS]:[V_FUT_UTEIS]], J$5, FALSE)</f>
        <v>#N/A</v>
      </c>
      <c r="K4061" s="22" t="e">
        <f>VLOOKUP($A4061, TAB_CORRECAO_C[[DIAS_CORRIDOS]:[V_FUT_UTEIS]],K$5, FALSE)</f>
        <v>#N/A</v>
      </c>
      <c r="L4061" s="22" t="e">
        <f>VLOOKUP($A4061, TAB_AMORTIZACAO_C[[DIAS_CORRIDOS]:[V_FUT_UTEIS]], L$5, FALSE)</f>
        <v>#N/A</v>
      </c>
    </row>
    <row r="4062" spans="1:12" hidden="1">
      <c r="A4062" s="19">
        <f t="shared" si="324"/>
        <v>4056</v>
      </c>
      <c r="B4062" s="20">
        <f t="shared" si="320"/>
        <v>0</v>
      </c>
      <c r="C4062" s="21">
        <f t="shared" si="321"/>
        <v>0</v>
      </c>
      <c r="D4062" s="22" t="e">
        <f>VLOOKUP($A4062, TAB_JUROS_U[[Q_DIAS_U_PARC_TIR]:[V_FUT_U_JURS CENARIO]], D$5, FALSE)</f>
        <v>#N/A</v>
      </c>
      <c r="E4062" s="22" t="e">
        <f>VLOOKUP($A4062,TAB_CORRECAO_U[[Q_DIAS_U_PARC_TIR]:[V_FUT_U_CORC-02]],E$5, FALSE)</f>
        <v>#N/A</v>
      </c>
      <c r="F4062" s="22" t="e">
        <f>VLOOKUP($A4062,TAB_AMORTIZACAO_U[[Q_DIAS_U_PARC_TIR]:[V_FUT_U_PCPL-02]], F$5, FALSE)</f>
        <v>#N/A</v>
      </c>
      <c r="H4062" s="20">
        <f t="shared" si="322"/>
        <v>0</v>
      </c>
      <c r="I4062" s="21">
        <f t="shared" si="323"/>
        <v>0</v>
      </c>
      <c r="J4062" s="22" t="e">
        <f>VLOOKUP($A4062, TAB_JUROS_C[[DIAS_CORRIDOS]:[V_FUT_UTEIS]], J$5, FALSE)</f>
        <v>#N/A</v>
      </c>
      <c r="K4062" s="22" t="e">
        <f>VLOOKUP($A4062, TAB_CORRECAO_C[[DIAS_CORRIDOS]:[V_FUT_UTEIS]],K$5, FALSE)</f>
        <v>#N/A</v>
      </c>
      <c r="L4062" s="22" t="e">
        <f>VLOOKUP($A4062, TAB_AMORTIZACAO_C[[DIAS_CORRIDOS]:[V_FUT_UTEIS]], L$5, FALSE)</f>
        <v>#N/A</v>
      </c>
    </row>
    <row r="4063" spans="1:12" hidden="1">
      <c r="A4063" s="19">
        <f t="shared" si="324"/>
        <v>4057</v>
      </c>
      <c r="B4063" s="20">
        <f t="shared" si="320"/>
        <v>0</v>
      </c>
      <c r="C4063" s="21">
        <f t="shared" si="321"/>
        <v>0</v>
      </c>
      <c r="D4063" s="22" t="e">
        <f>VLOOKUP($A4063, TAB_JUROS_U[[Q_DIAS_U_PARC_TIR]:[V_FUT_U_JURS CENARIO]], D$5, FALSE)</f>
        <v>#N/A</v>
      </c>
      <c r="E4063" s="22" t="e">
        <f>VLOOKUP($A4063,TAB_CORRECAO_U[[Q_DIAS_U_PARC_TIR]:[V_FUT_U_CORC-02]],E$5, FALSE)</f>
        <v>#N/A</v>
      </c>
      <c r="F4063" s="22" t="e">
        <f>VLOOKUP($A4063,TAB_AMORTIZACAO_U[[Q_DIAS_U_PARC_TIR]:[V_FUT_U_PCPL-02]], F$5, FALSE)</f>
        <v>#N/A</v>
      </c>
      <c r="H4063" s="20">
        <f t="shared" si="322"/>
        <v>0</v>
      </c>
      <c r="I4063" s="21">
        <f t="shared" si="323"/>
        <v>0</v>
      </c>
      <c r="J4063" s="22" t="e">
        <f>VLOOKUP($A4063, TAB_JUROS_C[[DIAS_CORRIDOS]:[V_FUT_UTEIS]], J$5, FALSE)</f>
        <v>#N/A</v>
      </c>
      <c r="K4063" s="22" t="e">
        <f>VLOOKUP($A4063, TAB_CORRECAO_C[[DIAS_CORRIDOS]:[V_FUT_UTEIS]],K$5, FALSE)</f>
        <v>#N/A</v>
      </c>
      <c r="L4063" s="22" t="e">
        <f>VLOOKUP($A4063, TAB_AMORTIZACAO_C[[DIAS_CORRIDOS]:[V_FUT_UTEIS]], L$5, FALSE)</f>
        <v>#N/A</v>
      </c>
    </row>
    <row r="4064" spans="1:12" hidden="1">
      <c r="A4064" s="19">
        <f t="shared" si="324"/>
        <v>4058</v>
      </c>
      <c r="B4064" s="20">
        <f t="shared" si="320"/>
        <v>0</v>
      </c>
      <c r="C4064" s="21">
        <f t="shared" si="321"/>
        <v>0</v>
      </c>
      <c r="D4064" s="22" t="e">
        <f>VLOOKUP($A4064, TAB_JUROS_U[[Q_DIAS_U_PARC_TIR]:[V_FUT_U_JURS CENARIO]], D$5, FALSE)</f>
        <v>#N/A</v>
      </c>
      <c r="E4064" s="22" t="e">
        <f>VLOOKUP($A4064,TAB_CORRECAO_U[[Q_DIAS_U_PARC_TIR]:[V_FUT_U_CORC-02]],E$5, FALSE)</f>
        <v>#N/A</v>
      </c>
      <c r="F4064" s="22" t="e">
        <f>VLOOKUP($A4064,TAB_AMORTIZACAO_U[[Q_DIAS_U_PARC_TIR]:[V_FUT_U_PCPL-02]], F$5, FALSE)</f>
        <v>#N/A</v>
      </c>
      <c r="H4064" s="20">
        <f t="shared" si="322"/>
        <v>0</v>
      </c>
      <c r="I4064" s="21">
        <f t="shared" si="323"/>
        <v>0</v>
      </c>
      <c r="J4064" s="22" t="e">
        <f>VLOOKUP($A4064, TAB_JUROS_C[[DIAS_CORRIDOS]:[V_FUT_UTEIS]], J$5, FALSE)</f>
        <v>#N/A</v>
      </c>
      <c r="K4064" s="22" t="e">
        <f>VLOOKUP($A4064, TAB_CORRECAO_C[[DIAS_CORRIDOS]:[V_FUT_UTEIS]],K$5, FALSE)</f>
        <v>#N/A</v>
      </c>
      <c r="L4064" s="22" t="e">
        <f>VLOOKUP($A4064, TAB_AMORTIZACAO_C[[DIAS_CORRIDOS]:[V_FUT_UTEIS]], L$5, FALSE)</f>
        <v>#N/A</v>
      </c>
    </row>
    <row r="4065" spans="1:12" hidden="1">
      <c r="A4065" s="19">
        <f t="shared" si="324"/>
        <v>4059</v>
      </c>
      <c r="B4065" s="20">
        <f t="shared" si="320"/>
        <v>0</v>
      </c>
      <c r="C4065" s="21">
        <f t="shared" si="321"/>
        <v>0</v>
      </c>
      <c r="D4065" s="22" t="e">
        <f>VLOOKUP($A4065, TAB_JUROS_U[[Q_DIAS_U_PARC_TIR]:[V_FUT_U_JURS CENARIO]], D$5, FALSE)</f>
        <v>#N/A</v>
      </c>
      <c r="E4065" s="22" t="e">
        <f>VLOOKUP($A4065,TAB_CORRECAO_U[[Q_DIAS_U_PARC_TIR]:[V_FUT_U_CORC-02]],E$5, FALSE)</f>
        <v>#N/A</v>
      </c>
      <c r="F4065" s="22" t="e">
        <f>VLOOKUP($A4065,TAB_AMORTIZACAO_U[[Q_DIAS_U_PARC_TIR]:[V_FUT_U_PCPL-02]], F$5, FALSE)</f>
        <v>#N/A</v>
      </c>
      <c r="H4065" s="20">
        <f t="shared" si="322"/>
        <v>0</v>
      </c>
      <c r="I4065" s="21">
        <f t="shared" si="323"/>
        <v>0</v>
      </c>
      <c r="J4065" s="22" t="e">
        <f>VLOOKUP($A4065, TAB_JUROS_C[[DIAS_CORRIDOS]:[V_FUT_UTEIS]], J$5, FALSE)</f>
        <v>#N/A</v>
      </c>
      <c r="K4065" s="22" t="e">
        <f>VLOOKUP($A4065, TAB_CORRECAO_C[[DIAS_CORRIDOS]:[V_FUT_UTEIS]],K$5, FALSE)</f>
        <v>#N/A</v>
      </c>
      <c r="L4065" s="22" t="e">
        <f>VLOOKUP($A4065, TAB_AMORTIZACAO_C[[DIAS_CORRIDOS]:[V_FUT_UTEIS]], L$5, FALSE)</f>
        <v>#N/A</v>
      </c>
    </row>
    <row r="4066" spans="1:12" hidden="1">
      <c r="A4066" s="19">
        <f t="shared" si="324"/>
        <v>4060</v>
      </c>
      <c r="B4066" s="20">
        <f t="shared" si="320"/>
        <v>0</v>
      </c>
      <c r="C4066" s="21">
        <f t="shared" si="321"/>
        <v>0</v>
      </c>
      <c r="D4066" s="22" t="e">
        <f>VLOOKUP($A4066, TAB_JUROS_U[[Q_DIAS_U_PARC_TIR]:[V_FUT_U_JURS CENARIO]], D$5, FALSE)</f>
        <v>#N/A</v>
      </c>
      <c r="E4066" s="22" t="e">
        <f>VLOOKUP($A4066,TAB_CORRECAO_U[[Q_DIAS_U_PARC_TIR]:[V_FUT_U_CORC-02]],E$5, FALSE)</f>
        <v>#N/A</v>
      </c>
      <c r="F4066" s="22" t="e">
        <f>VLOOKUP($A4066,TAB_AMORTIZACAO_U[[Q_DIAS_U_PARC_TIR]:[V_FUT_U_PCPL-02]], F$5, FALSE)</f>
        <v>#N/A</v>
      </c>
      <c r="H4066" s="20">
        <f t="shared" si="322"/>
        <v>0</v>
      </c>
      <c r="I4066" s="21">
        <f t="shared" si="323"/>
        <v>0</v>
      </c>
      <c r="J4066" s="22" t="e">
        <f>VLOOKUP($A4066, TAB_JUROS_C[[DIAS_CORRIDOS]:[V_FUT_UTEIS]], J$5, FALSE)</f>
        <v>#N/A</v>
      </c>
      <c r="K4066" s="22" t="e">
        <f>VLOOKUP($A4066, TAB_CORRECAO_C[[DIAS_CORRIDOS]:[V_FUT_UTEIS]],K$5, FALSE)</f>
        <v>#N/A</v>
      </c>
      <c r="L4066" s="22" t="e">
        <f>VLOOKUP($A4066, TAB_AMORTIZACAO_C[[DIAS_CORRIDOS]:[V_FUT_UTEIS]], L$5, FALSE)</f>
        <v>#N/A</v>
      </c>
    </row>
    <row r="4067" spans="1:12" hidden="1">
      <c r="A4067" s="19">
        <f t="shared" si="324"/>
        <v>4061</v>
      </c>
      <c r="B4067" s="20">
        <f t="shared" si="320"/>
        <v>0</v>
      </c>
      <c r="C4067" s="21">
        <f t="shared" si="321"/>
        <v>0</v>
      </c>
      <c r="D4067" s="22" t="e">
        <f>VLOOKUP($A4067, TAB_JUROS_U[[Q_DIAS_U_PARC_TIR]:[V_FUT_U_JURS CENARIO]], D$5, FALSE)</f>
        <v>#N/A</v>
      </c>
      <c r="E4067" s="22" t="e">
        <f>VLOOKUP($A4067,TAB_CORRECAO_U[[Q_DIAS_U_PARC_TIR]:[V_FUT_U_CORC-02]],E$5, FALSE)</f>
        <v>#N/A</v>
      </c>
      <c r="F4067" s="22" t="e">
        <f>VLOOKUP($A4067,TAB_AMORTIZACAO_U[[Q_DIAS_U_PARC_TIR]:[V_FUT_U_PCPL-02]], F$5, FALSE)</f>
        <v>#N/A</v>
      </c>
      <c r="H4067" s="20">
        <f t="shared" si="322"/>
        <v>0</v>
      </c>
      <c r="I4067" s="21">
        <f t="shared" si="323"/>
        <v>0</v>
      </c>
      <c r="J4067" s="22" t="e">
        <f>VLOOKUP($A4067, TAB_JUROS_C[[DIAS_CORRIDOS]:[V_FUT_UTEIS]], J$5, FALSE)</f>
        <v>#N/A</v>
      </c>
      <c r="K4067" s="22" t="e">
        <f>VLOOKUP($A4067, TAB_CORRECAO_C[[DIAS_CORRIDOS]:[V_FUT_UTEIS]],K$5, FALSE)</f>
        <v>#N/A</v>
      </c>
      <c r="L4067" s="22" t="e">
        <f>VLOOKUP($A4067, TAB_AMORTIZACAO_C[[DIAS_CORRIDOS]:[V_FUT_UTEIS]], L$5, FALSE)</f>
        <v>#N/A</v>
      </c>
    </row>
    <row r="4068" spans="1:12" hidden="1">
      <c r="A4068" s="19">
        <f t="shared" si="324"/>
        <v>4062</v>
      </c>
      <c r="B4068" s="20">
        <f t="shared" si="320"/>
        <v>0</v>
      </c>
      <c r="C4068" s="21">
        <f t="shared" si="321"/>
        <v>0</v>
      </c>
      <c r="D4068" s="22" t="e">
        <f>VLOOKUP($A4068, TAB_JUROS_U[[Q_DIAS_U_PARC_TIR]:[V_FUT_U_JURS CENARIO]], D$5, FALSE)</f>
        <v>#N/A</v>
      </c>
      <c r="E4068" s="22" t="e">
        <f>VLOOKUP($A4068,TAB_CORRECAO_U[[Q_DIAS_U_PARC_TIR]:[V_FUT_U_CORC-02]],E$5, FALSE)</f>
        <v>#N/A</v>
      </c>
      <c r="F4068" s="22" t="e">
        <f>VLOOKUP($A4068,TAB_AMORTIZACAO_U[[Q_DIAS_U_PARC_TIR]:[V_FUT_U_PCPL-02]], F$5, FALSE)</f>
        <v>#N/A</v>
      </c>
      <c r="H4068" s="20">
        <f t="shared" si="322"/>
        <v>116.03947963681513</v>
      </c>
      <c r="I4068" s="21">
        <f t="shared" si="323"/>
        <v>116.03947963681513</v>
      </c>
      <c r="J4068" s="22">
        <f>VLOOKUP($A4068, TAB_JUROS_C[[DIAS_CORRIDOS]:[V_FUT_UTEIS]], J$5, FALSE)</f>
        <v>2.0968228059862439</v>
      </c>
      <c r="K4068" s="22">
        <f>VLOOKUP($A4068, TAB_CORRECAO_C[[DIAS_CORRIDOS]:[V_FUT_UTEIS]],K$5, FALSE)</f>
        <v>12.827324656368823</v>
      </c>
      <c r="L4068" s="22">
        <f>VLOOKUP($A4068, TAB_AMORTIZACAO_C[[DIAS_CORRIDOS]:[V_FUT_UTEIS]], L$5, FALSE)</f>
        <v>101.11533217446006</v>
      </c>
    </row>
    <row r="4069" spans="1:12" hidden="1">
      <c r="A4069" s="19">
        <f t="shared" si="324"/>
        <v>4063</v>
      </c>
      <c r="B4069" s="20">
        <f t="shared" si="320"/>
        <v>0</v>
      </c>
      <c r="C4069" s="21">
        <f t="shared" si="321"/>
        <v>0</v>
      </c>
      <c r="D4069" s="22" t="e">
        <f>VLOOKUP($A4069, TAB_JUROS_U[[Q_DIAS_U_PARC_TIR]:[V_FUT_U_JURS CENARIO]], D$5, FALSE)</f>
        <v>#N/A</v>
      </c>
      <c r="E4069" s="22" t="e">
        <f>VLOOKUP($A4069,TAB_CORRECAO_U[[Q_DIAS_U_PARC_TIR]:[V_FUT_U_CORC-02]],E$5, FALSE)</f>
        <v>#N/A</v>
      </c>
      <c r="F4069" s="22" t="e">
        <f>VLOOKUP($A4069,TAB_AMORTIZACAO_U[[Q_DIAS_U_PARC_TIR]:[V_FUT_U_PCPL-02]], F$5, FALSE)</f>
        <v>#N/A</v>
      </c>
      <c r="H4069" s="20">
        <f t="shared" si="322"/>
        <v>0</v>
      </c>
      <c r="I4069" s="21">
        <f t="shared" si="323"/>
        <v>0</v>
      </c>
      <c r="J4069" s="22" t="e">
        <f>VLOOKUP($A4069, TAB_JUROS_C[[DIAS_CORRIDOS]:[V_FUT_UTEIS]], J$5, FALSE)</f>
        <v>#N/A</v>
      </c>
      <c r="K4069" s="22" t="e">
        <f>VLOOKUP($A4069, TAB_CORRECAO_C[[DIAS_CORRIDOS]:[V_FUT_UTEIS]],K$5, FALSE)</f>
        <v>#N/A</v>
      </c>
      <c r="L4069" s="22" t="e">
        <f>VLOOKUP($A4069, TAB_AMORTIZACAO_C[[DIAS_CORRIDOS]:[V_FUT_UTEIS]], L$5, FALSE)</f>
        <v>#N/A</v>
      </c>
    </row>
    <row r="4070" spans="1:12" hidden="1">
      <c r="A4070" s="19">
        <f t="shared" si="324"/>
        <v>4064</v>
      </c>
      <c r="B4070" s="20">
        <f t="shared" si="320"/>
        <v>0</v>
      </c>
      <c r="C4070" s="21">
        <f t="shared" si="321"/>
        <v>0</v>
      </c>
      <c r="D4070" s="22" t="e">
        <f>VLOOKUP($A4070, TAB_JUROS_U[[Q_DIAS_U_PARC_TIR]:[V_FUT_U_JURS CENARIO]], D$5, FALSE)</f>
        <v>#N/A</v>
      </c>
      <c r="E4070" s="22" t="e">
        <f>VLOOKUP($A4070,TAB_CORRECAO_U[[Q_DIAS_U_PARC_TIR]:[V_FUT_U_CORC-02]],E$5, FALSE)</f>
        <v>#N/A</v>
      </c>
      <c r="F4070" s="22" t="e">
        <f>VLOOKUP($A4070,TAB_AMORTIZACAO_U[[Q_DIAS_U_PARC_TIR]:[V_FUT_U_PCPL-02]], F$5, FALSE)</f>
        <v>#N/A</v>
      </c>
      <c r="H4070" s="20">
        <f t="shared" si="322"/>
        <v>0</v>
      </c>
      <c r="I4070" s="21">
        <f t="shared" si="323"/>
        <v>0</v>
      </c>
      <c r="J4070" s="22" t="e">
        <f>VLOOKUP($A4070, TAB_JUROS_C[[DIAS_CORRIDOS]:[V_FUT_UTEIS]], J$5, FALSE)</f>
        <v>#N/A</v>
      </c>
      <c r="K4070" s="22" t="e">
        <f>VLOOKUP($A4070, TAB_CORRECAO_C[[DIAS_CORRIDOS]:[V_FUT_UTEIS]],K$5, FALSE)</f>
        <v>#N/A</v>
      </c>
      <c r="L4070" s="22" t="e">
        <f>VLOOKUP($A4070, TAB_AMORTIZACAO_C[[DIAS_CORRIDOS]:[V_FUT_UTEIS]], L$5, FALSE)</f>
        <v>#N/A</v>
      </c>
    </row>
    <row r="4071" spans="1:12" hidden="1">
      <c r="A4071" s="19">
        <f t="shared" si="324"/>
        <v>4065</v>
      </c>
      <c r="B4071" s="20">
        <f t="shared" si="320"/>
        <v>0</v>
      </c>
      <c r="C4071" s="21">
        <f t="shared" si="321"/>
        <v>0</v>
      </c>
      <c r="D4071" s="22" t="e">
        <f>VLOOKUP($A4071, TAB_JUROS_U[[Q_DIAS_U_PARC_TIR]:[V_FUT_U_JURS CENARIO]], D$5, FALSE)</f>
        <v>#N/A</v>
      </c>
      <c r="E4071" s="22" t="e">
        <f>VLOOKUP($A4071,TAB_CORRECAO_U[[Q_DIAS_U_PARC_TIR]:[V_FUT_U_CORC-02]],E$5, FALSE)</f>
        <v>#N/A</v>
      </c>
      <c r="F4071" s="22" t="e">
        <f>VLOOKUP($A4071,TAB_AMORTIZACAO_U[[Q_DIAS_U_PARC_TIR]:[V_FUT_U_PCPL-02]], F$5, FALSE)</f>
        <v>#N/A</v>
      </c>
      <c r="H4071" s="20">
        <f t="shared" si="322"/>
        <v>0</v>
      </c>
      <c r="I4071" s="21">
        <f t="shared" si="323"/>
        <v>0</v>
      </c>
      <c r="J4071" s="22" t="e">
        <f>VLOOKUP($A4071, TAB_JUROS_C[[DIAS_CORRIDOS]:[V_FUT_UTEIS]], J$5, FALSE)</f>
        <v>#N/A</v>
      </c>
      <c r="K4071" s="22" t="e">
        <f>VLOOKUP($A4071, TAB_CORRECAO_C[[DIAS_CORRIDOS]:[V_FUT_UTEIS]],K$5, FALSE)</f>
        <v>#N/A</v>
      </c>
      <c r="L4071" s="22" t="e">
        <f>VLOOKUP($A4071, TAB_AMORTIZACAO_C[[DIAS_CORRIDOS]:[V_FUT_UTEIS]], L$5, FALSE)</f>
        <v>#N/A</v>
      </c>
    </row>
    <row r="4072" spans="1:12" hidden="1">
      <c r="A4072" s="19">
        <f t="shared" si="324"/>
        <v>4066</v>
      </c>
      <c r="B4072" s="20">
        <f t="shared" si="320"/>
        <v>0</v>
      </c>
      <c r="C4072" s="21">
        <f t="shared" si="321"/>
        <v>0</v>
      </c>
      <c r="D4072" s="22" t="e">
        <f>VLOOKUP($A4072, TAB_JUROS_U[[Q_DIAS_U_PARC_TIR]:[V_FUT_U_JURS CENARIO]], D$5, FALSE)</f>
        <v>#N/A</v>
      </c>
      <c r="E4072" s="22" t="e">
        <f>VLOOKUP($A4072,TAB_CORRECAO_U[[Q_DIAS_U_PARC_TIR]:[V_FUT_U_CORC-02]],E$5, FALSE)</f>
        <v>#N/A</v>
      </c>
      <c r="F4072" s="22" t="e">
        <f>VLOOKUP($A4072,TAB_AMORTIZACAO_U[[Q_DIAS_U_PARC_TIR]:[V_FUT_U_PCPL-02]], F$5, FALSE)</f>
        <v>#N/A</v>
      </c>
      <c r="H4072" s="20">
        <f t="shared" si="322"/>
        <v>0</v>
      </c>
      <c r="I4072" s="21">
        <f t="shared" si="323"/>
        <v>0</v>
      </c>
      <c r="J4072" s="22" t="e">
        <f>VLOOKUP($A4072, TAB_JUROS_C[[DIAS_CORRIDOS]:[V_FUT_UTEIS]], J$5, FALSE)</f>
        <v>#N/A</v>
      </c>
      <c r="K4072" s="22" t="e">
        <f>VLOOKUP($A4072, TAB_CORRECAO_C[[DIAS_CORRIDOS]:[V_FUT_UTEIS]],K$5, FALSE)</f>
        <v>#N/A</v>
      </c>
      <c r="L4072" s="22" t="e">
        <f>VLOOKUP($A4072, TAB_AMORTIZACAO_C[[DIAS_CORRIDOS]:[V_FUT_UTEIS]], L$5, FALSE)</f>
        <v>#N/A</v>
      </c>
    </row>
    <row r="4073" spans="1:12" hidden="1">
      <c r="A4073" s="19">
        <f t="shared" si="324"/>
        <v>4067</v>
      </c>
      <c r="B4073" s="20">
        <f t="shared" si="320"/>
        <v>0</v>
      </c>
      <c r="C4073" s="21">
        <f t="shared" si="321"/>
        <v>0</v>
      </c>
      <c r="D4073" s="22" t="e">
        <f>VLOOKUP($A4073, TAB_JUROS_U[[Q_DIAS_U_PARC_TIR]:[V_FUT_U_JURS CENARIO]], D$5, FALSE)</f>
        <v>#N/A</v>
      </c>
      <c r="E4073" s="22" t="e">
        <f>VLOOKUP($A4073,TAB_CORRECAO_U[[Q_DIAS_U_PARC_TIR]:[V_FUT_U_CORC-02]],E$5, FALSE)</f>
        <v>#N/A</v>
      </c>
      <c r="F4073" s="22" t="e">
        <f>VLOOKUP($A4073,TAB_AMORTIZACAO_U[[Q_DIAS_U_PARC_TIR]:[V_FUT_U_PCPL-02]], F$5, FALSE)</f>
        <v>#N/A</v>
      </c>
      <c r="H4073" s="20">
        <f t="shared" si="322"/>
        <v>0</v>
      </c>
      <c r="I4073" s="21">
        <f t="shared" si="323"/>
        <v>0</v>
      </c>
      <c r="J4073" s="22" t="e">
        <f>VLOOKUP($A4073, TAB_JUROS_C[[DIAS_CORRIDOS]:[V_FUT_UTEIS]], J$5, FALSE)</f>
        <v>#N/A</v>
      </c>
      <c r="K4073" s="22" t="e">
        <f>VLOOKUP($A4073, TAB_CORRECAO_C[[DIAS_CORRIDOS]:[V_FUT_UTEIS]],K$5, FALSE)</f>
        <v>#N/A</v>
      </c>
      <c r="L4073" s="22" t="e">
        <f>VLOOKUP($A4073, TAB_AMORTIZACAO_C[[DIAS_CORRIDOS]:[V_FUT_UTEIS]], L$5, FALSE)</f>
        <v>#N/A</v>
      </c>
    </row>
    <row r="4074" spans="1:12" hidden="1">
      <c r="A4074" s="19">
        <f t="shared" si="324"/>
        <v>4068</v>
      </c>
      <c r="B4074" s="20">
        <f t="shared" si="320"/>
        <v>0</v>
      </c>
      <c r="C4074" s="21">
        <f t="shared" si="321"/>
        <v>0</v>
      </c>
      <c r="D4074" s="22" t="e">
        <f>VLOOKUP($A4074, TAB_JUROS_U[[Q_DIAS_U_PARC_TIR]:[V_FUT_U_JURS CENARIO]], D$5, FALSE)</f>
        <v>#N/A</v>
      </c>
      <c r="E4074" s="22" t="e">
        <f>VLOOKUP($A4074,TAB_CORRECAO_U[[Q_DIAS_U_PARC_TIR]:[V_FUT_U_CORC-02]],E$5, FALSE)</f>
        <v>#N/A</v>
      </c>
      <c r="F4074" s="22" t="e">
        <f>VLOOKUP($A4074,TAB_AMORTIZACAO_U[[Q_DIAS_U_PARC_TIR]:[V_FUT_U_PCPL-02]], F$5, FALSE)</f>
        <v>#N/A</v>
      </c>
      <c r="H4074" s="20">
        <f t="shared" si="322"/>
        <v>0</v>
      </c>
      <c r="I4074" s="21">
        <f t="shared" si="323"/>
        <v>0</v>
      </c>
      <c r="J4074" s="22" t="e">
        <f>VLOOKUP($A4074, TAB_JUROS_C[[DIAS_CORRIDOS]:[V_FUT_UTEIS]], J$5, FALSE)</f>
        <v>#N/A</v>
      </c>
      <c r="K4074" s="22" t="e">
        <f>VLOOKUP($A4074, TAB_CORRECAO_C[[DIAS_CORRIDOS]:[V_FUT_UTEIS]],K$5, FALSE)</f>
        <v>#N/A</v>
      </c>
      <c r="L4074" s="22" t="e">
        <f>VLOOKUP($A4074, TAB_AMORTIZACAO_C[[DIAS_CORRIDOS]:[V_FUT_UTEIS]], L$5, FALSE)</f>
        <v>#N/A</v>
      </c>
    </row>
    <row r="4075" spans="1:12" hidden="1">
      <c r="A4075" s="19">
        <f t="shared" si="324"/>
        <v>4069</v>
      </c>
      <c r="B4075" s="20">
        <f t="shared" si="320"/>
        <v>0</v>
      </c>
      <c r="C4075" s="21">
        <f t="shared" si="321"/>
        <v>0</v>
      </c>
      <c r="D4075" s="22" t="e">
        <f>VLOOKUP($A4075, TAB_JUROS_U[[Q_DIAS_U_PARC_TIR]:[V_FUT_U_JURS CENARIO]], D$5, FALSE)</f>
        <v>#N/A</v>
      </c>
      <c r="E4075" s="22" t="e">
        <f>VLOOKUP($A4075,TAB_CORRECAO_U[[Q_DIAS_U_PARC_TIR]:[V_FUT_U_CORC-02]],E$5, FALSE)</f>
        <v>#N/A</v>
      </c>
      <c r="F4075" s="22" t="e">
        <f>VLOOKUP($A4075,TAB_AMORTIZACAO_U[[Q_DIAS_U_PARC_TIR]:[V_FUT_U_PCPL-02]], F$5, FALSE)</f>
        <v>#N/A</v>
      </c>
      <c r="H4075" s="20">
        <f t="shared" si="322"/>
        <v>0</v>
      </c>
      <c r="I4075" s="21">
        <f t="shared" si="323"/>
        <v>0</v>
      </c>
      <c r="J4075" s="22" t="e">
        <f>VLOOKUP($A4075, TAB_JUROS_C[[DIAS_CORRIDOS]:[V_FUT_UTEIS]], J$5, FALSE)</f>
        <v>#N/A</v>
      </c>
      <c r="K4075" s="22" t="e">
        <f>VLOOKUP($A4075, TAB_CORRECAO_C[[DIAS_CORRIDOS]:[V_FUT_UTEIS]],K$5, FALSE)</f>
        <v>#N/A</v>
      </c>
      <c r="L4075" s="22" t="e">
        <f>VLOOKUP($A4075, TAB_AMORTIZACAO_C[[DIAS_CORRIDOS]:[V_FUT_UTEIS]], L$5, FALSE)</f>
        <v>#N/A</v>
      </c>
    </row>
    <row r="4076" spans="1:12" hidden="1">
      <c r="A4076" s="19">
        <f t="shared" si="324"/>
        <v>4070</v>
      </c>
      <c r="B4076" s="20">
        <f t="shared" si="320"/>
        <v>0</v>
      </c>
      <c r="C4076" s="21">
        <f t="shared" si="321"/>
        <v>0</v>
      </c>
      <c r="D4076" s="22" t="e">
        <f>VLOOKUP($A4076, TAB_JUROS_U[[Q_DIAS_U_PARC_TIR]:[V_FUT_U_JURS CENARIO]], D$5, FALSE)</f>
        <v>#N/A</v>
      </c>
      <c r="E4076" s="22" t="e">
        <f>VLOOKUP($A4076,TAB_CORRECAO_U[[Q_DIAS_U_PARC_TIR]:[V_FUT_U_CORC-02]],E$5, FALSE)</f>
        <v>#N/A</v>
      </c>
      <c r="F4076" s="22" t="e">
        <f>VLOOKUP($A4076,TAB_AMORTIZACAO_U[[Q_DIAS_U_PARC_TIR]:[V_FUT_U_PCPL-02]], F$5, FALSE)</f>
        <v>#N/A</v>
      </c>
      <c r="H4076" s="20">
        <f t="shared" si="322"/>
        <v>0</v>
      </c>
      <c r="I4076" s="21">
        <f t="shared" si="323"/>
        <v>0</v>
      </c>
      <c r="J4076" s="22" t="e">
        <f>VLOOKUP($A4076, TAB_JUROS_C[[DIAS_CORRIDOS]:[V_FUT_UTEIS]], J$5, FALSE)</f>
        <v>#N/A</v>
      </c>
      <c r="K4076" s="22" t="e">
        <f>VLOOKUP($A4076, TAB_CORRECAO_C[[DIAS_CORRIDOS]:[V_FUT_UTEIS]],K$5, FALSE)</f>
        <v>#N/A</v>
      </c>
      <c r="L4076" s="22" t="e">
        <f>VLOOKUP($A4076, TAB_AMORTIZACAO_C[[DIAS_CORRIDOS]:[V_FUT_UTEIS]], L$5, FALSE)</f>
        <v>#N/A</v>
      </c>
    </row>
    <row r="4077" spans="1:12" hidden="1">
      <c r="A4077" s="19">
        <f t="shared" si="324"/>
        <v>4071</v>
      </c>
      <c r="B4077" s="20">
        <f t="shared" si="320"/>
        <v>0</v>
      </c>
      <c r="C4077" s="21">
        <f t="shared" si="321"/>
        <v>0</v>
      </c>
      <c r="D4077" s="22" t="e">
        <f>VLOOKUP($A4077, TAB_JUROS_U[[Q_DIAS_U_PARC_TIR]:[V_FUT_U_JURS CENARIO]], D$5, FALSE)</f>
        <v>#N/A</v>
      </c>
      <c r="E4077" s="22" t="e">
        <f>VLOOKUP($A4077,TAB_CORRECAO_U[[Q_DIAS_U_PARC_TIR]:[V_FUT_U_CORC-02]],E$5, FALSE)</f>
        <v>#N/A</v>
      </c>
      <c r="F4077" s="22" t="e">
        <f>VLOOKUP($A4077,TAB_AMORTIZACAO_U[[Q_DIAS_U_PARC_TIR]:[V_FUT_U_PCPL-02]], F$5, FALSE)</f>
        <v>#N/A</v>
      </c>
      <c r="H4077" s="20">
        <f t="shared" si="322"/>
        <v>0</v>
      </c>
      <c r="I4077" s="21">
        <f t="shared" si="323"/>
        <v>0</v>
      </c>
      <c r="J4077" s="22" t="e">
        <f>VLOOKUP($A4077, TAB_JUROS_C[[DIAS_CORRIDOS]:[V_FUT_UTEIS]], J$5, FALSE)</f>
        <v>#N/A</v>
      </c>
      <c r="K4077" s="22" t="e">
        <f>VLOOKUP($A4077, TAB_CORRECAO_C[[DIAS_CORRIDOS]:[V_FUT_UTEIS]],K$5, FALSE)</f>
        <v>#N/A</v>
      </c>
      <c r="L4077" s="22" t="e">
        <f>VLOOKUP($A4077, TAB_AMORTIZACAO_C[[DIAS_CORRIDOS]:[V_FUT_UTEIS]], L$5, FALSE)</f>
        <v>#N/A</v>
      </c>
    </row>
    <row r="4078" spans="1:12" hidden="1">
      <c r="A4078" s="19">
        <f t="shared" si="324"/>
        <v>4072</v>
      </c>
      <c r="B4078" s="20">
        <f t="shared" si="320"/>
        <v>0</v>
      </c>
      <c r="C4078" s="21">
        <f t="shared" si="321"/>
        <v>0</v>
      </c>
      <c r="D4078" s="22" t="e">
        <f>VLOOKUP($A4078, TAB_JUROS_U[[Q_DIAS_U_PARC_TIR]:[V_FUT_U_JURS CENARIO]], D$5, FALSE)</f>
        <v>#N/A</v>
      </c>
      <c r="E4078" s="22" t="e">
        <f>VLOOKUP($A4078,TAB_CORRECAO_U[[Q_DIAS_U_PARC_TIR]:[V_FUT_U_CORC-02]],E$5, FALSE)</f>
        <v>#N/A</v>
      </c>
      <c r="F4078" s="22" t="e">
        <f>VLOOKUP($A4078,TAB_AMORTIZACAO_U[[Q_DIAS_U_PARC_TIR]:[V_FUT_U_PCPL-02]], F$5, FALSE)</f>
        <v>#N/A</v>
      </c>
      <c r="H4078" s="20">
        <f t="shared" si="322"/>
        <v>0</v>
      </c>
      <c r="I4078" s="21">
        <f t="shared" si="323"/>
        <v>0</v>
      </c>
      <c r="J4078" s="22" t="e">
        <f>VLOOKUP($A4078, TAB_JUROS_C[[DIAS_CORRIDOS]:[V_FUT_UTEIS]], J$5, FALSE)</f>
        <v>#N/A</v>
      </c>
      <c r="K4078" s="22" t="e">
        <f>VLOOKUP($A4078, TAB_CORRECAO_C[[DIAS_CORRIDOS]:[V_FUT_UTEIS]],K$5, FALSE)</f>
        <v>#N/A</v>
      </c>
      <c r="L4078" s="22" t="e">
        <f>VLOOKUP($A4078, TAB_AMORTIZACAO_C[[DIAS_CORRIDOS]:[V_FUT_UTEIS]], L$5, FALSE)</f>
        <v>#N/A</v>
      </c>
    </row>
    <row r="4079" spans="1:12" hidden="1">
      <c r="A4079" s="19">
        <f t="shared" si="324"/>
        <v>4073</v>
      </c>
      <c r="B4079" s="20">
        <f t="shared" si="320"/>
        <v>0</v>
      </c>
      <c r="C4079" s="21">
        <f t="shared" si="321"/>
        <v>0</v>
      </c>
      <c r="D4079" s="22" t="e">
        <f>VLOOKUP($A4079, TAB_JUROS_U[[Q_DIAS_U_PARC_TIR]:[V_FUT_U_JURS CENARIO]], D$5, FALSE)</f>
        <v>#N/A</v>
      </c>
      <c r="E4079" s="22" t="e">
        <f>VLOOKUP($A4079,TAB_CORRECAO_U[[Q_DIAS_U_PARC_TIR]:[V_FUT_U_CORC-02]],E$5, FALSE)</f>
        <v>#N/A</v>
      </c>
      <c r="F4079" s="22" t="e">
        <f>VLOOKUP($A4079,TAB_AMORTIZACAO_U[[Q_DIAS_U_PARC_TIR]:[V_FUT_U_PCPL-02]], F$5, FALSE)</f>
        <v>#N/A</v>
      </c>
      <c r="H4079" s="20">
        <f t="shared" si="322"/>
        <v>0</v>
      </c>
      <c r="I4079" s="21">
        <f t="shared" si="323"/>
        <v>0</v>
      </c>
      <c r="J4079" s="22" t="e">
        <f>VLOOKUP($A4079, TAB_JUROS_C[[DIAS_CORRIDOS]:[V_FUT_UTEIS]], J$5, FALSE)</f>
        <v>#N/A</v>
      </c>
      <c r="K4079" s="22" t="e">
        <f>VLOOKUP($A4079, TAB_CORRECAO_C[[DIAS_CORRIDOS]:[V_FUT_UTEIS]],K$5, FALSE)</f>
        <v>#N/A</v>
      </c>
      <c r="L4079" s="22" t="e">
        <f>VLOOKUP($A4079, TAB_AMORTIZACAO_C[[DIAS_CORRIDOS]:[V_FUT_UTEIS]], L$5, FALSE)</f>
        <v>#N/A</v>
      </c>
    </row>
    <row r="4080" spans="1:12" hidden="1">
      <c r="A4080" s="19">
        <f t="shared" si="324"/>
        <v>4074</v>
      </c>
      <c r="B4080" s="20">
        <f t="shared" si="320"/>
        <v>0</v>
      </c>
      <c r="C4080" s="21">
        <f t="shared" si="321"/>
        <v>0</v>
      </c>
      <c r="D4080" s="22" t="e">
        <f>VLOOKUP($A4080, TAB_JUROS_U[[Q_DIAS_U_PARC_TIR]:[V_FUT_U_JURS CENARIO]], D$5, FALSE)</f>
        <v>#N/A</v>
      </c>
      <c r="E4080" s="22" t="e">
        <f>VLOOKUP($A4080,TAB_CORRECAO_U[[Q_DIAS_U_PARC_TIR]:[V_FUT_U_CORC-02]],E$5, FALSE)</f>
        <v>#N/A</v>
      </c>
      <c r="F4080" s="22" t="e">
        <f>VLOOKUP($A4080,TAB_AMORTIZACAO_U[[Q_DIAS_U_PARC_TIR]:[V_FUT_U_PCPL-02]], F$5, FALSE)</f>
        <v>#N/A</v>
      </c>
      <c r="H4080" s="20">
        <f t="shared" si="322"/>
        <v>0</v>
      </c>
      <c r="I4080" s="21">
        <f t="shared" si="323"/>
        <v>0</v>
      </c>
      <c r="J4080" s="22" t="e">
        <f>VLOOKUP($A4080, TAB_JUROS_C[[DIAS_CORRIDOS]:[V_FUT_UTEIS]], J$5, FALSE)</f>
        <v>#N/A</v>
      </c>
      <c r="K4080" s="22" t="e">
        <f>VLOOKUP($A4080, TAB_CORRECAO_C[[DIAS_CORRIDOS]:[V_FUT_UTEIS]],K$5, FALSE)</f>
        <v>#N/A</v>
      </c>
      <c r="L4080" s="22" t="e">
        <f>VLOOKUP($A4080, TAB_AMORTIZACAO_C[[DIAS_CORRIDOS]:[V_FUT_UTEIS]], L$5, FALSE)</f>
        <v>#N/A</v>
      </c>
    </row>
    <row r="4081" spans="1:12" hidden="1">
      <c r="A4081" s="19">
        <f t="shared" si="324"/>
        <v>4075</v>
      </c>
      <c r="B4081" s="20">
        <f t="shared" si="320"/>
        <v>0</v>
      </c>
      <c r="C4081" s="21">
        <f t="shared" si="321"/>
        <v>0</v>
      </c>
      <c r="D4081" s="22" t="e">
        <f>VLOOKUP($A4081, TAB_JUROS_U[[Q_DIAS_U_PARC_TIR]:[V_FUT_U_JURS CENARIO]], D$5, FALSE)</f>
        <v>#N/A</v>
      </c>
      <c r="E4081" s="22" t="e">
        <f>VLOOKUP($A4081,TAB_CORRECAO_U[[Q_DIAS_U_PARC_TIR]:[V_FUT_U_CORC-02]],E$5, FALSE)</f>
        <v>#N/A</v>
      </c>
      <c r="F4081" s="22" t="e">
        <f>VLOOKUP($A4081,TAB_AMORTIZACAO_U[[Q_DIAS_U_PARC_TIR]:[V_FUT_U_PCPL-02]], F$5, FALSE)</f>
        <v>#N/A</v>
      </c>
      <c r="H4081" s="20">
        <f t="shared" si="322"/>
        <v>0</v>
      </c>
      <c r="I4081" s="21">
        <f t="shared" si="323"/>
        <v>0</v>
      </c>
      <c r="J4081" s="22" t="e">
        <f>VLOOKUP($A4081, TAB_JUROS_C[[DIAS_CORRIDOS]:[V_FUT_UTEIS]], J$5, FALSE)</f>
        <v>#N/A</v>
      </c>
      <c r="K4081" s="22" t="e">
        <f>VLOOKUP($A4081, TAB_CORRECAO_C[[DIAS_CORRIDOS]:[V_FUT_UTEIS]],K$5, FALSE)</f>
        <v>#N/A</v>
      </c>
      <c r="L4081" s="22" t="e">
        <f>VLOOKUP($A4081, TAB_AMORTIZACAO_C[[DIAS_CORRIDOS]:[V_FUT_UTEIS]], L$5, FALSE)</f>
        <v>#N/A</v>
      </c>
    </row>
    <row r="4082" spans="1:12" hidden="1">
      <c r="A4082" s="19">
        <f t="shared" si="324"/>
        <v>4076</v>
      </c>
      <c r="B4082" s="20">
        <f t="shared" si="320"/>
        <v>0</v>
      </c>
      <c r="C4082" s="21">
        <f t="shared" si="321"/>
        <v>0</v>
      </c>
      <c r="D4082" s="22" t="e">
        <f>VLOOKUP($A4082, TAB_JUROS_U[[Q_DIAS_U_PARC_TIR]:[V_FUT_U_JURS CENARIO]], D$5, FALSE)</f>
        <v>#N/A</v>
      </c>
      <c r="E4082" s="22" t="e">
        <f>VLOOKUP($A4082,TAB_CORRECAO_U[[Q_DIAS_U_PARC_TIR]:[V_FUT_U_CORC-02]],E$5, FALSE)</f>
        <v>#N/A</v>
      </c>
      <c r="F4082" s="22" t="e">
        <f>VLOOKUP($A4082,TAB_AMORTIZACAO_U[[Q_DIAS_U_PARC_TIR]:[V_FUT_U_PCPL-02]], F$5, FALSE)</f>
        <v>#N/A</v>
      </c>
      <c r="H4082" s="20">
        <f t="shared" si="322"/>
        <v>0</v>
      </c>
      <c r="I4082" s="21">
        <f t="shared" si="323"/>
        <v>0</v>
      </c>
      <c r="J4082" s="22" t="e">
        <f>VLOOKUP($A4082, TAB_JUROS_C[[DIAS_CORRIDOS]:[V_FUT_UTEIS]], J$5, FALSE)</f>
        <v>#N/A</v>
      </c>
      <c r="K4082" s="22" t="e">
        <f>VLOOKUP($A4082, TAB_CORRECAO_C[[DIAS_CORRIDOS]:[V_FUT_UTEIS]],K$5, FALSE)</f>
        <v>#N/A</v>
      </c>
      <c r="L4082" s="22" t="e">
        <f>VLOOKUP($A4082, TAB_AMORTIZACAO_C[[DIAS_CORRIDOS]:[V_FUT_UTEIS]], L$5, FALSE)</f>
        <v>#N/A</v>
      </c>
    </row>
    <row r="4083" spans="1:12" hidden="1">
      <c r="A4083" s="19">
        <f t="shared" si="324"/>
        <v>4077</v>
      </c>
      <c r="B4083" s="20">
        <f t="shared" si="320"/>
        <v>0</v>
      </c>
      <c r="C4083" s="21">
        <f t="shared" si="321"/>
        <v>0</v>
      </c>
      <c r="D4083" s="22" t="e">
        <f>VLOOKUP($A4083, TAB_JUROS_U[[Q_DIAS_U_PARC_TIR]:[V_FUT_U_JURS CENARIO]], D$5, FALSE)</f>
        <v>#N/A</v>
      </c>
      <c r="E4083" s="22" t="e">
        <f>VLOOKUP($A4083,TAB_CORRECAO_U[[Q_DIAS_U_PARC_TIR]:[V_FUT_U_CORC-02]],E$5, FALSE)</f>
        <v>#N/A</v>
      </c>
      <c r="F4083" s="22" t="e">
        <f>VLOOKUP($A4083,TAB_AMORTIZACAO_U[[Q_DIAS_U_PARC_TIR]:[V_FUT_U_PCPL-02]], F$5, FALSE)</f>
        <v>#N/A</v>
      </c>
      <c r="H4083" s="20">
        <f t="shared" si="322"/>
        <v>0</v>
      </c>
      <c r="I4083" s="21">
        <f t="shared" si="323"/>
        <v>0</v>
      </c>
      <c r="J4083" s="22" t="e">
        <f>VLOOKUP($A4083, TAB_JUROS_C[[DIAS_CORRIDOS]:[V_FUT_UTEIS]], J$5, FALSE)</f>
        <v>#N/A</v>
      </c>
      <c r="K4083" s="22" t="e">
        <f>VLOOKUP($A4083, TAB_CORRECAO_C[[DIAS_CORRIDOS]:[V_FUT_UTEIS]],K$5, FALSE)</f>
        <v>#N/A</v>
      </c>
      <c r="L4083" s="22" t="e">
        <f>VLOOKUP($A4083, TAB_AMORTIZACAO_C[[DIAS_CORRIDOS]:[V_FUT_UTEIS]], L$5, FALSE)</f>
        <v>#N/A</v>
      </c>
    </row>
    <row r="4084" spans="1:12" hidden="1">
      <c r="A4084" s="19">
        <f t="shared" si="324"/>
        <v>4078</v>
      </c>
      <c r="B4084" s="20">
        <f t="shared" si="320"/>
        <v>0</v>
      </c>
      <c r="C4084" s="21">
        <f t="shared" si="321"/>
        <v>0</v>
      </c>
      <c r="D4084" s="22" t="e">
        <f>VLOOKUP($A4084, TAB_JUROS_U[[Q_DIAS_U_PARC_TIR]:[V_FUT_U_JURS CENARIO]], D$5, FALSE)</f>
        <v>#N/A</v>
      </c>
      <c r="E4084" s="22" t="e">
        <f>VLOOKUP($A4084,TAB_CORRECAO_U[[Q_DIAS_U_PARC_TIR]:[V_FUT_U_CORC-02]],E$5, FALSE)</f>
        <v>#N/A</v>
      </c>
      <c r="F4084" s="22" t="e">
        <f>VLOOKUP($A4084,TAB_AMORTIZACAO_U[[Q_DIAS_U_PARC_TIR]:[V_FUT_U_PCPL-02]], F$5, FALSE)</f>
        <v>#N/A</v>
      </c>
      <c r="H4084" s="20">
        <f t="shared" si="322"/>
        <v>0</v>
      </c>
      <c r="I4084" s="21">
        <f t="shared" si="323"/>
        <v>0</v>
      </c>
      <c r="J4084" s="22" t="e">
        <f>VLOOKUP($A4084, TAB_JUROS_C[[DIAS_CORRIDOS]:[V_FUT_UTEIS]], J$5, FALSE)</f>
        <v>#N/A</v>
      </c>
      <c r="K4084" s="22" t="e">
        <f>VLOOKUP($A4084, TAB_CORRECAO_C[[DIAS_CORRIDOS]:[V_FUT_UTEIS]],K$5, FALSE)</f>
        <v>#N/A</v>
      </c>
      <c r="L4084" s="22" t="e">
        <f>VLOOKUP($A4084, TAB_AMORTIZACAO_C[[DIAS_CORRIDOS]:[V_FUT_UTEIS]], L$5, FALSE)</f>
        <v>#N/A</v>
      </c>
    </row>
    <row r="4085" spans="1:12" hidden="1">
      <c r="A4085" s="19">
        <f t="shared" si="324"/>
        <v>4079</v>
      </c>
      <c r="B4085" s="20">
        <f t="shared" si="320"/>
        <v>0</v>
      </c>
      <c r="C4085" s="21">
        <f t="shared" si="321"/>
        <v>0</v>
      </c>
      <c r="D4085" s="22" t="e">
        <f>VLOOKUP($A4085, TAB_JUROS_U[[Q_DIAS_U_PARC_TIR]:[V_FUT_U_JURS CENARIO]], D$5, FALSE)</f>
        <v>#N/A</v>
      </c>
      <c r="E4085" s="22" t="e">
        <f>VLOOKUP($A4085,TAB_CORRECAO_U[[Q_DIAS_U_PARC_TIR]:[V_FUT_U_CORC-02]],E$5, FALSE)</f>
        <v>#N/A</v>
      </c>
      <c r="F4085" s="22" t="e">
        <f>VLOOKUP($A4085,TAB_AMORTIZACAO_U[[Q_DIAS_U_PARC_TIR]:[V_FUT_U_PCPL-02]], F$5, FALSE)</f>
        <v>#N/A</v>
      </c>
      <c r="H4085" s="20">
        <f t="shared" si="322"/>
        <v>0</v>
      </c>
      <c r="I4085" s="21">
        <f t="shared" si="323"/>
        <v>0</v>
      </c>
      <c r="J4085" s="22" t="e">
        <f>VLOOKUP($A4085, TAB_JUROS_C[[DIAS_CORRIDOS]:[V_FUT_UTEIS]], J$5, FALSE)</f>
        <v>#N/A</v>
      </c>
      <c r="K4085" s="22" t="e">
        <f>VLOOKUP($A4085, TAB_CORRECAO_C[[DIAS_CORRIDOS]:[V_FUT_UTEIS]],K$5, FALSE)</f>
        <v>#N/A</v>
      </c>
      <c r="L4085" s="22" t="e">
        <f>VLOOKUP($A4085, TAB_AMORTIZACAO_C[[DIAS_CORRIDOS]:[V_FUT_UTEIS]], L$5, FALSE)</f>
        <v>#N/A</v>
      </c>
    </row>
    <row r="4086" spans="1:12" hidden="1">
      <c r="A4086" s="19">
        <f t="shared" si="324"/>
        <v>4080</v>
      </c>
      <c r="B4086" s="20">
        <f t="shared" si="320"/>
        <v>0</v>
      </c>
      <c r="C4086" s="21">
        <f t="shared" si="321"/>
        <v>0</v>
      </c>
      <c r="D4086" s="22" t="e">
        <f>VLOOKUP($A4086, TAB_JUROS_U[[Q_DIAS_U_PARC_TIR]:[V_FUT_U_JURS CENARIO]], D$5, FALSE)</f>
        <v>#N/A</v>
      </c>
      <c r="E4086" s="22" t="e">
        <f>VLOOKUP($A4086,TAB_CORRECAO_U[[Q_DIAS_U_PARC_TIR]:[V_FUT_U_CORC-02]],E$5, FALSE)</f>
        <v>#N/A</v>
      </c>
      <c r="F4086" s="22" t="e">
        <f>VLOOKUP($A4086,TAB_AMORTIZACAO_U[[Q_DIAS_U_PARC_TIR]:[V_FUT_U_PCPL-02]], F$5, FALSE)</f>
        <v>#N/A</v>
      </c>
      <c r="H4086" s="20">
        <f t="shared" si="322"/>
        <v>0</v>
      </c>
      <c r="I4086" s="21">
        <f t="shared" si="323"/>
        <v>0</v>
      </c>
      <c r="J4086" s="22" t="e">
        <f>VLOOKUP($A4086, TAB_JUROS_C[[DIAS_CORRIDOS]:[V_FUT_UTEIS]], J$5, FALSE)</f>
        <v>#N/A</v>
      </c>
      <c r="K4086" s="22" t="e">
        <f>VLOOKUP($A4086, TAB_CORRECAO_C[[DIAS_CORRIDOS]:[V_FUT_UTEIS]],K$5, FALSE)</f>
        <v>#N/A</v>
      </c>
      <c r="L4086" s="22" t="e">
        <f>VLOOKUP($A4086, TAB_AMORTIZACAO_C[[DIAS_CORRIDOS]:[V_FUT_UTEIS]], L$5, FALSE)</f>
        <v>#N/A</v>
      </c>
    </row>
    <row r="4087" spans="1:12" hidden="1">
      <c r="A4087" s="19">
        <f t="shared" si="324"/>
        <v>4081</v>
      </c>
      <c r="B4087" s="20">
        <f t="shared" si="320"/>
        <v>0</v>
      </c>
      <c r="C4087" s="21">
        <f t="shared" si="321"/>
        <v>0</v>
      </c>
      <c r="D4087" s="22" t="e">
        <f>VLOOKUP($A4087, TAB_JUROS_U[[Q_DIAS_U_PARC_TIR]:[V_FUT_U_JURS CENARIO]], D$5, FALSE)</f>
        <v>#N/A</v>
      </c>
      <c r="E4087" s="22" t="e">
        <f>VLOOKUP($A4087,TAB_CORRECAO_U[[Q_DIAS_U_PARC_TIR]:[V_FUT_U_CORC-02]],E$5, FALSE)</f>
        <v>#N/A</v>
      </c>
      <c r="F4087" s="22" t="e">
        <f>VLOOKUP($A4087,TAB_AMORTIZACAO_U[[Q_DIAS_U_PARC_TIR]:[V_FUT_U_PCPL-02]], F$5, FALSE)</f>
        <v>#N/A</v>
      </c>
      <c r="H4087" s="20">
        <f t="shared" si="322"/>
        <v>0</v>
      </c>
      <c r="I4087" s="21">
        <f t="shared" si="323"/>
        <v>0</v>
      </c>
      <c r="J4087" s="22" t="e">
        <f>VLOOKUP($A4087, TAB_JUROS_C[[DIAS_CORRIDOS]:[V_FUT_UTEIS]], J$5, FALSE)</f>
        <v>#N/A</v>
      </c>
      <c r="K4087" s="22" t="e">
        <f>VLOOKUP($A4087, TAB_CORRECAO_C[[DIAS_CORRIDOS]:[V_FUT_UTEIS]],K$5, FALSE)</f>
        <v>#N/A</v>
      </c>
      <c r="L4087" s="22" t="e">
        <f>VLOOKUP($A4087, TAB_AMORTIZACAO_C[[DIAS_CORRIDOS]:[V_FUT_UTEIS]], L$5, FALSE)</f>
        <v>#N/A</v>
      </c>
    </row>
    <row r="4088" spans="1:12" hidden="1">
      <c r="A4088" s="19">
        <f t="shared" si="324"/>
        <v>4082</v>
      </c>
      <c r="B4088" s="20">
        <f t="shared" si="320"/>
        <v>0</v>
      </c>
      <c r="C4088" s="21">
        <f t="shared" si="321"/>
        <v>0</v>
      </c>
      <c r="D4088" s="22" t="e">
        <f>VLOOKUP($A4088, TAB_JUROS_U[[Q_DIAS_U_PARC_TIR]:[V_FUT_U_JURS CENARIO]], D$5, FALSE)</f>
        <v>#N/A</v>
      </c>
      <c r="E4088" s="22" t="e">
        <f>VLOOKUP($A4088,TAB_CORRECAO_U[[Q_DIAS_U_PARC_TIR]:[V_FUT_U_CORC-02]],E$5, FALSE)</f>
        <v>#N/A</v>
      </c>
      <c r="F4088" s="22" t="e">
        <f>VLOOKUP($A4088,TAB_AMORTIZACAO_U[[Q_DIAS_U_PARC_TIR]:[V_FUT_U_PCPL-02]], F$5, FALSE)</f>
        <v>#N/A</v>
      </c>
      <c r="H4088" s="20">
        <f t="shared" si="322"/>
        <v>0</v>
      </c>
      <c r="I4088" s="21">
        <f t="shared" si="323"/>
        <v>0</v>
      </c>
      <c r="J4088" s="22" t="e">
        <f>VLOOKUP($A4088, TAB_JUROS_C[[DIAS_CORRIDOS]:[V_FUT_UTEIS]], J$5, FALSE)</f>
        <v>#N/A</v>
      </c>
      <c r="K4088" s="22" t="e">
        <f>VLOOKUP($A4088, TAB_CORRECAO_C[[DIAS_CORRIDOS]:[V_FUT_UTEIS]],K$5, FALSE)</f>
        <v>#N/A</v>
      </c>
      <c r="L4088" s="22" t="e">
        <f>VLOOKUP($A4088, TAB_AMORTIZACAO_C[[DIAS_CORRIDOS]:[V_FUT_UTEIS]], L$5, FALSE)</f>
        <v>#N/A</v>
      </c>
    </row>
    <row r="4089" spans="1:12" hidden="1">
      <c r="A4089" s="19">
        <f t="shared" si="324"/>
        <v>4083</v>
      </c>
      <c r="B4089" s="20">
        <f t="shared" si="320"/>
        <v>0</v>
      </c>
      <c r="C4089" s="21">
        <f t="shared" si="321"/>
        <v>0</v>
      </c>
      <c r="D4089" s="22" t="e">
        <f>VLOOKUP($A4089, TAB_JUROS_U[[Q_DIAS_U_PARC_TIR]:[V_FUT_U_JURS CENARIO]], D$5, FALSE)</f>
        <v>#N/A</v>
      </c>
      <c r="E4089" s="22" t="e">
        <f>VLOOKUP($A4089,TAB_CORRECAO_U[[Q_DIAS_U_PARC_TIR]:[V_FUT_U_CORC-02]],E$5, FALSE)</f>
        <v>#N/A</v>
      </c>
      <c r="F4089" s="22" t="e">
        <f>VLOOKUP($A4089,TAB_AMORTIZACAO_U[[Q_DIAS_U_PARC_TIR]:[V_FUT_U_PCPL-02]], F$5, FALSE)</f>
        <v>#N/A</v>
      </c>
      <c r="H4089" s="20">
        <f t="shared" si="322"/>
        <v>0</v>
      </c>
      <c r="I4089" s="21">
        <f t="shared" si="323"/>
        <v>0</v>
      </c>
      <c r="J4089" s="22" t="e">
        <f>VLOOKUP($A4089, TAB_JUROS_C[[DIAS_CORRIDOS]:[V_FUT_UTEIS]], J$5, FALSE)</f>
        <v>#N/A</v>
      </c>
      <c r="K4089" s="22" t="e">
        <f>VLOOKUP($A4089, TAB_CORRECAO_C[[DIAS_CORRIDOS]:[V_FUT_UTEIS]],K$5, FALSE)</f>
        <v>#N/A</v>
      </c>
      <c r="L4089" s="22" t="e">
        <f>VLOOKUP($A4089, TAB_AMORTIZACAO_C[[DIAS_CORRIDOS]:[V_FUT_UTEIS]], L$5, FALSE)</f>
        <v>#N/A</v>
      </c>
    </row>
    <row r="4090" spans="1:12" hidden="1">
      <c r="A4090" s="19">
        <f t="shared" si="324"/>
        <v>4084</v>
      </c>
      <c r="B4090" s="20">
        <f t="shared" si="320"/>
        <v>0</v>
      </c>
      <c r="C4090" s="21">
        <f t="shared" si="321"/>
        <v>0</v>
      </c>
      <c r="D4090" s="22" t="e">
        <f>VLOOKUP($A4090, TAB_JUROS_U[[Q_DIAS_U_PARC_TIR]:[V_FUT_U_JURS CENARIO]], D$5, FALSE)</f>
        <v>#N/A</v>
      </c>
      <c r="E4090" s="22" t="e">
        <f>VLOOKUP($A4090,TAB_CORRECAO_U[[Q_DIAS_U_PARC_TIR]:[V_FUT_U_CORC-02]],E$5, FALSE)</f>
        <v>#N/A</v>
      </c>
      <c r="F4090" s="22" t="e">
        <f>VLOOKUP($A4090,TAB_AMORTIZACAO_U[[Q_DIAS_U_PARC_TIR]:[V_FUT_U_PCPL-02]], F$5, FALSE)</f>
        <v>#N/A</v>
      </c>
      <c r="H4090" s="20">
        <f t="shared" si="322"/>
        <v>0</v>
      </c>
      <c r="I4090" s="21">
        <f t="shared" si="323"/>
        <v>0</v>
      </c>
      <c r="J4090" s="22" t="e">
        <f>VLOOKUP($A4090, TAB_JUROS_C[[DIAS_CORRIDOS]:[V_FUT_UTEIS]], J$5, FALSE)</f>
        <v>#N/A</v>
      </c>
      <c r="K4090" s="22" t="e">
        <f>VLOOKUP($A4090, TAB_CORRECAO_C[[DIAS_CORRIDOS]:[V_FUT_UTEIS]],K$5, FALSE)</f>
        <v>#N/A</v>
      </c>
      <c r="L4090" s="22" t="e">
        <f>VLOOKUP($A4090, TAB_AMORTIZACAO_C[[DIAS_CORRIDOS]:[V_FUT_UTEIS]], L$5, FALSE)</f>
        <v>#N/A</v>
      </c>
    </row>
    <row r="4091" spans="1:12" hidden="1">
      <c r="A4091" s="19">
        <f t="shared" si="324"/>
        <v>4085</v>
      </c>
      <c r="B4091" s="20">
        <f t="shared" si="320"/>
        <v>0</v>
      </c>
      <c r="C4091" s="21">
        <f t="shared" si="321"/>
        <v>0</v>
      </c>
      <c r="D4091" s="22" t="e">
        <f>VLOOKUP($A4091, TAB_JUROS_U[[Q_DIAS_U_PARC_TIR]:[V_FUT_U_JURS CENARIO]], D$5, FALSE)</f>
        <v>#N/A</v>
      </c>
      <c r="E4091" s="22" t="e">
        <f>VLOOKUP($A4091,TAB_CORRECAO_U[[Q_DIAS_U_PARC_TIR]:[V_FUT_U_CORC-02]],E$5, FALSE)</f>
        <v>#N/A</v>
      </c>
      <c r="F4091" s="22" t="e">
        <f>VLOOKUP($A4091,TAB_AMORTIZACAO_U[[Q_DIAS_U_PARC_TIR]:[V_FUT_U_PCPL-02]], F$5, FALSE)</f>
        <v>#N/A</v>
      </c>
      <c r="H4091" s="20">
        <f t="shared" si="322"/>
        <v>0</v>
      </c>
      <c r="I4091" s="21">
        <f t="shared" si="323"/>
        <v>0</v>
      </c>
      <c r="J4091" s="22" t="e">
        <f>VLOOKUP($A4091, TAB_JUROS_C[[DIAS_CORRIDOS]:[V_FUT_UTEIS]], J$5, FALSE)</f>
        <v>#N/A</v>
      </c>
      <c r="K4091" s="22" t="e">
        <f>VLOOKUP($A4091, TAB_CORRECAO_C[[DIAS_CORRIDOS]:[V_FUT_UTEIS]],K$5, FALSE)</f>
        <v>#N/A</v>
      </c>
      <c r="L4091" s="22" t="e">
        <f>VLOOKUP($A4091, TAB_AMORTIZACAO_C[[DIAS_CORRIDOS]:[V_FUT_UTEIS]], L$5, FALSE)</f>
        <v>#N/A</v>
      </c>
    </row>
    <row r="4092" spans="1:12" hidden="1">
      <c r="A4092" s="19">
        <f t="shared" si="324"/>
        <v>4086</v>
      </c>
      <c r="B4092" s="20">
        <f t="shared" si="320"/>
        <v>0</v>
      </c>
      <c r="C4092" s="21">
        <f t="shared" si="321"/>
        <v>0</v>
      </c>
      <c r="D4092" s="22" t="e">
        <f>VLOOKUP($A4092, TAB_JUROS_U[[Q_DIAS_U_PARC_TIR]:[V_FUT_U_JURS CENARIO]], D$5, FALSE)</f>
        <v>#N/A</v>
      </c>
      <c r="E4092" s="22" t="e">
        <f>VLOOKUP($A4092,TAB_CORRECAO_U[[Q_DIAS_U_PARC_TIR]:[V_FUT_U_CORC-02]],E$5, FALSE)</f>
        <v>#N/A</v>
      </c>
      <c r="F4092" s="22" t="e">
        <f>VLOOKUP($A4092,TAB_AMORTIZACAO_U[[Q_DIAS_U_PARC_TIR]:[V_FUT_U_PCPL-02]], F$5, FALSE)</f>
        <v>#N/A</v>
      </c>
      <c r="H4092" s="20">
        <f t="shared" si="322"/>
        <v>0</v>
      </c>
      <c r="I4092" s="21">
        <f t="shared" si="323"/>
        <v>0</v>
      </c>
      <c r="J4092" s="22" t="e">
        <f>VLOOKUP($A4092, TAB_JUROS_C[[DIAS_CORRIDOS]:[V_FUT_UTEIS]], J$5, FALSE)</f>
        <v>#N/A</v>
      </c>
      <c r="K4092" s="22" t="e">
        <f>VLOOKUP($A4092, TAB_CORRECAO_C[[DIAS_CORRIDOS]:[V_FUT_UTEIS]],K$5, FALSE)</f>
        <v>#N/A</v>
      </c>
      <c r="L4092" s="22" t="e">
        <f>VLOOKUP($A4092, TAB_AMORTIZACAO_C[[DIAS_CORRIDOS]:[V_FUT_UTEIS]], L$5, FALSE)</f>
        <v>#N/A</v>
      </c>
    </row>
    <row r="4093" spans="1:12" hidden="1">
      <c r="A4093" s="19">
        <f t="shared" si="324"/>
        <v>4087</v>
      </c>
      <c r="B4093" s="20">
        <f t="shared" si="320"/>
        <v>0</v>
      </c>
      <c r="C4093" s="21">
        <f t="shared" si="321"/>
        <v>0</v>
      </c>
      <c r="D4093" s="22" t="e">
        <f>VLOOKUP($A4093, TAB_JUROS_U[[Q_DIAS_U_PARC_TIR]:[V_FUT_U_JURS CENARIO]], D$5, FALSE)</f>
        <v>#N/A</v>
      </c>
      <c r="E4093" s="22" t="e">
        <f>VLOOKUP($A4093,TAB_CORRECAO_U[[Q_DIAS_U_PARC_TIR]:[V_FUT_U_CORC-02]],E$5, FALSE)</f>
        <v>#N/A</v>
      </c>
      <c r="F4093" s="22" t="e">
        <f>VLOOKUP($A4093,TAB_AMORTIZACAO_U[[Q_DIAS_U_PARC_TIR]:[V_FUT_U_PCPL-02]], F$5, FALSE)</f>
        <v>#N/A</v>
      </c>
      <c r="H4093" s="20">
        <f t="shared" si="322"/>
        <v>0</v>
      </c>
      <c r="I4093" s="21">
        <f t="shared" si="323"/>
        <v>0</v>
      </c>
      <c r="J4093" s="22" t="e">
        <f>VLOOKUP($A4093, TAB_JUROS_C[[DIAS_CORRIDOS]:[V_FUT_UTEIS]], J$5, FALSE)</f>
        <v>#N/A</v>
      </c>
      <c r="K4093" s="22" t="e">
        <f>VLOOKUP($A4093, TAB_CORRECAO_C[[DIAS_CORRIDOS]:[V_FUT_UTEIS]],K$5, FALSE)</f>
        <v>#N/A</v>
      </c>
      <c r="L4093" s="22" t="e">
        <f>VLOOKUP($A4093, TAB_AMORTIZACAO_C[[DIAS_CORRIDOS]:[V_FUT_UTEIS]], L$5, FALSE)</f>
        <v>#N/A</v>
      </c>
    </row>
    <row r="4094" spans="1:12" hidden="1">
      <c r="A4094" s="19">
        <f t="shared" si="324"/>
        <v>4088</v>
      </c>
      <c r="B4094" s="20">
        <f t="shared" si="320"/>
        <v>0</v>
      </c>
      <c r="C4094" s="21">
        <f t="shared" si="321"/>
        <v>0</v>
      </c>
      <c r="D4094" s="22" t="e">
        <f>VLOOKUP($A4094, TAB_JUROS_U[[Q_DIAS_U_PARC_TIR]:[V_FUT_U_JURS CENARIO]], D$5, FALSE)</f>
        <v>#N/A</v>
      </c>
      <c r="E4094" s="22" t="e">
        <f>VLOOKUP($A4094,TAB_CORRECAO_U[[Q_DIAS_U_PARC_TIR]:[V_FUT_U_CORC-02]],E$5, FALSE)</f>
        <v>#N/A</v>
      </c>
      <c r="F4094" s="22" t="e">
        <f>VLOOKUP($A4094,TAB_AMORTIZACAO_U[[Q_DIAS_U_PARC_TIR]:[V_FUT_U_PCPL-02]], F$5, FALSE)</f>
        <v>#N/A</v>
      </c>
      <c r="H4094" s="20">
        <f t="shared" si="322"/>
        <v>111.32571553176227</v>
      </c>
      <c r="I4094" s="21">
        <f t="shared" si="323"/>
        <v>111.32571553176227</v>
      </c>
      <c r="J4094" s="22">
        <f>VLOOKUP($A4094, TAB_JUROS_C[[DIAS_CORRIDOS]:[V_FUT_UTEIS]], J$5, FALSE)</f>
        <v>1.6857810550798304</v>
      </c>
      <c r="K4094" s="22">
        <f>VLOOKUP($A4094, TAB_CORRECAO_C[[DIAS_CORRIDOS]:[V_FUT_UTEIS]],K$5, FALSE)</f>
        <v>10.319998952236272</v>
      </c>
      <c r="L4094" s="22">
        <f>VLOOKUP($A4094, TAB_AMORTIZACAO_C[[DIAS_CORRIDOS]:[V_FUT_UTEIS]], L$5, FALSE)</f>
        <v>99.319935524446166</v>
      </c>
    </row>
    <row r="4095" spans="1:12" hidden="1">
      <c r="A4095" s="19">
        <f t="shared" si="324"/>
        <v>4089</v>
      </c>
      <c r="B4095" s="20">
        <f t="shared" si="320"/>
        <v>0</v>
      </c>
      <c r="C4095" s="21">
        <f t="shared" si="321"/>
        <v>0</v>
      </c>
      <c r="D4095" s="22" t="e">
        <f>VLOOKUP($A4095, TAB_JUROS_U[[Q_DIAS_U_PARC_TIR]:[V_FUT_U_JURS CENARIO]], D$5, FALSE)</f>
        <v>#N/A</v>
      </c>
      <c r="E4095" s="22" t="e">
        <f>VLOOKUP($A4095,TAB_CORRECAO_U[[Q_DIAS_U_PARC_TIR]:[V_FUT_U_CORC-02]],E$5, FALSE)</f>
        <v>#N/A</v>
      </c>
      <c r="F4095" s="22" t="e">
        <f>VLOOKUP($A4095,TAB_AMORTIZACAO_U[[Q_DIAS_U_PARC_TIR]:[V_FUT_U_PCPL-02]], F$5, FALSE)</f>
        <v>#N/A</v>
      </c>
      <c r="H4095" s="20">
        <f t="shared" si="322"/>
        <v>0</v>
      </c>
      <c r="I4095" s="21">
        <f t="shared" si="323"/>
        <v>0</v>
      </c>
      <c r="J4095" s="22" t="e">
        <f>VLOOKUP($A4095, TAB_JUROS_C[[DIAS_CORRIDOS]:[V_FUT_UTEIS]], J$5, FALSE)</f>
        <v>#N/A</v>
      </c>
      <c r="K4095" s="22" t="e">
        <f>VLOOKUP($A4095, TAB_CORRECAO_C[[DIAS_CORRIDOS]:[V_FUT_UTEIS]],K$5, FALSE)</f>
        <v>#N/A</v>
      </c>
      <c r="L4095" s="22" t="e">
        <f>VLOOKUP($A4095, TAB_AMORTIZACAO_C[[DIAS_CORRIDOS]:[V_FUT_UTEIS]], L$5, FALSE)</f>
        <v>#N/A</v>
      </c>
    </row>
    <row r="4096" spans="1:12" hidden="1">
      <c r="A4096" s="19">
        <f t="shared" si="324"/>
        <v>4090</v>
      </c>
      <c r="B4096" s="20">
        <f t="shared" si="320"/>
        <v>0</v>
      </c>
      <c r="C4096" s="21">
        <f t="shared" si="321"/>
        <v>0</v>
      </c>
      <c r="D4096" s="22" t="e">
        <f>VLOOKUP($A4096, TAB_JUROS_U[[Q_DIAS_U_PARC_TIR]:[V_FUT_U_JURS CENARIO]], D$5, FALSE)</f>
        <v>#N/A</v>
      </c>
      <c r="E4096" s="22" t="e">
        <f>VLOOKUP($A4096,TAB_CORRECAO_U[[Q_DIAS_U_PARC_TIR]:[V_FUT_U_CORC-02]],E$5, FALSE)</f>
        <v>#N/A</v>
      </c>
      <c r="F4096" s="22" t="e">
        <f>VLOOKUP($A4096,TAB_AMORTIZACAO_U[[Q_DIAS_U_PARC_TIR]:[V_FUT_U_PCPL-02]], F$5, FALSE)</f>
        <v>#N/A</v>
      </c>
      <c r="H4096" s="20">
        <f t="shared" si="322"/>
        <v>0</v>
      </c>
      <c r="I4096" s="21">
        <f t="shared" si="323"/>
        <v>0</v>
      </c>
      <c r="J4096" s="22" t="e">
        <f>VLOOKUP($A4096, TAB_JUROS_C[[DIAS_CORRIDOS]:[V_FUT_UTEIS]], J$5, FALSE)</f>
        <v>#N/A</v>
      </c>
      <c r="K4096" s="22" t="e">
        <f>VLOOKUP($A4096, TAB_CORRECAO_C[[DIAS_CORRIDOS]:[V_FUT_UTEIS]],K$5, FALSE)</f>
        <v>#N/A</v>
      </c>
      <c r="L4096" s="22" t="e">
        <f>VLOOKUP($A4096, TAB_AMORTIZACAO_C[[DIAS_CORRIDOS]:[V_FUT_UTEIS]], L$5, FALSE)</f>
        <v>#N/A</v>
      </c>
    </row>
    <row r="4097" spans="1:12" hidden="1">
      <c r="A4097" s="19">
        <f t="shared" si="324"/>
        <v>4091</v>
      </c>
      <c r="B4097" s="20">
        <f t="shared" si="320"/>
        <v>0</v>
      </c>
      <c r="C4097" s="21">
        <f t="shared" si="321"/>
        <v>0</v>
      </c>
      <c r="D4097" s="22" t="e">
        <f>VLOOKUP($A4097, TAB_JUROS_U[[Q_DIAS_U_PARC_TIR]:[V_FUT_U_JURS CENARIO]], D$5, FALSE)</f>
        <v>#N/A</v>
      </c>
      <c r="E4097" s="22" t="e">
        <f>VLOOKUP($A4097,TAB_CORRECAO_U[[Q_DIAS_U_PARC_TIR]:[V_FUT_U_CORC-02]],E$5, FALSE)</f>
        <v>#N/A</v>
      </c>
      <c r="F4097" s="22" t="e">
        <f>VLOOKUP($A4097,TAB_AMORTIZACAO_U[[Q_DIAS_U_PARC_TIR]:[V_FUT_U_PCPL-02]], F$5, FALSE)</f>
        <v>#N/A</v>
      </c>
      <c r="H4097" s="20">
        <f t="shared" si="322"/>
        <v>0</v>
      </c>
      <c r="I4097" s="21">
        <f t="shared" si="323"/>
        <v>0</v>
      </c>
      <c r="J4097" s="22" t="e">
        <f>VLOOKUP($A4097, TAB_JUROS_C[[DIAS_CORRIDOS]:[V_FUT_UTEIS]], J$5, FALSE)</f>
        <v>#N/A</v>
      </c>
      <c r="K4097" s="22" t="e">
        <f>VLOOKUP($A4097, TAB_CORRECAO_C[[DIAS_CORRIDOS]:[V_FUT_UTEIS]],K$5, FALSE)</f>
        <v>#N/A</v>
      </c>
      <c r="L4097" s="22" t="e">
        <f>VLOOKUP($A4097, TAB_AMORTIZACAO_C[[DIAS_CORRIDOS]:[V_FUT_UTEIS]], L$5, FALSE)</f>
        <v>#N/A</v>
      </c>
    </row>
    <row r="4098" spans="1:12" hidden="1">
      <c r="A4098" s="19">
        <f t="shared" si="324"/>
        <v>4092</v>
      </c>
      <c r="B4098" s="20">
        <f t="shared" si="320"/>
        <v>0</v>
      </c>
      <c r="C4098" s="21">
        <f t="shared" si="321"/>
        <v>0</v>
      </c>
      <c r="D4098" s="22" t="e">
        <f>VLOOKUP($A4098, TAB_JUROS_U[[Q_DIAS_U_PARC_TIR]:[V_FUT_U_JURS CENARIO]], D$5, FALSE)</f>
        <v>#N/A</v>
      </c>
      <c r="E4098" s="22" t="e">
        <f>VLOOKUP($A4098,TAB_CORRECAO_U[[Q_DIAS_U_PARC_TIR]:[V_FUT_U_CORC-02]],E$5, FALSE)</f>
        <v>#N/A</v>
      </c>
      <c r="F4098" s="22" t="e">
        <f>VLOOKUP($A4098,TAB_AMORTIZACAO_U[[Q_DIAS_U_PARC_TIR]:[V_FUT_U_PCPL-02]], F$5, FALSE)</f>
        <v>#N/A</v>
      </c>
      <c r="H4098" s="20">
        <f t="shared" si="322"/>
        <v>0</v>
      </c>
      <c r="I4098" s="21">
        <f t="shared" si="323"/>
        <v>0</v>
      </c>
      <c r="J4098" s="22" t="e">
        <f>VLOOKUP($A4098, TAB_JUROS_C[[DIAS_CORRIDOS]:[V_FUT_UTEIS]], J$5, FALSE)</f>
        <v>#N/A</v>
      </c>
      <c r="K4098" s="22" t="e">
        <f>VLOOKUP($A4098, TAB_CORRECAO_C[[DIAS_CORRIDOS]:[V_FUT_UTEIS]],K$5, FALSE)</f>
        <v>#N/A</v>
      </c>
      <c r="L4098" s="22" t="e">
        <f>VLOOKUP($A4098, TAB_AMORTIZACAO_C[[DIAS_CORRIDOS]:[V_FUT_UTEIS]], L$5, FALSE)</f>
        <v>#N/A</v>
      </c>
    </row>
    <row r="4099" spans="1:12" hidden="1">
      <c r="A4099" s="19">
        <f t="shared" si="324"/>
        <v>4093</v>
      </c>
      <c r="B4099" s="20">
        <f t="shared" si="320"/>
        <v>0</v>
      </c>
      <c r="C4099" s="21">
        <f t="shared" si="321"/>
        <v>0</v>
      </c>
      <c r="D4099" s="22" t="e">
        <f>VLOOKUP($A4099, TAB_JUROS_U[[Q_DIAS_U_PARC_TIR]:[V_FUT_U_JURS CENARIO]], D$5, FALSE)</f>
        <v>#N/A</v>
      </c>
      <c r="E4099" s="22" t="e">
        <f>VLOOKUP($A4099,TAB_CORRECAO_U[[Q_DIAS_U_PARC_TIR]:[V_FUT_U_CORC-02]],E$5, FALSE)</f>
        <v>#N/A</v>
      </c>
      <c r="F4099" s="22" t="e">
        <f>VLOOKUP($A4099,TAB_AMORTIZACAO_U[[Q_DIAS_U_PARC_TIR]:[V_FUT_U_PCPL-02]], F$5, FALSE)</f>
        <v>#N/A</v>
      </c>
      <c r="H4099" s="20">
        <f t="shared" si="322"/>
        <v>0</v>
      </c>
      <c r="I4099" s="21">
        <f t="shared" si="323"/>
        <v>0</v>
      </c>
      <c r="J4099" s="22" t="e">
        <f>VLOOKUP($A4099, TAB_JUROS_C[[DIAS_CORRIDOS]:[V_FUT_UTEIS]], J$5, FALSE)</f>
        <v>#N/A</v>
      </c>
      <c r="K4099" s="22" t="e">
        <f>VLOOKUP($A4099, TAB_CORRECAO_C[[DIAS_CORRIDOS]:[V_FUT_UTEIS]],K$5, FALSE)</f>
        <v>#N/A</v>
      </c>
      <c r="L4099" s="22" t="e">
        <f>VLOOKUP($A4099, TAB_AMORTIZACAO_C[[DIAS_CORRIDOS]:[V_FUT_UTEIS]], L$5, FALSE)</f>
        <v>#N/A</v>
      </c>
    </row>
    <row r="4100" spans="1:12" hidden="1">
      <c r="A4100" s="19">
        <f t="shared" si="324"/>
        <v>4094</v>
      </c>
      <c r="B4100" s="20">
        <f t="shared" si="320"/>
        <v>0</v>
      </c>
      <c r="C4100" s="21">
        <f t="shared" si="321"/>
        <v>0</v>
      </c>
      <c r="D4100" s="22" t="e">
        <f>VLOOKUP($A4100, TAB_JUROS_U[[Q_DIAS_U_PARC_TIR]:[V_FUT_U_JURS CENARIO]], D$5, FALSE)</f>
        <v>#N/A</v>
      </c>
      <c r="E4100" s="22" t="e">
        <f>VLOOKUP($A4100,TAB_CORRECAO_U[[Q_DIAS_U_PARC_TIR]:[V_FUT_U_CORC-02]],E$5, FALSE)</f>
        <v>#N/A</v>
      </c>
      <c r="F4100" s="22" t="e">
        <f>VLOOKUP($A4100,TAB_AMORTIZACAO_U[[Q_DIAS_U_PARC_TIR]:[V_FUT_U_PCPL-02]], F$5, FALSE)</f>
        <v>#N/A</v>
      </c>
      <c r="H4100" s="20">
        <f t="shared" si="322"/>
        <v>0</v>
      </c>
      <c r="I4100" s="21">
        <f t="shared" si="323"/>
        <v>0</v>
      </c>
      <c r="J4100" s="22" t="e">
        <f>VLOOKUP($A4100, TAB_JUROS_C[[DIAS_CORRIDOS]:[V_FUT_UTEIS]], J$5, FALSE)</f>
        <v>#N/A</v>
      </c>
      <c r="K4100" s="22" t="e">
        <f>VLOOKUP($A4100, TAB_CORRECAO_C[[DIAS_CORRIDOS]:[V_FUT_UTEIS]],K$5, FALSE)</f>
        <v>#N/A</v>
      </c>
      <c r="L4100" s="22" t="e">
        <f>VLOOKUP($A4100, TAB_AMORTIZACAO_C[[DIAS_CORRIDOS]:[V_FUT_UTEIS]], L$5, FALSE)</f>
        <v>#N/A</v>
      </c>
    </row>
    <row r="4101" spans="1:12" hidden="1">
      <c r="A4101" s="19">
        <f t="shared" si="324"/>
        <v>4095</v>
      </c>
      <c r="B4101" s="20">
        <f t="shared" si="320"/>
        <v>0</v>
      </c>
      <c r="C4101" s="21">
        <f t="shared" si="321"/>
        <v>0</v>
      </c>
      <c r="D4101" s="22" t="e">
        <f>VLOOKUP($A4101, TAB_JUROS_U[[Q_DIAS_U_PARC_TIR]:[V_FUT_U_JURS CENARIO]], D$5, FALSE)</f>
        <v>#N/A</v>
      </c>
      <c r="E4101" s="22" t="e">
        <f>VLOOKUP($A4101,TAB_CORRECAO_U[[Q_DIAS_U_PARC_TIR]:[V_FUT_U_CORC-02]],E$5, FALSE)</f>
        <v>#N/A</v>
      </c>
      <c r="F4101" s="22" t="e">
        <f>VLOOKUP($A4101,TAB_AMORTIZACAO_U[[Q_DIAS_U_PARC_TIR]:[V_FUT_U_PCPL-02]], F$5, FALSE)</f>
        <v>#N/A</v>
      </c>
      <c r="H4101" s="20">
        <f t="shared" si="322"/>
        <v>0</v>
      </c>
      <c r="I4101" s="21">
        <f t="shared" si="323"/>
        <v>0</v>
      </c>
      <c r="J4101" s="22" t="e">
        <f>VLOOKUP($A4101, TAB_JUROS_C[[DIAS_CORRIDOS]:[V_FUT_UTEIS]], J$5, FALSE)</f>
        <v>#N/A</v>
      </c>
      <c r="K4101" s="22" t="e">
        <f>VLOOKUP($A4101, TAB_CORRECAO_C[[DIAS_CORRIDOS]:[V_FUT_UTEIS]],K$5, FALSE)</f>
        <v>#N/A</v>
      </c>
      <c r="L4101" s="22" t="e">
        <f>VLOOKUP($A4101, TAB_AMORTIZACAO_C[[DIAS_CORRIDOS]:[V_FUT_UTEIS]], L$5, FALSE)</f>
        <v>#N/A</v>
      </c>
    </row>
    <row r="4102" spans="1:12" hidden="1">
      <c r="A4102" s="19">
        <f t="shared" si="324"/>
        <v>4096</v>
      </c>
      <c r="B4102" s="20">
        <f t="shared" si="320"/>
        <v>0</v>
      </c>
      <c r="C4102" s="21">
        <f t="shared" si="321"/>
        <v>0</v>
      </c>
      <c r="D4102" s="22" t="e">
        <f>VLOOKUP($A4102, TAB_JUROS_U[[Q_DIAS_U_PARC_TIR]:[V_FUT_U_JURS CENARIO]], D$5, FALSE)</f>
        <v>#N/A</v>
      </c>
      <c r="E4102" s="22" t="e">
        <f>VLOOKUP($A4102,TAB_CORRECAO_U[[Q_DIAS_U_PARC_TIR]:[V_FUT_U_CORC-02]],E$5, FALSE)</f>
        <v>#N/A</v>
      </c>
      <c r="F4102" s="22" t="e">
        <f>VLOOKUP($A4102,TAB_AMORTIZACAO_U[[Q_DIAS_U_PARC_TIR]:[V_FUT_U_PCPL-02]], F$5, FALSE)</f>
        <v>#N/A</v>
      </c>
      <c r="H4102" s="20">
        <f t="shared" si="322"/>
        <v>0</v>
      </c>
      <c r="I4102" s="21">
        <f t="shared" si="323"/>
        <v>0</v>
      </c>
      <c r="J4102" s="22" t="e">
        <f>VLOOKUP($A4102, TAB_JUROS_C[[DIAS_CORRIDOS]:[V_FUT_UTEIS]], J$5, FALSE)</f>
        <v>#N/A</v>
      </c>
      <c r="K4102" s="22" t="e">
        <f>VLOOKUP($A4102, TAB_CORRECAO_C[[DIAS_CORRIDOS]:[V_FUT_UTEIS]],K$5, FALSE)</f>
        <v>#N/A</v>
      </c>
      <c r="L4102" s="22" t="e">
        <f>VLOOKUP($A4102, TAB_AMORTIZACAO_C[[DIAS_CORRIDOS]:[V_FUT_UTEIS]], L$5, FALSE)</f>
        <v>#N/A</v>
      </c>
    </row>
    <row r="4103" spans="1:12" hidden="1">
      <c r="A4103" s="19">
        <f t="shared" si="324"/>
        <v>4097</v>
      </c>
      <c r="B4103" s="20">
        <f t="shared" si="320"/>
        <v>0</v>
      </c>
      <c r="C4103" s="21">
        <f t="shared" si="321"/>
        <v>0</v>
      </c>
      <c r="D4103" s="22" t="e">
        <f>VLOOKUP($A4103, TAB_JUROS_U[[Q_DIAS_U_PARC_TIR]:[V_FUT_U_JURS CENARIO]], D$5, FALSE)</f>
        <v>#N/A</v>
      </c>
      <c r="E4103" s="22" t="e">
        <f>VLOOKUP($A4103,TAB_CORRECAO_U[[Q_DIAS_U_PARC_TIR]:[V_FUT_U_CORC-02]],E$5, FALSE)</f>
        <v>#N/A</v>
      </c>
      <c r="F4103" s="22" t="e">
        <f>VLOOKUP($A4103,TAB_AMORTIZACAO_U[[Q_DIAS_U_PARC_TIR]:[V_FUT_U_PCPL-02]], F$5, FALSE)</f>
        <v>#N/A</v>
      </c>
      <c r="H4103" s="20">
        <f t="shared" si="322"/>
        <v>0</v>
      </c>
      <c r="I4103" s="21">
        <f t="shared" si="323"/>
        <v>0</v>
      </c>
      <c r="J4103" s="22" t="e">
        <f>VLOOKUP($A4103, TAB_JUROS_C[[DIAS_CORRIDOS]:[V_FUT_UTEIS]], J$5, FALSE)</f>
        <v>#N/A</v>
      </c>
      <c r="K4103" s="22" t="e">
        <f>VLOOKUP($A4103, TAB_CORRECAO_C[[DIAS_CORRIDOS]:[V_FUT_UTEIS]],K$5, FALSE)</f>
        <v>#N/A</v>
      </c>
      <c r="L4103" s="22" t="e">
        <f>VLOOKUP($A4103, TAB_AMORTIZACAO_C[[DIAS_CORRIDOS]:[V_FUT_UTEIS]], L$5, FALSE)</f>
        <v>#N/A</v>
      </c>
    </row>
    <row r="4104" spans="1:12" hidden="1">
      <c r="A4104" s="19">
        <f t="shared" si="324"/>
        <v>4098</v>
      </c>
      <c r="B4104" s="20">
        <f t="shared" si="320"/>
        <v>0</v>
      </c>
      <c r="C4104" s="21">
        <f t="shared" si="321"/>
        <v>0</v>
      </c>
      <c r="D4104" s="22" t="e">
        <f>VLOOKUP($A4104, TAB_JUROS_U[[Q_DIAS_U_PARC_TIR]:[V_FUT_U_JURS CENARIO]], D$5, FALSE)</f>
        <v>#N/A</v>
      </c>
      <c r="E4104" s="22" t="e">
        <f>VLOOKUP($A4104,TAB_CORRECAO_U[[Q_DIAS_U_PARC_TIR]:[V_FUT_U_CORC-02]],E$5, FALSE)</f>
        <v>#N/A</v>
      </c>
      <c r="F4104" s="22" t="e">
        <f>VLOOKUP($A4104,TAB_AMORTIZACAO_U[[Q_DIAS_U_PARC_TIR]:[V_FUT_U_PCPL-02]], F$5, FALSE)</f>
        <v>#N/A</v>
      </c>
      <c r="H4104" s="20">
        <f t="shared" si="322"/>
        <v>0</v>
      </c>
      <c r="I4104" s="21">
        <f t="shared" si="323"/>
        <v>0</v>
      </c>
      <c r="J4104" s="22" t="e">
        <f>VLOOKUP($A4104, TAB_JUROS_C[[DIAS_CORRIDOS]:[V_FUT_UTEIS]], J$5, FALSE)</f>
        <v>#N/A</v>
      </c>
      <c r="K4104" s="22" t="e">
        <f>VLOOKUP($A4104, TAB_CORRECAO_C[[DIAS_CORRIDOS]:[V_FUT_UTEIS]],K$5, FALSE)</f>
        <v>#N/A</v>
      </c>
      <c r="L4104" s="22" t="e">
        <f>VLOOKUP($A4104, TAB_AMORTIZACAO_C[[DIAS_CORRIDOS]:[V_FUT_UTEIS]], L$5, FALSE)</f>
        <v>#N/A</v>
      </c>
    </row>
    <row r="4105" spans="1:12" hidden="1">
      <c r="A4105" s="19">
        <f t="shared" si="324"/>
        <v>4099</v>
      </c>
      <c r="B4105" s="20">
        <f t="shared" ref="B4105:B4168" si="325">IF(ISERROR(C4105), 0, C4105)</f>
        <v>0</v>
      </c>
      <c r="C4105" s="21">
        <f t="shared" ref="C4105:C4168" si="326">SUMIF(D4105:F4105, "&gt;0", D4105:F4105)</f>
        <v>0</v>
      </c>
      <c r="D4105" s="22" t="e">
        <f>VLOOKUP($A4105, TAB_JUROS_U[[Q_DIAS_U_PARC_TIR]:[V_FUT_U_JURS CENARIO]], D$5, FALSE)</f>
        <v>#N/A</v>
      </c>
      <c r="E4105" s="22" t="e">
        <f>VLOOKUP($A4105,TAB_CORRECAO_U[[Q_DIAS_U_PARC_TIR]:[V_FUT_U_CORC-02]],E$5, FALSE)</f>
        <v>#N/A</v>
      </c>
      <c r="F4105" s="22" t="e">
        <f>VLOOKUP($A4105,TAB_AMORTIZACAO_U[[Q_DIAS_U_PARC_TIR]:[V_FUT_U_PCPL-02]], F$5, FALSE)</f>
        <v>#N/A</v>
      </c>
      <c r="H4105" s="20">
        <f t="shared" ref="H4105:H4168" si="327">IF(ISERROR(I4105), 0, I4105)</f>
        <v>0</v>
      </c>
      <c r="I4105" s="21">
        <f t="shared" ref="I4105:I4168" si="328">SUMIF(J4105:L4105, "&gt;0", J4105:L4105)</f>
        <v>0</v>
      </c>
      <c r="J4105" s="22" t="e">
        <f>VLOOKUP($A4105, TAB_JUROS_C[[DIAS_CORRIDOS]:[V_FUT_UTEIS]], J$5, FALSE)</f>
        <v>#N/A</v>
      </c>
      <c r="K4105" s="22" t="e">
        <f>VLOOKUP($A4105, TAB_CORRECAO_C[[DIAS_CORRIDOS]:[V_FUT_UTEIS]],K$5, FALSE)</f>
        <v>#N/A</v>
      </c>
      <c r="L4105" s="22" t="e">
        <f>VLOOKUP($A4105, TAB_AMORTIZACAO_C[[DIAS_CORRIDOS]:[V_FUT_UTEIS]], L$5, FALSE)</f>
        <v>#N/A</v>
      </c>
    </row>
    <row r="4106" spans="1:12" hidden="1">
      <c r="A4106" s="19">
        <f t="shared" ref="A4106:A4169" si="329">A4105+1</f>
        <v>4100</v>
      </c>
      <c r="B4106" s="20">
        <f t="shared" si="325"/>
        <v>0</v>
      </c>
      <c r="C4106" s="21">
        <f t="shared" si="326"/>
        <v>0</v>
      </c>
      <c r="D4106" s="22" t="e">
        <f>VLOOKUP($A4106, TAB_JUROS_U[[Q_DIAS_U_PARC_TIR]:[V_FUT_U_JURS CENARIO]], D$5, FALSE)</f>
        <v>#N/A</v>
      </c>
      <c r="E4106" s="22" t="e">
        <f>VLOOKUP($A4106,TAB_CORRECAO_U[[Q_DIAS_U_PARC_TIR]:[V_FUT_U_CORC-02]],E$5, FALSE)</f>
        <v>#N/A</v>
      </c>
      <c r="F4106" s="22" t="e">
        <f>VLOOKUP($A4106,TAB_AMORTIZACAO_U[[Q_DIAS_U_PARC_TIR]:[V_FUT_U_PCPL-02]], F$5, FALSE)</f>
        <v>#N/A</v>
      </c>
      <c r="H4106" s="20">
        <f t="shared" si="327"/>
        <v>0</v>
      </c>
      <c r="I4106" s="21">
        <f t="shared" si="328"/>
        <v>0</v>
      </c>
      <c r="J4106" s="22" t="e">
        <f>VLOOKUP($A4106, TAB_JUROS_C[[DIAS_CORRIDOS]:[V_FUT_UTEIS]], J$5, FALSE)</f>
        <v>#N/A</v>
      </c>
      <c r="K4106" s="22" t="e">
        <f>VLOOKUP($A4106, TAB_CORRECAO_C[[DIAS_CORRIDOS]:[V_FUT_UTEIS]],K$5, FALSE)</f>
        <v>#N/A</v>
      </c>
      <c r="L4106" s="22" t="e">
        <f>VLOOKUP($A4106, TAB_AMORTIZACAO_C[[DIAS_CORRIDOS]:[V_FUT_UTEIS]], L$5, FALSE)</f>
        <v>#N/A</v>
      </c>
    </row>
    <row r="4107" spans="1:12" hidden="1">
      <c r="A4107" s="19">
        <f t="shared" si="329"/>
        <v>4101</v>
      </c>
      <c r="B4107" s="20">
        <f t="shared" si="325"/>
        <v>0</v>
      </c>
      <c r="C4107" s="21">
        <f t="shared" si="326"/>
        <v>0</v>
      </c>
      <c r="D4107" s="22" t="e">
        <f>VLOOKUP($A4107, TAB_JUROS_U[[Q_DIAS_U_PARC_TIR]:[V_FUT_U_JURS CENARIO]], D$5, FALSE)</f>
        <v>#N/A</v>
      </c>
      <c r="E4107" s="22" t="e">
        <f>VLOOKUP($A4107,TAB_CORRECAO_U[[Q_DIAS_U_PARC_TIR]:[V_FUT_U_CORC-02]],E$5, FALSE)</f>
        <v>#N/A</v>
      </c>
      <c r="F4107" s="22" t="e">
        <f>VLOOKUP($A4107,TAB_AMORTIZACAO_U[[Q_DIAS_U_PARC_TIR]:[V_FUT_U_PCPL-02]], F$5, FALSE)</f>
        <v>#N/A</v>
      </c>
      <c r="H4107" s="20">
        <f t="shared" si="327"/>
        <v>0</v>
      </c>
      <c r="I4107" s="21">
        <f t="shared" si="328"/>
        <v>0</v>
      </c>
      <c r="J4107" s="22" t="e">
        <f>VLOOKUP($A4107, TAB_JUROS_C[[DIAS_CORRIDOS]:[V_FUT_UTEIS]], J$5, FALSE)</f>
        <v>#N/A</v>
      </c>
      <c r="K4107" s="22" t="e">
        <f>VLOOKUP($A4107, TAB_CORRECAO_C[[DIAS_CORRIDOS]:[V_FUT_UTEIS]],K$5, FALSE)</f>
        <v>#N/A</v>
      </c>
      <c r="L4107" s="22" t="e">
        <f>VLOOKUP($A4107, TAB_AMORTIZACAO_C[[DIAS_CORRIDOS]:[V_FUT_UTEIS]], L$5, FALSE)</f>
        <v>#N/A</v>
      </c>
    </row>
    <row r="4108" spans="1:12" hidden="1">
      <c r="A4108" s="19">
        <f t="shared" si="329"/>
        <v>4102</v>
      </c>
      <c r="B4108" s="20">
        <f t="shared" si="325"/>
        <v>0</v>
      </c>
      <c r="C4108" s="21">
        <f t="shared" si="326"/>
        <v>0</v>
      </c>
      <c r="D4108" s="22" t="e">
        <f>VLOOKUP($A4108, TAB_JUROS_U[[Q_DIAS_U_PARC_TIR]:[V_FUT_U_JURS CENARIO]], D$5, FALSE)</f>
        <v>#N/A</v>
      </c>
      <c r="E4108" s="22" t="e">
        <f>VLOOKUP($A4108,TAB_CORRECAO_U[[Q_DIAS_U_PARC_TIR]:[V_FUT_U_CORC-02]],E$5, FALSE)</f>
        <v>#N/A</v>
      </c>
      <c r="F4108" s="22" t="e">
        <f>VLOOKUP($A4108,TAB_AMORTIZACAO_U[[Q_DIAS_U_PARC_TIR]:[V_FUT_U_PCPL-02]], F$5, FALSE)</f>
        <v>#N/A</v>
      </c>
      <c r="H4108" s="20">
        <f t="shared" si="327"/>
        <v>0</v>
      </c>
      <c r="I4108" s="21">
        <f t="shared" si="328"/>
        <v>0</v>
      </c>
      <c r="J4108" s="22" t="e">
        <f>VLOOKUP($A4108, TAB_JUROS_C[[DIAS_CORRIDOS]:[V_FUT_UTEIS]], J$5, FALSE)</f>
        <v>#N/A</v>
      </c>
      <c r="K4108" s="22" t="e">
        <f>VLOOKUP($A4108, TAB_CORRECAO_C[[DIAS_CORRIDOS]:[V_FUT_UTEIS]],K$5, FALSE)</f>
        <v>#N/A</v>
      </c>
      <c r="L4108" s="22" t="e">
        <f>VLOOKUP($A4108, TAB_AMORTIZACAO_C[[DIAS_CORRIDOS]:[V_FUT_UTEIS]], L$5, FALSE)</f>
        <v>#N/A</v>
      </c>
    </row>
    <row r="4109" spans="1:12" hidden="1">
      <c r="A4109" s="19">
        <f t="shared" si="329"/>
        <v>4103</v>
      </c>
      <c r="B4109" s="20">
        <f t="shared" si="325"/>
        <v>0</v>
      </c>
      <c r="C4109" s="21">
        <f t="shared" si="326"/>
        <v>0</v>
      </c>
      <c r="D4109" s="22" t="e">
        <f>VLOOKUP($A4109, TAB_JUROS_U[[Q_DIAS_U_PARC_TIR]:[V_FUT_U_JURS CENARIO]], D$5, FALSE)</f>
        <v>#N/A</v>
      </c>
      <c r="E4109" s="22" t="e">
        <f>VLOOKUP($A4109,TAB_CORRECAO_U[[Q_DIAS_U_PARC_TIR]:[V_FUT_U_CORC-02]],E$5, FALSE)</f>
        <v>#N/A</v>
      </c>
      <c r="F4109" s="22" t="e">
        <f>VLOOKUP($A4109,TAB_AMORTIZACAO_U[[Q_DIAS_U_PARC_TIR]:[V_FUT_U_PCPL-02]], F$5, FALSE)</f>
        <v>#N/A</v>
      </c>
      <c r="H4109" s="20">
        <f t="shared" si="327"/>
        <v>0</v>
      </c>
      <c r="I4109" s="21">
        <f t="shared" si="328"/>
        <v>0</v>
      </c>
      <c r="J4109" s="22" t="e">
        <f>VLOOKUP($A4109, TAB_JUROS_C[[DIAS_CORRIDOS]:[V_FUT_UTEIS]], J$5, FALSE)</f>
        <v>#N/A</v>
      </c>
      <c r="K4109" s="22" t="e">
        <f>VLOOKUP($A4109, TAB_CORRECAO_C[[DIAS_CORRIDOS]:[V_FUT_UTEIS]],K$5, FALSE)</f>
        <v>#N/A</v>
      </c>
      <c r="L4109" s="22" t="e">
        <f>VLOOKUP($A4109, TAB_AMORTIZACAO_C[[DIAS_CORRIDOS]:[V_FUT_UTEIS]], L$5, FALSE)</f>
        <v>#N/A</v>
      </c>
    </row>
    <row r="4110" spans="1:12" hidden="1">
      <c r="A4110" s="19">
        <f t="shared" si="329"/>
        <v>4104</v>
      </c>
      <c r="B4110" s="20">
        <f t="shared" si="325"/>
        <v>0</v>
      </c>
      <c r="C4110" s="21">
        <f t="shared" si="326"/>
        <v>0</v>
      </c>
      <c r="D4110" s="22" t="e">
        <f>VLOOKUP($A4110, TAB_JUROS_U[[Q_DIAS_U_PARC_TIR]:[V_FUT_U_JURS CENARIO]], D$5, FALSE)</f>
        <v>#N/A</v>
      </c>
      <c r="E4110" s="22" t="e">
        <f>VLOOKUP($A4110,TAB_CORRECAO_U[[Q_DIAS_U_PARC_TIR]:[V_FUT_U_CORC-02]],E$5, FALSE)</f>
        <v>#N/A</v>
      </c>
      <c r="F4110" s="22" t="e">
        <f>VLOOKUP($A4110,TAB_AMORTIZACAO_U[[Q_DIAS_U_PARC_TIR]:[V_FUT_U_PCPL-02]], F$5, FALSE)</f>
        <v>#N/A</v>
      </c>
      <c r="H4110" s="20">
        <f t="shared" si="327"/>
        <v>0</v>
      </c>
      <c r="I4110" s="21">
        <f t="shared" si="328"/>
        <v>0</v>
      </c>
      <c r="J4110" s="22" t="e">
        <f>VLOOKUP($A4110, TAB_JUROS_C[[DIAS_CORRIDOS]:[V_FUT_UTEIS]], J$5, FALSE)</f>
        <v>#N/A</v>
      </c>
      <c r="K4110" s="22" t="e">
        <f>VLOOKUP($A4110, TAB_CORRECAO_C[[DIAS_CORRIDOS]:[V_FUT_UTEIS]],K$5, FALSE)</f>
        <v>#N/A</v>
      </c>
      <c r="L4110" s="22" t="e">
        <f>VLOOKUP($A4110, TAB_AMORTIZACAO_C[[DIAS_CORRIDOS]:[V_FUT_UTEIS]], L$5, FALSE)</f>
        <v>#N/A</v>
      </c>
    </row>
    <row r="4111" spans="1:12" hidden="1">
      <c r="A4111" s="19">
        <f t="shared" si="329"/>
        <v>4105</v>
      </c>
      <c r="B4111" s="20">
        <f t="shared" si="325"/>
        <v>0</v>
      </c>
      <c r="C4111" s="21">
        <f t="shared" si="326"/>
        <v>0</v>
      </c>
      <c r="D4111" s="22" t="e">
        <f>VLOOKUP($A4111, TAB_JUROS_U[[Q_DIAS_U_PARC_TIR]:[V_FUT_U_JURS CENARIO]], D$5, FALSE)</f>
        <v>#N/A</v>
      </c>
      <c r="E4111" s="22" t="e">
        <f>VLOOKUP($A4111,TAB_CORRECAO_U[[Q_DIAS_U_PARC_TIR]:[V_FUT_U_CORC-02]],E$5, FALSE)</f>
        <v>#N/A</v>
      </c>
      <c r="F4111" s="22" t="e">
        <f>VLOOKUP($A4111,TAB_AMORTIZACAO_U[[Q_DIAS_U_PARC_TIR]:[V_FUT_U_PCPL-02]], F$5, FALSE)</f>
        <v>#N/A</v>
      </c>
      <c r="H4111" s="20">
        <f t="shared" si="327"/>
        <v>0</v>
      </c>
      <c r="I4111" s="21">
        <f t="shared" si="328"/>
        <v>0</v>
      </c>
      <c r="J4111" s="22" t="e">
        <f>VLOOKUP($A4111, TAB_JUROS_C[[DIAS_CORRIDOS]:[V_FUT_UTEIS]], J$5, FALSE)</f>
        <v>#N/A</v>
      </c>
      <c r="K4111" s="22" t="e">
        <f>VLOOKUP($A4111, TAB_CORRECAO_C[[DIAS_CORRIDOS]:[V_FUT_UTEIS]],K$5, FALSE)</f>
        <v>#N/A</v>
      </c>
      <c r="L4111" s="22" t="e">
        <f>VLOOKUP($A4111, TAB_AMORTIZACAO_C[[DIAS_CORRIDOS]:[V_FUT_UTEIS]], L$5, FALSE)</f>
        <v>#N/A</v>
      </c>
    </row>
    <row r="4112" spans="1:12" hidden="1">
      <c r="A4112" s="19">
        <f t="shared" si="329"/>
        <v>4106</v>
      </c>
      <c r="B4112" s="20">
        <f t="shared" si="325"/>
        <v>0</v>
      </c>
      <c r="C4112" s="21">
        <f t="shared" si="326"/>
        <v>0</v>
      </c>
      <c r="D4112" s="22" t="e">
        <f>VLOOKUP($A4112, TAB_JUROS_U[[Q_DIAS_U_PARC_TIR]:[V_FUT_U_JURS CENARIO]], D$5, FALSE)</f>
        <v>#N/A</v>
      </c>
      <c r="E4112" s="22" t="e">
        <f>VLOOKUP($A4112,TAB_CORRECAO_U[[Q_DIAS_U_PARC_TIR]:[V_FUT_U_CORC-02]],E$5, FALSE)</f>
        <v>#N/A</v>
      </c>
      <c r="F4112" s="22" t="e">
        <f>VLOOKUP($A4112,TAB_AMORTIZACAO_U[[Q_DIAS_U_PARC_TIR]:[V_FUT_U_PCPL-02]], F$5, FALSE)</f>
        <v>#N/A</v>
      </c>
      <c r="H4112" s="20">
        <f t="shared" si="327"/>
        <v>0</v>
      </c>
      <c r="I4112" s="21">
        <f t="shared" si="328"/>
        <v>0</v>
      </c>
      <c r="J4112" s="22" t="e">
        <f>VLOOKUP($A4112, TAB_JUROS_C[[DIAS_CORRIDOS]:[V_FUT_UTEIS]], J$5, FALSE)</f>
        <v>#N/A</v>
      </c>
      <c r="K4112" s="22" t="e">
        <f>VLOOKUP($A4112, TAB_CORRECAO_C[[DIAS_CORRIDOS]:[V_FUT_UTEIS]],K$5, FALSE)</f>
        <v>#N/A</v>
      </c>
      <c r="L4112" s="22" t="e">
        <f>VLOOKUP($A4112, TAB_AMORTIZACAO_C[[DIAS_CORRIDOS]:[V_FUT_UTEIS]], L$5, FALSE)</f>
        <v>#N/A</v>
      </c>
    </row>
    <row r="4113" spans="1:12" hidden="1">
      <c r="A4113" s="19">
        <f t="shared" si="329"/>
        <v>4107</v>
      </c>
      <c r="B4113" s="20">
        <f t="shared" si="325"/>
        <v>0</v>
      </c>
      <c r="C4113" s="21">
        <f t="shared" si="326"/>
        <v>0</v>
      </c>
      <c r="D4113" s="22" t="e">
        <f>VLOOKUP($A4113, TAB_JUROS_U[[Q_DIAS_U_PARC_TIR]:[V_FUT_U_JURS CENARIO]], D$5, FALSE)</f>
        <v>#N/A</v>
      </c>
      <c r="E4113" s="22" t="e">
        <f>VLOOKUP($A4113,TAB_CORRECAO_U[[Q_DIAS_U_PARC_TIR]:[V_FUT_U_CORC-02]],E$5, FALSE)</f>
        <v>#N/A</v>
      </c>
      <c r="F4113" s="22" t="e">
        <f>VLOOKUP($A4113,TAB_AMORTIZACAO_U[[Q_DIAS_U_PARC_TIR]:[V_FUT_U_PCPL-02]], F$5, FALSE)</f>
        <v>#N/A</v>
      </c>
      <c r="H4113" s="20">
        <f t="shared" si="327"/>
        <v>0</v>
      </c>
      <c r="I4113" s="21">
        <f t="shared" si="328"/>
        <v>0</v>
      </c>
      <c r="J4113" s="22" t="e">
        <f>VLOOKUP($A4113, TAB_JUROS_C[[DIAS_CORRIDOS]:[V_FUT_UTEIS]], J$5, FALSE)</f>
        <v>#N/A</v>
      </c>
      <c r="K4113" s="22" t="e">
        <f>VLOOKUP($A4113, TAB_CORRECAO_C[[DIAS_CORRIDOS]:[V_FUT_UTEIS]],K$5, FALSE)</f>
        <v>#N/A</v>
      </c>
      <c r="L4113" s="22" t="e">
        <f>VLOOKUP($A4113, TAB_AMORTIZACAO_C[[DIAS_CORRIDOS]:[V_FUT_UTEIS]], L$5, FALSE)</f>
        <v>#N/A</v>
      </c>
    </row>
    <row r="4114" spans="1:12" hidden="1">
      <c r="A4114" s="19">
        <f t="shared" si="329"/>
        <v>4108</v>
      </c>
      <c r="B4114" s="20">
        <f t="shared" si="325"/>
        <v>0</v>
      </c>
      <c r="C4114" s="21">
        <f t="shared" si="326"/>
        <v>0</v>
      </c>
      <c r="D4114" s="22" t="e">
        <f>VLOOKUP($A4114, TAB_JUROS_U[[Q_DIAS_U_PARC_TIR]:[V_FUT_U_JURS CENARIO]], D$5, FALSE)</f>
        <v>#N/A</v>
      </c>
      <c r="E4114" s="22" t="e">
        <f>VLOOKUP($A4114,TAB_CORRECAO_U[[Q_DIAS_U_PARC_TIR]:[V_FUT_U_CORC-02]],E$5, FALSE)</f>
        <v>#N/A</v>
      </c>
      <c r="F4114" s="22" t="e">
        <f>VLOOKUP($A4114,TAB_AMORTIZACAO_U[[Q_DIAS_U_PARC_TIR]:[V_FUT_U_PCPL-02]], F$5, FALSE)</f>
        <v>#N/A</v>
      </c>
      <c r="H4114" s="20">
        <f t="shared" si="327"/>
        <v>0</v>
      </c>
      <c r="I4114" s="21">
        <f t="shared" si="328"/>
        <v>0</v>
      </c>
      <c r="J4114" s="22" t="e">
        <f>VLOOKUP($A4114, TAB_JUROS_C[[DIAS_CORRIDOS]:[V_FUT_UTEIS]], J$5, FALSE)</f>
        <v>#N/A</v>
      </c>
      <c r="K4114" s="22" t="e">
        <f>VLOOKUP($A4114, TAB_CORRECAO_C[[DIAS_CORRIDOS]:[V_FUT_UTEIS]],K$5, FALSE)</f>
        <v>#N/A</v>
      </c>
      <c r="L4114" s="22" t="e">
        <f>VLOOKUP($A4114, TAB_AMORTIZACAO_C[[DIAS_CORRIDOS]:[V_FUT_UTEIS]], L$5, FALSE)</f>
        <v>#N/A</v>
      </c>
    </row>
    <row r="4115" spans="1:12" hidden="1">
      <c r="A4115" s="19">
        <f t="shared" si="329"/>
        <v>4109</v>
      </c>
      <c r="B4115" s="20">
        <f t="shared" si="325"/>
        <v>0</v>
      </c>
      <c r="C4115" s="21">
        <f t="shared" si="326"/>
        <v>0</v>
      </c>
      <c r="D4115" s="22" t="e">
        <f>VLOOKUP($A4115, TAB_JUROS_U[[Q_DIAS_U_PARC_TIR]:[V_FUT_U_JURS CENARIO]], D$5, FALSE)</f>
        <v>#N/A</v>
      </c>
      <c r="E4115" s="22" t="e">
        <f>VLOOKUP($A4115,TAB_CORRECAO_U[[Q_DIAS_U_PARC_TIR]:[V_FUT_U_CORC-02]],E$5, FALSE)</f>
        <v>#N/A</v>
      </c>
      <c r="F4115" s="22" t="e">
        <f>VLOOKUP($A4115,TAB_AMORTIZACAO_U[[Q_DIAS_U_PARC_TIR]:[V_FUT_U_PCPL-02]], F$5, FALSE)</f>
        <v>#N/A</v>
      </c>
      <c r="H4115" s="20">
        <f t="shared" si="327"/>
        <v>0</v>
      </c>
      <c r="I4115" s="21">
        <f t="shared" si="328"/>
        <v>0</v>
      </c>
      <c r="J4115" s="22" t="e">
        <f>VLOOKUP($A4115, TAB_JUROS_C[[DIAS_CORRIDOS]:[V_FUT_UTEIS]], J$5, FALSE)</f>
        <v>#N/A</v>
      </c>
      <c r="K4115" s="22" t="e">
        <f>VLOOKUP($A4115, TAB_CORRECAO_C[[DIAS_CORRIDOS]:[V_FUT_UTEIS]],K$5, FALSE)</f>
        <v>#N/A</v>
      </c>
      <c r="L4115" s="22" t="e">
        <f>VLOOKUP($A4115, TAB_AMORTIZACAO_C[[DIAS_CORRIDOS]:[V_FUT_UTEIS]], L$5, FALSE)</f>
        <v>#N/A</v>
      </c>
    </row>
    <row r="4116" spans="1:12" hidden="1">
      <c r="A4116" s="19">
        <f t="shared" si="329"/>
        <v>4110</v>
      </c>
      <c r="B4116" s="20">
        <f t="shared" si="325"/>
        <v>0</v>
      </c>
      <c r="C4116" s="21">
        <f t="shared" si="326"/>
        <v>0</v>
      </c>
      <c r="D4116" s="22" t="e">
        <f>VLOOKUP($A4116, TAB_JUROS_U[[Q_DIAS_U_PARC_TIR]:[V_FUT_U_JURS CENARIO]], D$5, FALSE)</f>
        <v>#N/A</v>
      </c>
      <c r="E4116" s="22" t="e">
        <f>VLOOKUP($A4116,TAB_CORRECAO_U[[Q_DIAS_U_PARC_TIR]:[V_FUT_U_CORC-02]],E$5, FALSE)</f>
        <v>#N/A</v>
      </c>
      <c r="F4116" s="22" t="e">
        <f>VLOOKUP($A4116,TAB_AMORTIZACAO_U[[Q_DIAS_U_PARC_TIR]:[V_FUT_U_PCPL-02]], F$5, FALSE)</f>
        <v>#N/A</v>
      </c>
      <c r="H4116" s="20">
        <f t="shared" si="327"/>
        <v>0</v>
      </c>
      <c r="I4116" s="21">
        <f t="shared" si="328"/>
        <v>0</v>
      </c>
      <c r="J4116" s="22" t="e">
        <f>VLOOKUP($A4116, TAB_JUROS_C[[DIAS_CORRIDOS]:[V_FUT_UTEIS]], J$5, FALSE)</f>
        <v>#N/A</v>
      </c>
      <c r="K4116" s="22" t="e">
        <f>VLOOKUP($A4116, TAB_CORRECAO_C[[DIAS_CORRIDOS]:[V_FUT_UTEIS]],K$5, FALSE)</f>
        <v>#N/A</v>
      </c>
      <c r="L4116" s="22" t="e">
        <f>VLOOKUP($A4116, TAB_AMORTIZACAO_C[[DIAS_CORRIDOS]:[V_FUT_UTEIS]], L$5, FALSE)</f>
        <v>#N/A</v>
      </c>
    </row>
    <row r="4117" spans="1:12" hidden="1">
      <c r="A4117" s="19">
        <f t="shared" si="329"/>
        <v>4111</v>
      </c>
      <c r="B4117" s="20">
        <f t="shared" si="325"/>
        <v>0</v>
      </c>
      <c r="C4117" s="21">
        <f t="shared" si="326"/>
        <v>0</v>
      </c>
      <c r="D4117" s="22" t="e">
        <f>VLOOKUP($A4117, TAB_JUROS_U[[Q_DIAS_U_PARC_TIR]:[V_FUT_U_JURS CENARIO]], D$5, FALSE)</f>
        <v>#N/A</v>
      </c>
      <c r="E4117" s="22" t="e">
        <f>VLOOKUP($A4117,TAB_CORRECAO_U[[Q_DIAS_U_PARC_TIR]:[V_FUT_U_CORC-02]],E$5, FALSE)</f>
        <v>#N/A</v>
      </c>
      <c r="F4117" s="22" t="e">
        <f>VLOOKUP($A4117,TAB_AMORTIZACAO_U[[Q_DIAS_U_PARC_TIR]:[V_FUT_U_PCPL-02]], F$5, FALSE)</f>
        <v>#N/A</v>
      </c>
      <c r="H4117" s="20">
        <f t="shared" si="327"/>
        <v>0</v>
      </c>
      <c r="I4117" s="21">
        <f t="shared" si="328"/>
        <v>0</v>
      </c>
      <c r="J4117" s="22" t="e">
        <f>VLOOKUP($A4117, TAB_JUROS_C[[DIAS_CORRIDOS]:[V_FUT_UTEIS]], J$5, FALSE)</f>
        <v>#N/A</v>
      </c>
      <c r="K4117" s="22" t="e">
        <f>VLOOKUP($A4117, TAB_CORRECAO_C[[DIAS_CORRIDOS]:[V_FUT_UTEIS]],K$5, FALSE)</f>
        <v>#N/A</v>
      </c>
      <c r="L4117" s="22" t="e">
        <f>VLOOKUP($A4117, TAB_AMORTIZACAO_C[[DIAS_CORRIDOS]:[V_FUT_UTEIS]], L$5, FALSE)</f>
        <v>#N/A</v>
      </c>
    </row>
    <row r="4118" spans="1:12" hidden="1">
      <c r="A4118" s="19">
        <f t="shared" si="329"/>
        <v>4112</v>
      </c>
      <c r="B4118" s="20">
        <f t="shared" si="325"/>
        <v>0</v>
      </c>
      <c r="C4118" s="21">
        <f t="shared" si="326"/>
        <v>0</v>
      </c>
      <c r="D4118" s="22" t="e">
        <f>VLOOKUP($A4118, TAB_JUROS_U[[Q_DIAS_U_PARC_TIR]:[V_FUT_U_JURS CENARIO]], D$5, FALSE)</f>
        <v>#N/A</v>
      </c>
      <c r="E4118" s="22" t="e">
        <f>VLOOKUP($A4118,TAB_CORRECAO_U[[Q_DIAS_U_PARC_TIR]:[V_FUT_U_CORC-02]],E$5, FALSE)</f>
        <v>#N/A</v>
      </c>
      <c r="F4118" s="22" t="e">
        <f>VLOOKUP($A4118,TAB_AMORTIZACAO_U[[Q_DIAS_U_PARC_TIR]:[V_FUT_U_PCPL-02]], F$5, FALSE)</f>
        <v>#N/A</v>
      </c>
      <c r="H4118" s="20">
        <f t="shared" si="327"/>
        <v>0</v>
      </c>
      <c r="I4118" s="21">
        <f t="shared" si="328"/>
        <v>0</v>
      </c>
      <c r="J4118" s="22" t="e">
        <f>VLOOKUP($A4118, TAB_JUROS_C[[DIAS_CORRIDOS]:[V_FUT_UTEIS]], J$5, FALSE)</f>
        <v>#N/A</v>
      </c>
      <c r="K4118" s="22" t="e">
        <f>VLOOKUP($A4118, TAB_CORRECAO_C[[DIAS_CORRIDOS]:[V_FUT_UTEIS]],K$5, FALSE)</f>
        <v>#N/A</v>
      </c>
      <c r="L4118" s="22" t="e">
        <f>VLOOKUP($A4118, TAB_AMORTIZACAO_C[[DIAS_CORRIDOS]:[V_FUT_UTEIS]], L$5, FALSE)</f>
        <v>#N/A</v>
      </c>
    </row>
    <row r="4119" spans="1:12" hidden="1">
      <c r="A4119" s="19">
        <f t="shared" si="329"/>
        <v>4113</v>
      </c>
      <c r="B4119" s="20">
        <f t="shared" si="325"/>
        <v>0</v>
      </c>
      <c r="C4119" s="21">
        <f t="shared" si="326"/>
        <v>0</v>
      </c>
      <c r="D4119" s="22" t="e">
        <f>VLOOKUP($A4119, TAB_JUROS_U[[Q_DIAS_U_PARC_TIR]:[V_FUT_U_JURS CENARIO]], D$5, FALSE)</f>
        <v>#N/A</v>
      </c>
      <c r="E4119" s="22" t="e">
        <f>VLOOKUP($A4119,TAB_CORRECAO_U[[Q_DIAS_U_PARC_TIR]:[V_FUT_U_CORC-02]],E$5, FALSE)</f>
        <v>#N/A</v>
      </c>
      <c r="F4119" s="22" t="e">
        <f>VLOOKUP($A4119,TAB_AMORTIZACAO_U[[Q_DIAS_U_PARC_TIR]:[V_FUT_U_PCPL-02]], F$5, FALSE)</f>
        <v>#N/A</v>
      </c>
      <c r="H4119" s="20">
        <f t="shared" si="327"/>
        <v>0</v>
      </c>
      <c r="I4119" s="21">
        <f t="shared" si="328"/>
        <v>0</v>
      </c>
      <c r="J4119" s="22" t="e">
        <f>VLOOKUP($A4119, TAB_JUROS_C[[DIAS_CORRIDOS]:[V_FUT_UTEIS]], J$5, FALSE)</f>
        <v>#N/A</v>
      </c>
      <c r="K4119" s="22" t="e">
        <f>VLOOKUP($A4119, TAB_CORRECAO_C[[DIAS_CORRIDOS]:[V_FUT_UTEIS]],K$5, FALSE)</f>
        <v>#N/A</v>
      </c>
      <c r="L4119" s="22" t="e">
        <f>VLOOKUP($A4119, TAB_AMORTIZACAO_C[[DIAS_CORRIDOS]:[V_FUT_UTEIS]], L$5, FALSE)</f>
        <v>#N/A</v>
      </c>
    </row>
    <row r="4120" spans="1:12" hidden="1">
      <c r="A4120" s="19">
        <f t="shared" si="329"/>
        <v>4114</v>
      </c>
      <c r="B4120" s="20">
        <f t="shared" si="325"/>
        <v>0</v>
      </c>
      <c r="C4120" s="21">
        <f t="shared" si="326"/>
        <v>0</v>
      </c>
      <c r="D4120" s="22" t="e">
        <f>VLOOKUP($A4120, TAB_JUROS_U[[Q_DIAS_U_PARC_TIR]:[V_FUT_U_JURS CENARIO]], D$5, FALSE)</f>
        <v>#N/A</v>
      </c>
      <c r="E4120" s="22" t="e">
        <f>VLOOKUP($A4120,TAB_CORRECAO_U[[Q_DIAS_U_PARC_TIR]:[V_FUT_U_CORC-02]],E$5, FALSE)</f>
        <v>#N/A</v>
      </c>
      <c r="F4120" s="22" t="e">
        <f>VLOOKUP($A4120,TAB_AMORTIZACAO_U[[Q_DIAS_U_PARC_TIR]:[V_FUT_U_PCPL-02]], F$5, FALSE)</f>
        <v>#N/A</v>
      </c>
      <c r="H4120" s="20">
        <f t="shared" si="327"/>
        <v>0</v>
      </c>
      <c r="I4120" s="21">
        <f t="shared" si="328"/>
        <v>0</v>
      </c>
      <c r="J4120" s="22" t="e">
        <f>VLOOKUP($A4120, TAB_JUROS_C[[DIAS_CORRIDOS]:[V_FUT_UTEIS]], J$5, FALSE)</f>
        <v>#N/A</v>
      </c>
      <c r="K4120" s="22" t="e">
        <f>VLOOKUP($A4120, TAB_CORRECAO_C[[DIAS_CORRIDOS]:[V_FUT_UTEIS]],K$5, FALSE)</f>
        <v>#N/A</v>
      </c>
      <c r="L4120" s="22" t="e">
        <f>VLOOKUP($A4120, TAB_AMORTIZACAO_C[[DIAS_CORRIDOS]:[V_FUT_UTEIS]], L$5, FALSE)</f>
        <v>#N/A</v>
      </c>
    </row>
    <row r="4121" spans="1:12" hidden="1">
      <c r="A4121" s="19">
        <f t="shared" si="329"/>
        <v>4115</v>
      </c>
      <c r="B4121" s="20">
        <f t="shared" si="325"/>
        <v>0</v>
      </c>
      <c r="C4121" s="21">
        <f t="shared" si="326"/>
        <v>0</v>
      </c>
      <c r="D4121" s="22" t="e">
        <f>VLOOKUP($A4121, TAB_JUROS_U[[Q_DIAS_U_PARC_TIR]:[V_FUT_U_JURS CENARIO]], D$5, FALSE)</f>
        <v>#N/A</v>
      </c>
      <c r="E4121" s="22" t="e">
        <f>VLOOKUP($A4121,TAB_CORRECAO_U[[Q_DIAS_U_PARC_TIR]:[V_FUT_U_CORC-02]],E$5, FALSE)</f>
        <v>#N/A</v>
      </c>
      <c r="F4121" s="22" t="e">
        <f>VLOOKUP($A4121,TAB_AMORTIZACAO_U[[Q_DIAS_U_PARC_TIR]:[V_FUT_U_PCPL-02]], F$5, FALSE)</f>
        <v>#N/A</v>
      </c>
      <c r="H4121" s="20">
        <f t="shared" si="327"/>
        <v>0</v>
      </c>
      <c r="I4121" s="21">
        <f t="shared" si="328"/>
        <v>0</v>
      </c>
      <c r="J4121" s="22" t="e">
        <f>VLOOKUP($A4121, TAB_JUROS_C[[DIAS_CORRIDOS]:[V_FUT_UTEIS]], J$5, FALSE)</f>
        <v>#N/A</v>
      </c>
      <c r="K4121" s="22" t="e">
        <f>VLOOKUP($A4121, TAB_CORRECAO_C[[DIAS_CORRIDOS]:[V_FUT_UTEIS]],K$5, FALSE)</f>
        <v>#N/A</v>
      </c>
      <c r="L4121" s="22" t="e">
        <f>VLOOKUP($A4121, TAB_AMORTIZACAO_C[[DIAS_CORRIDOS]:[V_FUT_UTEIS]], L$5, FALSE)</f>
        <v>#N/A</v>
      </c>
    </row>
    <row r="4122" spans="1:12" hidden="1">
      <c r="A4122" s="19">
        <f t="shared" si="329"/>
        <v>4116</v>
      </c>
      <c r="B4122" s="20">
        <f t="shared" si="325"/>
        <v>0</v>
      </c>
      <c r="C4122" s="21">
        <f t="shared" si="326"/>
        <v>0</v>
      </c>
      <c r="D4122" s="22" t="e">
        <f>VLOOKUP($A4122, TAB_JUROS_U[[Q_DIAS_U_PARC_TIR]:[V_FUT_U_JURS CENARIO]], D$5, FALSE)</f>
        <v>#N/A</v>
      </c>
      <c r="E4122" s="22" t="e">
        <f>VLOOKUP($A4122,TAB_CORRECAO_U[[Q_DIAS_U_PARC_TIR]:[V_FUT_U_CORC-02]],E$5, FALSE)</f>
        <v>#N/A</v>
      </c>
      <c r="F4122" s="22" t="e">
        <f>VLOOKUP($A4122,TAB_AMORTIZACAO_U[[Q_DIAS_U_PARC_TIR]:[V_FUT_U_PCPL-02]], F$5, FALSE)</f>
        <v>#N/A</v>
      </c>
      <c r="H4122" s="20">
        <f t="shared" si="327"/>
        <v>0</v>
      </c>
      <c r="I4122" s="21">
        <f t="shared" si="328"/>
        <v>0</v>
      </c>
      <c r="J4122" s="22" t="e">
        <f>VLOOKUP($A4122, TAB_JUROS_C[[DIAS_CORRIDOS]:[V_FUT_UTEIS]], J$5, FALSE)</f>
        <v>#N/A</v>
      </c>
      <c r="K4122" s="22" t="e">
        <f>VLOOKUP($A4122, TAB_CORRECAO_C[[DIAS_CORRIDOS]:[V_FUT_UTEIS]],K$5, FALSE)</f>
        <v>#N/A</v>
      </c>
      <c r="L4122" s="22" t="e">
        <f>VLOOKUP($A4122, TAB_AMORTIZACAO_C[[DIAS_CORRIDOS]:[V_FUT_UTEIS]], L$5, FALSE)</f>
        <v>#N/A</v>
      </c>
    </row>
    <row r="4123" spans="1:12" hidden="1">
      <c r="A4123" s="19">
        <f t="shared" si="329"/>
        <v>4117</v>
      </c>
      <c r="B4123" s="20">
        <f t="shared" si="325"/>
        <v>0</v>
      </c>
      <c r="C4123" s="21">
        <f t="shared" si="326"/>
        <v>0</v>
      </c>
      <c r="D4123" s="22" t="e">
        <f>VLOOKUP($A4123, TAB_JUROS_U[[Q_DIAS_U_PARC_TIR]:[V_FUT_U_JURS CENARIO]], D$5, FALSE)</f>
        <v>#N/A</v>
      </c>
      <c r="E4123" s="22" t="e">
        <f>VLOOKUP($A4123,TAB_CORRECAO_U[[Q_DIAS_U_PARC_TIR]:[V_FUT_U_CORC-02]],E$5, FALSE)</f>
        <v>#N/A</v>
      </c>
      <c r="F4123" s="22" t="e">
        <f>VLOOKUP($A4123,TAB_AMORTIZACAO_U[[Q_DIAS_U_PARC_TIR]:[V_FUT_U_PCPL-02]], F$5, FALSE)</f>
        <v>#N/A</v>
      </c>
      <c r="H4123" s="20">
        <f t="shared" si="327"/>
        <v>0</v>
      </c>
      <c r="I4123" s="21">
        <f t="shared" si="328"/>
        <v>0</v>
      </c>
      <c r="J4123" s="22" t="e">
        <f>VLOOKUP($A4123, TAB_JUROS_C[[DIAS_CORRIDOS]:[V_FUT_UTEIS]], J$5, FALSE)</f>
        <v>#N/A</v>
      </c>
      <c r="K4123" s="22" t="e">
        <f>VLOOKUP($A4123, TAB_CORRECAO_C[[DIAS_CORRIDOS]:[V_FUT_UTEIS]],K$5, FALSE)</f>
        <v>#N/A</v>
      </c>
      <c r="L4123" s="22" t="e">
        <f>VLOOKUP($A4123, TAB_AMORTIZACAO_C[[DIAS_CORRIDOS]:[V_FUT_UTEIS]], L$5, FALSE)</f>
        <v>#N/A</v>
      </c>
    </row>
    <row r="4124" spans="1:12" hidden="1">
      <c r="A4124" s="19">
        <f t="shared" si="329"/>
        <v>4118</v>
      </c>
      <c r="B4124" s="20">
        <f t="shared" si="325"/>
        <v>0</v>
      </c>
      <c r="C4124" s="21">
        <f t="shared" si="326"/>
        <v>0</v>
      </c>
      <c r="D4124" s="22" t="e">
        <f>VLOOKUP($A4124, TAB_JUROS_U[[Q_DIAS_U_PARC_TIR]:[V_FUT_U_JURS CENARIO]], D$5, FALSE)</f>
        <v>#N/A</v>
      </c>
      <c r="E4124" s="22" t="e">
        <f>VLOOKUP($A4124,TAB_CORRECAO_U[[Q_DIAS_U_PARC_TIR]:[V_FUT_U_CORC-02]],E$5, FALSE)</f>
        <v>#N/A</v>
      </c>
      <c r="F4124" s="22" t="e">
        <f>VLOOKUP($A4124,TAB_AMORTIZACAO_U[[Q_DIAS_U_PARC_TIR]:[V_FUT_U_PCPL-02]], F$5, FALSE)</f>
        <v>#N/A</v>
      </c>
      <c r="H4124" s="20">
        <f t="shared" si="327"/>
        <v>0</v>
      </c>
      <c r="I4124" s="21">
        <f t="shared" si="328"/>
        <v>0</v>
      </c>
      <c r="J4124" s="22" t="e">
        <f>VLOOKUP($A4124, TAB_JUROS_C[[DIAS_CORRIDOS]:[V_FUT_UTEIS]], J$5, FALSE)</f>
        <v>#N/A</v>
      </c>
      <c r="K4124" s="22" t="e">
        <f>VLOOKUP($A4124, TAB_CORRECAO_C[[DIAS_CORRIDOS]:[V_FUT_UTEIS]],K$5, FALSE)</f>
        <v>#N/A</v>
      </c>
      <c r="L4124" s="22" t="e">
        <f>VLOOKUP($A4124, TAB_AMORTIZACAO_C[[DIAS_CORRIDOS]:[V_FUT_UTEIS]], L$5, FALSE)</f>
        <v>#N/A</v>
      </c>
    </row>
    <row r="4125" spans="1:12" hidden="1">
      <c r="A4125" s="19">
        <f t="shared" si="329"/>
        <v>4119</v>
      </c>
      <c r="B4125" s="20">
        <f t="shared" si="325"/>
        <v>0</v>
      </c>
      <c r="C4125" s="21">
        <f t="shared" si="326"/>
        <v>0</v>
      </c>
      <c r="D4125" s="22" t="e">
        <f>VLOOKUP($A4125, TAB_JUROS_U[[Q_DIAS_U_PARC_TIR]:[V_FUT_U_JURS CENARIO]], D$5, FALSE)</f>
        <v>#N/A</v>
      </c>
      <c r="E4125" s="22" t="e">
        <f>VLOOKUP($A4125,TAB_CORRECAO_U[[Q_DIAS_U_PARC_TIR]:[V_FUT_U_CORC-02]],E$5, FALSE)</f>
        <v>#N/A</v>
      </c>
      <c r="F4125" s="22" t="e">
        <f>VLOOKUP($A4125,TAB_AMORTIZACAO_U[[Q_DIAS_U_PARC_TIR]:[V_FUT_U_PCPL-02]], F$5, FALSE)</f>
        <v>#N/A</v>
      </c>
      <c r="H4125" s="20">
        <f t="shared" si="327"/>
        <v>109.5209865145239</v>
      </c>
      <c r="I4125" s="21">
        <f t="shared" si="328"/>
        <v>109.5209865145239</v>
      </c>
      <c r="J4125" s="22">
        <f>VLOOKUP($A4125, TAB_JUROS_C[[DIAS_CORRIDOS]:[V_FUT_UTEIS]], J$5, FALSE)</f>
        <v>1.8241685594090382</v>
      </c>
      <c r="K4125" s="22">
        <f>VLOOKUP($A4125, TAB_CORRECAO_C[[DIAS_CORRIDOS]:[V_FUT_UTEIS]],K$5, FALSE)</f>
        <v>11.151545376910166</v>
      </c>
      <c r="L4125" s="22">
        <f>VLOOKUP($A4125, TAB_AMORTIZACAO_C[[DIAS_CORRIDOS]:[V_FUT_UTEIS]], L$5, FALSE)</f>
        <v>96.545272578204688</v>
      </c>
    </row>
    <row r="4126" spans="1:12" hidden="1">
      <c r="A4126" s="19">
        <f t="shared" si="329"/>
        <v>4120</v>
      </c>
      <c r="B4126" s="20">
        <f t="shared" si="325"/>
        <v>0</v>
      </c>
      <c r="C4126" s="21">
        <f t="shared" si="326"/>
        <v>0</v>
      </c>
      <c r="D4126" s="22" t="e">
        <f>VLOOKUP($A4126, TAB_JUROS_U[[Q_DIAS_U_PARC_TIR]:[V_FUT_U_JURS CENARIO]], D$5, FALSE)</f>
        <v>#N/A</v>
      </c>
      <c r="E4126" s="22" t="e">
        <f>VLOOKUP($A4126,TAB_CORRECAO_U[[Q_DIAS_U_PARC_TIR]:[V_FUT_U_CORC-02]],E$5, FALSE)</f>
        <v>#N/A</v>
      </c>
      <c r="F4126" s="22" t="e">
        <f>VLOOKUP($A4126,TAB_AMORTIZACAO_U[[Q_DIAS_U_PARC_TIR]:[V_FUT_U_PCPL-02]], F$5, FALSE)</f>
        <v>#N/A</v>
      </c>
      <c r="H4126" s="20">
        <f t="shared" si="327"/>
        <v>0</v>
      </c>
      <c r="I4126" s="21">
        <f t="shared" si="328"/>
        <v>0</v>
      </c>
      <c r="J4126" s="22" t="e">
        <f>VLOOKUP($A4126, TAB_JUROS_C[[DIAS_CORRIDOS]:[V_FUT_UTEIS]], J$5, FALSE)</f>
        <v>#N/A</v>
      </c>
      <c r="K4126" s="22" t="e">
        <f>VLOOKUP($A4126, TAB_CORRECAO_C[[DIAS_CORRIDOS]:[V_FUT_UTEIS]],K$5, FALSE)</f>
        <v>#N/A</v>
      </c>
      <c r="L4126" s="22" t="e">
        <f>VLOOKUP($A4126, TAB_AMORTIZACAO_C[[DIAS_CORRIDOS]:[V_FUT_UTEIS]], L$5, FALSE)</f>
        <v>#N/A</v>
      </c>
    </row>
    <row r="4127" spans="1:12" hidden="1">
      <c r="A4127" s="19">
        <f t="shared" si="329"/>
        <v>4121</v>
      </c>
      <c r="B4127" s="20">
        <f t="shared" si="325"/>
        <v>0</v>
      </c>
      <c r="C4127" s="21">
        <f t="shared" si="326"/>
        <v>0</v>
      </c>
      <c r="D4127" s="22" t="e">
        <f>VLOOKUP($A4127, TAB_JUROS_U[[Q_DIAS_U_PARC_TIR]:[V_FUT_U_JURS CENARIO]], D$5, FALSE)</f>
        <v>#N/A</v>
      </c>
      <c r="E4127" s="22" t="e">
        <f>VLOOKUP($A4127,TAB_CORRECAO_U[[Q_DIAS_U_PARC_TIR]:[V_FUT_U_CORC-02]],E$5, FALSE)</f>
        <v>#N/A</v>
      </c>
      <c r="F4127" s="22" t="e">
        <f>VLOOKUP($A4127,TAB_AMORTIZACAO_U[[Q_DIAS_U_PARC_TIR]:[V_FUT_U_PCPL-02]], F$5, FALSE)</f>
        <v>#N/A</v>
      </c>
      <c r="H4127" s="20">
        <f t="shared" si="327"/>
        <v>0</v>
      </c>
      <c r="I4127" s="21">
        <f t="shared" si="328"/>
        <v>0</v>
      </c>
      <c r="J4127" s="22" t="e">
        <f>VLOOKUP($A4127, TAB_JUROS_C[[DIAS_CORRIDOS]:[V_FUT_UTEIS]], J$5, FALSE)</f>
        <v>#N/A</v>
      </c>
      <c r="K4127" s="22" t="e">
        <f>VLOOKUP($A4127, TAB_CORRECAO_C[[DIAS_CORRIDOS]:[V_FUT_UTEIS]],K$5, FALSE)</f>
        <v>#N/A</v>
      </c>
      <c r="L4127" s="22" t="e">
        <f>VLOOKUP($A4127, TAB_AMORTIZACAO_C[[DIAS_CORRIDOS]:[V_FUT_UTEIS]], L$5, FALSE)</f>
        <v>#N/A</v>
      </c>
    </row>
    <row r="4128" spans="1:12" hidden="1">
      <c r="A4128" s="19">
        <f t="shared" si="329"/>
        <v>4122</v>
      </c>
      <c r="B4128" s="20">
        <f t="shared" si="325"/>
        <v>0</v>
      </c>
      <c r="C4128" s="21">
        <f t="shared" si="326"/>
        <v>0</v>
      </c>
      <c r="D4128" s="22" t="e">
        <f>VLOOKUP($A4128, TAB_JUROS_U[[Q_DIAS_U_PARC_TIR]:[V_FUT_U_JURS CENARIO]], D$5, FALSE)</f>
        <v>#N/A</v>
      </c>
      <c r="E4128" s="22" t="e">
        <f>VLOOKUP($A4128,TAB_CORRECAO_U[[Q_DIAS_U_PARC_TIR]:[V_FUT_U_CORC-02]],E$5, FALSE)</f>
        <v>#N/A</v>
      </c>
      <c r="F4128" s="22" t="e">
        <f>VLOOKUP($A4128,TAB_AMORTIZACAO_U[[Q_DIAS_U_PARC_TIR]:[V_FUT_U_PCPL-02]], F$5, FALSE)</f>
        <v>#N/A</v>
      </c>
      <c r="H4128" s="20">
        <f t="shared" si="327"/>
        <v>0</v>
      </c>
      <c r="I4128" s="21">
        <f t="shared" si="328"/>
        <v>0</v>
      </c>
      <c r="J4128" s="22" t="e">
        <f>VLOOKUP($A4128, TAB_JUROS_C[[DIAS_CORRIDOS]:[V_FUT_UTEIS]], J$5, FALSE)</f>
        <v>#N/A</v>
      </c>
      <c r="K4128" s="22" t="e">
        <f>VLOOKUP($A4128, TAB_CORRECAO_C[[DIAS_CORRIDOS]:[V_FUT_UTEIS]],K$5, FALSE)</f>
        <v>#N/A</v>
      </c>
      <c r="L4128" s="22" t="e">
        <f>VLOOKUP($A4128, TAB_AMORTIZACAO_C[[DIAS_CORRIDOS]:[V_FUT_UTEIS]], L$5, FALSE)</f>
        <v>#N/A</v>
      </c>
    </row>
    <row r="4129" spans="1:12" hidden="1">
      <c r="A4129" s="19">
        <f t="shared" si="329"/>
        <v>4123</v>
      </c>
      <c r="B4129" s="20">
        <f t="shared" si="325"/>
        <v>0</v>
      </c>
      <c r="C4129" s="21">
        <f t="shared" si="326"/>
        <v>0</v>
      </c>
      <c r="D4129" s="22" t="e">
        <f>VLOOKUP($A4129, TAB_JUROS_U[[Q_DIAS_U_PARC_TIR]:[V_FUT_U_JURS CENARIO]], D$5, FALSE)</f>
        <v>#N/A</v>
      </c>
      <c r="E4129" s="22" t="e">
        <f>VLOOKUP($A4129,TAB_CORRECAO_U[[Q_DIAS_U_PARC_TIR]:[V_FUT_U_CORC-02]],E$5, FALSE)</f>
        <v>#N/A</v>
      </c>
      <c r="F4129" s="22" t="e">
        <f>VLOOKUP($A4129,TAB_AMORTIZACAO_U[[Q_DIAS_U_PARC_TIR]:[V_FUT_U_PCPL-02]], F$5, FALSE)</f>
        <v>#N/A</v>
      </c>
      <c r="H4129" s="20">
        <f t="shared" si="327"/>
        <v>0</v>
      </c>
      <c r="I4129" s="21">
        <f t="shared" si="328"/>
        <v>0</v>
      </c>
      <c r="J4129" s="22" t="e">
        <f>VLOOKUP($A4129, TAB_JUROS_C[[DIAS_CORRIDOS]:[V_FUT_UTEIS]], J$5, FALSE)</f>
        <v>#N/A</v>
      </c>
      <c r="K4129" s="22" t="e">
        <f>VLOOKUP($A4129, TAB_CORRECAO_C[[DIAS_CORRIDOS]:[V_FUT_UTEIS]],K$5, FALSE)</f>
        <v>#N/A</v>
      </c>
      <c r="L4129" s="22" t="e">
        <f>VLOOKUP($A4129, TAB_AMORTIZACAO_C[[DIAS_CORRIDOS]:[V_FUT_UTEIS]], L$5, FALSE)</f>
        <v>#N/A</v>
      </c>
    </row>
    <row r="4130" spans="1:12" hidden="1">
      <c r="A4130" s="19">
        <f t="shared" si="329"/>
        <v>4124</v>
      </c>
      <c r="B4130" s="20">
        <f t="shared" si="325"/>
        <v>0</v>
      </c>
      <c r="C4130" s="21">
        <f t="shared" si="326"/>
        <v>0</v>
      </c>
      <c r="D4130" s="22" t="e">
        <f>VLOOKUP($A4130, TAB_JUROS_U[[Q_DIAS_U_PARC_TIR]:[V_FUT_U_JURS CENARIO]], D$5, FALSE)</f>
        <v>#N/A</v>
      </c>
      <c r="E4130" s="22" t="e">
        <f>VLOOKUP($A4130,TAB_CORRECAO_U[[Q_DIAS_U_PARC_TIR]:[V_FUT_U_CORC-02]],E$5, FALSE)</f>
        <v>#N/A</v>
      </c>
      <c r="F4130" s="22" t="e">
        <f>VLOOKUP($A4130,TAB_AMORTIZACAO_U[[Q_DIAS_U_PARC_TIR]:[V_FUT_U_PCPL-02]], F$5, FALSE)</f>
        <v>#N/A</v>
      </c>
      <c r="H4130" s="20">
        <f t="shared" si="327"/>
        <v>0</v>
      </c>
      <c r="I4130" s="21">
        <f t="shared" si="328"/>
        <v>0</v>
      </c>
      <c r="J4130" s="22" t="e">
        <f>VLOOKUP($A4130, TAB_JUROS_C[[DIAS_CORRIDOS]:[V_FUT_UTEIS]], J$5, FALSE)</f>
        <v>#N/A</v>
      </c>
      <c r="K4130" s="22" t="e">
        <f>VLOOKUP($A4130, TAB_CORRECAO_C[[DIAS_CORRIDOS]:[V_FUT_UTEIS]],K$5, FALSE)</f>
        <v>#N/A</v>
      </c>
      <c r="L4130" s="22" t="e">
        <f>VLOOKUP($A4130, TAB_AMORTIZACAO_C[[DIAS_CORRIDOS]:[V_FUT_UTEIS]], L$5, FALSE)</f>
        <v>#N/A</v>
      </c>
    </row>
    <row r="4131" spans="1:12" hidden="1">
      <c r="A4131" s="19">
        <f t="shared" si="329"/>
        <v>4125</v>
      </c>
      <c r="B4131" s="20">
        <f t="shared" si="325"/>
        <v>0</v>
      </c>
      <c r="C4131" s="21">
        <f t="shared" si="326"/>
        <v>0</v>
      </c>
      <c r="D4131" s="22" t="e">
        <f>VLOOKUP($A4131, TAB_JUROS_U[[Q_DIAS_U_PARC_TIR]:[V_FUT_U_JURS CENARIO]], D$5, FALSE)</f>
        <v>#N/A</v>
      </c>
      <c r="E4131" s="22" t="e">
        <f>VLOOKUP($A4131,TAB_CORRECAO_U[[Q_DIAS_U_PARC_TIR]:[V_FUT_U_CORC-02]],E$5, FALSE)</f>
        <v>#N/A</v>
      </c>
      <c r="F4131" s="22" t="e">
        <f>VLOOKUP($A4131,TAB_AMORTIZACAO_U[[Q_DIAS_U_PARC_TIR]:[V_FUT_U_PCPL-02]], F$5, FALSE)</f>
        <v>#N/A</v>
      </c>
      <c r="H4131" s="20">
        <f t="shared" si="327"/>
        <v>0</v>
      </c>
      <c r="I4131" s="21">
        <f t="shared" si="328"/>
        <v>0</v>
      </c>
      <c r="J4131" s="22" t="e">
        <f>VLOOKUP($A4131, TAB_JUROS_C[[DIAS_CORRIDOS]:[V_FUT_UTEIS]], J$5, FALSE)</f>
        <v>#N/A</v>
      </c>
      <c r="K4131" s="22" t="e">
        <f>VLOOKUP($A4131, TAB_CORRECAO_C[[DIAS_CORRIDOS]:[V_FUT_UTEIS]],K$5, FALSE)</f>
        <v>#N/A</v>
      </c>
      <c r="L4131" s="22" t="e">
        <f>VLOOKUP($A4131, TAB_AMORTIZACAO_C[[DIAS_CORRIDOS]:[V_FUT_UTEIS]], L$5, FALSE)</f>
        <v>#N/A</v>
      </c>
    </row>
    <row r="4132" spans="1:12" hidden="1">
      <c r="A4132" s="19">
        <f t="shared" si="329"/>
        <v>4126</v>
      </c>
      <c r="B4132" s="20">
        <f t="shared" si="325"/>
        <v>0</v>
      </c>
      <c r="C4132" s="21">
        <f t="shared" si="326"/>
        <v>0</v>
      </c>
      <c r="D4132" s="22" t="e">
        <f>VLOOKUP($A4132, TAB_JUROS_U[[Q_DIAS_U_PARC_TIR]:[V_FUT_U_JURS CENARIO]], D$5, FALSE)</f>
        <v>#N/A</v>
      </c>
      <c r="E4132" s="22" t="e">
        <f>VLOOKUP($A4132,TAB_CORRECAO_U[[Q_DIAS_U_PARC_TIR]:[V_FUT_U_CORC-02]],E$5, FALSE)</f>
        <v>#N/A</v>
      </c>
      <c r="F4132" s="22" t="e">
        <f>VLOOKUP($A4132,TAB_AMORTIZACAO_U[[Q_DIAS_U_PARC_TIR]:[V_FUT_U_PCPL-02]], F$5, FALSE)</f>
        <v>#N/A</v>
      </c>
      <c r="H4132" s="20">
        <f t="shared" si="327"/>
        <v>0</v>
      </c>
      <c r="I4132" s="21">
        <f t="shared" si="328"/>
        <v>0</v>
      </c>
      <c r="J4132" s="22" t="e">
        <f>VLOOKUP($A4132, TAB_JUROS_C[[DIAS_CORRIDOS]:[V_FUT_UTEIS]], J$5, FALSE)</f>
        <v>#N/A</v>
      </c>
      <c r="K4132" s="22" t="e">
        <f>VLOOKUP($A4132, TAB_CORRECAO_C[[DIAS_CORRIDOS]:[V_FUT_UTEIS]],K$5, FALSE)</f>
        <v>#N/A</v>
      </c>
      <c r="L4132" s="22" t="e">
        <f>VLOOKUP($A4132, TAB_AMORTIZACAO_C[[DIAS_CORRIDOS]:[V_FUT_UTEIS]], L$5, FALSE)</f>
        <v>#N/A</v>
      </c>
    </row>
    <row r="4133" spans="1:12" hidden="1">
      <c r="A4133" s="19">
        <f t="shared" si="329"/>
        <v>4127</v>
      </c>
      <c r="B4133" s="20">
        <f t="shared" si="325"/>
        <v>0</v>
      </c>
      <c r="C4133" s="21">
        <f t="shared" si="326"/>
        <v>0</v>
      </c>
      <c r="D4133" s="22" t="e">
        <f>VLOOKUP($A4133, TAB_JUROS_U[[Q_DIAS_U_PARC_TIR]:[V_FUT_U_JURS CENARIO]], D$5, FALSE)</f>
        <v>#N/A</v>
      </c>
      <c r="E4133" s="22" t="e">
        <f>VLOOKUP($A4133,TAB_CORRECAO_U[[Q_DIAS_U_PARC_TIR]:[V_FUT_U_CORC-02]],E$5, FALSE)</f>
        <v>#N/A</v>
      </c>
      <c r="F4133" s="22" t="e">
        <f>VLOOKUP($A4133,TAB_AMORTIZACAO_U[[Q_DIAS_U_PARC_TIR]:[V_FUT_U_PCPL-02]], F$5, FALSE)</f>
        <v>#N/A</v>
      </c>
      <c r="H4133" s="20">
        <f t="shared" si="327"/>
        <v>0</v>
      </c>
      <c r="I4133" s="21">
        <f t="shared" si="328"/>
        <v>0</v>
      </c>
      <c r="J4133" s="22" t="e">
        <f>VLOOKUP($A4133, TAB_JUROS_C[[DIAS_CORRIDOS]:[V_FUT_UTEIS]], J$5, FALSE)</f>
        <v>#N/A</v>
      </c>
      <c r="K4133" s="22" t="e">
        <f>VLOOKUP($A4133, TAB_CORRECAO_C[[DIAS_CORRIDOS]:[V_FUT_UTEIS]],K$5, FALSE)</f>
        <v>#N/A</v>
      </c>
      <c r="L4133" s="22" t="e">
        <f>VLOOKUP($A4133, TAB_AMORTIZACAO_C[[DIAS_CORRIDOS]:[V_FUT_UTEIS]], L$5, FALSE)</f>
        <v>#N/A</v>
      </c>
    </row>
    <row r="4134" spans="1:12" hidden="1">
      <c r="A4134" s="19">
        <f t="shared" si="329"/>
        <v>4128</v>
      </c>
      <c r="B4134" s="20">
        <f t="shared" si="325"/>
        <v>0</v>
      </c>
      <c r="C4134" s="21">
        <f t="shared" si="326"/>
        <v>0</v>
      </c>
      <c r="D4134" s="22" t="e">
        <f>VLOOKUP($A4134, TAB_JUROS_U[[Q_DIAS_U_PARC_TIR]:[V_FUT_U_JURS CENARIO]], D$5, FALSE)</f>
        <v>#N/A</v>
      </c>
      <c r="E4134" s="22" t="e">
        <f>VLOOKUP($A4134,TAB_CORRECAO_U[[Q_DIAS_U_PARC_TIR]:[V_FUT_U_CORC-02]],E$5, FALSE)</f>
        <v>#N/A</v>
      </c>
      <c r="F4134" s="22" t="e">
        <f>VLOOKUP($A4134,TAB_AMORTIZACAO_U[[Q_DIAS_U_PARC_TIR]:[V_FUT_U_PCPL-02]], F$5, FALSE)</f>
        <v>#N/A</v>
      </c>
      <c r="H4134" s="20">
        <f t="shared" si="327"/>
        <v>0</v>
      </c>
      <c r="I4134" s="21">
        <f t="shared" si="328"/>
        <v>0</v>
      </c>
      <c r="J4134" s="22" t="e">
        <f>VLOOKUP($A4134, TAB_JUROS_C[[DIAS_CORRIDOS]:[V_FUT_UTEIS]], J$5, FALSE)</f>
        <v>#N/A</v>
      </c>
      <c r="K4134" s="22" t="e">
        <f>VLOOKUP($A4134, TAB_CORRECAO_C[[DIAS_CORRIDOS]:[V_FUT_UTEIS]],K$5, FALSE)</f>
        <v>#N/A</v>
      </c>
      <c r="L4134" s="22" t="e">
        <f>VLOOKUP($A4134, TAB_AMORTIZACAO_C[[DIAS_CORRIDOS]:[V_FUT_UTEIS]], L$5, FALSE)</f>
        <v>#N/A</v>
      </c>
    </row>
    <row r="4135" spans="1:12" hidden="1">
      <c r="A4135" s="19">
        <f t="shared" si="329"/>
        <v>4129</v>
      </c>
      <c r="B4135" s="20">
        <f t="shared" si="325"/>
        <v>0</v>
      </c>
      <c r="C4135" s="21">
        <f t="shared" si="326"/>
        <v>0</v>
      </c>
      <c r="D4135" s="22" t="e">
        <f>VLOOKUP($A4135, TAB_JUROS_U[[Q_DIAS_U_PARC_TIR]:[V_FUT_U_JURS CENARIO]], D$5, FALSE)</f>
        <v>#N/A</v>
      </c>
      <c r="E4135" s="22" t="e">
        <f>VLOOKUP($A4135,TAB_CORRECAO_U[[Q_DIAS_U_PARC_TIR]:[V_FUT_U_CORC-02]],E$5, FALSE)</f>
        <v>#N/A</v>
      </c>
      <c r="F4135" s="22" t="e">
        <f>VLOOKUP($A4135,TAB_AMORTIZACAO_U[[Q_DIAS_U_PARC_TIR]:[V_FUT_U_PCPL-02]], F$5, FALSE)</f>
        <v>#N/A</v>
      </c>
      <c r="H4135" s="20">
        <f t="shared" si="327"/>
        <v>0</v>
      </c>
      <c r="I4135" s="21">
        <f t="shared" si="328"/>
        <v>0</v>
      </c>
      <c r="J4135" s="22" t="e">
        <f>VLOOKUP($A4135, TAB_JUROS_C[[DIAS_CORRIDOS]:[V_FUT_UTEIS]], J$5, FALSE)</f>
        <v>#N/A</v>
      </c>
      <c r="K4135" s="22" t="e">
        <f>VLOOKUP($A4135, TAB_CORRECAO_C[[DIAS_CORRIDOS]:[V_FUT_UTEIS]],K$5, FALSE)</f>
        <v>#N/A</v>
      </c>
      <c r="L4135" s="22" t="e">
        <f>VLOOKUP($A4135, TAB_AMORTIZACAO_C[[DIAS_CORRIDOS]:[V_FUT_UTEIS]], L$5, FALSE)</f>
        <v>#N/A</v>
      </c>
    </row>
    <row r="4136" spans="1:12" hidden="1">
      <c r="A4136" s="19">
        <f t="shared" si="329"/>
        <v>4130</v>
      </c>
      <c r="B4136" s="20">
        <f t="shared" si="325"/>
        <v>0</v>
      </c>
      <c r="C4136" s="21">
        <f t="shared" si="326"/>
        <v>0</v>
      </c>
      <c r="D4136" s="22" t="e">
        <f>VLOOKUP($A4136, TAB_JUROS_U[[Q_DIAS_U_PARC_TIR]:[V_FUT_U_JURS CENARIO]], D$5, FALSE)</f>
        <v>#N/A</v>
      </c>
      <c r="E4136" s="22" t="e">
        <f>VLOOKUP($A4136,TAB_CORRECAO_U[[Q_DIAS_U_PARC_TIR]:[V_FUT_U_CORC-02]],E$5, FALSE)</f>
        <v>#N/A</v>
      </c>
      <c r="F4136" s="22" t="e">
        <f>VLOOKUP($A4136,TAB_AMORTIZACAO_U[[Q_DIAS_U_PARC_TIR]:[V_FUT_U_PCPL-02]], F$5, FALSE)</f>
        <v>#N/A</v>
      </c>
      <c r="H4136" s="20">
        <f t="shared" si="327"/>
        <v>0</v>
      </c>
      <c r="I4136" s="21">
        <f t="shared" si="328"/>
        <v>0</v>
      </c>
      <c r="J4136" s="22" t="e">
        <f>VLOOKUP($A4136, TAB_JUROS_C[[DIAS_CORRIDOS]:[V_FUT_UTEIS]], J$5, FALSE)</f>
        <v>#N/A</v>
      </c>
      <c r="K4136" s="22" t="e">
        <f>VLOOKUP($A4136, TAB_CORRECAO_C[[DIAS_CORRIDOS]:[V_FUT_UTEIS]],K$5, FALSE)</f>
        <v>#N/A</v>
      </c>
      <c r="L4136" s="22" t="e">
        <f>VLOOKUP($A4136, TAB_AMORTIZACAO_C[[DIAS_CORRIDOS]:[V_FUT_UTEIS]], L$5, FALSE)</f>
        <v>#N/A</v>
      </c>
    </row>
    <row r="4137" spans="1:12" hidden="1">
      <c r="A4137" s="19">
        <f t="shared" si="329"/>
        <v>4131</v>
      </c>
      <c r="B4137" s="20">
        <f t="shared" si="325"/>
        <v>0</v>
      </c>
      <c r="C4137" s="21">
        <f t="shared" si="326"/>
        <v>0</v>
      </c>
      <c r="D4137" s="22" t="e">
        <f>VLOOKUP($A4137, TAB_JUROS_U[[Q_DIAS_U_PARC_TIR]:[V_FUT_U_JURS CENARIO]], D$5, FALSE)</f>
        <v>#N/A</v>
      </c>
      <c r="E4137" s="22" t="e">
        <f>VLOOKUP($A4137,TAB_CORRECAO_U[[Q_DIAS_U_PARC_TIR]:[V_FUT_U_CORC-02]],E$5, FALSE)</f>
        <v>#N/A</v>
      </c>
      <c r="F4137" s="22" t="e">
        <f>VLOOKUP($A4137,TAB_AMORTIZACAO_U[[Q_DIAS_U_PARC_TIR]:[V_FUT_U_PCPL-02]], F$5, FALSE)</f>
        <v>#N/A</v>
      </c>
      <c r="H4137" s="20">
        <f t="shared" si="327"/>
        <v>0</v>
      </c>
      <c r="I4137" s="21">
        <f t="shared" si="328"/>
        <v>0</v>
      </c>
      <c r="J4137" s="22" t="e">
        <f>VLOOKUP($A4137, TAB_JUROS_C[[DIAS_CORRIDOS]:[V_FUT_UTEIS]], J$5, FALSE)</f>
        <v>#N/A</v>
      </c>
      <c r="K4137" s="22" t="e">
        <f>VLOOKUP($A4137, TAB_CORRECAO_C[[DIAS_CORRIDOS]:[V_FUT_UTEIS]],K$5, FALSE)</f>
        <v>#N/A</v>
      </c>
      <c r="L4137" s="22" t="e">
        <f>VLOOKUP($A4137, TAB_AMORTIZACAO_C[[DIAS_CORRIDOS]:[V_FUT_UTEIS]], L$5, FALSE)</f>
        <v>#N/A</v>
      </c>
    </row>
    <row r="4138" spans="1:12" hidden="1">
      <c r="A4138" s="19">
        <f t="shared" si="329"/>
        <v>4132</v>
      </c>
      <c r="B4138" s="20">
        <f t="shared" si="325"/>
        <v>0</v>
      </c>
      <c r="C4138" s="21">
        <f t="shared" si="326"/>
        <v>0</v>
      </c>
      <c r="D4138" s="22" t="e">
        <f>VLOOKUP($A4138, TAB_JUROS_U[[Q_DIAS_U_PARC_TIR]:[V_FUT_U_JURS CENARIO]], D$5, FALSE)</f>
        <v>#N/A</v>
      </c>
      <c r="E4138" s="22" t="e">
        <f>VLOOKUP($A4138,TAB_CORRECAO_U[[Q_DIAS_U_PARC_TIR]:[V_FUT_U_CORC-02]],E$5, FALSE)</f>
        <v>#N/A</v>
      </c>
      <c r="F4138" s="22" t="e">
        <f>VLOOKUP($A4138,TAB_AMORTIZACAO_U[[Q_DIAS_U_PARC_TIR]:[V_FUT_U_PCPL-02]], F$5, FALSE)</f>
        <v>#N/A</v>
      </c>
      <c r="H4138" s="20">
        <f t="shared" si="327"/>
        <v>0</v>
      </c>
      <c r="I4138" s="21">
        <f t="shared" si="328"/>
        <v>0</v>
      </c>
      <c r="J4138" s="22" t="e">
        <f>VLOOKUP($A4138, TAB_JUROS_C[[DIAS_CORRIDOS]:[V_FUT_UTEIS]], J$5, FALSE)</f>
        <v>#N/A</v>
      </c>
      <c r="K4138" s="22" t="e">
        <f>VLOOKUP($A4138, TAB_CORRECAO_C[[DIAS_CORRIDOS]:[V_FUT_UTEIS]],K$5, FALSE)</f>
        <v>#N/A</v>
      </c>
      <c r="L4138" s="22" t="e">
        <f>VLOOKUP($A4138, TAB_AMORTIZACAO_C[[DIAS_CORRIDOS]:[V_FUT_UTEIS]], L$5, FALSE)</f>
        <v>#N/A</v>
      </c>
    </row>
    <row r="4139" spans="1:12" hidden="1">
      <c r="A4139" s="19">
        <f t="shared" si="329"/>
        <v>4133</v>
      </c>
      <c r="B4139" s="20">
        <f t="shared" si="325"/>
        <v>0</v>
      </c>
      <c r="C4139" s="21">
        <f t="shared" si="326"/>
        <v>0</v>
      </c>
      <c r="D4139" s="22" t="e">
        <f>VLOOKUP($A4139, TAB_JUROS_U[[Q_DIAS_U_PARC_TIR]:[V_FUT_U_JURS CENARIO]], D$5, FALSE)</f>
        <v>#N/A</v>
      </c>
      <c r="E4139" s="22" t="e">
        <f>VLOOKUP($A4139,TAB_CORRECAO_U[[Q_DIAS_U_PARC_TIR]:[V_FUT_U_CORC-02]],E$5, FALSE)</f>
        <v>#N/A</v>
      </c>
      <c r="F4139" s="22" t="e">
        <f>VLOOKUP($A4139,TAB_AMORTIZACAO_U[[Q_DIAS_U_PARC_TIR]:[V_FUT_U_PCPL-02]], F$5, FALSE)</f>
        <v>#N/A</v>
      </c>
      <c r="H4139" s="20">
        <f t="shared" si="327"/>
        <v>0</v>
      </c>
      <c r="I4139" s="21">
        <f t="shared" si="328"/>
        <v>0</v>
      </c>
      <c r="J4139" s="22" t="e">
        <f>VLOOKUP($A4139, TAB_JUROS_C[[DIAS_CORRIDOS]:[V_FUT_UTEIS]], J$5, FALSE)</f>
        <v>#N/A</v>
      </c>
      <c r="K4139" s="22" t="e">
        <f>VLOOKUP($A4139, TAB_CORRECAO_C[[DIAS_CORRIDOS]:[V_FUT_UTEIS]],K$5, FALSE)</f>
        <v>#N/A</v>
      </c>
      <c r="L4139" s="22" t="e">
        <f>VLOOKUP($A4139, TAB_AMORTIZACAO_C[[DIAS_CORRIDOS]:[V_FUT_UTEIS]], L$5, FALSE)</f>
        <v>#N/A</v>
      </c>
    </row>
    <row r="4140" spans="1:12" hidden="1">
      <c r="A4140" s="19">
        <f t="shared" si="329"/>
        <v>4134</v>
      </c>
      <c r="B4140" s="20">
        <f t="shared" si="325"/>
        <v>0</v>
      </c>
      <c r="C4140" s="21">
        <f t="shared" si="326"/>
        <v>0</v>
      </c>
      <c r="D4140" s="22" t="e">
        <f>VLOOKUP($A4140, TAB_JUROS_U[[Q_DIAS_U_PARC_TIR]:[V_FUT_U_JURS CENARIO]], D$5, FALSE)</f>
        <v>#N/A</v>
      </c>
      <c r="E4140" s="22" t="e">
        <f>VLOOKUP($A4140,TAB_CORRECAO_U[[Q_DIAS_U_PARC_TIR]:[V_FUT_U_CORC-02]],E$5, FALSE)</f>
        <v>#N/A</v>
      </c>
      <c r="F4140" s="22" t="e">
        <f>VLOOKUP($A4140,TAB_AMORTIZACAO_U[[Q_DIAS_U_PARC_TIR]:[V_FUT_U_PCPL-02]], F$5, FALSE)</f>
        <v>#N/A</v>
      </c>
      <c r="H4140" s="20">
        <f t="shared" si="327"/>
        <v>0</v>
      </c>
      <c r="I4140" s="21">
        <f t="shared" si="328"/>
        <v>0</v>
      </c>
      <c r="J4140" s="22" t="e">
        <f>VLOOKUP($A4140, TAB_JUROS_C[[DIAS_CORRIDOS]:[V_FUT_UTEIS]], J$5, FALSE)</f>
        <v>#N/A</v>
      </c>
      <c r="K4140" s="22" t="e">
        <f>VLOOKUP($A4140, TAB_CORRECAO_C[[DIAS_CORRIDOS]:[V_FUT_UTEIS]],K$5, FALSE)</f>
        <v>#N/A</v>
      </c>
      <c r="L4140" s="22" t="e">
        <f>VLOOKUP($A4140, TAB_AMORTIZACAO_C[[DIAS_CORRIDOS]:[V_FUT_UTEIS]], L$5, FALSE)</f>
        <v>#N/A</v>
      </c>
    </row>
    <row r="4141" spans="1:12" hidden="1">
      <c r="A4141" s="19">
        <f t="shared" si="329"/>
        <v>4135</v>
      </c>
      <c r="B4141" s="20">
        <f t="shared" si="325"/>
        <v>0</v>
      </c>
      <c r="C4141" s="21">
        <f t="shared" si="326"/>
        <v>0</v>
      </c>
      <c r="D4141" s="22" t="e">
        <f>VLOOKUP($A4141, TAB_JUROS_U[[Q_DIAS_U_PARC_TIR]:[V_FUT_U_JURS CENARIO]], D$5, FALSE)</f>
        <v>#N/A</v>
      </c>
      <c r="E4141" s="22" t="e">
        <f>VLOOKUP($A4141,TAB_CORRECAO_U[[Q_DIAS_U_PARC_TIR]:[V_FUT_U_CORC-02]],E$5, FALSE)</f>
        <v>#N/A</v>
      </c>
      <c r="F4141" s="22" t="e">
        <f>VLOOKUP($A4141,TAB_AMORTIZACAO_U[[Q_DIAS_U_PARC_TIR]:[V_FUT_U_PCPL-02]], F$5, FALSE)</f>
        <v>#N/A</v>
      </c>
      <c r="H4141" s="20">
        <f t="shared" si="327"/>
        <v>0</v>
      </c>
      <c r="I4141" s="21">
        <f t="shared" si="328"/>
        <v>0</v>
      </c>
      <c r="J4141" s="22" t="e">
        <f>VLOOKUP($A4141, TAB_JUROS_C[[DIAS_CORRIDOS]:[V_FUT_UTEIS]], J$5, FALSE)</f>
        <v>#N/A</v>
      </c>
      <c r="K4141" s="22" t="e">
        <f>VLOOKUP($A4141, TAB_CORRECAO_C[[DIAS_CORRIDOS]:[V_FUT_UTEIS]],K$5, FALSE)</f>
        <v>#N/A</v>
      </c>
      <c r="L4141" s="22" t="e">
        <f>VLOOKUP($A4141, TAB_AMORTIZACAO_C[[DIAS_CORRIDOS]:[V_FUT_UTEIS]], L$5, FALSE)</f>
        <v>#N/A</v>
      </c>
    </row>
    <row r="4142" spans="1:12" hidden="1">
      <c r="A4142" s="19">
        <f t="shared" si="329"/>
        <v>4136</v>
      </c>
      <c r="B4142" s="20">
        <f t="shared" si="325"/>
        <v>0</v>
      </c>
      <c r="C4142" s="21">
        <f t="shared" si="326"/>
        <v>0</v>
      </c>
      <c r="D4142" s="22" t="e">
        <f>VLOOKUP($A4142, TAB_JUROS_U[[Q_DIAS_U_PARC_TIR]:[V_FUT_U_JURS CENARIO]], D$5, FALSE)</f>
        <v>#N/A</v>
      </c>
      <c r="E4142" s="22" t="e">
        <f>VLOOKUP($A4142,TAB_CORRECAO_U[[Q_DIAS_U_PARC_TIR]:[V_FUT_U_CORC-02]],E$5, FALSE)</f>
        <v>#N/A</v>
      </c>
      <c r="F4142" s="22" t="e">
        <f>VLOOKUP($A4142,TAB_AMORTIZACAO_U[[Q_DIAS_U_PARC_TIR]:[V_FUT_U_PCPL-02]], F$5, FALSE)</f>
        <v>#N/A</v>
      </c>
      <c r="H4142" s="20">
        <f t="shared" si="327"/>
        <v>0</v>
      </c>
      <c r="I4142" s="21">
        <f t="shared" si="328"/>
        <v>0</v>
      </c>
      <c r="J4142" s="22" t="e">
        <f>VLOOKUP($A4142, TAB_JUROS_C[[DIAS_CORRIDOS]:[V_FUT_UTEIS]], J$5, FALSE)</f>
        <v>#N/A</v>
      </c>
      <c r="K4142" s="22" t="e">
        <f>VLOOKUP($A4142, TAB_CORRECAO_C[[DIAS_CORRIDOS]:[V_FUT_UTEIS]],K$5, FALSE)</f>
        <v>#N/A</v>
      </c>
      <c r="L4142" s="22" t="e">
        <f>VLOOKUP($A4142, TAB_AMORTIZACAO_C[[DIAS_CORRIDOS]:[V_FUT_UTEIS]], L$5, FALSE)</f>
        <v>#N/A</v>
      </c>
    </row>
    <row r="4143" spans="1:12" hidden="1">
      <c r="A4143" s="19">
        <f t="shared" si="329"/>
        <v>4137</v>
      </c>
      <c r="B4143" s="20">
        <f t="shared" si="325"/>
        <v>0</v>
      </c>
      <c r="C4143" s="21">
        <f t="shared" si="326"/>
        <v>0</v>
      </c>
      <c r="D4143" s="22" t="e">
        <f>VLOOKUP($A4143, TAB_JUROS_U[[Q_DIAS_U_PARC_TIR]:[V_FUT_U_JURS CENARIO]], D$5, FALSE)</f>
        <v>#N/A</v>
      </c>
      <c r="E4143" s="22" t="e">
        <f>VLOOKUP($A4143,TAB_CORRECAO_U[[Q_DIAS_U_PARC_TIR]:[V_FUT_U_CORC-02]],E$5, FALSE)</f>
        <v>#N/A</v>
      </c>
      <c r="F4143" s="22" t="e">
        <f>VLOOKUP($A4143,TAB_AMORTIZACAO_U[[Q_DIAS_U_PARC_TIR]:[V_FUT_U_PCPL-02]], F$5, FALSE)</f>
        <v>#N/A</v>
      </c>
      <c r="H4143" s="20">
        <f t="shared" si="327"/>
        <v>0</v>
      </c>
      <c r="I4143" s="21">
        <f t="shared" si="328"/>
        <v>0</v>
      </c>
      <c r="J4143" s="22" t="e">
        <f>VLOOKUP($A4143, TAB_JUROS_C[[DIAS_CORRIDOS]:[V_FUT_UTEIS]], J$5, FALSE)</f>
        <v>#N/A</v>
      </c>
      <c r="K4143" s="22" t="e">
        <f>VLOOKUP($A4143, TAB_CORRECAO_C[[DIAS_CORRIDOS]:[V_FUT_UTEIS]],K$5, FALSE)</f>
        <v>#N/A</v>
      </c>
      <c r="L4143" s="22" t="e">
        <f>VLOOKUP($A4143, TAB_AMORTIZACAO_C[[DIAS_CORRIDOS]:[V_FUT_UTEIS]], L$5, FALSE)</f>
        <v>#N/A</v>
      </c>
    </row>
    <row r="4144" spans="1:12" hidden="1">
      <c r="A4144" s="19">
        <f t="shared" si="329"/>
        <v>4138</v>
      </c>
      <c r="B4144" s="20">
        <f t="shared" si="325"/>
        <v>0</v>
      </c>
      <c r="C4144" s="21">
        <f t="shared" si="326"/>
        <v>0</v>
      </c>
      <c r="D4144" s="22" t="e">
        <f>VLOOKUP($A4144, TAB_JUROS_U[[Q_DIAS_U_PARC_TIR]:[V_FUT_U_JURS CENARIO]], D$5, FALSE)</f>
        <v>#N/A</v>
      </c>
      <c r="E4144" s="22" t="e">
        <f>VLOOKUP($A4144,TAB_CORRECAO_U[[Q_DIAS_U_PARC_TIR]:[V_FUT_U_CORC-02]],E$5, FALSE)</f>
        <v>#N/A</v>
      </c>
      <c r="F4144" s="22" t="e">
        <f>VLOOKUP($A4144,TAB_AMORTIZACAO_U[[Q_DIAS_U_PARC_TIR]:[V_FUT_U_PCPL-02]], F$5, FALSE)</f>
        <v>#N/A</v>
      </c>
      <c r="H4144" s="20">
        <f t="shared" si="327"/>
        <v>0</v>
      </c>
      <c r="I4144" s="21">
        <f t="shared" si="328"/>
        <v>0</v>
      </c>
      <c r="J4144" s="22" t="e">
        <f>VLOOKUP($A4144, TAB_JUROS_C[[DIAS_CORRIDOS]:[V_FUT_UTEIS]], J$5, FALSE)</f>
        <v>#N/A</v>
      </c>
      <c r="K4144" s="22" t="e">
        <f>VLOOKUP($A4144, TAB_CORRECAO_C[[DIAS_CORRIDOS]:[V_FUT_UTEIS]],K$5, FALSE)</f>
        <v>#N/A</v>
      </c>
      <c r="L4144" s="22" t="e">
        <f>VLOOKUP($A4144, TAB_AMORTIZACAO_C[[DIAS_CORRIDOS]:[V_FUT_UTEIS]], L$5, FALSE)</f>
        <v>#N/A</v>
      </c>
    </row>
    <row r="4145" spans="1:12" hidden="1">
      <c r="A4145" s="19">
        <f t="shared" si="329"/>
        <v>4139</v>
      </c>
      <c r="B4145" s="20">
        <f t="shared" si="325"/>
        <v>0</v>
      </c>
      <c r="C4145" s="21">
        <f t="shared" si="326"/>
        <v>0</v>
      </c>
      <c r="D4145" s="22" t="e">
        <f>VLOOKUP($A4145, TAB_JUROS_U[[Q_DIAS_U_PARC_TIR]:[V_FUT_U_JURS CENARIO]], D$5, FALSE)</f>
        <v>#N/A</v>
      </c>
      <c r="E4145" s="22" t="e">
        <f>VLOOKUP($A4145,TAB_CORRECAO_U[[Q_DIAS_U_PARC_TIR]:[V_FUT_U_CORC-02]],E$5, FALSE)</f>
        <v>#N/A</v>
      </c>
      <c r="F4145" s="22" t="e">
        <f>VLOOKUP($A4145,TAB_AMORTIZACAO_U[[Q_DIAS_U_PARC_TIR]:[V_FUT_U_PCPL-02]], F$5, FALSE)</f>
        <v>#N/A</v>
      </c>
      <c r="H4145" s="20">
        <f t="shared" si="327"/>
        <v>0</v>
      </c>
      <c r="I4145" s="21">
        <f t="shared" si="328"/>
        <v>0</v>
      </c>
      <c r="J4145" s="22" t="e">
        <f>VLOOKUP($A4145, TAB_JUROS_C[[DIAS_CORRIDOS]:[V_FUT_UTEIS]], J$5, FALSE)</f>
        <v>#N/A</v>
      </c>
      <c r="K4145" s="22" t="e">
        <f>VLOOKUP($A4145, TAB_CORRECAO_C[[DIAS_CORRIDOS]:[V_FUT_UTEIS]],K$5, FALSE)</f>
        <v>#N/A</v>
      </c>
      <c r="L4145" s="22" t="e">
        <f>VLOOKUP($A4145, TAB_AMORTIZACAO_C[[DIAS_CORRIDOS]:[V_FUT_UTEIS]], L$5, FALSE)</f>
        <v>#N/A</v>
      </c>
    </row>
    <row r="4146" spans="1:12" hidden="1">
      <c r="A4146" s="19">
        <f t="shared" si="329"/>
        <v>4140</v>
      </c>
      <c r="B4146" s="20">
        <f t="shared" si="325"/>
        <v>0</v>
      </c>
      <c r="C4146" s="21">
        <f t="shared" si="326"/>
        <v>0</v>
      </c>
      <c r="D4146" s="22" t="e">
        <f>VLOOKUP($A4146, TAB_JUROS_U[[Q_DIAS_U_PARC_TIR]:[V_FUT_U_JURS CENARIO]], D$5, FALSE)</f>
        <v>#N/A</v>
      </c>
      <c r="E4146" s="22" t="e">
        <f>VLOOKUP($A4146,TAB_CORRECAO_U[[Q_DIAS_U_PARC_TIR]:[V_FUT_U_CORC-02]],E$5, FALSE)</f>
        <v>#N/A</v>
      </c>
      <c r="F4146" s="22" t="e">
        <f>VLOOKUP($A4146,TAB_AMORTIZACAO_U[[Q_DIAS_U_PARC_TIR]:[V_FUT_U_PCPL-02]], F$5, FALSE)</f>
        <v>#N/A</v>
      </c>
      <c r="H4146" s="20">
        <f t="shared" si="327"/>
        <v>0</v>
      </c>
      <c r="I4146" s="21">
        <f t="shared" si="328"/>
        <v>0</v>
      </c>
      <c r="J4146" s="22" t="e">
        <f>VLOOKUP($A4146, TAB_JUROS_C[[DIAS_CORRIDOS]:[V_FUT_UTEIS]], J$5, FALSE)</f>
        <v>#N/A</v>
      </c>
      <c r="K4146" s="22" t="e">
        <f>VLOOKUP($A4146, TAB_CORRECAO_C[[DIAS_CORRIDOS]:[V_FUT_UTEIS]],K$5, FALSE)</f>
        <v>#N/A</v>
      </c>
      <c r="L4146" s="22" t="e">
        <f>VLOOKUP($A4146, TAB_AMORTIZACAO_C[[DIAS_CORRIDOS]:[V_FUT_UTEIS]], L$5, FALSE)</f>
        <v>#N/A</v>
      </c>
    </row>
    <row r="4147" spans="1:12" hidden="1">
      <c r="A4147" s="19">
        <f t="shared" si="329"/>
        <v>4141</v>
      </c>
      <c r="B4147" s="20">
        <f t="shared" si="325"/>
        <v>0</v>
      </c>
      <c r="C4147" s="21">
        <f t="shared" si="326"/>
        <v>0</v>
      </c>
      <c r="D4147" s="22" t="e">
        <f>VLOOKUP($A4147, TAB_JUROS_U[[Q_DIAS_U_PARC_TIR]:[V_FUT_U_JURS CENARIO]], D$5, FALSE)</f>
        <v>#N/A</v>
      </c>
      <c r="E4147" s="22" t="e">
        <f>VLOOKUP($A4147,TAB_CORRECAO_U[[Q_DIAS_U_PARC_TIR]:[V_FUT_U_CORC-02]],E$5, FALSE)</f>
        <v>#N/A</v>
      </c>
      <c r="F4147" s="22" t="e">
        <f>VLOOKUP($A4147,TAB_AMORTIZACAO_U[[Q_DIAS_U_PARC_TIR]:[V_FUT_U_PCPL-02]], F$5, FALSE)</f>
        <v>#N/A</v>
      </c>
      <c r="H4147" s="20">
        <f t="shared" si="327"/>
        <v>0</v>
      </c>
      <c r="I4147" s="21">
        <f t="shared" si="328"/>
        <v>0</v>
      </c>
      <c r="J4147" s="22" t="e">
        <f>VLOOKUP($A4147, TAB_JUROS_C[[DIAS_CORRIDOS]:[V_FUT_UTEIS]], J$5, FALSE)</f>
        <v>#N/A</v>
      </c>
      <c r="K4147" s="22" t="e">
        <f>VLOOKUP($A4147, TAB_CORRECAO_C[[DIAS_CORRIDOS]:[V_FUT_UTEIS]],K$5, FALSE)</f>
        <v>#N/A</v>
      </c>
      <c r="L4147" s="22" t="e">
        <f>VLOOKUP($A4147, TAB_AMORTIZACAO_C[[DIAS_CORRIDOS]:[V_FUT_UTEIS]], L$5, FALSE)</f>
        <v>#N/A</v>
      </c>
    </row>
    <row r="4148" spans="1:12" hidden="1">
      <c r="A4148" s="19">
        <f t="shared" si="329"/>
        <v>4142</v>
      </c>
      <c r="B4148" s="20">
        <f t="shared" si="325"/>
        <v>0</v>
      </c>
      <c r="C4148" s="21">
        <f t="shared" si="326"/>
        <v>0</v>
      </c>
      <c r="D4148" s="22" t="e">
        <f>VLOOKUP($A4148, TAB_JUROS_U[[Q_DIAS_U_PARC_TIR]:[V_FUT_U_JURS CENARIO]], D$5, FALSE)</f>
        <v>#N/A</v>
      </c>
      <c r="E4148" s="22" t="e">
        <f>VLOOKUP($A4148,TAB_CORRECAO_U[[Q_DIAS_U_PARC_TIR]:[V_FUT_U_CORC-02]],E$5, FALSE)</f>
        <v>#N/A</v>
      </c>
      <c r="F4148" s="22" t="e">
        <f>VLOOKUP($A4148,TAB_AMORTIZACAO_U[[Q_DIAS_U_PARC_TIR]:[V_FUT_U_PCPL-02]], F$5, FALSE)</f>
        <v>#N/A</v>
      </c>
      <c r="H4148" s="20">
        <f t="shared" si="327"/>
        <v>0</v>
      </c>
      <c r="I4148" s="21">
        <f t="shared" si="328"/>
        <v>0</v>
      </c>
      <c r="J4148" s="22" t="e">
        <f>VLOOKUP($A4148, TAB_JUROS_C[[DIAS_CORRIDOS]:[V_FUT_UTEIS]], J$5, FALSE)</f>
        <v>#N/A</v>
      </c>
      <c r="K4148" s="22" t="e">
        <f>VLOOKUP($A4148, TAB_CORRECAO_C[[DIAS_CORRIDOS]:[V_FUT_UTEIS]],K$5, FALSE)</f>
        <v>#N/A</v>
      </c>
      <c r="L4148" s="22" t="e">
        <f>VLOOKUP($A4148, TAB_AMORTIZACAO_C[[DIAS_CORRIDOS]:[V_FUT_UTEIS]], L$5, FALSE)</f>
        <v>#N/A</v>
      </c>
    </row>
    <row r="4149" spans="1:12" hidden="1">
      <c r="A4149" s="19">
        <f t="shared" si="329"/>
        <v>4143</v>
      </c>
      <c r="B4149" s="20">
        <f t="shared" si="325"/>
        <v>0</v>
      </c>
      <c r="C4149" s="21">
        <f t="shared" si="326"/>
        <v>0</v>
      </c>
      <c r="D4149" s="22" t="e">
        <f>VLOOKUP($A4149, TAB_JUROS_U[[Q_DIAS_U_PARC_TIR]:[V_FUT_U_JURS CENARIO]], D$5, FALSE)</f>
        <v>#N/A</v>
      </c>
      <c r="E4149" s="22" t="e">
        <f>VLOOKUP($A4149,TAB_CORRECAO_U[[Q_DIAS_U_PARC_TIR]:[V_FUT_U_CORC-02]],E$5, FALSE)</f>
        <v>#N/A</v>
      </c>
      <c r="F4149" s="22" t="e">
        <f>VLOOKUP($A4149,TAB_AMORTIZACAO_U[[Q_DIAS_U_PARC_TIR]:[V_FUT_U_PCPL-02]], F$5, FALSE)</f>
        <v>#N/A</v>
      </c>
      <c r="H4149" s="20">
        <f t="shared" si="327"/>
        <v>0</v>
      </c>
      <c r="I4149" s="21">
        <f t="shared" si="328"/>
        <v>0</v>
      </c>
      <c r="J4149" s="22" t="e">
        <f>VLOOKUP($A4149, TAB_JUROS_C[[DIAS_CORRIDOS]:[V_FUT_UTEIS]], J$5, FALSE)</f>
        <v>#N/A</v>
      </c>
      <c r="K4149" s="22" t="e">
        <f>VLOOKUP($A4149, TAB_CORRECAO_C[[DIAS_CORRIDOS]:[V_FUT_UTEIS]],K$5, FALSE)</f>
        <v>#N/A</v>
      </c>
      <c r="L4149" s="22" t="e">
        <f>VLOOKUP($A4149, TAB_AMORTIZACAO_C[[DIAS_CORRIDOS]:[V_FUT_UTEIS]], L$5, FALSE)</f>
        <v>#N/A</v>
      </c>
    </row>
    <row r="4150" spans="1:12" hidden="1">
      <c r="A4150" s="19">
        <f t="shared" si="329"/>
        <v>4144</v>
      </c>
      <c r="B4150" s="20">
        <f t="shared" si="325"/>
        <v>0</v>
      </c>
      <c r="C4150" s="21">
        <f t="shared" si="326"/>
        <v>0</v>
      </c>
      <c r="D4150" s="22" t="e">
        <f>VLOOKUP($A4150, TAB_JUROS_U[[Q_DIAS_U_PARC_TIR]:[V_FUT_U_JURS CENARIO]], D$5, FALSE)</f>
        <v>#N/A</v>
      </c>
      <c r="E4150" s="22" t="e">
        <f>VLOOKUP($A4150,TAB_CORRECAO_U[[Q_DIAS_U_PARC_TIR]:[V_FUT_U_CORC-02]],E$5, FALSE)</f>
        <v>#N/A</v>
      </c>
      <c r="F4150" s="22" t="e">
        <f>VLOOKUP($A4150,TAB_AMORTIZACAO_U[[Q_DIAS_U_PARC_TIR]:[V_FUT_U_PCPL-02]], F$5, FALSE)</f>
        <v>#N/A</v>
      </c>
      <c r="H4150" s="20">
        <f t="shared" si="327"/>
        <v>0</v>
      </c>
      <c r="I4150" s="21">
        <f t="shared" si="328"/>
        <v>0</v>
      </c>
      <c r="J4150" s="22" t="e">
        <f>VLOOKUP($A4150, TAB_JUROS_C[[DIAS_CORRIDOS]:[V_FUT_UTEIS]], J$5, FALSE)</f>
        <v>#N/A</v>
      </c>
      <c r="K4150" s="22" t="e">
        <f>VLOOKUP($A4150, TAB_CORRECAO_C[[DIAS_CORRIDOS]:[V_FUT_UTEIS]],K$5, FALSE)</f>
        <v>#N/A</v>
      </c>
      <c r="L4150" s="22" t="e">
        <f>VLOOKUP($A4150, TAB_AMORTIZACAO_C[[DIAS_CORRIDOS]:[V_FUT_UTEIS]], L$5, FALSE)</f>
        <v>#N/A</v>
      </c>
    </row>
    <row r="4151" spans="1:12" hidden="1">
      <c r="A4151" s="19">
        <f t="shared" si="329"/>
        <v>4145</v>
      </c>
      <c r="B4151" s="20">
        <f t="shared" si="325"/>
        <v>0</v>
      </c>
      <c r="C4151" s="21">
        <f t="shared" si="326"/>
        <v>0</v>
      </c>
      <c r="D4151" s="22" t="e">
        <f>VLOOKUP($A4151, TAB_JUROS_U[[Q_DIAS_U_PARC_TIR]:[V_FUT_U_JURS CENARIO]], D$5, FALSE)</f>
        <v>#N/A</v>
      </c>
      <c r="E4151" s="22" t="e">
        <f>VLOOKUP($A4151,TAB_CORRECAO_U[[Q_DIAS_U_PARC_TIR]:[V_FUT_U_CORC-02]],E$5, FALSE)</f>
        <v>#N/A</v>
      </c>
      <c r="F4151" s="22" t="e">
        <f>VLOOKUP($A4151,TAB_AMORTIZACAO_U[[Q_DIAS_U_PARC_TIR]:[V_FUT_U_PCPL-02]], F$5, FALSE)</f>
        <v>#N/A</v>
      </c>
      <c r="H4151" s="20">
        <f t="shared" si="327"/>
        <v>0</v>
      </c>
      <c r="I4151" s="21">
        <f t="shared" si="328"/>
        <v>0</v>
      </c>
      <c r="J4151" s="22" t="e">
        <f>VLOOKUP($A4151, TAB_JUROS_C[[DIAS_CORRIDOS]:[V_FUT_UTEIS]], J$5, FALSE)</f>
        <v>#N/A</v>
      </c>
      <c r="K4151" s="22" t="e">
        <f>VLOOKUP($A4151, TAB_CORRECAO_C[[DIAS_CORRIDOS]:[V_FUT_UTEIS]],K$5, FALSE)</f>
        <v>#N/A</v>
      </c>
      <c r="L4151" s="22" t="e">
        <f>VLOOKUP($A4151, TAB_AMORTIZACAO_C[[DIAS_CORRIDOS]:[V_FUT_UTEIS]], L$5, FALSE)</f>
        <v>#N/A</v>
      </c>
    </row>
    <row r="4152" spans="1:12" hidden="1">
      <c r="A4152" s="19">
        <f t="shared" si="329"/>
        <v>4146</v>
      </c>
      <c r="B4152" s="20">
        <f t="shared" si="325"/>
        <v>0</v>
      </c>
      <c r="C4152" s="21">
        <f t="shared" si="326"/>
        <v>0</v>
      </c>
      <c r="D4152" s="22" t="e">
        <f>VLOOKUP($A4152, TAB_JUROS_U[[Q_DIAS_U_PARC_TIR]:[V_FUT_U_JURS CENARIO]], D$5, FALSE)</f>
        <v>#N/A</v>
      </c>
      <c r="E4152" s="22" t="e">
        <f>VLOOKUP($A4152,TAB_CORRECAO_U[[Q_DIAS_U_PARC_TIR]:[V_FUT_U_CORC-02]],E$5, FALSE)</f>
        <v>#N/A</v>
      </c>
      <c r="F4152" s="22" t="e">
        <f>VLOOKUP($A4152,TAB_AMORTIZACAO_U[[Q_DIAS_U_PARC_TIR]:[V_FUT_U_PCPL-02]], F$5, FALSE)</f>
        <v>#N/A</v>
      </c>
      <c r="H4152" s="20">
        <f t="shared" si="327"/>
        <v>0</v>
      </c>
      <c r="I4152" s="21">
        <f t="shared" si="328"/>
        <v>0</v>
      </c>
      <c r="J4152" s="22" t="e">
        <f>VLOOKUP($A4152, TAB_JUROS_C[[DIAS_CORRIDOS]:[V_FUT_UTEIS]], J$5, FALSE)</f>
        <v>#N/A</v>
      </c>
      <c r="K4152" s="22" t="e">
        <f>VLOOKUP($A4152, TAB_CORRECAO_C[[DIAS_CORRIDOS]:[V_FUT_UTEIS]],K$5, FALSE)</f>
        <v>#N/A</v>
      </c>
      <c r="L4152" s="22" t="e">
        <f>VLOOKUP($A4152, TAB_AMORTIZACAO_C[[DIAS_CORRIDOS]:[V_FUT_UTEIS]], L$5, FALSE)</f>
        <v>#N/A</v>
      </c>
    </row>
    <row r="4153" spans="1:12" hidden="1">
      <c r="A4153" s="19">
        <f t="shared" si="329"/>
        <v>4147</v>
      </c>
      <c r="B4153" s="20">
        <f t="shared" si="325"/>
        <v>0</v>
      </c>
      <c r="C4153" s="21">
        <f t="shared" si="326"/>
        <v>0</v>
      </c>
      <c r="D4153" s="22" t="e">
        <f>VLOOKUP($A4153, TAB_JUROS_U[[Q_DIAS_U_PARC_TIR]:[V_FUT_U_JURS CENARIO]], D$5, FALSE)</f>
        <v>#N/A</v>
      </c>
      <c r="E4153" s="22" t="e">
        <f>VLOOKUP($A4153,TAB_CORRECAO_U[[Q_DIAS_U_PARC_TIR]:[V_FUT_U_CORC-02]],E$5, FALSE)</f>
        <v>#N/A</v>
      </c>
      <c r="F4153" s="22" t="e">
        <f>VLOOKUP($A4153,TAB_AMORTIZACAO_U[[Q_DIAS_U_PARC_TIR]:[V_FUT_U_PCPL-02]], F$5, FALSE)</f>
        <v>#N/A</v>
      </c>
      <c r="H4153" s="20">
        <f t="shared" si="327"/>
        <v>0</v>
      </c>
      <c r="I4153" s="21">
        <f t="shared" si="328"/>
        <v>0</v>
      </c>
      <c r="J4153" s="22" t="e">
        <f>VLOOKUP($A4153, TAB_JUROS_C[[DIAS_CORRIDOS]:[V_FUT_UTEIS]], J$5, FALSE)</f>
        <v>#N/A</v>
      </c>
      <c r="K4153" s="22" t="e">
        <f>VLOOKUP($A4153, TAB_CORRECAO_C[[DIAS_CORRIDOS]:[V_FUT_UTEIS]],K$5, FALSE)</f>
        <v>#N/A</v>
      </c>
      <c r="L4153" s="22" t="e">
        <f>VLOOKUP($A4153, TAB_AMORTIZACAO_C[[DIAS_CORRIDOS]:[V_FUT_UTEIS]], L$5, FALSE)</f>
        <v>#N/A</v>
      </c>
    </row>
    <row r="4154" spans="1:12" hidden="1">
      <c r="A4154" s="19">
        <f t="shared" si="329"/>
        <v>4148</v>
      </c>
      <c r="B4154" s="20">
        <f t="shared" si="325"/>
        <v>0</v>
      </c>
      <c r="C4154" s="21">
        <f t="shared" si="326"/>
        <v>0</v>
      </c>
      <c r="D4154" s="22" t="e">
        <f>VLOOKUP($A4154, TAB_JUROS_U[[Q_DIAS_U_PARC_TIR]:[V_FUT_U_JURS CENARIO]], D$5, FALSE)</f>
        <v>#N/A</v>
      </c>
      <c r="E4154" s="22" t="e">
        <f>VLOOKUP($A4154,TAB_CORRECAO_U[[Q_DIAS_U_PARC_TIR]:[V_FUT_U_CORC-02]],E$5, FALSE)</f>
        <v>#N/A</v>
      </c>
      <c r="F4154" s="22" t="e">
        <f>VLOOKUP($A4154,TAB_AMORTIZACAO_U[[Q_DIAS_U_PARC_TIR]:[V_FUT_U_PCPL-02]], F$5, FALSE)</f>
        <v>#N/A</v>
      </c>
      <c r="H4154" s="20">
        <f t="shared" si="327"/>
        <v>0</v>
      </c>
      <c r="I4154" s="21">
        <f t="shared" si="328"/>
        <v>0</v>
      </c>
      <c r="J4154" s="22" t="e">
        <f>VLOOKUP($A4154, TAB_JUROS_C[[DIAS_CORRIDOS]:[V_FUT_UTEIS]], J$5, FALSE)</f>
        <v>#N/A</v>
      </c>
      <c r="K4154" s="22" t="e">
        <f>VLOOKUP($A4154, TAB_CORRECAO_C[[DIAS_CORRIDOS]:[V_FUT_UTEIS]],K$5, FALSE)</f>
        <v>#N/A</v>
      </c>
      <c r="L4154" s="22" t="e">
        <f>VLOOKUP($A4154, TAB_AMORTIZACAO_C[[DIAS_CORRIDOS]:[V_FUT_UTEIS]], L$5, FALSE)</f>
        <v>#N/A</v>
      </c>
    </row>
    <row r="4155" spans="1:12" hidden="1">
      <c r="A4155" s="19">
        <f t="shared" si="329"/>
        <v>4149</v>
      </c>
      <c r="B4155" s="20">
        <f t="shared" si="325"/>
        <v>0</v>
      </c>
      <c r="C4155" s="21">
        <f t="shared" si="326"/>
        <v>0</v>
      </c>
      <c r="D4155" s="22" t="e">
        <f>VLOOKUP($A4155, TAB_JUROS_U[[Q_DIAS_U_PARC_TIR]:[V_FUT_U_JURS CENARIO]], D$5, FALSE)</f>
        <v>#N/A</v>
      </c>
      <c r="E4155" s="22" t="e">
        <f>VLOOKUP($A4155,TAB_CORRECAO_U[[Q_DIAS_U_PARC_TIR]:[V_FUT_U_CORC-02]],E$5, FALSE)</f>
        <v>#N/A</v>
      </c>
      <c r="F4155" s="22" t="e">
        <f>VLOOKUP($A4155,TAB_AMORTIZACAO_U[[Q_DIAS_U_PARC_TIR]:[V_FUT_U_PCPL-02]], F$5, FALSE)</f>
        <v>#N/A</v>
      </c>
      <c r="H4155" s="20">
        <f t="shared" si="327"/>
        <v>0</v>
      </c>
      <c r="I4155" s="21">
        <f t="shared" si="328"/>
        <v>0</v>
      </c>
      <c r="J4155" s="22" t="e">
        <f>VLOOKUP($A4155, TAB_JUROS_C[[DIAS_CORRIDOS]:[V_FUT_UTEIS]], J$5, FALSE)</f>
        <v>#N/A</v>
      </c>
      <c r="K4155" s="22" t="e">
        <f>VLOOKUP($A4155, TAB_CORRECAO_C[[DIAS_CORRIDOS]:[V_FUT_UTEIS]],K$5, FALSE)</f>
        <v>#N/A</v>
      </c>
      <c r="L4155" s="22" t="e">
        <f>VLOOKUP($A4155, TAB_AMORTIZACAO_C[[DIAS_CORRIDOS]:[V_FUT_UTEIS]], L$5, FALSE)</f>
        <v>#N/A</v>
      </c>
    </row>
    <row r="4156" spans="1:12" hidden="1">
      <c r="A4156" s="19">
        <f t="shared" si="329"/>
        <v>4150</v>
      </c>
      <c r="B4156" s="20">
        <f t="shared" si="325"/>
        <v>0</v>
      </c>
      <c r="C4156" s="21">
        <f t="shared" si="326"/>
        <v>0</v>
      </c>
      <c r="D4156" s="22" t="e">
        <f>VLOOKUP($A4156, TAB_JUROS_U[[Q_DIAS_U_PARC_TIR]:[V_FUT_U_JURS CENARIO]], D$5, FALSE)</f>
        <v>#N/A</v>
      </c>
      <c r="E4156" s="22" t="e">
        <f>VLOOKUP($A4156,TAB_CORRECAO_U[[Q_DIAS_U_PARC_TIR]:[V_FUT_U_CORC-02]],E$5, FALSE)</f>
        <v>#N/A</v>
      </c>
      <c r="F4156" s="22" t="e">
        <f>VLOOKUP($A4156,TAB_AMORTIZACAO_U[[Q_DIAS_U_PARC_TIR]:[V_FUT_U_PCPL-02]], F$5, FALSE)</f>
        <v>#N/A</v>
      </c>
      <c r="H4156" s="20">
        <f t="shared" si="327"/>
        <v>0</v>
      </c>
      <c r="I4156" s="21">
        <f t="shared" si="328"/>
        <v>0</v>
      </c>
      <c r="J4156" s="22" t="e">
        <f>VLOOKUP($A4156, TAB_JUROS_C[[DIAS_CORRIDOS]:[V_FUT_UTEIS]], J$5, FALSE)</f>
        <v>#N/A</v>
      </c>
      <c r="K4156" s="22" t="e">
        <f>VLOOKUP($A4156, TAB_CORRECAO_C[[DIAS_CORRIDOS]:[V_FUT_UTEIS]],K$5, FALSE)</f>
        <v>#N/A</v>
      </c>
      <c r="L4156" s="22" t="e">
        <f>VLOOKUP($A4156, TAB_AMORTIZACAO_C[[DIAS_CORRIDOS]:[V_FUT_UTEIS]], L$5, FALSE)</f>
        <v>#N/A</v>
      </c>
    </row>
    <row r="4157" spans="1:12" hidden="1">
      <c r="A4157" s="19">
        <f t="shared" si="329"/>
        <v>4151</v>
      </c>
      <c r="B4157" s="20">
        <f t="shared" si="325"/>
        <v>0</v>
      </c>
      <c r="C4157" s="21">
        <f t="shared" si="326"/>
        <v>0</v>
      </c>
      <c r="D4157" s="22" t="e">
        <f>VLOOKUP($A4157, TAB_JUROS_U[[Q_DIAS_U_PARC_TIR]:[V_FUT_U_JURS CENARIO]], D$5, FALSE)</f>
        <v>#N/A</v>
      </c>
      <c r="E4157" s="22" t="e">
        <f>VLOOKUP($A4157,TAB_CORRECAO_U[[Q_DIAS_U_PARC_TIR]:[V_FUT_U_CORC-02]],E$5, FALSE)</f>
        <v>#N/A</v>
      </c>
      <c r="F4157" s="22" t="e">
        <f>VLOOKUP($A4157,TAB_AMORTIZACAO_U[[Q_DIAS_U_PARC_TIR]:[V_FUT_U_PCPL-02]], F$5, FALSE)</f>
        <v>#N/A</v>
      </c>
      <c r="H4157" s="20">
        <f t="shared" si="327"/>
        <v>105.20371559128726</v>
      </c>
      <c r="I4157" s="21">
        <f t="shared" si="328"/>
        <v>105.20371559128726</v>
      </c>
      <c r="J4157" s="22">
        <f>VLOOKUP($A4157, TAB_JUROS_C[[DIAS_CORRIDOS]:[V_FUT_UTEIS]], J$5, FALSE)</f>
        <v>1.5193130227523295</v>
      </c>
      <c r="K4157" s="22">
        <f>VLOOKUP($A4157, TAB_CORRECAO_C[[DIAS_CORRIDOS]:[V_FUT_UTEIS]],K$5, FALSE)</f>
        <v>9.2911461198050702</v>
      </c>
      <c r="L4157" s="22">
        <f>VLOOKUP($A4157, TAB_AMORTIZACAO_C[[DIAS_CORRIDOS]:[V_FUT_UTEIS]], L$5, FALSE)</f>
        <v>94.393256448729858</v>
      </c>
    </row>
    <row r="4158" spans="1:12" hidden="1">
      <c r="A4158" s="19">
        <f t="shared" si="329"/>
        <v>4152</v>
      </c>
      <c r="B4158" s="20">
        <f t="shared" si="325"/>
        <v>0</v>
      </c>
      <c r="C4158" s="21">
        <f t="shared" si="326"/>
        <v>0</v>
      </c>
      <c r="D4158" s="22" t="e">
        <f>VLOOKUP($A4158, TAB_JUROS_U[[Q_DIAS_U_PARC_TIR]:[V_FUT_U_JURS CENARIO]], D$5, FALSE)</f>
        <v>#N/A</v>
      </c>
      <c r="E4158" s="22" t="e">
        <f>VLOOKUP($A4158,TAB_CORRECAO_U[[Q_DIAS_U_PARC_TIR]:[V_FUT_U_CORC-02]],E$5, FALSE)</f>
        <v>#N/A</v>
      </c>
      <c r="F4158" s="22" t="e">
        <f>VLOOKUP($A4158,TAB_AMORTIZACAO_U[[Q_DIAS_U_PARC_TIR]:[V_FUT_U_PCPL-02]], F$5, FALSE)</f>
        <v>#N/A</v>
      </c>
      <c r="H4158" s="20">
        <f t="shared" si="327"/>
        <v>0</v>
      </c>
      <c r="I4158" s="21">
        <f t="shared" si="328"/>
        <v>0</v>
      </c>
      <c r="J4158" s="22" t="e">
        <f>VLOOKUP($A4158, TAB_JUROS_C[[DIAS_CORRIDOS]:[V_FUT_UTEIS]], J$5, FALSE)</f>
        <v>#N/A</v>
      </c>
      <c r="K4158" s="22" t="e">
        <f>VLOOKUP($A4158, TAB_CORRECAO_C[[DIAS_CORRIDOS]:[V_FUT_UTEIS]],K$5, FALSE)</f>
        <v>#N/A</v>
      </c>
      <c r="L4158" s="22" t="e">
        <f>VLOOKUP($A4158, TAB_AMORTIZACAO_C[[DIAS_CORRIDOS]:[V_FUT_UTEIS]], L$5, FALSE)</f>
        <v>#N/A</v>
      </c>
    </row>
    <row r="4159" spans="1:12" hidden="1">
      <c r="A4159" s="19">
        <f t="shared" si="329"/>
        <v>4153</v>
      </c>
      <c r="B4159" s="20">
        <f t="shared" si="325"/>
        <v>0</v>
      </c>
      <c r="C4159" s="21">
        <f t="shared" si="326"/>
        <v>0</v>
      </c>
      <c r="D4159" s="22" t="e">
        <f>VLOOKUP($A4159, TAB_JUROS_U[[Q_DIAS_U_PARC_TIR]:[V_FUT_U_JURS CENARIO]], D$5, FALSE)</f>
        <v>#N/A</v>
      </c>
      <c r="E4159" s="22" t="e">
        <f>VLOOKUP($A4159,TAB_CORRECAO_U[[Q_DIAS_U_PARC_TIR]:[V_FUT_U_CORC-02]],E$5, FALSE)</f>
        <v>#N/A</v>
      </c>
      <c r="F4159" s="22" t="e">
        <f>VLOOKUP($A4159,TAB_AMORTIZACAO_U[[Q_DIAS_U_PARC_TIR]:[V_FUT_U_PCPL-02]], F$5, FALSE)</f>
        <v>#N/A</v>
      </c>
      <c r="H4159" s="20">
        <f t="shared" si="327"/>
        <v>0</v>
      </c>
      <c r="I4159" s="21">
        <f t="shared" si="328"/>
        <v>0</v>
      </c>
      <c r="J4159" s="22" t="e">
        <f>VLOOKUP($A4159, TAB_JUROS_C[[DIAS_CORRIDOS]:[V_FUT_UTEIS]], J$5, FALSE)</f>
        <v>#N/A</v>
      </c>
      <c r="K4159" s="22" t="e">
        <f>VLOOKUP($A4159, TAB_CORRECAO_C[[DIAS_CORRIDOS]:[V_FUT_UTEIS]],K$5, FALSE)</f>
        <v>#N/A</v>
      </c>
      <c r="L4159" s="22" t="e">
        <f>VLOOKUP($A4159, TAB_AMORTIZACAO_C[[DIAS_CORRIDOS]:[V_FUT_UTEIS]], L$5, FALSE)</f>
        <v>#N/A</v>
      </c>
    </row>
    <row r="4160" spans="1:12" hidden="1">
      <c r="A4160" s="19">
        <f t="shared" si="329"/>
        <v>4154</v>
      </c>
      <c r="B4160" s="20">
        <f t="shared" si="325"/>
        <v>0</v>
      </c>
      <c r="C4160" s="21">
        <f t="shared" si="326"/>
        <v>0</v>
      </c>
      <c r="D4160" s="22" t="e">
        <f>VLOOKUP($A4160, TAB_JUROS_U[[Q_DIAS_U_PARC_TIR]:[V_FUT_U_JURS CENARIO]], D$5, FALSE)</f>
        <v>#N/A</v>
      </c>
      <c r="E4160" s="22" t="e">
        <f>VLOOKUP($A4160,TAB_CORRECAO_U[[Q_DIAS_U_PARC_TIR]:[V_FUT_U_CORC-02]],E$5, FALSE)</f>
        <v>#N/A</v>
      </c>
      <c r="F4160" s="22" t="e">
        <f>VLOOKUP($A4160,TAB_AMORTIZACAO_U[[Q_DIAS_U_PARC_TIR]:[V_FUT_U_PCPL-02]], F$5, FALSE)</f>
        <v>#N/A</v>
      </c>
      <c r="H4160" s="20">
        <f t="shared" si="327"/>
        <v>0</v>
      </c>
      <c r="I4160" s="21">
        <f t="shared" si="328"/>
        <v>0</v>
      </c>
      <c r="J4160" s="22" t="e">
        <f>VLOOKUP($A4160, TAB_JUROS_C[[DIAS_CORRIDOS]:[V_FUT_UTEIS]], J$5, FALSE)</f>
        <v>#N/A</v>
      </c>
      <c r="K4160" s="22" t="e">
        <f>VLOOKUP($A4160, TAB_CORRECAO_C[[DIAS_CORRIDOS]:[V_FUT_UTEIS]],K$5, FALSE)</f>
        <v>#N/A</v>
      </c>
      <c r="L4160" s="22" t="e">
        <f>VLOOKUP($A4160, TAB_AMORTIZACAO_C[[DIAS_CORRIDOS]:[V_FUT_UTEIS]], L$5, FALSE)</f>
        <v>#N/A</v>
      </c>
    </row>
    <row r="4161" spans="1:12" hidden="1">
      <c r="A4161" s="19">
        <f t="shared" si="329"/>
        <v>4155</v>
      </c>
      <c r="B4161" s="20">
        <f t="shared" si="325"/>
        <v>0</v>
      </c>
      <c r="C4161" s="21">
        <f t="shared" si="326"/>
        <v>0</v>
      </c>
      <c r="D4161" s="22" t="e">
        <f>VLOOKUP($A4161, TAB_JUROS_U[[Q_DIAS_U_PARC_TIR]:[V_FUT_U_JURS CENARIO]], D$5, FALSE)</f>
        <v>#N/A</v>
      </c>
      <c r="E4161" s="22" t="e">
        <f>VLOOKUP($A4161,TAB_CORRECAO_U[[Q_DIAS_U_PARC_TIR]:[V_FUT_U_CORC-02]],E$5, FALSE)</f>
        <v>#N/A</v>
      </c>
      <c r="F4161" s="22" t="e">
        <f>VLOOKUP($A4161,TAB_AMORTIZACAO_U[[Q_DIAS_U_PARC_TIR]:[V_FUT_U_PCPL-02]], F$5, FALSE)</f>
        <v>#N/A</v>
      </c>
      <c r="H4161" s="20">
        <f t="shared" si="327"/>
        <v>0</v>
      </c>
      <c r="I4161" s="21">
        <f t="shared" si="328"/>
        <v>0</v>
      </c>
      <c r="J4161" s="22" t="e">
        <f>VLOOKUP($A4161, TAB_JUROS_C[[DIAS_CORRIDOS]:[V_FUT_UTEIS]], J$5, FALSE)</f>
        <v>#N/A</v>
      </c>
      <c r="K4161" s="22" t="e">
        <f>VLOOKUP($A4161, TAB_CORRECAO_C[[DIAS_CORRIDOS]:[V_FUT_UTEIS]],K$5, FALSE)</f>
        <v>#N/A</v>
      </c>
      <c r="L4161" s="22" t="e">
        <f>VLOOKUP($A4161, TAB_AMORTIZACAO_C[[DIAS_CORRIDOS]:[V_FUT_UTEIS]], L$5, FALSE)</f>
        <v>#N/A</v>
      </c>
    </row>
    <row r="4162" spans="1:12" hidden="1">
      <c r="A4162" s="19">
        <f t="shared" si="329"/>
        <v>4156</v>
      </c>
      <c r="B4162" s="20">
        <f t="shared" si="325"/>
        <v>0</v>
      </c>
      <c r="C4162" s="21">
        <f t="shared" si="326"/>
        <v>0</v>
      </c>
      <c r="D4162" s="22" t="e">
        <f>VLOOKUP($A4162, TAB_JUROS_U[[Q_DIAS_U_PARC_TIR]:[V_FUT_U_JURS CENARIO]], D$5, FALSE)</f>
        <v>#N/A</v>
      </c>
      <c r="E4162" s="22" t="e">
        <f>VLOOKUP($A4162,TAB_CORRECAO_U[[Q_DIAS_U_PARC_TIR]:[V_FUT_U_CORC-02]],E$5, FALSE)</f>
        <v>#N/A</v>
      </c>
      <c r="F4162" s="22" t="e">
        <f>VLOOKUP($A4162,TAB_AMORTIZACAO_U[[Q_DIAS_U_PARC_TIR]:[V_FUT_U_PCPL-02]], F$5, FALSE)</f>
        <v>#N/A</v>
      </c>
      <c r="H4162" s="20">
        <f t="shared" si="327"/>
        <v>0</v>
      </c>
      <c r="I4162" s="21">
        <f t="shared" si="328"/>
        <v>0</v>
      </c>
      <c r="J4162" s="22" t="e">
        <f>VLOOKUP($A4162, TAB_JUROS_C[[DIAS_CORRIDOS]:[V_FUT_UTEIS]], J$5, FALSE)</f>
        <v>#N/A</v>
      </c>
      <c r="K4162" s="22" t="e">
        <f>VLOOKUP($A4162, TAB_CORRECAO_C[[DIAS_CORRIDOS]:[V_FUT_UTEIS]],K$5, FALSE)</f>
        <v>#N/A</v>
      </c>
      <c r="L4162" s="22" t="e">
        <f>VLOOKUP($A4162, TAB_AMORTIZACAO_C[[DIAS_CORRIDOS]:[V_FUT_UTEIS]], L$5, FALSE)</f>
        <v>#N/A</v>
      </c>
    </row>
    <row r="4163" spans="1:12" hidden="1">
      <c r="A4163" s="19">
        <f t="shared" si="329"/>
        <v>4157</v>
      </c>
      <c r="B4163" s="20">
        <f t="shared" si="325"/>
        <v>0</v>
      </c>
      <c r="C4163" s="21">
        <f t="shared" si="326"/>
        <v>0</v>
      </c>
      <c r="D4163" s="22" t="e">
        <f>VLOOKUP($A4163, TAB_JUROS_U[[Q_DIAS_U_PARC_TIR]:[V_FUT_U_JURS CENARIO]], D$5, FALSE)</f>
        <v>#N/A</v>
      </c>
      <c r="E4163" s="22" t="e">
        <f>VLOOKUP($A4163,TAB_CORRECAO_U[[Q_DIAS_U_PARC_TIR]:[V_FUT_U_CORC-02]],E$5, FALSE)</f>
        <v>#N/A</v>
      </c>
      <c r="F4163" s="22" t="e">
        <f>VLOOKUP($A4163,TAB_AMORTIZACAO_U[[Q_DIAS_U_PARC_TIR]:[V_FUT_U_PCPL-02]], F$5, FALSE)</f>
        <v>#N/A</v>
      </c>
      <c r="H4163" s="20">
        <f t="shared" si="327"/>
        <v>0</v>
      </c>
      <c r="I4163" s="21">
        <f t="shared" si="328"/>
        <v>0</v>
      </c>
      <c r="J4163" s="22" t="e">
        <f>VLOOKUP($A4163, TAB_JUROS_C[[DIAS_CORRIDOS]:[V_FUT_UTEIS]], J$5, FALSE)</f>
        <v>#N/A</v>
      </c>
      <c r="K4163" s="22" t="e">
        <f>VLOOKUP($A4163, TAB_CORRECAO_C[[DIAS_CORRIDOS]:[V_FUT_UTEIS]],K$5, FALSE)</f>
        <v>#N/A</v>
      </c>
      <c r="L4163" s="22" t="e">
        <f>VLOOKUP($A4163, TAB_AMORTIZACAO_C[[DIAS_CORRIDOS]:[V_FUT_UTEIS]], L$5, FALSE)</f>
        <v>#N/A</v>
      </c>
    </row>
    <row r="4164" spans="1:12" hidden="1">
      <c r="A4164" s="19">
        <f t="shared" si="329"/>
        <v>4158</v>
      </c>
      <c r="B4164" s="20">
        <f t="shared" si="325"/>
        <v>0</v>
      </c>
      <c r="C4164" s="21">
        <f t="shared" si="326"/>
        <v>0</v>
      </c>
      <c r="D4164" s="22" t="e">
        <f>VLOOKUP($A4164, TAB_JUROS_U[[Q_DIAS_U_PARC_TIR]:[V_FUT_U_JURS CENARIO]], D$5, FALSE)</f>
        <v>#N/A</v>
      </c>
      <c r="E4164" s="22" t="e">
        <f>VLOOKUP($A4164,TAB_CORRECAO_U[[Q_DIAS_U_PARC_TIR]:[V_FUT_U_CORC-02]],E$5, FALSE)</f>
        <v>#N/A</v>
      </c>
      <c r="F4164" s="22" t="e">
        <f>VLOOKUP($A4164,TAB_AMORTIZACAO_U[[Q_DIAS_U_PARC_TIR]:[V_FUT_U_PCPL-02]], F$5, FALSE)</f>
        <v>#N/A</v>
      </c>
      <c r="H4164" s="20">
        <f t="shared" si="327"/>
        <v>0</v>
      </c>
      <c r="I4164" s="21">
        <f t="shared" si="328"/>
        <v>0</v>
      </c>
      <c r="J4164" s="22" t="e">
        <f>VLOOKUP($A4164, TAB_JUROS_C[[DIAS_CORRIDOS]:[V_FUT_UTEIS]], J$5, FALSE)</f>
        <v>#N/A</v>
      </c>
      <c r="K4164" s="22" t="e">
        <f>VLOOKUP($A4164, TAB_CORRECAO_C[[DIAS_CORRIDOS]:[V_FUT_UTEIS]],K$5, FALSE)</f>
        <v>#N/A</v>
      </c>
      <c r="L4164" s="22" t="e">
        <f>VLOOKUP($A4164, TAB_AMORTIZACAO_C[[DIAS_CORRIDOS]:[V_FUT_UTEIS]], L$5, FALSE)</f>
        <v>#N/A</v>
      </c>
    </row>
    <row r="4165" spans="1:12" hidden="1">
      <c r="A4165" s="19">
        <f t="shared" si="329"/>
        <v>4159</v>
      </c>
      <c r="B4165" s="20">
        <f t="shared" si="325"/>
        <v>0</v>
      </c>
      <c r="C4165" s="21">
        <f t="shared" si="326"/>
        <v>0</v>
      </c>
      <c r="D4165" s="22" t="e">
        <f>VLOOKUP($A4165, TAB_JUROS_U[[Q_DIAS_U_PARC_TIR]:[V_FUT_U_JURS CENARIO]], D$5, FALSE)</f>
        <v>#N/A</v>
      </c>
      <c r="E4165" s="22" t="e">
        <f>VLOOKUP($A4165,TAB_CORRECAO_U[[Q_DIAS_U_PARC_TIR]:[V_FUT_U_CORC-02]],E$5, FALSE)</f>
        <v>#N/A</v>
      </c>
      <c r="F4165" s="22" t="e">
        <f>VLOOKUP($A4165,TAB_AMORTIZACAO_U[[Q_DIAS_U_PARC_TIR]:[V_FUT_U_PCPL-02]], F$5, FALSE)</f>
        <v>#N/A</v>
      </c>
      <c r="H4165" s="20">
        <f t="shared" si="327"/>
        <v>0</v>
      </c>
      <c r="I4165" s="21">
        <f t="shared" si="328"/>
        <v>0</v>
      </c>
      <c r="J4165" s="22" t="e">
        <f>VLOOKUP($A4165, TAB_JUROS_C[[DIAS_CORRIDOS]:[V_FUT_UTEIS]], J$5, FALSE)</f>
        <v>#N/A</v>
      </c>
      <c r="K4165" s="22" t="e">
        <f>VLOOKUP($A4165, TAB_CORRECAO_C[[DIAS_CORRIDOS]:[V_FUT_UTEIS]],K$5, FALSE)</f>
        <v>#N/A</v>
      </c>
      <c r="L4165" s="22" t="e">
        <f>VLOOKUP($A4165, TAB_AMORTIZACAO_C[[DIAS_CORRIDOS]:[V_FUT_UTEIS]], L$5, FALSE)</f>
        <v>#N/A</v>
      </c>
    </row>
    <row r="4166" spans="1:12" hidden="1">
      <c r="A4166" s="19">
        <f t="shared" si="329"/>
        <v>4160</v>
      </c>
      <c r="B4166" s="20">
        <f t="shared" si="325"/>
        <v>0</v>
      </c>
      <c r="C4166" s="21">
        <f t="shared" si="326"/>
        <v>0</v>
      </c>
      <c r="D4166" s="22" t="e">
        <f>VLOOKUP($A4166, TAB_JUROS_U[[Q_DIAS_U_PARC_TIR]:[V_FUT_U_JURS CENARIO]], D$5, FALSE)</f>
        <v>#N/A</v>
      </c>
      <c r="E4166" s="22" t="e">
        <f>VLOOKUP($A4166,TAB_CORRECAO_U[[Q_DIAS_U_PARC_TIR]:[V_FUT_U_CORC-02]],E$5, FALSE)</f>
        <v>#N/A</v>
      </c>
      <c r="F4166" s="22" t="e">
        <f>VLOOKUP($A4166,TAB_AMORTIZACAO_U[[Q_DIAS_U_PARC_TIR]:[V_FUT_U_PCPL-02]], F$5, FALSE)</f>
        <v>#N/A</v>
      </c>
      <c r="H4166" s="20">
        <f t="shared" si="327"/>
        <v>0</v>
      </c>
      <c r="I4166" s="21">
        <f t="shared" si="328"/>
        <v>0</v>
      </c>
      <c r="J4166" s="22" t="e">
        <f>VLOOKUP($A4166, TAB_JUROS_C[[DIAS_CORRIDOS]:[V_FUT_UTEIS]], J$5, FALSE)</f>
        <v>#N/A</v>
      </c>
      <c r="K4166" s="22" t="e">
        <f>VLOOKUP($A4166, TAB_CORRECAO_C[[DIAS_CORRIDOS]:[V_FUT_UTEIS]],K$5, FALSE)</f>
        <v>#N/A</v>
      </c>
      <c r="L4166" s="22" t="e">
        <f>VLOOKUP($A4166, TAB_AMORTIZACAO_C[[DIAS_CORRIDOS]:[V_FUT_UTEIS]], L$5, FALSE)</f>
        <v>#N/A</v>
      </c>
    </row>
    <row r="4167" spans="1:12" hidden="1">
      <c r="A4167" s="19">
        <f t="shared" si="329"/>
        <v>4161</v>
      </c>
      <c r="B4167" s="20">
        <f t="shared" si="325"/>
        <v>0</v>
      </c>
      <c r="C4167" s="21">
        <f t="shared" si="326"/>
        <v>0</v>
      </c>
      <c r="D4167" s="22" t="e">
        <f>VLOOKUP($A4167, TAB_JUROS_U[[Q_DIAS_U_PARC_TIR]:[V_FUT_U_JURS CENARIO]], D$5, FALSE)</f>
        <v>#N/A</v>
      </c>
      <c r="E4167" s="22" t="e">
        <f>VLOOKUP($A4167,TAB_CORRECAO_U[[Q_DIAS_U_PARC_TIR]:[V_FUT_U_CORC-02]],E$5, FALSE)</f>
        <v>#N/A</v>
      </c>
      <c r="F4167" s="22" t="e">
        <f>VLOOKUP($A4167,TAB_AMORTIZACAO_U[[Q_DIAS_U_PARC_TIR]:[V_FUT_U_PCPL-02]], F$5, FALSE)</f>
        <v>#N/A</v>
      </c>
      <c r="H4167" s="20">
        <f t="shared" si="327"/>
        <v>0</v>
      </c>
      <c r="I4167" s="21">
        <f t="shared" si="328"/>
        <v>0</v>
      </c>
      <c r="J4167" s="22" t="e">
        <f>VLOOKUP($A4167, TAB_JUROS_C[[DIAS_CORRIDOS]:[V_FUT_UTEIS]], J$5, FALSE)</f>
        <v>#N/A</v>
      </c>
      <c r="K4167" s="22" t="e">
        <f>VLOOKUP($A4167, TAB_CORRECAO_C[[DIAS_CORRIDOS]:[V_FUT_UTEIS]],K$5, FALSE)</f>
        <v>#N/A</v>
      </c>
      <c r="L4167" s="22" t="e">
        <f>VLOOKUP($A4167, TAB_AMORTIZACAO_C[[DIAS_CORRIDOS]:[V_FUT_UTEIS]], L$5, FALSE)</f>
        <v>#N/A</v>
      </c>
    </row>
    <row r="4168" spans="1:12" hidden="1">
      <c r="A4168" s="19">
        <f t="shared" si="329"/>
        <v>4162</v>
      </c>
      <c r="B4168" s="20">
        <f t="shared" si="325"/>
        <v>0</v>
      </c>
      <c r="C4168" s="21">
        <f t="shared" si="326"/>
        <v>0</v>
      </c>
      <c r="D4168" s="22" t="e">
        <f>VLOOKUP($A4168, TAB_JUROS_U[[Q_DIAS_U_PARC_TIR]:[V_FUT_U_JURS CENARIO]], D$5, FALSE)</f>
        <v>#N/A</v>
      </c>
      <c r="E4168" s="22" t="e">
        <f>VLOOKUP($A4168,TAB_CORRECAO_U[[Q_DIAS_U_PARC_TIR]:[V_FUT_U_CORC-02]],E$5, FALSE)</f>
        <v>#N/A</v>
      </c>
      <c r="F4168" s="22" t="e">
        <f>VLOOKUP($A4168,TAB_AMORTIZACAO_U[[Q_DIAS_U_PARC_TIR]:[V_FUT_U_PCPL-02]], F$5, FALSE)</f>
        <v>#N/A</v>
      </c>
      <c r="H4168" s="20">
        <f t="shared" si="327"/>
        <v>0</v>
      </c>
      <c r="I4168" s="21">
        <f t="shared" si="328"/>
        <v>0</v>
      </c>
      <c r="J4168" s="22" t="e">
        <f>VLOOKUP($A4168, TAB_JUROS_C[[DIAS_CORRIDOS]:[V_FUT_UTEIS]], J$5, FALSE)</f>
        <v>#N/A</v>
      </c>
      <c r="K4168" s="22" t="e">
        <f>VLOOKUP($A4168, TAB_CORRECAO_C[[DIAS_CORRIDOS]:[V_FUT_UTEIS]],K$5, FALSE)</f>
        <v>#N/A</v>
      </c>
      <c r="L4168" s="22" t="e">
        <f>VLOOKUP($A4168, TAB_AMORTIZACAO_C[[DIAS_CORRIDOS]:[V_FUT_UTEIS]], L$5, FALSE)</f>
        <v>#N/A</v>
      </c>
    </row>
    <row r="4169" spans="1:12" hidden="1">
      <c r="A4169" s="19">
        <f t="shared" si="329"/>
        <v>4163</v>
      </c>
      <c r="B4169" s="20">
        <f t="shared" ref="B4169:B4232" si="330">IF(ISERROR(C4169), 0, C4169)</f>
        <v>0</v>
      </c>
      <c r="C4169" s="21">
        <f t="shared" ref="C4169:C4232" si="331">SUMIF(D4169:F4169, "&gt;0", D4169:F4169)</f>
        <v>0</v>
      </c>
      <c r="D4169" s="22" t="e">
        <f>VLOOKUP($A4169, TAB_JUROS_U[[Q_DIAS_U_PARC_TIR]:[V_FUT_U_JURS CENARIO]], D$5, FALSE)</f>
        <v>#N/A</v>
      </c>
      <c r="E4169" s="22" t="e">
        <f>VLOOKUP($A4169,TAB_CORRECAO_U[[Q_DIAS_U_PARC_TIR]:[V_FUT_U_CORC-02]],E$5, FALSE)</f>
        <v>#N/A</v>
      </c>
      <c r="F4169" s="22" t="e">
        <f>VLOOKUP($A4169,TAB_AMORTIZACAO_U[[Q_DIAS_U_PARC_TIR]:[V_FUT_U_PCPL-02]], F$5, FALSE)</f>
        <v>#N/A</v>
      </c>
      <c r="H4169" s="20">
        <f t="shared" ref="H4169:H4232" si="332">IF(ISERROR(I4169), 0, I4169)</f>
        <v>0</v>
      </c>
      <c r="I4169" s="21">
        <f t="shared" ref="I4169:I4232" si="333">SUMIF(J4169:L4169, "&gt;0", J4169:L4169)</f>
        <v>0</v>
      </c>
      <c r="J4169" s="22" t="e">
        <f>VLOOKUP($A4169, TAB_JUROS_C[[DIAS_CORRIDOS]:[V_FUT_UTEIS]], J$5, FALSE)</f>
        <v>#N/A</v>
      </c>
      <c r="K4169" s="22" t="e">
        <f>VLOOKUP($A4169, TAB_CORRECAO_C[[DIAS_CORRIDOS]:[V_FUT_UTEIS]],K$5, FALSE)</f>
        <v>#N/A</v>
      </c>
      <c r="L4169" s="22" t="e">
        <f>VLOOKUP($A4169, TAB_AMORTIZACAO_C[[DIAS_CORRIDOS]:[V_FUT_UTEIS]], L$5, FALSE)</f>
        <v>#N/A</v>
      </c>
    </row>
    <row r="4170" spans="1:12" hidden="1">
      <c r="A4170" s="19">
        <f t="shared" ref="A4170:A4233" si="334">A4169+1</f>
        <v>4164</v>
      </c>
      <c r="B4170" s="20">
        <f t="shared" si="330"/>
        <v>0</v>
      </c>
      <c r="C4170" s="21">
        <f t="shared" si="331"/>
        <v>0</v>
      </c>
      <c r="D4170" s="22" t="e">
        <f>VLOOKUP($A4170, TAB_JUROS_U[[Q_DIAS_U_PARC_TIR]:[V_FUT_U_JURS CENARIO]], D$5, FALSE)</f>
        <v>#N/A</v>
      </c>
      <c r="E4170" s="22" t="e">
        <f>VLOOKUP($A4170,TAB_CORRECAO_U[[Q_DIAS_U_PARC_TIR]:[V_FUT_U_CORC-02]],E$5, FALSE)</f>
        <v>#N/A</v>
      </c>
      <c r="F4170" s="22" t="e">
        <f>VLOOKUP($A4170,TAB_AMORTIZACAO_U[[Q_DIAS_U_PARC_TIR]:[V_FUT_U_PCPL-02]], F$5, FALSE)</f>
        <v>#N/A</v>
      </c>
      <c r="H4170" s="20">
        <f t="shared" si="332"/>
        <v>0</v>
      </c>
      <c r="I4170" s="21">
        <f t="shared" si="333"/>
        <v>0</v>
      </c>
      <c r="J4170" s="22" t="e">
        <f>VLOOKUP($A4170, TAB_JUROS_C[[DIAS_CORRIDOS]:[V_FUT_UTEIS]], J$5, FALSE)</f>
        <v>#N/A</v>
      </c>
      <c r="K4170" s="22" t="e">
        <f>VLOOKUP($A4170, TAB_CORRECAO_C[[DIAS_CORRIDOS]:[V_FUT_UTEIS]],K$5, FALSE)</f>
        <v>#N/A</v>
      </c>
      <c r="L4170" s="22" t="e">
        <f>VLOOKUP($A4170, TAB_AMORTIZACAO_C[[DIAS_CORRIDOS]:[V_FUT_UTEIS]], L$5, FALSE)</f>
        <v>#N/A</v>
      </c>
    </row>
    <row r="4171" spans="1:12" hidden="1">
      <c r="A4171" s="19">
        <f t="shared" si="334"/>
        <v>4165</v>
      </c>
      <c r="B4171" s="20">
        <f t="shared" si="330"/>
        <v>0</v>
      </c>
      <c r="C4171" s="21">
        <f t="shared" si="331"/>
        <v>0</v>
      </c>
      <c r="D4171" s="22" t="e">
        <f>VLOOKUP($A4171, TAB_JUROS_U[[Q_DIAS_U_PARC_TIR]:[V_FUT_U_JURS CENARIO]], D$5, FALSE)</f>
        <v>#N/A</v>
      </c>
      <c r="E4171" s="22" t="e">
        <f>VLOOKUP($A4171,TAB_CORRECAO_U[[Q_DIAS_U_PARC_TIR]:[V_FUT_U_CORC-02]],E$5, FALSE)</f>
        <v>#N/A</v>
      </c>
      <c r="F4171" s="22" t="e">
        <f>VLOOKUP($A4171,TAB_AMORTIZACAO_U[[Q_DIAS_U_PARC_TIR]:[V_FUT_U_PCPL-02]], F$5, FALSE)</f>
        <v>#N/A</v>
      </c>
      <c r="H4171" s="20">
        <f t="shared" si="332"/>
        <v>0</v>
      </c>
      <c r="I4171" s="21">
        <f t="shared" si="333"/>
        <v>0</v>
      </c>
      <c r="J4171" s="22" t="e">
        <f>VLOOKUP($A4171, TAB_JUROS_C[[DIAS_CORRIDOS]:[V_FUT_UTEIS]], J$5, FALSE)</f>
        <v>#N/A</v>
      </c>
      <c r="K4171" s="22" t="e">
        <f>VLOOKUP($A4171, TAB_CORRECAO_C[[DIAS_CORRIDOS]:[V_FUT_UTEIS]],K$5, FALSE)</f>
        <v>#N/A</v>
      </c>
      <c r="L4171" s="22" t="e">
        <f>VLOOKUP($A4171, TAB_AMORTIZACAO_C[[DIAS_CORRIDOS]:[V_FUT_UTEIS]], L$5, FALSE)</f>
        <v>#N/A</v>
      </c>
    </row>
    <row r="4172" spans="1:12" hidden="1">
      <c r="A4172" s="19">
        <f t="shared" si="334"/>
        <v>4166</v>
      </c>
      <c r="B4172" s="20">
        <f t="shared" si="330"/>
        <v>0</v>
      </c>
      <c r="C4172" s="21">
        <f t="shared" si="331"/>
        <v>0</v>
      </c>
      <c r="D4172" s="22" t="e">
        <f>VLOOKUP($A4172, TAB_JUROS_U[[Q_DIAS_U_PARC_TIR]:[V_FUT_U_JURS CENARIO]], D$5, FALSE)</f>
        <v>#N/A</v>
      </c>
      <c r="E4172" s="22" t="e">
        <f>VLOOKUP($A4172,TAB_CORRECAO_U[[Q_DIAS_U_PARC_TIR]:[V_FUT_U_CORC-02]],E$5, FALSE)</f>
        <v>#N/A</v>
      </c>
      <c r="F4172" s="22" t="e">
        <f>VLOOKUP($A4172,TAB_AMORTIZACAO_U[[Q_DIAS_U_PARC_TIR]:[V_FUT_U_PCPL-02]], F$5, FALSE)</f>
        <v>#N/A</v>
      </c>
      <c r="H4172" s="20">
        <f t="shared" si="332"/>
        <v>0</v>
      </c>
      <c r="I4172" s="21">
        <f t="shared" si="333"/>
        <v>0</v>
      </c>
      <c r="J4172" s="22" t="e">
        <f>VLOOKUP($A4172, TAB_JUROS_C[[DIAS_CORRIDOS]:[V_FUT_UTEIS]], J$5, FALSE)</f>
        <v>#N/A</v>
      </c>
      <c r="K4172" s="22" t="e">
        <f>VLOOKUP($A4172, TAB_CORRECAO_C[[DIAS_CORRIDOS]:[V_FUT_UTEIS]],K$5, FALSE)</f>
        <v>#N/A</v>
      </c>
      <c r="L4172" s="22" t="e">
        <f>VLOOKUP($A4172, TAB_AMORTIZACAO_C[[DIAS_CORRIDOS]:[V_FUT_UTEIS]], L$5, FALSE)</f>
        <v>#N/A</v>
      </c>
    </row>
    <row r="4173" spans="1:12" hidden="1">
      <c r="A4173" s="19">
        <f t="shared" si="334"/>
        <v>4167</v>
      </c>
      <c r="B4173" s="20">
        <f t="shared" si="330"/>
        <v>0</v>
      </c>
      <c r="C4173" s="21">
        <f t="shared" si="331"/>
        <v>0</v>
      </c>
      <c r="D4173" s="22" t="e">
        <f>VLOOKUP($A4173, TAB_JUROS_U[[Q_DIAS_U_PARC_TIR]:[V_FUT_U_JURS CENARIO]], D$5, FALSE)</f>
        <v>#N/A</v>
      </c>
      <c r="E4173" s="22" t="e">
        <f>VLOOKUP($A4173,TAB_CORRECAO_U[[Q_DIAS_U_PARC_TIR]:[V_FUT_U_CORC-02]],E$5, FALSE)</f>
        <v>#N/A</v>
      </c>
      <c r="F4173" s="22" t="e">
        <f>VLOOKUP($A4173,TAB_AMORTIZACAO_U[[Q_DIAS_U_PARC_TIR]:[V_FUT_U_PCPL-02]], F$5, FALSE)</f>
        <v>#N/A</v>
      </c>
      <c r="H4173" s="20">
        <f t="shared" si="332"/>
        <v>0</v>
      </c>
      <c r="I4173" s="21">
        <f t="shared" si="333"/>
        <v>0</v>
      </c>
      <c r="J4173" s="22" t="e">
        <f>VLOOKUP($A4173, TAB_JUROS_C[[DIAS_CORRIDOS]:[V_FUT_UTEIS]], J$5, FALSE)</f>
        <v>#N/A</v>
      </c>
      <c r="K4173" s="22" t="e">
        <f>VLOOKUP($A4173, TAB_CORRECAO_C[[DIAS_CORRIDOS]:[V_FUT_UTEIS]],K$5, FALSE)</f>
        <v>#N/A</v>
      </c>
      <c r="L4173" s="22" t="e">
        <f>VLOOKUP($A4173, TAB_AMORTIZACAO_C[[DIAS_CORRIDOS]:[V_FUT_UTEIS]], L$5, FALSE)</f>
        <v>#N/A</v>
      </c>
    </row>
    <row r="4174" spans="1:12" hidden="1">
      <c r="A4174" s="19">
        <f t="shared" si="334"/>
        <v>4168</v>
      </c>
      <c r="B4174" s="20">
        <f t="shared" si="330"/>
        <v>0</v>
      </c>
      <c r="C4174" s="21">
        <f t="shared" si="331"/>
        <v>0</v>
      </c>
      <c r="D4174" s="22" t="e">
        <f>VLOOKUP($A4174, TAB_JUROS_U[[Q_DIAS_U_PARC_TIR]:[V_FUT_U_JURS CENARIO]], D$5, FALSE)</f>
        <v>#N/A</v>
      </c>
      <c r="E4174" s="22" t="e">
        <f>VLOOKUP($A4174,TAB_CORRECAO_U[[Q_DIAS_U_PARC_TIR]:[V_FUT_U_CORC-02]],E$5, FALSE)</f>
        <v>#N/A</v>
      </c>
      <c r="F4174" s="22" t="e">
        <f>VLOOKUP($A4174,TAB_AMORTIZACAO_U[[Q_DIAS_U_PARC_TIR]:[V_FUT_U_PCPL-02]], F$5, FALSE)</f>
        <v>#N/A</v>
      </c>
      <c r="H4174" s="20">
        <f t="shared" si="332"/>
        <v>0</v>
      </c>
      <c r="I4174" s="21">
        <f t="shared" si="333"/>
        <v>0</v>
      </c>
      <c r="J4174" s="22" t="e">
        <f>VLOOKUP($A4174, TAB_JUROS_C[[DIAS_CORRIDOS]:[V_FUT_UTEIS]], J$5, FALSE)</f>
        <v>#N/A</v>
      </c>
      <c r="K4174" s="22" t="e">
        <f>VLOOKUP($A4174, TAB_CORRECAO_C[[DIAS_CORRIDOS]:[V_FUT_UTEIS]],K$5, FALSE)</f>
        <v>#N/A</v>
      </c>
      <c r="L4174" s="22" t="e">
        <f>VLOOKUP($A4174, TAB_AMORTIZACAO_C[[DIAS_CORRIDOS]:[V_FUT_UTEIS]], L$5, FALSE)</f>
        <v>#N/A</v>
      </c>
    </row>
    <row r="4175" spans="1:12" hidden="1">
      <c r="A4175" s="19">
        <f t="shared" si="334"/>
        <v>4169</v>
      </c>
      <c r="B4175" s="20">
        <f t="shared" si="330"/>
        <v>0</v>
      </c>
      <c r="C4175" s="21">
        <f t="shared" si="331"/>
        <v>0</v>
      </c>
      <c r="D4175" s="22" t="e">
        <f>VLOOKUP($A4175, TAB_JUROS_U[[Q_DIAS_U_PARC_TIR]:[V_FUT_U_JURS CENARIO]], D$5, FALSE)</f>
        <v>#N/A</v>
      </c>
      <c r="E4175" s="22" t="e">
        <f>VLOOKUP($A4175,TAB_CORRECAO_U[[Q_DIAS_U_PARC_TIR]:[V_FUT_U_CORC-02]],E$5, FALSE)</f>
        <v>#N/A</v>
      </c>
      <c r="F4175" s="22" t="e">
        <f>VLOOKUP($A4175,TAB_AMORTIZACAO_U[[Q_DIAS_U_PARC_TIR]:[V_FUT_U_PCPL-02]], F$5, FALSE)</f>
        <v>#N/A</v>
      </c>
      <c r="H4175" s="20">
        <f t="shared" si="332"/>
        <v>0</v>
      </c>
      <c r="I4175" s="21">
        <f t="shared" si="333"/>
        <v>0</v>
      </c>
      <c r="J4175" s="22" t="e">
        <f>VLOOKUP($A4175, TAB_JUROS_C[[DIAS_CORRIDOS]:[V_FUT_UTEIS]], J$5, FALSE)</f>
        <v>#N/A</v>
      </c>
      <c r="K4175" s="22" t="e">
        <f>VLOOKUP($A4175, TAB_CORRECAO_C[[DIAS_CORRIDOS]:[V_FUT_UTEIS]],K$5, FALSE)</f>
        <v>#N/A</v>
      </c>
      <c r="L4175" s="22" t="e">
        <f>VLOOKUP($A4175, TAB_AMORTIZACAO_C[[DIAS_CORRIDOS]:[V_FUT_UTEIS]], L$5, FALSE)</f>
        <v>#N/A</v>
      </c>
    </row>
    <row r="4176" spans="1:12" hidden="1">
      <c r="A4176" s="19">
        <f t="shared" si="334"/>
        <v>4170</v>
      </c>
      <c r="B4176" s="20">
        <f t="shared" si="330"/>
        <v>0</v>
      </c>
      <c r="C4176" s="21">
        <f t="shared" si="331"/>
        <v>0</v>
      </c>
      <c r="D4176" s="22" t="e">
        <f>VLOOKUP($A4176, TAB_JUROS_U[[Q_DIAS_U_PARC_TIR]:[V_FUT_U_JURS CENARIO]], D$5, FALSE)</f>
        <v>#N/A</v>
      </c>
      <c r="E4176" s="22" t="e">
        <f>VLOOKUP($A4176,TAB_CORRECAO_U[[Q_DIAS_U_PARC_TIR]:[V_FUT_U_CORC-02]],E$5, FALSE)</f>
        <v>#N/A</v>
      </c>
      <c r="F4176" s="22" t="e">
        <f>VLOOKUP($A4176,TAB_AMORTIZACAO_U[[Q_DIAS_U_PARC_TIR]:[V_FUT_U_PCPL-02]], F$5, FALSE)</f>
        <v>#N/A</v>
      </c>
      <c r="H4176" s="20">
        <f t="shared" si="332"/>
        <v>0</v>
      </c>
      <c r="I4176" s="21">
        <f t="shared" si="333"/>
        <v>0</v>
      </c>
      <c r="J4176" s="22" t="e">
        <f>VLOOKUP($A4176, TAB_JUROS_C[[DIAS_CORRIDOS]:[V_FUT_UTEIS]], J$5, FALSE)</f>
        <v>#N/A</v>
      </c>
      <c r="K4176" s="22" t="e">
        <f>VLOOKUP($A4176, TAB_CORRECAO_C[[DIAS_CORRIDOS]:[V_FUT_UTEIS]],K$5, FALSE)</f>
        <v>#N/A</v>
      </c>
      <c r="L4176" s="22" t="e">
        <f>VLOOKUP($A4176, TAB_AMORTIZACAO_C[[DIAS_CORRIDOS]:[V_FUT_UTEIS]], L$5, FALSE)</f>
        <v>#N/A</v>
      </c>
    </row>
    <row r="4177" spans="1:12" hidden="1">
      <c r="A4177" s="19">
        <f t="shared" si="334"/>
        <v>4171</v>
      </c>
      <c r="B4177" s="20">
        <f t="shared" si="330"/>
        <v>0</v>
      </c>
      <c r="C4177" s="21">
        <f t="shared" si="331"/>
        <v>0</v>
      </c>
      <c r="D4177" s="22" t="e">
        <f>VLOOKUP($A4177, TAB_JUROS_U[[Q_DIAS_U_PARC_TIR]:[V_FUT_U_JURS CENARIO]], D$5, FALSE)</f>
        <v>#N/A</v>
      </c>
      <c r="E4177" s="22" t="e">
        <f>VLOOKUP($A4177,TAB_CORRECAO_U[[Q_DIAS_U_PARC_TIR]:[V_FUT_U_CORC-02]],E$5, FALSE)</f>
        <v>#N/A</v>
      </c>
      <c r="F4177" s="22" t="e">
        <f>VLOOKUP($A4177,TAB_AMORTIZACAO_U[[Q_DIAS_U_PARC_TIR]:[V_FUT_U_PCPL-02]], F$5, FALSE)</f>
        <v>#N/A</v>
      </c>
      <c r="H4177" s="20">
        <f t="shared" si="332"/>
        <v>0</v>
      </c>
      <c r="I4177" s="21">
        <f t="shared" si="333"/>
        <v>0</v>
      </c>
      <c r="J4177" s="22" t="e">
        <f>VLOOKUP($A4177, TAB_JUROS_C[[DIAS_CORRIDOS]:[V_FUT_UTEIS]], J$5, FALSE)</f>
        <v>#N/A</v>
      </c>
      <c r="K4177" s="22" t="e">
        <f>VLOOKUP($A4177, TAB_CORRECAO_C[[DIAS_CORRIDOS]:[V_FUT_UTEIS]],K$5, FALSE)</f>
        <v>#N/A</v>
      </c>
      <c r="L4177" s="22" t="e">
        <f>VLOOKUP($A4177, TAB_AMORTIZACAO_C[[DIAS_CORRIDOS]:[V_FUT_UTEIS]], L$5, FALSE)</f>
        <v>#N/A</v>
      </c>
    </row>
    <row r="4178" spans="1:12" hidden="1">
      <c r="A4178" s="19">
        <f t="shared" si="334"/>
        <v>4172</v>
      </c>
      <c r="B4178" s="20">
        <f t="shared" si="330"/>
        <v>0</v>
      </c>
      <c r="C4178" s="21">
        <f t="shared" si="331"/>
        <v>0</v>
      </c>
      <c r="D4178" s="22" t="e">
        <f>VLOOKUP($A4178, TAB_JUROS_U[[Q_DIAS_U_PARC_TIR]:[V_FUT_U_JURS CENARIO]], D$5, FALSE)</f>
        <v>#N/A</v>
      </c>
      <c r="E4178" s="22" t="e">
        <f>VLOOKUP($A4178,TAB_CORRECAO_U[[Q_DIAS_U_PARC_TIR]:[V_FUT_U_CORC-02]],E$5, FALSE)</f>
        <v>#N/A</v>
      </c>
      <c r="F4178" s="22" t="e">
        <f>VLOOKUP($A4178,TAB_AMORTIZACAO_U[[Q_DIAS_U_PARC_TIR]:[V_FUT_U_PCPL-02]], F$5, FALSE)</f>
        <v>#N/A</v>
      </c>
      <c r="H4178" s="20">
        <f t="shared" si="332"/>
        <v>0</v>
      </c>
      <c r="I4178" s="21">
        <f t="shared" si="333"/>
        <v>0</v>
      </c>
      <c r="J4178" s="22" t="e">
        <f>VLOOKUP($A4178, TAB_JUROS_C[[DIAS_CORRIDOS]:[V_FUT_UTEIS]], J$5, FALSE)</f>
        <v>#N/A</v>
      </c>
      <c r="K4178" s="22" t="e">
        <f>VLOOKUP($A4178, TAB_CORRECAO_C[[DIAS_CORRIDOS]:[V_FUT_UTEIS]],K$5, FALSE)</f>
        <v>#N/A</v>
      </c>
      <c r="L4178" s="22" t="e">
        <f>VLOOKUP($A4178, TAB_AMORTIZACAO_C[[DIAS_CORRIDOS]:[V_FUT_UTEIS]], L$5, FALSE)</f>
        <v>#N/A</v>
      </c>
    </row>
    <row r="4179" spans="1:12" hidden="1">
      <c r="A4179" s="19">
        <f t="shared" si="334"/>
        <v>4173</v>
      </c>
      <c r="B4179" s="20">
        <f t="shared" si="330"/>
        <v>0</v>
      </c>
      <c r="C4179" s="21">
        <f t="shared" si="331"/>
        <v>0</v>
      </c>
      <c r="D4179" s="22" t="e">
        <f>VLOOKUP($A4179, TAB_JUROS_U[[Q_DIAS_U_PARC_TIR]:[V_FUT_U_JURS CENARIO]], D$5, FALSE)</f>
        <v>#N/A</v>
      </c>
      <c r="E4179" s="22" t="e">
        <f>VLOOKUP($A4179,TAB_CORRECAO_U[[Q_DIAS_U_PARC_TIR]:[V_FUT_U_CORC-02]],E$5, FALSE)</f>
        <v>#N/A</v>
      </c>
      <c r="F4179" s="22" t="e">
        <f>VLOOKUP($A4179,TAB_AMORTIZACAO_U[[Q_DIAS_U_PARC_TIR]:[V_FUT_U_PCPL-02]], F$5, FALSE)</f>
        <v>#N/A</v>
      </c>
      <c r="H4179" s="20">
        <f t="shared" si="332"/>
        <v>0</v>
      </c>
      <c r="I4179" s="21">
        <f t="shared" si="333"/>
        <v>0</v>
      </c>
      <c r="J4179" s="22" t="e">
        <f>VLOOKUP($A4179, TAB_JUROS_C[[DIAS_CORRIDOS]:[V_FUT_UTEIS]], J$5, FALSE)</f>
        <v>#N/A</v>
      </c>
      <c r="K4179" s="22" t="e">
        <f>VLOOKUP($A4179, TAB_CORRECAO_C[[DIAS_CORRIDOS]:[V_FUT_UTEIS]],K$5, FALSE)</f>
        <v>#N/A</v>
      </c>
      <c r="L4179" s="22" t="e">
        <f>VLOOKUP($A4179, TAB_AMORTIZACAO_C[[DIAS_CORRIDOS]:[V_FUT_UTEIS]], L$5, FALSE)</f>
        <v>#N/A</v>
      </c>
    </row>
    <row r="4180" spans="1:12" hidden="1">
      <c r="A4180" s="19">
        <f t="shared" si="334"/>
        <v>4174</v>
      </c>
      <c r="B4180" s="20">
        <f t="shared" si="330"/>
        <v>0</v>
      </c>
      <c r="C4180" s="21">
        <f t="shared" si="331"/>
        <v>0</v>
      </c>
      <c r="D4180" s="22" t="e">
        <f>VLOOKUP($A4180, TAB_JUROS_U[[Q_DIAS_U_PARC_TIR]:[V_FUT_U_JURS CENARIO]], D$5, FALSE)</f>
        <v>#N/A</v>
      </c>
      <c r="E4180" s="22" t="e">
        <f>VLOOKUP($A4180,TAB_CORRECAO_U[[Q_DIAS_U_PARC_TIR]:[V_FUT_U_CORC-02]],E$5, FALSE)</f>
        <v>#N/A</v>
      </c>
      <c r="F4180" s="22" t="e">
        <f>VLOOKUP($A4180,TAB_AMORTIZACAO_U[[Q_DIAS_U_PARC_TIR]:[V_FUT_U_PCPL-02]], F$5, FALSE)</f>
        <v>#N/A</v>
      </c>
      <c r="H4180" s="20">
        <f t="shared" si="332"/>
        <v>0</v>
      </c>
      <c r="I4180" s="21">
        <f t="shared" si="333"/>
        <v>0</v>
      </c>
      <c r="J4180" s="22" t="e">
        <f>VLOOKUP($A4180, TAB_JUROS_C[[DIAS_CORRIDOS]:[V_FUT_UTEIS]], J$5, FALSE)</f>
        <v>#N/A</v>
      </c>
      <c r="K4180" s="22" t="e">
        <f>VLOOKUP($A4180, TAB_CORRECAO_C[[DIAS_CORRIDOS]:[V_FUT_UTEIS]],K$5, FALSE)</f>
        <v>#N/A</v>
      </c>
      <c r="L4180" s="22" t="e">
        <f>VLOOKUP($A4180, TAB_AMORTIZACAO_C[[DIAS_CORRIDOS]:[V_FUT_UTEIS]], L$5, FALSE)</f>
        <v>#N/A</v>
      </c>
    </row>
    <row r="4181" spans="1:12" hidden="1">
      <c r="A4181" s="19">
        <f t="shared" si="334"/>
        <v>4175</v>
      </c>
      <c r="B4181" s="20">
        <f t="shared" si="330"/>
        <v>0</v>
      </c>
      <c r="C4181" s="21">
        <f t="shared" si="331"/>
        <v>0</v>
      </c>
      <c r="D4181" s="22" t="e">
        <f>VLOOKUP($A4181, TAB_JUROS_U[[Q_DIAS_U_PARC_TIR]:[V_FUT_U_JURS CENARIO]], D$5, FALSE)</f>
        <v>#N/A</v>
      </c>
      <c r="E4181" s="22" t="e">
        <f>VLOOKUP($A4181,TAB_CORRECAO_U[[Q_DIAS_U_PARC_TIR]:[V_FUT_U_CORC-02]],E$5, FALSE)</f>
        <v>#N/A</v>
      </c>
      <c r="F4181" s="22" t="e">
        <f>VLOOKUP($A4181,TAB_AMORTIZACAO_U[[Q_DIAS_U_PARC_TIR]:[V_FUT_U_PCPL-02]], F$5, FALSE)</f>
        <v>#N/A</v>
      </c>
      <c r="H4181" s="20">
        <f t="shared" si="332"/>
        <v>0</v>
      </c>
      <c r="I4181" s="21">
        <f t="shared" si="333"/>
        <v>0</v>
      </c>
      <c r="J4181" s="22" t="e">
        <f>VLOOKUP($A4181, TAB_JUROS_C[[DIAS_CORRIDOS]:[V_FUT_UTEIS]], J$5, FALSE)</f>
        <v>#N/A</v>
      </c>
      <c r="K4181" s="22" t="e">
        <f>VLOOKUP($A4181, TAB_CORRECAO_C[[DIAS_CORRIDOS]:[V_FUT_UTEIS]],K$5, FALSE)</f>
        <v>#N/A</v>
      </c>
      <c r="L4181" s="22" t="e">
        <f>VLOOKUP($A4181, TAB_AMORTIZACAO_C[[DIAS_CORRIDOS]:[V_FUT_UTEIS]], L$5, FALSE)</f>
        <v>#N/A</v>
      </c>
    </row>
    <row r="4182" spans="1:12" hidden="1">
      <c r="A4182" s="19">
        <f t="shared" si="334"/>
        <v>4176</v>
      </c>
      <c r="B4182" s="20">
        <f t="shared" si="330"/>
        <v>0</v>
      </c>
      <c r="C4182" s="21">
        <f t="shared" si="331"/>
        <v>0</v>
      </c>
      <c r="D4182" s="22" t="e">
        <f>VLOOKUP($A4182, TAB_JUROS_U[[Q_DIAS_U_PARC_TIR]:[V_FUT_U_JURS CENARIO]], D$5, FALSE)</f>
        <v>#N/A</v>
      </c>
      <c r="E4182" s="22" t="e">
        <f>VLOOKUP($A4182,TAB_CORRECAO_U[[Q_DIAS_U_PARC_TIR]:[V_FUT_U_CORC-02]],E$5, FALSE)</f>
        <v>#N/A</v>
      </c>
      <c r="F4182" s="22" t="e">
        <f>VLOOKUP($A4182,TAB_AMORTIZACAO_U[[Q_DIAS_U_PARC_TIR]:[V_FUT_U_PCPL-02]], F$5, FALSE)</f>
        <v>#N/A</v>
      </c>
      <c r="H4182" s="20">
        <f t="shared" si="332"/>
        <v>0</v>
      </c>
      <c r="I4182" s="21">
        <f t="shared" si="333"/>
        <v>0</v>
      </c>
      <c r="J4182" s="22" t="e">
        <f>VLOOKUP($A4182, TAB_JUROS_C[[DIAS_CORRIDOS]:[V_FUT_UTEIS]], J$5, FALSE)</f>
        <v>#N/A</v>
      </c>
      <c r="K4182" s="22" t="e">
        <f>VLOOKUP($A4182, TAB_CORRECAO_C[[DIAS_CORRIDOS]:[V_FUT_UTEIS]],K$5, FALSE)</f>
        <v>#N/A</v>
      </c>
      <c r="L4182" s="22" t="e">
        <f>VLOOKUP($A4182, TAB_AMORTIZACAO_C[[DIAS_CORRIDOS]:[V_FUT_UTEIS]], L$5, FALSE)</f>
        <v>#N/A</v>
      </c>
    </row>
    <row r="4183" spans="1:12" hidden="1">
      <c r="A4183" s="19">
        <f t="shared" si="334"/>
        <v>4177</v>
      </c>
      <c r="B4183" s="20">
        <f t="shared" si="330"/>
        <v>0</v>
      </c>
      <c r="C4183" s="21">
        <f t="shared" si="331"/>
        <v>0</v>
      </c>
      <c r="D4183" s="22" t="e">
        <f>VLOOKUP($A4183, TAB_JUROS_U[[Q_DIAS_U_PARC_TIR]:[V_FUT_U_JURS CENARIO]], D$5, FALSE)</f>
        <v>#N/A</v>
      </c>
      <c r="E4183" s="22" t="e">
        <f>VLOOKUP($A4183,TAB_CORRECAO_U[[Q_DIAS_U_PARC_TIR]:[V_FUT_U_CORC-02]],E$5, FALSE)</f>
        <v>#N/A</v>
      </c>
      <c r="F4183" s="22" t="e">
        <f>VLOOKUP($A4183,TAB_AMORTIZACAO_U[[Q_DIAS_U_PARC_TIR]:[V_FUT_U_PCPL-02]], F$5, FALSE)</f>
        <v>#N/A</v>
      </c>
      <c r="H4183" s="20">
        <f t="shared" si="332"/>
        <v>0</v>
      </c>
      <c r="I4183" s="21">
        <f t="shared" si="333"/>
        <v>0</v>
      </c>
      <c r="J4183" s="22" t="e">
        <f>VLOOKUP($A4183, TAB_JUROS_C[[DIAS_CORRIDOS]:[V_FUT_UTEIS]], J$5, FALSE)</f>
        <v>#N/A</v>
      </c>
      <c r="K4183" s="22" t="e">
        <f>VLOOKUP($A4183, TAB_CORRECAO_C[[DIAS_CORRIDOS]:[V_FUT_UTEIS]],K$5, FALSE)</f>
        <v>#N/A</v>
      </c>
      <c r="L4183" s="22" t="e">
        <f>VLOOKUP($A4183, TAB_AMORTIZACAO_C[[DIAS_CORRIDOS]:[V_FUT_UTEIS]], L$5, FALSE)</f>
        <v>#N/A</v>
      </c>
    </row>
    <row r="4184" spans="1:12" hidden="1">
      <c r="A4184" s="19">
        <f t="shared" si="334"/>
        <v>4178</v>
      </c>
      <c r="B4184" s="20">
        <f t="shared" si="330"/>
        <v>0</v>
      </c>
      <c r="C4184" s="21">
        <f t="shared" si="331"/>
        <v>0</v>
      </c>
      <c r="D4184" s="22" t="e">
        <f>VLOOKUP($A4184, TAB_JUROS_U[[Q_DIAS_U_PARC_TIR]:[V_FUT_U_JURS CENARIO]], D$5, FALSE)</f>
        <v>#N/A</v>
      </c>
      <c r="E4184" s="22" t="e">
        <f>VLOOKUP($A4184,TAB_CORRECAO_U[[Q_DIAS_U_PARC_TIR]:[V_FUT_U_CORC-02]],E$5, FALSE)</f>
        <v>#N/A</v>
      </c>
      <c r="F4184" s="22" t="e">
        <f>VLOOKUP($A4184,TAB_AMORTIZACAO_U[[Q_DIAS_U_PARC_TIR]:[V_FUT_U_PCPL-02]], F$5, FALSE)</f>
        <v>#N/A</v>
      </c>
      <c r="H4184" s="20">
        <f t="shared" si="332"/>
        <v>0</v>
      </c>
      <c r="I4184" s="21">
        <f t="shared" si="333"/>
        <v>0</v>
      </c>
      <c r="J4184" s="22" t="e">
        <f>VLOOKUP($A4184, TAB_JUROS_C[[DIAS_CORRIDOS]:[V_FUT_UTEIS]], J$5, FALSE)</f>
        <v>#N/A</v>
      </c>
      <c r="K4184" s="22" t="e">
        <f>VLOOKUP($A4184, TAB_CORRECAO_C[[DIAS_CORRIDOS]:[V_FUT_UTEIS]],K$5, FALSE)</f>
        <v>#N/A</v>
      </c>
      <c r="L4184" s="22" t="e">
        <f>VLOOKUP($A4184, TAB_AMORTIZACAO_C[[DIAS_CORRIDOS]:[V_FUT_UTEIS]], L$5, FALSE)</f>
        <v>#N/A</v>
      </c>
    </row>
    <row r="4185" spans="1:12" hidden="1">
      <c r="A4185" s="19">
        <f t="shared" si="334"/>
        <v>4179</v>
      </c>
      <c r="B4185" s="20">
        <f t="shared" si="330"/>
        <v>0</v>
      </c>
      <c r="C4185" s="21">
        <f t="shared" si="331"/>
        <v>0</v>
      </c>
      <c r="D4185" s="22" t="e">
        <f>VLOOKUP($A4185, TAB_JUROS_U[[Q_DIAS_U_PARC_TIR]:[V_FUT_U_JURS CENARIO]], D$5, FALSE)</f>
        <v>#N/A</v>
      </c>
      <c r="E4185" s="22" t="e">
        <f>VLOOKUP($A4185,TAB_CORRECAO_U[[Q_DIAS_U_PARC_TIR]:[V_FUT_U_CORC-02]],E$5, FALSE)</f>
        <v>#N/A</v>
      </c>
      <c r="F4185" s="22" t="e">
        <f>VLOOKUP($A4185,TAB_AMORTIZACAO_U[[Q_DIAS_U_PARC_TIR]:[V_FUT_U_PCPL-02]], F$5, FALSE)</f>
        <v>#N/A</v>
      </c>
      <c r="H4185" s="20">
        <f t="shared" si="332"/>
        <v>0</v>
      </c>
      <c r="I4185" s="21">
        <f t="shared" si="333"/>
        <v>0</v>
      </c>
      <c r="J4185" s="22" t="e">
        <f>VLOOKUP($A4185, TAB_JUROS_C[[DIAS_CORRIDOS]:[V_FUT_UTEIS]], J$5, FALSE)</f>
        <v>#N/A</v>
      </c>
      <c r="K4185" s="22" t="e">
        <f>VLOOKUP($A4185, TAB_CORRECAO_C[[DIAS_CORRIDOS]:[V_FUT_UTEIS]],K$5, FALSE)</f>
        <v>#N/A</v>
      </c>
      <c r="L4185" s="22" t="e">
        <f>VLOOKUP($A4185, TAB_AMORTIZACAO_C[[DIAS_CORRIDOS]:[V_FUT_UTEIS]], L$5, FALSE)</f>
        <v>#N/A</v>
      </c>
    </row>
    <row r="4186" spans="1:12" hidden="1">
      <c r="A4186" s="19">
        <f t="shared" si="334"/>
        <v>4180</v>
      </c>
      <c r="B4186" s="20">
        <f t="shared" si="330"/>
        <v>0</v>
      </c>
      <c r="C4186" s="21">
        <f t="shared" si="331"/>
        <v>0</v>
      </c>
      <c r="D4186" s="22" t="e">
        <f>VLOOKUP($A4186, TAB_JUROS_U[[Q_DIAS_U_PARC_TIR]:[V_FUT_U_JURS CENARIO]], D$5, FALSE)</f>
        <v>#N/A</v>
      </c>
      <c r="E4186" s="22" t="e">
        <f>VLOOKUP($A4186,TAB_CORRECAO_U[[Q_DIAS_U_PARC_TIR]:[V_FUT_U_CORC-02]],E$5, FALSE)</f>
        <v>#N/A</v>
      </c>
      <c r="F4186" s="22" t="e">
        <f>VLOOKUP($A4186,TAB_AMORTIZACAO_U[[Q_DIAS_U_PARC_TIR]:[V_FUT_U_PCPL-02]], F$5, FALSE)</f>
        <v>#N/A</v>
      </c>
      <c r="H4186" s="20">
        <f t="shared" si="332"/>
        <v>101.25874540368726</v>
      </c>
      <c r="I4186" s="21">
        <f t="shared" si="333"/>
        <v>101.25874540368726</v>
      </c>
      <c r="J4186" s="22">
        <f>VLOOKUP($A4186, TAB_JUROS_C[[DIAS_CORRIDOS]:[V_FUT_UTEIS]], J$5, FALSE)</f>
        <v>1.2434829328374262</v>
      </c>
      <c r="K4186" s="22">
        <f>VLOOKUP($A4186, TAB_CORRECAO_C[[DIAS_CORRIDOS]:[V_FUT_UTEIS]],K$5, FALSE)</f>
        <v>7.6070134484525331</v>
      </c>
      <c r="L4186" s="22">
        <f>VLOOKUP($A4186, TAB_AMORTIZACAO_C[[DIAS_CORRIDOS]:[V_FUT_UTEIS]], L$5, FALSE)</f>
        <v>92.4082490223973</v>
      </c>
    </row>
    <row r="4187" spans="1:12" hidden="1">
      <c r="A4187" s="19">
        <f t="shared" si="334"/>
        <v>4181</v>
      </c>
      <c r="B4187" s="20">
        <f t="shared" si="330"/>
        <v>0</v>
      </c>
      <c r="C4187" s="21">
        <f t="shared" si="331"/>
        <v>0</v>
      </c>
      <c r="D4187" s="22" t="e">
        <f>VLOOKUP($A4187, TAB_JUROS_U[[Q_DIAS_U_PARC_TIR]:[V_FUT_U_JURS CENARIO]], D$5, FALSE)</f>
        <v>#N/A</v>
      </c>
      <c r="E4187" s="22" t="e">
        <f>VLOOKUP($A4187,TAB_CORRECAO_U[[Q_DIAS_U_PARC_TIR]:[V_FUT_U_CORC-02]],E$5, FALSE)</f>
        <v>#N/A</v>
      </c>
      <c r="F4187" s="22" t="e">
        <f>VLOOKUP($A4187,TAB_AMORTIZACAO_U[[Q_DIAS_U_PARC_TIR]:[V_FUT_U_PCPL-02]], F$5, FALSE)</f>
        <v>#N/A</v>
      </c>
      <c r="H4187" s="20">
        <f t="shared" si="332"/>
        <v>0</v>
      </c>
      <c r="I4187" s="21">
        <f t="shared" si="333"/>
        <v>0</v>
      </c>
      <c r="J4187" s="22" t="e">
        <f>VLOOKUP($A4187, TAB_JUROS_C[[DIAS_CORRIDOS]:[V_FUT_UTEIS]], J$5, FALSE)</f>
        <v>#N/A</v>
      </c>
      <c r="K4187" s="22" t="e">
        <f>VLOOKUP($A4187, TAB_CORRECAO_C[[DIAS_CORRIDOS]:[V_FUT_UTEIS]],K$5, FALSE)</f>
        <v>#N/A</v>
      </c>
      <c r="L4187" s="22" t="e">
        <f>VLOOKUP($A4187, TAB_AMORTIZACAO_C[[DIAS_CORRIDOS]:[V_FUT_UTEIS]], L$5, FALSE)</f>
        <v>#N/A</v>
      </c>
    </row>
    <row r="4188" spans="1:12" hidden="1">
      <c r="A4188" s="19">
        <f t="shared" si="334"/>
        <v>4182</v>
      </c>
      <c r="B4188" s="20">
        <f t="shared" si="330"/>
        <v>0</v>
      </c>
      <c r="C4188" s="21">
        <f t="shared" si="331"/>
        <v>0</v>
      </c>
      <c r="D4188" s="22" t="e">
        <f>VLOOKUP($A4188, TAB_JUROS_U[[Q_DIAS_U_PARC_TIR]:[V_FUT_U_JURS CENARIO]], D$5, FALSE)</f>
        <v>#N/A</v>
      </c>
      <c r="E4188" s="22" t="e">
        <f>VLOOKUP($A4188,TAB_CORRECAO_U[[Q_DIAS_U_PARC_TIR]:[V_FUT_U_CORC-02]],E$5, FALSE)</f>
        <v>#N/A</v>
      </c>
      <c r="F4188" s="22" t="e">
        <f>VLOOKUP($A4188,TAB_AMORTIZACAO_U[[Q_DIAS_U_PARC_TIR]:[V_FUT_U_PCPL-02]], F$5, FALSE)</f>
        <v>#N/A</v>
      </c>
      <c r="H4188" s="20">
        <f t="shared" si="332"/>
        <v>0</v>
      </c>
      <c r="I4188" s="21">
        <f t="shared" si="333"/>
        <v>0</v>
      </c>
      <c r="J4188" s="22" t="e">
        <f>VLOOKUP($A4188, TAB_JUROS_C[[DIAS_CORRIDOS]:[V_FUT_UTEIS]], J$5, FALSE)</f>
        <v>#N/A</v>
      </c>
      <c r="K4188" s="22" t="e">
        <f>VLOOKUP($A4188, TAB_CORRECAO_C[[DIAS_CORRIDOS]:[V_FUT_UTEIS]],K$5, FALSE)</f>
        <v>#N/A</v>
      </c>
      <c r="L4188" s="22" t="e">
        <f>VLOOKUP($A4188, TAB_AMORTIZACAO_C[[DIAS_CORRIDOS]:[V_FUT_UTEIS]], L$5, FALSE)</f>
        <v>#N/A</v>
      </c>
    </row>
    <row r="4189" spans="1:12" hidden="1">
      <c r="A4189" s="19">
        <f t="shared" si="334"/>
        <v>4183</v>
      </c>
      <c r="B4189" s="20">
        <f t="shared" si="330"/>
        <v>0</v>
      </c>
      <c r="C4189" s="21">
        <f t="shared" si="331"/>
        <v>0</v>
      </c>
      <c r="D4189" s="22" t="e">
        <f>VLOOKUP($A4189, TAB_JUROS_U[[Q_DIAS_U_PARC_TIR]:[V_FUT_U_JURS CENARIO]], D$5, FALSE)</f>
        <v>#N/A</v>
      </c>
      <c r="E4189" s="22" t="e">
        <f>VLOOKUP($A4189,TAB_CORRECAO_U[[Q_DIAS_U_PARC_TIR]:[V_FUT_U_CORC-02]],E$5, FALSE)</f>
        <v>#N/A</v>
      </c>
      <c r="F4189" s="22" t="e">
        <f>VLOOKUP($A4189,TAB_AMORTIZACAO_U[[Q_DIAS_U_PARC_TIR]:[V_FUT_U_PCPL-02]], F$5, FALSE)</f>
        <v>#N/A</v>
      </c>
      <c r="H4189" s="20">
        <f t="shared" si="332"/>
        <v>0</v>
      </c>
      <c r="I4189" s="21">
        <f t="shared" si="333"/>
        <v>0</v>
      </c>
      <c r="J4189" s="22" t="e">
        <f>VLOOKUP($A4189, TAB_JUROS_C[[DIAS_CORRIDOS]:[V_FUT_UTEIS]], J$5, FALSE)</f>
        <v>#N/A</v>
      </c>
      <c r="K4189" s="22" t="e">
        <f>VLOOKUP($A4189, TAB_CORRECAO_C[[DIAS_CORRIDOS]:[V_FUT_UTEIS]],K$5, FALSE)</f>
        <v>#N/A</v>
      </c>
      <c r="L4189" s="22" t="e">
        <f>VLOOKUP($A4189, TAB_AMORTIZACAO_C[[DIAS_CORRIDOS]:[V_FUT_UTEIS]], L$5, FALSE)</f>
        <v>#N/A</v>
      </c>
    </row>
    <row r="4190" spans="1:12" hidden="1">
      <c r="A4190" s="19">
        <f t="shared" si="334"/>
        <v>4184</v>
      </c>
      <c r="B4190" s="20">
        <f t="shared" si="330"/>
        <v>0</v>
      </c>
      <c r="C4190" s="21">
        <f t="shared" si="331"/>
        <v>0</v>
      </c>
      <c r="D4190" s="22" t="e">
        <f>VLOOKUP($A4190, TAB_JUROS_U[[Q_DIAS_U_PARC_TIR]:[V_FUT_U_JURS CENARIO]], D$5, FALSE)</f>
        <v>#N/A</v>
      </c>
      <c r="E4190" s="22" t="e">
        <f>VLOOKUP($A4190,TAB_CORRECAO_U[[Q_DIAS_U_PARC_TIR]:[V_FUT_U_CORC-02]],E$5, FALSE)</f>
        <v>#N/A</v>
      </c>
      <c r="F4190" s="22" t="e">
        <f>VLOOKUP($A4190,TAB_AMORTIZACAO_U[[Q_DIAS_U_PARC_TIR]:[V_FUT_U_PCPL-02]], F$5, FALSE)</f>
        <v>#N/A</v>
      </c>
      <c r="H4190" s="20">
        <f t="shared" si="332"/>
        <v>0</v>
      </c>
      <c r="I4190" s="21">
        <f t="shared" si="333"/>
        <v>0</v>
      </c>
      <c r="J4190" s="22" t="e">
        <f>VLOOKUP($A4190, TAB_JUROS_C[[DIAS_CORRIDOS]:[V_FUT_UTEIS]], J$5, FALSE)</f>
        <v>#N/A</v>
      </c>
      <c r="K4190" s="22" t="e">
        <f>VLOOKUP($A4190, TAB_CORRECAO_C[[DIAS_CORRIDOS]:[V_FUT_UTEIS]],K$5, FALSE)</f>
        <v>#N/A</v>
      </c>
      <c r="L4190" s="22" t="e">
        <f>VLOOKUP($A4190, TAB_AMORTIZACAO_C[[DIAS_CORRIDOS]:[V_FUT_UTEIS]], L$5, FALSE)</f>
        <v>#N/A</v>
      </c>
    </row>
    <row r="4191" spans="1:12" hidden="1">
      <c r="A4191" s="19">
        <f t="shared" si="334"/>
        <v>4185</v>
      </c>
      <c r="B4191" s="20">
        <f t="shared" si="330"/>
        <v>0</v>
      </c>
      <c r="C4191" s="21">
        <f t="shared" si="331"/>
        <v>0</v>
      </c>
      <c r="D4191" s="22" t="e">
        <f>VLOOKUP($A4191, TAB_JUROS_U[[Q_DIAS_U_PARC_TIR]:[V_FUT_U_JURS CENARIO]], D$5, FALSE)</f>
        <v>#N/A</v>
      </c>
      <c r="E4191" s="22" t="e">
        <f>VLOOKUP($A4191,TAB_CORRECAO_U[[Q_DIAS_U_PARC_TIR]:[V_FUT_U_CORC-02]],E$5, FALSE)</f>
        <v>#N/A</v>
      </c>
      <c r="F4191" s="22" t="e">
        <f>VLOOKUP($A4191,TAB_AMORTIZACAO_U[[Q_DIAS_U_PARC_TIR]:[V_FUT_U_PCPL-02]], F$5, FALSE)</f>
        <v>#N/A</v>
      </c>
      <c r="H4191" s="20">
        <f t="shared" si="332"/>
        <v>0</v>
      </c>
      <c r="I4191" s="21">
        <f t="shared" si="333"/>
        <v>0</v>
      </c>
      <c r="J4191" s="22" t="e">
        <f>VLOOKUP($A4191, TAB_JUROS_C[[DIAS_CORRIDOS]:[V_FUT_UTEIS]], J$5, FALSE)</f>
        <v>#N/A</v>
      </c>
      <c r="K4191" s="22" t="e">
        <f>VLOOKUP($A4191, TAB_CORRECAO_C[[DIAS_CORRIDOS]:[V_FUT_UTEIS]],K$5, FALSE)</f>
        <v>#N/A</v>
      </c>
      <c r="L4191" s="22" t="e">
        <f>VLOOKUP($A4191, TAB_AMORTIZACAO_C[[DIAS_CORRIDOS]:[V_FUT_UTEIS]], L$5, FALSE)</f>
        <v>#N/A</v>
      </c>
    </row>
    <row r="4192" spans="1:12" hidden="1">
      <c r="A4192" s="19">
        <f t="shared" si="334"/>
        <v>4186</v>
      </c>
      <c r="B4192" s="20">
        <f t="shared" si="330"/>
        <v>0</v>
      </c>
      <c r="C4192" s="21">
        <f t="shared" si="331"/>
        <v>0</v>
      </c>
      <c r="D4192" s="22" t="e">
        <f>VLOOKUP($A4192, TAB_JUROS_U[[Q_DIAS_U_PARC_TIR]:[V_FUT_U_JURS CENARIO]], D$5, FALSE)</f>
        <v>#N/A</v>
      </c>
      <c r="E4192" s="22" t="e">
        <f>VLOOKUP($A4192,TAB_CORRECAO_U[[Q_DIAS_U_PARC_TIR]:[V_FUT_U_CORC-02]],E$5, FALSE)</f>
        <v>#N/A</v>
      </c>
      <c r="F4192" s="22" t="e">
        <f>VLOOKUP($A4192,TAB_AMORTIZACAO_U[[Q_DIAS_U_PARC_TIR]:[V_FUT_U_PCPL-02]], F$5, FALSE)</f>
        <v>#N/A</v>
      </c>
      <c r="H4192" s="20">
        <f t="shared" si="332"/>
        <v>0</v>
      </c>
      <c r="I4192" s="21">
        <f t="shared" si="333"/>
        <v>0</v>
      </c>
      <c r="J4192" s="22" t="e">
        <f>VLOOKUP($A4192, TAB_JUROS_C[[DIAS_CORRIDOS]:[V_FUT_UTEIS]], J$5, FALSE)</f>
        <v>#N/A</v>
      </c>
      <c r="K4192" s="22" t="e">
        <f>VLOOKUP($A4192, TAB_CORRECAO_C[[DIAS_CORRIDOS]:[V_FUT_UTEIS]],K$5, FALSE)</f>
        <v>#N/A</v>
      </c>
      <c r="L4192" s="22" t="e">
        <f>VLOOKUP($A4192, TAB_AMORTIZACAO_C[[DIAS_CORRIDOS]:[V_FUT_UTEIS]], L$5, FALSE)</f>
        <v>#N/A</v>
      </c>
    </row>
    <row r="4193" spans="1:12" hidden="1">
      <c r="A4193" s="19">
        <f t="shared" si="334"/>
        <v>4187</v>
      </c>
      <c r="B4193" s="20">
        <f t="shared" si="330"/>
        <v>0</v>
      </c>
      <c r="C4193" s="21">
        <f t="shared" si="331"/>
        <v>0</v>
      </c>
      <c r="D4193" s="22" t="e">
        <f>VLOOKUP($A4193, TAB_JUROS_U[[Q_DIAS_U_PARC_TIR]:[V_FUT_U_JURS CENARIO]], D$5, FALSE)</f>
        <v>#N/A</v>
      </c>
      <c r="E4193" s="22" t="e">
        <f>VLOOKUP($A4193,TAB_CORRECAO_U[[Q_DIAS_U_PARC_TIR]:[V_FUT_U_CORC-02]],E$5, FALSE)</f>
        <v>#N/A</v>
      </c>
      <c r="F4193" s="22" t="e">
        <f>VLOOKUP($A4193,TAB_AMORTIZACAO_U[[Q_DIAS_U_PARC_TIR]:[V_FUT_U_PCPL-02]], F$5, FALSE)</f>
        <v>#N/A</v>
      </c>
      <c r="H4193" s="20">
        <f t="shared" si="332"/>
        <v>0</v>
      </c>
      <c r="I4193" s="21">
        <f t="shared" si="333"/>
        <v>0</v>
      </c>
      <c r="J4193" s="22" t="e">
        <f>VLOOKUP($A4193, TAB_JUROS_C[[DIAS_CORRIDOS]:[V_FUT_UTEIS]], J$5, FALSE)</f>
        <v>#N/A</v>
      </c>
      <c r="K4193" s="22" t="e">
        <f>VLOOKUP($A4193, TAB_CORRECAO_C[[DIAS_CORRIDOS]:[V_FUT_UTEIS]],K$5, FALSE)</f>
        <v>#N/A</v>
      </c>
      <c r="L4193" s="22" t="e">
        <f>VLOOKUP($A4193, TAB_AMORTIZACAO_C[[DIAS_CORRIDOS]:[V_FUT_UTEIS]], L$5, FALSE)</f>
        <v>#N/A</v>
      </c>
    </row>
    <row r="4194" spans="1:12" hidden="1">
      <c r="A4194" s="19">
        <f t="shared" si="334"/>
        <v>4188</v>
      </c>
      <c r="B4194" s="20">
        <f t="shared" si="330"/>
        <v>0</v>
      </c>
      <c r="C4194" s="21">
        <f t="shared" si="331"/>
        <v>0</v>
      </c>
      <c r="D4194" s="22" t="e">
        <f>VLOOKUP($A4194, TAB_JUROS_U[[Q_DIAS_U_PARC_TIR]:[V_FUT_U_JURS CENARIO]], D$5, FALSE)</f>
        <v>#N/A</v>
      </c>
      <c r="E4194" s="22" t="e">
        <f>VLOOKUP($A4194,TAB_CORRECAO_U[[Q_DIAS_U_PARC_TIR]:[V_FUT_U_CORC-02]],E$5, FALSE)</f>
        <v>#N/A</v>
      </c>
      <c r="F4194" s="22" t="e">
        <f>VLOOKUP($A4194,TAB_AMORTIZACAO_U[[Q_DIAS_U_PARC_TIR]:[V_FUT_U_PCPL-02]], F$5, FALSE)</f>
        <v>#N/A</v>
      </c>
      <c r="H4194" s="20">
        <f t="shared" si="332"/>
        <v>0</v>
      </c>
      <c r="I4194" s="21">
        <f t="shared" si="333"/>
        <v>0</v>
      </c>
      <c r="J4194" s="22" t="e">
        <f>VLOOKUP($A4194, TAB_JUROS_C[[DIAS_CORRIDOS]:[V_FUT_UTEIS]], J$5, FALSE)</f>
        <v>#N/A</v>
      </c>
      <c r="K4194" s="22" t="e">
        <f>VLOOKUP($A4194, TAB_CORRECAO_C[[DIAS_CORRIDOS]:[V_FUT_UTEIS]],K$5, FALSE)</f>
        <v>#N/A</v>
      </c>
      <c r="L4194" s="22" t="e">
        <f>VLOOKUP($A4194, TAB_AMORTIZACAO_C[[DIAS_CORRIDOS]:[V_FUT_UTEIS]], L$5, FALSE)</f>
        <v>#N/A</v>
      </c>
    </row>
    <row r="4195" spans="1:12" hidden="1">
      <c r="A4195" s="19">
        <f t="shared" si="334"/>
        <v>4189</v>
      </c>
      <c r="B4195" s="20">
        <f t="shared" si="330"/>
        <v>0</v>
      </c>
      <c r="C4195" s="21">
        <f t="shared" si="331"/>
        <v>0</v>
      </c>
      <c r="D4195" s="22" t="e">
        <f>VLOOKUP($A4195, TAB_JUROS_U[[Q_DIAS_U_PARC_TIR]:[V_FUT_U_JURS CENARIO]], D$5, FALSE)</f>
        <v>#N/A</v>
      </c>
      <c r="E4195" s="22" t="e">
        <f>VLOOKUP($A4195,TAB_CORRECAO_U[[Q_DIAS_U_PARC_TIR]:[V_FUT_U_CORC-02]],E$5, FALSE)</f>
        <v>#N/A</v>
      </c>
      <c r="F4195" s="22" t="e">
        <f>VLOOKUP($A4195,TAB_AMORTIZACAO_U[[Q_DIAS_U_PARC_TIR]:[V_FUT_U_PCPL-02]], F$5, FALSE)</f>
        <v>#N/A</v>
      </c>
      <c r="H4195" s="20">
        <f t="shared" si="332"/>
        <v>0</v>
      </c>
      <c r="I4195" s="21">
        <f t="shared" si="333"/>
        <v>0</v>
      </c>
      <c r="J4195" s="22" t="e">
        <f>VLOOKUP($A4195, TAB_JUROS_C[[DIAS_CORRIDOS]:[V_FUT_UTEIS]], J$5, FALSE)</f>
        <v>#N/A</v>
      </c>
      <c r="K4195" s="22" t="e">
        <f>VLOOKUP($A4195, TAB_CORRECAO_C[[DIAS_CORRIDOS]:[V_FUT_UTEIS]],K$5, FALSE)</f>
        <v>#N/A</v>
      </c>
      <c r="L4195" s="22" t="e">
        <f>VLOOKUP($A4195, TAB_AMORTIZACAO_C[[DIAS_CORRIDOS]:[V_FUT_UTEIS]], L$5, FALSE)</f>
        <v>#N/A</v>
      </c>
    </row>
    <row r="4196" spans="1:12" hidden="1">
      <c r="A4196" s="19">
        <f t="shared" si="334"/>
        <v>4190</v>
      </c>
      <c r="B4196" s="20">
        <f t="shared" si="330"/>
        <v>0</v>
      </c>
      <c r="C4196" s="21">
        <f t="shared" si="331"/>
        <v>0</v>
      </c>
      <c r="D4196" s="22" t="e">
        <f>VLOOKUP($A4196, TAB_JUROS_U[[Q_DIAS_U_PARC_TIR]:[V_FUT_U_JURS CENARIO]], D$5, FALSE)</f>
        <v>#N/A</v>
      </c>
      <c r="E4196" s="22" t="e">
        <f>VLOOKUP($A4196,TAB_CORRECAO_U[[Q_DIAS_U_PARC_TIR]:[V_FUT_U_CORC-02]],E$5, FALSE)</f>
        <v>#N/A</v>
      </c>
      <c r="F4196" s="22" t="e">
        <f>VLOOKUP($A4196,TAB_AMORTIZACAO_U[[Q_DIAS_U_PARC_TIR]:[V_FUT_U_PCPL-02]], F$5, FALSE)</f>
        <v>#N/A</v>
      </c>
      <c r="H4196" s="20">
        <f t="shared" si="332"/>
        <v>0</v>
      </c>
      <c r="I4196" s="21">
        <f t="shared" si="333"/>
        <v>0</v>
      </c>
      <c r="J4196" s="22" t="e">
        <f>VLOOKUP($A4196, TAB_JUROS_C[[DIAS_CORRIDOS]:[V_FUT_UTEIS]], J$5, FALSE)</f>
        <v>#N/A</v>
      </c>
      <c r="K4196" s="22" t="e">
        <f>VLOOKUP($A4196, TAB_CORRECAO_C[[DIAS_CORRIDOS]:[V_FUT_UTEIS]],K$5, FALSE)</f>
        <v>#N/A</v>
      </c>
      <c r="L4196" s="22" t="e">
        <f>VLOOKUP($A4196, TAB_AMORTIZACAO_C[[DIAS_CORRIDOS]:[V_FUT_UTEIS]], L$5, FALSE)</f>
        <v>#N/A</v>
      </c>
    </row>
    <row r="4197" spans="1:12" hidden="1">
      <c r="A4197" s="19">
        <f t="shared" si="334"/>
        <v>4191</v>
      </c>
      <c r="B4197" s="20">
        <f t="shared" si="330"/>
        <v>0</v>
      </c>
      <c r="C4197" s="21">
        <f t="shared" si="331"/>
        <v>0</v>
      </c>
      <c r="D4197" s="22" t="e">
        <f>VLOOKUP($A4197, TAB_JUROS_U[[Q_DIAS_U_PARC_TIR]:[V_FUT_U_JURS CENARIO]], D$5, FALSE)</f>
        <v>#N/A</v>
      </c>
      <c r="E4197" s="22" t="e">
        <f>VLOOKUP($A4197,TAB_CORRECAO_U[[Q_DIAS_U_PARC_TIR]:[V_FUT_U_CORC-02]],E$5, FALSE)</f>
        <v>#N/A</v>
      </c>
      <c r="F4197" s="22" t="e">
        <f>VLOOKUP($A4197,TAB_AMORTIZACAO_U[[Q_DIAS_U_PARC_TIR]:[V_FUT_U_PCPL-02]], F$5, FALSE)</f>
        <v>#N/A</v>
      </c>
      <c r="H4197" s="20">
        <f t="shared" si="332"/>
        <v>0</v>
      </c>
      <c r="I4197" s="21">
        <f t="shared" si="333"/>
        <v>0</v>
      </c>
      <c r="J4197" s="22" t="e">
        <f>VLOOKUP($A4197, TAB_JUROS_C[[DIAS_CORRIDOS]:[V_FUT_UTEIS]], J$5, FALSE)</f>
        <v>#N/A</v>
      </c>
      <c r="K4197" s="22" t="e">
        <f>VLOOKUP($A4197, TAB_CORRECAO_C[[DIAS_CORRIDOS]:[V_FUT_UTEIS]],K$5, FALSE)</f>
        <v>#N/A</v>
      </c>
      <c r="L4197" s="22" t="e">
        <f>VLOOKUP($A4197, TAB_AMORTIZACAO_C[[DIAS_CORRIDOS]:[V_FUT_UTEIS]], L$5, FALSE)</f>
        <v>#N/A</v>
      </c>
    </row>
    <row r="4198" spans="1:12" hidden="1">
      <c r="A4198" s="19">
        <f t="shared" si="334"/>
        <v>4192</v>
      </c>
      <c r="B4198" s="20">
        <f t="shared" si="330"/>
        <v>0</v>
      </c>
      <c r="C4198" s="21">
        <f t="shared" si="331"/>
        <v>0</v>
      </c>
      <c r="D4198" s="22" t="e">
        <f>VLOOKUP($A4198, TAB_JUROS_U[[Q_DIAS_U_PARC_TIR]:[V_FUT_U_JURS CENARIO]], D$5, FALSE)</f>
        <v>#N/A</v>
      </c>
      <c r="E4198" s="22" t="e">
        <f>VLOOKUP($A4198,TAB_CORRECAO_U[[Q_DIAS_U_PARC_TIR]:[V_FUT_U_CORC-02]],E$5, FALSE)</f>
        <v>#N/A</v>
      </c>
      <c r="F4198" s="22" t="e">
        <f>VLOOKUP($A4198,TAB_AMORTIZACAO_U[[Q_DIAS_U_PARC_TIR]:[V_FUT_U_PCPL-02]], F$5, FALSE)</f>
        <v>#N/A</v>
      </c>
      <c r="H4198" s="20">
        <f t="shared" si="332"/>
        <v>0</v>
      </c>
      <c r="I4198" s="21">
        <f t="shared" si="333"/>
        <v>0</v>
      </c>
      <c r="J4198" s="22" t="e">
        <f>VLOOKUP($A4198, TAB_JUROS_C[[DIAS_CORRIDOS]:[V_FUT_UTEIS]], J$5, FALSE)</f>
        <v>#N/A</v>
      </c>
      <c r="K4198" s="22" t="e">
        <f>VLOOKUP($A4198, TAB_CORRECAO_C[[DIAS_CORRIDOS]:[V_FUT_UTEIS]],K$5, FALSE)</f>
        <v>#N/A</v>
      </c>
      <c r="L4198" s="22" t="e">
        <f>VLOOKUP($A4198, TAB_AMORTIZACAO_C[[DIAS_CORRIDOS]:[V_FUT_UTEIS]], L$5, FALSE)</f>
        <v>#N/A</v>
      </c>
    </row>
    <row r="4199" spans="1:12" hidden="1">
      <c r="A4199" s="19">
        <f t="shared" si="334"/>
        <v>4193</v>
      </c>
      <c r="B4199" s="20">
        <f t="shared" si="330"/>
        <v>0</v>
      </c>
      <c r="C4199" s="21">
        <f t="shared" si="331"/>
        <v>0</v>
      </c>
      <c r="D4199" s="22" t="e">
        <f>VLOOKUP($A4199, TAB_JUROS_U[[Q_DIAS_U_PARC_TIR]:[V_FUT_U_JURS CENARIO]], D$5, FALSE)</f>
        <v>#N/A</v>
      </c>
      <c r="E4199" s="22" t="e">
        <f>VLOOKUP($A4199,TAB_CORRECAO_U[[Q_DIAS_U_PARC_TIR]:[V_FUT_U_CORC-02]],E$5, FALSE)</f>
        <v>#N/A</v>
      </c>
      <c r="F4199" s="22" t="e">
        <f>VLOOKUP($A4199,TAB_AMORTIZACAO_U[[Q_DIAS_U_PARC_TIR]:[V_FUT_U_PCPL-02]], F$5, FALSE)</f>
        <v>#N/A</v>
      </c>
      <c r="H4199" s="20">
        <f t="shared" si="332"/>
        <v>0</v>
      </c>
      <c r="I4199" s="21">
        <f t="shared" si="333"/>
        <v>0</v>
      </c>
      <c r="J4199" s="22" t="e">
        <f>VLOOKUP($A4199, TAB_JUROS_C[[DIAS_CORRIDOS]:[V_FUT_UTEIS]], J$5, FALSE)</f>
        <v>#N/A</v>
      </c>
      <c r="K4199" s="22" t="e">
        <f>VLOOKUP($A4199, TAB_CORRECAO_C[[DIAS_CORRIDOS]:[V_FUT_UTEIS]],K$5, FALSE)</f>
        <v>#N/A</v>
      </c>
      <c r="L4199" s="22" t="e">
        <f>VLOOKUP($A4199, TAB_AMORTIZACAO_C[[DIAS_CORRIDOS]:[V_FUT_UTEIS]], L$5, FALSE)</f>
        <v>#N/A</v>
      </c>
    </row>
    <row r="4200" spans="1:12" hidden="1">
      <c r="A4200" s="19">
        <f t="shared" si="334"/>
        <v>4194</v>
      </c>
      <c r="B4200" s="20">
        <f t="shared" si="330"/>
        <v>0</v>
      </c>
      <c r="C4200" s="21">
        <f t="shared" si="331"/>
        <v>0</v>
      </c>
      <c r="D4200" s="22" t="e">
        <f>VLOOKUP($A4200, TAB_JUROS_U[[Q_DIAS_U_PARC_TIR]:[V_FUT_U_JURS CENARIO]], D$5, FALSE)</f>
        <v>#N/A</v>
      </c>
      <c r="E4200" s="22" t="e">
        <f>VLOOKUP($A4200,TAB_CORRECAO_U[[Q_DIAS_U_PARC_TIR]:[V_FUT_U_CORC-02]],E$5, FALSE)</f>
        <v>#N/A</v>
      </c>
      <c r="F4200" s="22" t="e">
        <f>VLOOKUP($A4200,TAB_AMORTIZACAO_U[[Q_DIAS_U_PARC_TIR]:[V_FUT_U_PCPL-02]], F$5, FALSE)</f>
        <v>#N/A</v>
      </c>
      <c r="H4200" s="20">
        <f t="shared" si="332"/>
        <v>0</v>
      </c>
      <c r="I4200" s="21">
        <f t="shared" si="333"/>
        <v>0</v>
      </c>
      <c r="J4200" s="22" t="e">
        <f>VLOOKUP($A4200, TAB_JUROS_C[[DIAS_CORRIDOS]:[V_FUT_UTEIS]], J$5, FALSE)</f>
        <v>#N/A</v>
      </c>
      <c r="K4200" s="22" t="e">
        <f>VLOOKUP($A4200, TAB_CORRECAO_C[[DIAS_CORRIDOS]:[V_FUT_UTEIS]],K$5, FALSE)</f>
        <v>#N/A</v>
      </c>
      <c r="L4200" s="22" t="e">
        <f>VLOOKUP($A4200, TAB_AMORTIZACAO_C[[DIAS_CORRIDOS]:[V_FUT_UTEIS]], L$5, FALSE)</f>
        <v>#N/A</v>
      </c>
    </row>
    <row r="4201" spans="1:12" hidden="1">
      <c r="A4201" s="19">
        <f t="shared" si="334"/>
        <v>4195</v>
      </c>
      <c r="B4201" s="20">
        <f t="shared" si="330"/>
        <v>0</v>
      </c>
      <c r="C4201" s="21">
        <f t="shared" si="331"/>
        <v>0</v>
      </c>
      <c r="D4201" s="22" t="e">
        <f>VLOOKUP($A4201, TAB_JUROS_U[[Q_DIAS_U_PARC_TIR]:[V_FUT_U_JURS CENARIO]], D$5, FALSE)</f>
        <v>#N/A</v>
      </c>
      <c r="E4201" s="22" t="e">
        <f>VLOOKUP($A4201,TAB_CORRECAO_U[[Q_DIAS_U_PARC_TIR]:[V_FUT_U_CORC-02]],E$5, FALSE)</f>
        <v>#N/A</v>
      </c>
      <c r="F4201" s="22" t="e">
        <f>VLOOKUP($A4201,TAB_AMORTIZACAO_U[[Q_DIAS_U_PARC_TIR]:[V_FUT_U_PCPL-02]], F$5, FALSE)</f>
        <v>#N/A</v>
      </c>
      <c r="H4201" s="20">
        <f t="shared" si="332"/>
        <v>0</v>
      </c>
      <c r="I4201" s="21">
        <f t="shared" si="333"/>
        <v>0</v>
      </c>
      <c r="J4201" s="22" t="e">
        <f>VLOOKUP($A4201, TAB_JUROS_C[[DIAS_CORRIDOS]:[V_FUT_UTEIS]], J$5, FALSE)</f>
        <v>#N/A</v>
      </c>
      <c r="K4201" s="22" t="e">
        <f>VLOOKUP($A4201, TAB_CORRECAO_C[[DIAS_CORRIDOS]:[V_FUT_UTEIS]],K$5, FALSE)</f>
        <v>#N/A</v>
      </c>
      <c r="L4201" s="22" t="e">
        <f>VLOOKUP($A4201, TAB_AMORTIZACAO_C[[DIAS_CORRIDOS]:[V_FUT_UTEIS]], L$5, FALSE)</f>
        <v>#N/A</v>
      </c>
    </row>
    <row r="4202" spans="1:12" hidden="1">
      <c r="A4202" s="19">
        <f t="shared" si="334"/>
        <v>4196</v>
      </c>
      <c r="B4202" s="20">
        <f t="shared" si="330"/>
        <v>0</v>
      </c>
      <c r="C4202" s="21">
        <f t="shared" si="331"/>
        <v>0</v>
      </c>
      <c r="D4202" s="22" t="e">
        <f>VLOOKUP($A4202, TAB_JUROS_U[[Q_DIAS_U_PARC_TIR]:[V_FUT_U_JURS CENARIO]], D$5, FALSE)</f>
        <v>#N/A</v>
      </c>
      <c r="E4202" s="22" t="e">
        <f>VLOOKUP($A4202,TAB_CORRECAO_U[[Q_DIAS_U_PARC_TIR]:[V_FUT_U_CORC-02]],E$5, FALSE)</f>
        <v>#N/A</v>
      </c>
      <c r="F4202" s="22" t="e">
        <f>VLOOKUP($A4202,TAB_AMORTIZACAO_U[[Q_DIAS_U_PARC_TIR]:[V_FUT_U_PCPL-02]], F$5, FALSE)</f>
        <v>#N/A</v>
      </c>
      <c r="H4202" s="20">
        <f t="shared" si="332"/>
        <v>0</v>
      </c>
      <c r="I4202" s="21">
        <f t="shared" si="333"/>
        <v>0</v>
      </c>
      <c r="J4202" s="22" t="e">
        <f>VLOOKUP($A4202, TAB_JUROS_C[[DIAS_CORRIDOS]:[V_FUT_UTEIS]], J$5, FALSE)</f>
        <v>#N/A</v>
      </c>
      <c r="K4202" s="22" t="e">
        <f>VLOOKUP($A4202, TAB_CORRECAO_C[[DIAS_CORRIDOS]:[V_FUT_UTEIS]],K$5, FALSE)</f>
        <v>#N/A</v>
      </c>
      <c r="L4202" s="22" t="e">
        <f>VLOOKUP($A4202, TAB_AMORTIZACAO_C[[DIAS_CORRIDOS]:[V_FUT_UTEIS]], L$5, FALSE)</f>
        <v>#N/A</v>
      </c>
    </row>
    <row r="4203" spans="1:12" hidden="1">
      <c r="A4203" s="19">
        <f t="shared" si="334"/>
        <v>4197</v>
      </c>
      <c r="B4203" s="20">
        <f t="shared" si="330"/>
        <v>0</v>
      </c>
      <c r="C4203" s="21">
        <f t="shared" si="331"/>
        <v>0</v>
      </c>
      <c r="D4203" s="22" t="e">
        <f>VLOOKUP($A4203, TAB_JUROS_U[[Q_DIAS_U_PARC_TIR]:[V_FUT_U_JURS CENARIO]], D$5, FALSE)</f>
        <v>#N/A</v>
      </c>
      <c r="E4203" s="22" t="e">
        <f>VLOOKUP($A4203,TAB_CORRECAO_U[[Q_DIAS_U_PARC_TIR]:[V_FUT_U_CORC-02]],E$5, FALSE)</f>
        <v>#N/A</v>
      </c>
      <c r="F4203" s="22" t="e">
        <f>VLOOKUP($A4203,TAB_AMORTIZACAO_U[[Q_DIAS_U_PARC_TIR]:[V_FUT_U_PCPL-02]], F$5, FALSE)</f>
        <v>#N/A</v>
      </c>
      <c r="H4203" s="20">
        <f t="shared" si="332"/>
        <v>0</v>
      </c>
      <c r="I4203" s="21">
        <f t="shared" si="333"/>
        <v>0</v>
      </c>
      <c r="J4203" s="22" t="e">
        <f>VLOOKUP($A4203, TAB_JUROS_C[[DIAS_CORRIDOS]:[V_FUT_UTEIS]], J$5, FALSE)</f>
        <v>#N/A</v>
      </c>
      <c r="K4203" s="22" t="e">
        <f>VLOOKUP($A4203, TAB_CORRECAO_C[[DIAS_CORRIDOS]:[V_FUT_UTEIS]],K$5, FALSE)</f>
        <v>#N/A</v>
      </c>
      <c r="L4203" s="22" t="e">
        <f>VLOOKUP($A4203, TAB_AMORTIZACAO_C[[DIAS_CORRIDOS]:[V_FUT_UTEIS]], L$5, FALSE)</f>
        <v>#N/A</v>
      </c>
    </row>
    <row r="4204" spans="1:12" hidden="1">
      <c r="A4204" s="19">
        <f t="shared" si="334"/>
        <v>4198</v>
      </c>
      <c r="B4204" s="20">
        <f t="shared" si="330"/>
        <v>0</v>
      </c>
      <c r="C4204" s="21">
        <f t="shared" si="331"/>
        <v>0</v>
      </c>
      <c r="D4204" s="22" t="e">
        <f>VLOOKUP($A4204, TAB_JUROS_U[[Q_DIAS_U_PARC_TIR]:[V_FUT_U_JURS CENARIO]], D$5, FALSE)</f>
        <v>#N/A</v>
      </c>
      <c r="E4204" s="22" t="e">
        <f>VLOOKUP($A4204,TAB_CORRECAO_U[[Q_DIAS_U_PARC_TIR]:[V_FUT_U_CORC-02]],E$5, FALSE)</f>
        <v>#N/A</v>
      </c>
      <c r="F4204" s="22" t="e">
        <f>VLOOKUP($A4204,TAB_AMORTIZACAO_U[[Q_DIAS_U_PARC_TIR]:[V_FUT_U_PCPL-02]], F$5, FALSE)</f>
        <v>#N/A</v>
      </c>
      <c r="H4204" s="20">
        <f t="shared" si="332"/>
        <v>0</v>
      </c>
      <c r="I4204" s="21">
        <f t="shared" si="333"/>
        <v>0</v>
      </c>
      <c r="J4204" s="22" t="e">
        <f>VLOOKUP($A4204, TAB_JUROS_C[[DIAS_CORRIDOS]:[V_FUT_UTEIS]], J$5, FALSE)</f>
        <v>#N/A</v>
      </c>
      <c r="K4204" s="22" t="e">
        <f>VLOOKUP($A4204, TAB_CORRECAO_C[[DIAS_CORRIDOS]:[V_FUT_UTEIS]],K$5, FALSE)</f>
        <v>#N/A</v>
      </c>
      <c r="L4204" s="22" t="e">
        <f>VLOOKUP($A4204, TAB_AMORTIZACAO_C[[DIAS_CORRIDOS]:[V_FUT_UTEIS]], L$5, FALSE)</f>
        <v>#N/A</v>
      </c>
    </row>
    <row r="4205" spans="1:12" hidden="1">
      <c r="A4205" s="19">
        <f t="shared" si="334"/>
        <v>4199</v>
      </c>
      <c r="B4205" s="20">
        <f t="shared" si="330"/>
        <v>0</v>
      </c>
      <c r="C4205" s="21">
        <f t="shared" si="331"/>
        <v>0</v>
      </c>
      <c r="D4205" s="22" t="e">
        <f>VLOOKUP($A4205, TAB_JUROS_U[[Q_DIAS_U_PARC_TIR]:[V_FUT_U_JURS CENARIO]], D$5, FALSE)</f>
        <v>#N/A</v>
      </c>
      <c r="E4205" s="22" t="e">
        <f>VLOOKUP($A4205,TAB_CORRECAO_U[[Q_DIAS_U_PARC_TIR]:[V_FUT_U_CORC-02]],E$5, FALSE)</f>
        <v>#N/A</v>
      </c>
      <c r="F4205" s="22" t="e">
        <f>VLOOKUP($A4205,TAB_AMORTIZACAO_U[[Q_DIAS_U_PARC_TIR]:[V_FUT_U_PCPL-02]], F$5, FALSE)</f>
        <v>#N/A</v>
      </c>
      <c r="H4205" s="20">
        <f t="shared" si="332"/>
        <v>0</v>
      </c>
      <c r="I4205" s="21">
        <f t="shared" si="333"/>
        <v>0</v>
      </c>
      <c r="J4205" s="22" t="e">
        <f>VLOOKUP($A4205, TAB_JUROS_C[[DIAS_CORRIDOS]:[V_FUT_UTEIS]], J$5, FALSE)</f>
        <v>#N/A</v>
      </c>
      <c r="K4205" s="22" t="e">
        <f>VLOOKUP($A4205, TAB_CORRECAO_C[[DIAS_CORRIDOS]:[V_FUT_UTEIS]],K$5, FALSE)</f>
        <v>#N/A</v>
      </c>
      <c r="L4205" s="22" t="e">
        <f>VLOOKUP($A4205, TAB_AMORTIZACAO_C[[DIAS_CORRIDOS]:[V_FUT_UTEIS]], L$5, FALSE)</f>
        <v>#N/A</v>
      </c>
    </row>
    <row r="4206" spans="1:12" hidden="1">
      <c r="A4206" s="19">
        <f t="shared" si="334"/>
        <v>4200</v>
      </c>
      <c r="B4206" s="20">
        <f t="shared" si="330"/>
        <v>0</v>
      </c>
      <c r="C4206" s="21">
        <f t="shared" si="331"/>
        <v>0</v>
      </c>
      <c r="D4206" s="22" t="e">
        <f>VLOOKUP($A4206, TAB_JUROS_U[[Q_DIAS_U_PARC_TIR]:[V_FUT_U_JURS CENARIO]], D$5, FALSE)</f>
        <v>#N/A</v>
      </c>
      <c r="E4206" s="22" t="e">
        <f>VLOOKUP($A4206,TAB_CORRECAO_U[[Q_DIAS_U_PARC_TIR]:[V_FUT_U_CORC-02]],E$5, FALSE)</f>
        <v>#N/A</v>
      </c>
      <c r="F4206" s="22" t="e">
        <f>VLOOKUP($A4206,TAB_AMORTIZACAO_U[[Q_DIAS_U_PARC_TIR]:[V_FUT_U_PCPL-02]], F$5, FALSE)</f>
        <v>#N/A</v>
      </c>
      <c r="H4206" s="20">
        <f t="shared" si="332"/>
        <v>0</v>
      </c>
      <c r="I4206" s="21">
        <f t="shared" si="333"/>
        <v>0</v>
      </c>
      <c r="J4206" s="22" t="e">
        <f>VLOOKUP($A4206, TAB_JUROS_C[[DIAS_CORRIDOS]:[V_FUT_UTEIS]], J$5, FALSE)</f>
        <v>#N/A</v>
      </c>
      <c r="K4206" s="22" t="e">
        <f>VLOOKUP($A4206, TAB_CORRECAO_C[[DIAS_CORRIDOS]:[V_FUT_UTEIS]],K$5, FALSE)</f>
        <v>#N/A</v>
      </c>
      <c r="L4206" s="22" t="e">
        <f>VLOOKUP($A4206, TAB_AMORTIZACAO_C[[DIAS_CORRIDOS]:[V_FUT_UTEIS]], L$5, FALSE)</f>
        <v>#N/A</v>
      </c>
    </row>
    <row r="4207" spans="1:12" hidden="1">
      <c r="A4207" s="19">
        <f t="shared" si="334"/>
        <v>4201</v>
      </c>
      <c r="B4207" s="20">
        <f t="shared" si="330"/>
        <v>0</v>
      </c>
      <c r="C4207" s="21">
        <f t="shared" si="331"/>
        <v>0</v>
      </c>
      <c r="D4207" s="22" t="e">
        <f>VLOOKUP($A4207, TAB_JUROS_U[[Q_DIAS_U_PARC_TIR]:[V_FUT_U_JURS CENARIO]], D$5, FALSE)</f>
        <v>#N/A</v>
      </c>
      <c r="E4207" s="22" t="e">
        <f>VLOOKUP($A4207,TAB_CORRECAO_U[[Q_DIAS_U_PARC_TIR]:[V_FUT_U_CORC-02]],E$5, FALSE)</f>
        <v>#N/A</v>
      </c>
      <c r="F4207" s="22" t="e">
        <f>VLOOKUP($A4207,TAB_AMORTIZACAO_U[[Q_DIAS_U_PARC_TIR]:[V_FUT_U_PCPL-02]], F$5, FALSE)</f>
        <v>#N/A</v>
      </c>
      <c r="H4207" s="20">
        <f t="shared" si="332"/>
        <v>0</v>
      </c>
      <c r="I4207" s="21">
        <f t="shared" si="333"/>
        <v>0</v>
      </c>
      <c r="J4207" s="22" t="e">
        <f>VLOOKUP($A4207, TAB_JUROS_C[[DIAS_CORRIDOS]:[V_FUT_UTEIS]], J$5, FALSE)</f>
        <v>#N/A</v>
      </c>
      <c r="K4207" s="22" t="e">
        <f>VLOOKUP($A4207, TAB_CORRECAO_C[[DIAS_CORRIDOS]:[V_FUT_UTEIS]],K$5, FALSE)</f>
        <v>#N/A</v>
      </c>
      <c r="L4207" s="22" t="e">
        <f>VLOOKUP($A4207, TAB_AMORTIZACAO_C[[DIAS_CORRIDOS]:[V_FUT_UTEIS]], L$5, FALSE)</f>
        <v>#N/A</v>
      </c>
    </row>
    <row r="4208" spans="1:12" hidden="1">
      <c r="A4208" s="19">
        <f t="shared" si="334"/>
        <v>4202</v>
      </c>
      <c r="B4208" s="20">
        <f t="shared" si="330"/>
        <v>0</v>
      </c>
      <c r="C4208" s="21">
        <f t="shared" si="331"/>
        <v>0</v>
      </c>
      <c r="D4208" s="22" t="e">
        <f>VLOOKUP($A4208, TAB_JUROS_U[[Q_DIAS_U_PARC_TIR]:[V_FUT_U_JURS CENARIO]], D$5, FALSE)</f>
        <v>#N/A</v>
      </c>
      <c r="E4208" s="22" t="e">
        <f>VLOOKUP($A4208,TAB_CORRECAO_U[[Q_DIAS_U_PARC_TIR]:[V_FUT_U_CORC-02]],E$5, FALSE)</f>
        <v>#N/A</v>
      </c>
      <c r="F4208" s="22" t="e">
        <f>VLOOKUP($A4208,TAB_AMORTIZACAO_U[[Q_DIAS_U_PARC_TIR]:[V_FUT_U_PCPL-02]], F$5, FALSE)</f>
        <v>#N/A</v>
      </c>
      <c r="H4208" s="20">
        <f t="shared" si="332"/>
        <v>0</v>
      </c>
      <c r="I4208" s="21">
        <f t="shared" si="333"/>
        <v>0</v>
      </c>
      <c r="J4208" s="22" t="e">
        <f>VLOOKUP($A4208, TAB_JUROS_C[[DIAS_CORRIDOS]:[V_FUT_UTEIS]], J$5, FALSE)</f>
        <v>#N/A</v>
      </c>
      <c r="K4208" s="22" t="e">
        <f>VLOOKUP($A4208, TAB_CORRECAO_C[[DIAS_CORRIDOS]:[V_FUT_UTEIS]],K$5, FALSE)</f>
        <v>#N/A</v>
      </c>
      <c r="L4208" s="22" t="e">
        <f>VLOOKUP($A4208, TAB_AMORTIZACAO_C[[DIAS_CORRIDOS]:[V_FUT_UTEIS]], L$5, FALSE)</f>
        <v>#N/A</v>
      </c>
    </row>
    <row r="4209" spans="1:12" hidden="1">
      <c r="A4209" s="19">
        <f t="shared" si="334"/>
        <v>4203</v>
      </c>
      <c r="B4209" s="20">
        <f t="shared" si="330"/>
        <v>0</v>
      </c>
      <c r="C4209" s="21">
        <f t="shared" si="331"/>
        <v>0</v>
      </c>
      <c r="D4209" s="22" t="e">
        <f>VLOOKUP($A4209, TAB_JUROS_U[[Q_DIAS_U_PARC_TIR]:[V_FUT_U_JURS CENARIO]], D$5, FALSE)</f>
        <v>#N/A</v>
      </c>
      <c r="E4209" s="22" t="e">
        <f>VLOOKUP($A4209,TAB_CORRECAO_U[[Q_DIAS_U_PARC_TIR]:[V_FUT_U_CORC-02]],E$5, FALSE)</f>
        <v>#N/A</v>
      </c>
      <c r="F4209" s="22" t="e">
        <f>VLOOKUP($A4209,TAB_AMORTIZACAO_U[[Q_DIAS_U_PARC_TIR]:[V_FUT_U_PCPL-02]], F$5, FALSE)</f>
        <v>#N/A</v>
      </c>
      <c r="H4209" s="20">
        <f t="shared" si="332"/>
        <v>0</v>
      </c>
      <c r="I4209" s="21">
        <f t="shared" si="333"/>
        <v>0</v>
      </c>
      <c r="J4209" s="22" t="e">
        <f>VLOOKUP($A4209, TAB_JUROS_C[[DIAS_CORRIDOS]:[V_FUT_UTEIS]], J$5, FALSE)</f>
        <v>#N/A</v>
      </c>
      <c r="K4209" s="22" t="e">
        <f>VLOOKUP($A4209, TAB_CORRECAO_C[[DIAS_CORRIDOS]:[V_FUT_UTEIS]],K$5, FALSE)</f>
        <v>#N/A</v>
      </c>
      <c r="L4209" s="22" t="e">
        <f>VLOOKUP($A4209, TAB_AMORTIZACAO_C[[DIAS_CORRIDOS]:[V_FUT_UTEIS]], L$5, FALSE)</f>
        <v>#N/A</v>
      </c>
    </row>
    <row r="4210" spans="1:12" hidden="1">
      <c r="A4210" s="19">
        <f t="shared" si="334"/>
        <v>4204</v>
      </c>
      <c r="B4210" s="20">
        <f t="shared" si="330"/>
        <v>0</v>
      </c>
      <c r="C4210" s="21">
        <f t="shared" si="331"/>
        <v>0</v>
      </c>
      <c r="D4210" s="22" t="e">
        <f>VLOOKUP($A4210, TAB_JUROS_U[[Q_DIAS_U_PARC_TIR]:[V_FUT_U_JURS CENARIO]], D$5, FALSE)</f>
        <v>#N/A</v>
      </c>
      <c r="E4210" s="22" t="e">
        <f>VLOOKUP($A4210,TAB_CORRECAO_U[[Q_DIAS_U_PARC_TIR]:[V_FUT_U_CORC-02]],E$5, FALSE)</f>
        <v>#N/A</v>
      </c>
      <c r="F4210" s="22" t="e">
        <f>VLOOKUP($A4210,TAB_AMORTIZACAO_U[[Q_DIAS_U_PARC_TIR]:[V_FUT_U_PCPL-02]], F$5, FALSE)</f>
        <v>#N/A</v>
      </c>
      <c r="H4210" s="20">
        <f t="shared" si="332"/>
        <v>0</v>
      </c>
      <c r="I4210" s="21">
        <f t="shared" si="333"/>
        <v>0</v>
      </c>
      <c r="J4210" s="22" t="e">
        <f>VLOOKUP($A4210, TAB_JUROS_C[[DIAS_CORRIDOS]:[V_FUT_UTEIS]], J$5, FALSE)</f>
        <v>#N/A</v>
      </c>
      <c r="K4210" s="22" t="e">
        <f>VLOOKUP($A4210, TAB_CORRECAO_C[[DIAS_CORRIDOS]:[V_FUT_UTEIS]],K$5, FALSE)</f>
        <v>#N/A</v>
      </c>
      <c r="L4210" s="22" t="e">
        <f>VLOOKUP($A4210, TAB_AMORTIZACAO_C[[DIAS_CORRIDOS]:[V_FUT_UTEIS]], L$5, FALSE)</f>
        <v>#N/A</v>
      </c>
    </row>
    <row r="4211" spans="1:12" hidden="1">
      <c r="A4211" s="19">
        <f t="shared" si="334"/>
        <v>4205</v>
      </c>
      <c r="B4211" s="20">
        <f t="shared" si="330"/>
        <v>0</v>
      </c>
      <c r="C4211" s="21">
        <f t="shared" si="331"/>
        <v>0</v>
      </c>
      <c r="D4211" s="22" t="e">
        <f>VLOOKUP($A4211, TAB_JUROS_U[[Q_DIAS_U_PARC_TIR]:[V_FUT_U_JURS CENARIO]], D$5, FALSE)</f>
        <v>#N/A</v>
      </c>
      <c r="E4211" s="22" t="e">
        <f>VLOOKUP($A4211,TAB_CORRECAO_U[[Q_DIAS_U_PARC_TIR]:[V_FUT_U_CORC-02]],E$5, FALSE)</f>
        <v>#N/A</v>
      </c>
      <c r="F4211" s="22" t="e">
        <f>VLOOKUP($A4211,TAB_AMORTIZACAO_U[[Q_DIAS_U_PARC_TIR]:[V_FUT_U_PCPL-02]], F$5, FALSE)</f>
        <v>#N/A</v>
      </c>
      <c r="H4211" s="20">
        <f t="shared" si="332"/>
        <v>0</v>
      </c>
      <c r="I4211" s="21">
        <f t="shared" si="333"/>
        <v>0</v>
      </c>
      <c r="J4211" s="22" t="e">
        <f>VLOOKUP($A4211, TAB_JUROS_C[[DIAS_CORRIDOS]:[V_FUT_UTEIS]], J$5, FALSE)</f>
        <v>#N/A</v>
      </c>
      <c r="K4211" s="22" t="e">
        <f>VLOOKUP($A4211, TAB_CORRECAO_C[[DIAS_CORRIDOS]:[V_FUT_UTEIS]],K$5, FALSE)</f>
        <v>#N/A</v>
      </c>
      <c r="L4211" s="22" t="e">
        <f>VLOOKUP($A4211, TAB_AMORTIZACAO_C[[DIAS_CORRIDOS]:[V_FUT_UTEIS]], L$5, FALSE)</f>
        <v>#N/A</v>
      </c>
    </row>
    <row r="4212" spans="1:12" hidden="1">
      <c r="A4212" s="19">
        <f t="shared" si="334"/>
        <v>4206</v>
      </c>
      <c r="B4212" s="20">
        <f t="shared" si="330"/>
        <v>0</v>
      </c>
      <c r="C4212" s="21">
        <f t="shared" si="331"/>
        <v>0</v>
      </c>
      <c r="D4212" s="22" t="e">
        <f>VLOOKUP($A4212, TAB_JUROS_U[[Q_DIAS_U_PARC_TIR]:[V_FUT_U_JURS CENARIO]], D$5, FALSE)</f>
        <v>#N/A</v>
      </c>
      <c r="E4212" s="22" t="e">
        <f>VLOOKUP($A4212,TAB_CORRECAO_U[[Q_DIAS_U_PARC_TIR]:[V_FUT_U_CORC-02]],E$5, FALSE)</f>
        <v>#N/A</v>
      </c>
      <c r="F4212" s="22" t="e">
        <f>VLOOKUP($A4212,TAB_AMORTIZACAO_U[[Q_DIAS_U_PARC_TIR]:[V_FUT_U_PCPL-02]], F$5, FALSE)</f>
        <v>#N/A</v>
      </c>
      <c r="H4212" s="20">
        <f t="shared" si="332"/>
        <v>0</v>
      </c>
      <c r="I4212" s="21">
        <f t="shared" si="333"/>
        <v>0</v>
      </c>
      <c r="J4212" s="22" t="e">
        <f>VLOOKUP($A4212, TAB_JUROS_C[[DIAS_CORRIDOS]:[V_FUT_UTEIS]], J$5, FALSE)</f>
        <v>#N/A</v>
      </c>
      <c r="K4212" s="22" t="e">
        <f>VLOOKUP($A4212, TAB_CORRECAO_C[[DIAS_CORRIDOS]:[V_FUT_UTEIS]],K$5, FALSE)</f>
        <v>#N/A</v>
      </c>
      <c r="L4212" s="22" t="e">
        <f>VLOOKUP($A4212, TAB_AMORTIZACAO_C[[DIAS_CORRIDOS]:[V_FUT_UTEIS]], L$5, FALSE)</f>
        <v>#N/A</v>
      </c>
    </row>
    <row r="4213" spans="1:12" hidden="1">
      <c r="A4213" s="19">
        <f t="shared" si="334"/>
        <v>4207</v>
      </c>
      <c r="B4213" s="20">
        <f t="shared" si="330"/>
        <v>0</v>
      </c>
      <c r="C4213" s="21">
        <f t="shared" si="331"/>
        <v>0</v>
      </c>
      <c r="D4213" s="22" t="e">
        <f>VLOOKUP($A4213, TAB_JUROS_U[[Q_DIAS_U_PARC_TIR]:[V_FUT_U_JURS CENARIO]], D$5, FALSE)</f>
        <v>#N/A</v>
      </c>
      <c r="E4213" s="22" t="e">
        <f>VLOOKUP($A4213,TAB_CORRECAO_U[[Q_DIAS_U_PARC_TIR]:[V_FUT_U_CORC-02]],E$5, FALSE)</f>
        <v>#N/A</v>
      </c>
      <c r="F4213" s="22" t="e">
        <f>VLOOKUP($A4213,TAB_AMORTIZACAO_U[[Q_DIAS_U_PARC_TIR]:[V_FUT_U_PCPL-02]], F$5, FALSE)</f>
        <v>#N/A</v>
      </c>
      <c r="H4213" s="20">
        <f t="shared" si="332"/>
        <v>0</v>
      </c>
      <c r="I4213" s="21">
        <f t="shared" si="333"/>
        <v>0</v>
      </c>
      <c r="J4213" s="22" t="e">
        <f>VLOOKUP($A4213, TAB_JUROS_C[[DIAS_CORRIDOS]:[V_FUT_UTEIS]], J$5, FALSE)</f>
        <v>#N/A</v>
      </c>
      <c r="K4213" s="22" t="e">
        <f>VLOOKUP($A4213, TAB_CORRECAO_C[[DIAS_CORRIDOS]:[V_FUT_UTEIS]],K$5, FALSE)</f>
        <v>#N/A</v>
      </c>
      <c r="L4213" s="22" t="e">
        <f>VLOOKUP($A4213, TAB_AMORTIZACAO_C[[DIAS_CORRIDOS]:[V_FUT_UTEIS]], L$5, FALSE)</f>
        <v>#N/A</v>
      </c>
    </row>
    <row r="4214" spans="1:12" hidden="1">
      <c r="A4214" s="19">
        <f t="shared" si="334"/>
        <v>4208</v>
      </c>
      <c r="B4214" s="20">
        <f t="shared" si="330"/>
        <v>0</v>
      </c>
      <c r="C4214" s="21">
        <f t="shared" si="331"/>
        <v>0</v>
      </c>
      <c r="D4214" s="22" t="e">
        <f>VLOOKUP($A4214, TAB_JUROS_U[[Q_DIAS_U_PARC_TIR]:[V_FUT_U_JURS CENARIO]], D$5, FALSE)</f>
        <v>#N/A</v>
      </c>
      <c r="E4214" s="22" t="e">
        <f>VLOOKUP($A4214,TAB_CORRECAO_U[[Q_DIAS_U_PARC_TIR]:[V_FUT_U_CORC-02]],E$5, FALSE)</f>
        <v>#N/A</v>
      </c>
      <c r="F4214" s="22" t="e">
        <f>VLOOKUP($A4214,TAB_AMORTIZACAO_U[[Q_DIAS_U_PARC_TIR]:[V_FUT_U_PCPL-02]], F$5, FALSE)</f>
        <v>#N/A</v>
      </c>
      <c r="H4214" s="20">
        <f t="shared" si="332"/>
        <v>0</v>
      </c>
      <c r="I4214" s="21">
        <f t="shared" si="333"/>
        <v>0</v>
      </c>
      <c r="J4214" s="22" t="e">
        <f>VLOOKUP($A4214, TAB_JUROS_C[[DIAS_CORRIDOS]:[V_FUT_UTEIS]], J$5, FALSE)</f>
        <v>#N/A</v>
      </c>
      <c r="K4214" s="22" t="e">
        <f>VLOOKUP($A4214, TAB_CORRECAO_C[[DIAS_CORRIDOS]:[V_FUT_UTEIS]],K$5, FALSE)</f>
        <v>#N/A</v>
      </c>
      <c r="L4214" s="22" t="e">
        <f>VLOOKUP($A4214, TAB_AMORTIZACAO_C[[DIAS_CORRIDOS]:[V_FUT_UTEIS]], L$5, FALSE)</f>
        <v>#N/A</v>
      </c>
    </row>
    <row r="4215" spans="1:12" hidden="1">
      <c r="A4215" s="19">
        <f t="shared" si="334"/>
        <v>4209</v>
      </c>
      <c r="B4215" s="20">
        <f t="shared" si="330"/>
        <v>0</v>
      </c>
      <c r="C4215" s="21">
        <f t="shared" si="331"/>
        <v>0</v>
      </c>
      <c r="D4215" s="22" t="e">
        <f>VLOOKUP($A4215, TAB_JUROS_U[[Q_DIAS_U_PARC_TIR]:[V_FUT_U_JURS CENARIO]], D$5, FALSE)</f>
        <v>#N/A</v>
      </c>
      <c r="E4215" s="22" t="e">
        <f>VLOOKUP($A4215,TAB_CORRECAO_U[[Q_DIAS_U_PARC_TIR]:[V_FUT_U_CORC-02]],E$5, FALSE)</f>
        <v>#N/A</v>
      </c>
      <c r="F4215" s="22" t="e">
        <f>VLOOKUP($A4215,TAB_AMORTIZACAO_U[[Q_DIAS_U_PARC_TIR]:[V_FUT_U_PCPL-02]], F$5, FALSE)</f>
        <v>#N/A</v>
      </c>
      <c r="H4215" s="20">
        <f t="shared" si="332"/>
        <v>0</v>
      </c>
      <c r="I4215" s="21">
        <f t="shared" si="333"/>
        <v>0</v>
      </c>
      <c r="J4215" s="22" t="e">
        <f>VLOOKUP($A4215, TAB_JUROS_C[[DIAS_CORRIDOS]:[V_FUT_UTEIS]], J$5, FALSE)</f>
        <v>#N/A</v>
      </c>
      <c r="K4215" s="22" t="e">
        <f>VLOOKUP($A4215, TAB_CORRECAO_C[[DIAS_CORRIDOS]:[V_FUT_UTEIS]],K$5, FALSE)</f>
        <v>#N/A</v>
      </c>
      <c r="L4215" s="22" t="e">
        <f>VLOOKUP($A4215, TAB_AMORTIZACAO_C[[DIAS_CORRIDOS]:[V_FUT_UTEIS]], L$5, FALSE)</f>
        <v>#N/A</v>
      </c>
    </row>
    <row r="4216" spans="1:12" hidden="1">
      <c r="A4216" s="19">
        <f t="shared" si="334"/>
        <v>4210</v>
      </c>
      <c r="B4216" s="20">
        <f t="shared" si="330"/>
        <v>0</v>
      </c>
      <c r="C4216" s="21">
        <f t="shared" si="331"/>
        <v>0</v>
      </c>
      <c r="D4216" s="22" t="e">
        <f>VLOOKUP($A4216, TAB_JUROS_U[[Q_DIAS_U_PARC_TIR]:[V_FUT_U_JURS CENARIO]], D$5, FALSE)</f>
        <v>#N/A</v>
      </c>
      <c r="E4216" s="22" t="e">
        <f>VLOOKUP($A4216,TAB_CORRECAO_U[[Q_DIAS_U_PARC_TIR]:[V_FUT_U_CORC-02]],E$5, FALSE)</f>
        <v>#N/A</v>
      </c>
      <c r="F4216" s="22" t="e">
        <f>VLOOKUP($A4216,TAB_AMORTIZACAO_U[[Q_DIAS_U_PARC_TIR]:[V_FUT_U_PCPL-02]], F$5, FALSE)</f>
        <v>#N/A</v>
      </c>
      <c r="H4216" s="20">
        <f t="shared" si="332"/>
        <v>98.286809554047039</v>
      </c>
      <c r="I4216" s="21">
        <f t="shared" si="333"/>
        <v>98.286809554047039</v>
      </c>
      <c r="J4216" s="22">
        <f>VLOOKUP($A4216, TAB_JUROS_C[[DIAS_CORRIDOS]:[V_FUT_UTEIS]], J$5, FALSE)</f>
        <v>1.1521071924533073</v>
      </c>
      <c r="K4216" s="22">
        <f>VLOOKUP($A4216, TAB_CORRECAO_C[[DIAS_CORRIDOS]:[V_FUT_UTEIS]],K$5, FALSE)</f>
        <v>7.0430857770456381</v>
      </c>
      <c r="L4216" s="22">
        <f>VLOOKUP($A4216, TAB_AMORTIZACAO_C[[DIAS_CORRIDOS]:[V_FUT_UTEIS]], L$5, FALSE)</f>
        <v>90.091616584548092</v>
      </c>
    </row>
    <row r="4217" spans="1:12" hidden="1">
      <c r="A4217" s="19">
        <f t="shared" si="334"/>
        <v>4211</v>
      </c>
      <c r="B4217" s="20">
        <f t="shared" si="330"/>
        <v>0</v>
      </c>
      <c r="C4217" s="21">
        <f t="shared" si="331"/>
        <v>0</v>
      </c>
      <c r="D4217" s="22" t="e">
        <f>VLOOKUP($A4217, TAB_JUROS_U[[Q_DIAS_U_PARC_TIR]:[V_FUT_U_JURS CENARIO]], D$5, FALSE)</f>
        <v>#N/A</v>
      </c>
      <c r="E4217" s="22" t="e">
        <f>VLOOKUP($A4217,TAB_CORRECAO_U[[Q_DIAS_U_PARC_TIR]:[V_FUT_U_CORC-02]],E$5, FALSE)</f>
        <v>#N/A</v>
      </c>
      <c r="F4217" s="22" t="e">
        <f>VLOOKUP($A4217,TAB_AMORTIZACAO_U[[Q_DIAS_U_PARC_TIR]:[V_FUT_U_PCPL-02]], F$5, FALSE)</f>
        <v>#N/A</v>
      </c>
      <c r="H4217" s="20">
        <f t="shared" si="332"/>
        <v>0</v>
      </c>
      <c r="I4217" s="21">
        <f t="shared" si="333"/>
        <v>0</v>
      </c>
      <c r="J4217" s="22" t="e">
        <f>VLOOKUP($A4217, TAB_JUROS_C[[DIAS_CORRIDOS]:[V_FUT_UTEIS]], J$5, FALSE)</f>
        <v>#N/A</v>
      </c>
      <c r="K4217" s="22" t="e">
        <f>VLOOKUP($A4217, TAB_CORRECAO_C[[DIAS_CORRIDOS]:[V_FUT_UTEIS]],K$5, FALSE)</f>
        <v>#N/A</v>
      </c>
      <c r="L4217" s="22" t="e">
        <f>VLOOKUP($A4217, TAB_AMORTIZACAO_C[[DIAS_CORRIDOS]:[V_FUT_UTEIS]], L$5, FALSE)</f>
        <v>#N/A</v>
      </c>
    </row>
    <row r="4218" spans="1:12" hidden="1">
      <c r="A4218" s="19">
        <f t="shared" si="334"/>
        <v>4212</v>
      </c>
      <c r="B4218" s="20">
        <f t="shared" si="330"/>
        <v>0</v>
      </c>
      <c r="C4218" s="21">
        <f t="shared" si="331"/>
        <v>0</v>
      </c>
      <c r="D4218" s="22" t="e">
        <f>VLOOKUP($A4218, TAB_JUROS_U[[Q_DIAS_U_PARC_TIR]:[V_FUT_U_JURS CENARIO]], D$5, FALSE)</f>
        <v>#N/A</v>
      </c>
      <c r="E4218" s="22" t="e">
        <f>VLOOKUP($A4218,TAB_CORRECAO_U[[Q_DIAS_U_PARC_TIR]:[V_FUT_U_CORC-02]],E$5, FALSE)</f>
        <v>#N/A</v>
      </c>
      <c r="F4218" s="22" t="e">
        <f>VLOOKUP($A4218,TAB_AMORTIZACAO_U[[Q_DIAS_U_PARC_TIR]:[V_FUT_U_PCPL-02]], F$5, FALSE)</f>
        <v>#N/A</v>
      </c>
      <c r="H4218" s="20">
        <f t="shared" si="332"/>
        <v>0</v>
      </c>
      <c r="I4218" s="21">
        <f t="shared" si="333"/>
        <v>0</v>
      </c>
      <c r="J4218" s="22" t="e">
        <f>VLOOKUP($A4218, TAB_JUROS_C[[DIAS_CORRIDOS]:[V_FUT_UTEIS]], J$5, FALSE)</f>
        <v>#N/A</v>
      </c>
      <c r="K4218" s="22" t="e">
        <f>VLOOKUP($A4218, TAB_CORRECAO_C[[DIAS_CORRIDOS]:[V_FUT_UTEIS]],K$5, FALSE)</f>
        <v>#N/A</v>
      </c>
      <c r="L4218" s="22" t="e">
        <f>VLOOKUP($A4218, TAB_AMORTIZACAO_C[[DIAS_CORRIDOS]:[V_FUT_UTEIS]], L$5, FALSE)</f>
        <v>#N/A</v>
      </c>
    </row>
    <row r="4219" spans="1:12" hidden="1">
      <c r="A4219" s="19">
        <f t="shared" si="334"/>
        <v>4213</v>
      </c>
      <c r="B4219" s="20">
        <f t="shared" si="330"/>
        <v>0</v>
      </c>
      <c r="C4219" s="21">
        <f t="shared" si="331"/>
        <v>0</v>
      </c>
      <c r="D4219" s="22" t="e">
        <f>VLOOKUP($A4219, TAB_JUROS_U[[Q_DIAS_U_PARC_TIR]:[V_FUT_U_JURS CENARIO]], D$5, FALSE)</f>
        <v>#N/A</v>
      </c>
      <c r="E4219" s="22" t="e">
        <f>VLOOKUP($A4219,TAB_CORRECAO_U[[Q_DIAS_U_PARC_TIR]:[V_FUT_U_CORC-02]],E$5, FALSE)</f>
        <v>#N/A</v>
      </c>
      <c r="F4219" s="22" t="e">
        <f>VLOOKUP($A4219,TAB_AMORTIZACAO_U[[Q_DIAS_U_PARC_TIR]:[V_FUT_U_PCPL-02]], F$5, FALSE)</f>
        <v>#N/A</v>
      </c>
      <c r="H4219" s="20">
        <f t="shared" si="332"/>
        <v>0</v>
      </c>
      <c r="I4219" s="21">
        <f t="shared" si="333"/>
        <v>0</v>
      </c>
      <c r="J4219" s="22" t="e">
        <f>VLOOKUP($A4219, TAB_JUROS_C[[DIAS_CORRIDOS]:[V_FUT_UTEIS]], J$5, FALSE)</f>
        <v>#N/A</v>
      </c>
      <c r="K4219" s="22" t="e">
        <f>VLOOKUP($A4219, TAB_CORRECAO_C[[DIAS_CORRIDOS]:[V_FUT_UTEIS]],K$5, FALSE)</f>
        <v>#N/A</v>
      </c>
      <c r="L4219" s="22" t="e">
        <f>VLOOKUP($A4219, TAB_AMORTIZACAO_C[[DIAS_CORRIDOS]:[V_FUT_UTEIS]], L$5, FALSE)</f>
        <v>#N/A</v>
      </c>
    </row>
    <row r="4220" spans="1:12" hidden="1">
      <c r="A4220" s="19">
        <f t="shared" si="334"/>
        <v>4214</v>
      </c>
      <c r="B4220" s="20">
        <f t="shared" si="330"/>
        <v>0</v>
      </c>
      <c r="C4220" s="21">
        <f t="shared" si="331"/>
        <v>0</v>
      </c>
      <c r="D4220" s="22" t="e">
        <f>VLOOKUP($A4220, TAB_JUROS_U[[Q_DIAS_U_PARC_TIR]:[V_FUT_U_JURS CENARIO]], D$5, FALSE)</f>
        <v>#N/A</v>
      </c>
      <c r="E4220" s="22" t="e">
        <f>VLOOKUP($A4220,TAB_CORRECAO_U[[Q_DIAS_U_PARC_TIR]:[V_FUT_U_CORC-02]],E$5, FALSE)</f>
        <v>#N/A</v>
      </c>
      <c r="F4220" s="22" t="e">
        <f>VLOOKUP($A4220,TAB_AMORTIZACAO_U[[Q_DIAS_U_PARC_TIR]:[V_FUT_U_PCPL-02]], F$5, FALSE)</f>
        <v>#N/A</v>
      </c>
      <c r="H4220" s="20">
        <f t="shared" si="332"/>
        <v>0</v>
      </c>
      <c r="I4220" s="21">
        <f t="shared" si="333"/>
        <v>0</v>
      </c>
      <c r="J4220" s="22" t="e">
        <f>VLOOKUP($A4220, TAB_JUROS_C[[DIAS_CORRIDOS]:[V_FUT_UTEIS]], J$5, FALSE)</f>
        <v>#N/A</v>
      </c>
      <c r="K4220" s="22" t="e">
        <f>VLOOKUP($A4220, TAB_CORRECAO_C[[DIAS_CORRIDOS]:[V_FUT_UTEIS]],K$5, FALSE)</f>
        <v>#N/A</v>
      </c>
      <c r="L4220" s="22" t="e">
        <f>VLOOKUP($A4220, TAB_AMORTIZACAO_C[[DIAS_CORRIDOS]:[V_FUT_UTEIS]], L$5, FALSE)</f>
        <v>#N/A</v>
      </c>
    </row>
    <row r="4221" spans="1:12" hidden="1">
      <c r="A4221" s="19">
        <f t="shared" si="334"/>
        <v>4215</v>
      </c>
      <c r="B4221" s="20">
        <f t="shared" si="330"/>
        <v>0</v>
      </c>
      <c r="C4221" s="21">
        <f t="shared" si="331"/>
        <v>0</v>
      </c>
      <c r="D4221" s="22" t="e">
        <f>VLOOKUP($A4221, TAB_JUROS_U[[Q_DIAS_U_PARC_TIR]:[V_FUT_U_JURS CENARIO]], D$5, FALSE)</f>
        <v>#N/A</v>
      </c>
      <c r="E4221" s="22" t="e">
        <f>VLOOKUP($A4221,TAB_CORRECAO_U[[Q_DIAS_U_PARC_TIR]:[V_FUT_U_CORC-02]],E$5, FALSE)</f>
        <v>#N/A</v>
      </c>
      <c r="F4221" s="22" t="e">
        <f>VLOOKUP($A4221,TAB_AMORTIZACAO_U[[Q_DIAS_U_PARC_TIR]:[V_FUT_U_PCPL-02]], F$5, FALSE)</f>
        <v>#N/A</v>
      </c>
      <c r="H4221" s="20">
        <f t="shared" si="332"/>
        <v>0</v>
      </c>
      <c r="I4221" s="21">
        <f t="shared" si="333"/>
        <v>0</v>
      </c>
      <c r="J4221" s="22" t="e">
        <f>VLOOKUP($A4221, TAB_JUROS_C[[DIAS_CORRIDOS]:[V_FUT_UTEIS]], J$5, FALSE)</f>
        <v>#N/A</v>
      </c>
      <c r="K4221" s="22" t="e">
        <f>VLOOKUP($A4221, TAB_CORRECAO_C[[DIAS_CORRIDOS]:[V_FUT_UTEIS]],K$5, FALSE)</f>
        <v>#N/A</v>
      </c>
      <c r="L4221" s="22" t="e">
        <f>VLOOKUP($A4221, TAB_AMORTIZACAO_C[[DIAS_CORRIDOS]:[V_FUT_UTEIS]], L$5, FALSE)</f>
        <v>#N/A</v>
      </c>
    </row>
    <row r="4222" spans="1:12" hidden="1">
      <c r="A4222" s="19">
        <f t="shared" si="334"/>
        <v>4216</v>
      </c>
      <c r="B4222" s="20">
        <f t="shared" si="330"/>
        <v>0</v>
      </c>
      <c r="C4222" s="21">
        <f t="shared" si="331"/>
        <v>0</v>
      </c>
      <c r="D4222" s="22" t="e">
        <f>VLOOKUP($A4222, TAB_JUROS_U[[Q_DIAS_U_PARC_TIR]:[V_FUT_U_JURS CENARIO]], D$5, FALSE)</f>
        <v>#N/A</v>
      </c>
      <c r="E4222" s="22" t="e">
        <f>VLOOKUP($A4222,TAB_CORRECAO_U[[Q_DIAS_U_PARC_TIR]:[V_FUT_U_CORC-02]],E$5, FALSE)</f>
        <v>#N/A</v>
      </c>
      <c r="F4222" s="22" t="e">
        <f>VLOOKUP($A4222,TAB_AMORTIZACAO_U[[Q_DIAS_U_PARC_TIR]:[V_FUT_U_PCPL-02]], F$5, FALSE)</f>
        <v>#N/A</v>
      </c>
      <c r="H4222" s="20">
        <f t="shared" si="332"/>
        <v>0</v>
      </c>
      <c r="I4222" s="21">
        <f t="shared" si="333"/>
        <v>0</v>
      </c>
      <c r="J4222" s="22" t="e">
        <f>VLOOKUP($A4222, TAB_JUROS_C[[DIAS_CORRIDOS]:[V_FUT_UTEIS]], J$5, FALSE)</f>
        <v>#N/A</v>
      </c>
      <c r="K4222" s="22" t="e">
        <f>VLOOKUP($A4222, TAB_CORRECAO_C[[DIAS_CORRIDOS]:[V_FUT_UTEIS]],K$5, FALSE)</f>
        <v>#N/A</v>
      </c>
      <c r="L4222" s="22" t="e">
        <f>VLOOKUP($A4222, TAB_AMORTIZACAO_C[[DIAS_CORRIDOS]:[V_FUT_UTEIS]], L$5, FALSE)</f>
        <v>#N/A</v>
      </c>
    </row>
    <row r="4223" spans="1:12" hidden="1">
      <c r="A4223" s="19">
        <f t="shared" si="334"/>
        <v>4217</v>
      </c>
      <c r="B4223" s="20">
        <f t="shared" si="330"/>
        <v>0</v>
      </c>
      <c r="C4223" s="21">
        <f t="shared" si="331"/>
        <v>0</v>
      </c>
      <c r="D4223" s="22" t="e">
        <f>VLOOKUP($A4223, TAB_JUROS_U[[Q_DIAS_U_PARC_TIR]:[V_FUT_U_JURS CENARIO]], D$5, FALSE)</f>
        <v>#N/A</v>
      </c>
      <c r="E4223" s="22" t="e">
        <f>VLOOKUP($A4223,TAB_CORRECAO_U[[Q_DIAS_U_PARC_TIR]:[V_FUT_U_CORC-02]],E$5, FALSE)</f>
        <v>#N/A</v>
      </c>
      <c r="F4223" s="22" t="e">
        <f>VLOOKUP($A4223,TAB_AMORTIZACAO_U[[Q_DIAS_U_PARC_TIR]:[V_FUT_U_PCPL-02]], F$5, FALSE)</f>
        <v>#N/A</v>
      </c>
      <c r="H4223" s="20">
        <f t="shared" si="332"/>
        <v>0</v>
      </c>
      <c r="I4223" s="21">
        <f t="shared" si="333"/>
        <v>0</v>
      </c>
      <c r="J4223" s="22" t="e">
        <f>VLOOKUP($A4223, TAB_JUROS_C[[DIAS_CORRIDOS]:[V_FUT_UTEIS]], J$5, FALSE)</f>
        <v>#N/A</v>
      </c>
      <c r="K4223" s="22" t="e">
        <f>VLOOKUP($A4223, TAB_CORRECAO_C[[DIAS_CORRIDOS]:[V_FUT_UTEIS]],K$5, FALSE)</f>
        <v>#N/A</v>
      </c>
      <c r="L4223" s="22" t="e">
        <f>VLOOKUP($A4223, TAB_AMORTIZACAO_C[[DIAS_CORRIDOS]:[V_FUT_UTEIS]], L$5, FALSE)</f>
        <v>#N/A</v>
      </c>
    </row>
    <row r="4224" spans="1:12" hidden="1">
      <c r="A4224" s="19">
        <f t="shared" si="334"/>
        <v>4218</v>
      </c>
      <c r="B4224" s="20">
        <f t="shared" si="330"/>
        <v>0</v>
      </c>
      <c r="C4224" s="21">
        <f t="shared" si="331"/>
        <v>0</v>
      </c>
      <c r="D4224" s="22" t="e">
        <f>VLOOKUP($A4224, TAB_JUROS_U[[Q_DIAS_U_PARC_TIR]:[V_FUT_U_JURS CENARIO]], D$5, FALSE)</f>
        <v>#N/A</v>
      </c>
      <c r="E4224" s="22" t="e">
        <f>VLOOKUP($A4224,TAB_CORRECAO_U[[Q_DIAS_U_PARC_TIR]:[V_FUT_U_CORC-02]],E$5, FALSE)</f>
        <v>#N/A</v>
      </c>
      <c r="F4224" s="22" t="e">
        <f>VLOOKUP($A4224,TAB_AMORTIZACAO_U[[Q_DIAS_U_PARC_TIR]:[V_FUT_U_PCPL-02]], F$5, FALSE)</f>
        <v>#N/A</v>
      </c>
      <c r="H4224" s="20">
        <f t="shared" si="332"/>
        <v>0</v>
      </c>
      <c r="I4224" s="21">
        <f t="shared" si="333"/>
        <v>0</v>
      </c>
      <c r="J4224" s="22" t="e">
        <f>VLOOKUP($A4224, TAB_JUROS_C[[DIAS_CORRIDOS]:[V_FUT_UTEIS]], J$5, FALSE)</f>
        <v>#N/A</v>
      </c>
      <c r="K4224" s="22" t="e">
        <f>VLOOKUP($A4224, TAB_CORRECAO_C[[DIAS_CORRIDOS]:[V_FUT_UTEIS]],K$5, FALSE)</f>
        <v>#N/A</v>
      </c>
      <c r="L4224" s="22" t="e">
        <f>VLOOKUP($A4224, TAB_AMORTIZACAO_C[[DIAS_CORRIDOS]:[V_FUT_UTEIS]], L$5, FALSE)</f>
        <v>#N/A</v>
      </c>
    </row>
    <row r="4225" spans="1:12" hidden="1">
      <c r="A4225" s="19">
        <f t="shared" si="334"/>
        <v>4219</v>
      </c>
      <c r="B4225" s="20">
        <f t="shared" si="330"/>
        <v>0</v>
      </c>
      <c r="C4225" s="21">
        <f t="shared" si="331"/>
        <v>0</v>
      </c>
      <c r="D4225" s="22" t="e">
        <f>VLOOKUP($A4225, TAB_JUROS_U[[Q_DIAS_U_PARC_TIR]:[V_FUT_U_JURS CENARIO]], D$5, FALSE)</f>
        <v>#N/A</v>
      </c>
      <c r="E4225" s="22" t="e">
        <f>VLOOKUP($A4225,TAB_CORRECAO_U[[Q_DIAS_U_PARC_TIR]:[V_FUT_U_CORC-02]],E$5, FALSE)</f>
        <v>#N/A</v>
      </c>
      <c r="F4225" s="22" t="e">
        <f>VLOOKUP($A4225,TAB_AMORTIZACAO_U[[Q_DIAS_U_PARC_TIR]:[V_FUT_U_PCPL-02]], F$5, FALSE)</f>
        <v>#N/A</v>
      </c>
      <c r="H4225" s="20">
        <f t="shared" si="332"/>
        <v>0</v>
      </c>
      <c r="I4225" s="21">
        <f t="shared" si="333"/>
        <v>0</v>
      </c>
      <c r="J4225" s="22" t="e">
        <f>VLOOKUP($A4225, TAB_JUROS_C[[DIAS_CORRIDOS]:[V_FUT_UTEIS]], J$5, FALSE)</f>
        <v>#N/A</v>
      </c>
      <c r="K4225" s="22" t="e">
        <f>VLOOKUP($A4225, TAB_CORRECAO_C[[DIAS_CORRIDOS]:[V_FUT_UTEIS]],K$5, FALSE)</f>
        <v>#N/A</v>
      </c>
      <c r="L4225" s="22" t="e">
        <f>VLOOKUP($A4225, TAB_AMORTIZACAO_C[[DIAS_CORRIDOS]:[V_FUT_UTEIS]], L$5, FALSE)</f>
        <v>#N/A</v>
      </c>
    </row>
    <row r="4226" spans="1:12" hidden="1">
      <c r="A4226" s="19">
        <f t="shared" si="334"/>
        <v>4220</v>
      </c>
      <c r="B4226" s="20">
        <f t="shared" si="330"/>
        <v>0</v>
      </c>
      <c r="C4226" s="21">
        <f t="shared" si="331"/>
        <v>0</v>
      </c>
      <c r="D4226" s="22" t="e">
        <f>VLOOKUP($A4226, TAB_JUROS_U[[Q_DIAS_U_PARC_TIR]:[V_FUT_U_JURS CENARIO]], D$5, FALSE)</f>
        <v>#N/A</v>
      </c>
      <c r="E4226" s="22" t="e">
        <f>VLOOKUP($A4226,TAB_CORRECAO_U[[Q_DIAS_U_PARC_TIR]:[V_FUT_U_CORC-02]],E$5, FALSE)</f>
        <v>#N/A</v>
      </c>
      <c r="F4226" s="22" t="e">
        <f>VLOOKUP($A4226,TAB_AMORTIZACAO_U[[Q_DIAS_U_PARC_TIR]:[V_FUT_U_PCPL-02]], F$5, FALSE)</f>
        <v>#N/A</v>
      </c>
      <c r="H4226" s="20">
        <f t="shared" si="332"/>
        <v>0</v>
      </c>
      <c r="I4226" s="21">
        <f t="shared" si="333"/>
        <v>0</v>
      </c>
      <c r="J4226" s="22" t="e">
        <f>VLOOKUP($A4226, TAB_JUROS_C[[DIAS_CORRIDOS]:[V_FUT_UTEIS]], J$5, FALSE)</f>
        <v>#N/A</v>
      </c>
      <c r="K4226" s="22" t="e">
        <f>VLOOKUP($A4226, TAB_CORRECAO_C[[DIAS_CORRIDOS]:[V_FUT_UTEIS]],K$5, FALSE)</f>
        <v>#N/A</v>
      </c>
      <c r="L4226" s="22" t="e">
        <f>VLOOKUP($A4226, TAB_AMORTIZACAO_C[[DIAS_CORRIDOS]:[V_FUT_UTEIS]], L$5, FALSE)</f>
        <v>#N/A</v>
      </c>
    </row>
    <row r="4227" spans="1:12" hidden="1">
      <c r="A4227" s="19">
        <f t="shared" si="334"/>
        <v>4221</v>
      </c>
      <c r="B4227" s="20">
        <f t="shared" si="330"/>
        <v>0</v>
      </c>
      <c r="C4227" s="21">
        <f t="shared" si="331"/>
        <v>0</v>
      </c>
      <c r="D4227" s="22" t="e">
        <f>VLOOKUP($A4227, TAB_JUROS_U[[Q_DIAS_U_PARC_TIR]:[V_FUT_U_JURS CENARIO]], D$5, FALSE)</f>
        <v>#N/A</v>
      </c>
      <c r="E4227" s="22" t="e">
        <f>VLOOKUP($A4227,TAB_CORRECAO_U[[Q_DIAS_U_PARC_TIR]:[V_FUT_U_CORC-02]],E$5, FALSE)</f>
        <v>#N/A</v>
      </c>
      <c r="F4227" s="22" t="e">
        <f>VLOOKUP($A4227,TAB_AMORTIZACAO_U[[Q_DIAS_U_PARC_TIR]:[V_FUT_U_PCPL-02]], F$5, FALSE)</f>
        <v>#N/A</v>
      </c>
      <c r="H4227" s="20">
        <f t="shared" si="332"/>
        <v>0</v>
      </c>
      <c r="I4227" s="21">
        <f t="shared" si="333"/>
        <v>0</v>
      </c>
      <c r="J4227" s="22" t="e">
        <f>VLOOKUP($A4227, TAB_JUROS_C[[DIAS_CORRIDOS]:[V_FUT_UTEIS]], J$5, FALSE)</f>
        <v>#N/A</v>
      </c>
      <c r="K4227" s="22" t="e">
        <f>VLOOKUP($A4227, TAB_CORRECAO_C[[DIAS_CORRIDOS]:[V_FUT_UTEIS]],K$5, FALSE)</f>
        <v>#N/A</v>
      </c>
      <c r="L4227" s="22" t="e">
        <f>VLOOKUP($A4227, TAB_AMORTIZACAO_C[[DIAS_CORRIDOS]:[V_FUT_UTEIS]], L$5, FALSE)</f>
        <v>#N/A</v>
      </c>
    </row>
    <row r="4228" spans="1:12" hidden="1">
      <c r="A4228" s="19">
        <f t="shared" si="334"/>
        <v>4222</v>
      </c>
      <c r="B4228" s="20">
        <f t="shared" si="330"/>
        <v>0</v>
      </c>
      <c r="C4228" s="21">
        <f t="shared" si="331"/>
        <v>0</v>
      </c>
      <c r="D4228" s="22" t="e">
        <f>VLOOKUP($A4228, TAB_JUROS_U[[Q_DIAS_U_PARC_TIR]:[V_FUT_U_JURS CENARIO]], D$5, FALSE)</f>
        <v>#N/A</v>
      </c>
      <c r="E4228" s="22" t="e">
        <f>VLOOKUP($A4228,TAB_CORRECAO_U[[Q_DIAS_U_PARC_TIR]:[V_FUT_U_CORC-02]],E$5, FALSE)</f>
        <v>#N/A</v>
      </c>
      <c r="F4228" s="22" t="e">
        <f>VLOOKUP($A4228,TAB_AMORTIZACAO_U[[Q_DIAS_U_PARC_TIR]:[V_FUT_U_PCPL-02]], F$5, FALSE)</f>
        <v>#N/A</v>
      </c>
      <c r="H4228" s="20">
        <f t="shared" si="332"/>
        <v>0</v>
      </c>
      <c r="I4228" s="21">
        <f t="shared" si="333"/>
        <v>0</v>
      </c>
      <c r="J4228" s="22" t="e">
        <f>VLOOKUP($A4228, TAB_JUROS_C[[DIAS_CORRIDOS]:[V_FUT_UTEIS]], J$5, FALSE)</f>
        <v>#N/A</v>
      </c>
      <c r="K4228" s="22" t="e">
        <f>VLOOKUP($A4228, TAB_CORRECAO_C[[DIAS_CORRIDOS]:[V_FUT_UTEIS]],K$5, FALSE)</f>
        <v>#N/A</v>
      </c>
      <c r="L4228" s="22" t="e">
        <f>VLOOKUP($A4228, TAB_AMORTIZACAO_C[[DIAS_CORRIDOS]:[V_FUT_UTEIS]], L$5, FALSE)</f>
        <v>#N/A</v>
      </c>
    </row>
    <row r="4229" spans="1:12" hidden="1">
      <c r="A4229" s="19">
        <f t="shared" si="334"/>
        <v>4223</v>
      </c>
      <c r="B4229" s="20">
        <f t="shared" si="330"/>
        <v>0</v>
      </c>
      <c r="C4229" s="21">
        <f t="shared" si="331"/>
        <v>0</v>
      </c>
      <c r="D4229" s="22" t="e">
        <f>VLOOKUP($A4229, TAB_JUROS_U[[Q_DIAS_U_PARC_TIR]:[V_FUT_U_JURS CENARIO]], D$5, FALSE)</f>
        <v>#N/A</v>
      </c>
      <c r="E4229" s="22" t="e">
        <f>VLOOKUP($A4229,TAB_CORRECAO_U[[Q_DIAS_U_PARC_TIR]:[V_FUT_U_CORC-02]],E$5, FALSE)</f>
        <v>#N/A</v>
      </c>
      <c r="F4229" s="22" t="e">
        <f>VLOOKUP($A4229,TAB_AMORTIZACAO_U[[Q_DIAS_U_PARC_TIR]:[V_FUT_U_PCPL-02]], F$5, FALSE)</f>
        <v>#N/A</v>
      </c>
      <c r="H4229" s="20">
        <f t="shared" si="332"/>
        <v>0</v>
      </c>
      <c r="I4229" s="21">
        <f t="shared" si="333"/>
        <v>0</v>
      </c>
      <c r="J4229" s="22" t="e">
        <f>VLOOKUP($A4229, TAB_JUROS_C[[DIAS_CORRIDOS]:[V_FUT_UTEIS]], J$5, FALSE)</f>
        <v>#N/A</v>
      </c>
      <c r="K4229" s="22" t="e">
        <f>VLOOKUP($A4229, TAB_CORRECAO_C[[DIAS_CORRIDOS]:[V_FUT_UTEIS]],K$5, FALSE)</f>
        <v>#N/A</v>
      </c>
      <c r="L4229" s="22" t="e">
        <f>VLOOKUP($A4229, TAB_AMORTIZACAO_C[[DIAS_CORRIDOS]:[V_FUT_UTEIS]], L$5, FALSE)</f>
        <v>#N/A</v>
      </c>
    </row>
    <row r="4230" spans="1:12" hidden="1">
      <c r="A4230" s="19">
        <f t="shared" si="334"/>
        <v>4224</v>
      </c>
      <c r="B4230" s="20">
        <f t="shared" si="330"/>
        <v>0</v>
      </c>
      <c r="C4230" s="21">
        <f t="shared" si="331"/>
        <v>0</v>
      </c>
      <c r="D4230" s="22" t="e">
        <f>VLOOKUP($A4230, TAB_JUROS_U[[Q_DIAS_U_PARC_TIR]:[V_FUT_U_JURS CENARIO]], D$5, FALSE)</f>
        <v>#N/A</v>
      </c>
      <c r="E4230" s="22" t="e">
        <f>VLOOKUP($A4230,TAB_CORRECAO_U[[Q_DIAS_U_PARC_TIR]:[V_FUT_U_CORC-02]],E$5, FALSE)</f>
        <v>#N/A</v>
      </c>
      <c r="F4230" s="22" t="e">
        <f>VLOOKUP($A4230,TAB_AMORTIZACAO_U[[Q_DIAS_U_PARC_TIR]:[V_FUT_U_PCPL-02]], F$5, FALSE)</f>
        <v>#N/A</v>
      </c>
      <c r="H4230" s="20">
        <f t="shared" si="332"/>
        <v>0</v>
      </c>
      <c r="I4230" s="21">
        <f t="shared" si="333"/>
        <v>0</v>
      </c>
      <c r="J4230" s="22" t="e">
        <f>VLOOKUP($A4230, TAB_JUROS_C[[DIAS_CORRIDOS]:[V_FUT_UTEIS]], J$5, FALSE)</f>
        <v>#N/A</v>
      </c>
      <c r="K4230" s="22" t="e">
        <f>VLOOKUP($A4230, TAB_CORRECAO_C[[DIAS_CORRIDOS]:[V_FUT_UTEIS]],K$5, FALSE)</f>
        <v>#N/A</v>
      </c>
      <c r="L4230" s="22" t="e">
        <f>VLOOKUP($A4230, TAB_AMORTIZACAO_C[[DIAS_CORRIDOS]:[V_FUT_UTEIS]], L$5, FALSE)</f>
        <v>#N/A</v>
      </c>
    </row>
    <row r="4231" spans="1:12" hidden="1">
      <c r="A4231" s="19">
        <f t="shared" si="334"/>
        <v>4225</v>
      </c>
      <c r="B4231" s="20">
        <f t="shared" si="330"/>
        <v>0</v>
      </c>
      <c r="C4231" s="21">
        <f t="shared" si="331"/>
        <v>0</v>
      </c>
      <c r="D4231" s="22" t="e">
        <f>VLOOKUP($A4231, TAB_JUROS_U[[Q_DIAS_U_PARC_TIR]:[V_FUT_U_JURS CENARIO]], D$5, FALSE)</f>
        <v>#N/A</v>
      </c>
      <c r="E4231" s="22" t="e">
        <f>VLOOKUP($A4231,TAB_CORRECAO_U[[Q_DIAS_U_PARC_TIR]:[V_FUT_U_CORC-02]],E$5, FALSE)</f>
        <v>#N/A</v>
      </c>
      <c r="F4231" s="22" t="e">
        <f>VLOOKUP($A4231,TAB_AMORTIZACAO_U[[Q_DIAS_U_PARC_TIR]:[V_FUT_U_PCPL-02]], F$5, FALSE)</f>
        <v>#N/A</v>
      </c>
      <c r="H4231" s="20">
        <f t="shared" si="332"/>
        <v>0</v>
      </c>
      <c r="I4231" s="21">
        <f t="shared" si="333"/>
        <v>0</v>
      </c>
      <c r="J4231" s="22" t="e">
        <f>VLOOKUP($A4231, TAB_JUROS_C[[DIAS_CORRIDOS]:[V_FUT_UTEIS]], J$5, FALSE)</f>
        <v>#N/A</v>
      </c>
      <c r="K4231" s="22" t="e">
        <f>VLOOKUP($A4231, TAB_CORRECAO_C[[DIAS_CORRIDOS]:[V_FUT_UTEIS]],K$5, FALSE)</f>
        <v>#N/A</v>
      </c>
      <c r="L4231" s="22" t="e">
        <f>VLOOKUP($A4231, TAB_AMORTIZACAO_C[[DIAS_CORRIDOS]:[V_FUT_UTEIS]], L$5, FALSE)</f>
        <v>#N/A</v>
      </c>
    </row>
    <row r="4232" spans="1:12" hidden="1">
      <c r="A4232" s="19">
        <f t="shared" si="334"/>
        <v>4226</v>
      </c>
      <c r="B4232" s="20">
        <f t="shared" si="330"/>
        <v>0</v>
      </c>
      <c r="C4232" s="21">
        <f t="shared" si="331"/>
        <v>0</v>
      </c>
      <c r="D4232" s="22" t="e">
        <f>VLOOKUP($A4232, TAB_JUROS_U[[Q_DIAS_U_PARC_TIR]:[V_FUT_U_JURS CENARIO]], D$5, FALSE)</f>
        <v>#N/A</v>
      </c>
      <c r="E4232" s="22" t="e">
        <f>VLOOKUP($A4232,TAB_CORRECAO_U[[Q_DIAS_U_PARC_TIR]:[V_FUT_U_CORC-02]],E$5, FALSE)</f>
        <v>#N/A</v>
      </c>
      <c r="F4232" s="22" t="e">
        <f>VLOOKUP($A4232,TAB_AMORTIZACAO_U[[Q_DIAS_U_PARC_TIR]:[V_FUT_U_PCPL-02]], F$5, FALSE)</f>
        <v>#N/A</v>
      </c>
      <c r="H4232" s="20">
        <f t="shared" si="332"/>
        <v>0</v>
      </c>
      <c r="I4232" s="21">
        <f t="shared" si="333"/>
        <v>0</v>
      </c>
      <c r="J4232" s="22" t="e">
        <f>VLOOKUP($A4232, TAB_JUROS_C[[DIAS_CORRIDOS]:[V_FUT_UTEIS]], J$5, FALSE)</f>
        <v>#N/A</v>
      </c>
      <c r="K4232" s="22" t="e">
        <f>VLOOKUP($A4232, TAB_CORRECAO_C[[DIAS_CORRIDOS]:[V_FUT_UTEIS]],K$5, FALSE)</f>
        <v>#N/A</v>
      </c>
      <c r="L4232" s="22" t="e">
        <f>VLOOKUP($A4232, TAB_AMORTIZACAO_C[[DIAS_CORRIDOS]:[V_FUT_UTEIS]], L$5, FALSE)</f>
        <v>#N/A</v>
      </c>
    </row>
    <row r="4233" spans="1:12" hidden="1">
      <c r="A4233" s="19">
        <f t="shared" si="334"/>
        <v>4227</v>
      </c>
      <c r="B4233" s="20">
        <f t="shared" ref="B4233:B4296" si="335">IF(ISERROR(C4233), 0, C4233)</f>
        <v>0</v>
      </c>
      <c r="C4233" s="21">
        <f t="shared" ref="C4233:C4296" si="336">SUMIF(D4233:F4233, "&gt;0", D4233:F4233)</f>
        <v>0</v>
      </c>
      <c r="D4233" s="22" t="e">
        <f>VLOOKUP($A4233, TAB_JUROS_U[[Q_DIAS_U_PARC_TIR]:[V_FUT_U_JURS CENARIO]], D$5, FALSE)</f>
        <v>#N/A</v>
      </c>
      <c r="E4233" s="22" t="e">
        <f>VLOOKUP($A4233,TAB_CORRECAO_U[[Q_DIAS_U_PARC_TIR]:[V_FUT_U_CORC-02]],E$5, FALSE)</f>
        <v>#N/A</v>
      </c>
      <c r="F4233" s="22" t="e">
        <f>VLOOKUP($A4233,TAB_AMORTIZACAO_U[[Q_DIAS_U_PARC_TIR]:[V_FUT_U_PCPL-02]], F$5, FALSE)</f>
        <v>#N/A</v>
      </c>
      <c r="H4233" s="20">
        <f t="shared" ref="H4233:H4296" si="337">IF(ISERROR(I4233), 0, I4233)</f>
        <v>0</v>
      </c>
      <c r="I4233" s="21">
        <f t="shared" ref="I4233:I4296" si="338">SUMIF(J4233:L4233, "&gt;0", J4233:L4233)</f>
        <v>0</v>
      </c>
      <c r="J4233" s="22" t="e">
        <f>VLOOKUP($A4233, TAB_JUROS_C[[DIAS_CORRIDOS]:[V_FUT_UTEIS]], J$5, FALSE)</f>
        <v>#N/A</v>
      </c>
      <c r="K4233" s="22" t="e">
        <f>VLOOKUP($A4233, TAB_CORRECAO_C[[DIAS_CORRIDOS]:[V_FUT_UTEIS]],K$5, FALSE)</f>
        <v>#N/A</v>
      </c>
      <c r="L4233" s="22" t="e">
        <f>VLOOKUP($A4233, TAB_AMORTIZACAO_C[[DIAS_CORRIDOS]:[V_FUT_UTEIS]], L$5, FALSE)</f>
        <v>#N/A</v>
      </c>
    </row>
    <row r="4234" spans="1:12" hidden="1">
      <c r="A4234" s="19">
        <f t="shared" ref="A4234:A4297" si="339">A4233+1</f>
        <v>4228</v>
      </c>
      <c r="B4234" s="20">
        <f t="shared" si="335"/>
        <v>0</v>
      </c>
      <c r="C4234" s="21">
        <f t="shared" si="336"/>
        <v>0</v>
      </c>
      <c r="D4234" s="22" t="e">
        <f>VLOOKUP($A4234, TAB_JUROS_U[[Q_DIAS_U_PARC_TIR]:[V_FUT_U_JURS CENARIO]], D$5, FALSE)</f>
        <v>#N/A</v>
      </c>
      <c r="E4234" s="22" t="e">
        <f>VLOOKUP($A4234,TAB_CORRECAO_U[[Q_DIAS_U_PARC_TIR]:[V_FUT_U_CORC-02]],E$5, FALSE)</f>
        <v>#N/A</v>
      </c>
      <c r="F4234" s="22" t="e">
        <f>VLOOKUP($A4234,TAB_AMORTIZACAO_U[[Q_DIAS_U_PARC_TIR]:[V_FUT_U_PCPL-02]], F$5, FALSE)</f>
        <v>#N/A</v>
      </c>
      <c r="H4234" s="20">
        <f t="shared" si="337"/>
        <v>0</v>
      </c>
      <c r="I4234" s="21">
        <f t="shared" si="338"/>
        <v>0</v>
      </c>
      <c r="J4234" s="22" t="e">
        <f>VLOOKUP($A4234, TAB_JUROS_C[[DIAS_CORRIDOS]:[V_FUT_UTEIS]], J$5, FALSE)</f>
        <v>#N/A</v>
      </c>
      <c r="K4234" s="22" t="e">
        <f>VLOOKUP($A4234, TAB_CORRECAO_C[[DIAS_CORRIDOS]:[V_FUT_UTEIS]],K$5, FALSE)</f>
        <v>#N/A</v>
      </c>
      <c r="L4234" s="22" t="e">
        <f>VLOOKUP($A4234, TAB_AMORTIZACAO_C[[DIAS_CORRIDOS]:[V_FUT_UTEIS]], L$5, FALSE)</f>
        <v>#N/A</v>
      </c>
    </row>
    <row r="4235" spans="1:12" hidden="1">
      <c r="A4235" s="19">
        <f t="shared" si="339"/>
        <v>4229</v>
      </c>
      <c r="B4235" s="20">
        <f t="shared" si="335"/>
        <v>0</v>
      </c>
      <c r="C4235" s="21">
        <f t="shared" si="336"/>
        <v>0</v>
      </c>
      <c r="D4235" s="22" t="e">
        <f>VLOOKUP($A4235, TAB_JUROS_U[[Q_DIAS_U_PARC_TIR]:[V_FUT_U_JURS CENARIO]], D$5, FALSE)</f>
        <v>#N/A</v>
      </c>
      <c r="E4235" s="22" t="e">
        <f>VLOOKUP($A4235,TAB_CORRECAO_U[[Q_DIAS_U_PARC_TIR]:[V_FUT_U_CORC-02]],E$5, FALSE)</f>
        <v>#N/A</v>
      </c>
      <c r="F4235" s="22" t="e">
        <f>VLOOKUP($A4235,TAB_AMORTIZACAO_U[[Q_DIAS_U_PARC_TIR]:[V_FUT_U_PCPL-02]], F$5, FALSE)</f>
        <v>#N/A</v>
      </c>
      <c r="H4235" s="20">
        <f t="shared" si="337"/>
        <v>0</v>
      </c>
      <c r="I4235" s="21">
        <f t="shared" si="338"/>
        <v>0</v>
      </c>
      <c r="J4235" s="22" t="e">
        <f>VLOOKUP($A4235, TAB_JUROS_C[[DIAS_CORRIDOS]:[V_FUT_UTEIS]], J$5, FALSE)</f>
        <v>#N/A</v>
      </c>
      <c r="K4235" s="22" t="e">
        <f>VLOOKUP($A4235, TAB_CORRECAO_C[[DIAS_CORRIDOS]:[V_FUT_UTEIS]],K$5, FALSE)</f>
        <v>#N/A</v>
      </c>
      <c r="L4235" s="22" t="e">
        <f>VLOOKUP($A4235, TAB_AMORTIZACAO_C[[DIAS_CORRIDOS]:[V_FUT_UTEIS]], L$5, FALSE)</f>
        <v>#N/A</v>
      </c>
    </row>
    <row r="4236" spans="1:12" hidden="1">
      <c r="A4236" s="19">
        <f t="shared" si="339"/>
        <v>4230</v>
      </c>
      <c r="B4236" s="20">
        <f t="shared" si="335"/>
        <v>0</v>
      </c>
      <c r="C4236" s="21">
        <f t="shared" si="336"/>
        <v>0</v>
      </c>
      <c r="D4236" s="22" t="e">
        <f>VLOOKUP($A4236, TAB_JUROS_U[[Q_DIAS_U_PARC_TIR]:[V_FUT_U_JURS CENARIO]], D$5, FALSE)</f>
        <v>#N/A</v>
      </c>
      <c r="E4236" s="22" t="e">
        <f>VLOOKUP($A4236,TAB_CORRECAO_U[[Q_DIAS_U_PARC_TIR]:[V_FUT_U_CORC-02]],E$5, FALSE)</f>
        <v>#N/A</v>
      </c>
      <c r="F4236" s="22" t="e">
        <f>VLOOKUP($A4236,TAB_AMORTIZACAO_U[[Q_DIAS_U_PARC_TIR]:[V_FUT_U_PCPL-02]], F$5, FALSE)</f>
        <v>#N/A</v>
      </c>
      <c r="H4236" s="20">
        <f t="shared" si="337"/>
        <v>0</v>
      </c>
      <c r="I4236" s="21">
        <f t="shared" si="338"/>
        <v>0</v>
      </c>
      <c r="J4236" s="22" t="e">
        <f>VLOOKUP($A4236, TAB_JUROS_C[[DIAS_CORRIDOS]:[V_FUT_UTEIS]], J$5, FALSE)</f>
        <v>#N/A</v>
      </c>
      <c r="K4236" s="22" t="e">
        <f>VLOOKUP($A4236, TAB_CORRECAO_C[[DIAS_CORRIDOS]:[V_FUT_UTEIS]],K$5, FALSE)</f>
        <v>#N/A</v>
      </c>
      <c r="L4236" s="22" t="e">
        <f>VLOOKUP($A4236, TAB_AMORTIZACAO_C[[DIAS_CORRIDOS]:[V_FUT_UTEIS]], L$5, FALSE)</f>
        <v>#N/A</v>
      </c>
    </row>
    <row r="4237" spans="1:12" hidden="1">
      <c r="A4237" s="19">
        <f t="shared" si="339"/>
        <v>4231</v>
      </c>
      <c r="B4237" s="20">
        <f t="shared" si="335"/>
        <v>0</v>
      </c>
      <c r="C4237" s="21">
        <f t="shared" si="336"/>
        <v>0</v>
      </c>
      <c r="D4237" s="22" t="e">
        <f>VLOOKUP($A4237, TAB_JUROS_U[[Q_DIAS_U_PARC_TIR]:[V_FUT_U_JURS CENARIO]], D$5, FALSE)</f>
        <v>#N/A</v>
      </c>
      <c r="E4237" s="22" t="e">
        <f>VLOOKUP($A4237,TAB_CORRECAO_U[[Q_DIAS_U_PARC_TIR]:[V_FUT_U_CORC-02]],E$5, FALSE)</f>
        <v>#N/A</v>
      </c>
      <c r="F4237" s="22" t="e">
        <f>VLOOKUP($A4237,TAB_AMORTIZACAO_U[[Q_DIAS_U_PARC_TIR]:[V_FUT_U_PCPL-02]], F$5, FALSE)</f>
        <v>#N/A</v>
      </c>
      <c r="H4237" s="20">
        <f t="shared" si="337"/>
        <v>0</v>
      </c>
      <c r="I4237" s="21">
        <f t="shared" si="338"/>
        <v>0</v>
      </c>
      <c r="J4237" s="22" t="e">
        <f>VLOOKUP($A4237, TAB_JUROS_C[[DIAS_CORRIDOS]:[V_FUT_UTEIS]], J$5, FALSE)</f>
        <v>#N/A</v>
      </c>
      <c r="K4237" s="22" t="e">
        <f>VLOOKUP($A4237, TAB_CORRECAO_C[[DIAS_CORRIDOS]:[V_FUT_UTEIS]],K$5, FALSE)</f>
        <v>#N/A</v>
      </c>
      <c r="L4237" s="22" t="e">
        <f>VLOOKUP($A4237, TAB_AMORTIZACAO_C[[DIAS_CORRIDOS]:[V_FUT_UTEIS]], L$5, FALSE)</f>
        <v>#N/A</v>
      </c>
    </row>
    <row r="4238" spans="1:12" hidden="1">
      <c r="A4238" s="19">
        <f t="shared" si="339"/>
        <v>4232</v>
      </c>
      <c r="B4238" s="20">
        <f t="shared" si="335"/>
        <v>0</v>
      </c>
      <c r="C4238" s="21">
        <f t="shared" si="336"/>
        <v>0</v>
      </c>
      <c r="D4238" s="22" t="e">
        <f>VLOOKUP($A4238, TAB_JUROS_U[[Q_DIAS_U_PARC_TIR]:[V_FUT_U_JURS CENARIO]], D$5, FALSE)</f>
        <v>#N/A</v>
      </c>
      <c r="E4238" s="22" t="e">
        <f>VLOOKUP($A4238,TAB_CORRECAO_U[[Q_DIAS_U_PARC_TIR]:[V_FUT_U_CORC-02]],E$5, FALSE)</f>
        <v>#N/A</v>
      </c>
      <c r="F4238" s="22" t="e">
        <f>VLOOKUP($A4238,TAB_AMORTIZACAO_U[[Q_DIAS_U_PARC_TIR]:[V_FUT_U_PCPL-02]], F$5, FALSE)</f>
        <v>#N/A</v>
      </c>
      <c r="H4238" s="20">
        <f t="shared" si="337"/>
        <v>0</v>
      </c>
      <c r="I4238" s="21">
        <f t="shared" si="338"/>
        <v>0</v>
      </c>
      <c r="J4238" s="22" t="e">
        <f>VLOOKUP($A4238, TAB_JUROS_C[[DIAS_CORRIDOS]:[V_FUT_UTEIS]], J$5, FALSE)</f>
        <v>#N/A</v>
      </c>
      <c r="K4238" s="22" t="e">
        <f>VLOOKUP($A4238, TAB_CORRECAO_C[[DIAS_CORRIDOS]:[V_FUT_UTEIS]],K$5, FALSE)</f>
        <v>#N/A</v>
      </c>
      <c r="L4238" s="22" t="e">
        <f>VLOOKUP($A4238, TAB_AMORTIZACAO_C[[DIAS_CORRIDOS]:[V_FUT_UTEIS]], L$5, FALSE)</f>
        <v>#N/A</v>
      </c>
    </row>
    <row r="4239" spans="1:12" hidden="1">
      <c r="A4239" s="19">
        <f t="shared" si="339"/>
        <v>4233</v>
      </c>
      <c r="B4239" s="20">
        <f t="shared" si="335"/>
        <v>0</v>
      </c>
      <c r="C4239" s="21">
        <f t="shared" si="336"/>
        <v>0</v>
      </c>
      <c r="D4239" s="22" t="e">
        <f>VLOOKUP($A4239, TAB_JUROS_U[[Q_DIAS_U_PARC_TIR]:[V_FUT_U_JURS CENARIO]], D$5, FALSE)</f>
        <v>#N/A</v>
      </c>
      <c r="E4239" s="22" t="e">
        <f>VLOOKUP($A4239,TAB_CORRECAO_U[[Q_DIAS_U_PARC_TIR]:[V_FUT_U_CORC-02]],E$5, FALSE)</f>
        <v>#N/A</v>
      </c>
      <c r="F4239" s="22" t="e">
        <f>VLOOKUP($A4239,TAB_AMORTIZACAO_U[[Q_DIAS_U_PARC_TIR]:[V_FUT_U_PCPL-02]], F$5, FALSE)</f>
        <v>#N/A</v>
      </c>
      <c r="H4239" s="20">
        <f t="shared" si="337"/>
        <v>0</v>
      </c>
      <c r="I4239" s="21">
        <f t="shared" si="338"/>
        <v>0</v>
      </c>
      <c r="J4239" s="22" t="e">
        <f>VLOOKUP($A4239, TAB_JUROS_C[[DIAS_CORRIDOS]:[V_FUT_UTEIS]], J$5, FALSE)</f>
        <v>#N/A</v>
      </c>
      <c r="K4239" s="22" t="e">
        <f>VLOOKUP($A4239, TAB_CORRECAO_C[[DIAS_CORRIDOS]:[V_FUT_UTEIS]],K$5, FALSE)</f>
        <v>#N/A</v>
      </c>
      <c r="L4239" s="22" t="e">
        <f>VLOOKUP($A4239, TAB_AMORTIZACAO_C[[DIAS_CORRIDOS]:[V_FUT_UTEIS]], L$5, FALSE)</f>
        <v>#N/A</v>
      </c>
    </row>
    <row r="4240" spans="1:12" hidden="1">
      <c r="A4240" s="19">
        <f t="shared" si="339"/>
        <v>4234</v>
      </c>
      <c r="B4240" s="20">
        <f t="shared" si="335"/>
        <v>0</v>
      </c>
      <c r="C4240" s="21">
        <f t="shared" si="336"/>
        <v>0</v>
      </c>
      <c r="D4240" s="22" t="e">
        <f>VLOOKUP($A4240, TAB_JUROS_U[[Q_DIAS_U_PARC_TIR]:[V_FUT_U_JURS CENARIO]], D$5, FALSE)</f>
        <v>#N/A</v>
      </c>
      <c r="E4240" s="22" t="e">
        <f>VLOOKUP($A4240,TAB_CORRECAO_U[[Q_DIAS_U_PARC_TIR]:[V_FUT_U_CORC-02]],E$5, FALSE)</f>
        <v>#N/A</v>
      </c>
      <c r="F4240" s="22" t="e">
        <f>VLOOKUP($A4240,TAB_AMORTIZACAO_U[[Q_DIAS_U_PARC_TIR]:[V_FUT_U_PCPL-02]], F$5, FALSE)</f>
        <v>#N/A</v>
      </c>
      <c r="H4240" s="20">
        <f t="shared" si="337"/>
        <v>0</v>
      </c>
      <c r="I4240" s="21">
        <f t="shared" si="338"/>
        <v>0</v>
      </c>
      <c r="J4240" s="22" t="e">
        <f>VLOOKUP($A4240, TAB_JUROS_C[[DIAS_CORRIDOS]:[V_FUT_UTEIS]], J$5, FALSE)</f>
        <v>#N/A</v>
      </c>
      <c r="K4240" s="22" t="e">
        <f>VLOOKUP($A4240, TAB_CORRECAO_C[[DIAS_CORRIDOS]:[V_FUT_UTEIS]],K$5, FALSE)</f>
        <v>#N/A</v>
      </c>
      <c r="L4240" s="22" t="e">
        <f>VLOOKUP($A4240, TAB_AMORTIZACAO_C[[DIAS_CORRIDOS]:[V_FUT_UTEIS]], L$5, FALSE)</f>
        <v>#N/A</v>
      </c>
    </row>
    <row r="4241" spans="1:12" hidden="1">
      <c r="A4241" s="19">
        <f t="shared" si="339"/>
        <v>4235</v>
      </c>
      <c r="B4241" s="20">
        <f t="shared" si="335"/>
        <v>0</v>
      </c>
      <c r="C4241" s="21">
        <f t="shared" si="336"/>
        <v>0</v>
      </c>
      <c r="D4241" s="22" t="e">
        <f>VLOOKUP($A4241, TAB_JUROS_U[[Q_DIAS_U_PARC_TIR]:[V_FUT_U_JURS CENARIO]], D$5, FALSE)</f>
        <v>#N/A</v>
      </c>
      <c r="E4241" s="22" t="e">
        <f>VLOOKUP($A4241,TAB_CORRECAO_U[[Q_DIAS_U_PARC_TIR]:[V_FUT_U_CORC-02]],E$5, FALSE)</f>
        <v>#N/A</v>
      </c>
      <c r="F4241" s="22" t="e">
        <f>VLOOKUP($A4241,TAB_AMORTIZACAO_U[[Q_DIAS_U_PARC_TIR]:[V_FUT_U_PCPL-02]], F$5, FALSE)</f>
        <v>#N/A</v>
      </c>
      <c r="H4241" s="20">
        <f t="shared" si="337"/>
        <v>0</v>
      </c>
      <c r="I4241" s="21">
        <f t="shared" si="338"/>
        <v>0</v>
      </c>
      <c r="J4241" s="22" t="e">
        <f>VLOOKUP($A4241, TAB_JUROS_C[[DIAS_CORRIDOS]:[V_FUT_UTEIS]], J$5, FALSE)</f>
        <v>#N/A</v>
      </c>
      <c r="K4241" s="22" t="e">
        <f>VLOOKUP($A4241, TAB_CORRECAO_C[[DIAS_CORRIDOS]:[V_FUT_UTEIS]],K$5, FALSE)</f>
        <v>#N/A</v>
      </c>
      <c r="L4241" s="22" t="e">
        <f>VLOOKUP($A4241, TAB_AMORTIZACAO_C[[DIAS_CORRIDOS]:[V_FUT_UTEIS]], L$5, FALSE)</f>
        <v>#N/A</v>
      </c>
    </row>
    <row r="4242" spans="1:12" hidden="1">
      <c r="A4242" s="19">
        <f t="shared" si="339"/>
        <v>4236</v>
      </c>
      <c r="B4242" s="20">
        <f t="shared" si="335"/>
        <v>0</v>
      </c>
      <c r="C4242" s="21">
        <f t="shared" si="336"/>
        <v>0</v>
      </c>
      <c r="D4242" s="22" t="e">
        <f>VLOOKUP($A4242, TAB_JUROS_U[[Q_DIAS_U_PARC_TIR]:[V_FUT_U_JURS CENARIO]], D$5, FALSE)</f>
        <v>#N/A</v>
      </c>
      <c r="E4242" s="22" t="e">
        <f>VLOOKUP($A4242,TAB_CORRECAO_U[[Q_DIAS_U_PARC_TIR]:[V_FUT_U_CORC-02]],E$5, FALSE)</f>
        <v>#N/A</v>
      </c>
      <c r="F4242" s="22" t="e">
        <f>VLOOKUP($A4242,TAB_AMORTIZACAO_U[[Q_DIAS_U_PARC_TIR]:[V_FUT_U_PCPL-02]], F$5, FALSE)</f>
        <v>#N/A</v>
      </c>
      <c r="H4242" s="20">
        <f t="shared" si="337"/>
        <v>0</v>
      </c>
      <c r="I4242" s="21">
        <f t="shared" si="338"/>
        <v>0</v>
      </c>
      <c r="J4242" s="22" t="e">
        <f>VLOOKUP($A4242, TAB_JUROS_C[[DIAS_CORRIDOS]:[V_FUT_UTEIS]], J$5, FALSE)</f>
        <v>#N/A</v>
      </c>
      <c r="K4242" s="22" t="e">
        <f>VLOOKUP($A4242, TAB_CORRECAO_C[[DIAS_CORRIDOS]:[V_FUT_UTEIS]],K$5, FALSE)</f>
        <v>#N/A</v>
      </c>
      <c r="L4242" s="22" t="e">
        <f>VLOOKUP($A4242, TAB_AMORTIZACAO_C[[DIAS_CORRIDOS]:[V_FUT_UTEIS]], L$5, FALSE)</f>
        <v>#N/A</v>
      </c>
    </row>
    <row r="4243" spans="1:12" hidden="1">
      <c r="A4243" s="19">
        <f t="shared" si="339"/>
        <v>4237</v>
      </c>
      <c r="B4243" s="20">
        <f t="shared" si="335"/>
        <v>0</v>
      </c>
      <c r="C4243" s="21">
        <f t="shared" si="336"/>
        <v>0</v>
      </c>
      <c r="D4243" s="22" t="e">
        <f>VLOOKUP($A4243, TAB_JUROS_U[[Q_DIAS_U_PARC_TIR]:[V_FUT_U_JURS CENARIO]], D$5, FALSE)</f>
        <v>#N/A</v>
      </c>
      <c r="E4243" s="22" t="e">
        <f>VLOOKUP($A4243,TAB_CORRECAO_U[[Q_DIAS_U_PARC_TIR]:[V_FUT_U_CORC-02]],E$5, FALSE)</f>
        <v>#N/A</v>
      </c>
      <c r="F4243" s="22" t="e">
        <f>VLOOKUP($A4243,TAB_AMORTIZACAO_U[[Q_DIAS_U_PARC_TIR]:[V_FUT_U_PCPL-02]], F$5, FALSE)</f>
        <v>#N/A</v>
      </c>
      <c r="H4243" s="20">
        <f t="shared" si="337"/>
        <v>0</v>
      </c>
      <c r="I4243" s="21">
        <f t="shared" si="338"/>
        <v>0</v>
      </c>
      <c r="J4243" s="22" t="e">
        <f>VLOOKUP($A4243, TAB_JUROS_C[[DIAS_CORRIDOS]:[V_FUT_UTEIS]], J$5, FALSE)</f>
        <v>#N/A</v>
      </c>
      <c r="K4243" s="22" t="e">
        <f>VLOOKUP($A4243, TAB_CORRECAO_C[[DIAS_CORRIDOS]:[V_FUT_UTEIS]],K$5, FALSE)</f>
        <v>#N/A</v>
      </c>
      <c r="L4243" s="22" t="e">
        <f>VLOOKUP($A4243, TAB_AMORTIZACAO_C[[DIAS_CORRIDOS]:[V_FUT_UTEIS]], L$5, FALSE)</f>
        <v>#N/A</v>
      </c>
    </row>
    <row r="4244" spans="1:12" hidden="1">
      <c r="A4244" s="19">
        <f t="shared" si="339"/>
        <v>4238</v>
      </c>
      <c r="B4244" s="20">
        <f t="shared" si="335"/>
        <v>0</v>
      </c>
      <c r="C4244" s="21">
        <f t="shared" si="336"/>
        <v>0</v>
      </c>
      <c r="D4244" s="22" t="e">
        <f>VLOOKUP($A4244, TAB_JUROS_U[[Q_DIAS_U_PARC_TIR]:[V_FUT_U_JURS CENARIO]], D$5, FALSE)</f>
        <v>#N/A</v>
      </c>
      <c r="E4244" s="22" t="e">
        <f>VLOOKUP($A4244,TAB_CORRECAO_U[[Q_DIAS_U_PARC_TIR]:[V_FUT_U_CORC-02]],E$5, FALSE)</f>
        <v>#N/A</v>
      </c>
      <c r="F4244" s="22" t="e">
        <f>VLOOKUP($A4244,TAB_AMORTIZACAO_U[[Q_DIAS_U_PARC_TIR]:[V_FUT_U_PCPL-02]], F$5, FALSE)</f>
        <v>#N/A</v>
      </c>
      <c r="H4244" s="20">
        <f t="shared" si="337"/>
        <v>0</v>
      </c>
      <c r="I4244" s="21">
        <f t="shared" si="338"/>
        <v>0</v>
      </c>
      <c r="J4244" s="22" t="e">
        <f>VLOOKUP($A4244, TAB_JUROS_C[[DIAS_CORRIDOS]:[V_FUT_UTEIS]], J$5, FALSE)</f>
        <v>#N/A</v>
      </c>
      <c r="K4244" s="22" t="e">
        <f>VLOOKUP($A4244, TAB_CORRECAO_C[[DIAS_CORRIDOS]:[V_FUT_UTEIS]],K$5, FALSE)</f>
        <v>#N/A</v>
      </c>
      <c r="L4244" s="22" t="e">
        <f>VLOOKUP($A4244, TAB_AMORTIZACAO_C[[DIAS_CORRIDOS]:[V_FUT_UTEIS]], L$5, FALSE)</f>
        <v>#N/A</v>
      </c>
    </row>
    <row r="4245" spans="1:12" hidden="1">
      <c r="A4245" s="19">
        <f t="shared" si="339"/>
        <v>4239</v>
      </c>
      <c r="B4245" s="20">
        <f t="shared" si="335"/>
        <v>0</v>
      </c>
      <c r="C4245" s="21">
        <f t="shared" si="336"/>
        <v>0</v>
      </c>
      <c r="D4245" s="22" t="e">
        <f>VLOOKUP($A4245, TAB_JUROS_U[[Q_DIAS_U_PARC_TIR]:[V_FUT_U_JURS CENARIO]], D$5, FALSE)</f>
        <v>#N/A</v>
      </c>
      <c r="E4245" s="22" t="e">
        <f>VLOOKUP($A4245,TAB_CORRECAO_U[[Q_DIAS_U_PARC_TIR]:[V_FUT_U_CORC-02]],E$5, FALSE)</f>
        <v>#N/A</v>
      </c>
      <c r="F4245" s="22" t="e">
        <f>VLOOKUP($A4245,TAB_AMORTIZACAO_U[[Q_DIAS_U_PARC_TIR]:[V_FUT_U_PCPL-02]], F$5, FALSE)</f>
        <v>#N/A</v>
      </c>
      <c r="H4245" s="20">
        <f t="shared" si="337"/>
        <v>0</v>
      </c>
      <c r="I4245" s="21">
        <f t="shared" si="338"/>
        <v>0</v>
      </c>
      <c r="J4245" s="22" t="e">
        <f>VLOOKUP($A4245, TAB_JUROS_C[[DIAS_CORRIDOS]:[V_FUT_UTEIS]], J$5, FALSE)</f>
        <v>#N/A</v>
      </c>
      <c r="K4245" s="22" t="e">
        <f>VLOOKUP($A4245, TAB_CORRECAO_C[[DIAS_CORRIDOS]:[V_FUT_UTEIS]],K$5, FALSE)</f>
        <v>#N/A</v>
      </c>
      <c r="L4245" s="22" t="e">
        <f>VLOOKUP($A4245, TAB_AMORTIZACAO_C[[DIAS_CORRIDOS]:[V_FUT_UTEIS]], L$5, FALSE)</f>
        <v>#N/A</v>
      </c>
    </row>
    <row r="4246" spans="1:12" hidden="1">
      <c r="A4246" s="19">
        <f t="shared" si="339"/>
        <v>4240</v>
      </c>
      <c r="B4246" s="20">
        <f t="shared" si="335"/>
        <v>0</v>
      </c>
      <c r="C4246" s="21">
        <f t="shared" si="336"/>
        <v>0</v>
      </c>
      <c r="D4246" s="22" t="e">
        <f>VLOOKUP($A4246, TAB_JUROS_U[[Q_DIAS_U_PARC_TIR]:[V_FUT_U_JURS CENARIO]], D$5, FALSE)</f>
        <v>#N/A</v>
      </c>
      <c r="E4246" s="22" t="e">
        <f>VLOOKUP($A4246,TAB_CORRECAO_U[[Q_DIAS_U_PARC_TIR]:[V_FUT_U_CORC-02]],E$5, FALSE)</f>
        <v>#N/A</v>
      </c>
      <c r="F4246" s="22" t="e">
        <f>VLOOKUP($A4246,TAB_AMORTIZACAO_U[[Q_DIAS_U_PARC_TIR]:[V_FUT_U_PCPL-02]], F$5, FALSE)</f>
        <v>#N/A</v>
      </c>
      <c r="H4246" s="20">
        <f t="shared" si="337"/>
        <v>0</v>
      </c>
      <c r="I4246" s="21">
        <f t="shared" si="338"/>
        <v>0</v>
      </c>
      <c r="J4246" s="22" t="e">
        <f>VLOOKUP($A4246, TAB_JUROS_C[[DIAS_CORRIDOS]:[V_FUT_UTEIS]], J$5, FALSE)</f>
        <v>#N/A</v>
      </c>
      <c r="K4246" s="22" t="e">
        <f>VLOOKUP($A4246, TAB_CORRECAO_C[[DIAS_CORRIDOS]:[V_FUT_UTEIS]],K$5, FALSE)</f>
        <v>#N/A</v>
      </c>
      <c r="L4246" s="22" t="e">
        <f>VLOOKUP($A4246, TAB_AMORTIZACAO_C[[DIAS_CORRIDOS]:[V_FUT_UTEIS]], L$5, FALSE)</f>
        <v>#N/A</v>
      </c>
    </row>
    <row r="4247" spans="1:12" hidden="1">
      <c r="A4247" s="19">
        <f t="shared" si="339"/>
        <v>4241</v>
      </c>
      <c r="B4247" s="20">
        <f t="shared" si="335"/>
        <v>0</v>
      </c>
      <c r="C4247" s="21">
        <f t="shared" si="336"/>
        <v>0</v>
      </c>
      <c r="D4247" s="22" t="e">
        <f>VLOOKUP($A4247, TAB_JUROS_U[[Q_DIAS_U_PARC_TIR]:[V_FUT_U_JURS CENARIO]], D$5, FALSE)</f>
        <v>#N/A</v>
      </c>
      <c r="E4247" s="22" t="e">
        <f>VLOOKUP($A4247,TAB_CORRECAO_U[[Q_DIAS_U_PARC_TIR]:[V_FUT_U_CORC-02]],E$5, FALSE)</f>
        <v>#N/A</v>
      </c>
      <c r="F4247" s="22" t="e">
        <f>VLOOKUP($A4247,TAB_AMORTIZACAO_U[[Q_DIAS_U_PARC_TIR]:[V_FUT_U_PCPL-02]], F$5, FALSE)</f>
        <v>#N/A</v>
      </c>
      <c r="H4247" s="20">
        <f t="shared" si="337"/>
        <v>0</v>
      </c>
      <c r="I4247" s="21">
        <f t="shared" si="338"/>
        <v>0</v>
      </c>
      <c r="J4247" s="22" t="e">
        <f>VLOOKUP($A4247, TAB_JUROS_C[[DIAS_CORRIDOS]:[V_FUT_UTEIS]], J$5, FALSE)</f>
        <v>#N/A</v>
      </c>
      <c r="K4247" s="22" t="e">
        <f>VLOOKUP($A4247, TAB_CORRECAO_C[[DIAS_CORRIDOS]:[V_FUT_UTEIS]],K$5, FALSE)</f>
        <v>#N/A</v>
      </c>
      <c r="L4247" s="22" t="e">
        <f>VLOOKUP($A4247, TAB_AMORTIZACAO_C[[DIAS_CORRIDOS]:[V_FUT_UTEIS]], L$5, FALSE)</f>
        <v>#N/A</v>
      </c>
    </row>
    <row r="4248" spans="1:12" hidden="1">
      <c r="A4248" s="19">
        <f t="shared" si="339"/>
        <v>4242</v>
      </c>
      <c r="B4248" s="20">
        <f t="shared" si="335"/>
        <v>0</v>
      </c>
      <c r="C4248" s="21">
        <f t="shared" si="336"/>
        <v>0</v>
      </c>
      <c r="D4248" s="22" t="e">
        <f>VLOOKUP($A4248, TAB_JUROS_U[[Q_DIAS_U_PARC_TIR]:[V_FUT_U_JURS CENARIO]], D$5, FALSE)</f>
        <v>#N/A</v>
      </c>
      <c r="E4248" s="22" t="e">
        <f>VLOOKUP($A4248,TAB_CORRECAO_U[[Q_DIAS_U_PARC_TIR]:[V_FUT_U_CORC-02]],E$5, FALSE)</f>
        <v>#N/A</v>
      </c>
      <c r="F4248" s="22" t="e">
        <f>VLOOKUP($A4248,TAB_AMORTIZACAO_U[[Q_DIAS_U_PARC_TIR]:[V_FUT_U_PCPL-02]], F$5, FALSE)</f>
        <v>#N/A</v>
      </c>
      <c r="H4248" s="20">
        <f t="shared" si="337"/>
        <v>94.651906277311568</v>
      </c>
      <c r="I4248" s="21">
        <f t="shared" si="338"/>
        <v>94.651906277311568</v>
      </c>
      <c r="J4248" s="22">
        <f>VLOOKUP($A4248, TAB_JUROS_C[[DIAS_CORRIDOS]:[V_FUT_UTEIS]], J$5, FALSE)</f>
        <v>0.94247757054785586</v>
      </c>
      <c r="K4248" s="22">
        <f>VLOOKUP($A4248, TAB_CORRECAO_C[[DIAS_CORRIDOS]:[V_FUT_UTEIS]],K$5, FALSE)</f>
        <v>5.761573589498405</v>
      </c>
      <c r="L4248" s="22">
        <f>VLOOKUP($A4248, TAB_AMORTIZACAO_C[[DIAS_CORRIDOS]:[V_FUT_UTEIS]], L$5, FALSE)</f>
        <v>87.947855117265306</v>
      </c>
    </row>
    <row r="4249" spans="1:12" hidden="1">
      <c r="A4249" s="19">
        <f t="shared" si="339"/>
        <v>4243</v>
      </c>
      <c r="B4249" s="20">
        <f t="shared" si="335"/>
        <v>0</v>
      </c>
      <c r="C4249" s="21">
        <f t="shared" si="336"/>
        <v>0</v>
      </c>
      <c r="D4249" s="22" t="e">
        <f>VLOOKUP($A4249, TAB_JUROS_U[[Q_DIAS_U_PARC_TIR]:[V_FUT_U_JURS CENARIO]], D$5, FALSE)</f>
        <v>#N/A</v>
      </c>
      <c r="E4249" s="22" t="e">
        <f>VLOOKUP($A4249,TAB_CORRECAO_U[[Q_DIAS_U_PARC_TIR]:[V_FUT_U_CORC-02]],E$5, FALSE)</f>
        <v>#N/A</v>
      </c>
      <c r="F4249" s="22" t="e">
        <f>VLOOKUP($A4249,TAB_AMORTIZACAO_U[[Q_DIAS_U_PARC_TIR]:[V_FUT_U_PCPL-02]], F$5, FALSE)</f>
        <v>#N/A</v>
      </c>
      <c r="H4249" s="20">
        <f t="shared" si="337"/>
        <v>0</v>
      </c>
      <c r="I4249" s="21">
        <f t="shared" si="338"/>
        <v>0</v>
      </c>
      <c r="J4249" s="22" t="e">
        <f>VLOOKUP($A4249, TAB_JUROS_C[[DIAS_CORRIDOS]:[V_FUT_UTEIS]], J$5, FALSE)</f>
        <v>#N/A</v>
      </c>
      <c r="K4249" s="22" t="e">
        <f>VLOOKUP($A4249, TAB_CORRECAO_C[[DIAS_CORRIDOS]:[V_FUT_UTEIS]],K$5, FALSE)</f>
        <v>#N/A</v>
      </c>
      <c r="L4249" s="22" t="e">
        <f>VLOOKUP($A4249, TAB_AMORTIZACAO_C[[DIAS_CORRIDOS]:[V_FUT_UTEIS]], L$5, FALSE)</f>
        <v>#N/A</v>
      </c>
    </row>
    <row r="4250" spans="1:12" hidden="1">
      <c r="A4250" s="19">
        <f t="shared" si="339"/>
        <v>4244</v>
      </c>
      <c r="B4250" s="20">
        <f t="shared" si="335"/>
        <v>0</v>
      </c>
      <c r="C4250" s="21">
        <f t="shared" si="336"/>
        <v>0</v>
      </c>
      <c r="D4250" s="22" t="e">
        <f>VLOOKUP($A4250, TAB_JUROS_U[[Q_DIAS_U_PARC_TIR]:[V_FUT_U_JURS CENARIO]], D$5, FALSE)</f>
        <v>#N/A</v>
      </c>
      <c r="E4250" s="22" t="e">
        <f>VLOOKUP($A4250,TAB_CORRECAO_U[[Q_DIAS_U_PARC_TIR]:[V_FUT_U_CORC-02]],E$5, FALSE)</f>
        <v>#N/A</v>
      </c>
      <c r="F4250" s="22" t="e">
        <f>VLOOKUP($A4250,TAB_AMORTIZACAO_U[[Q_DIAS_U_PARC_TIR]:[V_FUT_U_PCPL-02]], F$5, FALSE)</f>
        <v>#N/A</v>
      </c>
      <c r="H4250" s="20">
        <f t="shared" si="337"/>
        <v>0</v>
      </c>
      <c r="I4250" s="21">
        <f t="shared" si="338"/>
        <v>0</v>
      </c>
      <c r="J4250" s="22" t="e">
        <f>VLOOKUP($A4250, TAB_JUROS_C[[DIAS_CORRIDOS]:[V_FUT_UTEIS]], J$5, FALSE)</f>
        <v>#N/A</v>
      </c>
      <c r="K4250" s="22" t="e">
        <f>VLOOKUP($A4250, TAB_CORRECAO_C[[DIAS_CORRIDOS]:[V_FUT_UTEIS]],K$5, FALSE)</f>
        <v>#N/A</v>
      </c>
      <c r="L4250" s="22" t="e">
        <f>VLOOKUP($A4250, TAB_AMORTIZACAO_C[[DIAS_CORRIDOS]:[V_FUT_UTEIS]], L$5, FALSE)</f>
        <v>#N/A</v>
      </c>
    </row>
    <row r="4251" spans="1:12" hidden="1">
      <c r="A4251" s="19">
        <f t="shared" si="339"/>
        <v>4245</v>
      </c>
      <c r="B4251" s="20">
        <f t="shared" si="335"/>
        <v>0</v>
      </c>
      <c r="C4251" s="21">
        <f t="shared" si="336"/>
        <v>0</v>
      </c>
      <c r="D4251" s="22" t="e">
        <f>VLOOKUP($A4251, TAB_JUROS_U[[Q_DIAS_U_PARC_TIR]:[V_FUT_U_JURS CENARIO]], D$5, FALSE)</f>
        <v>#N/A</v>
      </c>
      <c r="E4251" s="22" t="e">
        <f>VLOOKUP($A4251,TAB_CORRECAO_U[[Q_DIAS_U_PARC_TIR]:[V_FUT_U_CORC-02]],E$5, FALSE)</f>
        <v>#N/A</v>
      </c>
      <c r="F4251" s="22" t="e">
        <f>VLOOKUP($A4251,TAB_AMORTIZACAO_U[[Q_DIAS_U_PARC_TIR]:[V_FUT_U_PCPL-02]], F$5, FALSE)</f>
        <v>#N/A</v>
      </c>
      <c r="H4251" s="20">
        <f t="shared" si="337"/>
        <v>0</v>
      </c>
      <c r="I4251" s="21">
        <f t="shared" si="338"/>
        <v>0</v>
      </c>
      <c r="J4251" s="22" t="e">
        <f>VLOOKUP($A4251, TAB_JUROS_C[[DIAS_CORRIDOS]:[V_FUT_UTEIS]], J$5, FALSE)</f>
        <v>#N/A</v>
      </c>
      <c r="K4251" s="22" t="e">
        <f>VLOOKUP($A4251, TAB_CORRECAO_C[[DIAS_CORRIDOS]:[V_FUT_UTEIS]],K$5, FALSE)</f>
        <v>#N/A</v>
      </c>
      <c r="L4251" s="22" t="e">
        <f>VLOOKUP($A4251, TAB_AMORTIZACAO_C[[DIAS_CORRIDOS]:[V_FUT_UTEIS]], L$5, FALSE)</f>
        <v>#N/A</v>
      </c>
    </row>
    <row r="4252" spans="1:12" hidden="1">
      <c r="A4252" s="19">
        <f t="shared" si="339"/>
        <v>4246</v>
      </c>
      <c r="B4252" s="20">
        <f t="shared" si="335"/>
        <v>0</v>
      </c>
      <c r="C4252" s="21">
        <f t="shared" si="336"/>
        <v>0</v>
      </c>
      <c r="D4252" s="22" t="e">
        <f>VLOOKUP($A4252, TAB_JUROS_U[[Q_DIAS_U_PARC_TIR]:[V_FUT_U_JURS CENARIO]], D$5, FALSE)</f>
        <v>#N/A</v>
      </c>
      <c r="E4252" s="22" t="e">
        <f>VLOOKUP($A4252,TAB_CORRECAO_U[[Q_DIAS_U_PARC_TIR]:[V_FUT_U_CORC-02]],E$5, FALSE)</f>
        <v>#N/A</v>
      </c>
      <c r="F4252" s="22" t="e">
        <f>VLOOKUP($A4252,TAB_AMORTIZACAO_U[[Q_DIAS_U_PARC_TIR]:[V_FUT_U_PCPL-02]], F$5, FALSE)</f>
        <v>#N/A</v>
      </c>
      <c r="H4252" s="20">
        <f t="shared" si="337"/>
        <v>0</v>
      </c>
      <c r="I4252" s="21">
        <f t="shared" si="338"/>
        <v>0</v>
      </c>
      <c r="J4252" s="22" t="e">
        <f>VLOOKUP($A4252, TAB_JUROS_C[[DIAS_CORRIDOS]:[V_FUT_UTEIS]], J$5, FALSE)</f>
        <v>#N/A</v>
      </c>
      <c r="K4252" s="22" t="e">
        <f>VLOOKUP($A4252, TAB_CORRECAO_C[[DIAS_CORRIDOS]:[V_FUT_UTEIS]],K$5, FALSE)</f>
        <v>#N/A</v>
      </c>
      <c r="L4252" s="22" t="e">
        <f>VLOOKUP($A4252, TAB_AMORTIZACAO_C[[DIAS_CORRIDOS]:[V_FUT_UTEIS]], L$5, FALSE)</f>
        <v>#N/A</v>
      </c>
    </row>
    <row r="4253" spans="1:12" hidden="1">
      <c r="A4253" s="19">
        <f t="shared" si="339"/>
        <v>4247</v>
      </c>
      <c r="B4253" s="20">
        <f t="shared" si="335"/>
        <v>0</v>
      </c>
      <c r="C4253" s="21">
        <f t="shared" si="336"/>
        <v>0</v>
      </c>
      <c r="D4253" s="22" t="e">
        <f>VLOOKUP($A4253, TAB_JUROS_U[[Q_DIAS_U_PARC_TIR]:[V_FUT_U_JURS CENARIO]], D$5, FALSE)</f>
        <v>#N/A</v>
      </c>
      <c r="E4253" s="22" t="e">
        <f>VLOOKUP($A4253,TAB_CORRECAO_U[[Q_DIAS_U_PARC_TIR]:[V_FUT_U_CORC-02]],E$5, FALSE)</f>
        <v>#N/A</v>
      </c>
      <c r="F4253" s="22" t="e">
        <f>VLOOKUP($A4253,TAB_AMORTIZACAO_U[[Q_DIAS_U_PARC_TIR]:[V_FUT_U_PCPL-02]], F$5, FALSE)</f>
        <v>#N/A</v>
      </c>
      <c r="H4253" s="20">
        <f t="shared" si="337"/>
        <v>0</v>
      </c>
      <c r="I4253" s="21">
        <f t="shared" si="338"/>
        <v>0</v>
      </c>
      <c r="J4253" s="22" t="e">
        <f>VLOOKUP($A4253, TAB_JUROS_C[[DIAS_CORRIDOS]:[V_FUT_UTEIS]], J$5, FALSE)</f>
        <v>#N/A</v>
      </c>
      <c r="K4253" s="22" t="e">
        <f>VLOOKUP($A4253, TAB_CORRECAO_C[[DIAS_CORRIDOS]:[V_FUT_UTEIS]],K$5, FALSE)</f>
        <v>#N/A</v>
      </c>
      <c r="L4253" s="22" t="e">
        <f>VLOOKUP($A4253, TAB_AMORTIZACAO_C[[DIAS_CORRIDOS]:[V_FUT_UTEIS]], L$5, FALSE)</f>
        <v>#N/A</v>
      </c>
    </row>
    <row r="4254" spans="1:12" hidden="1">
      <c r="A4254" s="19">
        <f t="shared" si="339"/>
        <v>4248</v>
      </c>
      <c r="B4254" s="20">
        <f t="shared" si="335"/>
        <v>0</v>
      </c>
      <c r="C4254" s="21">
        <f t="shared" si="336"/>
        <v>0</v>
      </c>
      <c r="D4254" s="22" t="e">
        <f>VLOOKUP($A4254, TAB_JUROS_U[[Q_DIAS_U_PARC_TIR]:[V_FUT_U_JURS CENARIO]], D$5, FALSE)</f>
        <v>#N/A</v>
      </c>
      <c r="E4254" s="22" t="e">
        <f>VLOOKUP($A4254,TAB_CORRECAO_U[[Q_DIAS_U_PARC_TIR]:[V_FUT_U_CORC-02]],E$5, FALSE)</f>
        <v>#N/A</v>
      </c>
      <c r="F4254" s="22" t="e">
        <f>VLOOKUP($A4254,TAB_AMORTIZACAO_U[[Q_DIAS_U_PARC_TIR]:[V_FUT_U_PCPL-02]], F$5, FALSE)</f>
        <v>#N/A</v>
      </c>
      <c r="H4254" s="20">
        <f t="shared" si="337"/>
        <v>0</v>
      </c>
      <c r="I4254" s="21">
        <f t="shared" si="338"/>
        <v>0</v>
      </c>
      <c r="J4254" s="22" t="e">
        <f>VLOOKUP($A4254, TAB_JUROS_C[[DIAS_CORRIDOS]:[V_FUT_UTEIS]], J$5, FALSE)</f>
        <v>#N/A</v>
      </c>
      <c r="K4254" s="22" t="e">
        <f>VLOOKUP($A4254, TAB_CORRECAO_C[[DIAS_CORRIDOS]:[V_FUT_UTEIS]],K$5, FALSE)</f>
        <v>#N/A</v>
      </c>
      <c r="L4254" s="22" t="e">
        <f>VLOOKUP($A4254, TAB_AMORTIZACAO_C[[DIAS_CORRIDOS]:[V_FUT_UTEIS]], L$5, FALSE)</f>
        <v>#N/A</v>
      </c>
    </row>
    <row r="4255" spans="1:12" hidden="1">
      <c r="A4255" s="19">
        <f t="shared" si="339"/>
        <v>4249</v>
      </c>
      <c r="B4255" s="20">
        <f t="shared" si="335"/>
        <v>0</v>
      </c>
      <c r="C4255" s="21">
        <f t="shared" si="336"/>
        <v>0</v>
      </c>
      <c r="D4255" s="22" t="e">
        <f>VLOOKUP($A4255, TAB_JUROS_U[[Q_DIAS_U_PARC_TIR]:[V_FUT_U_JURS CENARIO]], D$5, FALSE)</f>
        <v>#N/A</v>
      </c>
      <c r="E4255" s="22" t="e">
        <f>VLOOKUP($A4255,TAB_CORRECAO_U[[Q_DIAS_U_PARC_TIR]:[V_FUT_U_CORC-02]],E$5, FALSE)</f>
        <v>#N/A</v>
      </c>
      <c r="F4255" s="22" t="e">
        <f>VLOOKUP($A4255,TAB_AMORTIZACAO_U[[Q_DIAS_U_PARC_TIR]:[V_FUT_U_PCPL-02]], F$5, FALSE)</f>
        <v>#N/A</v>
      </c>
      <c r="H4255" s="20">
        <f t="shared" si="337"/>
        <v>0</v>
      </c>
      <c r="I4255" s="21">
        <f t="shared" si="338"/>
        <v>0</v>
      </c>
      <c r="J4255" s="22" t="e">
        <f>VLOOKUP($A4255, TAB_JUROS_C[[DIAS_CORRIDOS]:[V_FUT_UTEIS]], J$5, FALSE)</f>
        <v>#N/A</v>
      </c>
      <c r="K4255" s="22" t="e">
        <f>VLOOKUP($A4255, TAB_CORRECAO_C[[DIAS_CORRIDOS]:[V_FUT_UTEIS]],K$5, FALSE)</f>
        <v>#N/A</v>
      </c>
      <c r="L4255" s="22" t="e">
        <f>VLOOKUP($A4255, TAB_AMORTIZACAO_C[[DIAS_CORRIDOS]:[V_FUT_UTEIS]], L$5, FALSE)</f>
        <v>#N/A</v>
      </c>
    </row>
    <row r="4256" spans="1:12" hidden="1">
      <c r="A4256" s="19">
        <f t="shared" si="339"/>
        <v>4250</v>
      </c>
      <c r="B4256" s="20">
        <f t="shared" si="335"/>
        <v>0</v>
      </c>
      <c r="C4256" s="21">
        <f t="shared" si="336"/>
        <v>0</v>
      </c>
      <c r="D4256" s="22" t="e">
        <f>VLOOKUP($A4256, TAB_JUROS_U[[Q_DIAS_U_PARC_TIR]:[V_FUT_U_JURS CENARIO]], D$5, FALSE)</f>
        <v>#N/A</v>
      </c>
      <c r="E4256" s="22" t="e">
        <f>VLOOKUP($A4256,TAB_CORRECAO_U[[Q_DIAS_U_PARC_TIR]:[V_FUT_U_CORC-02]],E$5, FALSE)</f>
        <v>#N/A</v>
      </c>
      <c r="F4256" s="22" t="e">
        <f>VLOOKUP($A4256,TAB_AMORTIZACAO_U[[Q_DIAS_U_PARC_TIR]:[V_FUT_U_PCPL-02]], F$5, FALSE)</f>
        <v>#N/A</v>
      </c>
      <c r="H4256" s="20">
        <f t="shared" si="337"/>
        <v>0</v>
      </c>
      <c r="I4256" s="21">
        <f t="shared" si="338"/>
        <v>0</v>
      </c>
      <c r="J4256" s="22" t="e">
        <f>VLOOKUP($A4256, TAB_JUROS_C[[DIAS_CORRIDOS]:[V_FUT_UTEIS]], J$5, FALSE)</f>
        <v>#N/A</v>
      </c>
      <c r="K4256" s="22" t="e">
        <f>VLOOKUP($A4256, TAB_CORRECAO_C[[DIAS_CORRIDOS]:[V_FUT_UTEIS]],K$5, FALSE)</f>
        <v>#N/A</v>
      </c>
      <c r="L4256" s="22" t="e">
        <f>VLOOKUP($A4256, TAB_AMORTIZACAO_C[[DIAS_CORRIDOS]:[V_FUT_UTEIS]], L$5, FALSE)</f>
        <v>#N/A</v>
      </c>
    </row>
    <row r="4257" spans="1:12" hidden="1">
      <c r="A4257" s="19">
        <f t="shared" si="339"/>
        <v>4251</v>
      </c>
      <c r="B4257" s="20">
        <f t="shared" si="335"/>
        <v>0</v>
      </c>
      <c r="C4257" s="21">
        <f t="shared" si="336"/>
        <v>0</v>
      </c>
      <c r="D4257" s="22" t="e">
        <f>VLOOKUP($A4257, TAB_JUROS_U[[Q_DIAS_U_PARC_TIR]:[V_FUT_U_JURS CENARIO]], D$5, FALSE)</f>
        <v>#N/A</v>
      </c>
      <c r="E4257" s="22" t="e">
        <f>VLOOKUP($A4257,TAB_CORRECAO_U[[Q_DIAS_U_PARC_TIR]:[V_FUT_U_CORC-02]],E$5, FALSE)</f>
        <v>#N/A</v>
      </c>
      <c r="F4257" s="22" t="e">
        <f>VLOOKUP($A4257,TAB_AMORTIZACAO_U[[Q_DIAS_U_PARC_TIR]:[V_FUT_U_PCPL-02]], F$5, FALSE)</f>
        <v>#N/A</v>
      </c>
      <c r="H4257" s="20">
        <f t="shared" si="337"/>
        <v>0</v>
      </c>
      <c r="I4257" s="21">
        <f t="shared" si="338"/>
        <v>0</v>
      </c>
      <c r="J4257" s="22" t="e">
        <f>VLOOKUP($A4257, TAB_JUROS_C[[DIAS_CORRIDOS]:[V_FUT_UTEIS]], J$5, FALSE)</f>
        <v>#N/A</v>
      </c>
      <c r="K4257" s="22" t="e">
        <f>VLOOKUP($A4257, TAB_CORRECAO_C[[DIAS_CORRIDOS]:[V_FUT_UTEIS]],K$5, FALSE)</f>
        <v>#N/A</v>
      </c>
      <c r="L4257" s="22" t="e">
        <f>VLOOKUP($A4257, TAB_AMORTIZACAO_C[[DIAS_CORRIDOS]:[V_FUT_UTEIS]], L$5, FALSE)</f>
        <v>#N/A</v>
      </c>
    </row>
    <row r="4258" spans="1:12" hidden="1">
      <c r="A4258" s="19">
        <f t="shared" si="339"/>
        <v>4252</v>
      </c>
      <c r="B4258" s="20">
        <f t="shared" si="335"/>
        <v>0</v>
      </c>
      <c r="C4258" s="21">
        <f t="shared" si="336"/>
        <v>0</v>
      </c>
      <c r="D4258" s="22" t="e">
        <f>VLOOKUP($A4258, TAB_JUROS_U[[Q_DIAS_U_PARC_TIR]:[V_FUT_U_JURS CENARIO]], D$5, FALSE)</f>
        <v>#N/A</v>
      </c>
      <c r="E4258" s="22" t="e">
        <f>VLOOKUP($A4258,TAB_CORRECAO_U[[Q_DIAS_U_PARC_TIR]:[V_FUT_U_CORC-02]],E$5, FALSE)</f>
        <v>#N/A</v>
      </c>
      <c r="F4258" s="22" t="e">
        <f>VLOOKUP($A4258,TAB_AMORTIZACAO_U[[Q_DIAS_U_PARC_TIR]:[V_FUT_U_PCPL-02]], F$5, FALSE)</f>
        <v>#N/A</v>
      </c>
      <c r="H4258" s="20">
        <f t="shared" si="337"/>
        <v>0</v>
      </c>
      <c r="I4258" s="21">
        <f t="shared" si="338"/>
        <v>0</v>
      </c>
      <c r="J4258" s="22" t="e">
        <f>VLOOKUP($A4258, TAB_JUROS_C[[DIAS_CORRIDOS]:[V_FUT_UTEIS]], J$5, FALSE)</f>
        <v>#N/A</v>
      </c>
      <c r="K4258" s="22" t="e">
        <f>VLOOKUP($A4258, TAB_CORRECAO_C[[DIAS_CORRIDOS]:[V_FUT_UTEIS]],K$5, FALSE)</f>
        <v>#N/A</v>
      </c>
      <c r="L4258" s="22" t="e">
        <f>VLOOKUP($A4258, TAB_AMORTIZACAO_C[[DIAS_CORRIDOS]:[V_FUT_UTEIS]], L$5, FALSE)</f>
        <v>#N/A</v>
      </c>
    </row>
    <row r="4259" spans="1:12" hidden="1">
      <c r="A4259" s="19">
        <f t="shared" si="339"/>
        <v>4253</v>
      </c>
      <c r="B4259" s="20">
        <f t="shared" si="335"/>
        <v>0</v>
      </c>
      <c r="C4259" s="21">
        <f t="shared" si="336"/>
        <v>0</v>
      </c>
      <c r="D4259" s="22" t="e">
        <f>VLOOKUP($A4259, TAB_JUROS_U[[Q_DIAS_U_PARC_TIR]:[V_FUT_U_JURS CENARIO]], D$5, FALSE)</f>
        <v>#N/A</v>
      </c>
      <c r="E4259" s="22" t="e">
        <f>VLOOKUP($A4259,TAB_CORRECAO_U[[Q_DIAS_U_PARC_TIR]:[V_FUT_U_CORC-02]],E$5, FALSE)</f>
        <v>#N/A</v>
      </c>
      <c r="F4259" s="22" t="e">
        <f>VLOOKUP($A4259,TAB_AMORTIZACAO_U[[Q_DIAS_U_PARC_TIR]:[V_FUT_U_PCPL-02]], F$5, FALSE)</f>
        <v>#N/A</v>
      </c>
      <c r="H4259" s="20">
        <f t="shared" si="337"/>
        <v>0</v>
      </c>
      <c r="I4259" s="21">
        <f t="shared" si="338"/>
        <v>0</v>
      </c>
      <c r="J4259" s="22" t="e">
        <f>VLOOKUP($A4259, TAB_JUROS_C[[DIAS_CORRIDOS]:[V_FUT_UTEIS]], J$5, FALSE)</f>
        <v>#N/A</v>
      </c>
      <c r="K4259" s="22" t="e">
        <f>VLOOKUP($A4259, TAB_CORRECAO_C[[DIAS_CORRIDOS]:[V_FUT_UTEIS]],K$5, FALSE)</f>
        <v>#N/A</v>
      </c>
      <c r="L4259" s="22" t="e">
        <f>VLOOKUP($A4259, TAB_AMORTIZACAO_C[[DIAS_CORRIDOS]:[V_FUT_UTEIS]], L$5, FALSE)</f>
        <v>#N/A</v>
      </c>
    </row>
    <row r="4260" spans="1:12" hidden="1">
      <c r="A4260" s="19">
        <f t="shared" si="339"/>
        <v>4254</v>
      </c>
      <c r="B4260" s="20">
        <f t="shared" si="335"/>
        <v>0</v>
      </c>
      <c r="C4260" s="21">
        <f t="shared" si="336"/>
        <v>0</v>
      </c>
      <c r="D4260" s="22" t="e">
        <f>VLOOKUP($A4260, TAB_JUROS_U[[Q_DIAS_U_PARC_TIR]:[V_FUT_U_JURS CENARIO]], D$5, FALSE)</f>
        <v>#N/A</v>
      </c>
      <c r="E4260" s="22" t="e">
        <f>VLOOKUP($A4260,TAB_CORRECAO_U[[Q_DIAS_U_PARC_TIR]:[V_FUT_U_CORC-02]],E$5, FALSE)</f>
        <v>#N/A</v>
      </c>
      <c r="F4260" s="22" t="e">
        <f>VLOOKUP($A4260,TAB_AMORTIZACAO_U[[Q_DIAS_U_PARC_TIR]:[V_FUT_U_PCPL-02]], F$5, FALSE)</f>
        <v>#N/A</v>
      </c>
      <c r="H4260" s="20">
        <f t="shared" si="337"/>
        <v>0</v>
      </c>
      <c r="I4260" s="21">
        <f t="shared" si="338"/>
        <v>0</v>
      </c>
      <c r="J4260" s="22" t="e">
        <f>VLOOKUP($A4260, TAB_JUROS_C[[DIAS_CORRIDOS]:[V_FUT_UTEIS]], J$5, FALSE)</f>
        <v>#N/A</v>
      </c>
      <c r="K4260" s="22" t="e">
        <f>VLOOKUP($A4260, TAB_CORRECAO_C[[DIAS_CORRIDOS]:[V_FUT_UTEIS]],K$5, FALSE)</f>
        <v>#N/A</v>
      </c>
      <c r="L4260" s="22" t="e">
        <f>VLOOKUP($A4260, TAB_AMORTIZACAO_C[[DIAS_CORRIDOS]:[V_FUT_UTEIS]], L$5, FALSE)</f>
        <v>#N/A</v>
      </c>
    </row>
    <row r="4261" spans="1:12" hidden="1">
      <c r="A4261" s="19">
        <f t="shared" si="339"/>
        <v>4255</v>
      </c>
      <c r="B4261" s="20">
        <f t="shared" si="335"/>
        <v>0</v>
      </c>
      <c r="C4261" s="21">
        <f t="shared" si="336"/>
        <v>0</v>
      </c>
      <c r="D4261" s="22" t="e">
        <f>VLOOKUP($A4261, TAB_JUROS_U[[Q_DIAS_U_PARC_TIR]:[V_FUT_U_JURS CENARIO]], D$5, FALSE)</f>
        <v>#N/A</v>
      </c>
      <c r="E4261" s="22" t="e">
        <f>VLOOKUP($A4261,TAB_CORRECAO_U[[Q_DIAS_U_PARC_TIR]:[V_FUT_U_CORC-02]],E$5, FALSE)</f>
        <v>#N/A</v>
      </c>
      <c r="F4261" s="22" t="e">
        <f>VLOOKUP($A4261,TAB_AMORTIZACAO_U[[Q_DIAS_U_PARC_TIR]:[V_FUT_U_PCPL-02]], F$5, FALSE)</f>
        <v>#N/A</v>
      </c>
      <c r="H4261" s="20">
        <f t="shared" si="337"/>
        <v>0</v>
      </c>
      <c r="I4261" s="21">
        <f t="shared" si="338"/>
        <v>0</v>
      </c>
      <c r="J4261" s="22" t="e">
        <f>VLOOKUP($A4261, TAB_JUROS_C[[DIAS_CORRIDOS]:[V_FUT_UTEIS]], J$5, FALSE)</f>
        <v>#N/A</v>
      </c>
      <c r="K4261" s="22" t="e">
        <f>VLOOKUP($A4261, TAB_CORRECAO_C[[DIAS_CORRIDOS]:[V_FUT_UTEIS]],K$5, FALSE)</f>
        <v>#N/A</v>
      </c>
      <c r="L4261" s="22" t="e">
        <f>VLOOKUP($A4261, TAB_AMORTIZACAO_C[[DIAS_CORRIDOS]:[V_FUT_UTEIS]], L$5, FALSE)</f>
        <v>#N/A</v>
      </c>
    </row>
    <row r="4262" spans="1:12" hidden="1">
      <c r="A4262" s="19">
        <f t="shared" si="339"/>
        <v>4256</v>
      </c>
      <c r="B4262" s="20">
        <f t="shared" si="335"/>
        <v>0</v>
      </c>
      <c r="C4262" s="21">
        <f t="shared" si="336"/>
        <v>0</v>
      </c>
      <c r="D4262" s="22" t="e">
        <f>VLOOKUP($A4262, TAB_JUROS_U[[Q_DIAS_U_PARC_TIR]:[V_FUT_U_JURS CENARIO]], D$5, FALSE)</f>
        <v>#N/A</v>
      </c>
      <c r="E4262" s="22" t="e">
        <f>VLOOKUP($A4262,TAB_CORRECAO_U[[Q_DIAS_U_PARC_TIR]:[V_FUT_U_CORC-02]],E$5, FALSE)</f>
        <v>#N/A</v>
      </c>
      <c r="F4262" s="22" t="e">
        <f>VLOOKUP($A4262,TAB_AMORTIZACAO_U[[Q_DIAS_U_PARC_TIR]:[V_FUT_U_PCPL-02]], F$5, FALSE)</f>
        <v>#N/A</v>
      </c>
      <c r="H4262" s="20">
        <f t="shared" si="337"/>
        <v>0</v>
      </c>
      <c r="I4262" s="21">
        <f t="shared" si="338"/>
        <v>0</v>
      </c>
      <c r="J4262" s="22" t="e">
        <f>VLOOKUP($A4262, TAB_JUROS_C[[DIAS_CORRIDOS]:[V_FUT_UTEIS]], J$5, FALSE)</f>
        <v>#N/A</v>
      </c>
      <c r="K4262" s="22" t="e">
        <f>VLOOKUP($A4262, TAB_CORRECAO_C[[DIAS_CORRIDOS]:[V_FUT_UTEIS]],K$5, FALSE)</f>
        <v>#N/A</v>
      </c>
      <c r="L4262" s="22" t="e">
        <f>VLOOKUP($A4262, TAB_AMORTIZACAO_C[[DIAS_CORRIDOS]:[V_FUT_UTEIS]], L$5, FALSE)</f>
        <v>#N/A</v>
      </c>
    </row>
    <row r="4263" spans="1:12" hidden="1">
      <c r="A4263" s="19">
        <f t="shared" si="339"/>
        <v>4257</v>
      </c>
      <c r="B4263" s="20">
        <f t="shared" si="335"/>
        <v>0</v>
      </c>
      <c r="C4263" s="21">
        <f t="shared" si="336"/>
        <v>0</v>
      </c>
      <c r="D4263" s="22" t="e">
        <f>VLOOKUP($A4263, TAB_JUROS_U[[Q_DIAS_U_PARC_TIR]:[V_FUT_U_JURS CENARIO]], D$5, FALSE)</f>
        <v>#N/A</v>
      </c>
      <c r="E4263" s="22" t="e">
        <f>VLOOKUP($A4263,TAB_CORRECAO_U[[Q_DIAS_U_PARC_TIR]:[V_FUT_U_CORC-02]],E$5, FALSE)</f>
        <v>#N/A</v>
      </c>
      <c r="F4263" s="22" t="e">
        <f>VLOOKUP($A4263,TAB_AMORTIZACAO_U[[Q_DIAS_U_PARC_TIR]:[V_FUT_U_PCPL-02]], F$5, FALSE)</f>
        <v>#N/A</v>
      </c>
      <c r="H4263" s="20">
        <f t="shared" si="337"/>
        <v>0</v>
      </c>
      <c r="I4263" s="21">
        <f t="shared" si="338"/>
        <v>0</v>
      </c>
      <c r="J4263" s="22" t="e">
        <f>VLOOKUP($A4263, TAB_JUROS_C[[DIAS_CORRIDOS]:[V_FUT_UTEIS]], J$5, FALSE)</f>
        <v>#N/A</v>
      </c>
      <c r="K4263" s="22" t="e">
        <f>VLOOKUP($A4263, TAB_CORRECAO_C[[DIAS_CORRIDOS]:[V_FUT_UTEIS]],K$5, FALSE)</f>
        <v>#N/A</v>
      </c>
      <c r="L4263" s="22" t="e">
        <f>VLOOKUP($A4263, TAB_AMORTIZACAO_C[[DIAS_CORRIDOS]:[V_FUT_UTEIS]], L$5, FALSE)</f>
        <v>#N/A</v>
      </c>
    </row>
    <row r="4264" spans="1:12" hidden="1">
      <c r="A4264" s="19">
        <f t="shared" si="339"/>
        <v>4258</v>
      </c>
      <c r="B4264" s="20">
        <f t="shared" si="335"/>
        <v>0</v>
      </c>
      <c r="C4264" s="21">
        <f t="shared" si="336"/>
        <v>0</v>
      </c>
      <c r="D4264" s="22" t="e">
        <f>VLOOKUP($A4264, TAB_JUROS_U[[Q_DIAS_U_PARC_TIR]:[V_FUT_U_JURS CENARIO]], D$5, FALSE)</f>
        <v>#N/A</v>
      </c>
      <c r="E4264" s="22" t="e">
        <f>VLOOKUP($A4264,TAB_CORRECAO_U[[Q_DIAS_U_PARC_TIR]:[V_FUT_U_CORC-02]],E$5, FALSE)</f>
        <v>#N/A</v>
      </c>
      <c r="F4264" s="22" t="e">
        <f>VLOOKUP($A4264,TAB_AMORTIZACAO_U[[Q_DIAS_U_PARC_TIR]:[V_FUT_U_PCPL-02]], F$5, FALSE)</f>
        <v>#N/A</v>
      </c>
      <c r="H4264" s="20">
        <f t="shared" si="337"/>
        <v>0</v>
      </c>
      <c r="I4264" s="21">
        <f t="shared" si="338"/>
        <v>0</v>
      </c>
      <c r="J4264" s="22" t="e">
        <f>VLOOKUP($A4264, TAB_JUROS_C[[DIAS_CORRIDOS]:[V_FUT_UTEIS]], J$5, FALSE)</f>
        <v>#N/A</v>
      </c>
      <c r="K4264" s="22" t="e">
        <f>VLOOKUP($A4264, TAB_CORRECAO_C[[DIAS_CORRIDOS]:[V_FUT_UTEIS]],K$5, FALSE)</f>
        <v>#N/A</v>
      </c>
      <c r="L4264" s="22" t="e">
        <f>VLOOKUP($A4264, TAB_AMORTIZACAO_C[[DIAS_CORRIDOS]:[V_FUT_UTEIS]], L$5, FALSE)</f>
        <v>#N/A</v>
      </c>
    </row>
    <row r="4265" spans="1:12" hidden="1">
      <c r="A4265" s="19">
        <f t="shared" si="339"/>
        <v>4259</v>
      </c>
      <c r="B4265" s="20">
        <f t="shared" si="335"/>
        <v>0</v>
      </c>
      <c r="C4265" s="21">
        <f t="shared" si="336"/>
        <v>0</v>
      </c>
      <c r="D4265" s="22" t="e">
        <f>VLOOKUP($A4265, TAB_JUROS_U[[Q_DIAS_U_PARC_TIR]:[V_FUT_U_JURS CENARIO]], D$5, FALSE)</f>
        <v>#N/A</v>
      </c>
      <c r="E4265" s="22" t="e">
        <f>VLOOKUP($A4265,TAB_CORRECAO_U[[Q_DIAS_U_PARC_TIR]:[V_FUT_U_CORC-02]],E$5, FALSE)</f>
        <v>#N/A</v>
      </c>
      <c r="F4265" s="22" t="e">
        <f>VLOOKUP($A4265,TAB_AMORTIZACAO_U[[Q_DIAS_U_PARC_TIR]:[V_FUT_U_PCPL-02]], F$5, FALSE)</f>
        <v>#N/A</v>
      </c>
      <c r="H4265" s="20">
        <f t="shared" si="337"/>
        <v>0</v>
      </c>
      <c r="I4265" s="21">
        <f t="shared" si="338"/>
        <v>0</v>
      </c>
      <c r="J4265" s="22" t="e">
        <f>VLOOKUP($A4265, TAB_JUROS_C[[DIAS_CORRIDOS]:[V_FUT_UTEIS]], J$5, FALSE)</f>
        <v>#N/A</v>
      </c>
      <c r="K4265" s="22" t="e">
        <f>VLOOKUP($A4265, TAB_CORRECAO_C[[DIAS_CORRIDOS]:[V_FUT_UTEIS]],K$5, FALSE)</f>
        <v>#N/A</v>
      </c>
      <c r="L4265" s="22" t="e">
        <f>VLOOKUP($A4265, TAB_AMORTIZACAO_C[[DIAS_CORRIDOS]:[V_FUT_UTEIS]], L$5, FALSE)</f>
        <v>#N/A</v>
      </c>
    </row>
    <row r="4266" spans="1:12" hidden="1">
      <c r="A4266" s="19">
        <f t="shared" si="339"/>
        <v>4260</v>
      </c>
      <c r="B4266" s="20">
        <f t="shared" si="335"/>
        <v>0</v>
      </c>
      <c r="C4266" s="21">
        <f t="shared" si="336"/>
        <v>0</v>
      </c>
      <c r="D4266" s="22" t="e">
        <f>VLOOKUP($A4266, TAB_JUROS_U[[Q_DIAS_U_PARC_TIR]:[V_FUT_U_JURS CENARIO]], D$5, FALSE)</f>
        <v>#N/A</v>
      </c>
      <c r="E4266" s="22" t="e">
        <f>VLOOKUP($A4266,TAB_CORRECAO_U[[Q_DIAS_U_PARC_TIR]:[V_FUT_U_CORC-02]],E$5, FALSE)</f>
        <v>#N/A</v>
      </c>
      <c r="F4266" s="22" t="e">
        <f>VLOOKUP($A4266,TAB_AMORTIZACAO_U[[Q_DIAS_U_PARC_TIR]:[V_FUT_U_PCPL-02]], F$5, FALSE)</f>
        <v>#N/A</v>
      </c>
      <c r="H4266" s="20">
        <f t="shared" si="337"/>
        <v>0</v>
      </c>
      <c r="I4266" s="21">
        <f t="shared" si="338"/>
        <v>0</v>
      </c>
      <c r="J4266" s="22" t="e">
        <f>VLOOKUP($A4266, TAB_JUROS_C[[DIAS_CORRIDOS]:[V_FUT_UTEIS]], J$5, FALSE)</f>
        <v>#N/A</v>
      </c>
      <c r="K4266" s="22" t="e">
        <f>VLOOKUP($A4266, TAB_CORRECAO_C[[DIAS_CORRIDOS]:[V_FUT_UTEIS]],K$5, FALSE)</f>
        <v>#N/A</v>
      </c>
      <c r="L4266" s="22" t="e">
        <f>VLOOKUP($A4266, TAB_AMORTIZACAO_C[[DIAS_CORRIDOS]:[V_FUT_UTEIS]], L$5, FALSE)</f>
        <v>#N/A</v>
      </c>
    </row>
    <row r="4267" spans="1:12" hidden="1">
      <c r="A4267" s="19">
        <f t="shared" si="339"/>
        <v>4261</v>
      </c>
      <c r="B4267" s="20">
        <f t="shared" si="335"/>
        <v>0</v>
      </c>
      <c r="C4267" s="21">
        <f t="shared" si="336"/>
        <v>0</v>
      </c>
      <c r="D4267" s="22" t="e">
        <f>VLOOKUP($A4267, TAB_JUROS_U[[Q_DIAS_U_PARC_TIR]:[V_FUT_U_JURS CENARIO]], D$5, FALSE)</f>
        <v>#N/A</v>
      </c>
      <c r="E4267" s="22" t="e">
        <f>VLOOKUP($A4267,TAB_CORRECAO_U[[Q_DIAS_U_PARC_TIR]:[V_FUT_U_CORC-02]],E$5, FALSE)</f>
        <v>#N/A</v>
      </c>
      <c r="F4267" s="22" t="e">
        <f>VLOOKUP($A4267,TAB_AMORTIZACAO_U[[Q_DIAS_U_PARC_TIR]:[V_FUT_U_PCPL-02]], F$5, FALSE)</f>
        <v>#N/A</v>
      </c>
      <c r="H4267" s="20">
        <f t="shared" si="337"/>
        <v>0</v>
      </c>
      <c r="I4267" s="21">
        <f t="shared" si="338"/>
        <v>0</v>
      </c>
      <c r="J4267" s="22" t="e">
        <f>VLOOKUP($A4267, TAB_JUROS_C[[DIAS_CORRIDOS]:[V_FUT_UTEIS]], J$5, FALSE)</f>
        <v>#N/A</v>
      </c>
      <c r="K4267" s="22" t="e">
        <f>VLOOKUP($A4267, TAB_CORRECAO_C[[DIAS_CORRIDOS]:[V_FUT_UTEIS]],K$5, FALSE)</f>
        <v>#N/A</v>
      </c>
      <c r="L4267" s="22" t="e">
        <f>VLOOKUP($A4267, TAB_AMORTIZACAO_C[[DIAS_CORRIDOS]:[V_FUT_UTEIS]], L$5, FALSE)</f>
        <v>#N/A</v>
      </c>
    </row>
    <row r="4268" spans="1:12" hidden="1">
      <c r="A4268" s="19">
        <f t="shared" si="339"/>
        <v>4262</v>
      </c>
      <c r="B4268" s="20">
        <f t="shared" si="335"/>
        <v>0</v>
      </c>
      <c r="C4268" s="21">
        <f t="shared" si="336"/>
        <v>0</v>
      </c>
      <c r="D4268" s="22" t="e">
        <f>VLOOKUP($A4268, TAB_JUROS_U[[Q_DIAS_U_PARC_TIR]:[V_FUT_U_JURS CENARIO]], D$5, FALSE)</f>
        <v>#N/A</v>
      </c>
      <c r="E4268" s="22" t="e">
        <f>VLOOKUP($A4268,TAB_CORRECAO_U[[Q_DIAS_U_PARC_TIR]:[V_FUT_U_CORC-02]],E$5, FALSE)</f>
        <v>#N/A</v>
      </c>
      <c r="F4268" s="22" t="e">
        <f>VLOOKUP($A4268,TAB_AMORTIZACAO_U[[Q_DIAS_U_PARC_TIR]:[V_FUT_U_PCPL-02]], F$5, FALSE)</f>
        <v>#N/A</v>
      </c>
      <c r="H4268" s="20">
        <f t="shared" si="337"/>
        <v>0</v>
      </c>
      <c r="I4268" s="21">
        <f t="shared" si="338"/>
        <v>0</v>
      </c>
      <c r="J4268" s="22" t="e">
        <f>VLOOKUP($A4268, TAB_JUROS_C[[DIAS_CORRIDOS]:[V_FUT_UTEIS]], J$5, FALSE)</f>
        <v>#N/A</v>
      </c>
      <c r="K4268" s="22" t="e">
        <f>VLOOKUP($A4268, TAB_CORRECAO_C[[DIAS_CORRIDOS]:[V_FUT_UTEIS]],K$5, FALSE)</f>
        <v>#N/A</v>
      </c>
      <c r="L4268" s="22" t="e">
        <f>VLOOKUP($A4268, TAB_AMORTIZACAO_C[[DIAS_CORRIDOS]:[V_FUT_UTEIS]], L$5, FALSE)</f>
        <v>#N/A</v>
      </c>
    </row>
    <row r="4269" spans="1:12" hidden="1">
      <c r="A4269" s="19">
        <f t="shared" si="339"/>
        <v>4263</v>
      </c>
      <c r="B4269" s="20">
        <f t="shared" si="335"/>
        <v>0</v>
      </c>
      <c r="C4269" s="21">
        <f t="shared" si="336"/>
        <v>0</v>
      </c>
      <c r="D4269" s="22" t="e">
        <f>VLOOKUP($A4269, TAB_JUROS_U[[Q_DIAS_U_PARC_TIR]:[V_FUT_U_JURS CENARIO]], D$5, FALSE)</f>
        <v>#N/A</v>
      </c>
      <c r="E4269" s="22" t="e">
        <f>VLOOKUP($A4269,TAB_CORRECAO_U[[Q_DIAS_U_PARC_TIR]:[V_FUT_U_CORC-02]],E$5, FALSE)</f>
        <v>#N/A</v>
      </c>
      <c r="F4269" s="22" t="e">
        <f>VLOOKUP($A4269,TAB_AMORTIZACAO_U[[Q_DIAS_U_PARC_TIR]:[V_FUT_U_PCPL-02]], F$5, FALSE)</f>
        <v>#N/A</v>
      </c>
      <c r="H4269" s="20">
        <f t="shared" si="337"/>
        <v>0</v>
      </c>
      <c r="I4269" s="21">
        <f t="shared" si="338"/>
        <v>0</v>
      </c>
      <c r="J4269" s="22" t="e">
        <f>VLOOKUP($A4269, TAB_JUROS_C[[DIAS_CORRIDOS]:[V_FUT_UTEIS]], J$5, FALSE)</f>
        <v>#N/A</v>
      </c>
      <c r="K4269" s="22" t="e">
        <f>VLOOKUP($A4269, TAB_CORRECAO_C[[DIAS_CORRIDOS]:[V_FUT_UTEIS]],K$5, FALSE)</f>
        <v>#N/A</v>
      </c>
      <c r="L4269" s="22" t="e">
        <f>VLOOKUP($A4269, TAB_AMORTIZACAO_C[[DIAS_CORRIDOS]:[V_FUT_UTEIS]], L$5, FALSE)</f>
        <v>#N/A</v>
      </c>
    </row>
    <row r="4270" spans="1:12" hidden="1">
      <c r="A4270" s="19">
        <f t="shared" si="339"/>
        <v>4264</v>
      </c>
      <c r="B4270" s="20">
        <f t="shared" si="335"/>
        <v>0</v>
      </c>
      <c r="C4270" s="21">
        <f t="shared" si="336"/>
        <v>0</v>
      </c>
      <c r="D4270" s="22" t="e">
        <f>VLOOKUP($A4270, TAB_JUROS_U[[Q_DIAS_U_PARC_TIR]:[V_FUT_U_JURS CENARIO]], D$5, FALSE)</f>
        <v>#N/A</v>
      </c>
      <c r="E4270" s="22" t="e">
        <f>VLOOKUP($A4270,TAB_CORRECAO_U[[Q_DIAS_U_PARC_TIR]:[V_FUT_U_CORC-02]],E$5, FALSE)</f>
        <v>#N/A</v>
      </c>
      <c r="F4270" s="22" t="e">
        <f>VLOOKUP($A4270,TAB_AMORTIZACAO_U[[Q_DIAS_U_PARC_TIR]:[V_FUT_U_PCPL-02]], F$5, FALSE)</f>
        <v>#N/A</v>
      </c>
      <c r="H4270" s="20">
        <f t="shared" si="337"/>
        <v>0</v>
      </c>
      <c r="I4270" s="21">
        <f t="shared" si="338"/>
        <v>0</v>
      </c>
      <c r="J4270" s="22" t="e">
        <f>VLOOKUP($A4270, TAB_JUROS_C[[DIAS_CORRIDOS]:[V_FUT_UTEIS]], J$5, FALSE)</f>
        <v>#N/A</v>
      </c>
      <c r="K4270" s="22" t="e">
        <f>VLOOKUP($A4270, TAB_CORRECAO_C[[DIAS_CORRIDOS]:[V_FUT_UTEIS]],K$5, FALSE)</f>
        <v>#N/A</v>
      </c>
      <c r="L4270" s="22" t="e">
        <f>VLOOKUP($A4270, TAB_AMORTIZACAO_C[[DIAS_CORRIDOS]:[V_FUT_UTEIS]], L$5, FALSE)</f>
        <v>#N/A</v>
      </c>
    </row>
    <row r="4271" spans="1:12" hidden="1">
      <c r="A4271" s="19">
        <f t="shared" si="339"/>
        <v>4265</v>
      </c>
      <c r="B4271" s="20">
        <f t="shared" si="335"/>
        <v>0</v>
      </c>
      <c r="C4271" s="21">
        <f t="shared" si="336"/>
        <v>0</v>
      </c>
      <c r="D4271" s="22" t="e">
        <f>VLOOKUP($A4271, TAB_JUROS_U[[Q_DIAS_U_PARC_TIR]:[V_FUT_U_JURS CENARIO]], D$5, FALSE)</f>
        <v>#N/A</v>
      </c>
      <c r="E4271" s="22" t="e">
        <f>VLOOKUP($A4271,TAB_CORRECAO_U[[Q_DIAS_U_PARC_TIR]:[V_FUT_U_CORC-02]],E$5, FALSE)</f>
        <v>#N/A</v>
      </c>
      <c r="F4271" s="22" t="e">
        <f>VLOOKUP($A4271,TAB_AMORTIZACAO_U[[Q_DIAS_U_PARC_TIR]:[V_FUT_U_PCPL-02]], F$5, FALSE)</f>
        <v>#N/A</v>
      </c>
      <c r="H4271" s="20">
        <f t="shared" si="337"/>
        <v>0</v>
      </c>
      <c r="I4271" s="21">
        <f t="shared" si="338"/>
        <v>0</v>
      </c>
      <c r="J4271" s="22" t="e">
        <f>VLOOKUP($A4271, TAB_JUROS_C[[DIAS_CORRIDOS]:[V_FUT_UTEIS]], J$5, FALSE)</f>
        <v>#N/A</v>
      </c>
      <c r="K4271" s="22" t="e">
        <f>VLOOKUP($A4271, TAB_CORRECAO_C[[DIAS_CORRIDOS]:[V_FUT_UTEIS]],K$5, FALSE)</f>
        <v>#N/A</v>
      </c>
      <c r="L4271" s="22" t="e">
        <f>VLOOKUP($A4271, TAB_AMORTIZACAO_C[[DIAS_CORRIDOS]:[V_FUT_UTEIS]], L$5, FALSE)</f>
        <v>#N/A</v>
      </c>
    </row>
    <row r="4272" spans="1:12" hidden="1">
      <c r="A4272" s="19">
        <f t="shared" si="339"/>
        <v>4266</v>
      </c>
      <c r="B4272" s="20">
        <f t="shared" si="335"/>
        <v>0</v>
      </c>
      <c r="C4272" s="21">
        <f t="shared" si="336"/>
        <v>0</v>
      </c>
      <c r="D4272" s="22" t="e">
        <f>VLOOKUP($A4272, TAB_JUROS_U[[Q_DIAS_U_PARC_TIR]:[V_FUT_U_JURS CENARIO]], D$5, FALSE)</f>
        <v>#N/A</v>
      </c>
      <c r="E4272" s="22" t="e">
        <f>VLOOKUP($A4272,TAB_CORRECAO_U[[Q_DIAS_U_PARC_TIR]:[V_FUT_U_CORC-02]],E$5, FALSE)</f>
        <v>#N/A</v>
      </c>
      <c r="F4272" s="22" t="e">
        <f>VLOOKUP($A4272,TAB_AMORTIZACAO_U[[Q_DIAS_U_PARC_TIR]:[V_FUT_U_PCPL-02]], F$5, FALSE)</f>
        <v>#N/A</v>
      </c>
      <c r="H4272" s="20">
        <f t="shared" si="337"/>
        <v>0</v>
      </c>
      <c r="I4272" s="21">
        <f t="shared" si="338"/>
        <v>0</v>
      </c>
      <c r="J4272" s="22" t="e">
        <f>VLOOKUP($A4272, TAB_JUROS_C[[DIAS_CORRIDOS]:[V_FUT_UTEIS]], J$5, FALSE)</f>
        <v>#N/A</v>
      </c>
      <c r="K4272" s="22" t="e">
        <f>VLOOKUP($A4272, TAB_CORRECAO_C[[DIAS_CORRIDOS]:[V_FUT_UTEIS]],K$5, FALSE)</f>
        <v>#N/A</v>
      </c>
      <c r="L4272" s="22" t="e">
        <f>VLOOKUP($A4272, TAB_AMORTIZACAO_C[[DIAS_CORRIDOS]:[V_FUT_UTEIS]], L$5, FALSE)</f>
        <v>#N/A</v>
      </c>
    </row>
    <row r="4273" spans="1:12" hidden="1">
      <c r="A4273" s="19">
        <f t="shared" si="339"/>
        <v>4267</v>
      </c>
      <c r="B4273" s="20">
        <f t="shared" si="335"/>
        <v>0</v>
      </c>
      <c r="C4273" s="21">
        <f t="shared" si="336"/>
        <v>0</v>
      </c>
      <c r="D4273" s="22" t="e">
        <f>VLOOKUP($A4273, TAB_JUROS_U[[Q_DIAS_U_PARC_TIR]:[V_FUT_U_JURS CENARIO]], D$5, FALSE)</f>
        <v>#N/A</v>
      </c>
      <c r="E4273" s="22" t="e">
        <f>VLOOKUP($A4273,TAB_CORRECAO_U[[Q_DIAS_U_PARC_TIR]:[V_FUT_U_CORC-02]],E$5, FALSE)</f>
        <v>#N/A</v>
      </c>
      <c r="F4273" s="22" t="e">
        <f>VLOOKUP($A4273,TAB_AMORTIZACAO_U[[Q_DIAS_U_PARC_TIR]:[V_FUT_U_PCPL-02]], F$5, FALSE)</f>
        <v>#N/A</v>
      </c>
      <c r="H4273" s="20">
        <f t="shared" si="337"/>
        <v>0</v>
      </c>
      <c r="I4273" s="21">
        <f t="shared" si="338"/>
        <v>0</v>
      </c>
      <c r="J4273" s="22" t="e">
        <f>VLOOKUP($A4273, TAB_JUROS_C[[DIAS_CORRIDOS]:[V_FUT_UTEIS]], J$5, FALSE)</f>
        <v>#N/A</v>
      </c>
      <c r="K4273" s="22" t="e">
        <f>VLOOKUP($A4273, TAB_CORRECAO_C[[DIAS_CORRIDOS]:[V_FUT_UTEIS]],K$5, FALSE)</f>
        <v>#N/A</v>
      </c>
      <c r="L4273" s="22" t="e">
        <f>VLOOKUP($A4273, TAB_AMORTIZACAO_C[[DIAS_CORRIDOS]:[V_FUT_UTEIS]], L$5, FALSE)</f>
        <v>#N/A</v>
      </c>
    </row>
    <row r="4274" spans="1:12" hidden="1">
      <c r="A4274" s="19">
        <f t="shared" si="339"/>
        <v>4268</v>
      </c>
      <c r="B4274" s="20">
        <f t="shared" si="335"/>
        <v>0</v>
      </c>
      <c r="C4274" s="21">
        <f t="shared" si="336"/>
        <v>0</v>
      </c>
      <c r="D4274" s="22" t="e">
        <f>VLOOKUP($A4274, TAB_JUROS_U[[Q_DIAS_U_PARC_TIR]:[V_FUT_U_JURS CENARIO]], D$5, FALSE)</f>
        <v>#N/A</v>
      </c>
      <c r="E4274" s="22" t="e">
        <f>VLOOKUP($A4274,TAB_CORRECAO_U[[Q_DIAS_U_PARC_TIR]:[V_FUT_U_CORC-02]],E$5, FALSE)</f>
        <v>#N/A</v>
      </c>
      <c r="F4274" s="22" t="e">
        <f>VLOOKUP($A4274,TAB_AMORTIZACAO_U[[Q_DIAS_U_PARC_TIR]:[V_FUT_U_PCPL-02]], F$5, FALSE)</f>
        <v>#N/A</v>
      </c>
      <c r="H4274" s="20">
        <f t="shared" si="337"/>
        <v>0</v>
      </c>
      <c r="I4274" s="21">
        <f t="shared" si="338"/>
        <v>0</v>
      </c>
      <c r="J4274" s="22" t="e">
        <f>VLOOKUP($A4274, TAB_JUROS_C[[DIAS_CORRIDOS]:[V_FUT_UTEIS]], J$5, FALSE)</f>
        <v>#N/A</v>
      </c>
      <c r="K4274" s="22" t="e">
        <f>VLOOKUP($A4274, TAB_CORRECAO_C[[DIAS_CORRIDOS]:[V_FUT_UTEIS]],K$5, FALSE)</f>
        <v>#N/A</v>
      </c>
      <c r="L4274" s="22" t="e">
        <f>VLOOKUP($A4274, TAB_AMORTIZACAO_C[[DIAS_CORRIDOS]:[V_FUT_UTEIS]], L$5, FALSE)</f>
        <v>#N/A</v>
      </c>
    </row>
    <row r="4275" spans="1:12" hidden="1">
      <c r="A4275" s="19">
        <f t="shared" si="339"/>
        <v>4269</v>
      </c>
      <c r="B4275" s="20">
        <f t="shared" si="335"/>
        <v>0</v>
      </c>
      <c r="C4275" s="21">
        <f t="shared" si="336"/>
        <v>0</v>
      </c>
      <c r="D4275" s="22" t="e">
        <f>VLOOKUP($A4275, TAB_JUROS_U[[Q_DIAS_U_PARC_TIR]:[V_FUT_U_JURS CENARIO]], D$5, FALSE)</f>
        <v>#N/A</v>
      </c>
      <c r="E4275" s="22" t="e">
        <f>VLOOKUP($A4275,TAB_CORRECAO_U[[Q_DIAS_U_PARC_TIR]:[V_FUT_U_CORC-02]],E$5, FALSE)</f>
        <v>#N/A</v>
      </c>
      <c r="F4275" s="22" t="e">
        <f>VLOOKUP($A4275,TAB_AMORTIZACAO_U[[Q_DIAS_U_PARC_TIR]:[V_FUT_U_PCPL-02]], F$5, FALSE)</f>
        <v>#N/A</v>
      </c>
      <c r="H4275" s="20">
        <f t="shared" si="337"/>
        <v>0</v>
      </c>
      <c r="I4275" s="21">
        <f t="shared" si="338"/>
        <v>0</v>
      </c>
      <c r="J4275" s="22" t="e">
        <f>VLOOKUP($A4275, TAB_JUROS_C[[DIAS_CORRIDOS]:[V_FUT_UTEIS]], J$5, FALSE)</f>
        <v>#N/A</v>
      </c>
      <c r="K4275" s="22" t="e">
        <f>VLOOKUP($A4275, TAB_CORRECAO_C[[DIAS_CORRIDOS]:[V_FUT_UTEIS]],K$5, FALSE)</f>
        <v>#N/A</v>
      </c>
      <c r="L4275" s="22" t="e">
        <f>VLOOKUP($A4275, TAB_AMORTIZACAO_C[[DIAS_CORRIDOS]:[V_FUT_UTEIS]], L$5, FALSE)</f>
        <v>#N/A</v>
      </c>
    </row>
    <row r="4276" spans="1:12" hidden="1">
      <c r="A4276" s="19">
        <f t="shared" si="339"/>
        <v>4270</v>
      </c>
      <c r="B4276" s="20">
        <f t="shared" si="335"/>
        <v>0</v>
      </c>
      <c r="C4276" s="21">
        <f t="shared" si="336"/>
        <v>0</v>
      </c>
      <c r="D4276" s="22" t="e">
        <f>VLOOKUP($A4276, TAB_JUROS_U[[Q_DIAS_U_PARC_TIR]:[V_FUT_U_JURS CENARIO]], D$5, FALSE)</f>
        <v>#N/A</v>
      </c>
      <c r="E4276" s="22" t="e">
        <f>VLOOKUP($A4276,TAB_CORRECAO_U[[Q_DIAS_U_PARC_TIR]:[V_FUT_U_CORC-02]],E$5, FALSE)</f>
        <v>#N/A</v>
      </c>
      <c r="F4276" s="22" t="e">
        <f>VLOOKUP($A4276,TAB_AMORTIZACAO_U[[Q_DIAS_U_PARC_TIR]:[V_FUT_U_PCPL-02]], F$5, FALSE)</f>
        <v>#N/A</v>
      </c>
      <c r="H4276" s="20">
        <f t="shared" si="337"/>
        <v>0</v>
      </c>
      <c r="I4276" s="21">
        <f t="shared" si="338"/>
        <v>0</v>
      </c>
      <c r="J4276" s="22" t="e">
        <f>VLOOKUP($A4276, TAB_JUROS_C[[DIAS_CORRIDOS]:[V_FUT_UTEIS]], J$5, FALSE)</f>
        <v>#N/A</v>
      </c>
      <c r="K4276" s="22" t="e">
        <f>VLOOKUP($A4276, TAB_CORRECAO_C[[DIAS_CORRIDOS]:[V_FUT_UTEIS]],K$5, FALSE)</f>
        <v>#N/A</v>
      </c>
      <c r="L4276" s="22" t="e">
        <f>VLOOKUP($A4276, TAB_AMORTIZACAO_C[[DIAS_CORRIDOS]:[V_FUT_UTEIS]], L$5, FALSE)</f>
        <v>#N/A</v>
      </c>
    </row>
    <row r="4277" spans="1:12" hidden="1">
      <c r="A4277" s="19">
        <f t="shared" si="339"/>
        <v>4271</v>
      </c>
      <c r="B4277" s="20">
        <f t="shared" si="335"/>
        <v>0</v>
      </c>
      <c r="C4277" s="21">
        <f t="shared" si="336"/>
        <v>0</v>
      </c>
      <c r="D4277" s="22" t="e">
        <f>VLOOKUP($A4277, TAB_JUROS_U[[Q_DIAS_U_PARC_TIR]:[V_FUT_U_JURS CENARIO]], D$5, FALSE)</f>
        <v>#N/A</v>
      </c>
      <c r="E4277" s="22" t="e">
        <f>VLOOKUP($A4277,TAB_CORRECAO_U[[Q_DIAS_U_PARC_TIR]:[V_FUT_U_CORC-02]],E$5, FALSE)</f>
        <v>#N/A</v>
      </c>
      <c r="F4277" s="22" t="e">
        <f>VLOOKUP($A4277,TAB_AMORTIZACAO_U[[Q_DIAS_U_PARC_TIR]:[V_FUT_U_PCPL-02]], F$5, FALSE)</f>
        <v>#N/A</v>
      </c>
      <c r="H4277" s="20">
        <f t="shared" si="337"/>
        <v>0</v>
      </c>
      <c r="I4277" s="21">
        <f t="shared" si="338"/>
        <v>0</v>
      </c>
      <c r="J4277" s="22" t="e">
        <f>VLOOKUP($A4277, TAB_JUROS_C[[DIAS_CORRIDOS]:[V_FUT_UTEIS]], J$5, FALSE)</f>
        <v>#N/A</v>
      </c>
      <c r="K4277" s="22" t="e">
        <f>VLOOKUP($A4277, TAB_CORRECAO_C[[DIAS_CORRIDOS]:[V_FUT_UTEIS]],K$5, FALSE)</f>
        <v>#N/A</v>
      </c>
      <c r="L4277" s="22" t="e">
        <f>VLOOKUP($A4277, TAB_AMORTIZACAO_C[[DIAS_CORRIDOS]:[V_FUT_UTEIS]], L$5, FALSE)</f>
        <v>#N/A</v>
      </c>
    </row>
    <row r="4278" spans="1:12" hidden="1">
      <c r="A4278" s="19">
        <f t="shared" si="339"/>
        <v>4272</v>
      </c>
      <c r="B4278" s="20">
        <f t="shared" si="335"/>
        <v>0</v>
      </c>
      <c r="C4278" s="21">
        <f t="shared" si="336"/>
        <v>0</v>
      </c>
      <c r="D4278" s="22" t="e">
        <f>VLOOKUP($A4278, TAB_JUROS_U[[Q_DIAS_U_PARC_TIR]:[V_FUT_U_JURS CENARIO]], D$5, FALSE)</f>
        <v>#N/A</v>
      </c>
      <c r="E4278" s="22" t="e">
        <f>VLOOKUP($A4278,TAB_CORRECAO_U[[Q_DIAS_U_PARC_TIR]:[V_FUT_U_CORC-02]],E$5, FALSE)</f>
        <v>#N/A</v>
      </c>
      <c r="F4278" s="22" t="e">
        <f>VLOOKUP($A4278,TAB_AMORTIZACAO_U[[Q_DIAS_U_PARC_TIR]:[V_FUT_U_PCPL-02]], F$5, FALSE)</f>
        <v>#N/A</v>
      </c>
      <c r="H4278" s="20">
        <f t="shared" si="337"/>
        <v>0</v>
      </c>
      <c r="I4278" s="21">
        <f t="shared" si="338"/>
        <v>0</v>
      </c>
      <c r="J4278" s="22" t="e">
        <f>VLOOKUP($A4278, TAB_JUROS_C[[DIAS_CORRIDOS]:[V_FUT_UTEIS]], J$5, FALSE)</f>
        <v>#N/A</v>
      </c>
      <c r="K4278" s="22" t="e">
        <f>VLOOKUP($A4278, TAB_CORRECAO_C[[DIAS_CORRIDOS]:[V_FUT_UTEIS]],K$5, FALSE)</f>
        <v>#N/A</v>
      </c>
      <c r="L4278" s="22" t="e">
        <f>VLOOKUP($A4278, TAB_AMORTIZACAO_C[[DIAS_CORRIDOS]:[V_FUT_UTEIS]], L$5, FALSE)</f>
        <v>#N/A</v>
      </c>
    </row>
    <row r="4279" spans="1:12" hidden="1">
      <c r="A4279" s="19">
        <f t="shared" si="339"/>
        <v>4273</v>
      </c>
      <c r="B4279" s="20">
        <f t="shared" si="335"/>
        <v>0</v>
      </c>
      <c r="C4279" s="21">
        <f t="shared" si="336"/>
        <v>0</v>
      </c>
      <c r="D4279" s="22" t="e">
        <f>VLOOKUP($A4279, TAB_JUROS_U[[Q_DIAS_U_PARC_TIR]:[V_FUT_U_JURS CENARIO]], D$5, FALSE)</f>
        <v>#N/A</v>
      </c>
      <c r="E4279" s="22" t="e">
        <f>VLOOKUP($A4279,TAB_CORRECAO_U[[Q_DIAS_U_PARC_TIR]:[V_FUT_U_CORC-02]],E$5, FALSE)</f>
        <v>#N/A</v>
      </c>
      <c r="F4279" s="22" t="e">
        <f>VLOOKUP($A4279,TAB_AMORTIZACAO_U[[Q_DIAS_U_PARC_TIR]:[V_FUT_U_PCPL-02]], F$5, FALSE)</f>
        <v>#N/A</v>
      </c>
      <c r="H4279" s="20">
        <f t="shared" si="337"/>
        <v>91.121691703334861</v>
      </c>
      <c r="I4279" s="21">
        <f t="shared" si="338"/>
        <v>91.121691703334861</v>
      </c>
      <c r="J4279" s="22">
        <f>VLOOKUP($A4279, TAB_JUROS_C[[DIAS_CORRIDOS]:[V_FUT_UTEIS]], J$5, FALSE)</f>
        <v>0.74023363461418734</v>
      </c>
      <c r="K4279" s="22">
        <f>VLOOKUP($A4279, TAB_CORRECAO_C[[DIAS_CORRIDOS]:[V_FUT_UTEIS]],K$5, FALSE)</f>
        <v>4.5252117318530463</v>
      </c>
      <c r="L4279" s="22">
        <f>VLOOKUP($A4279, TAB_AMORTIZACAO_C[[DIAS_CORRIDOS]:[V_FUT_UTEIS]], L$5, FALSE)</f>
        <v>85.856246336867628</v>
      </c>
    </row>
    <row r="4280" spans="1:12" hidden="1">
      <c r="A4280" s="19">
        <f t="shared" si="339"/>
        <v>4274</v>
      </c>
      <c r="B4280" s="20">
        <f t="shared" si="335"/>
        <v>0</v>
      </c>
      <c r="C4280" s="21">
        <f t="shared" si="336"/>
        <v>0</v>
      </c>
      <c r="D4280" s="22" t="e">
        <f>VLOOKUP($A4280, TAB_JUROS_U[[Q_DIAS_U_PARC_TIR]:[V_FUT_U_JURS CENARIO]], D$5, FALSE)</f>
        <v>#N/A</v>
      </c>
      <c r="E4280" s="22" t="e">
        <f>VLOOKUP($A4280,TAB_CORRECAO_U[[Q_DIAS_U_PARC_TIR]:[V_FUT_U_CORC-02]],E$5, FALSE)</f>
        <v>#N/A</v>
      </c>
      <c r="F4280" s="22" t="e">
        <f>VLOOKUP($A4280,TAB_AMORTIZACAO_U[[Q_DIAS_U_PARC_TIR]:[V_FUT_U_PCPL-02]], F$5, FALSE)</f>
        <v>#N/A</v>
      </c>
      <c r="H4280" s="20">
        <f t="shared" si="337"/>
        <v>0</v>
      </c>
      <c r="I4280" s="21">
        <f t="shared" si="338"/>
        <v>0</v>
      </c>
      <c r="J4280" s="22" t="e">
        <f>VLOOKUP($A4280, TAB_JUROS_C[[DIAS_CORRIDOS]:[V_FUT_UTEIS]], J$5, FALSE)</f>
        <v>#N/A</v>
      </c>
      <c r="K4280" s="22" t="e">
        <f>VLOOKUP($A4280, TAB_CORRECAO_C[[DIAS_CORRIDOS]:[V_FUT_UTEIS]],K$5, FALSE)</f>
        <v>#N/A</v>
      </c>
      <c r="L4280" s="22" t="e">
        <f>VLOOKUP($A4280, TAB_AMORTIZACAO_C[[DIAS_CORRIDOS]:[V_FUT_UTEIS]], L$5, FALSE)</f>
        <v>#N/A</v>
      </c>
    </row>
    <row r="4281" spans="1:12" hidden="1">
      <c r="A4281" s="19">
        <f t="shared" si="339"/>
        <v>4275</v>
      </c>
      <c r="B4281" s="20">
        <f t="shared" si="335"/>
        <v>0</v>
      </c>
      <c r="C4281" s="21">
        <f t="shared" si="336"/>
        <v>0</v>
      </c>
      <c r="D4281" s="22" t="e">
        <f>VLOOKUP($A4281, TAB_JUROS_U[[Q_DIAS_U_PARC_TIR]:[V_FUT_U_JURS CENARIO]], D$5, FALSE)</f>
        <v>#N/A</v>
      </c>
      <c r="E4281" s="22" t="e">
        <f>VLOOKUP($A4281,TAB_CORRECAO_U[[Q_DIAS_U_PARC_TIR]:[V_FUT_U_CORC-02]],E$5, FALSE)</f>
        <v>#N/A</v>
      </c>
      <c r="F4281" s="22" t="e">
        <f>VLOOKUP($A4281,TAB_AMORTIZACAO_U[[Q_DIAS_U_PARC_TIR]:[V_FUT_U_PCPL-02]], F$5, FALSE)</f>
        <v>#N/A</v>
      </c>
      <c r="H4281" s="20">
        <f t="shared" si="337"/>
        <v>0</v>
      </c>
      <c r="I4281" s="21">
        <f t="shared" si="338"/>
        <v>0</v>
      </c>
      <c r="J4281" s="22" t="e">
        <f>VLOOKUP($A4281, TAB_JUROS_C[[DIAS_CORRIDOS]:[V_FUT_UTEIS]], J$5, FALSE)</f>
        <v>#N/A</v>
      </c>
      <c r="K4281" s="22" t="e">
        <f>VLOOKUP($A4281, TAB_CORRECAO_C[[DIAS_CORRIDOS]:[V_FUT_UTEIS]],K$5, FALSE)</f>
        <v>#N/A</v>
      </c>
      <c r="L4281" s="22" t="e">
        <f>VLOOKUP($A4281, TAB_AMORTIZACAO_C[[DIAS_CORRIDOS]:[V_FUT_UTEIS]], L$5, FALSE)</f>
        <v>#N/A</v>
      </c>
    </row>
    <row r="4282" spans="1:12" hidden="1">
      <c r="A4282" s="19">
        <f t="shared" si="339"/>
        <v>4276</v>
      </c>
      <c r="B4282" s="20">
        <f t="shared" si="335"/>
        <v>0</v>
      </c>
      <c r="C4282" s="21">
        <f t="shared" si="336"/>
        <v>0</v>
      </c>
      <c r="D4282" s="22" t="e">
        <f>VLOOKUP($A4282, TAB_JUROS_U[[Q_DIAS_U_PARC_TIR]:[V_FUT_U_JURS CENARIO]], D$5, FALSE)</f>
        <v>#N/A</v>
      </c>
      <c r="E4282" s="22" t="e">
        <f>VLOOKUP($A4282,TAB_CORRECAO_U[[Q_DIAS_U_PARC_TIR]:[V_FUT_U_CORC-02]],E$5, FALSE)</f>
        <v>#N/A</v>
      </c>
      <c r="F4282" s="22" t="e">
        <f>VLOOKUP($A4282,TAB_AMORTIZACAO_U[[Q_DIAS_U_PARC_TIR]:[V_FUT_U_PCPL-02]], F$5, FALSE)</f>
        <v>#N/A</v>
      </c>
      <c r="H4282" s="20">
        <f t="shared" si="337"/>
        <v>0</v>
      </c>
      <c r="I4282" s="21">
        <f t="shared" si="338"/>
        <v>0</v>
      </c>
      <c r="J4282" s="22" t="e">
        <f>VLOOKUP($A4282, TAB_JUROS_C[[DIAS_CORRIDOS]:[V_FUT_UTEIS]], J$5, FALSE)</f>
        <v>#N/A</v>
      </c>
      <c r="K4282" s="22" t="e">
        <f>VLOOKUP($A4282, TAB_CORRECAO_C[[DIAS_CORRIDOS]:[V_FUT_UTEIS]],K$5, FALSE)</f>
        <v>#N/A</v>
      </c>
      <c r="L4282" s="22" t="e">
        <f>VLOOKUP($A4282, TAB_AMORTIZACAO_C[[DIAS_CORRIDOS]:[V_FUT_UTEIS]], L$5, FALSE)</f>
        <v>#N/A</v>
      </c>
    </row>
    <row r="4283" spans="1:12" hidden="1">
      <c r="A4283" s="19">
        <f t="shared" si="339"/>
        <v>4277</v>
      </c>
      <c r="B4283" s="20">
        <f t="shared" si="335"/>
        <v>0</v>
      </c>
      <c r="C4283" s="21">
        <f t="shared" si="336"/>
        <v>0</v>
      </c>
      <c r="D4283" s="22" t="e">
        <f>VLOOKUP($A4283, TAB_JUROS_U[[Q_DIAS_U_PARC_TIR]:[V_FUT_U_JURS CENARIO]], D$5, FALSE)</f>
        <v>#N/A</v>
      </c>
      <c r="E4283" s="22" t="e">
        <f>VLOOKUP($A4283,TAB_CORRECAO_U[[Q_DIAS_U_PARC_TIR]:[V_FUT_U_CORC-02]],E$5, FALSE)</f>
        <v>#N/A</v>
      </c>
      <c r="F4283" s="22" t="e">
        <f>VLOOKUP($A4283,TAB_AMORTIZACAO_U[[Q_DIAS_U_PARC_TIR]:[V_FUT_U_PCPL-02]], F$5, FALSE)</f>
        <v>#N/A</v>
      </c>
      <c r="H4283" s="20">
        <f t="shared" si="337"/>
        <v>0</v>
      </c>
      <c r="I4283" s="21">
        <f t="shared" si="338"/>
        <v>0</v>
      </c>
      <c r="J4283" s="22" t="e">
        <f>VLOOKUP($A4283, TAB_JUROS_C[[DIAS_CORRIDOS]:[V_FUT_UTEIS]], J$5, FALSE)</f>
        <v>#N/A</v>
      </c>
      <c r="K4283" s="22" t="e">
        <f>VLOOKUP($A4283, TAB_CORRECAO_C[[DIAS_CORRIDOS]:[V_FUT_UTEIS]],K$5, FALSE)</f>
        <v>#N/A</v>
      </c>
      <c r="L4283" s="22" t="e">
        <f>VLOOKUP($A4283, TAB_AMORTIZACAO_C[[DIAS_CORRIDOS]:[V_FUT_UTEIS]], L$5, FALSE)</f>
        <v>#N/A</v>
      </c>
    </row>
    <row r="4284" spans="1:12" hidden="1">
      <c r="A4284" s="19">
        <f t="shared" si="339"/>
        <v>4278</v>
      </c>
      <c r="B4284" s="20">
        <f t="shared" si="335"/>
        <v>0</v>
      </c>
      <c r="C4284" s="21">
        <f t="shared" si="336"/>
        <v>0</v>
      </c>
      <c r="D4284" s="22" t="e">
        <f>VLOOKUP($A4284, TAB_JUROS_U[[Q_DIAS_U_PARC_TIR]:[V_FUT_U_JURS CENARIO]], D$5, FALSE)</f>
        <v>#N/A</v>
      </c>
      <c r="E4284" s="22" t="e">
        <f>VLOOKUP($A4284,TAB_CORRECAO_U[[Q_DIAS_U_PARC_TIR]:[V_FUT_U_CORC-02]],E$5, FALSE)</f>
        <v>#N/A</v>
      </c>
      <c r="F4284" s="22" t="e">
        <f>VLOOKUP($A4284,TAB_AMORTIZACAO_U[[Q_DIAS_U_PARC_TIR]:[V_FUT_U_PCPL-02]], F$5, FALSE)</f>
        <v>#N/A</v>
      </c>
      <c r="H4284" s="20">
        <f t="shared" si="337"/>
        <v>0</v>
      </c>
      <c r="I4284" s="21">
        <f t="shared" si="338"/>
        <v>0</v>
      </c>
      <c r="J4284" s="22" t="e">
        <f>VLOOKUP($A4284, TAB_JUROS_C[[DIAS_CORRIDOS]:[V_FUT_UTEIS]], J$5, FALSE)</f>
        <v>#N/A</v>
      </c>
      <c r="K4284" s="22" t="e">
        <f>VLOOKUP($A4284, TAB_CORRECAO_C[[DIAS_CORRIDOS]:[V_FUT_UTEIS]],K$5, FALSE)</f>
        <v>#N/A</v>
      </c>
      <c r="L4284" s="22" t="e">
        <f>VLOOKUP($A4284, TAB_AMORTIZACAO_C[[DIAS_CORRIDOS]:[V_FUT_UTEIS]], L$5, FALSE)</f>
        <v>#N/A</v>
      </c>
    </row>
    <row r="4285" spans="1:12" hidden="1">
      <c r="A4285" s="19">
        <f t="shared" si="339"/>
        <v>4279</v>
      </c>
      <c r="B4285" s="20">
        <f t="shared" si="335"/>
        <v>0</v>
      </c>
      <c r="C4285" s="21">
        <f t="shared" si="336"/>
        <v>0</v>
      </c>
      <c r="D4285" s="22" t="e">
        <f>VLOOKUP($A4285, TAB_JUROS_U[[Q_DIAS_U_PARC_TIR]:[V_FUT_U_JURS CENARIO]], D$5, FALSE)</f>
        <v>#N/A</v>
      </c>
      <c r="E4285" s="22" t="e">
        <f>VLOOKUP($A4285,TAB_CORRECAO_U[[Q_DIAS_U_PARC_TIR]:[V_FUT_U_CORC-02]],E$5, FALSE)</f>
        <v>#N/A</v>
      </c>
      <c r="F4285" s="22" t="e">
        <f>VLOOKUP($A4285,TAB_AMORTIZACAO_U[[Q_DIAS_U_PARC_TIR]:[V_FUT_U_PCPL-02]], F$5, FALSE)</f>
        <v>#N/A</v>
      </c>
      <c r="H4285" s="20">
        <f t="shared" si="337"/>
        <v>0</v>
      </c>
      <c r="I4285" s="21">
        <f t="shared" si="338"/>
        <v>0</v>
      </c>
      <c r="J4285" s="22" t="e">
        <f>VLOOKUP($A4285, TAB_JUROS_C[[DIAS_CORRIDOS]:[V_FUT_UTEIS]], J$5, FALSE)</f>
        <v>#N/A</v>
      </c>
      <c r="K4285" s="22" t="e">
        <f>VLOOKUP($A4285, TAB_CORRECAO_C[[DIAS_CORRIDOS]:[V_FUT_UTEIS]],K$5, FALSE)</f>
        <v>#N/A</v>
      </c>
      <c r="L4285" s="22" t="e">
        <f>VLOOKUP($A4285, TAB_AMORTIZACAO_C[[DIAS_CORRIDOS]:[V_FUT_UTEIS]], L$5, FALSE)</f>
        <v>#N/A</v>
      </c>
    </row>
    <row r="4286" spans="1:12" hidden="1">
      <c r="A4286" s="19">
        <f t="shared" si="339"/>
        <v>4280</v>
      </c>
      <c r="B4286" s="20">
        <f t="shared" si="335"/>
        <v>0</v>
      </c>
      <c r="C4286" s="21">
        <f t="shared" si="336"/>
        <v>0</v>
      </c>
      <c r="D4286" s="22" t="e">
        <f>VLOOKUP($A4286, TAB_JUROS_U[[Q_DIAS_U_PARC_TIR]:[V_FUT_U_JURS CENARIO]], D$5, FALSE)</f>
        <v>#N/A</v>
      </c>
      <c r="E4286" s="22" t="e">
        <f>VLOOKUP($A4286,TAB_CORRECAO_U[[Q_DIAS_U_PARC_TIR]:[V_FUT_U_CORC-02]],E$5, FALSE)</f>
        <v>#N/A</v>
      </c>
      <c r="F4286" s="22" t="e">
        <f>VLOOKUP($A4286,TAB_AMORTIZACAO_U[[Q_DIAS_U_PARC_TIR]:[V_FUT_U_PCPL-02]], F$5, FALSE)</f>
        <v>#N/A</v>
      </c>
      <c r="H4286" s="20">
        <f t="shared" si="337"/>
        <v>0</v>
      </c>
      <c r="I4286" s="21">
        <f t="shared" si="338"/>
        <v>0</v>
      </c>
      <c r="J4286" s="22" t="e">
        <f>VLOOKUP($A4286, TAB_JUROS_C[[DIAS_CORRIDOS]:[V_FUT_UTEIS]], J$5, FALSE)</f>
        <v>#N/A</v>
      </c>
      <c r="K4286" s="22" t="e">
        <f>VLOOKUP($A4286, TAB_CORRECAO_C[[DIAS_CORRIDOS]:[V_FUT_UTEIS]],K$5, FALSE)</f>
        <v>#N/A</v>
      </c>
      <c r="L4286" s="22" t="e">
        <f>VLOOKUP($A4286, TAB_AMORTIZACAO_C[[DIAS_CORRIDOS]:[V_FUT_UTEIS]], L$5, FALSE)</f>
        <v>#N/A</v>
      </c>
    </row>
    <row r="4287" spans="1:12" hidden="1">
      <c r="A4287" s="19">
        <f t="shared" si="339"/>
        <v>4281</v>
      </c>
      <c r="B4287" s="20">
        <f t="shared" si="335"/>
        <v>0</v>
      </c>
      <c r="C4287" s="21">
        <f t="shared" si="336"/>
        <v>0</v>
      </c>
      <c r="D4287" s="22" t="e">
        <f>VLOOKUP($A4287, TAB_JUROS_U[[Q_DIAS_U_PARC_TIR]:[V_FUT_U_JURS CENARIO]], D$5, FALSE)</f>
        <v>#N/A</v>
      </c>
      <c r="E4287" s="22" t="e">
        <f>VLOOKUP($A4287,TAB_CORRECAO_U[[Q_DIAS_U_PARC_TIR]:[V_FUT_U_CORC-02]],E$5, FALSE)</f>
        <v>#N/A</v>
      </c>
      <c r="F4287" s="22" t="e">
        <f>VLOOKUP($A4287,TAB_AMORTIZACAO_U[[Q_DIAS_U_PARC_TIR]:[V_FUT_U_PCPL-02]], F$5, FALSE)</f>
        <v>#N/A</v>
      </c>
      <c r="H4287" s="20">
        <f t="shared" si="337"/>
        <v>0</v>
      </c>
      <c r="I4287" s="21">
        <f t="shared" si="338"/>
        <v>0</v>
      </c>
      <c r="J4287" s="22" t="e">
        <f>VLOOKUP($A4287, TAB_JUROS_C[[DIAS_CORRIDOS]:[V_FUT_UTEIS]], J$5, FALSE)</f>
        <v>#N/A</v>
      </c>
      <c r="K4287" s="22" t="e">
        <f>VLOOKUP($A4287, TAB_CORRECAO_C[[DIAS_CORRIDOS]:[V_FUT_UTEIS]],K$5, FALSE)</f>
        <v>#N/A</v>
      </c>
      <c r="L4287" s="22" t="e">
        <f>VLOOKUP($A4287, TAB_AMORTIZACAO_C[[DIAS_CORRIDOS]:[V_FUT_UTEIS]], L$5, FALSE)</f>
        <v>#N/A</v>
      </c>
    </row>
    <row r="4288" spans="1:12" hidden="1">
      <c r="A4288" s="19">
        <f t="shared" si="339"/>
        <v>4282</v>
      </c>
      <c r="B4288" s="20">
        <f t="shared" si="335"/>
        <v>0</v>
      </c>
      <c r="C4288" s="21">
        <f t="shared" si="336"/>
        <v>0</v>
      </c>
      <c r="D4288" s="22" t="e">
        <f>VLOOKUP($A4288, TAB_JUROS_U[[Q_DIAS_U_PARC_TIR]:[V_FUT_U_JURS CENARIO]], D$5, FALSE)</f>
        <v>#N/A</v>
      </c>
      <c r="E4288" s="22" t="e">
        <f>VLOOKUP($A4288,TAB_CORRECAO_U[[Q_DIAS_U_PARC_TIR]:[V_FUT_U_CORC-02]],E$5, FALSE)</f>
        <v>#N/A</v>
      </c>
      <c r="F4288" s="22" t="e">
        <f>VLOOKUP($A4288,TAB_AMORTIZACAO_U[[Q_DIAS_U_PARC_TIR]:[V_FUT_U_PCPL-02]], F$5, FALSE)</f>
        <v>#N/A</v>
      </c>
      <c r="H4288" s="20">
        <f t="shared" si="337"/>
        <v>0</v>
      </c>
      <c r="I4288" s="21">
        <f t="shared" si="338"/>
        <v>0</v>
      </c>
      <c r="J4288" s="22" t="e">
        <f>VLOOKUP($A4288, TAB_JUROS_C[[DIAS_CORRIDOS]:[V_FUT_UTEIS]], J$5, FALSE)</f>
        <v>#N/A</v>
      </c>
      <c r="K4288" s="22" t="e">
        <f>VLOOKUP($A4288, TAB_CORRECAO_C[[DIAS_CORRIDOS]:[V_FUT_UTEIS]],K$5, FALSE)</f>
        <v>#N/A</v>
      </c>
      <c r="L4288" s="22" t="e">
        <f>VLOOKUP($A4288, TAB_AMORTIZACAO_C[[DIAS_CORRIDOS]:[V_FUT_UTEIS]], L$5, FALSE)</f>
        <v>#N/A</v>
      </c>
    </row>
    <row r="4289" spans="1:12" hidden="1">
      <c r="A4289" s="19">
        <f t="shared" si="339"/>
        <v>4283</v>
      </c>
      <c r="B4289" s="20">
        <f t="shared" si="335"/>
        <v>0</v>
      </c>
      <c r="C4289" s="21">
        <f t="shared" si="336"/>
        <v>0</v>
      </c>
      <c r="D4289" s="22" t="e">
        <f>VLOOKUP($A4289, TAB_JUROS_U[[Q_DIAS_U_PARC_TIR]:[V_FUT_U_JURS CENARIO]], D$5, FALSE)</f>
        <v>#N/A</v>
      </c>
      <c r="E4289" s="22" t="e">
        <f>VLOOKUP($A4289,TAB_CORRECAO_U[[Q_DIAS_U_PARC_TIR]:[V_FUT_U_CORC-02]],E$5, FALSE)</f>
        <v>#N/A</v>
      </c>
      <c r="F4289" s="22" t="e">
        <f>VLOOKUP($A4289,TAB_AMORTIZACAO_U[[Q_DIAS_U_PARC_TIR]:[V_FUT_U_PCPL-02]], F$5, FALSE)</f>
        <v>#N/A</v>
      </c>
      <c r="H4289" s="20">
        <f t="shared" si="337"/>
        <v>0</v>
      </c>
      <c r="I4289" s="21">
        <f t="shared" si="338"/>
        <v>0</v>
      </c>
      <c r="J4289" s="22" t="e">
        <f>VLOOKUP($A4289, TAB_JUROS_C[[DIAS_CORRIDOS]:[V_FUT_UTEIS]], J$5, FALSE)</f>
        <v>#N/A</v>
      </c>
      <c r="K4289" s="22" t="e">
        <f>VLOOKUP($A4289, TAB_CORRECAO_C[[DIAS_CORRIDOS]:[V_FUT_UTEIS]],K$5, FALSE)</f>
        <v>#N/A</v>
      </c>
      <c r="L4289" s="22" t="e">
        <f>VLOOKUP($A4289, TAB_AMORTIZACAO_C[[DIAS_CORRIDOS]:[V_FUT_UTEIS]], L$5, FALSE)</f>
        <v>#N/A</v>
      </c>
    </row>
    <row r="4290" spans="1:12" hidden="1">
      <c r="A4290" s="19">
        <f t="shared" si="339"/>
        <v>4284</v>
      </c>
      <c r="B4290" s="20">
        <f t="shared" si="335"/>
        <v>0</v>
      </c>
      <c r="C4290" s="21">
        <f t="shared" si="336"/>
        <v>0</v>
      </c>
      <c r="D4290" s="22" t="e">
        <f>VLOOKUP($A4290, TAB_JUROS_U[[Q_DIAS_U_PARC_TIR]:[V_FUT_U_JURS CENARIO]], D$5, FALSE)</f>
        <v>#N/A</v>
      </c>
      <c r="E4290" s="22" t="e">
        <f>VLOOKUP($A4290,TAB_CORRECAO_U[[Q_DIAS_U_PARC_TIR]:[V_FUT_U_CORC-02]],E$5, FALSE)</f>
        <v>#N/A</v>
      </c>
      <c r="F4290" s="22" t="e">
        <f>VLOOKUP($A4290,TAB_AMORTIZACAO_U[[Q_DIAS_U_PARC_TIR]:[V_FUT_U_PCPL-02]], F$5, FALSE)</f>
        <v>#N/A</v>
      </c>
      <c r="H4290" s="20">
        <f t="shared" si="337"/>
        <v>0</v>
      </c>
      <c r="I4290" s="21">
        <f t="shared" si="338"/>
        <v>0</v>
      </c>
      <c r="J4290" s="22" t="e">
        <f>VLOOKUP($A4290, TAB_JUROS_C[[DIAS_CORRIDOS]:[V_FUT_UTEIS]], J$5, FALSE)</f>
        <v>#N/A</v>
      </c>
      <c r="K4290" s="22" t="e">
        <f>VLOOKUP($A4290, TAB_CORRECAO_C[[DIAS_CORRIDOS]:[V_FUT_UTEIS]],K$5, FALSE)</f>
        <v>#N/A</v>
      </c>
      <c r="L4290" s="22" t="e">
        <f>VLOOKUP($A4290, TAB_AMORTIZACAO_C[[DIAS_CORRIDOS]:[V_FUT_UTEIS]], L$5, FALSE)</f>
        <v>#N/A</v>
      </c>
    </row>
    <row r="4291" spans="1:12" hidden="1">
      <c r="A4291" s="19">
        <f t="shared" si="339"/>
        <v>4285</v>
      </c>
      <c r="B4291" s="20">
        <f t="shared" si="335"/>
        <v>0</v>
      </c>
      <c r="C4291" s="21">
        <f t="shared" si="336"/>
        <v>0</v>
      </c>
      <c r="D4291" s="22" t="e">
        <f>VLOOKUP($A4291, TAB_JUROS_U[[Q_DIAS_U_PARC_TIR]:[V_FUT_U_JURS CENARIO]], D$5, FALSE)</f>
        <v>#N/A</v>
      </c>
      <c r="E4291" s="22" t="e">
        <f>VLOOKUP($A4291,TAB_CORRECAO_U[[Q_DIAS_U_PARC_TIR]:[V_FUT_U_CORC-02]],E$5, FALSE)</f>
        <v>#N/A</v>
      </c>
      <c r="F4291" s="22" t="e">
        <f>VLOOKUP($A4291,TAB_AMORTIZACAO_U[[Q_DIAS_U_PARC_TIR]:[V_FUT_U_PCPL-02]], F$5, FALSE)</f>
        <v>#N/A</v>
      </c>
      <c r="H4291" s="20">
        <f t="shared" si="337"/>
        <v>0</v>
      </c>
      <c r="I4291" s="21">
        <f t="shared" si="338"/>
        <v>0</v>
      </c>
      <c r="J4291" s="22" t="e">
        <f>VLOOKUP($A4291, TAB_JUROS_C[[DIAS_CORRIDOS]:[V_FUT_UTEIS]], J$5, FALSE)</f>
        <v>#N/A</v>
      </c>
      <c r="K4291" s="22" t="e">
        <f>VLOOKUP($A4291, TAB_CORRECAO_C[[DIAS_CORRIDOS]:[V_FUT_UTEIS]],K$5, FALSE)</f>
        <v>#N/A</v>
      </c>
      <c r="L4291" s="22" t="e">
        <f>VLOOKUP($A4291, TAB_AMORTIZACAO_C[[DIAS_CORRIDOS]:[V_FUT_UTEIS]], L$5, FALSE)</f>
        <v>#N/A</v>
      </c>
    </row>
    <row r="4292" spans="1:12" hidden="1">
      <c r="A4292" s="19">
        <f t="shared" si="339"/>
        <v>4286</v>
      </c>
      <c r="B4292" s="20">
        <f t="shared" si="335"/>
        <v>0</v>
      </c>
      <c r="C4292" s="21">
        <f t="shared" si="336"/>
        <v>0</v>
      </c>
      <c r="D4292" s="22" t="e">
        <f>VLOOKUP($A4292, TAB_JUROS_U[[Q_DIAS_U_PARC_TIR]:[V_FUT_U_JURS CENARIO]], D$5, FALSE)</f>
        <v>#N/A</v>
      </c>
      <c r="E4292" s="22" t="e">
        <f>VLOOKUP($A4292,TAB_CORRECAO_U[[Q_DIAS_U_PARC_TIR]:[V_FUT_U_CORC-02]],E$5, FALSE)</f>
        <v>#N/A</v>
      </c>
      <c r="F4292" s="22" t="e">
        <f>VLOOKUP($A4292,TAB_AMORTIZACAO_U[[Q_DIAS_U_PARC_TIR]:[V_FUT_U_PCPL-02]], F$5, FALSE)</f>
        <v>#N/A</v>
      </c>
      <c r="H4292" s="20">
        <f t="shared" si="337"/>
        <v>0</v>
      </c>
      <c r="I4292" s="21">
        <f t="shared" si="338"/>
        <v>0</v>
      </c>
      <c r="J4292" s="22" t="e">
        <f>VLOOKUP($A4292, TAB_JUROS_C[[DIAS_CORRIDOS]:[V_FUT_UTEIS]], J$5, FALSE)</f>
        <v>#N/A</v>
      </c>
      <c r="K4292" s="22" t="e">
        <f>VLOOKUP($A4292, TAB_CORRECAO_C[[DIAS_CORRIDOS]:[V_FUT_UTEIS]],K$5, FALSE)</f>
        <v>#N/A</v>
      </c>
      <c r="L4292" s="22" t="e">
        <f>VLOOKUP($A4292, TAB_AMORTIZACAO_C[[DIAS_CORRIDOS]:[V_FUT_UTEIS]], L$5, FALSE)</f>
        <v>#N/A</v>
      </c>
    </row>
    <row r="4293" spans="1:12" hidden="1">
      <c r="A4293" s="19">
        <f t="shared" si="339"/>
        <v>4287</v>
      </c>
      <c r="B4293" s="20">
        <f t="shared" si="335"/>
        <v>0</v>
      </c>
      <c r="C4293" s="21">
        <f t="shared" si="336"/>
        <v>0</v>
      </c>
      <c r="D4293" s="22" t="e">
        <f>VLOOKUP($A4293, TAB_JUROS_U[[Q_DIAS_U_PARC_TIR]:[V_FUT_U_JURS CENARIO]], D$5, FALSE)</f>
        <v>#N/A</v>
      </c>
      <c r="E4293" s="22" t="e">
        <f>VLOOKUP($A4293,TAB_CORRECAO_U[[Q_DIAS_U_PARC_TIR]:[V_FUT_U_CORC-02]],E$5, FALSE)</f>
        <v>#N/A</v>
      </c>
      <c r="F4293" s="22" t="e">
        <f>VLOOKUP($A4293,TAB_AMORTIZACAO_U[[Q_DIAS_U_PARC_TIR]:[V_FUT_U_PCPL-02]], F$5, FALSE)</f>
        <v>#N/A</v>
      </c>
      <c r="H4293" s="20">
        <f t="shared" si="337"/>
        <v>0</v>
      </c>
      <c r="I4293" s="21">
        <f t="shared" si="338"/>
        <v>0</v>
      </c>
      <c r="J4293" s="22" t="e">
        <f>VLOOKUP($A4293, TAB_JUROS_C[[DIAS_CORRIDOS]:[V_FUT_UTEIS]], J$5, FALSE)</f>
        <v>#N/A</v>
      </c>
      <c r="K4293" s="22" t="e">
        <f>VLOOKUP($A4293, TAB_CORRECAO_C[[DIAS_CORRIDOS]:[V_FUT_UTEIS]],K$5, FALSE)</f>
        <v>#N/A</v>
      </c>
      <c r="L4293" s="22" t="e">
        <f>VLOOKUP($A4293, TAB_AMORTIZACAO_C[[DIAS_CORRIDOS]:[V_FUT_UTEIS]], L$5, FALSE)</f>
        <v>#N/A</v>
      </c>
    </row>
    <row r="4294" spans="1:12" hidden="1">
      <c r="A4294" s="19">
        <f t="shared" si="339"/>
        <v>4288</v>
      </c>
      <c r="B4294" s="20">
        <f t="shared" si="335"/>
        <v>0</v>
      </c>
      <c r="C4294" s="21">
        <f t="shared" si="336"/>
        <v>0</v>
      </c>
      <c r="D4294" s="22" t="e">
        <f>VLOOKUP($A4294, TAB_JUROS_U[[Q_DIAS_U_PARC_TIR]:[V_FUT_U_JURS CENARIO]], D$5, FALSE)</f>
        <v>#N/A</v>
      </c>
      <c r="E4294" s="22" t="e">
        <f>VLOOKUP($A4294,TAB_CORRECAO_U[[Q_DIAS_U_PARC_TIR]:[V_FUT_U_CORC-02]],E$5, FALSE)</f>
        <v>#N/A</v>
      </c>
      <c r="F4294" s="22" t="e">
        <f>VLOOKUP($A4294,TAB_AMORTIZACAO_U[[Q_DIAS_U_PARC_TIR]:[V_FUT_U_PCPL-02]], F$5, FALSE)</f>
        <v>#N/A</v>
      </c>
      <c r="H4294" s="20">
        <f t="shared" si="337"/>
        <v>0</v>
      </c>
      <c r="I4294" s="21">
        <f t="shared" si="338"/>
        <v>0</v>
      </c>
      <c r="J4294" s="22" t="e">
        <f>VLOOKUP($A4294, TAB_JUROS_C[[DIAS_CORRIDOS]:[V_FUT_UTEIS]], J$5, FALSE)</f>
        <v>#N/A</v>
      </c>
      <c r="K4294" s="22" t="e">
        <f>VLOOKUP($A4294, TAB_CORRECAO_C[[DIAS_CORRIDOS]:[V_FUT_UTEIS]],K$5, FALSE)</f>
        <v>#N/A</v>
      </c>
      <c r="L4294" s="22" t="e">
        <f>VLOOKUP($A4294, TAB_AMORTIZACAO_C[[DIAS_CORRIDOS]:[V_FUT_UTEIS]], L$5, FALSE)</f>
        <v>#N/A</v>
      </c>
    </row>
    <row r="4295" spans="1:12" hidden="1">
      <c r="A4295" s="19">
        <f t="shared" si="339"/>
        <v>4289</v>
      </c>
      <c r="B4295" s="20">
        <f t="shared" si="335"/>
        <v>0</v>
      </c>
      <c r="C4295" s="21">
        <f t="shared" si="336"/>
        <v>0</v>
      </c>
      <c r="D4295" s="22" t="e">
        <f>VLOOKUP($A4295, TAB_JUROS_U[[Q_DIAS_U_PARC_TIR]:[V_FUT_U_JURS CENARIO]], D$5, FALSE)</f>
        <v>#N/A</v>
      </c>
      <c r="E4295" s="22" t="e">
        <f>VLOOKUP($A4295,TAB_CORRECAO_U[[Q_DIAS_U_PARC_TIR]:[V_FUT_U_CORC-02]],E$5, FALSE)</f>
        <v>#N/A</v>
      </c>
      <c r="F4295" s="22" t="e">
        <f>VLOOKUP($A4295,TAB_AMORTIZACAO_U[[Q_DIAS_U_PARC_TIR]:[V_FUT_U_PCPL-02]], F$5, FALSE)</f>
        <v>#N/A</v>
      </c>
      <c r="H4295" s="20">
        <f t="shared" si="337"/>
        <v>0</v>
      </c>
      <c r="I4295" s="21">
        <f t="shared" si="338"/>
        <v>0</v>
      </c>
      <c r="J4295" s="22" t="e">
        <f>VLOOKUP($A4295, TAB_JUROS_C[[DIAS_CORRIDOS]:[V_FUT_UTEIS]], J$5, FALSE)</f>
        <v>#N/A</v>
      </c>
      <c r="K4295" s="22" t="e">
        <f>VLOOKUP($A4295, TAB_CORRECAO_C[[DIAS_CORRIDOS]:[V_FUT_UTEIS]],K$5, FALSE)</f>
        <v>#N/A</v>
      </c>
      <c r="L4295" s="22" t="e">
        <f>VLOOKUP($A4295, TAB_AMORTIZACAO_C[[DIAS_CORRIDOS]:[V_FUT_UTEIS]], L$5, FALSE)</f>
        <v>#N/A</v>
      </c>
    </row>
    <row r="4296" spans="1:12" hidden="1">
      <c r="A4296" s="19">
        <f t="shared" si="339"/>
        <v>4290</v>
      </c>
      <c r="B4296" s="20">
        <f t="shared" si="335"/>
        <v>0</v>
      </c>
      <c r="C4296" s="21">
        <f t="shared" si="336"/>
        <v>0</v>
      </c>
      <c r="D4296" s="22" t="e">
        <f>VLOOKUP($A4296, TAB_JUROS_U[[Q_DIAS_U_PARC_TIR]:[V_FUT_U_JURS CENARIO]], D$5, FALSE)</f>
        <v>#N/A</v>
      </c>
      <c r="E4296" s="22" t="e">
        <f>VLOOKUP($A4296,TAB_CORRECAO_U[[Q_DIAS_U_PARC_TIR]:[V_FUT_U_CORC-02]],E$5, FALSE)</f>
        <v>#N/A</v>
      </c>
      <c r="F4296" s="22" t="e">
        <f>VLOOKUP($A4296,TAB_AMORTIZACAO_U[[Q_DIAS_U_PARC_TIR]:[V_FUT_U_PCPL-02]], F$5, FALSE)</f>
        <v>#N/A</v>
      </c>
      <c r="H4296" s="20">
        <f t="shared" si="337"/>
        <v>0</v>
      </c>
      <c r="I4296" s="21">
        <f t="shared" si="338"/>
        <v>0</v>
      </c>
      <c r="J4296" s="22" t="e">
        <f>VLOOKUP($A4296, TAB_JUROS_C[[DIAS_CORRIDOS]:[V_FUT_UTEIS]], J$5, FALSE)</f>
        <v>#N/A</v>
      </c>
      <c r="K4296" s="22" t="e">
        <f>VLOOKUP($A4296, TAB_CORRECAO_C[[DIAS_CORRIDOS]:[V_FUT_UTEIS]],K$5, FALSE)</f>
        <v>#N/A</v>
      </c>
      <c r="L4296" s="22" t="e">
        <f>VLOOKUP($A4296, TAB_AMORTIZACAO_C[[DIAS_CORRIDOS]:[V_FUT_UTEIS]], L$5, FALSE)</f>
        <v>#N/A</v>
      </c>
    </row>
    <row r="4297" spans="1:12" hidden="1">
      <c r="A4297" s="19">
        <f t="shared" si="339"/>
        <v>4291</v>
      </c>
      <c r="B4297" s="20">
        <f t="shared" ref="B4297:B4360" si="340">IF(ISERROR(C4297), 0, C4297)</f>
        <v>0</v>
      </c>
      <c r="C4297" s="21">
        <f t="shared" ref="C4297:C4360" si="341">SUMIF(D4297:F4297, "&gt;0", D4297:F4297)</f>
        <v>0</v>
      </c>
      <c r="D4297" s="22" t="e">
        <f>VLOOKUP($A4297, TAB_JUROS_U[[Q_DIAS_U_PARC_TIR]:[V_FUT_U_JURS CENARIO]], D$5, FALSE)</f>
        <v>#N/A</v>
      </c>
      <c r="E4297" s="22" t="e">
        <f>VLOOKUP($A4297,TAB_CORRECAO_U[[Q_DIAS_U_PARC_TIR]:[V_FUT_U_CORC-02]],E$5, FALSE)</f>
        <v>#N/A</v>
      </c>
      <c r="F4297" s="22" t="e">
        <f>VLOOKUP($A4297,TAB_AMORTIZACAO_U[[Q_DIAS_U_PARC_TIR]:[V_FUT_U_PCPL-02]], F$5, FALSE)</f>
        <v>#N/A</v>
      </c>
      <c r="H4297" s="20">
        <f t="shared" ref="H4297:H4360" si="342">IF(ISERROR(I4297), 0, I4297)</f>
        <v>0</v>
      </c>
      <c r="I4297" s="21">
        <f t="shared" ref="I4297:I4360" si="343">SUMIF(J4297:L4297, "&gt;0", J4297:L4297)</f>
        <v>0</v>
      </c>
      <c r="J4297" s="22" t="e">
        <f>VLOOKUP($A4297, TAB_JUROS_C[[DIAS_CORRIDOS]:[V_FUT_UTEIS]], J$5, FALSE)</f>
        <v>#N/A</v>
      </c>
      <c r="K4297" s="22" t="e">
        <f>VLOOKUP($A4297, TAB_CORRECAO_C[[DIAS_CORRIDOS]:[V_FUT_UTEIS]],K$5, FALSE)</f>
        <v>#N/A</v>
      </c>
      <c r="L4297" s="22" t="e">
        <f>VLOOKUP($A4297, TAB_AMORTIZACAO_C[[DIAS_CORRIDOS]:[V_FUT_UTEIS]], L$5, FALSE)</f>
        <v>#N/A</v>
      </c>
    </row>
    <row r="4298" spans="1:12" hidden="1">
      <c r="A4298" s="19">
        <f t="shared" ref="A4298:A4361" si="344">A4297+1</f>
        <v>4292</v>
      </c>
      <c r="B4298" s="20">
        <f t="shared" si="340"/>
        <v>0</v>
      </c>
      <c r="C4298" s="21">
        <f t="shared" si="341"/>
        <v>0</v>
      </c>
      <c r="D4298" s="22" t="e">
        <f>VLOOKUP($A4298, TAB_JUROS_U[[Q_DIAS_U_PARC_TIR]:[V_FUT_U_JURS CENARIO]], D$5, FALSE)</f>
        <v>#N/A</v>
      </c>
      <c r="E4298" s="22" t="e">
        <f>VLOOKUP($A4298,TAB_CORRECAO_U[[Q_DIAS_U_PARC_TIR]:[V_FUT_U_CORC-02]],E$5, FALSE)</f>
        <v>#N/A</v>
      </c>
      <c r="F4298" s="22" t="e">
        <f>VLOOKUP($A4298,TAB_AMORTIZACAO_U[[Q_DIAS_U_PARC_TIR]:[V_FUT_U_PCPL-02]], F$5, FALSE)</f>
        <v>#N/A</v>
      </c>
      <c r="H4298" s="20">
        <f t="shared" si="342"/>
        <v>0</v>
      </c>
      <c r="I4298" s="21">
        <f t="shared" si="343"/>
        <v>0</v>
      </c>
      <c r="J4298" s="22" t="e">
        <f>VLOOKUP($A4298, TAB_JUROS_C[[DIAS_CORRIDOS]:[V_FUT_UTEIS]], J$5, FALSE)</f>
        <v>#N/A</v>
      </c>
      <c r="K4298" s="22" t="e">
        <f>VLOOKUP($A4298, TAB_CORRECAO_C[[DIAS_CORRIDOS]:[V_FUT_UTEIS]],K$5, FALSE)</f>
        <v>#N/A</v>
      </c>
      <c r="L4298" s="22" t="e">
        <f>VLOOKUP($A4298, TAB_AMORTIZACAO_C[[DIAS_CORRIDOS]:[V_FUT_UTEIS]], L$5, FALSE)</f>
        <v>#N/A</v>
      </c>
    </row>
    <row r="4299" spans="1:12" hidden="1">
      <c r="A4299" s="19">
        <f t="shared" si="344"/>
        <v>4293</v>
      </c>
      <c r="B4299" s="20">
        <f t="shared" si="340"/>
        <v>0</v>
      </c>
      <c r="C4299" s="21">
        <f t="shared" si="341"/>
        <v>0</v>
      </c>
      <c r="D4299" s="22" t="e">
        <f>VLOOKUP($A4299, TAB_JUROS_U[[Q_DIAS_U_PARC_TIR]:[V_FUT_U_JURS CENARIO]], D$5, FALSE)</f>
        <v>#N/A</v>
      </c>
      <c r="E4299" s="22" t="e">
        <f>VLOOKUP($A4299,TAB_CORRECAO_U[[Q_DIAS_U_PARC_TIR]:[V_FUT_U_CORC-02]],E$5, FALSE)</f>
        <v>#N/A</v>
      </c>
      <c r="F4299" s="22" t="e">
        <f>VLOOKUP($A4299,TAB_AMORTIZACAO_U[[Q_DIAS_U_PARC_TIR]:[V_FUT_U_PCPL-02]], F$5, FALSE)</f>
        <v>#N/A</v>
      </c>
      <c r="H4299" s="20">
        <f t="shared" si="342"/>
        <v>0</v>
      </c>
      <c r="I4299" s="21">
        <f t="shared" si="343"/>
        <v>0</v>
      </c>
      <c r="J4299" s="22" t="e">
        <f>VLOOKUP($A4299, TAB_JUROS_C[[DIAS_CORRIDOS]:[V_FUT_UTEIS]], J$5, FALSE)</f>
        <v>#N/A</v>
      </c>
      <c r="K4299" s="22" t="e">
        <f>VLOOKUP($A4299, TAB_CORRECAO_C[[DIAS_CORRIDOS]:[V_FUT_UTEIS]],K$5, FALSE)</f>
        <v>#N/A</v>
      </c>
      <c r="L4299" s="22" t="e">
        <f>VLOOKUP($A4299, TAB_AMORTIZACAO_C[[DIAS_CORRIDOS]:[V_FUT_UTEIS]], L$5, FALSE)</f>
        <v>#N/A</v>
      </c>
    </row>
    <row r="4300" spans="1:12" hidden="1">
      <c r="A4300" s="19">
        <f t="shared" si="344"/>
        <v>4294</v>
      </c>
      <c r="B4300" s="20">
        <f t="shared" si="340"/>
        <v>0</v>
      </c>
      <c r="C4300" s="21">
        <f t="shared" si="341"/>
        <v>0</v>
      </c>
      <c r="D4300" s="22" t="e">
        <f>VLOOKUP($A4300, TAB_JUROS_U[[Q_DIAS_U_PARC_TIR]:[V_FUT_U_JURS CENARIO]], D$5, FALSE)</f>
        <v>#N/A</v>
      </c>
      <c r="E4300" s="22" t="e">
        <f>VLOOKUP($A4300,TAB_CORRECAO_U[[Q_DIAS_U_PARC_TIR]:[V_FUT_U_CORC-02]],E$5, FALSE)</f>
        <v>#N/A</v>
      </c>
      <c r="F4300" s="22" t="e">
        <f>VLOOKUP($A4300,TAB_AMORTIZACAO_U[[Q_DIAS_U_PARC_TIR]:[V_FUT_U_PCPL-02]], F$5, FALSE)</f>
        <v>#N/A</v>
      </c>
      <c r="H4300" s="20">
        <f t="shared" si="342"/>
        <v>0</v>
      </c>
      <c r="I4300" s="21">
        <f t="shared" si="343"/>
        <v>0</v>
      </c>
      <c r="J4300" s="22" t="e">
        <f>VLOOKUP($A4300, TAB_JUROS_C[[DIAS_CORRIDOS]:[V_FUT_UTEIS]], J$5, FALSE)</f>
        <v>#N/A</v>
      </c>
      <c r="K4300" s="22" t="e">
        <f>VLOOKUP($A4300, TAB_CORRECAO_C[[DIAS_CORRIDOS]:[V_FUT_UTEIS]],K$5, FALSE)</f>
        <v>#N/A</v>
      </c>
      <c r="L4300" s="22" t="e">
        <f>VLOOKUP($A4300, TAB_AMORTIZACAO_C[[DIAS_CORRIDOS]:[V_FUT_UTEIS]], L$5, FALSE)</f>
        <v>#N/A</v>
      </c>
    </row>
    <row r="4301" spans="1:12" hidden="1">
      <c r="A4301" s="19">
        <f t="shared" si="344"/>
        <v>4295</v>
      </c>
      <c r="B4301" s="20">
        <f t="shared" si="340"/>
        <v>0</v>
      </c>
      <c r="C4301" s="21">
        <f t="shared" si="341"/>
        <v>0</v>
      </c>
      <c r="D4301" s="22" t="e">
        <f>VLOOKUP($A4301, TAB_JUROS_U[[Q_DIAS_U_PARC_TIR]:[V_FUT_U_JURS CENARIO]], D$5, FALSE)</f>
        <v>#N/A</v>
      </c>
      <c r="E4301" s="22" t="e">
        <f>VLOOKUP($A4301,TAB_CORRECAO_U[[Q_DIAS_U_PARC_TIR]:[V_FUT_U_CORC-02]],E$5, FALSE)</f>
        <v>#N/A</v>
      </c>
      <c r="F4301" s="22" t="e">
        <f>VLOOKUP($A4301,TAB_AMORTIZACAO_U[[Q_DIAS_U_PARC_TIR]:[V_FUT_U_PCPL-02]], F$5, FALSE)</f>
        <v>#N/A</v>
      </c>
      <c r="H4301" s="20">
        <f t="shared" si="342"/>
        <v>0</v>
      </c>
      <c r="I4301" s="21">
        <f t="shared" si="343"/>
        <v>0</v>
      </c>
      <c r="J4301" s="22" t="e">
        <f>VLOOKUP($A4301, TAB_JUROS_C[[DIAS_CORRIDOS]:[V_FUT_UTEIS]], J$5, FALSE)</f>
        <v>#N/A</v>
      </c>
      <c r="K4301" s="22" t="e">
        <f>VLOOKUP($A4301, TAB_CORRECAO_C[[DIAS_CORRIDOS]:[V_FUT_UTEIS]],K$5, FALSE)</f>
        <v>#N/A</v>
      </c>
      <c r="L4301" s="22" t="e">
        <f>VLOOKUP($A4301, TAB_AMORTIZACAO_C[[DIAS_CORRIDOS]:[V_FUT_UTEIS]], L$5, FALSE)</f>
        <v>#N/A</v>
      </c>
    </row>
    <row r="4302" spans="1:12" hidden="1">
      <c r="A4302" s="19">
        <f t="shared" si="344"/>
        <v>4296</v>
      </c>
      <c r="B4302" s="20">
        <f t="shared" si="340"/>
        <v>0</v>
      </c>
      <c r="C4302" s="21">
        <f t="shared" si="341"/>
        <v>0</v>
      </c>
      <c r="D4302" s="22" t="e">
        <f>VLOOKUP($A4302, TAB_JUROS_U[[Q_DIAS_U_PARC_TIR]:[V_FUT_U_JURS CENARIO]], D$5, FALSE)</f>
        <v>#N/A</v>
      </c>
      <c r="E4302" s="22" t="e">
        <f>VLOOKUP($A4302,TAB_CORRECAO_U[[Q_DIAS_U_PARC_TIR]:[V_FUT_U_CORC-02]],E$5, FALSE)</f>
        <v>#N/A</v>
      </c>
      <c r="F4302" s="22" t="e">
        <f>VLOOKUP($A4302,TAB_AMORTIZACAO_U[[Q_DIAS_U_PARC_TIR]:[V_FUT_U_PCPL-02]], F$5, FALSE)</f>
        <v>#N/A</v>
      </c>
      <c r="H4302" s="20">
        <f t="shared" si="342"/>
        <v>0</v>
      </c>
      <c r="I4302" s="21">
        <f t="shared" si="343"/>
        <v>0</v>
      </c>
      <c r="J4302" s="22" t="e">
        <f>VLOOKUP($A4302, TAB_JUROS_C[[DIAS_CORRIDOS]:[V_FUT_UTEIS]], J$5, FALSE)</f>
        <v>#N/A</v>
      </c>
      <c r="K4302" s="22" t="e">
        <f>VLOOKUP($A4302, TAB_CORRECAO_C[[DIAS_CORRIDOS]:[V_FUT_UTEIS]],K$5, FALSE)</f>
        <v>#N/A</v>
      </c>
      <c r="L4302" s="22" t="e">
        <f>VLOOKUP($A4302, TAB_AMORTIZACAO_C[[DIAS_CORRIDOS]:[V_FUT_UTEIS]], L$5, FALSE)</f>
        <v>#N/A</v>
      </c>
    </row>
    <row r="4303" spans="1:12" hidden="1">
      <c r="A4303" s="19">
        <f t="shared" si="344"/>
        <v>4297</v>
      </c>
      <c r="B4303" s="20">
        <f t="shared" si="340"/>
        <v>0</v>
      </c>
      <c r="C4303" s="21">
        <f t="shared" si="341"/>
        <v>0</v>
      </c>
      <c r="D4303" s="22" t="e">
        <f>VLOOKUP($A4303, TAB_JUROS_U[[Q_DIAS_U_PARC_TIR]:[V_FUT_U_JURS CENARIO]], D$5, FALSE)</f>
        <v>#N/A</v>
      </c>
      <c r="E4303" s="22" t="e">
        <f>VLOOKUP($A4303,TAB_CORRECAO_U[[Q_DIAS_U_PARC_TIR]:[V_FUT_U_CORC-02]],E$5, FALSE)</f>
        <v>#N/A</v>
      </c>
      <c r="F4303" s="22" t="e">
        <f>VLOOKUP($A4303,TAB_AMORTIZACAO_U[[Q_DIAS_U_PARC_TIR]:[V_FUT_U_PCPL-02]], F$5, FALSE)</f>
        <v>#N/A</v>
      </c>
      <c r="H4303" s="20">
        <f t="shared" si="342"/>
        <v>0</v>
      </c>
      <c r="I4303" s="21">
        <f t="shared" si="343"/>
        <v>0</v>
      </c>
      <c r="J4303" s="22" t="e">
        <f>VLOOKUP($A4303, TAB_JUROS_C[[DIAS_CORRIDOS]:[V_FUT_UTEIS]], J$5, FALSE)</f>
        <v>#N/A</v>
      </c>
      <c r="K4303" s="22" t="e">
        <f>VLOOKUP($A4303, TAB_CORRECAO_C[[DIAS_CORRIDOS]:[V_FUT_UTEIS]],K$5, FALSE)</f>
        <v>#N/A</v>
      </c>
      <c r="L4303" s="22" t="e">
        <f>VLOOKUP($A4303, TAB_AMORTIZACAO_C[[DIAS_CORRIDOS]:[V_FUT_UTEIS]], L$5, FALSE)</f>
        <v>#N/A</v>
      </c>
    </row>
    <row r="4304" spans="1:12" hidden="1">
      <c r="A4304" s="19">
        <f t="shared" si="344"/>
        <v>4298</v>
      </c>
      <c r="B4304" s="20">
        <f t="shared" si="340"/>
        <v>0</v>
      </c>
      <c r="C4304" s="21">
        <f t="shared" si="341"/>
        <v>0</v>
      </c>
      <c r="D4304" s="22" t="e">
        <f>VLOOKUP($A4304, TAB_JUROS_U[[Q_DIAS_U_PARC_TIR]:[V_FUT_U_JURS CENARIO]], D$5, FALSE)</f>
        <v>#N/A</v>
      </c>
      <c r="E4304" s="22" t="e">
        <f>VLOOKUP($A4304,TAB_CORRECAO_U[[Q_DIAS_U_PARC_TIR]:[V_FUT_U_CORC-02]],E$5, FALSE)</f>
        <v>#N/A</v>
      </c>
      <c r="F4304" s="22" t="e">
        <f>VLOOKUP($A4304,TAB_AMORTIZACAO_U[[Q_DIAS_U_PARC_TIR]:[V_FUT_U_PCPL-02]], F$5, FALSE)</f>
        <v>#N/A</v>
      </c>
      <c r="H4304" s="20">
        <f t="shared" si="342"/>
        <v>0</v>
      </c>
      <c r="I4304" s="21">
        <f t="shared" si="343"/>
        <v>0</v>
      </c>
      <c r="J4304" s="22" t="e">
        <f>VLOOKUP($A4304, TAB_JUROS_C[[DIAS_CORRIDOS]:[V_FUT_UTEIS]], J$5, FALSE)</f>
        <v>#N/A</v>
      </c>
      <c r="K4304" s="22" t="e">
        <f>VLOOKUP($A4304, TAB_CORRECAO_C[[DIAS_CORRIDOS]:[V_FUT_UTEIS]],K$5, FALSE)</f>
        <v>#N/A</v>
      </c>
      <c r="L4304" s="22" t="e">
        <f>VLOOKUP($A4304, TAB_AMORTIZACAO_C[[DIAS_CORRIDOS]:[V_FUT_UTEIS]], L$5, FALSE)</f>
        <v>#N/A</v>
      </c>
    </row>
    <row r="4305" spans="1:12" hidden="1">
      <c r="A4305" s="19">
        <f t="shared" si="344"/>
        <v>4299</v>
      </c>
      <c r="B4305" s="20">
        <f t="shared" si="340"/>
        <v>0</v>
      </c>
      <c r="C4305" s="21">
        <f t="shared" si="341"/>
        <v>0</v>
      </c>
      <c r="D4305" s="22" t="e">
        <f>VLOOKUP($A4305, TAB_JUROS_U[[Q_DIAS_U_PARC_TIR]:[V_FUT_U_JURS CENARIO]], D$5, FALSE)</f>
        <v>#N/A</v>
      </c>
      <c r="E4305" s="22" t="e">
        <f>VLOOKUP($A4305,TAB_CORRECAO_U[[Q_DIAS_U_PARC_TIR]:[V_FUT_U_CORC-02]],E$5, FALSE)</f>
        <v>#N/A</v>
      </c>
      <c r="F4305" s="22" t="e">
        <f>VLOOKUP($A4305,TAB_AMORTIZACAO_U[[Q_DIAS_U_PARC_TIR]:[V_FUT_U_PCPL-02]], F$5, FALSE)</f>
        <v>#N/A</v>
      </c>
      <c r="H4305" s="20">
        <f t="shared" si="342"/>
        <v>0</v>
      </c>
      <c r="I4305" s="21">
        <f t="shared" si="343"/>
        <v>0</v>
      </c>
      <c r="J4305" s="22" t="e">
        <f>VLOOKUP($A4305, TAB_JUROS_C[[DIAS_CORRIDOS]:[V_FUT_UTEIS]], J$5, FALSE)</f>
        <v>#N/A</v>
      </c>
      <c r="K4305" s="22" t="e">
        <f>VLOOKUP($A4305, TAB_CORRECAO_C[[DIAS_CORRIDOS]:[V_FUT_UTEIS]],K$5, FALSE)</f>
        <v>#N/A</v>
      </c>
      <c r="L4305" s="22" t="e">
        <f>VLOOKUP($A4305, TAB_AMORTIZACAO_C[[DIAS_CORRIDOS]:[V_FUT_UTEIS]], L$5, FALSE)</f>
        <v>#N/A</v>
      </c>
    </row>
    <row r="4306" spans="1:12" hidden="1">
      <c r="A4306" s="19">
        <f t="shared" si="344"/>
        <v>4300</v>
      </c>
      <c r="B4306" s="20">
        <f t="shared" si="340"/>
        <v>0</v>
      </c>
      <c r="C4306" s="21">
        <f t="shared" si="341"/>
        <v>0</v>
      </c>
      <c r="D4306" s="22" t="e">
        <f>VLOOKUP($A4306, TAB_JUROS_U[[Q_DIAS_U_PARC_TIR]:[V_FUT_U_JURS CENARIO]], D$5, FALSE)</f>
        <v>#N/A</v>
      </c>
      <c r="E4306" s="22" t="e">
        <f>VLOOKUP($A4306,TAB_CORRECAO_U[[Q_DIAS_U_PARC_TIR]:[V_FUT_U_CORC-02]],E$5, FALSE)</f>
        <v>#N/A</v>
      </c>
      <c r="F4306" s="22" t="e">
        <f>VLOOKUP($A4306,TAB_AMORTIZACAO_U[[Q_DIAS_U_PARC_TIR]:[V_FUT_U_PCPL-02]], F$5, FALSE)</f>
        <v>#N/A</v>
      </c>
      <c r="H4306" s="20">
        <f t="shared" si="342"/>
        <v>0</v>
      </c>
      <c r="I4306" s="21">
        <f t="shared" si="343"/>
        <v>0</v>
      </c>
      <c r="J4306" s="22" t="e">
        <f>VLOOKUP($A4306, TAB_JUROS_C[[DIAS_CORRIDOS]:[V_FUT_UTEIS]], J$5, FALSE)</f>
        <v>#N/A</v>
      </c>
      <c r="K4306" s="22" t="e">
        <f>VLOOKUP($A4306, TAB_CORRECAO_C[[DIAS_CORRIDOS]:[V_FUT_UTEIS]],K$5, FALSE)</f>
        <v>#N/A</v>
      </c>
      <c r="L4306" s="22" t="e">
        <f>VLOOKUP($A4306, TAB_AMORTIZACAO_C[[DIAS_CORRIDOS]:[V_FUT_UTEIS]], L$5, FALSE)</f>
        <v>#N/A</v>
      </c>
    </row>
    <row r="4307" spans="1:12" hidden="1">
      <c r="A4307" s="19">
        <f t="shared" si="344"/>
        <v>4301</v>
      </c>
      <c r="B4307" s="20">
        <f t="shared" si="340"/>
        <v>0</v>
      </c>
      <c r="C4307" s="21">
        <f t="shared" si="341"/>
        <v>0</v>
      </c>
      <c r="D4307" s="22" t="e">
        <f>VLOOKUP($A4307, TAB_JUROS_U[[Q_DIAS_U_PARC_TIR]:[V_FUT_U_JURS CENARIO]], D$5, FALSE)</f>
        <v>#N/A</v>
      </c>
      <c r="E4307" s="22" t="e">
        <f>VLOOKUP($A4307,TAB_CORRECAO_U[[Q_DIAS_U_PARC_TIR]:[V_FUT_U_CORC-02]],E$5, FALSE)</f>
        <v>#N/A</v>
      </c>
      <c r="F4307" s="22" t="e">
        <f>VLOOKUP($A4307,TAB_AMORTIZACAO_U[[Q_DIAS_U_PARC_TIR]:[V_FUT_U_PCPL-02]], F$5, FALSE)</f>
        <v>#N/A</v>
      </c>
      <c r="H4307" s="20">
        <f t="shared" si="342"/>
        <v>0</v>
      </c>
      <c r="I4307" s="21">
        <f t="shared" si="343"/>
        <v>0</v>
      </c>
      <c r="J4307" s="22" t="e">
        <f>VLOOKUP($A4307, TAB_JUROS_C[[DIAS_CORRIDOS]:[V_FUT_UTEIS]], J$5, FALSE)</f>
        <v>#N/A</v>
      </c>
      <c r="K4307" s="22" t="e">
        <f>VLOOKUP($A4307, TAB_CORRECAO_C[[DIAS_CORRIDOS]:[V_FUT_UTEIS]],K$5, FALSE)</f>
        <v>#N/A</v>
      </c>
      <c r="L4307" s="22" t="e">
        <f>VLOOKUP($A4307, TAB_AMORTIZACAO_C[[DIAS_CORRIDOS]:[V_FUT_UTEIS]], L$5, FALSE)</f>
        <v>#N/A</v>
      </c>
    </row>
    <row r="4308" spans="1:12" hidden="1">
      <c r="A4308" s="19">
        <f t="shared" si="344"/>
        <v>4302</v>
      </c>
      <c r="B4308" s="20">
        <f t="shared" si="340"/>
        <v>0</v>
      </c>
      <c r="C4308" s="21">
        <f t="shared" si="341"/>
        <v>0</v>
      </c>
      <c r="D4308" s="22" t="e">
        <f>VLOOKUP($A4308, TAB_JUROS_U[[Q_DIAS_U_PARC_TIR]:[V_FUT_U_JURS CENARIO]], D$5, FALSE)</f>
        <v>#N/A</v>
      </c>
      <c r="E4308" s="22" t="e">
        <f>VLOOKUP($A4308,TAB_CORRECAO_U[[Q_DIAS_U_PARC_TIR]:[V_FUT_U_CORC-02]],E$5, FALSE)</f>
        <v>#N/A</v>
      </c>
      <c r="F4308" s="22" t="e">
        <f>VLOOKUP($A4308,TAB_AMORTIZACAO_U[[Q_DIAS_U_PARC_TIR]:[V_FUT_U_PCPL-02]], F$5, FALSE)</f>
        <v>#N/A</v>
      </c>
      <c r="H4308" s="20">
        <f t="shared" si="342"/>
        <v>0</v>
      </c>
      <c r="I4308" s="21">
        <f t="shared" si="343"/>
        <v>0</v>
      </c>
      <c r="J4308" s="22" t="e">
        <f>VLOOKUP($A4308, TAB_JUROS_C[[DIAS_CORRIDOS]:[V_FUT_UTEIS]], J$5, FALSE)</f>
        <v>#N/A</v>
      </c>
      <c r="K4308" s="22" t="e">
        <f>VLOOKUP($A4308, TAB_CORRECAO_C[[DIAS_CORRIDOS]:[V_FUT_UTEIS]],K$5, FALSE)</f>
        <v>#N/A</v>
      </c>
      <c r="L4308" s="22" t="e">
        <f>VLOOKUP($A4308, TAB_AMORTIZACAO_C[[DIAS_CORRIDOS]:[V_FUT_UTEIS]], L$5, FALSE)</f>
        <v>#N/A</v>
      </c>
    </row>
    <row r="4309" spans="1:12" hidden="1">
      <c r="A4309" s="19">
        <f t="shared" si="344"/>
        <v>4303</v>
      </c>
      <c r="B4309" s="20">
        <f t="shared" si="340"/>
        <v>0</v>
      </c>
      <c r="C4309" s="21">
        <f t="shared" si="341"/>
        <v>0</v>
      </c>
      <c r="D4309" s="22" t="e">
        <f>VLOOKUP($A4309, TAB_JUROS_U[[Q_DIAS_U_PARC_TIR]:[V_FUT_U_JURS CENARIO]], D$5, FALSE)</f>
        <v>#N/A</v>
      </c>
      <c r="E4309" s="22" t="e">
        <f>VLOOKUP($A4309,TAB_CORRECAO_U[[Q_DIAS_U_PARC_TIR]:[V_FUT_U_CORC-02]],E$5, FALSE)</f>
        <v>#N/A</v>
      </c>
      <c r="F4309" s="22" t="e">
        <f>VLOOKUP($A4309,TAB_AMORTIZACAO_U[[Q_DIAS_U_PARC_TIR]:[V_FUT_U_PCPL-02]], F$5, FALSE)</f>
        <v>#N/A</v>
      </c>
      <c r="H4309" s="20">
        <f t="shared" si="342"/>
        <v>0</v>
      </c>
      <c r="I4309" s="21">
        <f t="shared" si="343"/>
        <v>0</v>
      </c>
      <c r="J4309" s="22" t="e">
        <f>VLOOKUP($A4309, TAB_JUROS_C[[DIAS_CORRIDOS]:[V_FUT_UTEIS]], J$5, FALSE)</f>
        <v>#N/A</v>
      </c>
      <c r="K4309" s="22" t="e">
        <f>VLOOKUP($A4309, TAB_CORRECAO_C[[DIAS_CORRIDOS]:[V_FUT_UTEIS]],K$5, FALSE)</f>
        <v>#N/A</v>
      </c>
      <c r="L4309" s="22" t="e">
        <f>VLOOKUP($A4309, TAB_AMORTIZACAO_C[[DIAS_CORRIDOS]:[V_FUT_UTEIS]], L$5, FALSE)</f>
        <v>#N/A</v>
      </c>
    </row>
    <row r="4310" spans="1:12" hidden="1">
      <c r="A4310" s="19">
        <f t="shared" si="344"/>
        <v>4304</v>
      </c>
      <c r="B4310" s="20">
        <f t="shared" si="340"/>
        <v>0</v>
      </c>
      <c r="C4310" s="21">
        <f t="shared" si="341"/>
        <v>0</v>
      </c>
      <c r="D4310" s="22" t="e">
        <f>VLOOKUP($A4310, TAB_JUROS_U[[Q_DIAS_U_PARC_TIR]:[V_FUT_U_JURS CENARIO]], D$5, FALSE)</f>
        <v>#N/A</v>
      </c>
      <c r="E4310" s="22" t="e">
        <f>VLOOKUP($A4310,TAB_CORRECAO_U[[Q_DIAS_U_PARC_TIR]:[V_FUT_U_CORC-02]],E$5, FALSE)</f>
        <v>#N/A</v>
      </c>
      <c r="F4310" s="22" t="e">
        <f>VLOOKUP($A4310,TAB_AMORTIZACAO_U[[Q_DIAS_U_PARC_TIR]:[V_FUT_U_PCPL-02]], F$5, FALSE)</f>
        <v>#N/A</v>
      </c>
      <c r="H4310" s="20">
        <f t="shared" si="342"/>
        <v>0</v>
      </c>
      <c r="I4310" s="21">
        <f t="shared" si="343"/>
        <v>0</v>
      </c>
      <c r="J4310" s="22" t="e">
        <f>VLOOKUP($A4310, TAB_JUROS_C[[DIAS_CORRIDOS]:[V_FUT_UTEIS]], J$5, FALSE)</f>
        <v>#N/A</v>
      </c>
      <c r="K4310" s="22" t="e">
        <f>VLOOKUP($A4310, TAB_CORRECAO_C[[DIAS_CORRIDOS]:[V_FUT_UTEIS]],K$5, FALSE)</f>
        <v>#N/A</v>
      </c>
      <c r="L4310" s="22" t="e">
        <f>VLOOKUP($A4310, TAB_AMORTIZACAO_C[[DIAS_CORRIDOS]:[V_FUT_UTEIS]], L$5, FALSE)</f>
        <v>#N/A</v>
      </c>
    </row>
    <row r="4311" spans="1:12" hidden="1">
      <c r="A4311" s="19">
        <f t="shared" si="344"/>
        <v>4305</v>
      </c>
      <c r="B4311" s="20">
        <f t="shared" si="340"/>
        <v>0</v>
      </c>
      <c r="C4311" s="21">
        <f t="shared" si="341"/>
        <v>0</v>
      </c>
      <c r="D4311" s="22" t="e">
        <f>VLOOKUP($A4311, TAB_JUROS_U[[Q_DIAS_U_PARC_TIR]:[V_FUT_U_JURS CENARIO]], D$5, FALSE)</f>
        <v>#N/A</v>
      </c>
      <c r="E4311" s="22" t="e">
        <f>VLOOKUP($A4311,TAB_CORRECAO_U[[Q_DIAS_U_PARC_TIR]:[V_FUT_U_CORC-02]],E$5, FALSE)</f>
        <v>#N/A</v>
      </c>
      <c r="F4311" s="22" t="e">
        <f>VLOOKUP($A4311,TAB_AMORTIZACAO_U[[Q_DIAS_U_PARC_TIR]:[V_FUT_U_PCPL-02]], F$5, FALSE)</f>
        <v>#N/A</v>
      </c>
      <c r="H4311" s="20">
        <f t="shared" si="342"/>
        <v>87.797772443500364</v>
      </c>
      <c r="I4311" s="21">
        <f t="shared" si="343"/>
        <v>87.797772443500364</v>
      </c>
      <c r="J4311" s="22">
        <f>VLOOKUP($A4311, TAB_JUROS_C[[DIAS_CORRIDOS]:[V_FUT_UTEIS]], J$5, FALSE)</f>
        <v>0.52068679807924567</v>
      </c>
      <c r="K4311" s="22">
        <f>VLOOKUP($A4311, TAB_CORRECAO_C[[DIAS_CORRIDOS]:[V_FUT_UTEIS]],K$5, FALSE)</f>
        <v>3.3348117819956702</v>
      </c>
      <c r="L4311" s="22">
        <f>VLOOKUP($A4311, TAB_AMORTIZACAO_C[[DIAS_CORRIDOS]:[V_FUT_UTEIS]], L$5, FALSE)</f>
        <v>83.942273863425442</v>
      </c>
    </row>
    <row r="4312" spans="1:12" hidden="1">
      <c r="A4312" s="19">
        <f t="shared" si="344"/>
        <v>4306</v>
      </c>
      <c r="B4312" s="20">
        <f t="shared" si="340"/>
        <v>0</v>
      </c>
      <c r="C4312" s="21">
        <f t="shared" si="341"/>
        <v>0</v>
      </c>
      <c r="D4312" s="22" t="e">
        <f>VLOOKUP($A4312, TAB_JUROS_U[[Q_DIAS_U_PARC_TIR]:[V_FUT_U_JURS CENARIO]], D$5, FALSE)</f>
        <v>#N/A</v>
      </c>
      <c r="E4312" s="22" t="e">
        <f>VLOOKUP($A4312,TAB_CORRECAO_U[[Q_DIAS_U_PARC_TIR]:[V_FUT_U_CORC-02]],E$5, FALSE)</f>
        <v>#N/A</v>
      </c>
      <c r="F4312" s="22" t="e">
        <f>VLOOKUP($A4312,TAB_AMORTIZACAO_U[[Q_DIAS_U_PARC_TIR]:[V_FUT_U_PCPL-02]], F$5, FALSE)</f>
        <v>#N/A</v>
      </c>
      <c r="H4312" s="20">
        <f t="shared" si="342"/>
        <v>0</v>
      </c>
      <c r="I4312" s="21">
        <f t="shared" si="343"/>
        <v>0</v>
      </c>
      <c r="J4312" s="22" t="e">
        <f>VLOOKUP($A4312, TAB_JUROS_C[[DIAS_CORRIDOS]:[V_FUT_UTEIS]], J$5, FALSE)</f>
        <v>#N/A</v>
      </c>
      <c r="K4312" s="22" t="e">
        <f>VLOOKUP($A4312, TAB_CORRECAO_C[[DIAS_CORRIDOS]:[V_FUT_UTEIS]],K$5, FALSE)</f>
        <v>#N/A</v>
      </c>
      <c r="L4312" s="22" t="e">
        <f>VLOOKUP($A4312, TAB_AMORTIZACAO_C[[DIAS_CORRIDOS]:[V_FUT_UTEIS]], L$5, FALSE)</f>
        <v>#N/A</v>
      </c>
    </row>
    <row r="4313" spans="1:12" hidden="1">
      <c r="A4313" s="19">
        <f t="shared" si="344"/>
        <v>4307</v>
      </c>
      <c r="B4313" s="20">
        <f t="shared" si="340"/>
        <v>0</v>
      </c>
      <c r="C4313" s="21">
        <f t="shared" si="341"/>
        <v>0</v>
      </c>
      <c r="D4313" s="22" t="e">
        <f>VLOOKUP($A4313, TAB_JUROS_U[[Q_DIAS_U_PARC_TIR]:[V_FUT_U_JURS CENARIO]], D$5, FALSE)</f>
        <v>#N/A</v>
      </c>
      <c r="E4313" s="22" t="e">
        <f>VLOOKUP($A4313,TAB_CORRECAO_U[[Q_DIAS_U_PARC_TIR]:[V_FUT_U_CORC-02]],E$5, FALSE)</f>
        <v>#N/A</v>
      </c>
      <c r="F4313" s="22" t="e">
        <f>VLOOKUP($A4313,TAB_AMORTIZACAO_U[[Q_DIAS_U_PARC_TIR]:[V_FUT_U_PCPL-02]], F$5, FALSE)</f>
        <v>#N/A</v>
      </c>
      <c r="H4313" s="20">
        <f t="shared" si="342"/>
        <v>0</v>
      </c>
      <c r="I4313" s="21">
        <f t="shared" si="343"/>
        <v>0</v>
      </c>
      <c r="J4313" s="22" t="e">
        <f>VLOOKUP($A4313, TAB_JUROS_C[[DIAS_CORRIDOS]:[V_FUT_UTEIS]], J$5, FALSE)</f>
        <v>#N/A</v>
      </c>
      <c r="K4313" s="22" t="e">
        <f>VLOOKUP($A4313, TAB_CORRECAO_C[[DIAS_CORRIDOS]:[V_FUT_UTEIS]],K$5, FALSE)</f>
        <v>#N/A</v>
      </c>
      <c r="L4313" s="22" t="e">
        <f>VLOOKUP($A4313, TAB_AMORTIZACAO_C[[DIAS_CORRIDOS]:[V_FUT_UTEIS]], L$5, FALSE)</f>
        <v>#N/A</v>
      </c>
    </row>
    <row r="4314" spans="1:12" hidden="1">
      <c r="A4314" s="19">
        <f t="shared" si="344"/>
        <v>4308</v>
      </c>
      <c r="B4314" s="20">
        <f t="shared" si="340"/>
        <v>0</v>
      </c>
      <c r="C4314" s="21">
        <f t="shared" si="341"/>
        <v>0</v>
      </c>
      <c r="D4314" s="22" t="e">
        <f>VLOOKUP($A4314, TAB_JUROS_U[[Q_DIAS_U_PARC_TIR]:[V_FUT_U_JURS CENARIO]], D$5, FALSE)</f>
        <v>#N/A</v>
      </c>
      <c r="E4314" s="22" t="e">
        <f>VLOOKUP($A4314,TAB_CORRECAO_U[[Q_DIAS_U_PARC_TIR]:[V_FUT_U_CORC-02]],E$5, FALSE)</f>
        <v>#N/A</v>
      </c>
      <c r="F4314" s="22" t="e">
        <f>VLOOKUP($A4314,TAB_AMORTIZACAO_U[[Q_DIAS_U_PARC_TIR]:[V_FUT_U_PCPL-02]], F$5, FALSE)</f>
        <v>#N/A</v>
      </c>
      <c r="H4314" s="20">
        <f t="shared" si="342"/>
        <v>0</v>
      </c>
      <c r="I4314" s="21">
        <f t="shared" si="343"/>
        <v>0</v>
      </c>
      <c r="J4314" s="22" t="e">
        <f>VLOOKUP($A4314, TAB_JUROS_C[[DIAS_CORRIDOS]:[V_FUT_UTEIS]], J$5, FALSE)</f>
        <v>#N/A</v>
      </c>
      <c r="K4314" s="22" t="e">
        <f>VLOOKUP($A4314, TAB_CORRECAO_C[[DIAS_CORRIDOS]:[V_FUT_UTEIS]],K$5, FALSE)</f>
        <v>#N/A</v>
      </c>
      <c r="L4314" s="22" t="e">
        <f>VLOOKUP($A4314, TAB_AMORTIZACAO_C[[DIAS_CORRIDOS]:[V_FUT_UTEIS]], L$5, FALSE)</f>
        <v>#N/A</v>
      </c>
    </row>
    <row r="4315" spans="1:12" hidden="1">
      <c r="A4315" s="19">
        <f t="shared" si="344"/>
        <v>4309</v>
      </c>
      <c r="B4315" s="20">
        <f t="shared" si="340"/>
        <v>0</v>
      </c>
      <c r="C4315" s="21">
        <f t="shared" si="341"/>
        <v>0</v>
      </c>
      <c r="D4315" s="22" t="e">
        <f>VLOOKUP($A4315, TAB_JUROS_U[[Q_DIAS_U_PARC_TIR]:[V_FUT_U_JURS CENARIO]], D$5, FALSE)</f>
        <v>#N/A</v>
      </c>
      <c r="E4315" s="22" t="e">
        <f>VLOOKUP($A4315,TAB_CORRECAO_U[[Q_DIAS_U_PARC_TIR]:[V_FUT_U_CORC-02]],E$5, FALSE)</f>
        <v>#N/A</v>
      </c>
      <c r="F4315" s="22" t="e">
        <f>VLOOKUP($A4315,TAB_AMORTIZACAO_U[[Q_DIAS_U_PARC_TIR]:[V_FUT_U_PCPL-02]], F$5, FALSE)</f>
        <v>#N/A</v>
      </c>
      <c r="H4315" s="20">
        <f t="shared" si="342"/>
        <v>0</v>
      </c>
      <c r="I4315" s="21">
        <f t="shared" si="343"/>
        <v>0</v>
      </c>
      <c r="J4315" s="22" t="e">
        <f>VLOOKUP($A4315, TAB_JUROS_C[[DIAS_CORRIDOS]:[V_FUT_UTEIS]], J$5, FALSE)</f>
        <v>#N/A</v>
      </c>
      <c r="K4315" s="22" t="e">
        <f>VLOOKUP($A4315, TAB_CORRECAO_C[[DIAS_CORRIDOS]:[V_FUT_UTEIS]],K$5, FALSE)</f>
        <v>#N/A</v>
      </c>
      <c r="L4315" s="22" t="e">
        <f>VLOOKUP($A4315, TAB_AMORTIZACAO_C[[DIAS_CORRIDOS]:[V_FUT_UTEIS]], L$5, FALSE)</f>
        <v>#N/A</v>
      </c>
    </row>
    <row r="4316" spans="1:12" hidden="1">
      <c r="A4316" s="19">
        <f t="shared" si="344"/>
        <v>4310</v>
      </c>
      <c r="B4316" s="20">
        <f t="shared" si="340"/>
        <v>0</v>
      </c>
      <c r="C4316" s="21">
        <f t="shared" si="341"/>
        <v>0</v>
      </c>
      <c r="D4316" s="22" t="e">
        <f>VLOOKUP($A4316, TAB_JUROS_U[[Q_DIAS_U_PARC_TIR]:[V_FUT_U_JURS CENARIO]], D$5, FALSE)</f>
        <v>#N/A</v>
      </c>
      <c r="E4316" s="22" t="e">
        <f>VLOOKUP($A4316,TAB_CORRECAO_U[[Q_DIAS_U_PARC_TIR]:[V_FUT_U_CORC-02]],E$5, FALSE)</f>
        <v>#N/A</v>
      </c>
      <c r="F4316" s="22" t="e">
        <f>VLOOKUP($A4316,TAB_AMORTIZACAO_U[[Q_DIAS_U_PARC_TIR]:[V_FUT_U_PCPL-02]], F$5, FALSE)</f>
        <v>#N/A</v>
      </c>
      <c r="H4316" s="20">
        <f t="shared" si="342"/>
        <v>0</v>
      </c>
      <c r="I4316" s="21">
        <f t="shared" si="343"/>
        <v>0</v>
      </c>
      <c r="J4316" s="22" t="e">
        <f>VLOOKUP($A4316, TAB_JUROS_C[[DIAS_CORRIDOS]:[V_FUT_UTEIS]], J$5, FALSE)</f>
        <v>#N/A</v>
      </c>
      <c r="K4316" s="22" t="e">
        <f>VLOOKUP($A4316, TAB_CORRECAO_C[[DIAS_CORRIDOS]:[V_FUT_UTEIS]],K$5, FALSE)</f>
        <v>#N/A</v>
      </c>
      <c r="L4316" s="22" t="e">
        <f>VLOOKUP($A4316, TAB_AMORTIZACAO_C[[DIAS_CORRIDOS]:[V_FUT_UTEIS]], L$5, FALSE)</f>
        <v>#N/A</v>
      </c>
    </row>
    <row r="4317" spans="1:12" hidden="1">
      <c r="A4317" s="19">
        <f t="shared" si="344"/>
        <v>4311</v>
      </c>
      <c r="B4317" s="20">
        <f t="shared" si="340"/>
        <v>0</v>
      </c>
      <c r="C4317" s="21">
        <f t="shared" si="341"/>
        <v>0</v>
      </c>
      <c r="D4317" s="22" t="e">
        <f>VLOOKUP($A4317, TAB_JUROS_U[[Q_DIAS_U_PARC_TIR]:[V_FUT_U_JURS CENARIO]], D$5, FALSE)</f>
        <v>#N/A</v>
      </c>
      <c r="E4317" s="22" t="e">
        <f>VLOOKUP($A4317,TAB_CORRECAO_U[[Q_DIAS_U_PARC_TIR]:[V_FUT_U_CORC-02]],E$5, FALSE)</f>
        <v>#N/A</v>
      </c>
      <c r="F4317" s="22" t="e">
        <f>VLOOKUP($A4317,TAB_AMORTIZACAO_U[[Q_DIAS_U_PARC_TIR]:[V_FUT_U_PCPL-02]], F$5, FALSE)</f>
        <v>#N/A</v>
      </c>
      <c r="H4317" s="20">
        <f t="shared" si="342"/>
        <v>0</v>
      </c>
      <c r="I4317" s="21">
        <f t="shared" si="343"/>
        <v>0</v>
      </c>
      <c r="J4317" s="22" t="e">
        <f>VLOOKUP($A4317, TAB_JUROS_C[[DIAS_CORRIDOS]:[V_FUT_UTEIS]], J$5, FALSE)</f>
        <v>#N/A</v>
      </c>
      <c r="K4317" s="22" t="e">
        <f>VLOOKUP($A4317, TAB_CORRECAO_C[[DIAS_CORRIDOS]:[V_FUT_UTEIS]],K$5, FALSE)</f>
        <v>#N/A</v>
      </c>
      <c r="L4317" s="22" t="e">
        <f>VLOOKUP($A4317, TAB_AMORTIZACAO_C[[DIAS_CORRIDOS]:[V_FUT_UTEIS]], L$5, FALSE)</f>
        <v>#N/A</v>
      </c>
    </row>
    <row r="4318" spans="1:12" hidden="1">
      <c r="A4318" s="19">
        <f t="shared" si="344"/>
        <v>4312</v>
      </c>
      <c r="B4318" s="20">
        <f t="shared" si="340"/>
        <v>0</v>
      </c>
      <c r="C4318" s="21">
        <f t="shared" si="341"/>
        <v>0</v>
      </c>
      <c r="D4318" s="22" t="e">
        <f>VLOOKUP($A4318, TAB_JUROS_U[[Q_DIAS_U_PARC_TIR]:[V_FUT_U_JURS CENARIO]], D$5, FALSE)</f>
        <v>#N/A</v>
      </c>
      <c r="E4318" s="22" t="e">
        <f>VLOOKUP($A4318,TAB_CORRECAO_U[[Q_DIAS_U_PARC_TIR]:[V_FUT_U_CORC-02]],E$5, FALSE)</f>
        <v>#N/A</v>
      </c>
      <c r="F4318" s="22" t="e">
        <f>VLOOKUP($A4318,TAB_AMORTIZACAO_U[[Q_DIAS_U_PARC_TIR]:[V_FUT_U_PCPL-02]], F$5, FALSE)</f>
        <v>#N/A</v>
      </c>
      <c r="H4318" s="20">
        <f t="shared" si="342"/>
        <v>0</v>
      </c>
      <c r="I4318" s="21">
        <f t="shared" si="343"/>
        <v>0</v>
      </c>
      <c r="J4318" s="22" t="e">
        <f>VLOOKUP($A4318, TAB_JUROS_C[[DIAS_CORRIDOS]:[V_FUT_UTEIS]], J$5, FALSE)</f>
        <v>#N/A</v>
      </c>
      <c r="K4318" s="22" t="e">
        <f>VLOOKUP($A4318, TAB_CORRECAO_C[[DIAS_CORRIDOS]:[V_FUT_UTEIS]],K$5, FALSE)</f>
        <v>#N/A</v>
      </c>
      <c r="L4318" s="22" t="e">
        <f>VLOOKUP($A4318, TAB_AMORTIZACAO_C[[DIAS_CORRIDOS]:[V_FUT_UTEIS]], L$5, FALSE)</f>
        <v>#N/A</v>
      </c>
    </row>
    <row r="4319" spans="1:12" hidden="1">
      <c r="A4319" s="19">
        <f t="shared" si="344"/>
        <v>4313</v>
      </c>
      <c r="B4319" s="20">
        <f t="shared" si="340"/>
        <v>0</v>
      </c>
      <c r="C4319" s="21">
        <f t="shared" si="341"/>
        <v>0</v>
      </c>
      <c r="D4319" s="22" t="e">
        <f>VLOOKUP($A4319, TAB_JUROS_U[[Q_DIAS_U_PARC_TIR]:[V_FUT_U_JURS CENARIO]], D$5, FALSE)</f>
        <v>#N/A</v>
      </c>
      <c r="E4319" s="22" t="e">
        <f>VLOOKUP($A4319,TAB_CORRECAO_U[[Q_DIAS_U_PARC_TIR]:[V_FUT_U_CORC-02]],E$5, FALSE)</f>
        <v>#N/A</v>
      </c>
      <c r="F4319" s="22" t="e">
        <f>VLOOKUP($A4319,TAB_AMORTIZACAO_U[[Q_DIAS_U_PARC_TIR]:[V_FUT_U_PCPL-02]], F$5, FALSE)</f>
        <v>#N/A</v>
      </c>
      <c r="H4319" s="20">
        <f t="shared" si="342"/>
        <v>0</v>
      </c>
      <c r="I4319" s="21">
        <f t="shared" si="343"/>
        <v>0</v>
      </c>
      <c r="J4319" s="22" t="e">
        <f>VLOOKUP($A4319, TAB_JUROS_C[[DIAS_CORRIDOS]:[V_FUT_UTEIS]], J$5, FALSE)</f>
        <v>#N/A</v>
      </c>
      <c r="K4319" s="22" t="e">
        <f>VLOOKUP($A4319, TAB_CORRECAO_C[[DIAS_CORRIDOS]:[V_FUT_UTEIS]],K$5, FALSE)</f>
        <v>#N/A</v>
      </c>
      <c r="L4319" s="22" t="e">
        <f>VLOOKUP($A4319, TAB_AMORTIZACAO_C[[DIAS_CORRIDOS]:[V_FUT_UTEIS]], L$5, FALSE)</f>
        <v>#N/A</v>
      </c>
    </row>
    <row r="4320" spans="1:12" hidden="1">
      <c r="A4320" s="19">
        <f t="shared" si="344"/>
        <v>4314</v>
      </c>
      <c r="B4320" s="20">
        <f t="shared" si="340"/>
        <v>0</v>
      </c>
      <c r="C4320" s="21">
        <f t="shared" si="341"/>
        <v>0</v>
      </c>
      <c r="D4320" s="22" t="e">
        <f>VLOOKUP($A4320, TAB_JUROS_U[[Q_DIAS_U_PARC_TIR]:[V_FUT_U_JURS CENARIO]], D$5, FALSE)</f>
        <v>#N/A</v>
      </c>
      <c r="E4320" s="22" t="e">
        <f>VLOOKUP($A4320,TAB_CORRECAO_U[[Q_DIAS_U_PARC_TIR]:[V_FUT_U_CORC-02]],E$5, FALSE)</f>
        <v>#N/A</v>
      </c>
      <c r="F4320" s="22" t="e">
        <f>VLOOKUP($A4320,TAB_AMORTIZACAO_U[[Q_DIAS_U_PARC_TIR]:[V_FUT_U_PCPL-02]], F$5, FALSE)</f>
        <v>#N/A</v>
      </c>
      <c r="H4320" s="20">
        <f t="shared" si="342"/>
        <v>0</v>
      </c>
      <c r="I4320" s="21">
        <f t="shared" si="343"/>
        <v>0</v>
      </c>
      <c r="J4320" s="22" t="e">
        <f>VLOOKUP($A4320, TAB_JUROS_C[[DIAS_CORRIDOS]:[V_FUT_UTEIS]], J$5, FALSE)</f>
        <v>#N/A</v>
      </c>
      <c r="K4320" s="22" t="e">
        <f>VLOOKUP($A4320, TAB_CORRECAO_C[[DIAS_CORRIDOS]:[V_FUT_UTEIS]],K$5, FALSE)</f>
        <v>#N/A</v>
      </c>
      <c r="L4320" s="22" t="e">
        <f>VLOOKUP($A4320, TAB_AMORTIZACAO_C[[DIAS_CORRIDOS]:[V_FUT_UTEIS]], L$5, FALSE)</f>
        <v>#N/A</v>
      </c>
    </row>
    <row r="4321" spans="1:12" hidden="1">
      <c r="A4321" s="19">
        <f t="shared" si="344"/>
        <v>4315</v>
      </c>
      <c r="B4321" s="20">
        <f t="shared" si="340"/>
        <v>0</v>
      </c>
      <c r="C4321" s="21">
        <f t="shared" si="341"/>
        <v>0</v>
      </c>
      <c r="D4321" s="22" t="e">
        <f>VLOOKUP($A4321, TAB_JUROS_U[[Q_DIAS_U_PARC_TIR]:[V_FUT_U_JURS CENARIO]], D$5, FALSE)</f>
        <v>#N/A</v>
      </c>
      <c r="E4321" s="22" t="e">
        <f>VLOOKUP($A4321,TAB_CORRECAO_U[[Q_DIAS_U_PARC_TIR]:[V_FUT_U_CORC-02]],E$5, FALSE)</f>
        <v>#N/A</v>
      </c>
      <c r="F4321" s="22" t="e">
        <f>VLOOKUP($A4321,TAB_AMORTIZACAO_U[[Q_DIAS_U_PARC_TIR]:[V_FUT_U_PCPL-02]], F$5, FALSE)</f>
        <v>#N/A</v>
      </c>
      <c r="H4321" s="20">
        <f t="shared" si="342"/>
        <v>0</v>
      </c>
      <c r="I4321" s="21">
        <f t="shared" si="343"/>
        <v>0</v>
      </c>
      <c r="J4321" s="22" t="e">
        <f>VLOOKUP($A4321, TAB_JUROS_C[[DIAS_CORRIDOS]:[V_FUT_UTEIS]], J$5, FALSE)</f>
        <v>#N/A</v>
      </c>
      <c r="K4321" s="22" t="e">
        <f>VLOOKUP($A4321, TAB_CORRECAO_C[[DIAS_CORRIDOS]:[V_FUT_UTEIS]],K$5, FALSE)</f>
        <v>#N/A</v>
      </c>
      <c r="L4321" s="22" t="e">
        <f>VLOOKUP($A4321, TAB_AMORTIZACAO_C[[DIAS_CORRIDOS]:[V_FUT_UTEIS]], L$5, FALSE)</f>
        <v>#N/A</v>
      </c>
    </row>
    <row r="4322" spans="1:12" hidden="1">
      <c r="A4322" s="19">
        <f t="shared" si="344"/>
        <v>4316</v>
      </c>
      <c r="B4322" s="20">
        <f t="shared" si="340"/>
        <v>0</v>
      </c>
      <c r="C4322" s="21">
        <f t="shared" si="341"/>
        <v>0</v>
      </c>
      <c r="D4322" s="22" t="e">
        <f>VLOOKUP($A4322, TAB_JUROS_U[[Q_DIAS_U_PARC_TIR]:[V_FUT_U_JURS CENARIO]], D$5, FALSE)</f>
        <v>#N/A</v>
      </c>
      <c r="E4322" s="22" t="e">
        <f>VLOOKUP($A4322,TAB_CORRECAO_U[[Q_DIAS_U_PARC_TIR]:[V_FUT_U_CORC-02]],E$5, FALSE)</f>
        <v>#N/A</v>
      </c>
      <c r="F4322" s="22" t="e">
        <f>VLOOKUP($A4322,TAB_AMORTIZACAO_U[[Q_DIAS_U_PARC_TIR]:[V_FUT_U_PCPL-02]], F$5, FALSE)</f>
        <v>#N/A</v>
      </c>
      <c r="H4322" s="20">
        <f t="shared" si="342"/>
        <v>0</v>
      </c>
      <c r="I4322" s="21">
        <f t="shared" si="343"/>
        <v>0</v>
      </c>
      <c r="J4322" s="22" t="e">
        <f>VLOOKUP($A4322, TAB_JUROS_C[[DIAS_CORRIDOS]:[V_FUT_UTEIS]], J$5, FALSE)</f>
        <v>#N/A</v>
      </c>
      <c r="K4322" s="22" t="e">
        <f>VLOOKUP($A4322, TAB_CORRECAO_C[[DIAS_CORRIDOS]:[V_FUT_UTEIS]],K$5, FALSE)</f>
        <v>#N/A</v>
      </c>
      <c r="L4322" s="22" t="e">
        <f>VLOOKUP($A4322, TAB_AMORTIZACAO_C[[DIAS_CORRIDOS]:[V_FUT_UTEIS]], L$5, FALSE)</f>
        <v>#N/A</v>
      </c>
    </row>
    <row r="4323" spans="1:12" hidden="1">
      <c r="A4323" s="19">
        <f t="shared" si="344"/>
        <v>4317</v>
      </c>
      <c r="B4323" s="20">
        <f t="shared" si="340"/>
        <v>0</v>
      </c>
      <c r="C4323" s="21">
        <f t="shared" si="341"/>
        <v>0</v>
      </c>
      <c r="D4323" s="22" t="e">
        <f>VLOOKUP($A4323, TAB_JUROS_U[[Q_DIAS_U_PARC_TIR]:[V_FUT_U_JURS CENARIO]], D$5, FALSE)</f>
        <v>#N/A</v>
      </c>
      <c r="E4323" s="22" t="e">
        <f>VLOOKUP($A4323,TAB_CORRECAO_U[[Q_DIAS_U_PARC_TIR]:[V_FUT_U_CORC-02]],E$5, FALSE)</f>
        <v>#N/A</v>
      </c>
      <c r="F4323" s="22" t="e">
        <f>VLOOKUP($A4323,TAB_AMORTIZACAO_U[[Q_DIAS_U_PARC_TIR]:[V_FUT_U_PCPL-02]], F$5, FALSE)</f>
        <v>#N/A</v>
      </c>
      <c r="H4323" s="20">
        <f t="shared" si="342"/>
        <v>0</v>
      </c>
      <c r="I4323" s="21">
        <f t="shared" si="343"/>
        <v>0</v>
      </c>
      <c r="J4323" s="22" t="e">
        <f>VLOOKUP($A4323, TAB_JUROS_C[[DIAS_CORRIDOS]:[V_FUT_UTEIS]], J$5, FALSE)</f>
        <v>#N/A</v>
      </c>
      <c r="K4323" s="22" t="e">
        <f>VLOOKUP($A4323, TAB_CORRECAO_C[[DIAS_CORRIDOS]:[V_FUT_UTEIS]],K$5, FALSE)</f>
        <v>#N/A</v>
      </c>
      <c r="L4323" s="22" t="e">
        <f>VLOOKUP($A4323, TAB_AMORTIZACAO_C[[DIAS_CORRIDOS]:[V_FUT_UTEIS]], L$5, FALSE)</f>
        <v>#N/A</v>
      </c>
    </row>
    <row r="4324" spans="1:12" hidden="1">
      <c r="A4324" s="19">
        <f t="shared" si="344"/>
        <v>4318</v>
      </c>
      <c r="B4324" s="20">
        <f t="shared" si="340"/>
        <v>0</v>
      </c>
      <c r="C4324" s="21">
        <f t="shared" si="341"/>
        <v>0</v>
      </c>
      <c r="D4324" s="22" t="e">
        <f>VLOOKUP($A4324, TAB_JUROS_U[[Q_DIAS_U_PARC_TIR]:[V_FUT_U_JURS CENARIO]], D$5, FALSE)</f>
        <v>#N/A</v>
      </c>
      <c r="E4324" s="22" t="e">
        <f>VLOOKUP($A4324,TAB_CORRECAO_U[[Q_DIAS_U_PARC_TIR]:[V_FUT_U_CORC-02]],E$5, FALSE)</f>
        <v>#N/A</v>
      </c>
      <c r="F4324" s="22" t="e">
        <f>VLOOKUP($A4324,TAB_AMORTIZACAO_U[[Q_DIAS_U_PARC_TIR]:[V_FUT_U_PCPL-02]], F$5, FALSE)</f>
        <v>#N/A</v>
      </c>
      <c r="H4324" s="20">
        <f t="shared" si="342"/>
        <v>0</v>
      </c>
      <c r="I4324" s="21">
        <f t="shared" si="343"/>
        <v>0</v>
      </c>
      <c r="J4324" s="22" t="e">
        <f>VLOOKUP($A4324, TAB_JUROS_C[[DIAS_CORRIDOS]:[V_FUT_UTEIS]], J$5, FALSE)</f>
        <v>#N/A</v>
      </c>
      <c r="K4324" s="22" t="e">
        <f>VLOOKUP($A4324, TAB_CORRECAO_C[[DIAS_CORRIDOS]:[V_FUT_UTEIS]],K$5, FALSE)</f>
        <v>#N/A</v>
      </c>
      <c r="L4324" s="22" t="e">
        <f>VLOOKUP($A4324, TAB_AMORTIZACAO_C[[DIAS_CORRIDOS]:[V_FUT_UTEIS]], L$5, FALSE)</f>
        <v>#N/A</v>
      </c>
    </row>
    <row r="4325" spans="1:12" hidden="1">
      <c r="A4325" s="19">
        <f t="shared" si="344"/>
        <v>4319</v>
      </c>
      <c r="B4325" s="20">
        <f t="shared" si="340"/>
        <v>0</v>
      </c>
      <c r="C4325" s="21">
        <f t="shared" si="341"/>
        <v>0</v>
      </c>
      <c r="D4325" s="22" t="e">
        <f>VLOOKUP($A4325, TAB_JUROS_U[[Q_DIAS_U_PARC_TIR]:[V_FUT_U_JURS CENARIO]], D$5, FALSE)</f>
        <v>#N/A</v>
      </c>
      <c r="E4325" s="22" t="e">
        <f>VLOOKUP($A4325,TAB_CORRECAO_U[[Q_DIAS_U_PARC_TIR]:[V_FUT_U_CORC-02]],E$5, FALSE)</f>
        <v>#N/A</v>
      </c>
      <c r="F4325" s="22" t="e">
        <f>VLOOKUP($A4325,TAB_AMORTIZACAO_U[[Q_DIAS_U_PARC_TIR]:[V_FUT_U_PCPL-02]], F$5, FALSE)</f>
        <v>#N/A</v>
      </c>
      <c r="H4325" s="20">
        <f t="shared" si="342"/>
        <v>0</v>
      </c>
      <c r="I4325" s="21">
        <f t="shared" si="343"/>
        <v>0</v>
      </c>
      <c r="J4325" s="22" t="e">
        <f>VLOOKUP($A4325, TAB_JUROS_C[[DIAS_CORRIDOS]:[V_FUT_UTEIS]], J$5, FALSE)</f>
        <v>#N/A</v>
      </c>
      <c r="K4325" s="22" t="e">
        <f>VLOOKUP($A4325, TAB_CORRECAO_C[[DIAS_CORRIDOS]:[V_FUT_UTEIS]],K$5, FALSE)</f>
        <v>#N/A</v>
      </c>
      <c r="L4325" s="22" t="e">
        <f>VLOOKUP($A4325, TAB_AMORTIZACAO_C[[DIAS_CORRIDOS]:[V_FUT_UTEIS]], L$5, FALSE)</f>
        <v>#N/A</v>
      </c>
    </row>
    <row r="4326" spans="1:12" hidden="1">
      <c r="A4326" s="19">
        <f t="shared" si="344"/>
        <v>4320</v>
      </c>
      <c r="B4326" s="20">
        <f t="shared" si="340"/>
        <v>0</v>
      </c>
      <c r="C4326" s="21">
        <f t="shared" si="341"/>
        <v>0</v>
      </c>
      <c r="D4326" s="22" t="e">
        <f>VLOOKUP($A4326, TAB_JUROS_U[[Q_DIAS_U_PARC_TIR]:[V_FUT_U_JURS CENARIO]], D$5, FALSE)</f>
        <v>#N/A</v>
      </c>
      <c r="E4326" s="22" t="e">
        <f>VLOOKUP($A4326,TAB_CORRECAO_U[[Q_DIAS_U_PARC_TIR]:[V_FUT_U_CORC-02]],E$5, FALSE)</f>
        <v>#N/A</v>
      </c>
      <c r="F4326" s="22" t="e">
        <f>VLOOKUP($A4326,TAB_AMORTIZACAO_U[[Q_DIAS_U_PARC_TIR]:[V_FUT_U_PCPL-02]], F$5, FALSE)</f>
        <v>#N/A</v>
      </c>
      <c r="H4326" s="20">
        <f t="shared" si="342"/>
        <v>0</v>
      </c>
      <c r="I4326" s="21">
        <f t="shared" si="343"/>
        <v>0</v>
      </c>
      <c r="J4326" s="22" t="e">
        <f>VLOOKUP($A4326, TAB_JUROS_C[[DIAS_CORRIDOS]:[V_FUT_UTEIS]], J$5, FALSE)</f>
        <v>#N/A</v>
      </c>
      <c r="K4326" s="22" t="e">
        <f>VLOOKUP($A4326, TAB_CORRECAO_C[[DIAS_CORRIDOS]:[V_FUT_UTEIS]],K$5, FALSE)</f>
        <v>#N/A</v>
      </c>
      <c r="L4326" s="22" t="e">
        <f>VLOOKUP($A4326, TAB_AMORTIZACAO_C[[DIAS_CORRIDOS]:[V_FUT_UTEIS]], L$5, FALSE)</f>
        <v>#N/A</v>
      </c>
    </row>
    <row r="4327" spans="1:12" hidden="1">
      <c r="A4327" s="19">
        <f t="shared" si="344"/>
        <v>4321</v>
      </c>
      <c r="B4327" s="20">
        <f t="shared" si="340"/>
        <v>0</v>
      </c>
      <c r="C4327" s="21">
        <f t="shared" si="341"/>
        <v>0</v>
      </c>
      <c r="D4327" s="22" t="e">
        <f>VLOOKUP($A4327, TAB_JUROS_U[[Q_DIAS_U_PARC_TIR]:[V_FUT_U_JURS CENARIO]], D$5, FALSE)</f>
        <v>#N/A</v>
      </c>
      <c r="E4327" s="22" t="e">
        <f>VLOOKUP($A4327,TAB_CORRECAO_U[[Q_DIAS_U_PARC_TIR]:[V_FUT_U_CORC-02]],E$5, FALSE)</f>
        <v>#N/A</v>
      </c>
      <c r="F4327" s="22" t="e">
        <f>VLOOKUP($A4327,TAB_AMORTIZACAO_U[[Q_DIAS_U_PARC_TIR]:[V_FUT_U_PCPL-02]], F$5, FALSE)</f>
        <v>#N/A</v>
      </c>
      <c r="H4327" s="20">
        <f t="shared" si="342"/>
        <v>0</v>
      </c>
      <c r="I4327" s="21">
        <f t="shared" si="343"/>
        <v>0</v>
      </c>
      <c r="J4327" s="22" t="e">
        <f>VLOOKUP($A4327, TAB_JUROS_C[[DIAS_CORRIDOS]:[V_FUT_UTEIS]], J$5, FALSE)</f>
        <v>#N/A</v>
      </c>
      <c r="K4327" s="22" t="e">
        <f>VLOOKUP($A4327, TAB_CORRECAO_C[[DIAS_CORRIDOS]:[V_FUT_UTEIS]],K$5, FALSE)</f>
        <v>#N/A</v>
      </c>
      <c r="L4327" s="22" t="e">
        <f>VLOOKUP($A4327, TAB_AMORTIZACAO_C[[DIAS_CORRIDOS]:[V_FUT_UTEIS]], L$5, FALSE)</f>
        <v>#N/A</v>
      </c>
    </row>
    <row r="4328" spans="1:12" hidden="1">
      <c r="A4328" s="19">
        <f t="shared" si="344"/>
        <v>4322</v>
      </c>
      <c r="B4328" s="20">
        <f t="shared" si="340"/>
        <v>0</v>
      </c>
      <c r="C4328" s="21">
        <f t="shared" si="341"/>
        <v>0</v>
      </c>
      <c r="D4328" s="22" t="e">
        <f>VLOOKUP($A4328, TAB_JUROS_U[[Q_DIAS_U_PARC_TIR]:[V_FUT_U_JURS CENARIO]], D$5, FALSE)</f>
        <v>#N/A</v>
      </c>
      <c r="E4328" s="22" t="e">
        <f>VLOOKUP($A4328,TAB_CORRECAO_U[[Q_DIAS_U_PARC_TIR]:[V_FUT_U_CORC-02]],E$5, FALSE)</f>
        <v>#N/A</v>
      </c>
      <c r="F4328" s="22" t="e">
        <f>VLOOKUP($A4328,TAB_AMORTIZACAO_U[[Q_DIAS_U_PARC_TIR]:[V_FUT_U_PCPL-02]], F$5, FALSE)</f>
        <v>#N/A</v>
      </c>
      <c r="H4328" s="20">
        <f t="shared" si="342"/>
        <v>0</v>
      </c>
      <c r="I4328" s="21">
        <f t="shared" si="343"/>
        <v>0</v>
      </c>
      <c r="J4328" s="22" t="e">
        <f>VLOOKUP($A4328, TAB_JUROS_C[[DIAS_CORRIDOS]:[V_FUT_UTEIS]], J$5, FALSE)</f>
        <v>#N/A</v>
      </c>
      <c r="K4328" s="22" t="e">
        <f>VLOOKUP($A4328, TAB_CORRECAO_C[[DIAS_CORRIDOS]:[V_FUT_UTEIS]],K$5, FALSE)</f>
        <v>#N/A</v>
      </c>
      <c r="L4328" s="22" t="e">
        <f>VLOOKUP($A4328, TAB_AMORTIZACAO_C[[DIAS_CORRIDOS]:[V_FUT_UTEIS]], L$5, FALSE)</f>
        <v>#N/A</v>
      </c>
    </row>
    <row r="4329" spans="1:12" hidden="1">
      <c r="A4329" s="19">
        <f t="shared" si="344"/>
        <v>4323</v>
      </c>
      <c r="B4329" s="20">
        <f t="shared" si="340"/>
        <v>0</v>
      </c>
      <c r="C4329" s="21">
        <f t="shared" si="341"/>
        <v>0</v>
      </c>
      <c r="D4329" s="22" t="e">
        <f>VLOOKUP($A4329, TAB_JUROS_U[[Q_DIAS_U_PARC_TIR]:[V_FUT_U_JURS CENARIO]], D$5, FALSE)</f>
        <v>#N/A</v>
      </c>
      <c r="E4329" s="22" t="e">
        <f>VLOOKUP($A4329,TAB_CORRECAO_U[[Q_DIAS_U_PARC_TIR]:[V_FUT_U_CORC-02]],E$5, FALSE)</f>
        <v>#N/A</v>
      </c>
      <c r="F4329" s="22" t="e">
        <f>VLOOKUP($A4329,TAB_AMORTIZACAO_U[[Q_DIAS_U_PARC_TIR]:[V_FUT_U_PCPL-02]], F$5, FALSE)</f>
        <v>#N/A</v>
      </c>
      <c r="H4329" s="20">
        <f t="shared" si="342"/>
        <v>0</v>
      </c>
      <c r="I4329" s="21">
        <f t="shared" si="343"/>
        <v>0</v>
      </c>
      <c r="J4329" s="22" t="e">
        <f>VLOOKUP($A4329, TAB_JUROS_C[[DIAS_CORRIDOS]:[V_FUT_UTEIS]], J$5, FALSE)</f>
        <v>#N/A</v>
      </c>
      <c r="K4329" s="22" t="e">
        <f>VLOOKUP($A4329, TAB_CORRECAO_C[[DIAS_CORRIDOS]:[V_FUT_UTEIS]],K$5, FALSE)</f>
        <v>#N/A</v>
      </c>
      <c r="L4329" s="22" t="e">
        <f>VLOOKUP($A4329, TAB_AMORTIZACAO_C[[DIAS_CORRIDOS]:[V_FUT_UTEIS]], L$5, FALSE)</f>
        <v>#N/A</v>
      </c>
    </row>
    <row r="4330" spans="1:12" hidden="1">
      <c r="A4330" s="19">
        <f t="shared" si="344"/>
        <v>4324</v>
      </c>
      <c r="B4330" s="20">
        <f t="shared" si="340"/>
        <v>0</v>
      </c>
      <c r="C4330" s="21">
        <f t="shared" si="341"/>
        <v>0</v>
      </c>
      <c r="D4330" s="22" t="e">
        <f>VLOOKUP($A4330, TAB_JUROS_U[[Q_DIAS_U_PARC_TIR]:[V_FUT_U_JURS CENARIO]], D$5, FALSE)</f>
        <v>#N/A</v>
      </c>
      <c r="E4330" s="22" t="e">
        <f>VLOOKUP($A4330,TAB_CORRECAO_U[[Q_DIAS_U_PARC_TIR]:[V_FUT_U_CORC-02]],E$5, FALSE)</f>
        <v>#N/A</v>
      </c>
      <c r="F4330" s="22" t="e">
        <f>VLOOKUP($A4330,TAB_AMORTIZACAO_U[[Q_DIAS_U_PARC_TIR]:[V_FUT_U_PCPL-02]], F$5, FALSE)</f>
        <v>#N/A</v>
      </c>
      <c r="H4330" s="20">
        <f t="shared" si="342"/>
        <v>0</v>
      </c>
      <c r="I4330" s="21">
        <f t="shared" si="343"/>
        <v>0</v>
      </c>
      <c r="J4330" s="22" t="e">
        <f>VLOOKUP($A4330, TAB_JUROS_C[[DIAS_CORRIDOS]:[V_FUT_UTEIS]], J$5, FALSE)</f>
        <v>#N/A</v>
      </c>
      <c r="K4330" s="22" t="e">
        <f>VLOOKUP($A4330, TAB_CORRECAO_C[[DIAS_CORRIDOS]:[V_FUT_UTEIS]],K$5, FALSE)</f>
        <v>#N/A</v>
      </c>
      <c r="L4330" s="22" t="e">
        <f>VLOOKUP($A4330, TAB_AMORTIZACAO_C[[DIAS_CORRIDOS]:[V_FUT_UTEIS]], L$5, FALSE)</f>
        <v>#N/A</v>
      </c>
    </row>
    <row r="4331" spans="1:12" hidden="1">
      <c r="A4331" s="19">
        <f t="shared" si="344"/>
        <v>4325</v>
      </c>
      <c r="B4331" s="20">
        <f t="shared" si="340"/>
        <v>0</v>
      </c>
      <c r="C4331" s="21">
        <f t="shared" si="341"/>
        <v>0</v>
      </c>
      <c r="D4331" s="22" t="e">
        <f>VLOOKUP($A4331, TAB_JUROS_U[[Q_DIAS_U_PARC_TIR]:[V_FUT_U_JURS CENARIO]], D$5, FALSE)</f>
        <v>#N/A</v>
      </c>
      <c r="E4331" s="22" t="e">
        <f>VLOOKUP($A4331,TAB_CORRECAO_U[[Q_DIAS_U_PARC_TIR]:[V_FUT_U_CORC-02]],E$5, FALSE)</f>
        <v>#N/A</v>
      </c>
      <c r="F4331" s="22" t="e">
        <f>VLOOKUP($A4331,TAB_AMORTIZACAO_U[[Q_DIAS_U_PARC_TIR]:[V_FUT_U_PCPL-02]], F$5, FALSE)</f>
        <v>#N/A</v>
      </c>
      <c r="H4331" s="20">
        <f t="shared" si="342"/>
        <v>0</v>
      </c>
      <c r="I4331" s="21">
        <f t="shared" si="343"/>
        <v>0</v>
      </c>
      <c r="J4331" s="22" t="e">
        <f>VLOOKUP($A4331, TAB_JUROS_C[[DIAS_CORRIDOS]:[V_FUT_UTEIS]], J$5, FALSE)</f>
        <v>#N/A</v>
      </c>
      <c r="K4331" s="22" t="e">
        <f>VLOOKUP($A4331, TAB_CORRECAO_C[[DIAS_CORRIDOS]:[V_FUT_UTEIS]],K$5, FALSE)</f>
        <v>#N/A</v>
      </c>
      <c r="L4331" s="22" t="e">
        <f>VLOOKUP($A4331, TAB_AMORTIZACAO_C[[DIAS_CORRIDOS]:[V_FUT_UTEIS]], L$5, FALSE)</f>
        <v>#N/A</v>
      </c>
    </row>
    <row r="4332" spans="1:12" hidden="1">
      <c r="A4332" s="19">
        <f t="shared" si="344"/>
        <v>4326</v>
      </c>
      <c r="B4332" s="20">
        <f t="shared" si="340"/>
        <v>0</v>
      </c>
      <c r="C4332" s="21">
        <f t="shared" si="341"/>
        <v>0</v>
      </c>
      <c r="D4332" s="22" t="e">
        <f>VLOOKUP($A4332, TAB_JUROS_U[[Q_DIAS_U_PARC_TIR]:[V_FUT_U_JURS CENARIO]], D$5, FALSE)</f>
        <v>#N/A</v>
      </c>
      <c r="E4332" s="22" t="e">
        <f>VLOOKUP($A4332,TAB_CORRECAO_U[[Q_DIAS_U_PARC_TIR]:[V_FUT_U_CORC-02]],E$5, FALSE)</f>
        <v>#N/A</v>
      </c>
      <c r="F4332" s="22" t="e">
        <f>VLOOKUP($A4332,TAB_AMORTIZACAO_U[[Q_DIAS_U_PARC_TIR]:[V_FUT_U_PCPL-02]], F$5, FALSE)</f>
        <v>#N/A</v>
      </c>
      <c r="H4332" s="20">
        <f t="shared" si="342"/>
        <v>0</v>
      </c>
      <c r="I4332" s="21">
        <f t="shared" si="343"/>
        <v>0</v>
      </c>
      <c r="J4332" s="22" t="e">
        <f>VLOOKUP($A4332, TAB_JUROS_C[[DIAS_CORRIDOS]:[V_FUT_UTEIS]], J$5, FALSE)</f>
        <v>#N/A</v>
      </c>
      <c r="K4332" s="22" t="e">
        <f>VLOOKUP($A4332, TAB_CORRECAO_C[[DIAS_CORRIDOS]:[V_FUT_UTEIS]],K$5, FALSE)</f>
        <v>#N/A</v>
      </c>
      <c r="L4332" s="22" t="e">
        <f>VLOOKUP($A4332, TAB_AMORTIZACAO_C[[DIAS_CORRIDOS]:[V_FUT_UTEIS]], L$5, FALSE)</f>
        <v>#N/A</v>
      </c>
    </row>
    <row r="4333" spans="1:12" hidden="1">
      <c r="A4333" s="19">
        <f t="shared" si="344"/>
        <v>4327</v>
      </c>
      <c r="B4333" s="20">
        <f t="shared" si="340"/>
        <v>0</v>
      </c>
      <c r="C4333" s="21">
        <f t="shared" si="341"/>
        <v>0</v>
      </c>
      <c r="D4333" s="22" t="e">
        <f>VLOOKUP($A4333, TAB_JUROS_U[[Q_DIAS_U_PARC_TIR]:[V_FUT_U_JURS CENARIO]], D$5, FALSE)</f>
        <v>#N/A</v>
      </c>
      <c r="E4333" s="22" t="e">
        <f>VLOOKUP($A4333,TAB_CORRECAO_U[[Q_DIAS_U_PARC_TIR]:[V_FUT_U_CORC-02]],E$5, FALSE)</f>
        <v>#N/A</v>
      </c>
      <c r="F4333" s="22" t="e">
        <f>VLOOKUP($A4333,TAB_AMORTIZACAO_U[[Q_DIAS_U_PARC_TIR]:[V_FUT_U_PCPL-02]], F$5, FALSE)</f>
        <v>#N/A</v>
      </c>
      <c r="H4333" s="20">
        <f t="shared" si="342"/>
        <v>0</v>
      </c>
      <c r="I4333" s="21">
        <f t="shared" si="343"/>
        <v>0</v>
      </c>
      <c r="J4333" s="22" t="e">
        <f>VLOOKUP($A4333, TAB_JUROS_C[[DIAS_CORRIDOS]:[V_FUT_UTEIS]], J$5, FALSE)</f>
        <v>#N/A</v>
      </c>
      <c r="K4333" s="22" t="e">
        <f>VLOOKUP($A4333, TAB_CORRECAO_C[[DIAS_CORRIDOS]:[V_FUT_UTEIS]],K$5, FALSE)</f>
        <v>#N/A</v>
      </c>
      <c r="L4333" s="22" t="e">
        <f>VLOOKUP($A4333, TAB_AMORTIZACAO_C[[DIAS_CORRIDOS]:[V_FUT_UTEIS]], L$5, FALSE)</f>
        <v>#N/A</v>
      </c>
    </row>
    <row r="4334" spans="1:12" hidden="1">
      <c r="A4334" s="19">
        <f t="shared" si="344"/>
        <v>4328</v>
      </c>
      <c r="B4334" s="20">
        <f t="shared" si="340"/>
        <v>0</v>
      </c>
      <c r="C4334" s="21">
        <f t="shared" si="341"/>
        <v>0</v>
      </c>
      <c r="D4334" s="22" t="e">
        <f>VLOOKUP($A4334, TAB_JUROS_U[[Q_DIAS_U_PARC_TIR]:[V_FUT_U_JURS CENARIO]], D$5, FALSE)</f>
        <v>#N/A</v>
      </c>
      <c r="E4334" s="22" t="e">
        <f>VLOOKUP($A4334,TAB_CORRECAO_U[[Q_DIAS_U_PARC_TIR]:[V_FUT_U_CORC-02]],E$5, FALSE)</f>
        <v>#N/A</v>
      </c>
      <c r="F4334" s="22" t="e">
        <f>VLOOKUP($A4334,TAB_AMORTIZACAO_U[[Q_DIAS_U_PARC_TIR]:[V_FUT_U_PCPL-02]], F$5, FALSE)</f>
        <v>#N/A</v>
      </c>
      <c r="H4334" s="20">
        <f t="shared" si="342"/>
        <v>0</v>
      </c>
      <c r="I4334" s="21">
        <f t="shared" si="343"/>
        <v>0</v>
      </c>
      <c r="J4334" s="22" t="e">
        <f>VLOOKUP($A4334, TAB_JUROS_C[[DIAS_CORRIDOS]:[V_FUT_UTEIS]], J$5, FALSE)</f>
        <v>#N/A</v>
      </c>
      <c r="K4334" s="22" t="e">
        <f>VLOOKUP($A4334, TAB_CORRECAO_C[[DIAS_CORRIDOS]:[V_FUT_UTEIS]],K$5, FALSE)</f>
        <v>#N/A</v>
      </c>
      <c r="L4334" s="22" t="e">
        <f>VLOOKUP($A4334, TAB_AMORTIZACAO_C[[DIAS_CORRIDOS]:[V_FUT_UTEIS]], L$5, FALSE)</f>
        <v>#N/A</v>
      </c>
    </row>
    <row r="4335" spans="1:12" hidden="1">
      <c r="A4335" s="19">
        <f t="shared" si="344"/>
        <v>4329</v>
      </c>
      <c r="B4335" s="20">
        <f t="shared" si="340"/>
        <v>0</v>
      </c>
      <c r="C4335" s="21">
        <f t="shared" si="341"/>
        <v>0</v>
      </c>
      <c r="D4335" s="22" t="e">
        <f>VLOOKUP($A4335, TAB_JUROS_U[[Q_DIAS_U_PARC_TIR]:[V_FUT_U_JURS CENARIO]], D$5, FALSE)</f>
        <v>#N/A</v>
      </c>
      <c r="E4335" s="22" t="e">
        <f>VLOOKUP($A4335,TAB_CORRECAO_U[[Q_DIAS_U_PARC_TIR]:[V_FUT_U_CORC-02]],E$5, FALSE)</f>
        <v>#N/A</v>
      </c>
      <c r="F4335" s="22" t="e">
        <f>VLOOKUP($A4335,TAB_AMORTIZACAO_U[[Q_DIAS_U_PARC_TIR]:[V_FUT_U_PCPL-02]], F$5, FALSE)</f>
        <v>#N/A</v>
      </c>
      <c r="H4335" s="20">
        <f t="shared" si="342"/>
        <v>0</v>
      </c>
      <c r="I4335" s="21">
        <f t="shared" si="343"/>
        <v>0</v>
      </c>
      <c r="J4335" s="22" t="e">
        <f>VLOOKUP($A4335, TAB_JUROS_C[[DIAS_CORRIDOS]:[V_FUT_UTEIS]], J$5, FALSE)</f>
        <v>#N/A</v>
      </c>
      <c r="K4335" s="22" t="e">
        <f>VLOOKUP($A4335, TAB_CORRECAO_C[[DIAS_CORRIDOS]:[V_FUT_UTEIS]],K$5, FALSE)</f>
        <v>#N/A</v>
      </c>
      <c r="L4335" s="22" t="e">
        <f>VLOOKUP($A4335, TAB_AMORTIZACAO_C[[DIAS_CORRIDOS]:[V_FUT_UTEIS]], L$5, FALSE)</f>
        <v>#N/A</v>
      </c>
    </row>
    <row r="4336" spans="1:12" hidden="1">
      <c r="A4336" s="19">
        <f t="shared" si="344"/>
        <v>4330</v>
      </c>
      <c r="B4336" s="20">
        <f t="shared" si="340"/>
        <v>0</v>
      </c>
      <c r="C4336" s="21">
        <f t="shared" si="341"/>
        <v>0</v>
      </c>
      <c r="D4336" s="22" t="e">
        <f>VLOOKUP($A4336, TAB_JUROS_U[[Q_DIAS_U_PARC_TIR]:[V_FUT_U_JURS CENARIO]], D$5, FALSE)</f>
        <v>#N/A</v>
      </c>
      <c r="E4336" s="22" t="e">
        <f>VLOOKUP($A4336,TAB_CORRECAO_U[[Q_DIAS_U_PARC_TIR]:[V_FUT_U_CORC-02]],E$5, FALSE)</f>
        <v>#N/A</v>
      </c>
      <c r="F4336" s="22" t="e">
        <f>VLOOKUP($A4336,TAB_AMORTIZACAO_U[[Q_DIAS_U_PARC_TIR]:[V_FUT_U_PCPL-02]], F$5, FALSE)</f>
        <v>#N/A</v>
      </c>
      <c r="H4336" s="20">
        <f t="shared" si="342"/>
        <v>0</v>
      </c>
      <c r="I4336" s="21">
        <f t="shared" si="343"/>
        <v>0</v>
      </c>
      <c r="J4336" s="22" t="e">
        <f>VLOOKUP($A4336, TAB_JUROS_C[[DIAS_CORRIDOS]:[V_FUT_UTEIS]], J$5, FALSE)</f>
        <v>#N/A</v>
      </c>
      <c r="K4336" s="22" t="e">
        <f>VLOOKUP($A4336, TAB_CORRECAO_C[[DIAS_CORRIDOS]:[V_FUT_UTEIS]],K$5, FALSE)</f>
        <v>#N/A</v>
      </c>
      <c r="L4336" s="22" t="e">
        <f>VLOOKUP($A4336, TAB_AMORTIZACAO_C[[DIAS_CORRIDOS]:[V_FUT_UTEIS]], L$5, FALSE)</f>
        <v>#N/A</v>
      </c>
    </row>
    <row r="4337" spans="1:12" hidden="1">
      <c r="A4337" s="19">
        <f t="shared" si="344"/>
        <v>4331</v>
      </c>
      <c r="B4337" s="20">
        <f t="shared" si="340"/>
        <v>0</v>
      </c>
      <c r="C4337" s="21">
        <f t="shared" si="341"/>
        <v>0</v>
      </c>
      <c r="D4337" s="22" t="e">
        <f>VLOOKUP($A4337, TAB_JUROS_U[[Q_DIAS_U_PARC_TIR]:[V_FUT_U_JURS CENARIO]], D$5, FALSE)</f>
        <v>#N/A</v>
      </c>
      <c r="E4337" s="22" t="e">
        <f>VLOOKUP($A4337,TAB_CORRECAO_U[[Q_DIAS_U_PARC_TIR]:[V_FUT_U_CORC-02]],E$5, FALSE)</f>
        <v>#N/A</v>
      </c>
      <c r="F4337" s="22" t="e">
        <f>VLOOKUP($A4337,TAB_AMORTIZACAO_U[[Q_DIAS_U_PARC_TIR]:[V_FUT_U_PCPL-02]], F$5, FALSE)</f>
        <v>#N/A</v>
      </c>
      <c r="H4337" s="20">
        <f t="shared" si="342"/>
        <v>0</v>
      </c>
      <c r="I4337" s="21">
        <f t="shared" si="343"/>
        <v>0</v>
      </c>
      <c r="J4337" s="22" t="e">
        <f>VLOOKUP($A4337, TAB_JUROS_C[[DIAS_CORRIDOS]:[V_FUT_UTEIS]], J$5, FALSE)</f>
        <v>#N/A</v>
      </c>
      <c r="K4337" s="22" t="e">
        <f>VLOOKUP($A4337, TAB_CORRECAO_C[[DIAS_CORRIDOS]:[V_FUT_UTEIS]],K$5, FALSE)</f>
        <v>#N/A</v>
      </c>
      <c r="L4337" s="22" t="e">
        <f>VLOOKUP($A4337, TAB_AMORTIZACAO_C[[DIAS_CORRIDOS]:[V_FUT_UTEIS]], L$5, FALSE)</f>
        <v>#N/A</v>
      </c>
    </row>
    <row r="4338" spans="1:12" hidden="1">
      <c r="A4338" s="19">
        <f t="shared" si="344"/>
        <v>4332</v>
      </c>
      <c r="B4338" s="20">
        <f t="shared" si="340"/>
        <v>0</v>
      </c>
      <c r="C4338" s="21">
        <f t="shared" si="341"/>
        <v>0</v>
      </c>
      <c r="D4338" s="22" t="e">
        <f>VLOOKUP($A4338, TAB_JUROS_U[[Q_DIAS_U_PARC_TIR]:[V_FUT_U_JURS CENARIO]], D$5, FALSE)</f>
        <v>#N/A</v>
      </c>
      <c r="E4338" s="22" t="e">
        <f>VLOOKUP($A4338,TAB_CORRECAO_U[[Q_DIAS_U_PARC_TIR]:[V_FUT_U_CORC-02]],E$5, FALSE)</f>
        <v>#N/A</v>
      </c>
      <c r="F4338" s="22" t="e">
        <f>VLOOKUP($A4338,TAB_AMORTIZACAO_U[[Q_DIAS_U_PARC_TIR]:[V_FUT_U_PCPL-02]], F$5, FALSE)</f>
        <v>#N/A</v>
      </c>
      <c r="H4338" s="20">
        <f t="shared" si="342"/>
        <v>0</v>
      </c>
      <c r="I4338" s="21">
        <f t="shared" si="343"/>
        <v>0</v>
      </c>
      <c r="J4338" s="22" t="e">
        <f>VLOOKUP($A4338, TAB_JUROS_C[[DIAS_CORRIDOS]:[V_FUT_UTEIS]], J$5, FALSE)</f>
        <v>#N/A</v>
      </c>
      <c r="K4338" s="22" t="e">
        <f>VLOOKUP($A4338, TAB_CORRECAO_C[[DIAS_CORRIDOS]:[V_FUT_UTEIS]],K$5, FALSE)</f>
        <v>#N/A</v>
      </c>
      <c r="L4338" s="22" t="e">
        <f>VLOOKUP($A4338, TAB_AMORTIZACAO_C[[DIAS_CORRIDOS]:[V_FUT_UTEIS]], L$5, FALSE)</f>
        <v>#N/A</v>
      </c>
    </row>
    <row r="4339" spans="1:12" hidden="1">
      <c r="A4339" s="19">
        <f t="shared" si="344"/>
        <v>4333</v>
      </c>
      <c r="B4339" s="20">
        <f t="shared" si="340"/>
        <v>0</v>
      </c>
      <c r="C4339" s="21">
        <f t="shared" si="341"/>
        <v>0</v>
      </c>
      <c r="D4339" s="22" t="e">
        <f>VLOOKUP($A4339, TAB_JUROS_U[[Q_DIAS_U_PARC_TIR]:[V_FUT_U_JURS CENARIO]], D$5, FALSE)</f>
        <v>#N/A</v>
      </c>
      <c r="E4339" s="22" t="e">
        <f>VLOOKUP($A4339,TAB_CORRECAO_U[[Q_DIAS_U_PARC_TIR]:[V_FUT_U_CORC-02]],E$5, FALSE)</f>
        <v>#N/A</v>
      </c>
      <c r="F4339" s="22" t="e">
        <f>VLOOKUP($A4339,TAB_AMORTIZACAO_U[[Q_DIAS_U_PARC_TIR]:[V_FUT_U_PCPL-02]], F$5, FALSE)</f>
        <v>#N/A</v>
      </c>
      <c r="H4339" s="20">
        <f t="shared" si="342"/>
        <v>0</v>
      </c>
      <c r="I4339" s="21">
        <f t="shared" si="343"/>
        <v>0</v>
      </c>
      <c r="J4339" s="22" t="e">
        <f>VLOOKUP($A4339, TAB_JUROS_C[[DIAS_CORRIDOS]:[V_FUT_UTEIS]], J$5, FALSE)</f>
        <v>#N/A</v>
      </c>
      <c r="K4339" s="22" t="e">
        <f>VLOOKUP($A4339, TAB_CORRECAO_C[[DIAS_CORRIDOS]:[V_FUT_UTEIS]],K$5, FALSE)</f>
        <v>#N/A</v>
      </c>
      <c r="L4339" s="22" t="e">
        <f>VLOOKUP($A4339, TAB_AMORTIZACAO_C[[DIAS_CORRIDOS]:[V_FUT_UTEIS]], L$5, FALSE)</f>
        <v>#N/A</v>
      </c>
    </row>
    <row r="4340" spans="1:12" hidden="1">
      <c r="A4340" s="19">
        <f t="shared" si="344"/>
        <v>4334</v>
      </c>
      <c r="B4340" s="20">
        <f t="shared" si="340"/>
        <v>0</v>
      </c>
      <c r="C4340" s="21">
        <f t="shared" si="341"/>
        <v>0</v>
      </c>
      <c r="D4340" s="22" t="e">
        <f>VLOOKUP($A4340, TAB_JUROS_U[[Q_DIAS_U_PARC_TIR]:[V_FUT_U_JURS CENARIO]], D$5, FALSE)</f>
        <v>#N/A</v>
      </c>
      <c r="E4340" s="22" t="e">
        <f>VLOOKUP($A4340,TAB_CORRECAO_U[[Q_DIAS_U_PARC_TIR]:[V_FUT_U_CORC-02]],E$5, FALSE)</f>
        <v>#N/A</v>
      </c>
      <c r="F4340" s="22" t="e">
        <f>VLOOKUP($A4340,TAB_AMORTIZACAO_U[[Q_DIAS_U_PARC_TIR]:[V_FUT_U_PCPL-02]], F$5, FALSE)</f>
        <v>#N/A</v>
      </c>
      <c r="H4340" s="20">
        <f t="shared" si="342"/>
        <v>0</v>
      </c>
      <c r="I4340" s="21">
        <f t="shared" si="343"/>
        <v>0</v>
      </c>
      <c r="J4340" s="22" t="e">
        <f>VLOOKUP($A4340, TAB_JUROS_C[[DIAS_CORRIDOS]:[V_FUT_UTEIS]], J$5, FALSE)</f>
        <v>#N/A</v>
      </c>
      <c r="K4340" s="22" t="e">
        <f>VLOOKUP($A4340, TAB_CORRECAO_C[[DIAS_CORRIDOS]:[V_FUT_UTEIS]],K$5, FALSE)</f>
        <v>#N/A</v>
      </c>
      <c r="L4340" s="22" t="e">
        <f>VLOOKUP($A4340, TAB_AMORTIZACAO_C[[DIAS_CORRIDOS]:[V_FUT_UTEIS]], L$5, FALSE)</f>
        <v>#N/A</v>
      </c>
    </row>
    <row r="4341" spans="1:12" hidden="1">
      <c r="A4341" s="19">
        <f t="shared" si="344"/>
        <v>4335</v>
      </c>
      <c r="B4341" s="20">
        <f t="shared" si="340"/>
        <v>0</v>
      </c>
      <c r="C4341" s="21">
        <f t="shared" si="341"/>
        <v>0</v>
      </c>
      <c r="D4341" s="22" t="e">
        <f>VLOOKUP($A4341, TAB_JUROS_U[[Q_DIAS_U_PARC_TIR]:[V_FUT_U_JURS CENARIO]], D$5, FALSE)</f>
        <v>#N/A</v>
      </c>
      <c r="E4341" s="22" t="e">
        <f>VLOOKUP($A4341,TAB_CORRECAO_U[[Q_DIAS_U_PARC_TIR]:[V_FUT_U_CORC-02]],E$5, FALSE)</f>
        <v>#N/A</v>
      </c>
      <c r="F4341" s="22" t="e">
        <f>VLOOKUP($A4341,TAB_AMORTIZACAO_U[[Q_DIAS_U_PARC_TIR]:[V_FUT_U_PCPL-02]], F$5, FALSE)</f>
        <v>#N/A</v>
      </c>
      <c r="H4341" s="20">
        <f t="shared" si="342"/>
        <v>84.466159471224628</v>
      </c>
      <c r="I4341" s="21">
        <f t="shared" si="343"/>
        <v>84.466159471224628</v>
      </c>
      <c r="J4341" s="22">
        <f>VLOOKUP($A4341, TAB_JUROS_C[[DIAS_CORRIDOS]:[V_FUT_UTEIS]], J$5, FALSE)</f>
        <v>0.32465724349426384</v>
      </c>
      <c r="K4341" s="22">
        <f>VLOOKUP($A4341, TAB_CORRECAO_C[[DIAS_CORRIDOS]:[V_FUT_UTEIS]],K$5, FALSE)</f>
        <v>1.986092412030942</v>
      </c>
      <c r="L4341" s="22">
        <f>VLOOKUP($A4341, TAB_AMORTIZACAO_C[[DIAS_CORRIDOS]:[V_FUT_UTEIS]], L$5, FALSE)</f>
        <v>82.155409815699429</v>
      </c>
    </row>
    <row r="4342" spans="1:12" hidden="1">
      <c r="A4342" s="19">
        <f t="shared" si="344"/>
        <v>4336</v>
      </c>
      <c r="B4342" s="20">
        <f t="shared" si="340"/>
        <v>0</v>
      </c>
      <c r="C4342" s="21">
        <f t="shared" si="341"/>
        <v>0</v>
      </c>
      <c r="D4342" s="22" t="e">
        <f>VLOOKUP($A4342, TAB_JUROS_U[[Q_DIAS_U_PARC_TIR]:[V_FUT_U_JURS CENARIO]], D$5, FALSE)</f>
        <v>#N/A</v>
      </c>
      <c r="E4342" s="22" t="e">
        <f>VLOOKUP($A4342,TAB_CORRECAO_U[[Q_DIAS_U_PARC_TIR]:[V_FUT_U_CORC-02]],E$5, FALSE)</f>
        <v>#N/A</v>
      </c>
      <c r="F4342" s="22" t="e">
        <f>VLOOKUP($A4342,TAB_AMORTIZACAO_U[[Q_DIAS_U_PARC_TIR]:[V_FUT_U_PCPL-02]], F$5, FALSE)</f>
        <v>#N/A</v>
      </c>
      <c r="H4342" s="20">
        <f t="shared" si="342"/>
        <v>0</v>
      </c>
      <c r="I4342" s="21">
        <f t="shared" si="343"/>
        <v>0</v>
      </c>
      <c r="J4342" s="22" t="e">
        <f>VLOOKUP($A4342, TAB_JUROS_C[[DIAS_CORRIDOS]:[V_FUT_UTEIS]], J$5, FALSE)</f>
        <v>#N/A</v>
      </c>
      <c r="K4342" s="22" t="e">
        <f>VLOOKUP($A4342, TAB_CORRECAO_C[[DIAS_CORRIDOS]:[V_FUT_UTEIS]],K$5, FALSE)</f>
        <v>#N/A</v>
      </c>
      <c r="L4342" s="22" t="e">
        <f>VLOOKUP($A4342, TAB_AMORTIZACAO_C[[DIAS_CORRIDOS]:[V_FUT_UTEIS]], L$5, FALSE)</f>
        <v>#N/A</v>
      </c>
    </row>
    <row r="4343" spans="1:12" hidden="1">
      <c r="A4343" s="19">
        <f t="shared" si="344"/>
        <v>4337</v>
      </c>
      <c r="B4343" s="20">
        <f t="shared" si="340"/>
        <v>0</v>
      </c>
      <c r="C4343" s="21">
        <f t="shared" si="341"/>
        <v>0</v>
      </c>
      <c r="D4343" s="22" t="e">
        <f>VLOOKUP($A4343, TAB_JUROS_U[[Q_DIAS_U_PARC_TIR]:[V_FUT_U_JURS CENARIO]], D$5, FALSE)</f>
        <v>#N/A</v>
      </c>
      <c r="E4343" s="22" t="e">
        <f>VLOOKUP($A4343,TAB_CORRECAO_U[[Q_DIAS_U_PARC_TIR]:[V_FUT_U_CORC-02]],E$5, FALSE)</f>
        <v>#N/A</v>
      </c>
      <c r="F4343" s="22" t="e">
        <f>VLOOKUP($A4343,TAB_AMORTIZACAO_U[[Q_DIAS_U_PARC_TIR]:[V_FUT_U_PCPL-02]], F$5, FALSE)</f>
        <v>#N/A</v>
      </c>
      <c r="H4343" s="20">
        <f t="shared" si="342"/>
        <v>0</v>
      </c>
      <c r="I4343" s="21">
        <f t="shared" si="343"/>
        <v>0</v>
      </c>
      <c r="J4343" s="22" t="e">
        <f>VLOOKUP($A4343, TAB_JUROS_C[[DIAS_CORRIDOS]:[V_FUT_UTEIS]], J$5, FALSE)</f>
        <v>#N/A</v>
      </c>
      <c r="K4343" s="22" t="e">
        <f>VLOOKUP($A4343, TAB_CORRECAO_C[[DIAS_CORRIDOS]:[V_FUT_UTEIS]],K$5, FALSE)</f>
        <v>#N/A</v>
      </c>
      <c r="L4343" s="22" t="e">
        <f>VLOOKUP($A4343, TAB_AMORTIZACAO_C[[DIAS_CORRIDOS]:[V_FUT_UTEIS]], L$5, FALSE)</f>
        <v>#N/A</v>
      </c>
    </row>
    <row r="4344" spans="1:12" hidden="1">
      <c r="A4344" s="19">
        <f t="shared" si="344"/>
        <v>4338</v>
      </c>
      <c r="B4344" s="20">
        <f t="shared" si="340"/>
        <v>0</v>
      </c>
      <c r="C4344" s="21">
        <f t="shared" si="341"/>
        <v>0</v>
      </c>
      <c r="D4344" s="22" t="e">
        <f>VLOOKUP($A4344, TAB_JUROS_U[[Q_DIAS_U_PARC_TIR]:[V_FUT_U_JURS CENARIO]], D$5, FALSE)</f>
        <v>#N/A</v>
      </c>
      <c r="E4344" s="22" t="e">
        <f>VLOOKUP($A4344,TAB_CORRECAO_U[[Q_DIAS_U_PARC_TIR]:[V_FUT_U_CORC-02]],E$5, FALSE)</f>
        <v>#N/A</v>
      </c>
      <c r="F4344" s="22" t="e">
        <f>VLOOKUP($A4344,TAB_AMORTIZACAO_U[[Q_DIAS_U_PARC_TIR]:[V_FUT_U_PCPL-02]], F$5, FALSE)</f>
        <v>#N/A</v>
      </c>
      <c r="H4344" s="20">
        <f t="shared" si="342"/>
        <v>0</v>
      </c>
      <c r="I4344" s="21">
        <f t="shared" si="343"/>
        <v>0</v>
      </c>
      <c r="J4344" s="22" t="e">
        <f>VLOOKUP($A4344, TAB_JUROS_C[[DIAS_CORRIDOS]:[V_FUT_UTEIS]], J$5, FALSE)</f>
        <v>#N/A</v>
      </c>
      <c r="K4344" s="22" t="e">
        <f>VLOOKUP($A4344, TAB_CORRECAO_C[[DIAS_CORRIDOS]:[V_FUT_UTEIS]],K$5, FALSE)</f>
        <v>#N/A</v>
      </c>
      <c r="L4344" s="22" t="e">
        <f>VLOOKUP($A4344, TAB_AMORTIZACAO_C[[DIAS_CORRIDOS]:[V_FUT_UTEIS]], L$5, FALSE)</f>
        <v>#N/A</v>
      </c>
    </row>
    <row r="4345" spans="1:12" hidden="1">
      <c r="A4345" s="19">
        <f t="shared" si="344"/>
        <v>4339</v>
      </c>
      <c r="B4345" s="20">
        <f t="shared" si="340"/>
        <v>0</v>
      </c>
      <c r="C4345" s="21">
        <f t="shared" si="341"/>
        <v>0</v>
      </c>
      <c r="D4345" s="22" t="e">
        <f>VLOOKUP($A4345, TAB_JUROS_U[[Q_DIAS_U_PARC_TIR]:[V_FUT_U_JURS CENARIO]], D$5, FALSE)</f>
        <v>#N/A</v>
      </c>
      <c r="E4345" s="22" t="e">
        <f>VLOOKUP($A4345,TAB_CORRECAO_U[[Q_DIAS_U_PARC_TIR]:[V_FUT_U_CORC-02]],E$5, FALSE)</f>
        <v>#N/A</v>
      </c>
      <c r="F4345" s="22" t="e">
        <f>VLOOKUP($A4345,TAB_AMORTIZACAO_U[[Q_DIAS_U_PARC_TIR]:[V_FUT_U_PCPL-02]], F$5, FALSE)</f>
        <v>#N/A</v>
      </c>
      <c r="H4345" s="20">
        <f t="shared" si="342"/>
        <v>0</v>
      </c>
      <c r="I4345" s="21">
        <f t="shared" si="343"/>
        <v>0</v>
      </c>
      <c r="J4345" s="22" t="e">
        <f>VLOOKUP($A4345, TAB_JUROS_C[[DIAS_CORRIDOS]:[V_FUT_UTEIS]], J$5, FALSE)</f>
        <v>#N/A</v>
      </c>
      <c r="K4345" s="22" t="e">
        <f>VLOOKUP($A4345, TAB_CORRECAO_C[[DIAS_CORRIDOS]:[V_FUT_UTEIS]],K$5, FALSE)</f>
        <v>#N/A</v>
      </c>
      <c r="L4345" s="22" t="e">
        <f>VLOOKUP($A4345, TAB_AMORTIZACAO_C[[DIAS_CORRIDOS]:[V_FUT_UTEIS]], L$5, FALSE)</f>
        <v>#N/A</v>
      </c>
    </row>
    <row r="4346" spans="1:12" hidden="1">
      <c r="A4346" s="19">
        <f t="shared" si="344"/>
        <v>4340</v>
      </c>
      <c r="B4346" s="20">
        <f t="shared" si="340"/>
        <v>0</v>
      </c>
      <c r="C4346" s="21">
        <f t="shared" si="341"/>
        <v>0</v>
      </c>
      <c r="D4346" s="22" t="e">
        <f>VLOOKUP($A4346, TAB_JUROS_U[[Q_DIAS_U_PARC_TIR]:[V_FUT_U_JURS CENARIO]], D$5, FALSE)</f>
        <v>#N/A</v>
      </c>
      <c r="E4346" s="22" t="e">
        <f>VLOOKUP($A4346,TAB_CORRECAO_U[[Q_DIAS_U_PARC_TIR]:[V_FUT_U_CORC-02]],E$5, FALSE)</f>
        <v>#N/A</v>
      </c>
      <c r="F4346" s="22" t="e">
        <f>VLOOKUP($A4346,TAB_AMORTIZACAO_U[[Q_DIAS_U_PARC_TIR]:[V_FUT_U_PCPL-02]], F$5, FALSE)</f>
        <v>#N/A</v>
      </c>
      <c r="H4346" s="20">
        <f t="shared" si="342"/>
        <v>0</v>
      </c>
      <c r="I4346" s="21">
        <f t="shared" si="343"/>
        <v>0</v>
      </c>
      <c r="J4346" s="22" t="e">
        <f>VLOOKUP($A4346, TAB_JUROS_C[[DIAS_CORRIDOS]:[V_FUT_UTEIS]], J$5, FALSE)</f>
        <v>#N/A</v>
      </c>
      <c r="K4346" s="22" t="e">
        <f>VLOOKUP($A4346, TAB_CORRECAO_C[[DIAS_CORRIDOS]:[V_FUT_UTEIS]],K$5, FALSE)</f>
        <v>#N/A</v>
      </c>
      <c r="L4346" s="22" t="e">
        <f>VLOOKUP($A4346, TAB_AMORTIZACAO_C[[DIAS_CORRIDOS]:[V_FUT_UTEIS]], L$5, FALSE)</f>
        <v>#N/A</v>
      </c>
    </row>
    <row r="4347" spans="1:12" hidden="1">
      <c r="A4347" s="19">
        <f t="shared" si="344"/>
        <v>4341</v>
      </c>
      <c r="B4347" s="20">
        <f t="shared" si="340"/>
        <v>0</v>
      </c>
      <c r="C4347" s="21">
        <f t="shared" si="341"/>
        <v>0</v>
      </c>
      <c r="D4347" s="22" t="e">
        <f>VLOOKUP($A4347, TAB_JUROS_U[[Q_DIAS_U_PARC_TIR]:[V_FUT_U_JURS CENARIO]], D$5, FALSE)</f>
        <v>#N/A</v>
      </c>
      <c r="E4347" s="22" t="e">
        <f>VLOOKUP($A4347,TAB_CORRECAO_U[[Q_DIAS_U_PARC_TIR]:[V_FUT_U_CORC-02]],E$5, FALSE)</f>
        <v>#N/A</v>
      </c>
      <c r="F4347" s="22" t="e">
        <f>VLOOKUP($A4347,TAB_AMORTIZACAO_U[[Q_DIAS_U_PARC_TIR]:[V_FUT_U_PCPL-02]], F$5, FALSE)</f>
        <v>#N/A</v>
      </c>
      <c r="H4347" s="20">
        <f t="shared" si="342"/>
        <v>0</v>
      </c>
      <c r="I4347" s="21">
        <f t="shared" si="343"/>
        <v>0</v>
      </c>
      <c r="J4347" s="22" t="e">
        <f>VLOOKUP($A4347, TAB_JUROS_C[[DIAS_CORRIDOS]:[V_FUT_UTEIS]], J$5, FALSE)</f>
        <v>#N/A</v>
      </c>
      <c r="K4347" s="22" t="e">
        <f>VLOOKUP($A4347, TAB_CORRECAO_C[[DIAS_CORRIDOS]:[V_FUT_UTEIS]],K$5, FALSE)</f>
        <v>#N/A</v>
      </c>
      <c r="L4347" s="22" t="e">
        <f>VLOOKUP($A4347, TAB_AMORTIZACAO_C[[DIAS_CORRIDOS]:[V_FUT_UTEIS]], L$5, FALSE)</f>
        <v>#N/A</v>
      </c>
    </row>
    <row r="4348" spans="1:12" hidden="1">
      <c r="A4348" s="19">
        <f t="shared" si="344"/>
        <v>4342</v>
      </c>
      <c r="B4348" s="20">
        <f t="shared" si="340"/>
        <v>0</v>
      </c>
      <c r="C4348" s="21">
        <f t="shared" si="341"/>
        <v>0</v>
      </c>
      <c r="D4348" s="22" t="e">
        <f>VLOOKUP($A4348, TAB_JUROS_U[[Q_DIAS_U_PARC_TIR]:[V_FUT_U_JURS CENARIO]], D$5, FALSE)</f>
        <v>#N/A</v>
      </c>
      <c r="E4348" s="22" t="e">
        <f>VLOOKUP($A4348,TAB_CORRECAO_U[[Q_DIAS_U_PARC_TIR]:[V_FUT_U_CORC-02]],E$5, FALSE)</f>
        <v>#N/A</v>
      </c>
      <c r="F4348" s="22" t="e">
        <f>VLOOKUP($A4348,TAB_AMORTIZACAO_U[[Q_DIAS_U_PARC_TIR]:[V_FUT_U_PCPL-02]], F$5, FALSE)</f>
        <v>#N/A</v>
      </c>
      <c r="H4348" s="20">
        <f t="shared" si="342"/>
        <v>0</v>
      </c>
      <c r="I4348" s="21">
        <f t="shared" si="343"/>
        <v>0</v>
      </c>
      <c r="J4348" s="22" t="e">
        <f>VLOOKUP($A4348, TAB_JUROS_C[[DIAS_CORRIDOS]:[V_FUT_UTEIS]], J$5, FALSE)</f>
        <v>#N/A</v>
      </c>
      <c r="K4348" s="22" t="e">
        <f>VLOOKUP($A4348, TAB_CORRECAO_C[[DIAS_CORRIDOS]:[V_FUT_UTEIS]],K$5, FALSE)</f>
        <v>#N/A</v>
      </c>
      <c r="L4348" s="22" t="e">
        <f>VLOOKUP($A4348, TAB_AMORTIZACAO_C[[DIAS_CORRIDOS]:[V_FUT_UTEIS]], L$5, FALSE)</f>
        <v>#N/A</v>
      </c>
    </row>
    <row r="4349" spans="1:12" hidden="1">
      <c r="A4349" s="19">
        <f t="shared" si="344"/>
        <v>4343</v>
      </c>
      <c r="B4349" s="20">
        <f t="shared" si="340"/>
        <v>0</v>
      </c>
      <c r="C4349" s="21">
        <f t="shared" si="341"/>
        <v>0</v>
      </c>
      <c r="D4349" s="22" t="e">
        <f>VLOOKUP($A4349, TAB_JUROS_U[[Q_DIAS_U_PARC_TIR]:[V_FUT_U_JURS CENARIO]], D$5, FALSE)</f>
        <v>#N/A</v>
      </c>
      <c r="E4349" s="22" t="e">
        <f>VLOOKUP($A4349,TAB_CORRECAO_U[[Q_DIAS_U_PARC_TIR]:[V_FUT_U_CORC-02]],E$5, FALSE)</f>
        <v>#N/A</v>
      </c>
      <c r="F4349" s="22" t="e">
        <f>VLOOKUP($A4349,TAB_AMORTIZACAO_U[[Q_DIAS_U_PARC_TIR]:[V_FUT_U_PCPL-02]], F$5, FALSE)</f>
        <v>#N/A</v>
      </c>
      <c r="H4349" s="20">
        <f t="shared" si="342"/>
        <v>0</v>
      </c>
      <c r="I4349" s="21">
        <f t="shared" si="343"/>
        <v>0</v>
      </c>
      <c r="J4349" s="22" t="e">
        <f>VLOOKUP($A4349, TAB_JUROS_C[[DIAS_CORRIDOS]:[V_FUT_UTEIS]], J$5, FALSE)</f>
        <v>#N/A</v>
      </c>
      <c r="K4349" s="22" t="e">
        <f>VLOOKUP($A4349, TAB_CORRECAO_C[[DIAS_CORRIDOS]:[V_FUT_UTEIS]],K$5, FALSE)</f>
        <v>#N/A</v>
      </c>
      <c r="L4349" s="22" t="e">
        <f>VLOOKUP($A4349, TAB_AMORTIZACAO_C[[DIAS_CORRIDOS]:[V_FUT_UTEIS]], L$5, FALSE)</f>
        <v>#N/A</v>
      </c>
    </row>
    <row r="4350" spans="1:12" hidden="1">
      <c r="A4350" s="19">
        <f t="shared" si="344"/>
        <v>4344</v>
      </c>
      <c r="B4350" s="20">
        <f t="shared" si="340"/>
        <v>0</v>
      </c>
      <c r="C4350" s="21">
        <f t="shared" si="341"/>
        <v>0</v>
      </c>
      <c r="D4350" s="22" t="e">
        <f>VLOOKUP($A4350, TAB_JUROS_U[[Q_DIAS_U_PARC_TIR]:[V_FUT_U_JURS CENARIO]], D$5, FALSE)</f>
        <v>#N/A</v>
      </c>
      <c r="E4350" s="22" t="e">
        <f>VLOOKUP($A4350,TAB_CORRECAO_U[[Q_DIAS_U_PARC_TIR]:[V_FUT_U_CORC-02]],E$5, FALSE)</f>
        <v>#N/A</v>
      </c>
      <c r="F4350" s="22" t="e">
        <f>VLOOKUP($A4350,TAB_AMORTIZACAO_U[[Q_DIAS_U_PARC_TIR]:[V_FUT_U_PCPL-02]], F$5, FALSE)</f>
        <v>#N/A</v>
      </c>
      <c r="H4350" s="20">
        <f t="shared" si="342"/>
        <v>0</v>
      </c>
      <c r="I4350" s="21">
        <f t="shared" si="343"/>
        <v>0</v>
      </c>
      <c r="J4350" s="22" t="e">
        <f>VLOOKUP($A4350, TAB_JUROS_C[[DIAS_CORRIDOS]:[V_FUT_UTEIS]], J$5, FALSE)</f>
        <v>#N/A</v>
      </c>
      <c r="K4350" s="22" t="e">
        <f>VLOOKUP($A4350, TAB_CORRECAO_C[[DIAS_CORRIDOS]:[V_FUT_UTEIS]],K$5, FALSE)</f>
        <v>#N/A</v>
      </c>
      <c r="L4350" s="22" t="e">
        <f>VLOOKUP($A4350, TAB_AMORTIZACAO_C[[DIAS_CORRIDOS]:[V_FUT_UTEIS]], L$5, FALSE)</f>
        <v>#N/A</v>
      </c>
    </row>
    <row r="4351" spans="1:12" hidden="1">
      <c r="A4351" s="19">
        <f t="shared" si="344"/>
        <v>4345</v>
      </c>
      <c r="B4351" s="20">
        <f t="shared" si="340"/>
        <v>0</v>
      </c>
      <c r="C4351" s="21">
        <f t="shared" si="341"/>
        <v>0</v>
      </c>
      <c r="D4351" s="22" t="e">
        <f>VLOOKUP($A4351, TAB_JUROS_U[[Q_DIAS_U_PARC_TIR]:[V_FUT_U_JURS CENARIO]], D$5, FALSE)</f>
        <v>#N/A</v>
      </c>
      <c r="E4351" s="22" t="e">
        <f>VLOOKUP($A4351,TAB_CORRECAO_U[[Q_DIAS_U_PARC_TIR]:[V_FUT_U_CORC-02]],E$5, FALSE)</f>
        <v>#N/A</v>
      </c>
      <c r="F4351" s="22" t="e">
        <f>VLOOKUP($A4351,TAB_AMORTIZACAO_U[[Q_DIAS_U_PARC_TIR]:[V_FUT_U_PCPL-02]], F$5, FALSE)</f>
        <v>#N/A</v>
      </c>
      <c r="H4351" s="20">
        <f t="shared" si="342"/>
        <v>0</v>
      </c>
      <c r="I4351" s="21">
        <f t="shared" si="343"/>
        <v>0</v>
      </c>
      <c r="J4351" s="22" t="e">
        <f>VLOOKUP($A4351, TAB_JUROS_C[[DIAS_CORRIDOS]:[V_FUT_UTEIS]], J$5, FALSE)</f>
        <v>#N/A</v>
      </c>
      <c r="K4351" s="22" t="e">
        <f>VLOOKUP($A4351, TAB_CORRECAO_C[[DIAS_CORRIDOS]:[V_FUT_UTEIS]],K$5, FALSE)</f>
        <v>#N/A</v>
      </c>
      <c r="L4351" s="22" t="e">
        <f>VLOOKUP($A4351, TAB_AMORTIZACAO_C[[DIAS_CORRIDOS]:[V_FUT_UTEIS]], L$5, FALSE)</f>
        <v>#N/A</v>
      </c>
    </row>
    <row r="4352" spans="1:12" hidden="1">
      <c r="A4352" s="19">
        <f t="shared" si="344"/>
        <v>4346</v>
      </c>
      <c r="B4352" s="20">
        <f t="shared" si="340"/>
        <v>0</v>
      </c>
      <c r="C4352" s="21">
        <f t="shared" si="341"/>
        <v>0</v>
      </c>
      <c r="D4352" s="22" t="e">
        <f>VLOOKUP($A4352, TAB_JUROS_U[[Q_DIAS_U_PARC_TIR]:[V_FUT_U_JURS CENARIO]], D$5, FALSE)</f>
        <v>#N/A</v>
      </c>
      <c r="E4352" s="22" t="e">
        <f>VLOOKUP($A4352,TAB_CORRECAO_U[[Q_DIAS_U_PARC_TIR]:[V_FUT_U_CORC-02]],E$5, FALSE)</f>
        <v>#N/A</v>
      </c>
      <c r="F4352" s="22" t="e">
        <f>VLOOKUP($A4352,TAB_AMORTIZACAO_U[[Q_DIAS_U_PARC_TIR]:[V_FUT_U_PCPL-02]], F$5, FALSE)</f>
        <v>#N/A</v>
      </c>
      <c r="H4352" s="20">
        <f t="shared" si="342"/>
        <v>0</v>
      </c>
      <c r="I4352" s="21">
        <f t="shared" si="343"/>
        <v>0</v>
      </c>
      <c r="J4352" s="22" t="e">
        <f>VLOOKUP($A4352, TAB_JUROS_C[[DIAS_CORRIDOS]:[V_FUT_UTEIS]], J$5, FALSE)</f>
        <v>#N/A</v>
      </c>
      <c r="K4352" s="22" t="e">
        <f>VLOOKUP($A4352, TAB_CORRECAO_C[[DIAS_CORRIDOS]:[V_FUT_UTEIS]],K$5, FALSE)</f>
        <v>#N/A</v>
      </c>
      <c r="L4352" s="22" t="e">
        <f>VLOOKUP($A4352, TAB_AMORTIZACAO_C[[DIAS_CORRIDOS]:[V_FUT_UTEIS]], L$5, FALSE)</f>
        <v>#N/A</v>
      </c>
    </row>
    <row r="4353" spans="1:12" hidden="1">
      <c r="A4353" s="19">
        <f t="shared" si="344"/>
        <v>4347</v>
      </c>
      <c r="B4353" s="20">
        <f t="shared" si="340"/>
        <v>0</v>
      </c>
      <c r="C4353" s="21">
        <f t="shared" si="341"/>
        <v>0</v>
      </c>
      <c r="D4353" s="22" t="e">
        <f>VLOOKUP($A4353, TAB_JUROS_U[[Q_DIAS_U_PARC_TIR]:[V_FUT_U_JURS CENARIO]], D$5, FALSE)</f>
        <v>#N/A</v>
      </c>
      <c r="E4353" s="22" t="e">
        <f>VLOOKUP($A4353,TAB_CORRECAO_U[[Q_DIAS_U_PARC_TIR]:[V_FUT_U_CORC-02]],E$5, FALSE)</f>
        <v>#N/A</v>
      </c>
      <c r="F4353" s="22" t="e">
        <f>VLOOKUP($A4353,TAB_AMORTIZACAO_U[[Q_DIAS_U_PARC_TIR]:[V_FUT_U_PCPL-02]], F$5, FALSE)</f>
        <v>#N/A</v>
      </c>
      <c r="H4353" s="20">
        <f t="shared" si="342"/>
        <v>0</v>
      </c>
      <c r="I4353" s="21">
        <f t="shared" si="343"/>
        <v>0</v>
      </c>
      <c r="J4353" s="22" t="e">
        <f>VLOOKUP($A4353, TAB_JUROS_C[[DIAS_CORRIDOS]:[V_FUT_UTEIS]], J$5, FALSE)</f>
        <v>#N/A</v>
      </c>
      <c r="K4353" s="22" t="e">
        <f>VLOOKUP($A4353, TAB_CORRECAO_C[[DIAS_CORRIDOS]:[V_FUT_UTEIS]],K$5, FALSE)</f>
        <v>#N/A</v>
      </c>
      <c r="L4353" s="22" t="e">
        <f>VLOOKUP($A4353, TAB_AMORTIZACAO_C[[DIAS_CORRIDOS]:[V_FUT_UTEIS]], L$5, FALSE)</f>
        <v>#N/A</v>
      </c>
    </row>
    <row r="4354" spans="1:12" hidden="1">
      <c r="A4354" s="19">
        <f t="shared" si="344"/>
        <v>4348</v>
      </c>
      <c r="B4354" s="20">
        <f t="shared" si="340"/>
        <v>0</v>
      </c>
      <c r="C4354" s="21">
        <f t="shared" si="341"/>
        <v>0</v>
      </c>
      <c r="D4354" s="22" t="e">
        <f>VLOOKUP($A4354, TAB_JUROS_U[[Q_DIAS_U_PARC_TIR]:[V_FUT_U_JURS CENARIO]], D$5, FALSE)</f>
        <v>#N/A</v>
      </c>
      <c r="E4354" s="22" t="e">
        <f>VLOOKUP($A4354,TAB_CORRECAO_U[[Q_DIAS_U_PARC_TIR]:[V_FUT_U_CORC-02]],E$5, FALSE)</f>
        <v>#N/A</v>
      </c>
      <c r="F4354" s="22" t="e">
        <f>VLOOKUP($A4354,TAB_AMORTIZACAO_U[[Q_DIAS_U_PARC_TIR]:[V_FUT_U_PCPL-02]], F$5, FALSE)</f>
        <v>#N/A</v>
      </c>
      <c r="H4354" s="20">
        <f t="shared" si="342"/>
        <v>0</v>
      </c>
      <c r="I4354" s="21">
        <f t="shared" si="343"/>
        <v>0</v>
      </c>
      <c r="J4354" s="22" t="e">
        <f>VLOOKUP($A4354, TAB_JUROS_C[[DIAS_CORRIDOS]:[V_FUT_UTEIS]], J$5, FALSE)</f>
        <v>#N/A</v>
      </c>
      <c r="K4354" s="22" t="e">
        <f>VLOOKUP($A4354, TAB_CORRECAO_C[[DIAS_CORRIDOS]:[V_FUT_UTEIS]],K$5, FALSE)</f>
        <v>#N/A</v>
      </c>
      <c r="L4354" s="22" t="e">
        <f>VLOOKUP($A4354, TAB_AMORTIZACAO_C[[DIAS_CORRIDOS]:[V_FUT_UTEIS]], L$5, FALSE)</f>
        <v>#N/A</v>
      </c>
    </row>
    <row r="4355" spans="1:12" hidden="1">
      <c r="A4355" s="19">
        <f t="shared" si="344"/>
        <v>4349</v>
      </c>
      <c r="B4355" s="20">
        <f t="shared" si="340"/>
        <v>0</v>
      </c>
      <c r="C4355" s="21">
        <f t="shared" si="341"/>
        <v>0</v>
      </c>
      <c r="D4355" s="22" t="e">
        <f>VLOOKUP($A4355, TAB_JUROS_U[[Q_DIAS_U_PARC_TIR]:[V_FUT_U_JURS CENARIO]], D$5, FALSE)</f>
        <v>#N/A</v>
      </c>
      <c r="E4355" s="22" t="e">
        <f>VLOOKUP($A4355,TAB_CORRECAO_U[[Q_DIAS_U_PARC_TIR]:[V_FUT_U_CORC-02]],E$5, FALSE)</f>
        <v>#N/A</v>
      </c>
      <c r="F4355" s="22" t="e">
        <f>VLOOKUP($A4355,TAB_AMORTIZACAO_U[[Q_DIAS_U_PARC_TIR]:[V_FUT_U_PCPL-02]], F$5, FALSE)</f>
        <v>#N/A</v>
      </c>
      <c r="H4355" s="20">
        <f t="shared" si="342"/>
        <v>0</v>
      </c>
      <c r="I4355" s="21">
        <f t="shared" si="343"/>
        <v>0</v>
      </c>
      <c r="J4355" s="22" t="e">
        <f>VLOOKUP($A4355, TAB_JUROS_C[[DIAS_CORRIDOS]:[V_FUT_UTEIS]], J$5, FALSE)</f>
        <v>#N/A</v>
      </c>
      <c r="K4355" s="22" t="e">
        <f>VLOOKUP($A4355, TAB_CORRECAO_C[[DIAS_CORRIDOS]:[V_FUT_UTEIS]],K$5, FALSE)</f>
        <v>#N/A</v>
      </c>
      <c r="L4355" s="22" t="e">
        <f>VLOOKUP($A4355, TAB_AMORTIZACAO_C[[DIAS_CORRIDOS]:[V_FUT_UTEIS]], L$5, FALSE)</f>
        <v>#N/A</v>
      </c>
    </row>
    <row r="4356" spans="1:12" hidden="1">
      <c r="A4356" s="19">
        <f t="shared" si="344"/>
        <v>4350</v>
      </c>
      <c r="B4356" s="20">
        <f t="shared" si="340"/>
        <v>0</v>
      </c>
      <c r="C4356" s="21">
        <f t="shared" si="341"/>
        <v>0</v>
      </c>
      <c r="D4356" s="22" t="e">
        <f>VLOOKUP($A4356, TAB_JUROS_U[[Q_DIAS_U_PARC_TIR]:[V_FUT_U_JURS CENARIO]], D$5, FALSE)</f>
        <v>#N/A</v>
      </c>
      <c r="E4356" s="22" t="e">
        <f>VLOOKUP($A4356,TAB_CORRECAO_U[[Q_DIAS_U_PARC_TIR]:[V_FUT_U_CORC-02]],E$5, FALSE)</f>
        <v>#N/A</v>
      </c>
      <c r="F4356" s="22" t="e">
        <f>VLOOKUP($A4356,TAB_AMORTIZACAO_U[[Q_DIAS_U_PARC_TIR]:[V_FUT_U_PCPL-02]], F$5, FALSE)</f>
        <v>#N/A</v>
      </c>
      <c r="H4356" s="20">
        <f t="shared" si="342"/>
        <v>0</v>
      </c>
      <c r="I4356" s="21">
        <f t="shared" si="343"/>
        <v>0</v>
      </c>
      <c r="J4356" s="22" t="e">
        <f>VLOOKUP($A4356, TAB_JUROS_C[[DIAS_CORRIDOS]:[V_FUT_UTEIS]], J$5, FALSE)</f>
        <v>#N/A</v>
      </c>
      <c r="K4356" s="22" t="e">
        <f>VLOOKUP($A4356, TAB_CORRECAO_C[[DIAS_CORRIDOS]:[V_FUT_UTEIS]],K$5, FALSE)</f>
        <v>#N/A</v>
      </c>
      <c r="L4356" s="22" t="e">
        <f>VLOOKUP($A4356, TAB_AMORTIZACAO_C[[DIAS_CORRIDOS]:[V_FUT_UTEIS]], L$5, FALSE)</f>
        <v>#N/A</v>
      </c>
    </row>
    <row r="4357" spans="1:12" hidden="1">
      <c r="A4357" s="19">
        <f t="shared" si="344"/>
        <v>4351</v>
      </c>
      <c r="B4357" s="20">
        <f t="shared" si="340"/>
        <v>0</v>
      </c>
      <c r="C4357" s="21">
        <f t="shared" si="341"/>
        <v>0</v>
      </c>
      <c r="D4357" s="22" t="e">
        <f>VLOOKUP($A4357, TAB_JUROS_U[[Q_DIAS_U_PARC_TIR]:[V_FUT_U_JURS CENARIO]], D$5, FALSE)</f>
        <v>#N/A</v>
      </c>
      <c r="E4357" s="22" t="e">
        <f>VLOOKUP($A4357,TAB_CORRECAO_U[[Q_DIAS_U_PARC_TIR]:[V_FUT_U_CORC-02]],E$5, FALSE)</f>
        <v>#N/A</v>
      </c>
      <c r="F4357" s="22" t="e">
        <f>VLOOKUP($A4357,TAB_AMORTIZACAO_U[[Q_DIAS_U_PARC_TIR]:[V_FUT_U_PCPL-02]], F$5, FALSE)</f>
        <v>#N/A</v>
      </c>
      <c r="H4357" s="20">
        <f t="shared" si="342"/>
        <v>0</v>
      </c>
      <c r="I4357" s="21">
        <f t="shared" si="343"/>
        <v>0</v>
      </c>
      <c r="J4357" s="22" t="e">
        <f>VLOOKUP($A4357, TAB_JUROS_C[[DIAS_CORRIDOS]:[V_FUT_UTEIS]], J$5, FALSE)</f>
        <v>#N/A</v>
      </c>
      <c r="K4357" s="22" t="e">
        <f>VLOOKUP($A4357, TAB_CORRECAO_C[[DIAS_CORRIDOS]:[V_FUT_UTEIS]],K$5, FALSE)</f>
        <v>#N/A</v>
      </c>
      <c r="L4357" s="22" t="e">
        <f>VLOOKUP($A4357, TAB_AMORTIZACAO_C[[DIAS_CORRIDOS]:[V_FUT_UTEIS]], L$5, FALSE)</f>
        <v>#N/A</v>
      </c>
    </row>
    <row r="4358" spans="1:12" hidden="1">
      <c r="A4358" s="19">
        <f t="shared" si="344"/>
        <v>4352</v>
      </c>
      <c r="B4358" s="20">
        <f t="shared" si="340"/>
        <v>0</v>
      </c>
      <c r="C4358" s="21">
        <f t="shared" si="341"/>
        <v>0</v>
      </c>
      <c r="D4358" s="22" t="e">
        <f>VLOOKUP($A4358, TAB_JUROS_U[[Q_DIAS_U_PARC_TIR]:[V_FUT_U_JURS CENARIO]], D$5, FALSE)</f>
        <v>#N/A</v>
      </c>
      <c r="E4358" s="22" t="e">
        <f>VLOOKUP($A4358,TAB_CORRECAO_U[[Q_DIAS_U_PARC_TIR]:[V_FUT_U_CORC-02]],E$5, FALSE)</f>
        <v>#N/A</v>
      </c>
      <c r="F4358" s="22" t="e">
        <f>VLOOKUP($A4358,TAB_AMORTIZACAO_U[[Q_DIAS_U_PARC_TIR]:[V_FUT_U_PCPL-02]], F$5, FALSE)</f>
        <v>#N/A</v>
      </c>
      <c r="H4358" s="20">
        <f t="shared" si="342"/>
        <v>0</v>
      </c>
      <c r="I4358" s="21">
        <f t="shared" si="343"/>
        <v>0</v>
      </c>
      <c r="J4358" s="22" t="e">
        <f>VLOOKUP($A4358, TAB_JUROS_C[[DIAS_CORRIDOS]:[V_FUT_UTEIS]], J$5, FALSE)</f>
        <v>#N/A</v>
      </c>
      <c r="K4358" s="22" t="e">
        <f>VLOOKUP($A4358, TAB_CORRECAO_C[[DIAS_CORRIDOS]:[V_FUT_UTEIS]],K$5, FALSE)</f>
        <v>#N/A</v>
      </c>
      <c r="L4358" s="22" t="e">
        <f>VLOOKUP($A4358, TAB_AMORTIZACAO_C[[DIAS_CORRIDOS]:[V_FUT_UTEIS]], L$5, FALSE)</f>
        <v>#N/A</v>
      </c>
    </row>
    <row r="4359" spans="1:12" hidden="1">
      <c r="A4359" s="19">
        <f t="shared" si="344"/>
        <v>4353</v>
      </c>
      <c r="B4359" s="20">
        <f t="shared" si="340"/>
        <v>0</v>
      </c>
      <c r="C4359" s="21">
        <f t="shared" si="341"/>
        <v>0</v>
      </c>
      <c r="D4359" s="22" t="e">
        <f>VLOOKUP($A4359, TAB_JUROS_U[[Q_DIAS_U_PARC_TIR]:[V_FUT_U_JURS CENARIO]], D$5, FALSE)</f>
        <v>#N/A</v>
      </c>
      <c r="E4359" s="22" t="e">
        <f>VLOOKUP($A4359,TAB_CORRECAO_U[[Q_DIAS_U_PARC_TIR]:[V_FUT_U_CORC-02]],E$5, FALSE)</f>
        <v>#N/A</v>
      </c>
      <c r="F4359" s="22" t="e">
        <f>VLOOKUP($A4359,TAB_AMORTIZACAO_U[[Q_DIAS_U_PARC_TIR]:[V_FUT_U_PCPL-02]], F$5, FALSE)</f>
        <v>#N/A</v>
      </c>
      <c r="H4359" s="20">
        <f t="shared" si="342"/>
        <v>0</v>
      </c>
      <c r="I4359" s="21">
        <f t="shared" si="343"/>
        <v>0</v>
      </c>
      <c r="J4359" s="22" t="e">
        <f>VLOOKUP($A4359, TAB_JUROS_C[[DIAS_CORRIDOS]:[V_FUT_UTEIS]], J$5, FALSE)</f>
        <v>#N/A</v>
      </c>
      <c r="K4359" s="22" t="e">
        <f>VLOOKUP($A4359, TAB_CORRECAO_C[[DIAS_CORRIDOS]:[V_FUT_UTEIS]],K$5, FALSE)</f>
        <v>#N/A</v>
      </c>
      <c r="L4359" s="22" t="e">
        <f>VLOOKUP($A4359, TAB_AMORTIZACAO_C[[DIAS_CORRIDOS]:[V_FUT_UTEIS]], L$5, FALSE)</f>
        <v>#N/A</v>
      </c>
    </row>
    <row r="4360" spans="1:12" hidden="1">
      <c r="A4360" s="19">
        <f t="shared" si="344"/>
        <v>4354</v>
      </c>
      <c r="B4360" s="20">
        <f t="shared" si="340"/>
        <v>0</v>
      </c>
      <c r="C4360" s="21">
        <f t="shared" si="341"/>
        <v>0</v>
      </c>
      <c r="D4360" s="22" t="e">
        <f>VLOOKUP($A4360, TAB_JUROS_U[[Q_DIAS_U_PARC_TIR]:[V_FUT_U_JURS CENARIO]], D$5, FALSE)</f>
        <v>#N/A</v>
      </c>
      <c r="E4360" s="22" t="e">
        <f>VLOOKUP($A4360,TAB_CORRECAO_U[[Q_DIAS_U_PARC_TIR]:[V_FUT_U_CORC-02]],E$5, FALSE)</f>
        <v>#N/A</v>
      </c>
      <c r="F4360" s="22" t="e">
        <f>VLOOKUP($A4360,TAB_AMORTIZACAO_U[[Q_DIAS_U_PARC_TIR]:[V_FUT_U_PCPL-02]], F$5, FALSE)</f>
        <v>#N/A</v>
      </c>
      <c r="H4360" s="20">
        <f t="shared" si="342"/>
        <v>0</v>
      </c>
      <c r="I4360" s="21">
        <f t="shared" si="343"/>
        <v>0</v>
      </c>
      <c r="J4360" s="22" t="e">
        <f>VLOOKUP($A4360, TAB_JUROS_C[[DIAS_CORRIDOS]:[V_FUT_UTEIS]], J$5, FALSE)</f>
        <v>#N/A</v>
      </c>
      <c r="K4360" s="22" t="e">
        <f>VLOOKUP($A4360, TAB_CORRECAO_C[[DIAS_CORRIDOS]:[V_FUT_UTEIS]],K$5, FALSE)</f>
        <v>#N/A</v>
      </c>
      <c r="L4360" s="22" t="e">
        <f>VLOOKUP($A4360, TAB_AMORTIZACAO_C[[DIAS_CORRIDOS]:[V_FUT_UTEIS]], L$5, FALSE)</f>
        <v>#N/A</v>
      </c>
    </row>
    <row r="4361" spans="1:12" hidden="1">
      <c r="A4361" s="19">
        <f t="shared" si="344"/>
        <v>4355</v>
      </c>
      <c r="B4361" s="20">
        <f t="shared" ref="B4361:B4424" si="345">IF(ISERROR(C4361), 0, C4361)</f>
        <v>0</v>
      </c>
      <c r="C4361" s="21">
        <f t="shared" ref="C4361:C4424" si="346">SUMIF(D4361:F4361, "&gt;0", D4361:F4361)</f>
        <v>0</v>
      </c>
      <c r="D4361" s="22" t="e">
        <f>VLOOKUP($A4361, TAB_JUROS_U[[Q_DIAS_U_PARC_TIR]:[V_FUT_U_JURS CENARIO]], D$5, FALSE)</f>
        <v>#N/A</v>
      </c>
      <c r="E4361" s="22" t="e">
        <f>VLOOKUP($A4361,TAB_CORRECAO_U[[Q_DIAS_U_PARC_TIR]:[V_FUT_U_CORC-02]],E$5, FALSE)</f>
        <v>#N/A</v>
      </c>
      <c r="F4361" s="22" t="e">
        <f>VLOOKUP($A4361,TAB_AMORTIZACAO_U[[Q_DIAS_U_PARC_TIR]:[V_FUT_U_PCPL-02]], F$5, FALSE)</f>
        <v>#N/A</v>
      </c>
      <c r="H4361" s="20">
        <f t="shared" ref="H4361:H4424" si="347">IF(ISERROR(I4361), 0, I4361)</f>
        <v>0</v>
      </c>
      <c r="I4361" s="21">
        <f t="shared" ref="I4361:I4424" si="348">SUMIF(J4361:L4361, "&gt;0", J4361:L4361)</f>
        <v>0</v>
      </c>
      <c r="J4361" s="22" t="e">
        <f>VLOOKUP($A4361, TAB_JUROS_C[[DIAS_CORRIDOS]:[V_FUT_UTEIS]], J$5, FALSE)</f>
        <v>#N/A</v>
      </c>
      <c r="K4361" s="22" t="e">
        <f>VLOOKUP($A4361, TAB_CORRECAO_C[[DIAS_CORRIDOS]:[V_FUT_UTEIS]],K$5, FALSE)</f>
        <v>#N/A</v>
      </c>
      <c r="L4361" s="22" t="e">
        <f>VLOOKUP($A4361, TAB_AMORTIZACAO_C[[DIAS_CORRIDOS]:[V_FUT_UTEIS]], L$5, FALSE)</f>
        <v>#N/A</v>
      </c>
    </row>
    <row r="4362" spans="1:12" hidden="1">
      <c r="A4362" s="19">
        <f t="shared" ref="A4362:A4425" si="349">A4361+1</f>
        <v>4356</v>
      </c>
      <c r="B4362" s="20">
        <f t="shared" si="345"/>
        <v>0</v>
      </c>
      <c r="C4362" s="21">
        <f t="shared" si="346"/>
        <v>0</v>
      </c>
      <c r="D4362" s="22" t="e">
        <f>VLOOKUP($A4362, TAB_JUROS_U[[Q_DIAS_U_PARC_TIR]:[V_FUT_U_JURS CENARIO]], D$5, FALSE)</f>
        <v>#N/A</v>
      </c>
      <c r="E4362" s="22" t="e">
        <f>VLOOKUP($A4362,TAB_CORRECAO_U[[Q_DIAS_U_PARC_TIR]:[V_FUT_U_CORC-02]],E$5, FALSE)</f>
        <v>#N/A</v>
      </c>
      <c r="F4362" s="22" t="e">
        <f>VLOOKUP($A4362,TAB_AMORTIZACAO_U[[Q_DIAS_U_PARC_TIR]:[V_FUT_U_PCPL-02]], F$5, FALSE)</f>
        <v>#N/A</v>
      </c>
      <c r="H4362" s="20">
        <f t="shared" si="347"/>
        <v>0</v>
      </c>
      <c r="I4362" s="21">
        <f t="shared" si="348"/>
        <v>0</v>
      </c>
      <c r="J4362" s="22" t="e">
        <f>VLOOKUP($A4362, TAB_JUROS_C[[DIAS_CORRIDOS]:[V_FUT_UTEIS]], J$5, FALSE)</f>
        <v>#N/A</v>
      </c>
      <c r="K4362" s="22" t="e">
        <f>VLOOKUP($A4362, TAB_CORRECAO_C[[DIAS_CORRIDOS]:[V_FUT_UTEIS]],K$5, FALSE)</f>
        <v>#N/A</v>
      </c>
      <c r="L4362" s="22" t="e">
        <f>VLOOKUP($A4362, TAB_AMORTIZACAO_C[[DIAS_CORRIDOS]:[V_FUT_UTEIS]], L$5, FALSE)</f>
        <v>#N/A</v>
      </c>
    </row>
    <row r="4363" spans="1:12" hidden="1">
      <c r="A4363" s="19">
        <f t="shared" si="349"/>
        <v>4357</v>
      </c>
      <c r="B4363" s="20">
        <f t="shared" si="345"/>
        <v>0</v>
      </c>
      <c r="C4363" s="21">
        <f t="shared" si="346"/>
        <v>0</v>
      </c>
      <c r="D4363" s="22" t="e">
        <f>VLOOKUP($A4363, TAB_JUROS_U[[Q_DIAS_U_PARC_TIR]:[V_FUT_U_JURS CENARIO]], D$5, FALSE)</f>
        <v>#N/A</v>
      </c>
      <c r="E4363" s="22" t="e">
        <f>VLOOKUP($A4363,TAB_CORRECAO_U[[Q_DIAS_U_PARC_TIR]:[V_FUT_U_CORC-02]],E$5, FALSE)</f>
        <v>#N/A</v>
      </c>
      <c r="F4363" s="22" t="e">
        <f>VLOOKUP($A4363,TAB_AMORTIZACAO_U[[Q_DIAS_U_PARC_TIR]:[V_FUT_U_PCPL-02]], F$5, FALSE)</f>
        <v>#N/A</v>
      </c>
      <c r="H4363" s="20">
        <f t="shared" si="347"/>
        <v>0</v>
      </c>
      <c r="I4363" s="21">
        <f t="shared" si="348"/>
        <v>0</v>
      </c>
      <c r="J4363" s="22" t="e">
        <f>VLOOKUP($A4363, TAB_JUROS_C[[DIAS_CORRIDOS]:[V_FUT_UTEIS]], J$5, FALSE)</f>
        <v>#N/A</v>
      </c>
      <c r="K4363" s="22" t="e">
        <f>VLOOKUP($A4363, TAB_CORRECAO_C[[DIAS_CORRIDOS]:[V_FUT_UTEIS]],K$5, FALSE)</f>
        <v>#N/A</v>
      </c>
      <c r="L4363" s="22" t="e">
        <f>VLOOKUP($A4363, TAB_AMORTIZACAO_C[[DIAS_CORRIDOS]:[V_FUT_UTEIS]], L$5, FALSE)</f>
        <v>#N/A</v>
      </c>
    </row>
    <row r="4364" spans="1:12" hidden="1">
      <c r="A4364" s="19">
        <f t="shared" si="349"/>
        <v>4358</v>
      </c>
      <c r="B4364" s="20">
        <f t="shared" si="345"/>
        <v>0</v>
      </c>
      <c r="C4364" s="21">
        <f t="shared" si="346"/>
        <v>0</v>
      </c>
      <c r="D4364" s="22" t="e">
        <f>VLOOKUP($A4364, TAB_JUROS_U[[Q_DIAS_U_PARC_TIR]:[V_FUT_U_JURS CENARIO]], D$5, FALSE)</f>
        <v>#N/A</v>
      </c>
      <c r="E4364" s="22" t="e">
        <f>VLOOKUP($A4364,TAB_CORRECAO_U[[Q_DIAS_U_PARC_TIR]:[V_FUT_U_CORC-02]],E$5, FALSE)</f>
        <v>#N/A</v>
      </c>
      <c r="F4364" s="22" t="e">
        <f>VLOOKUP($A4364,TAB_AMORTIZACAO_U[[Q_DIAS_U_PARC_TIR]:[V_FUT_U_PCPL-02]], F$5, FALSE)</f>
        <v>#N/A</v>
      </c>
      <c r="H4364" s="20">
        <f t="shared" si="347"/>
        <v>0</v>
      </c>
      <c r="I4364" s="21">
        <f t="shared" si="348"/>
        <v>0</v>
      </c>
      <c r="J4364" s="22" t="e">
        <f>VLOOKUP($A4364, TAB_JUROS_C[[DIAS_CORRIDOS]:[V_FUT_UTEIS]], J$5, FALSE)</f>
        <v>#N/A</v>
      </c>
      <c r="K4364" s="22" t="e">
        <f>VLOOKUP($A4364, TAB_CORRECAO_C[[DIAS_CORRIDOS]:[V_FUT_UTEIS]],K$5, FALSE)</f>
        <v>#N/A</v>
      </c>
      <c r="L4364" s="22" t="e">
        <f>VLOOKUP($A4364, TAB_AMORTIZACAO_C[[DIAS_CORRIDOS]:[V_FUT_UTEIS]], L$5, FALSE)</f>
        <v>#N/A</v>
      </c>
    </row>
    <row r="4365" spans="1:12" hidden="1">
      <c r="A4365" s="19">
        <f t="shared" si="349"/>
        <v>4359</v>
      </c>
      <c r="B4365" s="20">
        <f t="shared" si="345"/>
        <v>0</v>
      </c>
      <c r="C4365" s="21">
        <f t="shared" si="346"/>
        <v>0</v>
      </c>
      <c r="D4365" s="22" t="e">
        <f>VLOOKUP($A4365, TAB_JUROS_U[[Q_DIAS_U_PARC_TIR]:[V_FUT_U_JURS CENARIO]], D$5, FALSE)</f>
        <v>#N/A</v>
      </c>
      <c r="E4365" s="22" t="e">
        <f>VLOOKUP($A4365,TAB_CORRECAO_U[[Q_DIAS_U_PARC_TIR]:[V_FUT_U_CORC-02]],E$5, FALSE)</f>
        <v>#N/A</v>
      </c>
      <c r="F4365" s="22" t="e">
        <f>VLOOKUP($A4365,TAB_AMORTIZACAO_U[[Q_DIAS_U_PARC_TIR]:[V_FUT_U_PCPL-02]], F$5, FALSE)</f>
        <v>#N/A</v>
      </c>
      <c r="H4365" s="20">
        <f t="shared" si="347"/>
        <v>0</v>
      </c>
      <c r="I4365" s="21">
        <f t="shared" si="348"/>
        <v>0</v>
      </c>
      <c r="J4365" s="22" t="e">
        <f>VLOOKUP($A4365, TAB_JUROS_C[[DIAS_CORRIDOS]:[V_FUT_UTEIS]], J$5, FALSE)</f>
        <v>#N/A</v>
      </c>
      <c r="K4365" s="22" t="e">
        <f>VLOOKUP($A4365, TAB_CORRECAO_C[[DIAS_CORRIDOS]:[V_FUT_UTEIS]],K$5, FALSE)</f>
        <v>#N/A</v>
      </c>
      <c r="L4365" s="22" t="e">
        <f>VLOOKUP($A4365, TAB_AMORTIZACAO_C[[DIAS_CORRIDOS]:[V_FUT_UTEIS]], L$5, FALSE)</f>
        <v>#N/A</v>
      </c>
    </row>
    <row r="4366" spans="1:12" hidden="1">
      <c r="A4366" s="19">
        <f t="shared" si="349"/>
        <v>4360</v>
      </c>
      <c r="B4366" s="20">
        <f t="shared" si="345"/>
        <v>0</v>
      </c>
      <c r="C4366" s="21">
        <f t="shared" si="346"/>
        <v>0</v>
      </c>
      <c r="D4366" s="22" t="e">
        <f>VLOOKUP($A4366, TAB_JUROS_U[[Q_DIAS_U_PARC_TIR]:[V_FUT_U_JURS CENARIO]], D$5, FALSE)</f>
        <v>#N/A</v>
      </c>
      <c r="E4366" s="22" t="e">
        <f>VLOOKUP($A4366,TAB_CORRECAO_U[[Q_DIAS_U_PARC_TIR]:[V_FUT_U_CORC-02]],E$5, FALSE)</f>
        <v>#N/A</v>
      </c>
      <c r="F4366" s="22" t="e">
        <f>VLOOKUP($A4366,TAB_AMORTIZACAO_U[[Q_DIAS_U_PARC_TIR]:[V_FUT_U_PCPL-02]], F$5, FALSE)</f>
        <v>#N/A</v>
      </c>
      <c r="H4366" s="20">
        <f t="shared" si="347"/>
        <v>0</v>
      </c>
      <c r="I4366" s="21">
        <f t="shared" si="348"/>
        <v>0</v>
      </c>
      <c r="J4366" s="22" t="e">
        <f>VLOOKUP($A4366, TAB_JUROS_C[[DIAS_CORRIDOS]:[V_FUT_UTEIS]], J$5, FALSE)</f>
        <v>#N/A</v>
      </c>
      <c r="K4366" s="22" t="e">
        <f>VLOOKUP($A4366, TAB_CORRECAO_C[[DIAS_CORRIDOS]:[V_FUT_UTEIS]],K$5, FALSE)</f>
        <v>#N/A</v>
      </c>
      <c r="L4366" s="22" t="e">
        <f>VLOOKUP($A4366, TAB_AMORTIZACAO_C[[DIAS_CORRIDOS]:[V_FUT_UTEIS]], L$5, FALSE)</f>
        <v>#N/A</v>
      </c>
    </row>
    <row r="4367" spans="1:12" hidden="1">
      <c r="A4367" s="19">
        <f t="shared" si="349"/>
        <v>4361</v>
      </c>
      <c r="B4367" s="20">
        <f t="shared" si="345"/>
        <v>0</v>
      </c>
      <c r="C4367" s="21">
        <f t="shared" si="346"/>
        <v>0</v>
      </c>
      <c r="D4367" s="22" t="e">
        <f>VLOOKUP($A4367, TAB_JUROS_U[[Q_DIAS_U_PARC_TIR]:[V_FUT_U_JURS CENARIO]], D$5, FALSE)</f>
        <v>#N/A</v>
      </c>
      <c r="E4367" s="22" t="e">
        <f>VLOOKUP($A4367,TAB_CORRECAO_U[[Q_DIAS_U_PARC_TIR]:[V_FUT_U_CORC-02]],E$5, FALSE)</f>
        <v>#N/A</v>
      </c>
      <c r="F4367" s="22" t="e">
        <f>VLOOKUP($A4367,TAB_AMORTIZACAO_U[[Q_DIAS_U_PARC_TIR]:[V_FUT_U_PCPL-02]], F$5, FALSE)</f>
        <v>#N/A</v>
      </c>
      <c r="H4367" s="20">
        <f t="shared" si="347"/>
        <v>0</v>
      </c>
      <c r="I4367" s="21">
        <f t="shared" si="348"/>
        <v>0</v>
      </c>
      <c r="J4367" s="22" t="e">
        <f>VLOOKUP($A4367, TAB_JUROS_C[[DIAS_CORRIDOS]:[V_FUT_UTEIS]], J$5, FALSE)</f>
        <v>#N/A</v>
      </c>
      <c r="K4367" s="22" t="e">
        <f>VLOOKUP($A4367, TAB_CORRECAO_C[[DIAS_CORRIDOS]:[V_FUT_UTEIS]],K$5, FALSE)</f>
        <v>#N/A</v>
      </c>
      <c r="L4367" s="22" t="e">
        <f>VLOOKUP($A4367, TAB_AMORTIZACAO_C[[DIAS_CORRIDOS]:[V_FUT_UTEIS]], L$5, FALSE)</f>
        <v>#N/A</v>
      </c>
    </row>
    <row r="4368" spans="1:12" hidden="1">
      <c r="A4368" s="19">
        <f t="shared" si="349"/>
        <v>4362</v>
      </c>
      <c r="B4368" s="20">
        <f t="shared" si="345"/>
        <v>0</v>
      </c>
      <c r="C4368" s="21">
        <f t="shared" si="346"/>
        <v>0</v>
      </c>
      <c r="D4368" s="22" t="e">
        <f>VLOOKUP($A4368, TAB_JUROS_U[[Q_DIAS_U_PARC_TIR]:[V_FUT_U_JURS CENARIO]], D$5, FALSE)</f>
        <v>#N/A</v>
      </c>
      <c r="E4368" s="22" t="e">
        <f>VLOOKUP($A4368,TAB_CORRECAO_U[[Q_DIAS_U_PARC_TIR]:[V_FUT_U_CORC-02]],E$5, FALSE)</f>
        <v>#N/A</v>
      </c>
      <c r="F4368" s="22" t="e">
        <f>VLOOKUP($A4368,TAB_AMORTIZACAO_U[[Q_DIAS_U_PARC_TIR]:[V_FUT_U_PCPL-02]], F$5, FALSE)</f>
        <v>#N/A</v>
      </c>
      <c r="H4368" s="20">
        <f t="shared" si="347"/>
        <v>0</v>
      </c>
      <c r="I4368" s="21">
        <f t="shared" si="348"/>
        <v>0</v>
      </c>
      <c r="J4368" s="22" t="e">
        <f>VLOOKUP($A4368, TAB_JUROS_C[[DIAS_CORRIDOS]:[V_FUT_UTEIS]], J$5, FALSE)</f>
        <v>#N/A</v>
      </c>
      <c r="K4368" s="22" t="e">
        <f>VLOOKUP($A4368, TAB_CORRECAO_C[[DIAS_CORRIDOS]:[V_FUT_UTEIS]],K$5, FALSE)</f>
        <v>#N/A</v>
      </c>
      <c r="L4368" s="22" t="e">
        <f>VLOOKUP($A4368, TAB_AMORTIZACAO_C[[DIAS_CORRIDOS]:[V_FUT_UTEIS]], L$5, FALSE)</f>
        <v>#N/A</v>
      </c>
    </row>
    <row r="4369" spans="1:12" hidden="1">
      <c r="A4369" s="19">
        <f t="shared" si="349"/>
        <v>4363</v>
      </c>
      <c r="B4369" s="20">
        <f t="shared" si="345"/>
        <v>0</v>
      </c>
      <c r="C4369" s="21">
        <f t="shared" si="346"/>
        <v>0</v>
      </c>
      <c r="D4369" s="22" t="e">
        <f>VLOOKUP($A4369, TAB_JUROS_U[[Q_DIAS_U_PARC_TIR]:[V_FUT_U_JURS CENARIO]], D$5, FALSE)</f>
        <v>#N/A</v>
      </c>
      <c r="E4369" s="22" t="e">
        <f>VLOOKUP($A4369,TAB_CORRECAO_U[[Q_DIAS_U_PARC_TIR]:[V_FUT_U_CORC-02]],E$5, FALSE)</f>
        <v>#N/A</v>
      </c>
      <c r="F4369" s="22" t="e">
        <f>VLOOKUP($A4369,TAB_AMORTIZACAO_U[[Q_DIAS_U_PARC_TIR]:[V_FUT_U_PCPL-02]], F$5, FALSE)</f>
        <v>#N/A</v>
      </c>
      <c r="H4369" s="20">
        <f t="shared" si="347"/>
        <v>81.469893022999983</v>
      </c>
      <c r="I4369" s="21">
        <f t="shared" si="348"/>
        <v>81.469893022999983</v>
      </c>
      <c r="J4369" s="22">
        <f>VLOOKUP($A4369, TAB_JUROS_C[[DIAS_CORRIDOS]:[V_FUT_UTEIS]], J$5, FALSE)</f>
        <v>0.15950274549513985</v>
      </c>
      <c r="K4369" s="22">
        <f>VLOOKUP($A4369, TAB_CORRECAO_C[[DIAS_CORRIDOS]:[V_FUT_UTEIS]],K$5, FALSE)</f>
        <v>0.92725006791103803</v>
      </c>
      <c r="L4369" s="22">
        <f>VLOOKUP($A4369, TAB_AMORTIZACAO_C[[DIAS_CORRIDOS]:[V_FUT_UTEIS]], L$5, FALSE)</f>
        <v>80.383140209593805</v>
      </c>
    </row>
    <row r="4370" spans="1:12" hidden="1">
      <c r="A4370" s="19">
        <f t="shared" si="349"/>
        <v>4364</v>
      </c>
      <c r="B4370" s="20">
        <f t="shared" si="345"/>
        <v>0</v>
      </c>
      <c r="C4370" s="21">
        <f t="shared" si="346"/>
        <v>0</v>
      </c>
      <c r="D4370" s="22" t="e">
        <f>VLOOKUP($A4370, TAB_JUROS_U[[Q_DIAS_U_PARC_TIR]:[V_FUT_U_JURS CENARIO]], D$5, FALSE)</f>
        <v>#N/A</v>
      </c>
      <c r="E4370" s="22" t="e">
        <f>VLOOKUP($A4370,TAB_CORRECAO_U[[Q_DIAS_U_PARC_TIR]:[V_FUT_U_CORC-02]],E$5, FALSE)</f>
        <v>#N/A</v>
      </c>
      <c r="F4370" s="22" t="e">
        <f>VLOOKUP($A4370,TAB_AMORTIZACAO_U[[Q_DIAS_U_PARC_TIR]:[V_FUT_U_PCPL-02]], F$5, FALSE)</f>
        <v>#N/A</v>
      </c>
      <c r="H4370" s="20">
        <f t="shared" si="347"/>
        <v>0</v>
      </c>
      <c r="I4370" s="21">
        <f t="shared" si="348"/>
        <v>0</v>
      </c>
      <c r="J4370" s="22" t="e">
        <f>VLOOKUP($A4370, TAB_JUROS_C[[DIAS_CORRIDOS]:[V_FUT_UTEIS]], J$5, FALSE)</f>
        <v>#N/A</v>
      </c>
      <c r="K4370" s="22" t="e">
        <f>VLOOKUP($A4370, TAB_CORRECAO_C[[DIAS_CORRIDOS]:[V_FUT_UTEIS]],K$5, FALSE)</f>
        <v>#N/A</v>
      </c>
      <c r="L4370" s="22" t="e">
        <f>VLOOKUP($A4370, TAB_AMORTIZACAO_C[[DIAS_CORRIDOS]:[V_FUT_UTEIS]], L$5, FALSE)</f>
        <v>#N/A</v>
      </c>
    </row>
    <row r="4371" spans="1:12" hidden="1">
      <c r="A4371" s="19">
        <f t="shared" si="349"/>
        <v>4365</v>
      </c>
      <c r="B4371" s="20">
        <f t="shared" si="345"/>
        <v>0</v>
      </c>
      <c r="C4371" s="21">
        <f t="shared" si="346"/>
        <v>0</v>
      </c>
      <c r="D4371" s="22" t="e">
        <f>VLOOKUP($A4371, TAB_JUROS_U[[Q_DIAS_U_PARC_TIR]:[V_FUT_U_JURS CENARIO]], D$5, FALSE)</f>
        <v>#N/A</v>
      </c>
      <c r="E4371" s="22" t="e">
        <f>VLOOKUP($A4371,TAB_CORRECAO_U[[Q_DIAS_U_PARC_TIR]:[V_FUT_U_CORC-02]],E$5, FALSE)</f>
        <v>#N/A</v>
      </c>
      <c r="F4371" s="22" t="e">
        <f>VLOOKUP($A4371,TAB_AMORTIZACAO_U[[Q_DIAS_U_PARC_TIR]:[V_FUT_U_PCPL-02]], F$5, FALSE)</f>
        <v>#N/A</v>
      </c>
      <c r="H4371" s="20">
        <f t="shared" si="347"/>
        <v>0</v>
      </c>
      <c r="I4371" s="21">
        <f t="shared" si="348"/>
        <v>0</v>
      </c>
      <c r="J4371" s="22" t="e">
        <f>VLOOKUP($A4371, TAB_JUROS_C[[DIAS_CORRIDOS]:[V_FUT_UTEIS]], J$5, FALSE)</f>
        <v>#N/A</v>
      </c>
      <c r="K4371" s="22" t="e">
        <f>VLOOKUP($A4371, TAB_CORRECAO_C[[DIAS_CORRIDOS]:[V_FUT_UTEIS]],K$5, FALSE)</f>
        <v>#N/A</v>
      </c>
      <c r="L4371" s="22" t="e">
        <f>VLOOKUP($A4371, TAB_AMORTIZACAO_C[[DIAS_CORRIDOS]:[V_FUT_UTEIS]], L$5, FALSE)</f>
        <v>#N/A</v>
      </c>
    </row>
    <row r="4372" spans="1:12" hidden="1">
      <c r="A4372" s="19">
        <f t="shared" si="349"/>
        <v>4366</v>
      </c>
      <c r="B4372" s="20">
        <f t="shared" si="345"/>
        <v>0</v>
      </c>
      <c r="C4372" s="21">
        <f t="shared" si="346"/>
        <v>0</v>
      </c>
      <c r="D4372" s="22" t="e">
        <f>VLOOKUP($A4372, TAB_JUROS_U[[Q_DIAS_U_PARC_TIR]:[V_FUT_U_JURS CENARIO]], D$5, FALSE)</f>
        <v>#N/A</v>
      </c>
      <c r="E4372" s="22" t="e">
        <f>VLOOKUP($A4372,TAB_CORRECAO_U[[Q_DIAS_U_PARC_TIR]:[V_FUT_U_CORC-02]],E$5, FALSE)</f>
        <v>#N/A</v>
      </c>
      <c r="F4372" s="22" t="e">
        <f>VLOOKUP($A4372,TAB_AMORTIZACAO_U[[Q_DIAS_U_PARC_TIR]:[V_FUT_U_PCPL-02]], F$5, FALSE)</f>
        <v>#N/A</v>
      </c>
      <c r="H4372" s="20">
        <f t="shared" si="347"/>
        <v>0</v>
      </c>
      <c r="I4372" s="21">
        <f t="shared" si="348"/>
        <v>0</v>
      </c>
      <c r="J4372" s="22" t="e">
        <f>VLOOKUP($A4372, TAB_JUROS_C[[DIAS_CORRIDOS]:[V_FUT_UTEIS]], J$5, FALSE)</f>
        <v>#N/A</v>
      </c>
      <c r="K4372" s="22" t="e">
        <f>VLOOKUP($A4372, TAB_CORRECAO_C[[DIAS_CORRIDOS]:[V_FUT_UTEIS]],K$5, FALSE)</f>
        <v>#N/A</v>
      </c>
      <c r="L4372" s="22" t="e">
        <f>VLOOKUP($A4372, TAB_AMORTIZACAO_C[[DIAS_CORRIDOS]:[V_FUT_UTEIS]], L$5, FALSE)</f>
        <v>#N/A</v>
      </c>
    </row>
    <row r="4373" spans="1:12" hidden="1">
      <c r="A4373" s="19">
        <f t="shared" si="349"/>
        <v>4367</v>
      </c>
      <c r="B4373" s="20">
        <f t="shared" si="345"/>
        <v>0</v>
      </c>
      <c r="C4373" s="21">
        <f t="shared" si="346"/>
        <v>0</v>
      </c>
      <c r="D4373" s="22" t="e">
        <f>VLOOKUP($A4373, TAB_JUROS_U[[Q_DIAS_U_PARC_TIR]:[V_FUT_U_JURS CENARIO]], D$5, FALSE)</f>
        <v>#N/A</v>
      </c>
      <c r="E4373" s="22" t="e">
        <f>VLOOKUP($A4373,TAB_CORRECAO_U[[Q_DIAS_U_PARC_TIR]:[V_FUT_U_CORC-02]],E$5, FALSE)</f>
        <v>#N/A</v>
      </c>
      <c r="F4373" s="22" t="e">
        <f>VLOOKUP($A4373,TAB_AMORTIZACAO_U[[Q_DIAS_U_PARC_TIR]:[V_FUT_U_PCPL-02]], F$5, FALSE)</f>
        <v>#N/A</v>
      </c>
      <c r="H4373" s="20">
        <f t="shared" si="347"/>
        <v>0</v>
      </c>
      <c r="I4373" s="21">
        <f t="shared" si="348"/>
        <v>0</v>
      </c>
      <c r="J4373" s="22" t="e">
        <f>VLOOKUP($A4373, TAB_JUROS_C[[DIAS_CORRIDOS]:[V_FUT_UTEIS]], J$5, FALSE)</f>
        <v>#N/A</v>
      </c>
      <c r="K4373" s="22" t="e">
        <f>VLOOKUP($A4373, TAB_CORRECAO_C[[DIAS_CORRIDOS]:[V_FUT_UTEIS]],K$5, FALSE)</f>
        <v>#N/A</v>
      </c>
      <c r="L4373" s="22" t="e">
        <f>VLOOKUP($A4373, TAB_AMORTIZACAO_C[[DIAS_CORRIDOS]:[V_FUT_UTEIS]], L$5, FALSE)</f>
        <v>#N/A</v>
      </c>
    </row>
    <row r="4374" spans="1:12" hidden="1">
      <c r="A4374" s="19">
        <f t="shared" si="349"/>
        <v>4368</v>
      </c>
      <c r="B4374" s="20">
        <f t="shared" si="345"/>
        <v>0</v>
      </c>
      <c r="C4374" s="21">
        <f t="shared" si="346"/>
        <v>0</v>
      </c>
      <c r="D4374" s="22" t="e">
        <f>VLOOKUP($A4374, TAB_JUROS_U[[Q_DIAS_U_PARC_TIR]:[V_FUT_U_JURS CENARIO]], D$5, FALSE)</f>
        <v>#N/A</v>
      </c>
      <c r="E4374" s="22" t="e">
        <f>VLOOKUP($A4374,TAB_CORRECAO_U[[Q_DIAS_U_PARC_TIR]:[V_FUT_U_CORC-02]],E$5, FALSE)</f>
        <v>#N/A</v>
      </c>
      <c r="F4374" s="22" t="e">
        <f>VLOOKUP($A4374,TAB_AMORTIZACAO_U[[Q_DIAS_U_PARC_TIR]:[V_FUT_U_PCPL-02]], F$5, FALSE)</f>
        <v>#N/A</v>
      </c>
      <c r="H4374" s="20">
        <f t="shared" si="347"/>
        <v>0</v>
      </c>
      <c r="I4374" s="21">
        <f t="shared" si="348"/>
        <v>0</v>
      </c>
      <c r="J4374" s="22" t="e">
        <f>VLOOKUP($A4374, TAB_JUROS_C[[DIAS_CORRIDOS]:[V_FUT_UTEIS]], J$5, FALSE)</f>
        <v>#N/A</v>
      </c>
      <c r="K4374" s="22" t="e">
        <f>VLOOKUP($A4374, TAB_CORRECAO_C[[DIAS_CORRIDOS]:[V_FUT_UTEIS]],K$5, FALSE)</f>
        <v>#N/A</v>
      </c>
      <c r="L4374" s="22" t="e">
        <f>VLOOKUP($A4374, TAB_AMORTIZACAO_C[[DIAS_CORRIDOS]:[V_FUT_UTEIS]], L$5, FALSE)</f>
        <v>#N/A</v>
      </c>
    </row>
    <row r="4375" spans="1:12" hidden="1">
      <c r="A4375" s="19">
        <f t="shared" si="349"/>
        <v>4369</v>
      </c>
      <c r="B4375" s="20">
        <f t="shared" si="345"/>
        <v>0</v>
      </c>
      <c r="C4375" s="21">
        <f t="shared" si="346"/>
        <v>0</v>
      </c>
      <c r="D4375" s="22" t="e">
        <f>VLOOKUP($A4375, TAB_JUROS_U[[Q_DIAS_U_PARC_TIR]:[V_FUT_U_JURS CENARIO]], D$5, FALSE)</f>
        <v>#N/A</v>
      </c>
      <c r="E4375" s="22" t="e">
        <f>VLOOKUP($A4375,TAB_CORRECAO_U[[Q_DIAS_U_PARC_TIR]:[V_FUT_U_CORC-02]],E$5, FALSE)</f>
        <v>#N/A</v>
      </c>
      <c r="F4375" s="22" t="e">
        <f>VLOOKUP($A4375,TAB_AMORTIZACAO_U[[Q_DIAS_U_PARC_TIR]:[V_FUT_U_PCPL-02]], F$5, FALSE)</f>
        <v>#N/A</v>
      </c>
      <c r="H4375" s="20">
        <f t="shared" si="347"/>
        <v>0</v>
      </c>
      <c r="I4375" s="21">
        <f t="shared" si="348"/>
        <v>0</v>
      </c>
      <c r="J4375" s="22" t="e">
        <f>VLOOKUP($A4375, TAB_JUROS_C[[DIAS_CORRIDOS]:[V_FUT_UTEIS]], J$5, FALSE)</f>
        <v>#N/A</v>
      </c>
      <c r="K4375" s="22" t="e">
        <f>VLOOKUP($A4375, TAB_CORRECAO_C[[DIAS_CORRIDOS]:[V_FUT_UTEIS]],K$5, FALSE)</f>
        <v>#N/A</v>
      </c>
      <c r="L4375" s="22" t="e">
        <f>VLOOKUP($A4375, TAB_AMORTIZACAO_C[[DIAS_CORRIDOS]:[V_FUT_UTEIS]], L$5, FALSE)</f>
        <v>#N/A</v>
      </c>
    </row>
    <row r="4376" spans="1:12" hidden="1">
      <c r="A4376" s="19">
        <f t="shared" si="349"/>
        <v>4370</v>
      </c>
      <c r="B4376" s="20">
        <f t="shared" si="345"/>
        <v>0</v>
      </c>
      <c r="C4376" s="21">
        <f t="shared" si="346"/>
        <v>0</v>
      </c>
      <c r="D4376" s="22" t="e">
        <f>VLOOKUP($A4376, TAB_JUROS_U[[Q_DIAS_U_PARC_TIR]:[V_FUT_U_JURS CENARIO]], D$5, FALSE)</f>
        <v>#N/A</v>
      </c>
      <c r="E4376" s="22" t="e">
        <f>VLOOKUP($A4376,TAB_CORRECAO_U[[Q_DIAS_U_PARC_TIR]:[V_FUT_U_CORC-02]],E$5, FALSE)</f>
        <v>#N/A</v>
      </c>
      <c r="F4376" s="22" t="e">
        <f>VLOOKUP($A4376,TAB_AMORTIZACAO_U[[Q_DIAS_U_PARC_TIR]:[V_FUT_U_PCPL-02]], F$5, FALSE)</f>
        <v>#N/A</v>
      </c>
      <c r="H4376" s="20">
        <f t="shared" si="347"/>
        <v>0</v>
      </c>
      <c r="I4376" s="21">
        <f t="shared" si="348"/>
        <v>0</v>
      </c>
      <c r="J4376" s="22" t="e">
        <f>VLOOKUP($A4376, TAB_JUROS_C[[DIAS_CORRIDOS]:[V_FUT_UTEIS]], J$5, FALSE)</f>
        <v>#N/A</v>
      </c>
      <c r="K4376" s="22" t="e">
        <f>VLOOKUP($A4376, TAB_CORRECAO_C[[DIAS_CORRIDOS]:[V_FUT_UTEIS]],K$5, FALSE)</f>
        <v>#N/A</v>
      </c>
      <c r="L4376" s="22" t="e">
        <f>VLOOKUP($A4376, TAB_AMORTIZACAO_C[[DIAS_CORRIDOS]:[V_FUT_UTEIS]], L$5, FALSE)</f>
        <v>#N/A</v>
      </c>
    </row>
    <row r="4377" spans="1:12" hidden="1">
      <c r="A4377" s="19">
        <f t="shared" si="349"/>
        <v>4371</v>
      </c>
      <c r="B4377" s="20">
        <f t="shared" si="345"/>
        <v>0</v>
      </c>
      <c r="C4377" s="21">
        <f t="shared" si="346"/>
        <v>0</v>
      </c>
      <c r="D4377" s="22" t="e">
        <f>VLOOKUP($A4377, TAB_JUROS_U[[Q_DIAS_U_PARC_TIR]:[V_FUT_U_JURS CENARIO]], D$5, FALSE)</f>
        <v>#N/A</v>
      </c>
      <c r="E4377" s="22" t="e">
        <f>VLOOKUP($A4377,TAB_CORRECAO_U[[Q_DIAS_U_PARC_TIR]:[V_FUT_U_CORC-02]],E$5, FALSE)</f>
        <v>#N/A</v>
      </c>
      <c r="F4377" s="22" t="e">
        <f>VLOOKUP($A4377,TAB_AMORTIZACAO_U[[Q_DIAS_U_PARC_TIR]:[V_FUT_U_PCPL-02]], F$5, FALSE)</f>
        <v>#N/A</v>
      </c>
      <c r="H4377" s="20">
        <f t="shared" si="347"/>
        <v>0</v>
      </c>
      <c r="I4377" s="21">
        <f t="shared" si="348"/>
        <v>0</v>
      </c>
      <c r="J4377" s="22" t="e">
        <f>VLOOKUP($A4377, TAB_JUROS_C[[DIAS_CORRIDOS]:[V_FUT_UTEIS]], J$5, FALSE)</f>
        <v>#N/A</v>
      </c>
      <c r="K4377" s="22" t="e">
        <f>VLOOKUP($A4377, TAB_CORRECAO_C[[DIAS_CORRIDOS]:[V_FUT_UTEIS]],K$5, FALSE)</f>
        <v>#N/A</v>
      </c>
      <c r="L4377" s="22" t="e">
        <f>VLOOKUP($A4377, TAB_AMORTIZACAO_C[[DIAS_CORRIDOS]:[V_FUT_UTEIS]], L$5, FALSE)</f>
        <v>#N/A</v>
      </c>
    </row>
    <row r="4378" spans="1:12" hidden="1">
      <c r="A4378" s="19">
        <f t="shared" si="349"/>
        <v>4372</v>
      </c>
      <c r="B4378" s="20">
        <f t="shared" si="345"/>
        <v>0</v>
      </c>
      <c r="C4378" s="21">
        <f t="shared" si="346"/>
        <v>0</v>
      </c>
      <c r="D4378" s="22" t="e">
        <f>VLOOKUP($A4378, TAB_JUROS_U[[Q_DIAS_U_PARC_TIR]:[V_FUT_U_JURS CENARIO]], D$5, FALSE)</f>
        <v>#N/A</v>
      </c>
      <c r="E4378" s="22" t="e">
        <f>VLOOKUP($A4378,TAB_CORRECAO_U[[Q_DIAS_U_PARC_TIR]:[V_FUT_U_CORC-02]],E$5, FALSE)</f>
        <v>#N/A</v>
      </c>
      <c r="F4378" s="22" t="e">
        <f>VLOOKUP($A4378,TAB_AMORTIZACAO_U[[Q_DIAS_U_PARC_TIR]:[V_FUT_U_PCPL-02]], F$5, FALSE)</f>
        <v>#N/A</v>
      </c>
      <c r="H4378" s="20">
        <f t="shared" si="347"/>
        <v>0</v>
      </c>
      <c r="I4378" s="21">
        <f t="shared" si="348"/>
        <v>0</v>
      </c>
      <c r="J4378" s="22" t="e">
        <f>VLOOKUP($A4378, TAB_JUROS_C[[DIAS_CORRIDOS]:[V_FUT_UTEIS]], J$5, FALSE)</f>
        <v>#N/A</v>
      </c>
      <c r="K4378" s="22" t="e">
        <f>VLOOKUP($A4378, TAB_CORRECAO_C[[DIAS_CORRIDOS]:[V_FUT_UTEIS]],K$5, FALSE)</f>
        <v>#N/A</v>
      </c>
      <c r="L4378" s="22" t="e">
        <f>VLOOKUP($A4378, TAB_AMORTIZACAO_C[[DIAS_CORRIDOS]:[V_FUT_UTEIS]], L$5, FALSE)</f>
        <v>#N/A</v>
      </c>
    </row>
    <row r="4379" spans="1:12" hidden="1">
      <c r="A4379" s="19">
        <f t="shared" si="349"/>
        <v>4373</v>
      </c>
      <c r="B4379" s="20">
        <f t="shared" si="345"/>
        <v>0</v>
      </c>
      <c r="C4379" s="21">
        <f t="shared" si="346"/>
        <v>0</v>
      </c>
      <c r="D4379" s="22" t="e">
        <f>VLOOKUP($A4379, TAB_JUROS_U[[Q_DIAS_U_PARC_TIR]:[V_FUT_U_JURS CENARIO]], D$5, FALSE)</f>
        <v>#N/A</v>
      </c>
      <c r="E4379" s="22" t="e">
        <f>VLOOKUP($A4379,TAB_CORRECAO_U[[Q_DIAS_U_PARC_TIR]:[V_FUT_U_CORC-02]],E$5, FALSE)</f>
        <v>#N/A</v>
      </c>
      <c r="F4379" s="22" t="e">
        <f>VLOOKUP($A4379,TAB_AMORTIZACAO_U[[Q_DIAS_U_PARC_TIR]:[V_FUT_U_PCPL-02]], F$5, FALSE)</f>
        <v>#N/A</v>
      </c>
      <c r="H4379" s="20">
        <f t="shared" si="347"/>
        <v>0</v>
      </c>
      <c r="I4379" s="21">
        <f t="shared" si="348"/>
        <v>0</v>
      </c>
      <c r="J4379" s="22" t="e">
        <f>VLOOKUP($A4379, TAB_JUROS_C[[DIAS_CORRIDOS]:[V_FUT_UTEIS]], J$5, FALSE)</f>
        <v>#N/A</v>
      </c>
      <c r="K4379" s="22" t="e">
        <f>VLOOKUP($A4379, TAB_CORRECAO_C[[DIAS_CORRIDOS]:[V_FUT_UTEIS]],K$5, FALSE)</f>
        <v>#N/A</v>
      </c>
      <c r="L4379" s="22" t="e">
        <f>VLOOKUP($A4379, TAB_AMORTIZACAO_C[[DIAS_CORRIDOS]:[V_FUT_UTEIS]], L$5, FALSE)</f>
        <v>#N/A</v>
      </c>
    </row>
    <row r="4380" spans="1:12" hidden="1">
      <c r="A4380" s="19">
        <f t="shared" si="349"/>
        <v>4374</v>
      </c>
      <c r="B4380" s="20">
        <f t="shared" si="345"/>
        <v>0</v>
      </c>
      <c r="C4380" s="21">
        <f t="shared" si="346"/>
        <v>0</v>
      </c>
      <c r="D4380" s="22" t="e">
        <f>VLOOKUP($A4380, TAB_JUROS_U[[Q_DIAS_U_PARC_TIR]:[V_FUT_U_JURS CENARIO]], D$5, FALSE)</f>
        <v>#N/A</v>
      </c>
      <c r="E4380" s="22" t="e">
        <f>VLOOKUP($A4380,TAB_CORRECAO_U[[Q_DIAS_U_PARC_TIR]:[V_FUT_U_CORC-02]],E$5, FALSE)</f>
        <v>#N/A</v>
      </c>
      <c r="F4380" s="22" t="e">
        <f>VLOOKUP($A4380,TAB_AMORTIZACAO_U[[Q_DIAS_U_PARC_TIR]:[V_FUT_U_PCPL-02]], F$5, FALSE)</f>
        <v>#N/A</v>
      </c>
      <c r="H4380" s="20">
        <f t="shared" si="347"/>
        <v>0</v>
      </c>
      <c r="I4380" s="21">
        <f t="shared" si="348"/>
        <v>0</v>
      </c>
      <c r="J4380" s="22" t="e">
        <f>VLOOKUP($A4380, TAB_JUROS_C[[DIAS_CORRIDOS]:[V_FUT_UTEIS]], J$5, FALSE)</f>
        <v>#N/A</v>
      </c>
      <c r="K4380" s="22" t="e">
        <f>VLOOKUP($A4380, TAB_CORRECAO_C[[DIAS_CORRIDOS]:[V_FUT_UTEIS]],K$5, FALSE)</f>
        <v>#N/A</v>
      </c>
      <c r="L4380" s="22" t="e">
        <f>VLOOKUP($A4380, TAB_AMORTIZACAO_C[[DIAS_CORRIDOS]:[V_FUT_UTEIS]], L$5, FALSE)</f>
        <v>#N/A</v>
      </c>
    </row>
    <row r="4381" spans="1:12" hidden="1">
      <c r="A4381" s="19">
        <f t="shared" si="349"/>
        <v>4375</v>
      </c>
      <c r="B4381" s="20">
        <f t="shared" si="345"/>
        <v>0</v>
      </c>
      <c r="C4381" s="21">
        <f t="shared" si="346"/>
        <v>0</v>
      </c>
      <c r="D4381" s="22" t="e">
        <f>VLOOKUP($A4381, TAB_JUROS_U[[Q_DIAS_U_PARC_TIR]:[V_FUT_U_JURS CENARIO]], D$5, FALSE)</f>
        <v>#N/A</v>
      </c>
      <c r="E4381" s="22" t="e">
        <f>VLOOKUP($A4381,TAB_CORRECAO_U[[Q_DIAS_U_PARC_TIR]:[V_FUT_U_CORC-02]],E$5, FALSE)</f>
        <v>#N/A</v>
      </c>
      <c r="F4381" s="22" t="e">
        <f>VLOOKUP($A4381,TAB_AMORTIZACAO_U[[Q_DIAS_U_PARC_TIR]:[V_FUT_U_PCPL-02]], F$5, FALSE)</f>
        <v>#N/A</v>
      </c>
      <c r="H4381" s="20">
        <f t="shared" si="347"/>
        <v>0</v>
      </c>
      <c r="I4381" s="21">
        <f t="shared" si="348"/>
        <v>0</v>
      </c>
      <c r="J4381" s="22" t="e">
        <f>VLOOKUP($A4381, TAB_JUROS_C[[DIAS_CORRIDOS]:[V_FUT_UTEIS]], J$5, FALSE)</f>
        <v>#N/A</v>
      </c>
      <c r="K4381" s="22" t="e">
        <f>VLOOKUP($A4381, TAB_CORRECAO_C[[DIAS_CORRIDOS]:[V_FUT_UTEIS]],K$5, FALSE)</f>
        <v>#N/A</v>
      </c>
      <c r="L4381" s="22" t="e">
        <f>VLOOKUP($A4381, TAB_AMORTIZACAO_C[[DIAS_CORRIDOS]:[V_FUT_UTEIS]], L$5, FALSE)</f>
        <v>#N/A</v>
      </c>
    </row>
    <row r="4382" spans="1:12" hidden="1">
      <c r="A4382" s="19">
        <f t="shared" si="349"/>
        <v>4376</v>
      </c>
      <c r="B4382" s="20">
        <f t="shared" si="345"/>
        <v>0</v>
      </c>
      <c r="C4382" s="21">
        <f t="shared" si="346"/>
        <v>0</v>
      </c>
      <c r="D4382" s="22" t="e">
        <f>VLOOKUP($A4382, TAB_JUROS_U[[Q_DIAS_U_PARC_TIR]:[V_FUT_U_JURS CENARIO]], D$5, FALSE)</f>
        <v>#N/A</v>
      </c>
      <c r="E4382" s="22" t="e">
        <f>VLOOKUP($A4382,TAB_CORRECAO_U[[Q_DIAS_U_PARC_TIR]:[V_FUT_U_CORC-02]],E$5, FALSE)</f>
        <v>#N/A</v>
      </c>
      <c r="F4382" s="22" t="e">
        <f>VLOOKUP($A4382,TAB_AMORTIZACAO_U[[Q_DIAS_U_PARC_TIR]:[V_FUT_U_PCPL-02]], F$5, FALSE)</f>
        <v>#N/A</v>
      </c>
      <c r="H4382" s="20">
        <f t="shared" si="347"/>
        <v>0</v>
      </c>
      <c r="I4382" s="21">
        <f t="shared" si="348"/>
        <v>0</v>
      </c>
      <c r="J4382" s="22" t="e">
        <f>VLOOKUP($A4382, TAB_JUROS_C[[DIAS_CORRIDOS]:[V_FUT_UTEIS]], J$5, FALSE)</f>
        <v>#N/A</v>
      </c>
      <c r="K4382" s="22" t="e">
        <f>VLOOKUP($A4382, TAB_CORRECAO_C[[DIAS_CORRIDOS]:[V_FUT_UTEIS]],K$5, FALSE)</f>
        <v>#N/A</v>
      </c>
      <c r="L4382" s="22" t="e">
        <f>VLOOKUP($A4382, TAB_AMORTIZACAO_C[[DIAS_CORRIDOS]:[V_FUT_UTEIS]], L$5, FALSE)</f>
        <v>#N/A</v>
      </c>
    </row>
    <row r="4383" spans="1:12" hidden="1">
      <c r="A4383" s="19">
        <f t="shared" si="349"/>
        <v>4377</v>
      </c>
      <c r="B4383" s="20">
        <f t="shared" si="345"/>
        <v>0</v>
      </c>
      <c r="C4383" s="21">
        <f t="shared" si="346"/>
        <v>0</v>
      </c>
      <c r="D4383" s="22" t="e">
        <f>VLOOKUP($A4383, TAB_JUROS_U[[Q_DIAS_U_PARC_TIR]:[V_FUT_U_JURS CENARIO]], D$5, FALSE)</f>
        <v>#N/A</v>
      </c>
      <c r="E4383" s="22" t="e">
        <f>VLOOKUP($A4383,TAB_CORRECAO_U[[Q_DIAS_U_PARC_TIR]:[V_FUT_U_CORC-02]],E$5, FALSE)</f>
        <v>#N/A</v>
      </c>
      <c r="F4383" s="22" t="e">
        <f>VLOOKUP($A4383,TAB_AMORTIZACAO_U[[Q_DIAS_U_PARC_TIR]:[V_FUT_U_PCPL-02]], F$5, FALSE)</f>
        <v>#N/A</v>
      </c>
      <c r="H4383" s="20">
        <f t="shared" si="347"/>
        <v>0</v>
      </c>
      <c r="I4383" s="21">
        <f t="shared" si="348"/>
        <v>0</v>
      </c>
      <c r="J4383" s="22" t="e">
        <f>VLOOKUP($A4383, TAB_JUROS_C[[DIAS_CORRIDOS]:[V_FUT_UTEIS]], J$5, FALSE)</f>
        <v>#N/A</v>
      </c>
      <c r="K4383" s="22" t="e">
        <f>VLOOKUP($A4383, TAB_CORRECAO_C[[DIAS_CORRIDOS]:[V_FUT_UTEIS]],K$5, FALSE)</f>
        <v>#N/A</v>
      </c>
      <c r="L4383" s="22" t="e">
        <f>VLOOKUP($A4383, TAB_AMORTIZACAO_C[[DIAS_CORRIDOS]:[V_FUT_UTEIS]], L$5, FALSE)</f>
        <v>#N/A</v>
      </c>
    </row>
    <row r="4384" spans="1:12" hidden="1">
      <c r="A4384" s="19">
        <f t="shared" si="349"/>
        <v>4378</v>
      </c>
      <c r="B4384" s="20">
        <f t="shared" si="345"/>
        <v>0</v>
      </c>
      <c r="C4384" s="21">
        <f t="shared" si="346"/>
        <v>0</v>
      </c>
      <c r="D4384" s="22" t="e">
        <f>VLOOKUP($A4384, TAB_JUROS_U[[Q_DIAS_U_PARC_TIR]:[V_FUT_U_JURS CENARIO]], D$5, FALSE)</f>
        <v>#N/A</v>
      </c>
      <c r="E4384" s="22" t="e">
        <f>VLOOKUP($A4384,TAB_CORRECAO_U[[Q_DIAS_U_PARC_TIR]:[V_FUT_U_CORC-02]],E$5, FALSE)</f>
        <v>#N/A</v>
      </c>
      <c r="F4384" s="22" t="e">
        <f>VLOOKUP($A4384,TAB_AMORTIZACAO_U[[Q_DIAS_U_PARC_TIR]:[V_FUT_U_PCPL-02]], F$5, FALSE)</f>
        <v>#N/A</v>
      </c>
      <c r="H4384" s="20">
        <f t="shared" si="347"/>
        <v>0</v>
      </c>
      <c r="I4384" s="21">
        <f t="shared" si="348"/>
        <v>0</v>
      </c>
      <c r="J4384" s="22" t="e">
        <f>VLOOKUP($A4384, TAB_JUROS_C[[DIAS_CORRIDOS]:[V_FUT_UTEIS]], J$5, FALSE)</f>
        <v>#N/A</v>
      </c>
      <c r="K4384" s="22" t="e">
        <f>VLOOKUP($A4384, TAB_CORRECAO_C[[DIAS_CORRIDOS]:[V_FUT_UTEIS]],K$5, FALSE)</f>
        <v>#N/A</v>
      </c>
      <c r="L4384" s="22" t="e">
        <f>VLOOKUP($A4384, TAB_AMORTIZACAO_C[[DIAS_CORRIDOS]:[V_FUT_UTEIS]], L$5, FALSE)</f>
        <v>#N/A</v>
      </c>
    </row>
    <row r="4385" spans="1:12" hidden="1">
      <c r="A4385" s="19">
        <f t="shared" si="349"/>
        <v>4379</v>
      </c>
      <c r="B4385" s="20">
        <f t="shared" si="345"/>
        <v>0</v>
      </c>
      <c r="C4385" s="21">
        <f t="shared" si="346"/>
        <v>0</v>
      </c>
      <c r="D4385" s="22" t="e">
        <f>VLOOKUP($A4385, TAB_JUROS_U[[Q_DIAS_U_PARC_TIR]:[V_FUT_U_JURS CENARIO]], D$5, FALSE)</f>
        <v>#N/A</v>
      </c>
      <c r="E4385" s="22" t="e">
        <f>VLOOKUP($A4385,TAB_CORRECAO_U[[Q_DIAS_U_PARC_TIR]:[V_FUT_U_CORC-02]],E$5, FALSE)</f>
        <v>#N/A</v>
      </c>
      <c r="F4385" s="22" t="e">
        <f>VLOOKUP($A4385,TAB_AMORTIZACAO_U[[Q_DIAS_U_PARC_TIR]:[V_FUT_U_PCPL-02]], F$5, FALSE)</f>
        <v>#N/A</v>
      </c>
      <c r="H4385" s="20">
        <f t="shared" si="347"/>
        <v>0</v>
      </c>
      <c r="I4385" s="21">
        <f t="shared" si="348"/>
        <v>0</v>
      </c>
      <c r="J4385" s="22" t="e">
        <f>VLOOKUP($A4385, TAB_JUROS_C[[DIAS_CORRIDOS]:[V_FUT_UTEIS]], J$5, FALSE)</f>
        <v>#N/A</v>
      </c>
      <c r="K4385" s="22" t="e">
        <f>VLOOKUP($A4385, TAB_CORRECAO_C[[DIAS_CORRIDOS]:[V_FUT_UTEIS]],K$5, FALSE)</f>
        <v>#N/A</v>
      </c>
      <c r="L4385" s="22" t="e">
        <f>VLOOKUP($A4385, TAB_AMORTIZACAO_C[[DIAS_CORRIDOS]:[V_FUT_UTEIS]], L$5, FALSE)</f>
        <v>#N/A</v>
      </c>
    </row>
    <row r="4386" spans="1:12" hidden="1">
      <c r="A4386" s="19">
        <f t="shared" si="349"/>
        <v>4380</v>
      </c>
      <c r="B4386" s="20">
        <f t="shared" si="345"/>
        <v>0</v>
      </c>
      <c r="C4386" s="21">
        <f t="shared" si="346"/>
        <v>0</v>
      </c>
      <c r="D4386" s="22" t="e">
        <f>VLOOKUP($A4386, TAB_JUROS_U[[Q_DIAS_U_PARC_TIR]:[V_FUT_U_JURS CENARIO]], D$5, FALSE)</f>
        <v>#N/A</v>
      </c>
      <c r="E4386" s="22" t="e">
        <f>VLOOKUP($A4386,TAB_CORRECAO_U[[Q_DIAS_U_PARC_TIR]:[V_FUT_U_CORC-02]],E$5, FALSE)</f>
        <v>#N/A</v>
      </c>
      <c r="F4386" s="22" t="e">
        <f>VLOOKUP($A4386,TAB_AMORTIZACAO_U[[Q_DIAS_U_PARC_TIR]:[V_FUT_U_PCPL-02]], F$5, FALSE)</f>
        <v>#N/A</v>
      </c>
      <c r="H4386" s="20">
        <f t="shared" si="347"/>
        <v>0</v>
      </c>
      <c r="I4386" s="21">
        <f t="shared" si="348"/>
        <v>0</v>
      </c>
      <c r="J4386" s="22" t="e">
        <f>VLOOKUP($A4386, TAB_JUROS_C[[DIAS_CORRIDOS]:[V_FUT_UTEIS]], J$5, FALSE)</f>
        <v>#N/A</v>
      </c>
      <c r="K4386" s="22" t="e">
        <f>VLOOKUP($A4386, TAB_CORRECAO_C[[DIAS_CORRIDOS]:[V_FUT_UTEIS]],K$5, FALSE)</f>
        <v>#N/A</v>
      </c>
      <c r="L4386" s="22" t="e">
        <f>VLOOKUP($A4386, TAB_AMORTIZACAO_C[[DIAS_CORRIDOS]:[V_FUT_UTEIS]], L$5, FALSE)</f>
        <v>#N/A</v>
      </c>
    </row>
    <row r="4387" spans="1:12" hidden="1">
      <c r="A4387" s="19">
        <f t="shared" si="349"/>
        <v>4381</v>
      </c>
      <c r="B4387" s="20">
        <f t="shared" si="345"/>
        <v>0</v>
      </c>
      <c r="C4387" s="21">
        <f t="shared" si="346"/>
        <v>0</v>
      </c>
      <c r="D4387" s="22" t="e">
        <f>VLOOKUP($A4387, TAB_JUROS_U[[Q_DIAS_U_PARC_TIR]:[V_FUT_U_JURS CENARIO]], D$5, FALSE)</f>
        <v>#N/A</v>
      </c>
      <c r="E4387" s="22" t="e">
        <f>VLOOKUP($A4387,TAB_CORRECAO_U[[Q_DIAS_U_PARC_TIR]:[V_FUT_U_CORC-02]],E$5, FALSE)</f>
        <v>#N/A</v>
      </c>
      <c r="F4387" s="22" t="e">
        <f>VLOOKUP($A4387,TAB_AMORTIZACAO_U[[Q_DIAS_U_PARC_TIR]:[V_FUT_U_PCPL-02]], F$5, FALSE)</f>
        <v>#N/A</v>
      </c>
      <c r="H4387" s="20">
        <f t="shared" si="347"/>
        <v>0</v>
      </c>
      <c r="I4387" s="21">
        <f t="shared" si="348"/>
        <v>0</v>
      </c>
      <c r="J4387" s="22" t="e">
        <f>VLOOKUP($A4387, TAB_JUROS_C[[DIAS_CORRIDOS]:[V_FUT_UTEIS]], J$5, FALSE)</f>
        <v>#N/A</v>
      </c>
      <c r="K4387" s="22" t="e">
        <f>VLOOKUP($A4387, TAB_CORRECAO_C[[DIAS_CORRIDOS]:[V_FUT_UTEIS]],K$5, FALSE)</f>
        <v>#N/A</v>
      </c>
      <c r="L4387" s="22" t="e">
        <f>VLOOKUP($A4387, TAB_AMORTIZACAO_C[[DIAS_CORRIDOS]:[V_FUT_UTEIS]], L$5, FALSE)</f>
        <v>#N/A</v>
      </c>
    </row>
    <row r="4388" spans="1:12" hidden="1">
      <c r="A4388" s="19">
        <f t="shared" si="349"/>
        <v>4382</v>
      </c>
      <c r="B4388" s="20">
        <f t="shared" si="345"/>
        <v>0</v>
      </c>
      <c r="C4388" s="21">
        <f t="shared" si="346"/>
        <v>0</v>
      </c>
      <c r="D4388" s="22" t="e">
        <f>VLOOKUP($A4388, TAB_JUROS_U[[Q_DIAS_U_PARC_TIR]:[V_FUT_U_JURS CENARIO]], D$5, FALSE)</f>
        <v>#N/A</v>
      </c>
      <c r="E4388" s="22" t="e">
        <f>VLOOKUP($A4388,TAB_CORRECAO_U[[Q_DIAS_U_PARC_TIR]:[V_FUT_U_CORC-02]],E$5, FALSE)</f>
        <v>#N/A</v>
      </c>
      <c r="F4388" s="22" t="e">
        <f>VLOOKUP($A4388,TAB_AMORTIZACAO_U[[Q_DIAS_U_PARC_TIR]:[V_FUT_U_PCPL-02]], F$5, FALSE)</f>
        <v>#N/A</v>
      </c>
      <c r="H4388" s="20">
        <f t="shared" si="347"/>
        <v>0</v>
      </c>
      <c r="I4388" s="21">
        <f t="shared" si="348"/>
        <v>0</v>
      </c>
      <c r="J4388" s="22" t="e">
        <f>VLOOKUP($A4388, TAB_JUROS_C[[DIAS_CORRIDOS]:[V_FUT_UTEIS]], J$5, FALSE)</f>
        <v>#N/A</v>
      </c>
      <c r="K4388" s="22" t="e">
        <f>VLOOKUP($A4388, TAB_CORRECAO_C[[DIAS_CORRIDOS]:[V_FUT_UTEIS]],K$5, FALSE)</f>
        <v>#N/A</v>
      </c>
      <c r="L4388" s="22" t="e">
        <f>VLOOKUP($A4388, TAB_AMORTIZACAO_C[[DIAS_CORRIDOS]:[V_FUT_UTEIS]], L$5, FALSE)</f>
        <v>#N/A</v>
      </c>
    </row>
    <row r="4389" spans="1:12" hidden="1">
      <c r="A4389" s="19">
        <f t="shared" si="349"/>
        <v>4383</v>
      </c>
      <c r="B4389" s="20">
        <f t="shared" si="345"/>
        <v>0</v>
      </c>
      <c r="C4389" s="21">
        <f t="shared" si="346"/>
        <v>0</v>
      </c>
      <c r="D4389" s="22" t="e">
        <f>VLOOKUP($A4389, TAB_JUROS_U[[Q_DIAS_U_PARC_TIR]:[V_FUT_U_JURS CENARIO]], D$5, FALSE)</f>
        <v>#N/A</v>
      </c>
      <c r="E4389" s="22" t="e">
        <f>VLOOKUP($A4389,TAB_CORRECAO_U[[Q_DIAS_U_PARC_TIR]:[V_FUT_U_CORC-02]],E$5, FALSE)</f>
        <v>#N/A</v>
      </c>
      <c r="F4389" s="22" t="e">
        <f>VLOOKUP($A4389,TAB_AMORTIZACAO_U[[Q_DIAS_U_PARC_TIR]:[V_FUT_U_PCPL-02]], F$5, FALSE)</f>
        <v>#N/A</v>
      </c>
      <c r="H4389" s="20">
        <f t="shared" si="347"/>
        <v>0</v>
      </c>
      <c r="I4389" s="21">
        <f t="shared" si="348"/>
        <v>0</v>
      </c>
      <c r="J4389" s="22" t="e">
        <f>VLOOKUP($A4389, TAB_JUROS_C[[DIAS_CORRIDOS]:[V_FUT_UTEIS]], J$5, FALSE)</f>
        <v>#N/A</v>
      </c>
      <c r="K4389" s="22" t="e">
        <f>VLOOKUP($A4389, TAB_CORRECAO_C[[DIAS_CORRIDOS]:[V_FUT_UTEIS]],K$5, FALSE)</f>
        <v>#N/A</v>
      </c>
      <c r="L4389" s="22" t="e">
        <f>VLOOKUP($A4389, TAB_AMORTIZACAO_C[[DIAS_CORRIDOS]:[V_FUT_UTEIS]], L$5, FALSE)</f>
        <v>#N/A</v>
      </c>
    </row>
    <row r="4390" spans="1:12" hidden="1">
      <c r="A4390" s="19">
        <f t="shared" si="349"/>
        <v>4384</v>
      </c>
      <c r="B4390" s="20">
        <f t="shared" si="345"/>
        <v>0</v>
      </c>
      <c r="C4390" s="21">
        <f t="shared" si="346"/>
        <v>0</v>
      </c>
      <c r="D4390" s="22" t="e">
        <f>VLOOKUP($A4390, TAB_JUROS_U[[Q_DIAS_U_PARC_TIR]:[V_FUT_U_JURS CENARIO]], D$5, FALSE)</f>
        <v>#N/A</v>
      </c>
      <c r="E4390" s="22" t="e">
        <f>VLOOKUP($A4390,TAB_CORRECAO_U[[Q_DIAS_U_PARC_TIR]:[V_FUT_U_CORC-02]],E$5, FALSE)</f>
        <v>#N/A</v>
      </c>
      <c r="F4390" s="22" t="e">
        <f>VLOOKUP($A4390,TAB_AMORTIZACAO_U[[Q_DIAS_U_PARC_TIR]:[V_FUT_U_PCPL-02]], F$5, FALSE)</f>
        <v>#N/A</v>
      </c>
      <c r="H4390" s="20">
        <f t="shared" si="347"/>
        <v>0</v>
      </c>
      <c r="I4390" s="21">
        <f t="shared" si="348"/>
        <v>0</v>
      </c>
      <c r="J4390" s="22" t="e">
        <f>VLOOKUP($A4390, TAB_JUROS_C[[DIAS_CORRIDOS]:[V_FUT_UTEIS]], J$5, FALSE)</f>
        <v>#N/A</v>
      </c>
      <c r="K4390" s="22" t="e">
        <f>VLOOKUP($A4390, TAB_CORRECAO_C[[DIAS_CORRIDOS]:[V_FUT_UTEIS]],K$5, FALSE)</f>
        <v>#N/A</v>
      </c>
      <c r="L4390" s="22" t="e">
        <f>VLOOKUP($A4390, TAB_AMORTIZACAO_C[[DIAS_CORRIDOS]:[V_FUT_UTEIS]], L$5, FALSE)</f>
        <v>#N/A</v>
      </c>
    </row>
    <row r="4391" spans="1:12" hidden="1">
      <c r="A4391" s="19">
        <f t="shared" si="349"/>
        <v>4385</v>
      </c>
      <c r="B4391" s="20">
        <f t="shared" si="345"/>
        <v>0</v>
      </c>
      <c r="C4391" s="21">
        <f t="shared" si="346"/>
        <v>0</v>
      </c>
      <c r="D4391" s="22" t="e">
        <f>VLOOKUP($A4391, TAB_JUROS_U[[Q_DIAS_U_PARC_TIR]:[V_FUT_U_JURS CENARIO]], D$5, FALSE)</f>
        <v>#N/A</v>
      </c>
      <c r="E4391" s="22" t="e">
        <f>VLOOKUP($A4391,TAB_CORRECAO_U[[Q_DIAS_U_PARC_TIR]:[V_FUT_U_CORC-02]],E$5, FALSE)</f>
        <v>#N/A</v>
      </c>
      <c r="F4391" s="22" t="e">
        <f>VLOOKUP($A4391,TAB_AMORTIZACAO_U[[Q_DIAS_U_PARC_TIR]:[V_FUT_U_PCPL-02]], F$5, FALSE)</f>
        <v>#N/A</v>
      </c>
      <c r="H4391" s="20">
        <f t="shared" si="347"/>
        <v>0</v>
      </c>
      <c r="I4391" s="21">
        <f t="shared" si="348"/>
        <v>0</v>
      </c>
      <c r="J4391" s="22" t="e">
        <f>VLOOKUP($A4391, TAB_JUROS_C[[DIAS_CORRIDOS]:[V_FUT_UTEIS]], J$5, FALSE)</f>
        <v>#N/A</v>
      </c>
      <c r="K4391" s="22" t="e">
        <f>VLOOKUP($A4391, TAB_CORRECAO_C[[DIAS_CORRIDOS]:[V_FUT_UTEIS]],K$5, FALSE)</f>
        <v>#N/A</v>
      </c>
      <c r="L4391" s="22" t="e">
        <f>VLOOKUP($A4391, TAB_AMORTIZACAO_C[[DIAS_CORRIDOS]:[V_FUT_UTEIS]], L$5, FALSE)</f>
        <v>#N/A</v>
      </c>
    </row>
    <row r="4392" spans="1:12" hidden="1">
      <c r="A4392" s="19">
        <f t="shared" si="349"/>
        <v>4386</v>
      </c>
      <c r="B4392" s="20">
        <f t="shared" si="345"/>
        <v>0</v>
      </c>
      <c r="C4392" s="21">
        <f t="shared" si="346"/>
        <v>0</v>
      </c>
      <c r="D4392" s="22" t="e">
        <f>VLOOKUP($A4392, TAB_JUROS_U[[Q_DIAS_U_PARC_TIR]:[V_FUT_U_JURS CENARIO]], D$5, FALSE)</f>
        <v>#N/A</v>
      </c>
      <c r="E4392" s="22" t="e">
        <f>VLOOKUP($A4392,TAB_CORRECAO_U[[Q_DIAS_U_PARC_TIR]:[V_FUT_U_CORC-02]],E$5, FALSE)</f>
        <v>#N/A</v>
      </c>
      <c r="F4392" s="22" t="e">
        <f>VLOOKUP($A4392,TAB_AMORTIZACAO_U[[Q_DIAS_U_PARC_TIR]:[V_FUT_U_PCPL-02]], F$5, FALSE)</f>
        <v>#N/A</v>
      </c>
      <c r="H4392" s="20">
        <f t="shared" si="347"/>
        <v>0</v>
      </c>
      <c r="I4392" s="21">
        <f t="shared" si="348"/>
        <v>0</v>
      </c>
      <c r="J4392" s="22" t="e">
        <f>VLOOKUP($A4392, TAB_JUROS_C[[DIAS_CORRIDOS]:[V_FUT_UTEIS]], J$5, FALSE)</f>
        <v>#N/A</v>
      </c>
      <c r="K4392" s="22" t="e">
        <f>VLOOKUP($A4392, TAB_CORRECAO_C[[DIAS_CORRIDOS]:[V_FUT_UTEIS]],K$5, FALSE)</f>
        <v>#N/A</v>
      </c>
      <c r="L4392" s="22" t="e">
        <f>VLOOKUP($A4392, TAB_AMORTIZACAO_C[[DIAS_CORRIDOS]:[V_FUT_UTEIS]], L$5, FALSE)</f>
        <v>#N/A</v>
      </c>
    </row>
    <row r="4393" spans="1:12" hidden="1">
      <c r="A4393" s="19">
        <f t="shared" si="349"/>
        <v>4387</v>
      </c>
      <c r="B4393" s="20">
        <f t="shared" si="345"/>
        <v>0</v>
      </c>
      <c r="C4393" s="21">
        <f t="shared" si="346"/>
        <v>0</v>
      </c>
      <c r="D4393" s="22" t="e">
        <f>VLOOKUP($A4393, TAB_JUROS_U[[Q_DIAS_U_PARC_TIR]:[V_FUT_U_JURS CENARIO]], D$5, FALSE)</f>
        <v>#N/A</v>
      </c>
      <c r="E4393" s="22" t="e">
        <f>VLOOKUP($A4393,TAB_CORRECAO_U[[Q_DIAS_U_PARC_TIR]:[V_FUT_U_CORC-02]],E$5, FALSE)</f>
        <v>#N/A</v>
      </c>
      <c r="F4393" s="22" t="e">
        <f>VLOOKUP($A4393,TAB_AMORTIZACAO_U[[Q_DIAS_U_PARC_TIR]:[V_FUT_U_PCPL-02]], F$5, FALSE)</f>
        <v>#N/A</v>
      </c>
      <c r="H4393" s="20">
        <f t="shared" si="347"/>
        <v>0</v>
      </c>
      <c r="I4393" s="21">
        <f t="shared" si="348"/>
        <v>0</v>
      </c>
      <c r="J4393" s="22" t="e">
        <f>VLOOKUP($A4393, TAB_JUROS_C[[DIAS_CORRIDOS]:[V_FUT_UTEIS]], J$5, FALSE)</f>
        <v>#N/A</v>
      </c>
      <c r="K4393" s="22" t="e">
        <f>VLOOKUP($A4393, TAB_CORRECAO_C[[DIAS_CORRIDOS]:[V_FUT_UTEIS]],K$5, FALSE)</f>
        <v>#N/A</v>
      </c>
      <c r="L4393" s="22" t="e">
        <f>VLOOKUP($A4393, TAB_AMORTIZACAO_C[[DIAS_CORRIDOS]:[V_FUT_UTEIS]], L$5, FALSE)</f>
        <v>#N/A</v>
      </c>
    </row>
    <row r="4394" spans="1:12" hidden="1">
      <c r="A4394" s="19">
        <f t="shared" si="349"/>
        <v>4388</v>
      </c>
      <c r="B4394" s="20">
        <f t="shared" si="345"/>
        <v>0</v>
      </c>
      <c r="C4394" s="21">
        <f t="shared" si="346"/>
        <v>0</v>
      </c>
      <c r="D4394" s="22" t="e">
        <f>VLOOKUP($A4394, TAB_JUROS_U[[Q_DIAS_U_PARC_TIR]:[V_FUT_U_JURS CENARIO]], D$5, FALSE)</f>
        <v>#N/A</v>
      </c>
      <c r="E4394" s="22" t="e">
        <f>VLOOKUP($A4394,TAB_CORRECAO_U[[Q_DIAS_U_PARC_TIR]:[V_FUT_U_CORC-02]],E$5, FALSE)</f>
        <v>#N/A</v>
      </c>
      <c r="F4394" s="22" t="e">
        <f>VLOOKUP($A4394,TAB_AMORTIZACAO_U[[Q_DIAS_U_PARC_TIR]:[V_FUT_U_PCPL-02]], F$5, FALSE)</f>
        <v>#N/A</v>
      </c>
      <c r="H4394" s="20">
        <f t="shared" si="347"/>
        <v>0</v>
      </c>
      <c r="I4394" s="21">
        <f t="shared" si="348"/>
        <v>0</v>
      </c>
      <c r="J4394" s="22" t="e">
        <f>VLOOKUP($A4394, TAB_JUROS_C[[DIAS_CORRIDOS]:[V_FUT_UTEIS]], J$5, FALSE)</f>
        <v>#N/A</v>
      </c>
      <c r="K4394" s="22" t="e">
        <f>VLOOKUP($A4394, TAB_CORRECAO_C[[DIAS_CORRIDOS]:[V_FUT_UTEIS]],K$5, FALSE)</f>
        <v>#N/A</v>
      </c>
      <c r="L4394" s="22" t="e">
        <f>VLOOKUP($A4394, TAB_AMORTIZACAO_C[[DIAS_CORRIDOS]:[V_FUT_UTEIS]], L$5, FALSE)</f>
        <v>#N/A</v>
      </c>
    </row>
    <row r="4395" spans="1:12" hidden="1">
      <c r="A4395" s="19">
        <f t="shared" si="349"/>
        <v>4389</v>
      </c>
      <c r="B4395" s="20">
        <f t="shared" si="345"/>
        <v>0</v>
      </c>
      <c r="C4395" s="21">
        <f t="shared" si="346"/>
        <v>0</v>
      </c>
      <c r="D4395" s="22" t="e">
        <f>VLOOKUP($A4395, TAB_JUROS_U[[Q_DIAS_U_PARC_TIR]:[V_FUT_U_JURS CENARIO]], D$5, FALSE)</f>
        <v>#N/A</v>
      </c>
      <c r="E4395" s="22" t="e">
        <f>VLOOKUP($A4395,TAB_CORRECAO_U[[Q_DIAS_U_PARC_TIR]:[V_FUT_U_CORC-02]],E$5, FALSE)</f>
        <v>#N/A</v>
      </c>
      <c r="F4395" s="22" t="e">
        <f>VLOOKUP($A4395,TAB_AMORTIZACAO_U[[Q_DIAS_U_PARC_TIR]:[V_FUT_U_PCPL-02]], F$5, FALSE)</f>
        <v>#N/A</v>
      </c>
      <c r="H4395" s="20">
        <f t="shared" si="347"/>
        <v>0</v>
      </c>
      <c r="I4395" s="21">
        <f t="shared" si="348"/>
        <v>0</v>
      </c>
      <c r="J4395" s="22" t="e">
        <f>VLOOKUP($A4395, TAB_JUROS_C[[DIAS_CORRIDOS]:[V_FUT_UTEIS]], J$5, FALSE)</f>
        <v>#N/A</v>
      </c>
      <c r="K4395" s="22" t="e">
        <f>VLOOKUP($A4395, TAB_CORRECAO_C[[DIAS_CORRIDOS]:[V_FUT_UTEIS]],K$5, FALSE)</f>
        <v>#N/A</v>
      </c>
      <c r="L4395" s="22" t="e">
        <f>VLOOKUP($A4395, TAB_AMORTIZACAO_C[[DIAS_CORRIDOS]:[V_FUT_UTEIS]], L$5, FALSE)</f>
        <v>#N/A</v>
      </c>
    </row>
    <row r="4396" spans="1:12" hidden="1">
      <c r="A4396" s="19">
        <f t="shared" si="349"/>
        <v>4390</v>
      </c>
      <c r="B4396" s="20">
        <f t="shared" si="345"/>
        <v>0</v>
      </c>
      <c r="C4396" s="21">
        <f t="shared" si="346"/>
        <v>0</v>
      </c>
      <c r="D4396" s="22" t="e">
        <f>VLOOKUP($A4396, TAB_JUROS_U[[Q_DIAS_U_PARC_TIR]:[V_FUT_U_JURS CENARIO]], D$5, FALSE)</f>
        <v>#N/A</v>
      </c>
      <c r="E4396" s="22" t="e">
        <f>VLOOKUP($A4396,TAB_CORRECAO_U[[Q_DIAS_U_PARC_TIR]:[V_FUT_U_CORC-02]],E$5, FALSE)</f>
        <v>#N/A</v>
      </c>
      <c r="F4396" s="22" t="e">
        <f>VLOOKUP($A4396,TAB_AMORTIZACAO_U[[Q_DIAS_U_PARC_TIR]:[V_FUT_U_PCPL-02]], F$5, FALSE)</f>
        <v>#N/A</v>
      </c>
      <c r="H4396" s="20">
        <f t="shared" si="347"/>
        <v>0</v>
      </c>
      <c r="I4396" s="21">
        <f t="shared" si="348"/>
        <v>0</v>
      </c>
      <c r="J4396" s="22" t="e">
        <f>VLOOKUP($A4396, TAB_JUROS_C[[DIAS_CORRIDOS]:[V_FUT_UTEIS]], J$5, FALSE)</f>
        <v>#N/A</v>
      </c>
      <c r="K4396" s="22" t="e">
        <f>VLOOKUP($A4396, TAB_CORRECAO_C[[DIAS_CORRIDOS]:[V_FUT_UTEIS]],K$5, FALSE)</f>
        <v>#N/A</v>
      </c>
      <c r="L4396" s="22" t="e">
        <f>VLOOKUP($A4396, TAB_AMORTIZACAO_C[[DIAS_CORRIDOS]:[V_FUT_UTEIS]], L$5, FALSE)</f>
        <v>#N/A</v>
      </c>
    </row>
    <row r="4397" spans="1:12" hidden="1">
      <c r="A4397" s="19">
        <f t="shared" si="349"/>
        <v>4391</v>
      </c>
      <c r="B4397" s="20">
        <f t="shared" si="345"/>
        <v>0</v>
      </c>
      <c r="C4397" s="21">
        <f t="shared" si="346"/>
        <v>0</v>
      </c>
      <c r="D4397" s="22" t="e">
        <f>VLOOKUP($A4397, TAB_JUROS_U[[Q_DIAS_U_PARC_TIR]:[V_FUT_U_JURS CENARIO]], D$5, FALSE)</f>
        <v>#N/A</v>
      </c>
      <c r="E4397" s="22" t="e">
        <f>VLOOKUP($A4397,TAB_CORRECAO_U[[Q_DIAS_U_PARC_TIR]:[V_FUT_U_CORC-02]],E$5, FALSE)</f>
        <v>#N/A</v>
      </c>
      <c r="F4397" s="22" t="e">
        <f>VLOOKUP($A4397,TAB_AMORTIZACAO_U[[Q_DIAS_U_PARC_TIR]:[V_FUT_U_PCPL-02]], F$5, FALSE)</f>
        <v>#N/A</v>
      </c>
      <c r="H4397" s="20">
        <f t="shared" si="347"/>
        <v>0</v>
      </c>
      <c r="I4397" s="21">
        <f t="shared" si="348"/>
        <v>0</v>
      </c>
      <c r="J4397" s="22" t="e">
        <f>VLOOKUP($A4397, TAB_JUROS_C[[DIAS_CORRIDOS]:[V_FUT_UTEIS]], J$5, FALSE)</f>
        <v>#N/A</v>
      </c>
      <c r="K4397" s="22" t="e">
        <f>VLOOKUP($A4397, TAB_CORRECAO_C[[DIAS_CORRIDOS]:[V_FUT_UTEIS]],K$5, FALSE)</f>
        <v>#N/A</v>
      </c>
      <c r="L4397" s="22" t="e">
        <f>VLOOKUP($A4397, TAB_AMORTIZACAO_C[[DIAS_CORRIDOS]:[V_FUT_UTEIS]], L$5, FALSE)</f>
        <v>#N/A</v>
      </c>
    </row>
    <row r="4398" spans="1:12" hidden="1">
      <c r="A4398" s="19">
        <f t="shared" si="349"/>
        <v>4392</v>
      </c>
      <c r="B4398" s="20">
        <f t="shared" si="345"/>
        <v>0</v>
      </c>
      <c r="C4398" s="21">
        <f t="shared" si="346"/>
        <v>0</v>
      </c>
      <c r="D4398" s="22" t="e">
        <f>VLOOKUP($A4398, TAB_JUROS_U[[Q_DIAS_U_PARC_TIR]:[V_FUT_U_JURS CENARIO]], D$5, FALSE)</f>
        <v>#N/A</v>
      </c>
      <c r="E4398" s="22" t="e">
        <f>VLOOKUP($A4398,TAB_CORRECAO_U[[Q_DIAS_U_PARC_TIR]:[V_FUT_U_CORC-02]],E$5, FALSE)</f>
        <v>#N/A</v>
      </c>
      <c r="F4398" s="22" t="e">
        <f>VLOOKUP($A4398,TAB_AMORTIZACAO_U[[Q_DIAS_U_PARC_TIR]:[V_FUT_U_PCPL-02]], F$5, FALSE)</f>
        <v>#N/A</v>
      </c>
      <c r="H4398" s="20">
        <f t="shared" si="347"/>
        <v>0</v>
      </c>
      <c r="I4398" s="21">
        <f t="shared" si="348"/>
        <v>0</v>
      </c>
      <c r="J4398" s="22" t="e">
        <f>VLOOKUP($A4398, TAB_JUROS_C[[DIAS_CORRIDOS]:[V_FUT_UTEIS]], J$5, FALSE)</f>
        <v>#N/A</v>
      </c>
      <c r="K4398" s="22" t="e">
        <f>VLOOKUP($A4398, TAB_CORRECAO_C[[DIAS_CORRIDOS]:[V_FUT_UTEIS]],K$5, FALSE)</f>
        <v>#N/A</v>
      </c>
      <c r="L4398" s="22" t="e">
        <f>VLOOKUP($A4398, TAB_AMORTIZACAO_C[[DIAS_CORRIDOS]:[V_FUT_UTEIS]], L$5, FALSE)</f>
        <v>#N/A</v>
      </c>
    </row>
    <row r="4399" spans="1:12" hidden="1">
      <c r="A4399" s="19">
        <f t="shared" si="349"/>
        <v>4393</v>
      </c>
      <c r="B4399" s="20">
        <f t="shared" si="345"/>
        <v>0</v>
      </c>
      <c r="C4399" s="21">
        <f t="shared" si="346"/>
        <v>0</v>
      </c>
      <c r="D4399" s="22" t="e">
        <f>VLOOKUP($A4399, TAB_JUROS_U[[Q_DIAS_U_PARC_TIR]:[V_FUT_U_JURS CENARIO]], D$5, FALSE)</f>
        <v>#N/A</v>
      </c>
      <c r="E4399" s="22" t="e">
        <f>VLOOKUP($A4399,TAB_CORRECAO_U[[Q_DIAS_U_PARC_TIR]:[V_FUT_U_CORC-02]],E$5, FALSE)</f>
        <v>#N/A</v>
      </c>
      <c r="F4399" s="22" t="e">
        <f>VLOOKUP($A4399,TAB_AMORTIZACAO_U[[Q_DIAS_U_PARC_TIR]:[V_FUT_U_PCPL-02]], F$5, FALSE)</f>
        <v>#N/A</v>
      </c>
      <c r="H4399" s="20">
        <f t="shared" si="347"/>
        <v>0</v>
      </c>
      <c r="I4399" s="21">
        <f t="shared" si="348"/>
        <v>0</v>
      </c>
      <c r="J4399" s="22" t="e">
        <f>VLOOKUP($A4399, TAB_JUROS_C[[DIAS_CORRIDOS]:[V_FUT_UTEIS]], J$5, FALSE)</f>
        <v>#N/A</v>
      </c>
      <c r="K4399" s="22" t="e">
        <f>VLOOKUP($A4399, TAB_CORRECAO_C[[DIAS_CORRIDOS]:[V_FUT_UTEIS]],K$5, FALSE)</f>
        <v>#N/A</v>
      </c>
      <c r="L4399" s="22" t="e">
        <f>VLOOKUP($A4399, TAB_AMORTIZACAO_C[[DIAS_CORRIDOS]:[V_FUT_UTEIS]], L$5, FALSE)</f>
        <v>#N/A</v>
      </c>
    </row>
    <row r="4400" spans="1:12" hidden="1">
      <c r="A4400" s="19">
        <f t="shared" si="349"/>
        <v>4394</v>
      </c>
      <c r="B4400" s="20">
        <f t="shared" si="345"/>
        <v>0</v>
      </c>
      <c r="C4400" s="21">
        <f t="shared" si="346"/>
        <v>0</v>
      </c>
      <c r="D4400" s="22" t="e">
        <f>VLOOKUP($A4400, TAB_JUROS_U[[Q_DIAS_U_PARC_TIR]:[V_FUT_U_JURS CENARIO]], D$5, FALSE)</f>
        <v>#N/A</v>
      </c>
      <c r="E4400" s="22" t="e">
        <f>VLOOKUP($A4400,TAB_CORRECAO_U[[Q_DIAS_U_PARC_TIR]:[V_FUT_U_CORC-02]],E$5, FALSE)</f>
        <v>#N/A</v>
      </c>
      <c r="F4400" s="22" t="e">
        <f>VLOOKUP($A4400,TAB_AMORTIZACAO_U[[Q_DIAS_U_PARC_TIR]:[V_FUT_U_PCPL-02]], F$5, FALSE)</f>
        <v>#N/A</v>
      </c>
      <c r="H4400" s="20">
        <f t="shared" si="347"/>
        <v>0</v>
      </c>
      <c r="I4400" s="21">
        <f t="shared" si="348"/>
        <v>0</v>
      </c>
      <c r="J4400" s="22" t="e">
        <f>VLOOKUP($A4400, TAB_JUROS_C[[DIAS_CORRIDOS]:[V_FUT_UTEIS]], J$5, FALSE)</f>
        <v>#N/A</v>
      </c>
      <c r="K4400" s="22" t="e">
        <f>VLOOKUP($A4400, TAB_CORRECAO_C[[DIAS_CORRIDOS]:[V_FUT_UTEIS]],K$5, FALSE)</f>
        <v>#N/A</v>
      </c>
      <c r="L4400" s="22" t="e">
        <f>VLOOKUP($A4400, TAB_AMORTIZACAO_C[[DIAS_CORRIDOS]:[V_FUT_UTEIS]], L$5, FALSE)</f>
        <v>#N/A</v>
      </c>
    </row>
    <row r="4401" spans="1:12" hidden="1">
      <c r="A4401" s="19">
        <f t="shared" si="349"/>
        <v>4395</v>
      </c>
      <c r="B4401" s="20">
        <f t="shared" si="345"/>
        <v>0</v>
      </c>
      <c r="C4401" s="21">
        <f t="shared" si="346"/>
        <v>0</v>
      </c>
      <c r="D4401" s="22" t="e">
        <f>VLOOKUP($A4401, TAB_JUROS_U[[Q_DIAS_U_PARC_TIR]:[V_FUT_U_JURS CENARIO]], D$5, FALSE)</f>
        <v>#N/A</v>
      </c>
      <c r="E4401" s="22" t="e">
        <f>VLOOKUP($A4401,TAB_CORRECAO_U[[Q_DIAS_U_PARC_TIR]:[V_FUT_U_CORC-02]],E$5, FALSE)</f>
        <v>#N/A</v>
      </c>
      <c r="F4401" s="22" t="e">
        <f>VLOOKUP($A4401,TAB_AMORTIZACAO_U[[Q_DIAS_U_PARC_TIR]:[V_FUT_U_PCPL-02]], F$5, FALSE)</f>
        <v>#N/A</v>
      </c>
      <c r="H4401" s="20">
        <f t="shared" si="347"/>
        <v>0</v>
      </c>
      <c r="I4401" s="21">
        <f t="shared" si="348"/>
        <v>0</v>
      </c>
      <c r="J4401" s="22" t="e">
        <f>VLOOKUP($A4401, TAB_JUROS_C[[DIAS_CORRIDOS]:[V_FUT_UTEIS]], J$5, FALSE)</f>
        <v>#N/A</v>
      </c>
      <c r="K4401" s="22" t="e">
        <f>VLOOKUP($A4401, TAB_CORRECAO_C[[DIAS_CORRIDOS]:[V_FUT_UTEIS]],K$5, FALSE)</f>
        <v>#N/A</v>
      </c>
      <c r="L4401" s="22" t="e">
        <f>VLOOKUP($A4401, TAB_AMORTIZACAO_C[[DIAS_CORRIDOS]:[V_FUT_UTEIS]], L$5, FALSE)</f>
        <v>#N/A</v>
      </c>
    </row>
    <row r="4402" spans="1:12" hidden="1">
      <c r="A4402" s="19">
        <f t="shared" si="349"/>
        <v>4396</v>
      </c>
      <c r="B4402" s="20">
        <f t="shared" si="345"/>
        <v>0</v>
      </c>
      <c r="C4402" s="21">
        <f t="shared" si="346"/>
        <v>0</v>
      </c>
      <c r="D4402" s="22" t="e">
        <f>VLOOKUP($A4402, TAB_JUROS_U[[Q_DIAS_U_PARC_TIR]:[V_FUT_U_JURS CENARIO]], D$5, FALSE)</f>
        <v>#N/A</v>
      </c>
      <c r="E4402" s="22" t="e">
        <f>VLOOKUP($A4402,TAB_CORRECAO_U[[Q_DIAS_U_PARC_TIR]:[V_FUT_U_CORC-02]],E$5, FALSE)</f>
        <v>#N/A</v>
      </c>
      <c r="F4402" s="22" t="e">
        <f>VLOOKUP($A4402,TAB_AMORTIZACAO_U[[Q_DIAS_U_PARC_TIR]:[V_FUT_U_PCPL-02]], F$5, FALSE)</f>
        <v>#N/A</v>
      </c>
      <c r="H4402" s="20">
        <f t="shared" si="347"/>
        <v>0</v>
      </c>
      <c r="I4402" s="21">
        <f t="shared" si="348"/>
        <v>0</v>
      </c>
      <c r="J4402" s="22" t="e">
        <f>VLOOKUP($A4402, TAB_JUROS_C[[DIAS_CORRIDOS]:[V_FUT_UTEIS]], J$5, FALSE)</f>
        <v>#N/A</v>
      </c>
      <c r="K4402" s="22" t="e">
        <f>VLOOKUP($A4402, TAB_CORRECAO_C[[DIAS_CORRIDOS]:[V_FUT_UTEIS]],K$5, FALSE)</f>
        <v>#N/A</v>
      </c>
      <c r="L4402" s="22" t="e">
        <f>VLOOKUP($A4402, TAB_AMORTIZACAO_C[[DIAS_CORRIDOS]:[V_FUT_UTEIS]], L$5, FALSE)</f>
        <v>#N/A</v>
      </c>
    </row>
    <row r="4403" spans="1:12" hidden="1">
      <c r="A4403" s="19">
        <f t="shared" si="349"/>
        <v>4397</v>
      </c>
      <c r="B4403" s="20">
        <f t="shared" si="345"/>
        <v>0</v>
      </c>
      <c r="C4403" s="21">
        <f t="shared" si="346"/>
        <v>0</v>
      </c>
      <c r="D4403" s="22" t="e">
        <f>VLOOKUP($A4403, TAB_JUROS_U[[Q_DIAS_U_PARC_TIR]:[V_FUT_U_JURS CENARIO]], D$5, FALSE)</f>
        <v>#N/A</v>
      </c>
      <c r="E4403" s="22" t="e">
        <f>VLOOKUP($A4403,TAB_CORRECAO_U[[Q_DIAS_U_PARC_TIR]:[V_FUT_U_CORC-02]],E$5, FALSE)</f>
        <v>#N/A</v>
      </c>
      <c r="F4403" s="22" t="e">
        <f>VLOOKUP($A4403,TAB_AMORTIZACAO_U[[Q_DIAS_U_PARC_TIR]:[V_FUT_U_PCPL-02]], F$5, FALSE)</f>
        <v>#N/A</v>
      </c>
      <c r="H4403" s="20">
        <f t="shared" si="347"/>
        <v>0</v>
      </c>
      <c r="I4403" s="21">
        <f t="shared" si="348"/>
        <v>0</v>
      </c>
      <c r="J4403" s="22" t="e">
        <f>VLOOKUP($A4403, TAB_JUROS_C[[DIAS_CORRIDOS]:[V_FUT_UTEIS]], J$5, FALSE)</f>
        <v>#N/A</v>
      </c>
      <c r="K4403" s="22" t="e">
        <f>VLOOKUP($A4403, TAB_CORRECAO_C[[DIAS_CORRIDOS]:[V_FUT_UTEIS]],K$5, FALSE)</f>
        <v>#N/A</v>
      </c>
      <c r="L4403" s="22" t="e">
        <f>VLOOKUP($A4403, TAB_AMORTIZACAO_C[[DIAS_CORRIDOS]:[V_FUT_UTEIS]], L$5, FALSE)</f>
        <v>#N/A</v>
      </c>
    </row>
    <row r="4404" spans="1:12" hidden="1">
      <c r="A4404" s="19">
        <f t="shared" si="349"/>
        <v>4398</v>
      </c>
      <c r="B4404" s="20">
        <f t="shared" si="345"/>
        <v>0</v>
      </c>
      <c r="C4404" s="21">
        <f t="shared" si="346"/>
        <v>0</v>
      </c>
      <c r="D4404" s="22" t="e">
        <f>VLOOKUP($A4404, TAB_JUROS_U[[Q_DIAS_U_PARC_TIR]:[V_FUT_U_JURS CENARIO]], D$5, FALSE)</f>
        <v>#N/A</v>
      </c>
      <c r="E4404" s="22" t="e">
        <f>VLOOKUP($A4404,TAB_CORRECAO_U[[Q_DIAS_U_PARC_TIR]:[V_FUT_U_CORC-02]],E$5, FALSE)</f>
        <v>#N/A</v>
      </c>
      <c r="F4404" s="22" t="e">
        <f>VLOOKUP($A4404,TAB_AMORTIZACAO_U[[Q_DIAS_U_PARC_TIR]:[V_FUT_U_PCPL-02]], F$5, FALSE)</f>
        <v>#N/A</v>
      </c>
      <c r="H4404" s="20">
        <f t="shared" si="347"/>
        <v>0</v>
      </c>
      <c r="I4404" s="21">
        <f t="shared" si="348"/>
        <v>0</v>
      </c>
      <c r="J4404" s="22" t="e">
        <f>VLOOKUP($A4404, TAB_JUROS_C[[DIAS_CORRIDOS]:[V_FUT_UTEIS]], J$5, FALSE)</f>
        <v>#N/A</v>
      </c>
      <c r="K4404" s="22" t="e">
        <f>VLOOKUP($A4404, TAB_CORRECAO_C[[DIAS_CORRIDOS]:[V_FUT_UTEIS]],K$5, FALSE)</f>
        <v>#N/A</v>
      </c>
      <c r="L4404" s="22" t="e">
        <f>VLOOKUP($A4404, TAB_AMORTIZACAO_C[[DIAS_CORRIDOS]:[V_FUT_UTEIS]], L$5, FALSE)</f>
        <v>#N/A</v>
      </c>
    </row>
    <row r="4405" spans="1:12" hidden="1">
      <c r="A4405" s="19">
        <f t="shared" si="349"/>
        <v>4399</v>
      </c>
      <c r="B4405" s="20">
        <f t="shared" si="345"/>
        <v>0</v>
      </c>
      <c r="C4405" s="21">
        <f t="shared" si="346"/>
        <v>0</v>
      </c>
      <c r="D4405" s="22" t="e">
        <f>VLOOKUP($A4405, TAB_JUROS_U[[Q_DIAS_U_PARC_TIR]:[V_FUT_U_JURS CENARIO]], D$5, FALSE)</f>
        <v>#N/A</v>
      </c>
      <c r="E4405" s="22" t="e">
        <f>VLOOKUP($A4405,TAB_CORRECAO_U[[Q_DIAS_U_PARC_TIR]:[V_FUT_U_CORC-02]],E$5, FALSE)</f>
        <v>#N/A</v>
      </c>
      <c r="F4405" s="22" t="e">
        <f>VLOOKUP($A4405,TAB_AMORTIZACAO_U[[Q_DIAS_U_PARC_TIR]:[V_FUT_U_PCPL-02]], F$5, FALSE)</f>
        <v>#N/A</v>
      </c>
      <c r="H4405" s="20">
        <f t="shared" si="347"/>
        <v>0</v>
      </c>
      <c r="I4405" s="21">
        <f t="shared" si="348"/>
        <v>0</v>
      </c>
      <c r="J4405" s="22" t="e">
        <f>VLOOKUP($A4405, TAB_JUROS_C[[DIAS_CORRIDOS]:[V_FUT_UTEIS]], J$5, FALSE)</f>
        <v>#N/A</v>
      </c>
      <c r="K4405" s="22" t="e">
        <f>VLOOKUP($A4405, TAB_CORRECAO_C[[DIAS_CORRIDOS]:[V_FUT_UTEIS]],K$5, FALSE)</f>
        <v>#N/A</v>
      </c>
      <c r="L4405" s="22" t="e">
        <f>VLOOKUP($A4405, TAB_AMORTIZACAO_C[[DIAS_CORRIDOS]:[V_FUT_UTEIS]], L$5, FALSE)</f>
        <v>#N/A</v>
      </c>
    </row>
    <row r="4406" spans="1:12" hidden="1">
      <c r="A4406" s="19">
        <f t="shared" si="349"/>
        <v>4400</v>
      </c>
      <c r="B4406" s="20">
        <f t="shared" si="345"/>
        <v>0</v>
      </c>
      <c r="C4406" s="21">
        <f t="shared" si="346"/>
        <v>0</v>
      </c>
      <c r="D4406" s="22" t="e">
        <f>VLOOKUP($A4406, TAB_JUROS_U[[Q_DIAS_U_PARC_TIR]:[V_FUT_U_JURS CENARIO]], D$5, FALSE)</f>
        <v>#N/A</v>
      </c>
      <c r="E4406" s="22" t="e">
        <f>VLOOKUP($A4406,TAB_CORRECAO_U[[Q_DIAS_U_PARC_TIR]:[V_FUT_U_CORC-02]],E$5, FALSE)</f>
        <v>#N/A</v>
      </c>
      <c r="F4406" s="22" t="e">
        <f>VLOOKUP($A4406,TAB_AMORTIZACAO_U[[Q_DIAS_U_PARC_TIR]:[V_FUT_U_PCPL-02]], F$5, FALSE)</f>
        <v>#N/A</v>
      </c>
      <c r="H4406" s="20">
        <f t="shared" si="347"/>
        <v>0</v>
      </c>
      <c r="I4406" s="21">
        <f t="shared" si="348"/>
        <v>0</v>
      </c>
      <c r="J4406" s="22" t="e">
        <f>VLOOKUP($A4406, TAB_JUROS_C[[DIAS_CORRIDOS]:[V_FUT_UTEIS]], J$5, FALSE)</f>
        <v>#N/A</v>
      </c>
      <c r="K4406" s="22" t="e">
        <f>VLOOKUP($A4406, TAB_CORRECAO_C[[DIAS_CORRIDOS]:[V_FUT_UTEIS]],K$5, FALSE)</f>
        <v>#N/A</v>
      </c>
      <c r="L4406" s="22" t="e">
        <f>VLOOKUP($A4406, TAB_AMORTIZACAO_C[[DIAS_CORRIDOS]:[V_FUT_UTEIS]], L$5, FALSE)</f>
        <v>#N/A</v>
      </c>
    </row>
    <row r="4407" spans="1:12" hidden="1">
      <c r="A4407" s="19">
        <f t="shared" si="349"/>
        <v>4401</v>
      </c>
      <c r="B4407" s="20">
        <f t="shared" si="345"/>
        <v>0</v>
      </c>
      <c r="C4407" s="21">
        <f t="shared" si="346"/>
        <v>0</v>
      </c>
      <c r="D4407" s="22" t="e">
        <f>VLOOKUP($A4407, TAB_JUROS_U[[Q_DIAS_U_PARC_TIR]:[V_FUT_U_JURS CENARIO]], D$5, FALSE)</f>
        <v>#N/A</v>
      </c>
      <c r="E4407" s="22" t="e">
        <f>VLOOKUP($A4407,TAB_CORRECAO_U[[Q_DIAS_U_PARC_TIR]:[V_FUT_U_CORC-02]],E$5, FALSE)</f>
        <v>#N/A</v>
      </c>
      <c r="F4407" s="22" t="e">
        <f>VLOOKUP($A4407,TAB_AMORTIZACAO_U[[Q_DIAS_U_PARC_TIR]:[V_FUT_U_PCPL-02]], F$5, FALSE)</f>
        <v>#N/A</v>
      </c>
      <c r="H4407" s="20">
        <f t="shared" si="347"/>
        <v>0</v>
      </c>
      <c r="I4407" s="21">
        <f t="shared" si="348"/>
        <v>0</v>
      </c>
      <c r="J4407" s="22" t="e">
        <f>VLOOKUP($A4407, TAB_JUROS_C[[DIAS_CORRIDOS]:[V_FUT_UTEIS]], J$5, FALSE)</f>
        <v>#N/A</v>
      </c>
      <c r="K4407" s="22" t="e">
        <f>VLOOKUP($A4407, TAB_CORRECAO_C[[DIAS_CORRIDOS]:[V_FUT_UTEIS]],K$5, FALSE)</f>
        <v>#N/A</v>
      </c>
      <c r="L4407" s="22" t="e">
        <f>VLOOKUP($A4407, TAB_AMORTIZACAO_C[[DIAS_CORRIDOS]:[V_FUT_UTEIS]], L$5, FALSE)</f>
        <v>#N/A</v>
      </c>
    </row>
    <row r="4408" spans="1:12" hidden="1">
      <c r="A4408" s="19">
        <f t="shared" si="349"/>
        <v>4402</v>
      </c>
      <c r="B4408" s="20">
        <f t="shared" si="345"/>
        <v>0</v>
      </c>
      <c r="C4408" s="21">
        <f t="shared" si="346"/>
        <v>0</v>
      </c>
      <c r="D4408" s="22" t="e">
        <f>VLOOKUP($A4408, TAB_JUROS_U[[Q_DIAS_U_PARC_TIR]:[V_FUT_U_JURS CENARIO]], D$5, FALSE)</f>
        <v>#N/A</v>
      </c>
      <c r="E4408" s="22" t="e">
        <f>VLOOKUP($A4408,TAB_CORRECAO_U[[Q_DIAS_U_PARC_TIR]:[V_FUT_U_CORC-02]],E$5, FALSE)</f>
        <v>#N/A</v>
      </c>
      <c r="F4408" s="22" t="e">
        <f>VLOOKUP($A4408,TAB_AMORTIZACAO_U[[Q_DIAS_U_PARC_TIR]:[V_FUT_U_PCPL-02]], F$5, FALSE)</f>
        <v>#N/A</v>
      </c>
      <c r="H4408" s="20">
        <f t="shared" si="347"/>
        <v>0</v>
      </c>
      <c r="I4408" s="21">
        <f t="shared" si="348"/>
        <v>0</v>
      </c>
      <c r="J4408" s="22" t="e">
        <f>VLOOKUP($A4408, TAB_JUROS_C[[DIAS_CORRIDOS]:[V_FUT_UTEIS]], J$5, FALSE)</f>
        <v>#N/A</v>
      </c>
      <c r="K4408" s="22" t="e">
        <f>VLOOKUP($A4408, TAB_CORRECAO_C[[DIAS_CORRIDOS]:[V_FUT_UTEIS]],K$5, FALSE)</f>
        <v>#N/A</v>
      </c>
      <c r="L4408" s="22" t="e">
        <f>VLOOKUP($A4408, TAB_AMORTIZACAO_C[[DIAS_CORRIDOS]:[V_FUT_UTEIS]], L$5, FALSE)</f>
        <v>#N/A</v>
      </c>
    </row>
    <row r="4409" spans="1:12" hidden="1">
      <c r="A4409" s="19">
        <f t="shared" si="349"/>
        <v>4403</v>
      </c>
      <c r="B4409" s="20">
        <f t="shared" si="345"/>
        <v>0</v>
      </c>
      <c r="C4409" s="21">
        <f t="shared" si="346"/>
        <v>0</v>
      </c>
      <c r="D4409" s="22" t="e">
        <f>VLOOKUP($A4409, TAB_JUROS_U[[Q_DIAS_U_PARC_TIR]:[V_FUT_U_JURS CENARIO]], D$5, FALSE)</f>
        <v>#N/A</v>
      </c>
      <c r="E4409" s="22" t="e">
        <f>VLOOKUP($A4409,TAB_CORRECAO_U[[Q_DIAS_U_PARC_TIR]:[V_FUT_U_CORC-02]],E$5, FALSE)</f>
        <v>#N/A</v>
      </c>
      <c r="F4409" s="22" t="e">
        <f>VLOOKUP($A4409,TAB_AMORTIZACAO_U[[Q_DIAS_U_PARC_TIR]:[V_FUT_U_PCPL-02]], F$5, FALSE)</f>
        <v>#N/A</v>
      </c>
      <c r="H4409" s="20">
        <f t="shared" si="347"/>
        <v>0</v>
      </c>
      <c r="I4409" s="21">
        <f t="shared" si="348"/>
        <v>0</v>
      </c>
      <c r="J4409" s="22" t="e">
        <f>VLOOKUP($A4409, TAB_JUROS_C[[DIAS_CORRIDOS]:[V_FUT_UTEIS]], J$5, FALSE)</f>
        <v>#N/A</v>
      </c>
      <c r="K4409" s="22" t="e">
        <f>VLOOKUP($A4409, TAB_CORRECAO_C[[DIAS_CORRIDOS]:[V_FUT_UTEIS]],K$5, FALSE)</f>
        <v>#N/A</v>
      </c>
      <c r="L4409" s="22" t="e">
        <f>VLOOKUP($A4409, TAB_AMORTIZACAO_C[[DIAS_CORRIDOS]:[V_FUT_UTEIS]], L$5, FALSE)</f>
        <v>#N/A</v>
      </c>
    </row>
    <row r="4410" spans="1:12" hidden="1">
      <c r="A4410" s="19">
        <f t="shared" si="349"/>
        <v>4404</v>
      </c>
      <c r="B4410" s="20">
        <f t="shared" si="345"/>
        <v>0</v>
      </c>
      <c r="C4410" s="21">
        <f t="shared" si="346"/>
        <v>0</v>
      </c>
      <c r="D4410" s="22" t="e">
        <f>VLOOKUP($A4410, TAB_JUROS_U[[Q_DIAS_U_PARC_TIR]:[V_FUT_U_JURS CENARIO]], D$5, FALSE)</f>
        <v>#N/A</v>
      </c>
      <c r="E4410" s="22" t="e">
        <f>VLOOKUP($A4410,TAB_CORRECAO_U[[Q_DIAS_U_PARC_TIR]:[V_FUT_U_CORC-02]],E$5, FALSE)</f>
        <v>#N/A</v>
      </c>
      <c r="F4410" s="22" t="e">
        <f>VLOOKUP($A4410,TAB_AMORTIZACAO_U[[Q_DIAS_U_PARC_TIR]:[V_FUT_U_PCPL-02]], F$5, FALSE)</f>
        <v>#N/A</v>
      </c>
      <c r="H4410" s="20">
        <f t="shared" si="347"/>
        <v>0</v>
      </c>
      <c r="I4410" s="21">
        <f t="shared" si="348"/>
        <v>0</v>
      </c>
      <c r="J4410" s="22" t="e">
        <f>VLOOKUP($A4410, TAB_JUROS_C[[DIAS_CORRIDOS]:[V_FUT_UTEIS]], J$5, FALSE)</f>
        <v>#N/A</v>
      </c>
      <c r="K4410" s="22" t="e">
        <f>VLOOKUP($A4410, TAB_CORRECAO_C[[DIAS_CORRIDOS]:[V_FUT_UTEIS]],K$5, FALSE)</f>
        <v>#N/A</v>
      </c>
      <c r="L4410" s="22" t="e">
        <f>VLOOKUP($A4410, TAB_AMORTIZACAO_C[[DIAS_CORRIDOS]:[V_FUT_UTEIS]], L$5, FALSE)</f>
        <v>#N/A</v>
      </c>
    </row>
    <row r="4411" spans="1:12" hidden="1">
      <c r="A4411" s="19">
        <f t="shared" si="349"/>
        <v>4405</v>
      </c>
      <c r="B4411" s="20">
        <f t="shared" si="345"/>
        <v>0</v>
      </c>
      <c r="C4411" s="21">
        <f t="shared" si="346"/>
        <v>0</v>
      </c>
      <c r="D4411" s="22" t="e">
        <f>VLOOKUP($A4411, TAB_JUROS_U[[Q_DIAS_U_PARC_TIR]:[V_FUT_U_JURS CENARIO]], D$5, FALSE)</f>
        <v>#N/A</v>
      </c>
      <c r="E4411" s="22" t="e">
        <f>VLOOKUP($A4411,TAB_CORRECAO_U[[Q_DIAS_U_PARC_TIR]:[V_FUT_U_CORC-02]],E$5, FALSE)</f>
        <v>#N/A</v>
      </c>
      <c r="F4411" s="22" t="e">
        <f>VLOOKUP($A4411,TAB_AMORTIZACAO_U[[Q_DIAS_U_PARC_TIR]:[V_FUT_U_PCPL-02]], F$5, FALSE)</f>
        <v>#N/A</v>
      </c>
      <c r="H4411" s="20">
        <f t="shared" si="347"/>
        <v>0</v>
      </c>
      <c r="I4411" s="21">
        <f t="shared" si="348"/>
        <v>0</v>
      </c>
      <c r="J4411" s="22" t="e">
        <f>VLOOKUP($A4411, TAB_JUROS_C[[DIAS_CORRIDOS]:[V_FUT_UTEIS]], J$5, FALSE)</f>
        <v>#N/A</v>
      </c>
      <c r="K4411" s="22" t="e">
        <f>VLOOKUP($A4411, TAB_CORRECAO_C[[DIAS_CORRIDOS]:[V_FUT_UTEIS]],K$5, FALSE)</f>
        <v>#N/A</v>
      </c>
      <c r="L4411" s="22" t="e">
        <f>VLOOKUP($A4411, TAB_AMORTIZACAO_C[[DIAS_CORRIDOS]:[V_FUT_UTEIS]], L$5, FALSE)</f>
        <v>#N/A</v>
      </c>
    </row>
    <row r="4412" spans="1:12" hidden="1">
      <c r="A4412" s="19">
        <f t="shared" si="349"/>
        <v>4406</v>
      </c>
      <c r="B4412" s="20">
        <f t="shared" si="345"/>
        <v>0</v>
      </c>
      <c r="C4412" s="21">
        <f t="shared" si="346"/>
        <v>0</v>
      </c>
      <c r="D4412" s="22" t="e">
        <f>VLOOKUP($A4412, TAB_JUROS_U[[Q_DIAS_U_PARC_TIR]:[V_FUT_U_JURS CENARIO]], D$5, FALSE)</f>
        <v>#N/A</v>
      </c>
      <c r="E4412" s="22" t="e">
        <f>VLOOKUP($A4412,TAB_CORRECAO_U[[Q_DIAS_U_PARC_TIR]:[V_FUT_U_CORC-02]],E$5, FALSE)</f>
        <v>#N/A</v>
      </c>
      <c r="F4412" s="22" t="e">
        <f>VLOOKUP($A4412,TAB_AMORTIZACAO_U[[Q_DIAS_U_PARC_TIR]:[V_FUT_U_PCPL-02]], F$5, FALSE)</f>
        <v>#N/A</v>
      </c>
      <c r="H4412" s="20">
        <f t="shared" si="347"/>
        <v>0</v>
      </c>
      <c r="I4412" s="21">
        <f t="shared" si="348"/>
        <v>0</v>
      </c>
      <c r="J4412" s="22" t="e">
        <f>VLOOKUP($A4412, TAB_JUROS_C[[DIAS_CORRIDOS]:[V_FUT_UTEIS]], J$5, FALSE)</f>
        <v>#N/A</v>
      </c>
      <c r="K4412" s="22" t="e">
        <f>VLOOKUP($A4412, TAB_CORRECAO_C[[DIAS_CORRIDOS]:[V_FUT_UTEIS]],K$5, FALSE)</f>
        <v>#N/A</v>
      </c>
      <c r="L4412" s="22" t="e">
        <f>VLOOKUP($A4412, TAB_AMORTIZACAO_C[[DIAS_CORRIDOS]:[V_FUT_UTEIS]], L$5, FALSE)</f>
        <v>#N/A</v>
      </c>
    </row>
    <row r="4413" spans="1:12" hidden="1">
      <c r="A4413" s="19">
        <f t="shared" si="349"/>
        <v>4407</v>
      </c>
      <c r="B4413" s="20">
        <f t="shared" si="345"/>
        <v>0</v>
      </c>
      <c r="C4413" s="21">
        <f t="shared" si="346"/>
        <v>0</v>
      </c>
      <c r="D4413" s="22" t="e">
        <f>VLOOKUP($A4413, TAB_JUROS_U[[Q_DIAS_U_PARC_TIR]:[V_FUT_U_JURS CENARIO]], D$5, FALSE)</f>
        <v>#N/A</v>
      </c>
      <c r="E4413" s="22" t="e">
        <f>VLOOKUP($A4413,TAB_CORRECAO_U[[Q_DIAS_U_PARC_TIR]:[V_FUT_U_CORC-02]],E$5, FALSE)</f>
        <v>#N/A</v>
      </c>
      <c r="F4413" s="22" t="e">
        <f>VLOOKUP($A4413,TAB_AMORTIZACAO_U[[Q_DIAS_U_PARC_TIR]:[V_FUT_U_PCPL-02]], F$5, FALSE)</f>
        <v>#N/A</v>
      </c>
      <c r="H4413" s="20">
        <f t="shared" si="347"/>
        <v>0</v>
      </c>
      <c r="I4413" s="21">
        <f t="shared" si="348"/>
        <v>0</v>
      </c>
      <c r="J4413" s="22" t="e">
        <f>VLOOKUP($A4413, TAB_JUROS_C[[DIAS_CORRIDOS]:[V_FUT_UTEIS]], J$5, FALSE)</f>
        <v>#N/A</v>
      </c>
      <c r="K4413" s="22" t="e">
        <f>VLOOKUP($A4413, TAB_CORRECAO_C[[DIAS_CORRIDOS]:[V_FUT_UTEIS]],K$5, FALSE)</f>
        <v>#N/A</v>
      </c>
      <c r="L4413" s="22" t="e">
        <f>VLOOKUP($A4413, TAB_AMORTIZACAO_C[[DIAS_CORRIDOS]:[V_FUT_UTEIS]], L$5, FALSE)</f>
        <v>#N/A</v>
      </c>
    </row>
    <row r="4414" spans="1:12" hidden="1">
      <c r="A4414" s="19">
        <f t="shared" si="349"/>
        <v>4408</v>
      </c>
      <c r="B4414" s="20">
        <f t="shared" si="345"/>
        <v>0</v>
      </c>
      <c r="C4414" s="21">
        <f t="shared" si="346"/>
        <v>0</v>
      </c>
      <c r="D4414" s="22" t="e">
        <f>VLOOKUP($A4414, TAB_JUROS_U[[Q_DIAS_U_PARC_TIR]:[V_FUT_U_JURS CENARIO]], D$5, FALSE)</f>
        <v>#N/A</v>
      </c>
      <c r="E4414" s="22" t="e">
        <f>VLOOKUP($A4414,TAB_CORRECAO_U[[Q_DIAS_U_PARC_TIR]:[V_FUT_U_CORC-02]],E$5, FALSE)</f>
        <v>#N/A</v>
      </c>
      <c r="F4414" s="22" t="e">
        <f>VLOOKUP($A4414,TAB_AMORTIZACAO_U[[Q_DIAS_U_PARC_TIR]:[V_FUT_U_PCPL-02]], F$5, FALSE)</f>
        <v>#N/A</v>
      </c>
      <c r="H4414" s="20">
        <f t="shared" si="347"/>
        <v>0</v>
      </c>
      <c r="I4414" s="21">
        <f t="shared" si="348"/>
        <v>0</v>
      </c>
      <c r="J4414" s="22" t="e">
        <f>VLOOKUP($A4414, TAB_JUROS_C[[DIAS_CORRIDOS]:[V_FUT_UTEIS]], J$5, FALSE)</f>
        <v>#N/A</v>
      </c>
      <c r="K4414" s="22" t="e">
        <f>VLOOKUP($A4414, TAB_CORRECAO_C[[DIAS_CORRIDOS]:[V_FUT_UTEIS]],K$5, FALSE)</f>
        <v>#N/A</v>
      </c>
      <c r="L4414" s="22" t="e">
        <f>VLOOKUP($A4414, TAB_AMORTIZACAO_C[[DIAS_CORRIDOS]:[V_FUT_UTEIS]], L$5, FALSE)</f>
        <v>#N/A</v>
      </c>
    </row>
    <row r="4415" spans="1:12" hidden="1">
      <c r="A4415" s="19">
        <f t="shared" si="349"/>
        <v>4409</v>
      </c>
      <c r="B4415" s="20">
        <f t="shared" si="345"/>
        <v>0</v>
      </c>
      <c r="C4415" s="21">
        <f t="shared" si="346"/>
        <v>0</v>
      </c>
      <c r="D4415" s="22" t="e">
        <f>VLOOKUP($A4415, TAB_JUROS_U[[Q_DIAS_U_PARC_TIR]:[V_FUT_U_JURS CENARIO]], D$5, FALSE)</f>
        <v>#N/A</v>
      </c>
      <c r="E4415" s="22" t="e">
        <f>VLOOKUP($A4415,TAB_CORRECAO_U[[Q_DIAS_U_PARC_TIR]:[V_FUT_U_CORC-02]],E$5, FALSE)</f>
        <v>#N/A</v>
      </c>
      <c r="F4415" s="22" t="e">
        <f>VLOOKUP($A4415,TAB_AMORTIZACAO_U[[Q_DIAS_U_PARC_TIR]:[V_FUT_U_PCPL-02]], F$5, FALSE)</f>
        <v>#N/A</v>
      </c>
      <c r="H4415" s="20">
        <f t="shared" si="347"/>
        <v>0</v>
      </c>
      <c r="I4415" s="21">
        <f t="shared" si="348"/>
        <v>0</v>
      </c>
      <c r="J4415" s="22" t="e">
        <f>VLOOKUP($A4415, TAB_JUROS_C[[DIAS_CORRIDOS]:[V_FUT_UTEIS]], J$5, FALSE)</f>
        <v>#N/A</v>
      </c>
      <c r="K4415" s="22" t="e">
        <f>VLOOKUP($A4415, TAB_CORRECAO_C[[DIAS_CORRIDOS]:[V_FUT_UTEIS]],K$5, FALSE)</f>
        <v>#N/A</v>
      </c>
      <c r="L4415" s="22" t="e">
        <f>VLOOKUP($A4415, TAB_AMORTIZACAO_C[[DIAS_CORRIDOS]:[V_FUT_UTEIS]], L$5, FALSE)</f>
        <v>#N/A</v>
      </c>
    </row>
    <row r="4416" spans="1:12" hidden="1">
      <c r="A4416" s="19">
        <f t="shared" si="349"/>
        <v>4410</v>
      </c>
      <c r="B4416" s="20">
        <f t="shared" si="345"/>
        <v>0</v>
      </c>
      <c r="C4416" s="21">
        <f t="shared" si="346"/>
        <v>0</v>
      </c>
      <c r="D4416" s="22" t="e">
        <f>VLOOKUP($A4416, TAB_JUROS_U[[Q_DIAS_U_PARC_TIR]:[V_FUT_U_JURS CENARIO]], D$5, FALSE)</f>
        <v>#N/A</v>
      </c>
      <c r="E4416" s="22" t="e">
        <f>VLOOKUP($A4416,TAB_CORRECAO_U[[Q_DIAS_U_PARC_TIR]:[V_FUT_U_CORC-02]],E$5, FALSE)</f>
        <v>#N/A</v>
      </c>
      <c r="F4416" s="22" t="e">
        <f>VLOOKUP($A4416,TAB_AMORTIZACAO_U[[Q_DIAS_U_PARC_TIR]:[V_FUT_U_PCPL-02]], F$5, FALSE)</f>
        <v>#N/A</v>
      </c>
      <c r="H4416" s="20">
        <f t="shared" si="347"/>
        <v>0</v>
      </c>
      <c r="I4416" s="21">
        <f t="shared" si="348"/>
        <v>0</v>
      </c>
      <c r="J4416" s="22" t="e">
        <f>VLOOKUP($A4416, TAB_JUROS_C[[DIAS_CORRIDOS]:[V_FUT_UTEIS]], J$5, FALSE)</f>
        <v>#N/A</v>
      </c>
      <c r="K4416" s="22" t="e">
        <f>VLOOKUP($A4416, TAB_CORRECAO_C[[DIAS_CORRIDOS]:[V_FUT_UTEIS]],K$5, FALSE)</f>
        <v>#N/A</v>
      </c>
      <c r="L4416" s="22" t="e">
        <f>VLOOKUP($A4416, TAB_AMORTIZACAO_C[[DIAS_CORRIDOS]:[V_FUT_UTEIS]], L$5, FALSE)</f>
        <v>#N/A</v>
      </c>
    </row>
    <row r="4417" spans="1:12" hidden="1">
      <c r="A4417" s="19">
        <f t="shared" si="349"/>
        <v>4411</v>
      </c>
      <c r="B4417" s="20">
        <f t="shared" si="345"/>
        <v>0</v>
      </c>
      <c r="C4417" s="21">
        <f t="shared" si="346"/>
        <v>0</v>
      </c>
      <c r="D4417" s="22" t="e">
        <f>VLOOKUP($A4417, TAB_JUROS_U[[Q_DIAS_U_PARC_TIR]:[V_FUT_U_JURS CENARIO]], D$5, FALSE)</f>
        <v>#N/A</v>
      </c>
      <c r="E4417" s="22" t="e">
        <f>VLOOKUP($A4417,TAB_CORRECAO_U[[Q_DIAS_U_PARC_TIR]:[V_FUT_U_CORC-02]],E$5, FALSE)</f>
        <v>#N/A</v>
      </c>
      <c r="F4417" s="22" t="e">
        <f>VLOOKUP($A4417,TAB_AMORTIZACAO_U[[Q_DIAS_U_PARC_TIR]:[V_FUT_U_PCPL-02]], F$5, FALSE)</f>
        <v>#N/A</v>
      </c>
      <c r="H4417" s="20">
        <f t="shared" si="347"/>
        <v>0</v>
      </c>
      <c r="I4417" s="21">
        <f t="shared" si="348"/>
        <v>0</v>
      </c>
      <c r="J4417" s="22" t="e">
        <f>VLOOKUP($A4417, TAB_JUROS_C[[DIAS_CORRIDOS]:[V_FUT_UTEIS]], J$5, FALSE)</f>
        <v>#N/A</v>
      </c>
      <c r="K4417" s="22" t="e">
        <f>VLOOKUP($A4417, TAB_CORRECAO_C[[DIAS_CORRIDOS]:[V_FUT_UTEIS]],K$5, FALSE)</f>
        <v>#N/A</v>
      </c>
      <c r="L4417" s="22" t="e">
        <f>VLOOKUP($A4417, TAB_AMORTIZACAO_C[[DIAS_CORRIDOS]:[V_FUT_UTEIS]], L$5, FALSE)</f>
        <v>#N/A</v>
      </c>
    </row>
    <row r="4418" spans="1:12" hidden="1">
      <c r="A4418" s="19">
        <f t="shared" si="349"/>
        <v>4412</v>
      </c>
      <c r="B4418" s="20">
        <f t="shared" si="345"/>
        <v>0</v>
      </c>
      <c r="C4418" s="21">
        <f t="shared" si="346"/>
        <v>0</v>
      </c>
      <c r="D4418" s="22" t="e">
        <f>VLOOKUP($A4418, TAB_JUROS_U[[Q_DIAS_U_PARC_TIR]:[V_FUT_U_JURS CENARIO]], D$5, FALSE)</f>
        <v>#N/A</v>
      </c>
      <c r="E4418" s="22" t="e">
        <f>VLOOKUP($A4418,TAB_CORRECAO_U[[Q_DIAS_U_PARC_TIR]:[V_FUT_U_CORC-02]],E$5, FALSE)</f>
        <v>#N/A</v>
      </c>
      <c r="F4418" s="22" t="e">
        <f>VLOOKUP($A4418,TAB_AMORTIZACAO_U[[Q_DIAS_U_PARC_TIR]:[V_FUT_U_PCPL-02]], F$5, FALSE)</f>
        <v>#N/A</v>
      </c>
      <c r="H4418" s="20">
        <f t="shared" si="347"/>
        <v>0</v>
      </c>
      <c r="I4418" s="21">
        <f t="shared" si="348"/>
        <v>0</v>
      </c>
      <c r="J4418" s="22" t="e">
        <f>VLOOKUP($A4418, TAB_JUROS_C[[DIAS_CORRIDOS]:[V_FUT_UTEIS]], J$5, FALSE)</f>
        <v>#N/A</v>
      </c>
      <c r="K4418" s="22" t="e">
        <f>VLOOKUP($A4418, TAB_CORRECAO_C[[DIAS_CORRIDOS]:[V_FUT_UTEIS]],K$5, FALSE)</f>
        <v>#N/A</v>
      </c>
      <c r="L4418" s="22" t="e">
        <f>VLOOKUP($A4418, TAB_AMORTIZACAO_C[[DIAS_CORRIDOS]:[V_FUT_UTEIS]], L$5, FALSE)</f>
        <v>#N/A</v>
      </c>
    </row>
    <row r="4419" spans="1:12" hidden="1">
      <c r="A4419" s="19">
        <f t="shared" si="349"/>
        <v>4413</v>
      </c>
      <c r="B4419" s="20">
        <f t="shared" si="345"/>
        <v>0</v>
      </c>
      <c r="C4419" s="21">
        <f t="shared" si="346"/>
        <v>0</v>
      </c>
      <c r="D4419" s="22" t="e">
        <f>VLOOKUP($A4419, TAB_JUROS_U[[Q_DIAS_U_PARC_TIR]:[V_FUT_U_JURS CENARIO]], D$5, FALSE)</f>
        <v>#N/A</v>
      </c>
      <c r="E4419" s="22" t="e">
        <f>VLOOKUP($A4419,TAB_CORRECAO_U[[Q_DIAS_U_PARC_TIR]:[V_FUT_U_CORC-02]],E$5, FALSE)</f>
        <v>#N/A</v>
      </c>
      <c r="F4419" s="22" t="e">
        <f>VLOOKUP($A4419,TAB_AMORTIZACAO_U[[Q_DIAS_U_PARC_TIR]:[V_FUT_U_PCPL-02]], F$5, FALSE)</f>
        <v>#N/A</v>
      </c>
      <c r="H4419" s="20">
        <f t="shared" si="347"/>
        <v>0</v>
      </c>
      <c r="I4419" s="21">
        <f t="shared" si="348"/>
        <v>0</v>
      </c>
      <c r="J4419" s="22" t="e">
        <f>VLOOKUP($A4419, TAB_JUROS_C[[DIAS_CORRIDOS]:[V_FUT_UTEIS]], J$5, FALSE)</f>
        <v>#N/A</v>
      </c>
      <c r="K4419" s="22" t="e">
        <f>VLOOKUP($A4419, TAB_CORRECAO_C[[DIAS_CORRIDOS]:[V_FUT_UTEIS]],K$5, FALSE)</f>
        <v>#N/A</v>
      </c>
      <c r="L4419" s="22" t="e">
        <f>VLOOKUP($A4419, TAB_AMORTIZACAO_C[[DIAS_CORRIDOS]:[V_FUT_UTEIS]], L$5, FALSE)</f>
        <v>#N/A</v>
      </c>
    </row>
    <row r="4420" spans="1:12" hidden="1">
      <c r="A4420" s="19">
        <f t="shared" si="349"/>
        <v>4414</v>
      </c>
      <c r="B4420" s="20">
        <f t="shared" si="345"/>
        <v>0</v>
      </c>
      <c r="C4420" s="21">
        <f t="shared" si="346"/>
        <v>0</v>
      </c>
      <c r="D4420" s="22" t="e">
        <f>VLOOKUP($A4420, TAB_JUROS_U[[Q_DIAS_U_PARC_TIR]:[V_FUT_U_JURS CENARIO]], D$5, FALSE)</f>
        <v>#N/A</v>
      </c>
      <c r="E4420" s="22" t="e">
        <f>VLOOKUP($A4420,TAB_CORRECAO_U[[Q_DIAS_U_PARC_TIR]:[V_FUT_U_CORC-02]],E$5, FALSE)</f>
        <v>#N/A</v>
      </c>
      <c r="F4420" s="22" t="e">
        <f>VLOOKUP($A4420,TAB_AMORTIZACAO_U[[Q_DIAS_U_PARC_TIR]:[V_FUT_U_PCPL-02]], F$5, FALSE)</f>
        <v>#N/A</v>
      </c>
      <c r="H4420" s="20">
        <f t="shared" si="347"/>
        <v>0</v>
      </c>
      <c r="I4420" s="21">
        <f t="shared" si="348"/>
        <v>0</v>
      </c>
      <c r="J4420" s="22" t="e">
        <f>VLOOKUP($A4420, TAB_JUROS_C[[DIAS_CORRIDOS]:[V_FUT_UTEIS]], J$5, FALSE)</f>
        <v>#N/A</v>
      </c>
      <c r="K4420" s="22" t="e">
        <f>VLOOKUP($A4420, TAB_CORRECAO_C[[DIAS_CORRIDOS]:[V_FUT_UTEIS]],K$5, FALSE)</f>
        <v>#N/A</v>
      </c>
      <c r="L4420" s="22" t="e">
        <f>VLOOKUP($A4420, TAB_AMORTIZACAO_C[[DIAS_CORRIDOS]:[V_FUT_UTEIS]], L$5, FALSE)</f>
        <v>#N/A</v>
      </c>
    </row>
    <row r="4421" spans="1:12" hidden="1">
      <c r="A4421" s="19">
        <f t="shared" si="349"/>
        <v>4415</v>
      </c>
      <c r="B4421" s="20">
        <f t="shared" si="345"/>
        <v>0</v>
      </c>
      <c r="C4421" s="21">
        <f t="shared" si="346"/>
        <v>0</v>
      </c>
      <c r="D4421" s="22" t="e">
        <f>VLOOKUP($A4421, TAB_JUROS_U[[Q_DIAS_U_PARC_TIR]:[V_FUT_U_JURS CENARIO]], D$5, FALSE)</f>
        <v>#N/A</v>
      </c>
      <c r="E4421" s="22" t="e">
        <f>VLOOKUP($A4421,TAB_CORRECAO_U[[Q_DIAS_U_PARC_TIR]:[V_FUT_U_CORC-02]],E$5, FALSE)</f>
        <v>#N/A</v>
      </c>
      <c r="F4421" s="22" t="e">
        <f>VLOOKUP($A4421,TAB_AMORTIZACAO_U[[Q_DIAS_U_PARC_TIR]:[V_FUT_U_PCPL-02]], F$5, FALSE)</f>
        <v>#N/A</v>
      </c>
      <c r="H4421" s="20">
        <f t="shared" si="347"/>
        <v>0</v>
      </c>
      <c r="I4421" s="21">
        <f t="shared" si="348"/>
        <v>0</v>
      </c>
      <c r="J4421" s="22" t="e">
        <f>VLOOKUP($A4421, TAB_JUROS_C[[DIAS_CORRIDOS]:[V_FUT_UTEIS]], J$5, FALSE)</f>
        <v>#N/A</v>
      </c>
      <c r="K4421" s="22" t="e">
        <f>VLOOKUP($A4421, TAB_CORRECAO_C[[DIAS_CORRIDOS]:[V_FUT_UTEIS]],K$5, FALSE)</f>
        <v>#N/A</v>
      </c>
      <c r="L4421" s="22" t="e">
        <f>VLOOKUP($A4421, TAB_AMORTIZACAO_C[[DIAS_CORRIDOS]:[V_FUT_UTEIS]], L$5, FALSE)</f>
        <v>#N/A</v>
      </c>
    </row>
    <row r="4422" spans="1:12" hidden="1">
      <c r="A4422" s="19">
        <f t="shared" si="349"/>
        <v>4416</v>
      </c>
      <c r="B4422" s="20">
        <f t="shared" si="345"/>
        <v>0</v>
      </c>
      <c r="C4422" s="21">
        <f t="shared" si="346"/>
        <v>0</v>
      </c>
      <c r="D4422" s="22" t="e">
        <f>VLOOKUP($A4422, TAB_JUROS_U[[Q_DIAS_U_PARC_TIR]:[V_FUT_U_JURS CENARIO]], D$5, FALSE)</f>
        <v>#N/A</v>
      </c>
      <c r="E4422" s="22" t="e">
        <f>VLOOKUP($A4422,TAB_CORRECAO_U[[Q_DIAS_U_PARC_TIR]:[V_FUT_U_CORC-02]],E$5, FALSE)</f>
        <v>#N/A</v>
      </c>
      <c r="F4422" s="22" t="e">
        <f>VLOOKUP($A4422,TAB_AMORTIZACAO_U[[Q_DIAS_U_PARC_TIR]:[V_FUT_U_PCPL-02]], F$5, FALSE)</f>
        <v>#N/A</v>
      </c>
      <c r="H4422" s="20">
        <f t="shared" si="347"/>
        <v>0</v>
      </c>
      <c r="I4422" s="21">
        <f t="shared" si="348"/>
        <v>0</v>
      </c>
      <c r="J4422" s="22" t="e">
        <f>VLOOKUP($A4422, TAB_JUROS_C[[DIAS_CORRIDOS]:[V_FUT_UTEIS]], J$5, FALSE)</f>
        <v>#N/A</v>
      </c>
      <c r="K4422" s="22" t="e">
        <f>VLOOKUP($A4422, TAB_CORRECAO_C[[DIAS_CORRIDOS]:[V_FUT_UTEIS]],K$5, FALSE)</f>
        <v>#N/A</v>
      </c>
      <c r="L4422" s="22" t="e">
        <f>VLOOKUP($A4422, TAB_AMORTIZACAO_C[[DIAS_CORRIDOS]:[V_FUT_UTEIS]], L$5, FALSE)</f>
        <v>#N/A</v>
      </c>
    </row>
    <row r="4423" spans="1:12" hidden="1">
      <c r="A4423" s="19">
        <f t="shared" si="349"/>
        <v>4417</v>
      </c>
      <c r="B4423" s="20">
        <f t="shared" si="345"/>
        <v>0</v>
      </c>
      <c r="C4423" s="21">
        <f t="shared" si="346"/>
        <v>0</v>
      </c>
      <c r="D4423" s="22" t="e">
        <f>VLOOKUP($A4423, TAB_JUROS_U[[Q_DIAS_U_PARC_TIR]:[V_FUT_U_JURS CENARIO]], D$5, FALSE)</f>
        <v>#N/A</v>
      </c>
      <c r="E4423" s="22" t="e">
        <f>VLOOKUP($A4423,TAB_CORRECAO_U[[Q_DIAS_U_PARC_TIR]:[V_FUT_U_CORC-02]],E$5, FALSE)</f>
        <v>#N/A</v>
      </c>
      <c r="F4423" s="22" t="e">
        <f>VLOOKUP($A4423,TAB_AMORTIZACAO_U[[Q_DIAS_U_PARC_TIR]:[V_FUT_U_PCPL-02]], F$5, FALSE)</f>
        <v>#N/A</v>
      </c>
      <c r="H4423" s="20">
        <f t="shared" si="347"/>
        <v>0</v>
      </c>
      <c r="I4423" s="21">
        <f t="shared" si="348"/>
        <v>0</v>
      </c>
      <c r="J4423" s="22" t="e">
        <f>VLOOKUP($A4423, TAB_JUROS_C[[DIAS_CORRIDOS]:[V_FUT_UTEIS]], J$5, FALSE)</f>
        <v>#N/A</v>
      </c>
      <c r="K4423" s="22" t="e">
        <f>VLOOKUP($A4423, TAB_CORRECAO_C[[DIAS_CORRIDOS]:[V_FUT_UTEIS]],K$5, FALSE)</f>
        <v>#N/A</v>
      </c>
      <c r="L4423" s="22" t="e">
        <f>VLOOKUP($A4423, TAB_AMORTIZACAO_C[[DIAS_CORRIDOS]:[V_FUT_UTEIS]], L$5, FALSE)</f>
        <v>#N/A</v>
      </c>
    </row>
    <row r="4424" spans="1:12" hidden="1">
      <c r="A4424" s="19">
        <f t="shared" si="349"/>
        <v>4418</v>
      </c>
      <c r="B4424" s="20">
        <f t="shared" si="345"/>
        <v>0</v>
      </c>
      <c r="C4424" s="21">
        <f t="shared" si="346"/>
        <v>0</v>
      </c>
      <c r="D4424" s="22" t="e">
        <f>VLOOKUP($A4424, TAB_JUROS_U[[Q_DIAS_U_PARC_TIR]:[V_FUT_U_JURS CENARIO]], D$5, FALSE)</f>
        <v>#N/A</v>
      </c>
      <c r="E4424" s="22" t="e">
        <f>VLOOKUP($A4424,TAB_CORRECAO_U[[Q_DIAS_U_PARC_TIR]:[V_FUT_U_CORC-02]],E$5, FALSE)</f>
        <v>#N/A</v>
      </c>
      <c r="F4424" s="22" t="e">
        <f>VLOOKUP($A4424,TAB_AMORTIZACAO_U[[Q_DIAS_U_PARC_TIR]:[V_FUT_U_PCPL-02]], F$5, FALSE)</f>
        <v>#N/A</v>
      </c>
      <c r="H4424" s="20">
        <f t="shared" si="347"/>
        <v>0</v>
      </c>
      <c r="I4424" s="21">
        <f t="shared" si="348"/>
        <v>0</v>
      </c>
      <c r="J4424" s="22" t="e">
        <f>VLOOKUP($A4424, TAB_JUROS_C[[DIAS_CORRIDOS]:[V_FUT_UTEIS]], J$5, FALSE)</f>
        <v>#N/A</v>
      </c>
      <c r="K4424" s="22" t="e">
        <f>VLOOKUP($A4424, TAB_CORRECAO_C[[DIAS_CORRIDOS]:[V_FUT_UTEIS]],K$5, FALSE)</f>
        <v>#N/A</v>
      </c>
      <c r="L4424" s="22" t="e">
        <f>VLOOKUP($A4424, TAB_AMORTIZACAO_C[[DIAS_CORRIDOS]:[V_FUT_UTEIS]], L$5, FALSE)</f>
        <v>#N/A</v>
      </c>
    </row>
    <row r="4425" spans="1:12" hidden="1">
      <c r="A4425" s="19">
        <f t="shared" si="349"/>
        <v>4419</v>
      </c>
      <c r="B4425" s="20">
        <f t="shared" ref="B4425:B4488" si="350">IF(ISERROR(C4425), 0, C4425)</f>
        <v>0</v>
      </c>
      <c r="C4425" s="21">
        <f t="shared" ref="C4425:C4488" si="351">SUMIF(D4425:F4425, "&gt;0", D4425:F4425)</f>
        <v>0</v>
      </c>
      <c r="D4425" s="22" t="e">
        <f>VLOOKUP($A4425, TAB_JUROS_U[[Q_DIAS_U_PARC_TIR]:[V_FUT_U_JURS CENARIO]], D$5, FALSE)</f>
        <v>#N/A</v>
      </c>
      <c r="E4425" s="22" t="e">
        <f>VLOOKUP($A4425,TAB_CORRECAO_U[[Q_DIAS_U_PARC_TIR]:[V_FUT_U_CORC-02]],E$5, FALSE)</f>
        <v>#N/A</v>
      </c>
      <c r="F4425" s="22" t="e">
        <f>VLOOKUP($A4425,TAB_AMORTIZACAO_U[[Q_DIAS_U_PARC_TIR]:[V_FUT_U_PCPL-02]], F$5, FALSE)</f>
        <v>#N/A</v>
      </c>
      <c r="H4425" s="20">
        <f t="shared" ref="H4425:H4488" si="352">IF(ISERROR(I4425), 0, I4425)</f>
        <v>0</v>
      </c>
      <c r="I4425" s="21">
        <f t="shared" ref="I4425:I4488" si="353">SUMIF(J4425:L4425, "&gt;0", J4425:L4425)</f>
        <v>0</v>
      </c>
      <c r="J4425" s="22" t="e">
        <f>VLOOKUP($A4425, TAB_JUROS_C[[DIAS_CORRIDOS]:[V_FUT_UTEIS]], J$5, FALSE)</f>
        <v>#N/A</v>
      </c>
      <c r="K4425" s="22" t="e">
        <f>VLOOKUP($A4425, TAB_CORRECAO_C[[DIAS_CORRIDOS]:[V_FUT_UTEIS]],K$5, FALSE)</f>
        <v>#N/A</v>
      </c>
      <c r="L4425" s="22" t="e">
        <f>VLOOKUP($A4425, TAB_AMORTIZACAO_C[[DIAS_CORRIDOS]:[V_FUT_UTEIS]], L$5, FALSE)</f>
        <v>#N/A</v>
      </c>
    </row>
    <row r="4426" spans="1:12" hidden="1">
      <c r="A4426" s="19">
        <f t="shared" ref="A4426:A4489" si="354">A4425+1</f>
        <v>4420</v>
      </c>
      <c r="B4426" s="20">
        <f t="shared" si="350"/>
        <v>0</v>
      </c>
      <c r="C4426" s="21">
        <f t="shared" si="351"/>
        <v>0</v>
      </c>
      <c r="D4426" s="22" t="e">
        <f>VLOOKUP($A4426, TAB_JUROS_U[[Q_DIAS_U_PARC_TIR]:[V_FUT_U_JURS CENARIO]], D$5, FALSE)</f>
        <v>#N/A</v>
      </c>
      <c r="E4426" s="22" t="e">
        <f>VLOOKUP($A4426,TAB_CORRECAO_U[[Q_DIAS_U_PARC_TIR]:[V_FUT_U_CORC-02]],E$5, FALSE)</f>
        <v>#N/A</v>
      </c>
      <c r="F4426" s="22" t="e">
        <f>VLOOKUP($A4426,TAB_AMORTIZACAO_U[[Q_DIAS_U_PARC_TIR]:[V_FUT_U_PCPL-02]], F$5, FALSE)</f>
        <v>#N/A</v>
      </c>
      <c r="H4426" s="20">
        <f t="shared" si="352"/>
        <v>0</v>
      </c>
      <c r="I4426" s="21">
        <f t="shared" si="353"/>
        <v>0</v>
      </c>
      <c r="J4426" s="22" t="e">
        <f>VLOOKUP($A4426, TAB_JUROS_C[[DIAS_CORRIDOS]:[V_FUT_UTEIS]], J$5, FALSE)</f>
        <v>#N/A</v>
      </c>
      <c r="K4426" s="22" t="e">
        <f>VLOOKUP($A4426, TAB_CORRECAO_C[[DIAS_CORRIDOS]:[V_FUT_UTEIS]],K$5, FALSE)</f>
        <v>#N/A</v>
      </c>
      <c r="L4426" s="22" t="e">
        <f>VLOOKUP($A4426, TAB_AMORTIZACAO_C[[DIAS_CORRIDOS]:[V_FUT_UTEIS]], L$5, FALSE)</f>
        <v>#N/A</v>
      </c>
    </row>
    <row r="4427" spans="1:12" hidden="1">
      <c r="A4427" s="19">
        <f t="shared" si="354"/>
        <v>4421</v>
      </c>
      <c r="B4427" s="20">
        <f t="shared" si="350"/>
        <v>0</v>
      </c>
      <c r="C4427" s="21">
        <f t="shared" si="351"/>
        <v>0</v>
      </c>
      <c r="D4427" s="22" t="e">
        <f>VLOOKUP($A4427, TAB_JUROS_U[[Q_DIAS_U_PARC_TIR]:[V_FUT_U_JURS CENARIO]], D$5, FALSE)</f>
        <v>#N/A</v>
      </c>
      <c r="E4427" s="22" t="e">
        <f>VLOOKUP($A4427,TAB_CORRECAO_U[[Q_DIAS_U_PARC_TIR]:[V_FUT_U_CORC-02]],E$5, FALSE)</f>
        <v>#N/A</v>
      </c>
      <c r="F4427" s="22" t="e">
        <f>VLOOKUP($A4427,TAB_AMORTIZACAO_U[[Q_DIAS_U_PARC_TIR]:[V_FUT_U_PCPL-02]], F$5, FALSE)</f>
        <v>#N/A</v>
      </c>
      <c r="H4427" s="20">
        <f t="shared" si="352"/>
        <v>0</v>
      </c>
      <c r="I4427" s="21">
        <f t="shared" si="353"/>
        <v>0</v>
      </c>
      <c r="J4427" s="22" t="e">
        <f>VLOOKUP($A4427, TAB_JUROS_C[[DIAS_CORRIDOS]:[V_FUT_UTEIS]], J$5, FALSE)</f>
        <v>#N/A</v>
      </c>
      <c r="K4427" s="22" t="e">
        <f>VLOOKUP($A4427, TAB_CORRECAO_C[[DIAS_CORRIDOS]:[V_FUT_UTEIS]],K$5, FALSE)</f>
        <v>#N/A</v>
      </c>
      <c r="L4427" s="22" t="e">
        <f>VLOOKUP($A4427, TAB_AMORTIZACAO_C[[DIAS_CORRIDOS]:[V_FUT_UTEIS]], L$5, FALSE)</f>
        <v>#N/A</v>
      </c>
    </row>
    <row r="4428" spans="1:12" hidden="1">
      <c r="A4428" s="19">
        <f t="shared" si="354"/>
        <v>4422</v>
      </c>
      <c r="B4428" s="20">
        <f t="shared" si="350"/>
        <v>0</v>
      </c>
      <c r="C4428" s="21">
        <f t="shared" si="351"/>
        <v>0</v>
      </c>
      <c r="D4428" s="22" t="e">
        <f>VLOOKUP($A4428, TAB_JUROS_U[[Q_DIAS_U_PARC_TIR]:[V_FUT_U_JURS CENARIO]], D$5, FALSE)</f>
        <v>#N/A</v>
      </c>
      <c r="E4428" s="22" t="e">
        <f>VLOOKUP($A4428,TAB_CORRECAO_U[[Q_DIAS_U_PARC_TIR]:[V_FUT_U_CORC-02]],E$5, FALSE)</f>
        <v>#N/A</v>
      </c>
      <c r="F4428" s="22" t="e">
        <f>VLOOKUP($A4428,TAB_AMORTIZACAO_U[[Q_DIAS_U_PARC_TIR]:[V_FUT_U_PCPL-02]], F$5, FALSE)</f>
        <v>#N/A</v>
      </c>
      <c r="H4428" s="20">
        <f t="shared" si="352"/>
        <v>0</v>
      </c>
      <c r="I4428" s="21">
        <f t="shared" si="353"/>
        <v>0</v>
      </c>
      <c r="J4428" s="22" t="e">
        <f>VLOOKUP($A4428, TAB_JUROS_C[[DIAS_CORRIDOS]:[V_FUT_UTEIS]], J$5, FALSE)</f>
        <v>#N/A</v>
      </c>
      <c r="K4428" s="22" t="e">
        <f>VLOOKUP($A4428, TAB_CORRECAO_C[[DIAS_CORRIDOS]:[V_FUT_UTEIS]],K$5, FALSE)</f>
        <v>#N/A</v>
      </c>
      <c r="L4428" s="22" t="e">
        <f>VLOOKUP($A4428, TAB_AMORTIZACAO_C[[DIAS_CORRIDOS]:[V_FUT_UTEIS]], L$5, FALSE)</f>
        <v>#N/A</v>
      </c>
    </row>
    <row r="4429" spans="1:12" hidden="1">
      <c r="A4429" s="19">
        <f t="shared" si="354"/>
        <v>4423</v>
      </c>
      <c r="B4429" s="20">
        <f t="shared" si="350"/>
        <v>0</v>
      </c>
      <c r="C4429" s="21">
        <f t="shared" si="351"/>
        <v>0</v>
      </c>
      <c r="D4429" s="22" t="e">
        <f>VLOOKUP($A4429, TAB_JUROS_U[[Q_DIAS_U_PARC_TIR]:[V_FUT_U_JURS CENARIO]], D$5, FALSE)</f>
        <v>#N/A</v>
      </c>
      <c r="E4429" s="22" t="e">
        <f>VLOOKUP($A4429,TAB_CORRECAO_U[[Q_DIAS_U_PARC_TIR]:[V_FUT_U_CORC-02]],E$5, FALSE)</f>
        <v>#N/A</v>
      </c>
      <c r="F4429" s="22" t="e">
        <f>VLOOKUP($A4429,TAB_AMORTIZACAO_U[[Q_DIAS_U_PARC_TIR]:[V_FUT_U_PCPL-02]], F$5, FALSE)</f>
        <v>#N/A</v>
      </c>
      <c r="H4429" s="20">
        <f t="shared" si="352"/>
        <v>0</v>
      </c>
      <c r="I4429" s="21">
        <f t="shared" si="353"/>
        <v>0</v>
      </c>
      <c r="J4429" s="22" t="e">
        <f>VLOOKUP($A4429, TAB_JUROS_C[[DIAS_CORRIDOS]:[V_FUT_UTEIS]], J$5, FALSE)</f>
        <v>#N/A</v>
      </c>
      <c r="K4429" s="22" t="e">
        <f>VLOOKUP($A4429, TAB_CORRECAO_C[[DIAS_CORRIDOS]:[V_FUT_UTEIS]],K$5, FALSE)</f>
        <v>#N/A</v>
      </c>
      <c r="L4429" s="22" t="e">
        <f>VLOOKUP($A4429, TAB_AMORTIZACAO_C[[DIAS_CORRIDOS]:[V_FUT_UTEIS]], L$5, FALSE)</f>
        <v>#N/A</v>
      </c>
    </row>
    <row r="4430" spans="1:12" hidden="1">
      <c r="A4430" s="19">
        <f t="shared" si="354"/>
        <v>4424</v>
      </c>
      <c r="B4430" s="20">
        <f t="shared" si="350"/>
        <v>0</v>
      </c>
      <c r="C4430" s="21">
        <f t="shared" si="351"/>
        <v>0</v>
      </c>
      <c r="D4430" s="22" t="e">
        <f>VLOOKUP($A4430, TAB_JUROS_U[[Q_DIAS_U_PARC_TIR]:[V_FUT_U_JURS CENARIO]], D$5, FALSE)</f>
        <v>#N/A</v>
      </c>
      <c r="E4430" s="22" t="e">
        <f>VLOOKUP($A4430,TAB_CORRECAO_U[[Q_DIAS_U_PARC_TIR]:[V_FUT_U_CORC-02]],E$5, FALSE)</f>
        <v>#N/A</v>
      </c>
      <c r="F4430" s="22" t="e">
        <f>VLOOKUP($A4430,TAB_AMORTIZACAO_U[[Q_DIAS_U_PARC_TIR]:[V_FUT_U_PCPL-02]], F$5, FALSE)</f>
        <v>#N/A</v>
      </c>
      <c r="H4430" s="20">
        <f t="shared" si="352"/>
        <v>0</v>
      </c>
      <c r="I4430" s="21">
        <f t="shared" si="353"/>
        <v>0</v>
      </c>
      <c r="J4430" s="22" t="e">
        <f>VLOOKUP($A4430, TAB_JUROS_C[[DIAS_CORRIDOS]:[V_FUT_UTEIS]], J$5, FALSE)</f>
        <v>#N/A</v>
      </c>
      <c r="K4430" s="22" t="e">
        <f>VLOOKUP($A4430, TAB_CORRECAO_C[[DIAS_CORRIDOS]:[V_FUT_UTEIS]],K$5, FALSE)</f>
        <v>#N/A</v>
      </c>
      <c r="L4430" s="22" t="e">
        <f>VLOOKUP($A4430, TAB_AMORTIZACAO_C[[DIAS_CORRIDOS]:[V_FUT_UTEIS]], L$5, FALSE)</f>
        <v>#N/A</v>
      </c>
    </row>
    <row r="4431" spans="1:12" hidden="1">
      <c r="A4431" s="19">
        <f t="shared" si="354"/>
        <v>4425</v>
      </c>
      <c r="B4431" s="20">
        <f t="shared" si="350"/>
        <v>0</v>
      </c>
      <c r="C4431" s="21">
        <f t="shared" si="351"/>
        <v>0</v>
      </c>
      <c r="D4431" s="22" t="e">
        <f>VLOOKUP($A4431, TAB_JUROS_U[[Q_DIAS_U_PARC_TIR]:[V_FUT_U_JURS CENARIO]], D$5, FALSE)</f>
        <v>#N/A</v>
      </c>
      <c r="E4431" s="22" t="e">
        <f>VLOOKUP($A4431,TAB_CORRECAO_U[[Q_DIAS_U_PARC_TIR]:[V_FUT_U_CORC-02]],E$5, FALSE)</f>
        <v>#N/A</v>
      </c>
      <c r="F4431" s="22" t="e">
        <f>VLOOKUP($A4431,TAB_AMORTIZACAO_U[[Q_DIAS_U_PARC_TIR]:[V_FUT_U_PCPL-02]], F$5, FALSE)</f>
        <v>#N/A</v>
      </c>
      <c r="H4431" s="20">
        <f t="shared" si="352"/>
        <v>0</v>
      </c>
      <c r="I4431" s="21">
        <f t="shared" si="353"/>
        <v>0</v>
      </c>
      <c r="J4431" s="22" t="e">
        <f>VLOOKUP($A4431, TAB_JUROS_C[[DIAS_CORRIDOS]:[V_FUT_UTEIS]], J$5, FALSE)</f>
        <v>#N/A</v>
      </c>
      <c r="K4431" s="22" t="e">
        <f>VLOOKUP($A4431, TAB_CORRECAO_C[[DIAS_CORRIDOS]:[V_FUT_UTEIS]],K$5, FALSE)</f>
        <v>#N/A</v>
      </c>
      <c r="L4431" s="22" t="e">
        <f>VLOOKUP($A4431, TAB_AMORTIZACAO_C[[DIAS_CORRIDOS]:[V_FUT_UTEIS]], L$5, FALSE)</f>
        <v>#N/A</v>
      </c>
    </row>
    <row r="4432" spans="1:12" hidden="1">
      <c r="A4432" s="19">
        <f t="shared" si="354"/>
        <v>4426</v>
      </c>
      <c r="B4432" s="20">
        <f t="shared" si="350"/>
        <v>0</v>
      </c>
      <c r="C4432" s="21">
        <f t="shared" si="351"/>
        <v>0</v>
      </c>
      <c r="D4432" s="22" t="e">
        <f>VLOOKUP($A4432, TAB_JUROS_U[[Q_DIAS_U_PARC_TIR]:[V_FUT_U_JURS CENARIO]], D$5, FALSE)</f>
        <v>#N/A</v>
      </c>
      <c r="E4432" s="22" t="e">
        <f>VLOOKUP($A4432,TAB_CORRECAO_U[[Q_DIAS_U_PARC_TIR]:[V_FUT_U_CORC-02]],E$5, FALSE)</f>
        <v>#N/A</v>
      </c>
      <c r="F4432" s="22" t="e">
        <f>VLOOKUP($A4432,TAB_AMORTIZACAO_U[[Q_DIAS_U_PARC_TIR]:[V_FUT_U_PCPL-02]], F$5, FALSE)</f>
        <v>#N/A</v>
      </c>
      <c r="H4432" s="20">
        <f t="shared" si="352"/>
        <v>0</v>
      </c>
      <c r="I4432" s="21">
        <f t="shared" si="353"/>
        <v>0</v>
      </c>
      <c r="J4432" s="22" t="e">
        <f>VLOOKUP($A4432, TAB_JUROS_C[[DIAS_CORRIDOS]:[V_FUT_UTEIS]], J$5, FALSE)</f>
        <v>#N/A</v>
      </c>
      <c r="K4432" s="22" t="e">
        <f>VLOOKUP($A4432, TAB_CORRECAO_C[[DIAS_CORRIDOS]:[V_FUT_UTEIS]],K$5, FALSE)</f>
        <v>#N/A</v>
      </c>
      <c r="L4432" s="22" t="e">
        <f>VLOOKUP($A4432, TAB_AMORTIZACAO_C[[DIAS_CORRIDOS]:[V_FUT_UTEIS]], L$5, FALSE)</f>
        <v>#N/A</v>
      </c>
    </row>
    <row r="4433" spans="1:12" hidden="1">
      <c r="A4433" s="19">
        <f t="shared" si="354"/>
        <v>4427</v>
      </c>
      <c r="B4433" s="20">
        <f t="shared" si="350"/>
        <v>0</v>
      </c>
      <c r="C4433" s="21">
        <f t="shared" si="351"/>
        <v>0</v>
      </c>
      <c r="D4433" s="22" t="e">
        <f>VLOOKUP($A4433, TAB_JUROS_U[[Q_DIAS_U_PARC_TIR]:[V_FUT_U_JURS CENARIO]], D$5, FALSE)</f>
        <v>#N/A</v>
      </c>
      <c r="E4433" s="22" t="e">
        <f>VLOOKUP($A4433,TAB_CORRECAO_U[[Q_DIAS_U_PARC_TIR]:[V_FUT_U_CORC-02]],E$5, FALSE)</f>
        <v>#N/A</v>
      </c>
      <c r="F4433" s="22" t="e">
        <f>VLOOKUP($A4433,TAB_AMORTIZACAO_U[[Q_DIAS_U_PARC_TIR]:[V_FUT_U_PCPL-02]], F$5, FALSE)</f>
        <v>#N/A</v>
      </c>
      <c r="H4433" s="20">
        <f t="shared" si="352"/>
        <v>0</v>
      </c>
      <c r="I4433" s="21">
        <f t="shared" si="353"/>
        <v>0</v>
      </c>
      <c r="J4433" s="22" t="e">
        <f>VLOOKUP($A4433, TAB_JUROS_C[[DIAS_CORRIDOS]:[V_FUT_UTEIS]], J$5, FALSE)</f>
        <v>#N/A</v>
      </c>
      <c r="K4433" s="22" t="e">
        <f>VLOOKUP($A4433, TAB_CORRECAO_C[[DIAS_CORRIDOS]:[V_FUT_UTEIS]],K$5, FALSE)</f>
        <v>#N/A</v>
      </c>
      <c r="L4433" s="22" t="e">
        <f>VLOOKUP($A4433, TAB_AMORTIZACAO_C[[DIAS_CORRIDOS]:[V_FUT_UTEIS]], L$5, FALSE)</f>
        <v>#N/A</v>
      </c>
    </row>
    <row r="4434" spans="1:12" hidden="1">
      <c r="A4434" s="19">
        <f t="shared" si="354"/>
        <v>4428</v>
      </c>
      <c r="B4434" s="20">
        <f t="shared" si="350"/>
        <v>0</v>
      </c>
      <c r="C4434" s="21">
        <f t="shared" si="351"/>
        <v>0</v>
      </c>
      <c r="D4434" s="22" t="e">
        <f>VLOOKUP($A4434, TAB_JUROS_U[[Q_DIAS_U_PARC_TIR]:[V_FUT_U_JURS CENARIO]], D$5, FALSE)</f>
        <v>#N/A</v>
      </c>
      <c r="E4434" s="22" t="e">
        <f>VLOOKUP($A4434,TAB_CORRECAO_U[[Q_DIAS_U_PARC_TIR]:[V_FUT_U_CORC-02]],E$5, FALSE)</f>
        <v>#N/A</v>
      </c>
      <c r="F4434" s="22" t="e">
        <f>VLOOKUP($A4434,TAB_AMORTIZACAO_U[[Q_DIAS_U_PARC_TIR]:[V_FUT_U_PCPL-02]], F$5, FALSE)</f>
        <v>#N/A</v>
      </c>
      <c r="H4434" s="20">
        <f t="shared" si="352"/>
        <v>0</v>
      </c>
      <c r="I4434" s="21">
        <f t="shared" si="353"/>
        <v>0</v>
      </c>
      <c r="J4434" s="22" t="e">
        <f>VLOOKUP($A4434, TAB_JUROS_C[[DIAS_CORRIDOS]:[V_FUT_UTEIS]], J$5, FALSE)</f>
        <v>#N/A</v>
      </c>
      <c r="K4434" s="22" t="e">
        <f>VLOOKUP($A4434, TAB_CORRECAO_C[[DIAS_CORRIDOS]:[V_FUT_UTEIS]],K$5, FALSE)</f>
        <v>#N/A</v>
      </c>
      <c r="L4434" s="22" t="e">
        <f>VLOOKUP($A4434, TAB_AMORTIZACAO_C[[DIAS_CORRIDOS]:[V_FUT_UTEIS]], L$5, FALSE)</f>
        <v>#N/A</v>
      </c>
    </row>
    <row r="4435" spans="1:12" hidden="1">
      <c r="A4435" s="19">
        <f t="shared" si="354"/>
        <v>4429</v>
      </c>
      <c r="B4435" s="20">
        <f t="shared" si="350"/>
        <v>0</v>
      </c>
      <c r="C4435" s="21">
        <f t="shared" si="351"/>
        <v>0</v>
      </c>
      <c r="D4435" s="22" t="e">
        <f>VLOOKUP($A4435, TAB_JUROS_U[[Q_DIAS_U_PARC_TIR]:[V_FUT_U_JURS CENARIO]], D$5, FALSE)</f>
        <v>#N/A</v>
      </c>
      <c r="E4435" s="22" t="e">
        <f>VLOOKUP($A4435,TAB_CORRECAO_U[[Q_DIAS_U_PARC_TIR]:[V_FUT_U_CORC-02]],E$5, FALSE)</f>
        <v>#N/A</v>
      </c>
      <c r="F4435" s="22" t="e">
        <f>VLOOKUP($A4435,TAB_AMORTIZACAO_U[[Q_DIAS_U_PARC_TIR]:[V_FUT_U_PCPL-02]], F$5, FALSE)</f>
        <v>#N/A</v>
      </c>
      <c r="H4435" s="20">
        <f t="shared" si="352"/>
        <v>0</v>
      </c>
      <c r="I4435" s="21">
        <f t="shared" si="353"/>
        <v>0</v>
      </c>
      <c r="J4435" s="22" t="e">
        <f>VLOOKUP($A4435, TAB_JUROS_C[[DIAS_CORRIDOS]:[V_FUT_UTEIS]], J$5, FALSE)</f>
        <v>#N/A</v>
      </c>
      <c r="K4435" s="22" t="e">
        <f>VLOOKUP($A4435, TAB_CORRECAO_C[[DIAS_CORRIDOS]:[V_FUT_UTEIS]],K$5, FALSE)</f>
        <v>#N/A</v>
      </c>
      <c r="L4435" s="22" t="e">
        <f>VLOOKUP($A4435, TAB_AMORTIZACAO_C[[DIAS_CORRIDOS]:[V_FUT_UTEIS]], L$5, FALSE)</f>
        <v>#N/A</v>
      </c>
    </row>
    <row r="4436" spans="1:12" hidden="1">
      <c r="A4436" s="19">
        <f t="shared" si="354"/>
        <v>4430</v>
      </c>
      <c r="B4436" s="20">
        <f t="shared" si="350"/>
        <v>0</v>
      </c>
      <c r="C4436" s="21">
        <f t="shared" si="351"/>
        <v>0</v>
      </c>
      <c r="D4436" s="22" t="e">
        <f>VLOOKUP($A4436, TAB_JUROS_U[[Q_DIAS_U_PARC_TIR]:[V_FUT_U_JURS CENARIO]], D$5, FALSE)</f>
        <v>#N/A</v>
      </c>
      <c r="E4436" s="22" t="e">
        <f>VLOOKUP($A4436,TAB_CORRECAO_U[[Q_DIAS_U_PARC_TIR]:[V_FUT_U_CORC-02]],E$5, FALSE)</f>
        <v>#N/A</v>
      </c>
      <c r="F4436" s="22" t="e">
        <f>VLOOKUP($A4436,TAB_AMORTIZACAO_U[[Q_DIAS_U_PARC_TIR]:[V_FUT_U_PCPL-02]], F$5, FALSE)</f>
        <v>#N/A</v>
      </c>
      <c r="H4436" s="20">
        <f t="shared" si="352"/>
        <v>0</v>
      </c>
      <c r="I4436" s="21">
        <f t="shared" si="353"/>
        <v>0</v>
      </c>
      <c r="J4436" s="22" t="e">
        <f>VLOOKUP($A4436, TAB_JUROS_C[[DIAS_CORRIDOS]:[V_FUT_UTEIS]], J$5, FALSE)</f>
        <v>#N/A</v>
      </c>
      <c r="K4436" s="22" t="e">
        <f>VLOOKUP($A4436, TAB_CORRECAO_C[[DIAS_CORRIDOS]:[V_FUT_UTEIS]],K$5, FALSE)</f>
        <v>#N/A</v>
      </c>
      <c r="L4436" s="22" t="e">
        <f>VLOOKUP($A4436, TAB_AMORTIZACAO_C[[DIAS_CORRIDOS]:[V_FUT_UTEIS]], L$5, FALSE)</f>
        <v>#N/A</v>
      </c>
    </row>
    <row r="4437" spans="1:12" hidden="1">
      <c r="A4437" s="19">
        <f t="shared" si="354"/>
        <v>4431</v>
      </c>
      <c r="B4437" s="20">
        <f t="shared" si="350"/>
        <v>0</v>
      </c>
      <c r="C4437" s="21">
        <f t="shared" si="351"/>
        <v>0</v>
      </c>
      <c r="D4437" s="22" t="e">
        <f>VLOOKUP($A4437, TAB_JUROS_U[[Q_DIAS_U_PARC_TIR]:[V_FUT_U_JURS CENARIO]], D$5, FALSE)</f>
        <v>#N/A</v>
      </c>
      <c r="E4437" s="22" t="e">
        <f>VLOOKUP($A4437,TAB_CORRECAO_U[[Q_DIAS_U_PARC_TIR]:[V_FUT_U_CORC-02]],E$5, FALSE)</f>
        <v>#N/A</v>
      </c>
      <c r="F4437" s="22" t="e">
        <f>VLOOKUP($A4437,TAB_AMORTIZACAO_U[[Q_DIAS_U_PARC_TIR]:[V_FUT_U_PCPL-02]], F$5, FALSE)</f>
        <v>#N/A</v>
      </c>
      <c r="H4437" s="20">
        <f t="shared" si="352"/>
        <v>0</v>
      </c>
      <c r="I4437" s="21">
        <f t="shared" si="353"/>
        <v>0</v>
      </c>
      <c r="J4437" s="22" t="e">
        <f>VLOOKUP($A4437, TAB_JUROS_C[[DIAS_CORRIDOS]:[V_FUT_UTEIS]], J$5, FALSE)</f>
        <v>#N/A</v>
      </c>
      <c r="K4437" s="22" t="e">
        <f>VLOOKUP($A4437, TAB_CORRECAO_C[[DIAS_CORRIDOS]:[V_FUT_UTEIS]],K$5, FALSE)</f>
        <v>#N/A</v>
      </c>
      <c r="L4437" s="22" t="e">
        <f>VLOOKUP($A4437, TAB_AMORTIZACAO_C[[DIAS_CORRIDOS]:[V_FUT_UTEIS]], L$5, FALSE)</f>
        <v>#N/A</v>
      </c>
    </row>
    <row r="4438" spans="1:12" hidden="1">
      <c r="A4438" s="19">
        <f t="shared" si="354"/>
        <v>4432</v>
      </c>
      <c r="B4438" s="20">
        <f t="shared" si="350"/>
        <v>0</v>
      </c>
      <c r="C4438" s="21">
        <f t="shared" si="351"/>
        <v>0</v>
      </c>
      <c r="D4438" s="22" t="e">
        <f>VLOOKUP($A4438, TAB_JUROS_U[[Q_DIAS_U_PARC_TIR]:[V_FUT_U_JURS CENARIO]], D$5, FALSE)</f>
        <v>#N/A</v>
      </c>
      <c r="E4438" s="22" t="e">
        <f>VLOOKUP($A4438,TAB_CORRECAO_U[[Q_DIAS_U_PARC_TIR]:[V_FUT_U_CORC-02]],E$5, FALSE)</f>
        <v>#N/A</v>
      </c>
      <c r="F4438" s="22" t="e">
        <f>VLOOKUP($A4438,TAB_AMORTIZACAO_U[[Q_DIAS_U_PARC_TIR]:[V_FUT_U_PCPL-02]], F$5, FALSE)</f>
        <v>#N/A</v>
      </c>
      <c r="H4438" s="20">
        <f t="shared" si="352"/>
        <v>0</v>
      </c>
      <c r="I4438" s="21">
        <f t="shared" si="353"/>
        <v>0</v>
      </c>
      <c r="J4438" s="22" t="e">
        <f>VLOOKUP($A4438, TAB_JUROS_C[[DIAS_CORRIDOS]:[V_FUT_UTEIS]], J$5, FALSE)</f>
        <v>#N/A</v>
      </c>
      <c r="K4438" s="22" t="e">
        <f>VLOOKUP($A4438, TAB_CORRECAO_C[[DIAS_CORRIDOS]:[V_FUT_UTEIS]],K$5, FALSE)</f>
        <v>#N/A</v>
      </c>
      <c r="L4438" s="22" t="e">
        <f>VLOOKUP($A4438, TAB_AMORTIZACAO_C[[DIAS_CORRIDOS]:[V_FUT_UTEIS]], L$5, FALSE)</f>
        <v>#N/A</v>
      </c>
    </row>
    <row r="4439" spans="1:12" hidden="1">
      <c r="A4439" s="19">
        <f t="shared" si="354"/>
        <v>4433</v>
      </c>
      <c r="B4439" s="20">
        <f t="shared" si="350"/>
        <v>0</v>
      </c>
      <c r="C4439" s="21">
        <f t="shared" si="351"/>
        <v>0</v>
      </c>
      <c r="D4439" s="22" t="e">
        <f>VLOOKUP($A4439, TAB_JUROS_U[[Q_DIAS_U_PARC_TIR]:[V_FUT_U_JURS CENARIO]], D$5, FALSE)</f>
        <v>#N/A</v>
      </c>
      <c r="E4439" s="22" t="e">
        <f>VLOOKUP($A4439,TAB_CORRECAO_U[[Q_DIAS_U_PARC_TIR]:[V_FUT_U_CORC-02]],E$5, FALSE)</f>
        <v>#N/A</v>
      </c>
      <c r="F4439" s="22" t="e">
        <f>VLOOKUP($A4439,TAB_AMORTIZACAO_U[[Q_DIAS_U_PARC_TIR]:[V_FUT_U_PCPL-02]], F$5, FALSE)</f>
        <v>#N/A</v>
      </c>
      <c r="H4439" s="20">
        <f t="shared" si="352"/>
        <v>0</v>
      </c>
      <c r="I4439" s="21">
        <f t="shared" si="353"/>
        <v>0</v>
      </c>
      <c r="J4439" s="22" t="e">
        <f>VLOOKUP($A4439, TAB_JUROS_C[[DIAS_CORRIDOS]:[V_FUT_UTEIS]], J$5, FALSE)</f>
        <v>#N/A</v>
      </c>
      <c r="K4439" s="22" t="e">
        <f>VLOOKUP($A4439, TAB_CORRECAO_C[[DIAS_CORRIDOS]:[V_FUT_UTEIS]],K$5, FALSE)</f>
        <v>#N/A</v>
      </c>
      <c r="L4439" s="22" t="e">
        <f>VLOOKUP($A4439, TAB_AMORTIZACAO_C[[DIAS_CORRIDOS]:[V_FUT_UTEIS]], L$5, FALSE)</f>
        <v>#N/A</v>
      </c>
    </row>
    <row r="4440" spans="1:12" hidden="1">
      <c r="A4440" s="19">
        <f t="shared" si="354"/>
        <v>4434</v>
      </c>
      <c r="B4440" s="20">
        <f t="shared" si="350"/>
        <v>0</v>
      </c>
      <c r="C4440" s="21">
        <f t="shared" si="351"/>
        <v>0</v>
      </c>
      <c r="D4440" s="22" t="e">
        <f>VLOOKUP($A4440, TAB_JUROS_U[[Q_DIAS_U_PARC_TIR]:[V_FUT_U_JURS CENARIO]], D$5, FALSE)</f>
        <v>#N/A</v>
      </c>
      <c r="E4440" s="22" t="e">
        <f>VLOOKUP($A4440,TAB_CORRECAO_U[[Q_DIAS_U_PARC_TIR]:[V_FUT_U_CORC-02]],E$5, FALSE)</f>
        <v>#N/A</v>
      </c>
      <c r="F4440" s="22" t="e">
        <f>VLOOKUP($A4440,TAB_AMORTIZACAO_U[[Q_DIAS_U_PARC_TIR]:[V_FUT_U_PCPL-02]], F$5, FALSE)</f>
        <v>#N/A</v>
      </c>
      <c r="H4440" s="20">
        <f t="shared" si="352"/>
        <v>0</v>
      </c>
      <c r="I4440" s="21">
        <f t="shared" si="353"/>
        <v>0</v>
      </c>
      <c r="J4440" s="22" t="e">
        <f>VLOOKUP($A4440, TAB_JUROS_C[[DIAS_CORRIDOS]:[V_FUT_UTEIS]], J$5, FALSE)</f>
        <v>#N/A</v>
      </c>
      <c r="K4440" s="22" t="e">
        <f>VLOOKUP($A4440, TAB_CORRECAO_C[[DIAS_CORRIDOS]:[V_FUT_UTEIS]],K$5, FALSE)</f>
        <v>#N/A</v>
      </c>
      <c r="L4440" s="22" t="e">
        <f>VLOOKUP($A4440, TAB_AMORTIZACAO_C[[DIAS_CORRIDOS]:[V_FUT_UTEIS]], L$5, FALSE)</f>
        <v>#N/A</v>
      </c>
    </row>
    <row r="4441" spans="1:12" hidden="1">
      <c r="A4441" s="19">
        <f t="shared" si="354"/>
        <v>4435</v>
      </c>
      <c r="B4441" s="20">
        <f t="shared" si="350"/>
        <v>0</v>
      </c>
      <c r="C4441" s="21">
        <f t="shared" si="351"/>
        <v>0</v>
      </c>
      <c r="D4441" s="22" t="e">
        <f>VLOOKUP($A4441, TAB_JUROS_U[[Q_DIAS_U_PARC_TIR]:[V_FUT_U_JURS CENARIO]], D$5, FALSE)</f>
        <v>#N/A</v>
      </c>
      <c r="E4441" s="22" t="e">
        <f>VLOOKUP($A4441,TAB_CORRECAO_U[[Q_DIAS_U_PARC_TIR]:[V_FUT_U_CORC-02]],E$5, FALSE)</f>
        <v>#N/A</v>
      </c>
      <c r="F4441" s="22" t="e">
        <f>VLOOKUP($A4441,TAB_AMORTIZACAO_U[[Q_DIAS_U_PARC_TIR]:[V_FUT_U_PCPL-02]], F$5, FALSE)</f>
        <v>#N/A</v>
      </c>
      <c r="H4441" s="20">
        <f t="shared" si="352"/>
        <v>0</v>
      </c>
      <c r="I4441" s="21">
        <f t="shared" si="353"/>
        <v>0</v>
      </c>
      <c r="J4441" s="22" t="e">
        <f>VLOOKUP($A4441, TAB_JUROS_C[[DIAS_CORRIDOS]:[V_FUT_UTEIS]], J$5, FALSE)</f>
        <v>#N/A</v>
      </c>
      <c r="K4441" s="22" t="e">
        <f>VLOOKUP($A4441, TAB_CORRECAO_C[[DIAS_CORRIDOS]:[V_FUT_UTEIS]],K$5, FALSE)</f>
        <v>#N/A</v>
      </c>
      <c r="L4441" s="22" t="e">
        <f>VLOOKUP($A4441, TAB_AMORTIZACAO_C[[DIAS_CORRIDOS]:[V_FUT_UTEIS]], L$5, FALSE)</f>
        <v>#N/A</v>
      </c>
    </row>
    <row r="4442" spans="1:12" hidden="1">
      <c r="A4442" s="19">
        <f t="shared" si="354"/>
        <v>4436</v>
      </c>
      <c r="B4442" s="20">
        <f t="shared" si="350"/>
        <v>0</v>
      </c>
      <c r="C4442" s="21">
        <f t="shared" si="351"/>
        <v>0</v>
      </c>
      <c r="D4442" s="22" t="e">
        <f>VLOOKUP($A4442, TAB_JUROS_U[[Q_DIAS_U_PARC_TIR]:[V_FUT_U_JURS CENARIO]], D$5, FALSE)</f>
        <v>#N/A</v>
      </c>
      <c r="E4442" s="22" t="e">
        <f>VLOOKUP($A4442,TAB_CORRECAO_U[[Q_DIAS_U_PARC_TIR]:[V_FUT_U_CORC-02]],E$5, FALSE)</f>
        <v>#N/A</v>
      </c>
      <c r="F4442" s="22" t="e">
        <f>VLOOKUP($A4442,TAB_AMORTIZACAO_U[[Q_DIAS_U_PARC_TIR]:[V_FUT_U_PCPL-02]], F$5, FALSE)</f>
        <v>#N/A</v>
      </c>
      <c r="H4442" s="20">
        <f t="shared" si="352"/>
        <v>0</v>
      </c>
      <c r="I4442" s="21">
        <f t="shared" si="353"/>
        <v>0</v>
      </c>
      <c r="J4442" s="22" t="e">
        <f>VLOOKUP($A4442, TAB_JUROS_C[[DIAS_CORRIDOS]:[V_FUT_UTEIS]], J$5, FALSE)</f>
        <v>#N/A</v>
      </c>
      <c r="K4442" s="22" t="e">
        <f>VLOOKUP($A4442, TAB_CORRECAO_C[[DIAS_CORRIDOS]:[V_FUT_UTEIS]],K$5, FALSE)</f>
        <v>#N/A</v>
      </c>
      <c r="L4442" s="22" t="e">
        <f>VLOOKUP($A4442, TAB_AMORTIZACAO_C[[DIAS_CORRIDOS]:[V_FUT_UTEIS]], L$5, FALSE)</f>
        <v>#N/A</v>
      </c>
    </row>
    <row r="4443" spans="1:12" hidden="1">
      <c r="A4443" s="19">
        <f t="shared" si="354"/>
        <v>4437</v>
      </c>
      <c r="B4443" s="20">
        <f t="shared" si="350"/>
        <v>0</v>
      </c>
      <c r="C4443" s="21">
        <f t="shared" si="351"/>
        <v>0</v>
      </c>
      <c r="D4443" s="22" t="e">
        <f>VLOOKUP($A4443, TAB_JUROS_U[[Q_DIAS_U_PARC_TIR]:[V_FUT_U_JURS CENARIO]], D$5, FALSE)</f>
        <v>#N/A</v>
      </c>
      <c r="E4443" s="22" t="e">
        <f>VLOOKUP($A4443,TAB_CORRECAO_U[[Q_DIAS_U_PARC_TIR]:[V_FUT_U_CORC-02]],E$5, FALSE)</f>
        <v>#N/A</v>
      </c>
      <c r="F4443" s="22" t="e">
        <f>VLOOKUP($A4443,TAB_AMORTIZACAO_U[[Q_DIAS_U_PARC_TIR]:[V_FUT_U_PCPL-02]], F$5, FALSE)</f>
        <v>#N/A</v>
      </c>
      <c r="H4443" s="20">
        <f t="shared" si="352"/>
        <v>0</v>
      </c>
      <c r="I4443" s="21">
        <f t="shared" si="353"/>
        <v>0</v>
      </c>
      <c r="J4443" s="22" t="e">
        <f>VLOOKUP($A4443, TAB_JUROS_C[[DIAS_CORRIDOS]:[V_FUT_UTEIS]], J$5, FALSE)</f>
        <v>#N/A</v>
      </c>
      <c r="K4443" s="22" t="e">
        <f>VLOOKUP($A4443, TAB_CORRECAO_C[[DIAS_CORRIDOS]:[V_FUT_UTEIS]],K$5, FALSE)</f>
        <v>#N/A</v>
      </c>
      <c r="L4443" s="22" t="e">
        <f>VLOOKUP($A4443, TAB_AMORTIZACAO_C[[DIAS_CORRIDOS]:[V_FUT_UTEIS]], L$5, FALSE)</f>
        <v>#N/A</v>
      </c>
    </row>
    <row r="4444" spans="1:12" hidden="1">
      <c r="A4444" s="19">
        <f t="shared" si="354"/>
        <v>4438</v>
      </c>
      <c r="B4444" s="20">
        <f t="shared" si="350"/>
        <v>0</v>
      </c>
      <c r="C4444" s="21">
        <f t="shared" si="351"/>
        <v>0</v>
      </c>
      <c r="D4444" s="22" t="e">
        <f>VLOOKUP($A4444, TAB_JUROS_U[[Q_DIAS_U_PARC_TIR]:[V_FUT_U_JURS CENARIO]], D$5, FALSE)</f>
        <v>#N/A</v>
      </c>
      <c r="E4444" s="22" t="e">
        <f>VLOOKUP($A4444,TAB_CORRECAO_U[[Q_DIAS_U_PARC_TIR]:[V_FUT_U_CORC-02]],E$5, FALSE)</f>
        <v>#N/A</v>
      </c>
      <c r="F4444" s="22" t="e">
        <f>VLOOKUP($A4444,TAB_AMORTIZACAO_U[[Q_DIAS_U_PARC_TIR]:[V_FUT_U_PCPL-02]], F$5, FALSE)</f>
        <v>#N/A</v>
      </c>
      <c r="H4444" s="20">
        <f t="shared" si="352"/>
        <v>0</v>
      </c>
      <c r="I4444" s="21">
        <f t="shared" si="353"/>
        <v>0</v>
      </c>
      <c r="J4444" s="22" t="e">
        <f>VLOOKUP($A4444, TAB_JUROS_C[[DIAS_CORRIDOS]:[V_FUT_UTEIS]], J$5, FALSE)</f>
        <v>#N/A</v>
      </c>
      <c r="K4444" s="22" t="e">
        <f>VLOOKUP($A4444, TAB_CORRECAO_C[[DIAS_CORRIDOS]:[V_FUT_UTEIS]],K$5, FALSE)</f>
        <v>#N/A</v>
      </c>
      <c r="L4444" s="22" t="e">
        <f>VLOOKUP($A4444, TAB_AMORTIZACAO_C[[DIAS_CORRIDOS]:[V_FUT_UTEIS]], L$5, FALSE)</f>
        <v>#N/A</v>
      </c>
    </row>
    <row r="4445" spans="1:12" hidden="1">
      <c r="A4445" s="19">
        <f t="shared" si="354"/>
        <v>4439</v>
      </c>
      <c r="B4445" s="20">
        <f t="shared" si="350"/>
        <v>0</v>
      </c>
      <c r="C4445" s="21">
        <f t="shared" si="351"/>
        <v>0</v>
      </c>
      <c r="D4445" s="22" t="e">
        <f>VLOOKUP($A4445, TAB_JUROS_U[[Q_DIAS_U_PARC_TIR]:[V_FUT_U_JURS CENARIO]], D$5, FALSE)</f>
        <v>#N/A</v>
      </c>
      <c r="E4445" s="22" t="e">
        <f>VLOOKUP($A4445,TAB_CORRECAO_U[[Q_DIAS_U_PARC_TIR]:[V_FUT_U_CORC-02]],E$5, FALSE)</f>
        <v>#N/A</v>
      </c>
      <c r="F4445" s="22" t="e">
        <f>VLOOKUP($A4445,TAB_AMORTIZACAO_U[[Q_DIAS_U_PARC_TIR]:[V_FUT_U_PCPL-02]], F$5, FALSE)</f>
        <v>#N/A</v>
      </c>
      <c r="H4445" s="20">
        <f t="shared" si="352"/>
        <v>0</v>
      </c>
      <c r="I4445" s="21">
        <f t="shared" si="353"/>
        <v>0</v>
      </c>
      <c r="J4445" s="22" t="e">
        <f>VLOOKUP($A4445, TAB_JUROS_C[[DIAS_CORRIDOS]:[V_FUT_UTEIS]], J$5, FALSE)</f>
        <v>#N/A</v>
      </c>
      <c r="K4445" s="22" t="e">
        <f>VLOOKUP($A4445, TAB_CORRECAO_C[[DIAS_CORRIDOS]:[V_FUT_UTEIS]],K$5, FALSE)</f>
        <v>#N/A</v>
      </c>
      <c r="L4445" s="22" t="e">
        <f>VLOOKUP($A4445, TAB_AMORTIZACAO_C[[DIAS_CORRIDOS]:[V_FUT_UTEIS]], L$5, FALSE)</f>
        <v>#N/A</v>
      </c>
    </row>
    <row r="4446" spans="1:12" hidden="1">
      <c r="A4446" s="19">
        <f t="shared" si="354"/>
        <v>4440</v>
      </c>
      <c r="B4446" s="20">
        <f t="shared" si="350"/>
        <v>0</v>
      </c>
      <c r="C4446" s="21">
        <f t="shared" si="351"/>
        <v>0</v>
      </c>
      <c r="D4446" s="22" t="e">
        <f>VLOOKUP($A4446, TAB_JUROS_U[[Q_DIAS_U_PARC_TIR]:[V_FUT_U_JURS CENARIO]], D$5, FALSE)</f>
        <v>#N/A</v>
      </c>
      <c r="E4446" s="22" t="e">
        <f>VLOOKUP($A4446,TAB_CORRECAO_U[[Q_DIAS_U_PARC_TIR]:[V_FUT_U_CORC-02]],E$5, FALSE)</f>
        <v>#N/A</v>
      </c>
      <c r="F4446" s="22" t="e">
        <f>VLOOKUP($A4446,TAB_AMORTIZACAO_U[[Q_DIAS_U_PARC_TIR]:[V_FUT_U_PCPL-02]], F$5, FALSE)</f>
        <v>#N/A</v>
      </c>
      <c r="H4446" s="20">
        <f t="shared" si="352"/>
        <v>0</v>
      </c>
      <c r="I4446" s="21">
        <f t="shared" si="353"/>
        <v>0</v>
      </c>
      <c r="J4446" s="22" t="e">
        <f>VLOOKUP($A4446, TAB_JUROS_C[[DIAS_CORRIDOS]:[V_FUT_UTEIS]], J$5, FALSE)</f>
        <v>#N/A</v>
      </c>
      <c r="K4446" s="22" t="e">
        <f>VLOOKUP($A4446, TAB_CORRECAO_C[[DIAS_CORRIDOS]:[V_FUT_UTEIS]],K$5, FALSE)</f>
        <v>#N/A</v>
      </c>
      <c r="L4446" s="22" t="e">
        <f>VLOOKUP($A4446, TAB_AMORTIZACAO_C[[DIAS_CORRIDOS]:[V_FUT_UTEIS]], L$5, FALSE)</f>
        <v>#N/A</v>
      </c>
    </row>
    <row r="4447" spans="1:12" hidden="1">
      <c r="A4447" s="19">
        <f t="shared" si="354"/>
        <v>4441</v>
      </c>
      <c r="B4447" s="20">
        <f t="shared" si="350"/>
        <v>0</v>
      </c>
      <c r="C4447" s="21">
        <f t="shared" si="351"/>
        <v>0</v>
      </c>
      <c r="D4447" s="22" t="e">
        <f>VLOOKUP($A4447, TAB_JUROS_U[[Q_DIAS_U_PARC_TIR]:[V_FUT_U_JURS CENARIO]], D$5, FALSE)</f>
        <v>#N/A</v>
      </c>
      <c r="E4447" s="22" t="e">
        <f>VLOOKUP($A4447,TAB_CORRECAO_U[[Q_DIAS_U_PARC_TIR]:[V_FUT_U_CORC-02]],E$5, FALSE)</f>
        <v>#N/A</v>
      </c>
      <c r="F4447" s="22" t="e">
        <f>VLOOKUP($A4447,TAB_AMORTIZACAO_U[[Q_DIAS_U_PARC_TIR]:[V_FUT_U_PCPL-02]], F$5, FALSE)</f>
        <v>#N/A</v>
      </c>
      <c r="H4447" s="20">
        <f t="shared" si="352"/>
        <v>0</v>
      </c>
      <c r="I4447" s="21">
        <f t="shared" si="353"/>
        <v>0</v>
      </c>
      <c r="J4447" s="22" t="e">
        <f>VLOOKUP($A4447, TAB_JUROS_C[[DIAS_CORRIDOS]:[V_FUT_UTEIS]], J$5, FALSE)</f>
        <v>#N/A</v>
      </c>
      <c r="K4447" s="22" t="e">
        <f>VLOOKUP($A4447, TAB_CORRECAO_C[[DIAS_CORRIDOS]:[V_FUT_UTEIS]],K$5, FALSE)</f>
        <v>#N/A</v>
      </c>
      <c r="L4447" s="22" t="e">
        <f>VLOOKUP($A4447, TAB_AMORTIZACAO_C[[DIAS_CORRIDOS]:[V_FUT_UTEIS]], L$5, FALSE)</f>
        <v>#N/A</v>
      </c>
    </row>
    <row r="4448" spans="1:12" hidden="1">
      <c r="A4448" s="19">
        <f t="shared" si="354"/>
        <v>4442</v>
      </c>
      <c r="B4448" s="20">
        <f t="shared" si="350"/>
        <v>0</v>
      </c>
      <c r="C4448" s="21">
        <f t="shared" si="351"/>
        <v>0</v>
      </c>
      <c r="D4448" s="22" t="e">
        <f>VLOOKUP($A4448, TAB_JUROS_U[[Q_DIAS_U_PARC_TIR]:[V_FUT_U_JURS CENARIO]], D$5, FALSE)</f>
        <v>#N/A</v>
      </c>
      <c r="E4448" s="22" t="e">
        <f>VLOOKUP($A4448,TAB_CORRECAO_U[[Q_DIAS_U_PARC_TIR]:[V_FUT_U_CORC-02]],E$5, FALSE)</f>
        <v>#N/A</v>
      </c>
      <c r="F4448" s="22" t="e">
        <f>VLOOKUP($A4448,TAB_AMORTIZACAO_U[[Q_DIAS_U_PARC_TIR]:[V_FUT_U_PCPL-02]], F$5, FALSE)</f>
        <v>#N/A</v>
      </c>
      <c r="H4448" s="20">
        <f t="shared" si="352"/>
        <v>0</v>
      </c>
      <c r="I4448" s="21">
        <f t="shared" si="353"/>
        <v>0</v>
      </c>
      <c r="J4448" s="22" t="e">
        <f>VLOOKUP($A4448, TAB_JUROS_C[[DIAS_CORRIDOS]:[V_FUT_UTEIS]], J$5, FALSE)</f>
        <v>#N/A</v>
      </c>
      <c r="K4448" s="22" t="e">
        <f>VLOOKUP($A4448, TAB_CORRECAO_C[[DIAS_CORRIDOS]:[V_FUT_UTEIS]],K$5, FALSE)</f>
        <v>#N/A</v>
      </c>
      <c r="L4448" s="22" t="e">
        <f>VLOOKUP($A4448, TAB_AMORTIZACAO_C[[DIAS_CORRIDOS]:[V_FUT_UTEIS]], L$5, FALSE)</f>
        <v>#N/A</v>
      </c>
    </row>
    <row r="4449" spans="1:12" hidden="1">
      <c r="A4449" s="19">
        <f t="shared" si="354"/>
        <v>4443</v>
      </c>
      <c r="B4449" s="20">
        <f t="shared" si="350"/>
        <v>0</v>
      </c>
      <c r="C4449" s="21">
        <f t="shared" si="351"/>
        <v>0</v>
      </c>
      <c r="D4449" s="22" t="e">
        <f>VLOOKUP($A4449, TAB_JUROS_U[[Q_DIAS_U_PARC_TIR]:[V_FUT_U_JURS CENARIO]], D$5, FALSE)</f>
        <v>#N/A</v>
      </c>
      <c r="E4449" s="22" t="e">
        <f>VLOOKUP($A4449,TAB_CORRECAO_U[[Q_DIAS_U_PARC_TIR]:[V_FUT_U_CORC-02]],E$5, FALSE)</f>
        <v>#N/A</v>
      </c>
      <c r="F4449" s="22" t="e">
        <f>VLOOKUP($A4449,TAB_AMORTIZACAO_U[[Q_DIAS_U_PARC_TIR]:[V_FUT_U_PCPL-02]], F$5, FALSE)</f>
        <v>#N/A</v>
      </c>
      <c r="H4449" s="20">
        <f t="shared" si="352"/>
        <v>0</v>
      </c>
      <c r="I4449" s="21">
        <f t="shared" si="353"/>
        <v>0</v>
      </c>
      <c r="J4449" s="22" t="e">
        <f>VLOOKUP($A4449, TAB_JUROS_C[[DIAS_CORRIDOS]:[V_FUT_UTEIS]], J$5, FALSE)</f>
        <v>#N/A</v>
      </c>
      <c r="K4449" s="22" t="e">
        <f>VLOOKUP($A4449, TAB_CORRECAO_C[[DIAS_CORRIDOS]:[V_FUT_UTEIS]],K$5, FALSE)</f>
        <v>#N/A</v>
      </c>
      <c r="L4449" s="22" t="e">
        <f>VLOOKUP($A4449, TAB_AMORTIZACAO_C[[DIAS_CORRIDOS]:[V_FUT_UTEIS]], L$5, FALSE)</f>
        <v>#N/A</v>
      </c>
    </row>
    <row r="4450" spans="1:12" hidden="1">
      <c r="A4450" s="19">
        <f t="shared" si="354"/>
        <v>4444</v>
      </c>
      <c r="B4450" s="20">
        <f t="shared" si="350"/>
        <v>0</v>
      </c>
      <c r="C4450" s="21">
        <f t="shared" si="351"/>
        <v>0</v>
      </c>
      <c r="D4450" s="22" t="e">
        <f>VLOOKUP($A4450, TAB_JUROS_U[[Q_DIAS_U_PARC_TIR]:[V_FUT_U_JURS CENARIO]], D$5, FALSE)</f>
        <v>#N/A</v>
      </c>
      <c r="E4450" s="22" t="e">
        <f>VLOOKUP($A4450,TAB_CORRECAO_U[[Q_DIAS_U_PARC_TIR]:[V_FUT_U_CORC-02]],E$5, FALSE)</f>
        <v>#N/A</v>
      </c>
      <c r="F4450" s="22" t="e">
        <f>VLOOKUP($A4450,TAB_AMORTIZACAO_U[[Q_DIAS_U_PARC_TIR]:[V_FUT_U_PCPL-02]], F$5, FALSE)</f>
        <v>#N/A</v>
      </c>
      <c r="H4450" s="20">
        <f t="shared" si="352"/>
        <v>0</v>
      </c>
      <c r="I4450" s="21">
        <f t="shared" si="353"/>
        <v>0</v>
      </c>
      <c r="J4450" s="22" t="e">
        <f>VLOOKUP($A4450, TAB_JUROS_C[[DIAS_CORRIDOS]:[V_FUT_UTEIS]], J$5, FALSE)</f>
        <v>#N/A</v>
      </c>
      <c r="K4450" s="22" t="e">
        <f>VLOOKUP($A4450, TAB_CORRECAO_C[[DIAS_CORRIDOS]:[V_FUT_UTEIS]],K$5, FALSE)</f>
        <v>#N/A</v>
      </c>
      <c r="L4450" s="22" t="e">
        <f>VLOOKUP($A4450, TAB_AMORTIZACAO_C[[DIAS_CORRIDOS]:[V_FUT_UTEIS]], L$5, FALSE)</f>
        <v>#N/A</v>
      </c>
    </row>
    <row r="4451" spans="1:12" hidden="1">
      <c r="A4451" s="19">
        <f t="shared" si="354"/>
        <v>4445</v>
      </c>
      <c r="B4451" s="20">
        <f t="shared" si="350"/>
        <v>0</v>
      </c>
      <c r="C4451" s="21">
        <f t="shared" si="351"/>
        <v>0</v>
      </c>
      <c r="D4451" s="22" t="e">
        <f>VLOOKUP($A4451, TAB_JUROS_U[[Q_DIAS_U_PARC_TIR]:[V_FUT_U_JURS CENARIO]], D$5, FALSE)</f>
        <v>#N/A</v>
      </c>
      <c r="E4451" s="22" t="e">
        <f>VLOOKUP($A4451,TAB_CORRECAO_U[[Q_DIAS_U_PARC_TIR]:[V_FUT_U_CORC-02]],E$5, FALSE)</f>
        <v>#N/A</v>
      </c>
      <c r="F4451" s="22" t="e">
        <f>VLOOKUP($A4451,TAB_AMORTIZACAO_U[[Q_DIAS_U_PARC_TIR]:[V_FUT_U_PCPL-02]], F$5, FALSE)</f>
        <v>#N/A</v>
      </c>
      <c r="H4451" s="20">
        <f t="shared" si="352"/>
        <v>0</v>
      </c>
      <c r="I4451" s="21">
        <f t="shared" si="353"/>
        <v>0</v>
      </c>
      <c r="J4451" s="22" t="e">
        <f>VLOOKUP($A4451, TAB_JUROS_C[[DIAS_CORRIDOS]:[V_FUT_UTEIS]], J$5, FALSE)</f>
        <v>#N/A</v>
      </c>
      <c r="K4451" s="22" t="e">
        <f>VLOOKUP($A4451, TAB_CORRECAO_C[[DIAS_CORRIDOS]:[V_FUT_UTEIS]],K$5, FALSE)</f>
        <v>#N/A</v>
      </c>
      <c r="L4451" s="22" t="e">
        <f>VLOOKUP($A4451, TAB_AMORTIZACAO_C[[DIAS_CORRIDOS]:[V_FUT_UTEIS]], L$5, FALSE)</f>
        <v>#N/A</v>
      </c>
    </row>
    <row r="4452" spans="1:12" hidden="1">
      <c r="A4452" s="19">
        <f t="shared" si="354"/>
        <v>4446</v>
      </c>
      <c r="B4452" s="20">
        <f t="shared" si="350"/>
        <v>0</v>
      </c>
      <c r="C4452" s="21">
        <f t="shared" si="351"/>
        <v>0</v>
      </c>
      <c r="D4452" s="22" t="e">
        <f>VLOOKUP($A4452, TAB_JUROS_U[[Q_DIAS_U_PARC_TIR]:[V_FUT_U_JURS CENARIO]], D$5, FALSE)</f>
        <v>#N/A</v>
      </c>
      <c r="E4452" s="22" t="e">
        <f>VLOOKUP($A4452,TAB_CORRECAO_U[[Q_DIAS_U_PARC_TIR]:[V_FUT_U_CORC-02]],E$5, FALSE)</f>
        <v>#N/A</v>
      </c>
      <c r="F4452" s="22" t="e">
        <f>VLOOKUP($A4452,TAB_AMORTIZACAO_U[[Q_DIAS_U_PARC_TIR]:[V_FUT_U_PCPL-02]], F$5, FALSE)</f>
        <v>#N/A</v>
      </c>
      <c r="H4452" s="20">
        <f t="shared" si="352"/>
        <v>0</v>
      </c>
      <c r="I4452" s="21">
        <f t="shared" si="353"/>
        <v>0</v>
      </c>
      <c r="J4452" s="22" t="e">
        <f>VLOOKUP($A4452, TAB_JUROS_C[[DIAS_CORRIDOS]:[V_FUT_UTEIS]], J$5, FALSE)</f>
        <v>#N/A</v>
      </c>
      <c r="K4452" s="22" t="e">
        <f>VLOOKUP($A4452, TAB_CORRECAO_C[[DIAS_CORRIDOS]:[V_FUT_UTEIS]],K$5, FALSE)</f>
        <v>#N/A</v>
      </c>
      <c r="L4452" s="22" t="e">
        <f>VLOOKUP($A4452, TAB_AMORTIZACAO_C[[DIAS_CORRIDOS]:[V_FUT_UTEIS]], L$5, FALSE)</f>
        <v>#N/A</v>
      </c>
    </row>
    <row r="4453" spans="1:12" hidden="1">
      <c r="A4453" s="19">
        <f t="shared" si="354"/>
        <v>4447</v>
      </c>
      <c r="B4453" s="20">
        <f t="shared" si="350"/>
        <v>0</v>
      </c>
      <c r="C4453" s="21">
        <f t="shared" si="351"/>
        <v>0</v>
      </c>
      <c r="D4453" s="22" t="e">
        <f>VLOOKUP($A4453, TAB_JUROS_U[[Q_DIAS_U_PARC_TIR]:[V_FUT_U_JURS CENARIO]], D$5, FALSE)</f>
        <v>#N/A</v>
      </c>
      <c r="E4453" s="22" t="e">
        <f>VLOOKUP($A4453,TAB_CORRECAO_U[[Q_DIAS_U_PARC_TIR]:[V_FUT_U_CORC-02]],E$5, FALSE)</f>
        <v>#N/A</v>
      </c>
      <c r="F4453" s="22" t="e">
        <f>VLOOKUP($A4453,TAB_AMORTIZACAO_U[[Q_DIAS_U_PARC_TIR]:[V_FUT_U_PCPL-02]], F$5, FALSE)</f>
        <v>#N/A</v>
      </c>
      <c r="H4453" s="20">
        <f t="shared" si="352"/>
        <v>0</v>
      </c>
      <c r="I4453" s="21">
        <f t="shared" si="353"/>
        <v>0</v>
      </c>
      <c r="J4453" s="22" t="e">
        <f>VLOOKUP($A4453, TAB_JUROS_C[[DIAS_CORRIDOS]:[V_FUT_UTEIS]], J$5, FALSE)</f>
        <v>#N/A</v>
      </c>
      <c r="K4453" s="22" t="e">
        <f>VLOOKUP($A4453, TAB_CORRECAO_C[[DIAS_CORRIDOS]:[V_FUT_UTEIS]],K$5, FALSE)</f>
        <v>#N/A</v>
      </c>
      <c r="L4453" s="22" t="e">
        <f>VLOOKUP($A4453, TAB_AMORTIZACAO_C[[DIAS_CORRIDOS]:[V_FUT_UTEIS]], L$5, FALSE)</f>
        <v>#N/A</v>
      </c>
    </row>
    <row r="4454" spans="1:12" hidden="1">
      <c r="A4454" s="19">
        <f t="shared" si="354"/>
        <v>4448</v>
      </c>
      <c r="B4454" s="20">
        <f t="shared" si="350"/>
        <v>0</v>
      </c>
      <c r="C4454" s="21">
        <f t="shared" si="351"/>
        <v>0</v>
      </c>
      <c r="D4454" s="22" t="e">
        <f>VLOOKUP($A4454, TAB_JUROS_U[[Q_DIAS_U_PARC_TIR]:[V_FUT_U_JURS CENARIO]], D$5, FALSE)</f>
        <v>#N/A</v>
      </c>
      <c r="E4454" s="22" t="e">
        <f>VLOOKUP($A4454,TAB_CORRECAO_U[[Q_DIAS_U_PARC_TIR]:[V_FUT_U_CORC-02]],E$5, FALSE)</f>
        <v>#N/A</v>
      </c>
      <c r="F4454" s="22" t="e">
        <f>VLOOKUP($A4454,TAB_AMORTIZACAO_U[[Q_DIAS_U_PARC_TIR]:[V_FUT_U_PCPL-02]], F$5, FALSE)</f>
        <v>#N/A</v>
      </c>
      <c r="H4454" s="20">
        <f t="shared" si="352"/>
        <v>0</v>
      </c>
      <c r="I4454" s="21">
        <f t="shared" si="353"/>
        <v>0</v>
      </c>
      <c r="J4454" s="22" t="e">
        <f>VLOOKUP($A4454, TAB_JUROS_C[[DIAS_CORRIDOS]:[V_FUT_UTEIS]], J$5, FALSE)</f>
        <v>#N/A</v>
      </c>
      <c r="K4454" s="22" t="e">
        <f>VLOOKUP($A4454, TAB_CORRECAO_C[[DIAS_CORRIDOS]:[V_FUT_UTEIS]],K$5, FALSE)</f>
        <v>#N/A</v>
      </c>
      <c r="L4454" s="22" t="e">
        <f>VLOOKUP($A4454, TAB_AMORTIZACAO_C[[DIAS_CORRIDOS]:[V_FUT_UTEIS]], L$5, FALSE)</f>
        <v>#N/A</v>
      </c>
    </row>
    <row r="4455" spans="1:12" hidden="1">
      <c r="A4455" s="19">
        <f t="shared" si="354"/>
        <v>4449</v>
      </c>
      <c r="B4455" s="20">
        <f t="shared" si="350"/>
        <v>0</v>
      </c>
      <c r="C4455" s="21">
        <f t="shared" si="351"/>
        <v>0</v>
      </c>
      <c r="D4455" s="22" t="e">
        <f>VLOOKUP($A4455, TAB_JUROS_U[[Q_DIAS_U_PARC_TIR]:[V_FUT_U_JURS CENARIO]], D$5, FALSE)</f>
        <v>#N/A</v>
      </c>
      <c r="E4455" s="22" t="e">
        <f>VLOOKUP($A4455,TAB_CORRECAO_U[[Q_DIAS_U_PARC_TIR]:[V_FUT_U_CORC-02]],E$5, FALSE)</f>
        <v>#N/A</v>
      </c>
      <c r="F4455" s="22" t="e">
        <f>VLOOKUP($A4455,TAB_AMORTIZACAO_U[[Q_DIAS_U_PARC_TIR]:[V_FUT_U_PCPL-02]], F$5, FALSE)</f>
        <v>#N/A</v>
      </c>
      <c r="H4455" s="20">
        <f t="shared" si="352"/>
        <v>0</v>
      </c>
      <c r="I4455" s="21">
        <f t="shared" si="353"/>
        <v>0</v>
      </c>
      <c r="J4455" s="22" t="e">
        <f>VLOOKUP($A4455, TAB_JUROS_C[[DIAS_CORRIDOS]:[V_FUT_UTEIS]], J$5, FALSE)</f>
        <v>#N/A</v>
      </c>
      <c r="K4455" s="22" t="e">
        <f>VLOOKUP($A4455, TAB_CORRECAO_C[[DIAS_CORRIDOS]:[V_FUT_UTEIS]],K$5, FALSE)</f>
        <v>#N/A</v>
      </c>
      <c r="L4455" s="22" t="e">
        <f>VLOOKUP($A4455, TAB_AMORTIZACAO_C[[DIAS_CORRIDOS]:[V_FUT_UTEIS]], L$5, FALSE)</f>
        <v>#N/A</v>
      </c>
    </row>
    <row r="4456" spans="1:12" hidden="1">
      <c r="A4456" s="19">
        <f t="shared" si="354"/>
        <v>4450</v>
      </c>
      <c r="B4456" s="20">
        <f t="shared" si="350"/>
        <v>0</v>
      </c>
      <c r="C4456" s="21">
        <f t="shared" si="351"/>
        <v>0</v>
      </c>
      <c r="D4456" s="22" t="e">
        <f>VLOOKUP($A4456, TAB_JUROS_U[[Q_DIAS_U_PARC_TIR]:[V_FUT_U_JURS CENARIO]], D$5, FALSE)</f>
        <v>#N/A</v>
      </c>
      <c r="E4456" s="22" t="e">
        <f>VLOOKUP($A4456,TAB_CORRECAO_U[[Q_DIAS_U_PARC_TIR]:[V_FUT_U_CORC-02]],E$5, FALSE)</f>
        <v>#N/A</v>
      </c>
      <c r="F4456" s="22" t="e">
        <f>VLOOKUP($A4456,TAB_AMORTIZACAO_U[[Q_DIAS_U_PARC_TIR]:[V_FUT_U_PCPL-02]], F$5, FALSE)</f>
        <v>#N/A</v>
      </c>
      <c r="H4456" s="20">
        <f t="shared" si="352"/>
        <v>0</v>
      </c>
      <c r="I4456" s="21">
        <f t="shared" si="353"/>
        <v>0</v>
      </c>
      <c r="J4456" s="22" t="e">
        <f>VLOOKUP($A4456, TAB_JUROS_C[[DIAS_CORRIDOS]:[V_FUT_UTEIS]], J$5, FALSE)</f>
        <v>#N/A</v>
      </c>
      <c r="K4456" s="22" t="e">
        <f>VLOOKUP($A4456, TAB_CORRECAO_C[[DIAS_CORRIDOS]:[V_FUT_UTEIS]],K$5, FALSE)</f>
        <v>#N/A</v>
      </c>
      <c r="L4456" s="22" t="e">
        <f>VLOOKUP($A4456, TAB_AMORTIZACAO_C[[DIAS_CORRIDOS]:[V_FUT_UTEIS]], L$5, FALSE)</f>
        <v>#N/A</v>
      </c>
    </row>
    <row r="4457" spans="1:12" hidden="1">
      <c r="A4457" s="19">
        <f t="shared" si="354"/>
        <v>4451</v>
      </c>
      <c r="B4457" s="20">
        <f t="shared" si="350"/>
        <v>0</v>
      </c>
      <c r="C4457" s="21">
        <f t="shared" si="351"/>
        <v>0</v>
      </c>
      <c r="D4457" s="22" t="e">
        <f>VLOOKUP($A4457, TAB_JUROS_U[[Q_DIAS_U_PARC_TIR]:[V_FUT_U_JURS CENARIO]], D$5, FALSE)</f>
        <v>#N/A</v>
      </c>
      <c r="E4457" s="22" t="e">
        <f>VLOOKUP($A4457,TAB_CORRECAO_U[[Q_DIAS_U_PARC_TIR]:[V_FUT_U_CORC-02]],E$5, FALSE)</f>
        <v>#N/A</v>
      </c>
      <c r="F4457" s="22" t="e">
        <f>VLOOKUP($A4457,TAB_AMORTIZACAO_U[[Q_DIAS_U_PARC_TIR]:[V_FUT_U_PCPL-02]], F$5, FALSE)</f>
        <v>#N/A</v>
      </c>
      <c r="H4457" s="20">
        <f t="shared" si="352"/>
        <v>0</v>
      </c>
      <c r="I4457" s="21">
        <f t="shared" si="353"/>
        <v>0</v>
      </c>
      <c r="J4457" s="22" t="e">
        <f>VLOOKUP($A4457, TAB_JUROS_C[[DIAS_CORRIDOS]:[V_FUT_UTEIS]], J$5, FALSE)</f>
        <v>#N/A</v>
      </c>
      <c r="K4457" s="22" t="e">
        <f>VLOOKUP($A4457, TAB_CORRECAO_C[[DIAS_CORRIDOS]:[V_FUT_UTEIS]],K$5, FALSE)</f>
        <v>#N/A</v>
      </c>
      <c r="L4457" s="22" t="e">
        <f>VLOOKUP($A4457, TAB_AMORTIZACAO_C[[DIAS_CORRIDOS]:[V_FUT_UTEIS]], L$5, FALSE)</f>
        <v>#N/A</v>
      </c>
    </row>
    <row r="4458" spans="1:12" hidden="1">
      <c r="A4458" s="19">
        <f t="shared" si="354"/>
        <v>4452</v>
      </c>
      <c r="B4458" s="20">
        <f t="shared" si="350"/>
        <v>0</v>
      </c>
      <c r="C4458" s="21">
        <f t="shared" si="351"/>
        <v>0</v>
      </c>
      <c r="D4458" s="22" t="e">
        <f>VLOOKUP($A4458, TAB_JUROS_U[[Q_DIAS_U_PARC_TIR]:[V_FUT_U_JURS CENARIO]], D$5, FALSE)</f>
        <v>#N/A</v>
      </c>
      <c r="E4458" s="22" t="e">
        <f>VLOOKUP($A4458,TAB_CORRECAO_U[[Q_DIAS_U_PARC_TIR]:[V_FUT_U_CORC-02]],E$5, FALSE)</f>
        <v>#N/A</v>
      </c>
      <c r="F4458" s="22" t="e">
        <f>VLOOKUP($A4458,TAB_AMORTIZACAO_U[[Q_DIAS_U_PARC_TIR]:[V_FUT_U_PCPL-02]], F$5, FALSE)</f>
        <v>#N/A</v>
      </c>
      <c r="H4458" s="20">
        <f t="shared" si="352"/>
        <v>0</v>
      </c>
      <c r="I4458" s="21">
        <f t="shared" si="353"/>
        <v>0</v>
      </c>
      <c r="J4458" s="22" t="e">
        <f>VLOOKUP($A4458, TAB_JUROS_C[[DIAS_CORRIDOS]:[V_FUT_UTEIS]], J$5, FALSE)</f>
        <v>#N/A</v>
      </c>
      <c r="K4458" s="22" t="e">
        <f>VLOOKUP($A4458, TAB_CORRECAO_C[[DIAS_CORRIDOS]:[V_FUT_UTEIS]],K$5, FALSE)</f>
        <v>#N/A</v>
      </c>
      <c r="L4458" s="22" t="e">
        <f>VLOOKUP($A4458, TAB_AMORTIZACAO_C[[DIAS_CORRIDOS]:[V_FUT_UTEIS]], L$5, FALSE)</f>
        <v>#N/A</v>
      </c>
    </row>
    <row r="4459" spans="1:12" hidden="1">
      <c r="A4459" s="19">
        <f t="shared" si="354"/>
        <v>4453</v>
      </c>
      <c r="B4459" s="20">
        <f t="shared" si="350"/>
        <v>0</v>
      </c>
      <c r="C4459" s="21">
        <f t="shared" si="351"/>
        <v>0</v>
      </c>
      <c r="D4459" s="22" t="e">
        <f>VLOOKUP($A4459, TAB_JUROS_U[[Q_DIAS_U_PARC_TIR]:[V_FUT_U_JURS CENARIO]], D$5, FALSE)</f>
        <v>#N/A</v>
      </c>
      <c r="E4459" s="22" t="e">
        <f>VLOOKUP($A4459,TAB_CORRECAO_U[[Q_DIAS_U_PARC_TIR]:[V_FUT_U_CORC-02]],E$5, FALSE)</f>
        <v>#N/A</v>
      </c>
      <c r="F4459" s="22" t="e">
        <f>VLOOKUP($A4459,TAB_AMORTIZACAO_U[[Q_DIAS_U_PARC_TIR]:[V_FUT_U_PCPL-02]], F$5, FALSE)</f>
        <v>#N/A</v>
      </c>
      <c r="H4459" s="20">
        <f t="shared" si="352"/>
        <v>0</v>
      </c>
      <c r="I4459" s="21">
        <f t="shared" si="353"/>
        <v>0</v>
      </c>
      <c r="J4459" s="22" t="e">
        <f>VLOOKUP($A4459, TAB_JUROS_C[[DIAS_CORRIDOS]:[V_FUT_UTEIS]], J$5, FALSE)</f>
        <v>#N/A</v>
      </c>
      <c r="K4459" s="22" t="e">
        <f>VLOOKUP($A4459, TAB_CORRECAO_C[[DIAS_CORRIDOS]:[V_FUT_UTEIS]],K$5, FALSE)</f>
        <v>#N/A</v>
      </c>
      <c r="L4459" s="22" t="e">
        <f>VLOOKUP($A4459, TAB_AMORTIZACAO_C[[DIAS_CORRIDOS]:[V_FUT_UTEIS]], L$5, FALSE)</f>
        <v>#N/A</v>
      </c>
    </row>
    <row r="4460" spans="1:12" hidden="1">
      <c r="A4460" s="19">
        <f t="shared" si="354"/>
        <v>4454</v>
      </c>
      <c r="B4460" s="20">
        <f t="shared" si="350"/>
        <v>0</v>
      </c>
      <c r="C4460" s="21">
        <f t="shared" si="351"/>
        <v>0</v>
      </c>
      <c r="D4460" s="22" t="e">
        <f>VLOOKUP($A4460, TAB_JUROS_U[[Q_DIAS_U_PARC_TIR]:[V_FUT_U_JURS CENARIO]], D$5, FALSE)</f>
        <v>#N/A</v>
      </c>
      <c r="E4460" s="22" t="e">
        <f>VLOOKUP($A4460,TAB_CORRECAO_U[[Q_DIAS_U_PARC_TIR]:[V_FUT_U_CORC-02]],E$5, FALSE)</f>
        <v>#N/A</v>
      </c>
      <c r="F4460" s="22" t="e">
        <f>VLOOKUP($A4460,TAB_AMORTIZACAO_U[[Q_DIAS_U_PARC_TIR]:[V_FUT_U_PCPL-02]], F$5, FALSE)</f>
        <v>#N/A</v>
      </c>
      <c r="H4460" s="20">
        <f t="shared" si="352"/>
        <v>0</v>
      </c>
      <c r="I4460" s="21">
        <f t="shared" si="353"/>
        <v>0</v>
      </c>
      <c r="J4460" s="22" t="e">
        <f>VLOOKUP($A4460, TAB_JUROS_C[[DIAS_CORRIDOS]:[V_FUT_UTEIS]], J$5, FALSE)</f>
        <v>#N/A</v>
      </c>
      <c r="K4460" s="22" t="e">
        <f>VLOOKUP($A4460, TAB_CORRECAO_C[[DIAS_CORRIDOS]:[V_FUT_UTEIS]],K$5, FALSE)</f>
        <v>#N/A</v>
      </c>
      <c r="L4460" s="22" t="e">
        <f>VLOOKUP($A4460, TAB_AMORTIZACAO_C[[DIAS_CORRIDOS]:[V_FUT_UTEIS]], L$5, FALSE)</f>
        <v>#N/A</v>
      </c>
    </row>
    <row r="4461" spans="1:12" hidden="1">
      <c r="A4461" s="19">
        <f t="shared" si="354"/>
        <v>4455</v>
      </c>
      <c r="B4461" s="20">
        <f t="shared" si="350"/>
        <v>0</v>
      </c>
      <c r="C4461" s="21">
        <f t="shared" si="351"/>
        <v>0</v>
      </c>
      <c r="D4461" s="22" t="e">
        <f>VLOOKUP($A4461, TAB_JUROS_U[[Q_DIAS_U_PARC_TIR]:[V_FUT_U_JURS CENARIO]], D$5, FALSE)</f>
        <v>#N/A</v>
      </c>
      <c r="E4461" s="22" t="e">
        <f>VLOOKUP($A4461,TAB_CORRECAO_U[[Q_DIAS_U_PARC_TIR]:[V_FUT_U_CORC-02]],E$5, FALSE)</f>
        <v>#N/A</v>
      </c>
      <c r="F4461" s="22" t="e">
        <f>VLOOKUP($A4461,TAB_AMORTIZACAO_U[[Q_DIAS_U_PARC_TIR]:[V_FUT_U_PCPL-02]], F$5, FALSE)</f>
        <v>#N/A</v>
      </c>
      <c r="H4461" s="20">
        <f t="shared" si="352"/>
        <v>0</v>
      </c>
      <c r="I4461" s="21">
        <f t="shared" si="353"/>
        <v>0</v>
      </c>
      <c r="J4461" s="22" t="e">
        <f>VLOOKUP($A4461, TAB_JUROS_C[[DIAS_CORRIDOS]:[V_FUT_UTEIS]], J$5, FALSE)</f>
        <v>#N/A</v>
      </c>
      <c r="K4461" s="22" t="e">
        <f>VLOOKUP($A4461, TAB_CORRECAO_C[[DIAS_CORRIDOS]:[V_FUT_UTEIS]],K$5, FALSE)</f>
        <v>#N/A</v>
      </c>
      <c r="L4461" s="22" t="e">
        <f>VLOOKUP($A4461, TAB_AMORTIZACAO_C[[DIAS_CORRIDOS]:[V_FUT_UTEIS]], L$5, FALSE)</f>
        <v>#N/A</v>
      </c>
    </row>
    <row r="4462" spans="1:12" hidden="1">
      <c r="A4462" s="19">
        <f t="shared" si="354"/>
        <v>4456</v>
      </c>
      <c r="B4462" s="20">
        <f t="shared" si="350"/>
        <v>0</v>
      </c>
      <c r="C4462" s="21">
        <f t="shared" si="351"/>
        <v>0</v>
      </c>
      <c r="D4462" s="22" t="e">
        <f>VLOOKUP($A4462, TAB_JUROS_U[[Q_DIAS_U_PARC_TIR]:[V_FUT_U_JURS CENARIO]], D$5, FALSE)</f>
        <v>#N/A</v>
      </c>
      <c r="E4462" s="22" t="e">
        <f>VLOOKUP($A4462,TAB_CORRECAO_U[[Q_DIAS_U_PARC_TIR]:[V_FUT_U_CORC-02]],E$5, FALSE)</f>
        <v>#N/A</v>
      </c>
      <c r="F4462" s="22" t="e">
        <f>VLOOKUP($A4462,TAB_AMORTIZACAO_U[[Q_DIAS_U_PARC_TIR]:[V_FUT_U_PCPL-02]], F$5, FALSE)</f>
        <v>#N/A</v>
      </c>
      <c r="H4462" s="20">
        <f t="shared" si="352"/>
        <v>0</v>
      </c>
      <c r="I4462" s="21">
        <f t="shared" si="353"/>
        <v>0</v>
      </c>
      <c r="J4462" s="22" t="e">
        <f>VLOOKUP($A4462, TAB_JUROS_C[[DIAS_CORRIDOS]:[V_FUT_UTEIS]], J$5, FALSE)</f>
        <v>#N/A</v>
      </c>
      <c r="K4462" s="22" t="e">
        <f>VLOOKUP($A4462, TAB_CORRECAO_C[[DIAS_CORRIDOS]:[V_FUT_UTEIS]],K$5, FALSE)</f>
        <v>#N/A</v>
      </c>
      <c r="L4462" s="22" t="e">
        <f>VLOOKUP($A4462, TAB_AMORTIZACAO_C[[DIAS_CORRIDOS]:[V_FUT_UTEIS]], L$5, FALSE)</f>
        <v>#N/A</v>
      </c>
    </row>
    <row r="4463" spans="1:12" hidden="1">
      <c r="A4463" s="19">
        <f t="shared" si="354"/>
        <v>4457</v>
      </c>
      <c r="B4463" s="20">
        <f t="shared" si="350"/>
        <v>0</v>
      </c>
      <c r="C4463" s="21">
        <f t="shared" si="351"/>
        <v>0</v>
      </c>
      <c r="D4463" s="22" t="e">
        <f>VLOOKUP($A4463, TAB_JUROS_U[[Q_DIAS_U_PARC_TIR]:[V_FUT_U_JURS CENARIO]], D$5, FALSE)</f>
        <v>#N/A</v>
      </c>
      <c r="E4463" s="22" t="e">
        <f>VLOOKUP($A4463,TAB_CORRECAO_U[[Q_DIAS_U_PARC_TIR]:[V_FUT_U_CORC-02]],E$5, FALSE)</f>
        <v>#N/A</v>
      </c>
      <c r="F4463" s="22" t="e">
        <f>VLOOKUP($A4463,TAB_AMORTIZACAO_U[[Q_DIAS_U_PARC_TIR]:[V_FUT_U_PCPL-02]], F$5, FALSE)</f>
        <v>#N/A</v>
      </c>
      <c r="H4463" s="20">
        <f t="shared" si="352"/>
        <v>0</v>
      </c>
      <c r="I4463" s="21">
        <f t="shared" si="353"/>
        <v>0</v>
      </c>
      <c r="J4463" s="22" t="e">
        <f>VLOOKUP($A4463, TAB_JUROS_C[[DIAS_CORRIDOS]:[V_FUT_UTEIS]], J$5, FALSE)</f>
        <v>#N/A</v>
      </c>
      <c r="K4463" s="22" t="e">
        <f>VLOOKUP($A4463, TAB_CORRECAO_C[[DIAS_CORRIDOS]:[V_FUT_UTEIS]],K$5, FALSE)</f>
        <v>#N/A</v>
      </c>
      <c r="L4463" s="22" t="e">
        <f>VLOOKUP($A4463, TAB_AMORTIZACAO_C[[DIAS_CORRIDOS]:[V_FUT_UTEIS]], L$5, FALSE)</f>
        <v>#N/A</v>
      </c>
    </row>
    <row r="4464" spans="1:12" hidden="1">
      <c r="A4464" s="19">
        <f t="shared" si="354"/>
        <v>4458</v>
      </c>
      <c r="B4464" s="20">
        <f t="shared" si="350"/>
        <v>0</v>
      </c>
      <c r="C4464" s="21">
        <f t="shared" si="351"/>
        <v>0</v>
      </c>
      <c r="D4464" s="22" t="e">
        <f>VLOOKUP($A4464, TAB_JUROS_U[[Q_DIAS_U_PARC_TIR]:[V_FUT_U_JURS CENARIO]], D$5, FALSE)</f>
        <v>#N/A</v>
      </c>
      <c r="E4464" s="22" t="e">
        <f>VLOOKUP($A4464,TAB_CORRECAO_U[[Q_DIAS_U_PARC_TIR]:[V_FUT_U_CORC-02]],E$5, FALSE)</f>
        <v>#N/A</v>
      </c>
      <c r="F4464" s="22" t="e">
        <f>VLOOKUP($A4464,TAB_AMORTIZACAO_U[[Q_DIAS_U_PARC_TIR]:[V_FUT_U_PCPL-02]], F$5, FALSE)</f>
        <v>#N/A</v>
      </c>
      <c r="H4464" s="20">
        <f t="shared" si="352"/>
        <v>0</v>
      </c>
      <c r="I4464" s="21">
        <f t="shared" si="353"/>
        <v>0</v>
      </c>
      <c r="J4464" s="22" t="e">
        <f>VLOOKUP($A4464, TAB_JUROS_C[[DIAS_CORRIDOS]:[V_FUT_UTEIS]], J$5, FALSE)</f>
        <v>#N/A</v>
      </c>
      <c r="K4464" s="22" t="e">
        <f>VLOOKUP($A4464, TAB_CORRECAO_C[[DIAS_CORRIDOS]:[V_FUT_UTEIS]],K$5, FALSE)</f>
        <v>#N/A</v>
      </c>
      <c r="L4464" s="22" t="e">
        <f>VLOOKUP($A4464, TAB_AMORTIZACAO_C[[DIAS_CORRIDOS]:[V_FUT_UTEIS]], L$5, FALSE)</f>
        <v>#N/A</v>
      </c>
    </row>
    <row r="4465" spans="1:12" hidden="1">
      <c r="A4465" s="19">
        <f t="shared" si="354"/>
        <v>4459</v>
      </c>
      <c r="B4465" s="20">
        <f t="shared" si="350"/>
        <v>0</v>
      </c>
      <c r="C4465" s="21">
        <f t="shared" si="351"/>
        <v>0</v>
      </c>
      <c r="D4465" s="22" t="e">
        <f>VLOOKUP($A4465, TAB_JUROS_U[[Q_DIAS_U_PARC_TIR]:[V_FUT_U_JURS CENARIO]], D$5, FALSE)</f>
        <v>#N/A</v>
      </c>
      <c r="E4465" s="22" t="e">
        <f>VLOOKUP($A4465,TAB_CORRECAO_U[[Q_DIAS_U_PARC_TIR]:[V_FUT_U_CORC-02]],E$5, FALSE)</f>
        <v>#N/A</v>
      </c>
      <c r="F4465" s="22" t="e">
        <f>VLOOKUP($A4465,TAB_AMORTIZACAO_U[[Q_DIAS_U_PARC_TIR]:[V_FUT_U_PCPL-02]], F$5, FALSE)</f>
        <v>#N/A</v>
      </c>
      <c r="H4465" s="20">
        <f t="shared" si="352"/>
        <v>0</v>
      </c>
      <c r="I4465" s="21">
        <f t="shared" si="353"/>
        <v>0</v>
      </c>
      <c r="J4465" s="22" t="e">
        <f>VLOOKUP($A4465, TAB_JUROS_C[[DIAS_CORRIDOS]:[V_FUT_UTEIS]], J$5, FALSE)</f>
        <v>#N/A</v>
      </c>
      <c r="K4465" s="22" t="e">
        <f>VLOOKUP($A4465, TAB_CORRECAO_C[[DIAS_CORRIDOS]:[V_FUT_UTEIS]],K$5, FALSE)</f>
        <v>#N/A</v>
      </c>
      <c r="L4465" s="22" t="e">
        <f>VLOOKUP($A4465, TAB_AMORTIZACAO_C[[DIAS_CORRIDOS]:[V_FUT_UTEIS]], L$5, FALSE)</f>
        <v>#N/A</v>
      </c>
    </row>
    <row r="4466" spans="1:12" hidden="1">
      <c r="A4466" s="19">
        <f t="shared" si="354"/>
        <v>4460</v>
      </c>
      <c r="B4466" s="20">
        <f t="shared" si="350"/>
        <v>0</v>
      </c>
      <c r="C4466" s="21">
        <f t="shared" si="351"/>
        <v>0</v>
      </c>
      <c r="D4466" s="22" t="e">
        <f>VLOOKUP($A4466, TAB_JUROS_U[[Q_DIAS_U_PARC_TIR]:[V_FUT_U_JURS CENARIO]], D$5, FALSE)</f>
        <v>#N/A</v>
      </c>
      <c r="E4466" s="22" t="e">
        <f>VLOOKUP($A4466,TAB_CORRECAO_U[[Q_DIAS_U_PARC_TIR]:[V_FUT_U_CORC-02]],E$5, FALSE)</f>
        <v>#N/A</v>
      </c>
      <c r="F4466" s="22" t="e">
        <f>VLOOKUP($A4466,TAB_AMORTIZACAO_U[[Q_DIAS_U_PARC_TIR]:[V_FUT_U_PCPL-02]], F$5, FALSE)</f>
        <v>#N/A</v>
      </c>
      <c r="H4466" s="20">
        <f t="shared" si="352"/>
        <v>0</v>
      </c>
      <c r="I4466" s="21">
        <f t="shared" si="353"/>
        <v>0</v>
      </c>
      <c r="J4466" s="22" t="e">
        <f>VLOOKUP($A4466, TAB_JUROS_C[[DIAS_CORRIDOS]:[V_FUT_UTEIS]], J$5, FALSE)</f>
        <v>#N/A</v>
      </c>
      <c r="K4466" s="22" t="e">
        <f>VLOOKUP($A4466, TAB_CORRECAO_C[[DIAS_CORRIDOS]:[V_FUT_UTEIS]],K$5, FALSE)</f>
        <v>#N/A</v>
      </c>
      <c r="L4466" s="22" t="e">
        <f>VLOOKUP($A4466, TAB_AMORTIZACAO_C[[DIAS_CORRIDOS]:[V_FUT_UTEIS]], L$5, FALSE)</f>
        <v>#N/A</v>
      </c>
    </row>
    <row r="4467" spans="1:12" hidden="1">
      <c r="A4467" s="19">
        <f t="shared" si="354"/>
        <v>4461</v>
      </c>
      <c r="B4467" s="20">
        <f t="shared" si="350"/>
        <v>0</v>
      </c>
      <c r="C4467" s="21">
        <f t="shared" si="351"/>
        <v>0</v>
      </c>
      <c r="D4467" s="22" t="e">
        <f>VLOOKUP($A4467, TAB_JUROS_U[[Q_DIAS_U_PARC_TIR]:[V_FUT_U_JURS CENARIO]], D$5, FALSE)</f>
        <v>#N/A</v>
      </c>
      <c r="E4467" s="22" t="e">
        <f>VLOOKUP($A4467,TAB_CORRECAO_U[[Q_DIAS_U_PARC_TIR]:[V_FUT_U_CORC-02]],E$5, FALSE)</f>
        <v>#N/A</v>
      </c>
      <c r="F4467" s="22" t="e">
        <f>VLOOKUP($A4467,TAB_AMORTIZACAO_U[[Q_DIAS_U_PARC_TIR]:[V_FUT_U_PCPL-02]], F$5, FALSE)</f>
        <v>#N/A</v>
      </c>
      <c r="H4467" s="20">
        <f t="shared" si="352"/>
        <v>0</v>
      </c>
      <c r="I4467" s="21">
        <f t="shared" si="353"/>
        <v>0</v>
      </c>
      <c r="J4467" s="22" t="e">
        <f>VLOOKUP($A4467, TAB_JUROS_C[[DIAS_CORRIDOS]:[V_FUT_UTEIS]], J$5, FALSE)</f>
        <v>#N/A</v>
      </c>
      <c r="K4467" s="22" t="e">
        <f>VLOOKUP($A4467, TAB_CORRECAO_C[[DIAS_CORRIDOS]:[V_FUT_UTEIS]],K$5, FALSE)</f>
        <v>#N/A</v>
      </c>
      <c r="L4467" s="22" t="e">
        <f>VLOOKUP($A4467, TAB_AMORTIZACAO_C[[DIAS_CORRIDOS]:[V_FUT_UTEIS]], L$5, FALSE)</f>
        <v>#N/A</v>
      </c>
    </row>
    <row r="4468" spans="1:12" hidden="1">
      <c r="A4468" s="19">
        <f t="shared" si="354"/>
        <v>4462</v>
      </c>
      <c r="B4468" s="20">
        <f t="shared" si="350"/>
        <v>0</v>
      </c>
      <c r="C4468" s="21">
        <f t="shared" si="351"/>
        <v>0</v>
      </c>
      <c r="D4468" s="22" t="e">
        <f>VLOOKUP($A4468, TAB_JUROS_U[[Q_DIAS_U_PARC_TIR]:[V_FUT_U_JURS CENARIO]], D$5, FALSE)</f>
        <v>#N/A</v>
      </c>
      <c r="E4468" s="22" t="e">
        <f>VLOOKUP($A4468,TAB_CORRECAO_U[[Q_DIAS_U_PARC_TIR]:[V_FUT_U_CORC-02]],E$5, FALSE)</f>
        <v>#N/A</v>
      </c>
      <c r="F4468" s="22" t="e">
        <f>VLOOKUP($A4468,TAB_AMORTIZACAO_U[[Q_DIAS_U_PARC_TIR]:[V_FUT_U_PCPL-02]], F$5, FALSE)</f>
        <v>#N/A</v>
      </c>
      <c r="H4468" s="20">
        <f t="shared" si="352"/>
        <v>0</v>
      </c>
      <c r="I4468" s="21">
        <f t="shared" si="353"/>
        <v>0</v>
      </c>
      <c r="J4468" s="22" t="e">
        <f>VLOOKUP($A4468, TAB_JUROS_C[[DIAS_CORRIDOS]:[V_FUT_UTEIS]], J$5, FALSE)</f>
        <v>#N/A</v>
      </c>
      <c r="K4468" s="22" t="e">
        <f>VLOOKUP($A4468, TAB_CORRECAO_C[[DIAS_CORRIDOS]:[V_FUT_UTEIS]],K$5, FALSE)</f>
        <v>#N/A</v>
      </c>
      <c r="L4468" s="22" t="e">
        <f>VLOOKUP($A4468, TAB_AMORTIZACAO_C[[DIAS_CORRIDOS]:[V_FUT_UTEIS]], L$5, FALSE)</f>
        <v>#N/A</v>
      </c>
    </row>
    <row r="4469" spans="1:12" hidden="1">
      <c r="A4469" s="19">
        <f t="shared" si="354"/>
        <v>4463</v>
      </c>
      <c r="B4469" s="20">
        <f t="shared" si="350"/>
        <v>0</v>
      </c>
      <c r="C4469" s="21">
        <f t="shared" si="351"/>
        <v>0</v>
      </c>
      <c r="D4469" s="22" t="e">
        <f>VLOOKUP($A4469, TAB_JUROS_U[[Q_DIAS_U_PARC_TIR]:[V_FUT_U_JURS CENARIO]], D$5, FALSE)</f>
        <v>#N/A</v>
      </c>
      <c r="E4469" s="22" t="e">
        <f>VLOOKUP($A4469,TAB_CORRECAO_U[[Q_DIAS_U_PARC_TIR]:[V_FUT_U_CORC-02]],E$5, FALSE)</f>
        <v>#N/A</v>
      </c>
      <c r="F4469" s="22" t="e">
        <f>VLOOKUP($A4469,TAB_AMORTIZACAO_U[[Q_DIAS_U_PARC_TIR]:[V_FUT_U_PCPL-02]], F$5, FALSE)</f>
        <v>#N/A</v>
      </c>
      <c r="H4469" s="20">
        <f t="shared" si="352"/>
        <v>0</v>
      </c>
      <c r="I4469" s="21">
        <f t="shared" si="353"/>
        <v>0</v>
      </c>
      <c r="J4469" s="22" t="e">
        <f>VLOOKUP($A4469, TAB_JUROS_C[[DIAS_CORRIDOS]:[V_FUT_UTEIS]], J$5, FALSE)</f>
        <v>#N/A</v>
      </c>
      <c r="K4469" s="22" t="e">
        <f>VLOOKUP($A4469, TAB_CORRECAO_C[[DIAS_CORRIDOS]:[V_FUT_UTEIS]],K$5, FALSE)</f>
        <v>#N/A</v>
      </c>
      <c r="L4469" s="22" t="e">
        <f>VLOOKUP($A4469, TAB_AMORTIZACAO_C[[DIAS_CORRIDOS]:[V_FUT_UTEIS]], L$5, FALSE)</f>
        <v>#N/A</v>
      </c>
    </row>
    <row r="4470" spans="1:12" hidden="1">
      <c r="A4470" s="19">
        <f t="shared" si="354"/>
        <v>4464</v>
      </c>
      <c r="B4470" s="20">
        <f t="shared" si="350"/>
        <v>0</v>
      </c>
      <c r="C4470" s="21">
        <f t="shared" si="351"/>
        <v>0</v>
      </c>
      <c r="D4470" s="22" t="e">
        <f>VLOOKUP($A4470, TAB_JUROS_U[[Q_DIAS_U_PARC_TIR]:[V_FUT_U_JURS CENARIO]], D$5, FALSE)</f>
        <v>#N/A</v>
      </c>
      <c r="E4470" s="22" t="e">
        <f>VLOOKUP($A4470,TAB_CORRECAO_U[[Q_DIAS_U_PARC_TIR]:[V_FUT_U_CORC-02]],E$5, FALSE)</f>
        <v>#N/A</v>
      </c>
      <c r="F4470" s="22" t="e">
        <f>VLOOKUP($A4470,TAB_AMORTIZACAO_U[[Q_DIAS_U_PARC_TIR]:[V_FUT_U_PCPL-02]], F$5, FALSE)</f>
        <v>#N/A</v>
      </c>
      <c r="H4470" s="20">
        <f t="shared" si="352"/>
        <v>0</v>
      </c>
      <c r="I4470" s="21">
        <f t="shared" si="353"/>
        <v>0</v>
      </c>
      <c r="J4470" s="22" t="e">
        <f>VLOOKUP($A4470, TAB_JUROS_C[[DIAS_CORRIDOS]:[V_FUT_UTEIS]], J$5, FALSE)</f>
        <v>#N/A</v>
      </c>
      <c r="K4470" s="22" t="e">
        <f>VLOOKUP($A4470, TAB_CORRECAO_C[[DIAS_CORRIDOS]:[V_FUT_UTEIS]],K$5, FALSE)</f>
        <v>#N/A</v>
      </c>
      <c r="L4470" s="22" t="e">
        <f>VLOOKUP($A4470, TAB_AMORTIZACAO_C[[DIAS_CORRIDOS]:[V_FUT_UTEIS]], L$5, FALSE)</f>
        <v>#N/A</v>
      </c>
    </row>
    <row r="4471" spans="1:12" hidden="1">
      <c r="A4471" s="19">
        <f t="shared" si="354"/>
        <v>4465</v>
      </c>
      <c r="B4471" s="20">
        <f t="shared" si="350"/>
        <v>0</v>
      </c>
      <c r="C4471" s="21">
        <f t="shared" si="351"/>
        <v>0</v>
      </c>
      <c r="D4471" s="22" t="e">
        <f>VLOOKUP($A4471, TAB_JUROS_U[[Q_DIAS_U_PARC_TIR]:[V_FUT_U_JURS CENARIO]], D$5, FALSE)</f>
        <v>#N/A</v>
      </c>
      <c r="E4471" s="22" t="e">
        <f>VLOOKUP($A4471,TAB_CORRECAO_U[[Q_DIAS_U_PARC_TIR]:[V_FUT_U_CORC-02]],E$5, FALSE)</f>
        <v>#N/A</v>
      </c>
      <c r="F4471" s="22" t="e">
        <f>VLOOKUP($A4471,TAB_AMORTIZACAO_U[[Q_DIAS_U_PARC_TIR]:[V_FUT_U_PCPL-02]], F$5, FALSE)</f>
        <v>#N/A</v>
      </c>
      <c r="H4471" s="20">
        <f t="shared" si="352"/>
        <v>0</v>
      </c>
      <c r="I4471" s="21">
        <f t="shared" si="353"/>
        <v>0</v>
      </c>
      <c r="J4471" s="22" t="e">
        <f>VLOOKUP($A4471, TAB_JUROS_C[[DIAS_CORRIDOS]:[V_FUT_UTEIS]], J$5, FALSE)</f>
        <v>#N/A</v>
      </c>
      <c r="K4471" s="22" t="e">
        <f>VLOOKUP($A4471, TAB_CORRECAO_C[[DIAS_CORRIDOS]:[V_FUT_UTEIS]],K$5, FALSE)</f>
        <v>#N/A</v>
      </c>
      <c r="L4471" s="22" t="e">
        <f>VLOOKUP($A4471, TAB_AMORTIZACAO_C[[DIAS_CORRIDOS]:[V_FUT_UTEIS]], L$5, FALSE)</f>
        <v>#N/A</v>
      </c>
    </row>
    <row r="4472" spans="1:12" hidden="1">
      <c r="A4472" s="19">
        <f t="shared" si="354"/>
        <v>4466</v>
      </c>
      <c r="B4472" s="20">
        <f t="shared" si="350"/>
        <v>0</v>
      </c>
      <c r="C4472" s="21">
        <f t="shared" si="351"/>
        <v>0</v>
      </c>
      <c r="D4472" s="22" t="e">
        <f>VLOOKUP($A4472, TAB_JUROS_U[[Q_DIAS_U_PARC_TIR]:[V_FUT_U_JURS CENARIO]], D$5, FALSE)</f>
        <v>#N/A</v>
      </c>
      <c r="E4472" s="22" t="e">
        <f>VLOOKUP($A4472,TAB_CORRECAO_U[[Q_DIAS_U_PARC_TIR]:[V_FUT_U_CORC-02]],E$5, FALSE)</f>
        <v>#N/A</v>
      </c>
      <c r="F4472" s="22" t="e">
        <f>VLOOKUP($A4472,TAB_AMORTIZACAO_U[[Q_DIAS_U_PARC_TIR]:[V_FUT_U_PCPL-02]], F$5, FALSE)</f>
        <v>#N/A</v>
      </c>
      <c r="H4472" s="20">
        <f t="shared" si="352"/>
        <v>0</v>
      </c>
      <c r="I4472" s="21">
        <f t="shared" si="353"/>
        <v>0</v>
      </c>
      <c r="J4472" s="22" t="e">
        <f>VLOOKUP($A4472, TAB_JUROS_C[[DIAS_CORRIDOS]:[V_FUT_UTEIS]], J$5, FALSE)</f>
        <v>#N/A</v>
      </c>
      <c r="K4472" s="22" t="e">
        <f>VLOOKUP($A4472, TAB_CORRECAO_C[[DIAS_CORRIDOS]:[V_FUT_UTEIS]],K$5, FALSE)</f>
        <v>#N/A</v>
      </c>
      <c r="L4472" s="22" t="e">
        <f>VLOOKUP($A4472, TAB_AMORTIZACAO_C[[DIAS_CORRIDOS]:[V_FUT_UTEIS]], L$5, FALSE)</f>
        <v>#N/A</v>
      </c>
    </row>
    <row r="4473" spans="1:12" hidden="1">
      <c r="A4473" s="19">
        <f t="shared" si="354"/>
        <v>4467</v>
      </c>
      <c r="B4473" s="20">
        <f t="shared" si="350"/>
        <v>0</v>
      </c>
      <c r="C4473" s="21">
        <f t="shared" si="351"/>
        <v>0</v>
      </c>
      <c r="D4473" s="22" t="e">
        <f>VLOOKUP($A4473, TAB_JUROS_U[[Q_DIAS_U_PARC_TIR]:[V_FUT_U_JURS CENARIO]], D$5, FALSE)</f>
        <v>#N/A</v>
      </c>
      <c r="E4473" s="22" t="e">
        <f>VLOOKUP($A4473,TAB_CORRECAO_U[[Q_DIAS_U_PARC_TIR]:[V_FUT_U_CORC-02]],E$5, FALSE)</f>
        <v>#N/A</v>
      </c>
      <c r="F4473" s="22" t="e">
        <f>VLOOKUP($A4473,TAB_AMORTIZACAO_U[[Q_DIAS_U_PARC_TIR]:[V_FUT_U_PCPL-02]], F$5, FALSE)</f>
        <v>#N/A</v>
      </c>
      <c r="H4473" s="20">
        <f t="shared" si="352"/>
        <v>0</v>
      </c>
      <c r="I4473" s="21">
        <f t="shared" si="353"/>
        <v>0</v>
      </c>
      <c r="J4473" s="22" t="e">
        <f>VLOOKUP($A4473, TAB_JUROS_C[[DIAS_CORRIDOS]:[V_FUT_UTEIS]], J$5, FALSE)</f>
        <v>#N/A</v>
      </c>
      <c r="K4473" s="22" t="e">
        <f>VLOOKUP($A4473, TAB_CORRECAO_C[[DIAS_CORRIDOS]:[V_FUT_UTEIS]],K$5, FALSE)</f>
        <v>#N/A</v>
      </c>
      <c r="L4473" s="22" t="e">
        <f>VLOOKUP($A4473, TAB_AMORTIZACAO_C[[DIAS_CORRIDOS]:[V_FUT_UTEIS]], L$5, FALSE)</f>
        <v>#N/A</v>
      </c>
    </row>
    <row r="4474" spans="1:12" hidden="1">
      <c r="A4474" s="19">
        <f t="shared" si="354"/>
        <v>4468</v>
      </c>
      <c r="B4474" s="20">
        <f t="shared" si="350"/>
        <v>0</v>
      </c>
      <c r="C4474" s="21">
        <f t="shared" si="351"/>
        <v>0</v>
      </c>
      <c r="D4474" s="22" t="e">
        <f>VLOOKUP($A4474, TAB_JUROS_U[[Q_DIAS_U_PARC_TIR]:[V_FUT_U_JURS CENARIO]], D$5, FALSE)</f>
        <v>#N/A</v>
      </c>
      <c r="E4474" s="22" t="e">
        <f>VLOOKUP($A4474,TAB_CORRECAO_U[[Q_DIAS_U_PARC_TIR]:[V_FUT_U_CORC-02]],E$5, FALSE)</f>
        <v>#N/A</v>
      </c>
      <c r="F4474" s="22" t="e">
        <f>VLOOKUP($A4474,TAB_AMORTIZACAO_U[[Q_DIAS_U_PARC_TIR]:[V_FUT_U_PCPL-02]], F$5, FALSE)</f>
        <v>#N/A</v>
      </c>
      <c r="H4474" s="20">
        <f t="shared" si="352"/>
        <v>0</v>
      </c>
      <c r="I4474" s="21">
        <f t="shared" si="353"/>
        <v>0</v>
      </c>
      <c r="J4474" s="22" t="e">
        <f>VLOOKUP($A4474, TAB_JUROS_C[[DIAS_CORRIDOS]:[V_FUT_UTEIS]], J$5, FALSE)</f>
        <v>#N/A</v>
      </c>
      <c r="K4474" s="22" t="e">
        <f>VLOOKUP($A4474, TAB_CORRECAO_C[[DIAS_CORRIDOS]:[V_FUT_UTEIS]],K$5, FALSE)</f>
        <v>#N/A</v>
      </c>
      <c r="L4474" s="22" t="e">
        <f>VLOOKUP($A4474, TAB_AMORTIZACAO_C[[DIAS_CORRIDOS]:[V_FUT_UTEIS]], L$5, FALSE)</f>
        <v>#N/A</v>
      </c>
    </row>
    <row r="4475" spans="1:12" hidden="1">
      <c r="A4475" s="19">
        <f t="shared" si="354"/>
        <v>4469</v>
      </c>
      <c r="B4475" s="20">
        <f t="shared" si="350"/>
        <v>0</v>
      </c>
      <c r="C4475" s="21">
        <f t="shared" si="351"/>
        <v>0</v>
      </c>
      <c r="D4475" s="22" t="e">
        <f>VLOOKUP($A4475, TAB_JUROS_U[[Q_DIAS_U_PARC_TIR]:[V_FUT_U_JURS CENARIO]], D$5, FALSE)</f>
        <v>#N/A</v>
      </c>
      <c r="E4475" s="22" t="e">
        <f>VLOOKUP($A4475,TAB_CORRECAO_U[[Q_DIAS_U_PARC_TIR]:[V_FUT_U_CORC-02]],E$5, FALSE)</f>
        <v>#N/A</v>
      </c>
      <c r="F4475" s="22" t="e">
        <f>VLOOKUP($A4475,TAB_AMORTIZACAO_U[[Q_DIAS_U_PARC_TIR]:[V_FUT_U_PCPL-02]], F$5, FALSE)</f>
        <v>#N/A</v>
      </c>
      <c r="H4475" s="20">
        <f t="shared" si="352"/>
        <v>0</v>
      </c>
      <c r="I4475" s="21">
        <f t="shared" si="353"/>
        <v>0</v>
      </c>
      <c r="J4475" s="22" t="e">
        <f>VLOOKUP($A4475, TAB_JUROS_C[[DIAS_CORRIDOS]:[V_FUT_UTEIS]], J$5, FALSE)</f>
        <v>#N/A</v>
      </c>
      <c r="K4475" s="22" t="e">
        <f>VLOOKUP($A4475, TAB_CORRECAO_C[[DIAS_CORRIDOS]:[V_FUT_UTEIS]],K$5, FALSE)</f>
        <v>#N/A</v>
      </c>
      <c r="L4475" s="22" t="e">
        <f>VLOOKUP($A4475, TAB_AMORTIZACAO_C[[DIAS_CORRIDOS]:[V_FUT_UTEIS]], L$5, FALSE)</f>
        <v>#N/A</v>
      </c>
    </row>
    <row r="4476" spans="1:12" hidden="1">
      <c r="A4476" s="19">
        <f t="shared" si="354"/>
        <v>4470</v>
      </c>
      <c r="B4476" s="20">
        <f t="shared" si="350"/>
        <v>0</v>
      </c>
      <c r="C4476" s="21">
        <f t="shared" si="351"/>
        <v>0</v>
      </c>
      <c r="D4476" s="22" t="e">
        <f>VLOOKUP($A4476, TAB_JUROS_U[[Q_DIAS_U_PARC_TIR]:[V_FUT_U_JURS CENARIO]], D$5, FALSE)</f>
        <v>#N/A</v>
      </c>
      <c r="E4476" s="22" t="e">
        <f>VLOOKUP($A4476,TAB_CORRECAO_U[[Q_DIAS_U_PARC_TIR]:[V_FUT_U_CORC-02]],E$5, FALSE)</f>
        <v>#N/A</v>
      </c>
      <c r="F4476" s="22" t="e">
        <f>VLOOKUP($A4476,TAB_AMORTIZACAO_U[[Q_DIAS_U_PARC_TIR]:[V_FUT_U_PCPL-02]], F$5, FALSE)</f>
        <v>#N/A</v>
      </c>
      <c r="H4476" s="20">
        <f t="shared" si="352"/>
        <v>0</v>
      </c>
      <c r="I4476" s="21">
        <f t="shared" si="353"/>
        <v>0</v>
      </c>
      <c r="J4476" s="22" t="e">
        <f>VLOOKUP($A4476, TAB_JUROS_C[[DIAS_CORRIDOS]:[V_FUT_UTEIS]], J$5, FALSE)</f>
        <v>#N/A</v>
      </c>
      <c r="K4476" s="22" t="e">
        <f>VLOOKUP($A4476, TAB_CORRECAO_C[[DIAS_CORRIDOS]:[V_FUT_UTEIS]],K$5, FALSE)</f>
        <v>#N/A</v>
      </c>
      <c r="L4476" s="22" t="e">
        <f>VLOOKUP($A4476, TAB_AMORTIZACAO_C[[DIAS_CORRIDOS]:[V_FUT_UTEIS]], L$5, FALSE)</f>
        <v>#N/A</v>
      </c>
    </row>
    <row r="4477" spans="1:12" hidden="1">
      <c r="A4477" s="19">
        <f t="shared" si="354"/>
        <v>4471</v>
      </c>
      <c r="B4477" s="20">
        <f t="shared" si="350"/>
        <v>0</v>
      </c>
      <c r="C4477" s="21">
        <f t="shared" si="351"/>
        <v>0</v>
      </c>
      <c r="D4477" s="22" t="e">
        <f>VLOOKUP($A4477, TAB_JUROS_U[[Q_DIAS_U_PARC_TIR]:[V_FUT_U_JURS CENARIO]], D$5, FALSE)</f>
        <v>#N/A</v>
      </c>
      <c r="E4477" s="22" t="e">
        <f>VLOOKUP($A4477,TAB_CORRECAO_U[[Q_DIAS_U_PARC_TIR]:[V_FUT_U_CORC-02]],E$5, FALSE)</f>
        <v>#N/A</v>
      </c>
      <c r="F4477" s="22" t="e">
        <f>VLOOKUP($A4477,TAB_AMORTIZACAO_U[[Q_DIAS_U_PARC_TIR]:[V_FUT_U_PCPL-02]], F$5, FALSE)</f>
        <v>#N/A</v>
      </c>
      <c r="H4477" s="20">
        <f t="shared" si="352"/>
        <v>0</v>
      </c>
      <c r="I4477" s="21">
        <f t="shared" si="353"/>
        <v>0</v>
      </c>
      <c r="J4477" s="22" t="e">
        <f>VLOOKUP($A4477, TAB_JUROS_C[[DIAS_CORRIDOS]:[V_FUT_UTEIS]], J$5, FALSE)</f>
        <v>#N/A</v>
      </c>
      <c r="K4477" s="22" t="e">
        <f>VLOOKUP($A4477, TAB_CORRECAO_C[[DIAS_CORRIDOS]:[V_FUT_UTEIS]],K$5, FALSE)</f>
        <v>#N/A</v>
      </c>
      <c r="L4477" s="22" t="e">
        <f>VLOOKUP($A4477, TAB_AMORTIZACAO_C[[DIAS_CORRIDOS]:[V_FUT_UTEIS]], L$5, FALSE)</f>
        <v>#N/A</v>
      </c>
    </row>
    <row r="4478" spans="1:12" hidden="1">
      <c r="A4478" s="19">
        <f t="shared" si="354"/>
        <v>4472</v>
      </c>
      <c r="B4478" s="20">
        <f t="shared" si="350"/>
        <v>0</v>
      </c>
      <c r="C4478" s="21">
        <f t="shared" si="351"/>
        <v>0</v>
      </c>
      <c r="D4478" s="22" t="e">
        <f>VLOOKUP($A4478, TAB_JUROS_U[[Q_DIAS_U_PARC_TIR]:[V_FUT_U_JURS CENARIO]], D$5, FALSE)</f>
        <v>#N/A</v>
      </c>
      <c r="E4478" s="22" t="e">
        <f>VLOOKUP($A4478,TAB_CORRECAO_U[[Q_DIAS_U_PARC_TIR]:[V_FUT_U_CORC-02]],E$5, FALSE)</f>
        <v>#N/A</v>
      </c>
      <c r="F4478" s="22" t="e">
        <f>VLOOKUP($A4478,TAB_AMORTIZACAO_U[[Q_DIAS_U_PARC_TIR]:[V_FUT_U_PCPL-02]], F$5, FALSE)</f>
        <v>#N/A</v>
      </c>
      <c r="H4478" s="20">
        <f t="shared" si="352"/>
        <v>0</v>
      </c>
      <c r="I4478" s="21">
        <f t="shared" si="353"/>
        <v>0</v>
      </c>
      <c r="J4478" s="22" t="e">
        <f>VLOOKUP($A4478, TAB_JUROS_C[[DIAS_CORRIDOS]:[V_FUT_UTEIS]], J$5, FALSE)</f>
        <v>#N/A</v>
      </c>
      <c r="K4478" s="22" t="e">
        <f>VLOOKUP($A4478, TAB_CORRECAO_C[[DIAS_CORRIDOS]:[V_FUT_UTEIS]],K$5, FALSE)</f>
        <v>#N/A</v>
      </c>
      <c r="L4478" s="22" t="e">
        <f>VLOOKUP($A4478, TAB_AMORTIZACAO_C[[DIAS_CORRIDOS]:[V_FUT_UTEIS]], L$5, FALSE)</f>
        <v>#N/A</v>
      </c>
    </row>
    <row r="4479" spans="1:12" hidden="1">
      <c r="A4479" s="19">
        <f t="shared" si="354"/>
        <v>4473</v>
      </c>
      <c r="B4479" s="20">
        <f t="shared" si="350"/>
        <v>0</v>
      </c>
      <c r="C4479" s="21">
        <f t="shared" si="351"/>
        <v>0</v>
      </c>
      <c r="D4479" s="22" t="e">
        <f>VLOOKUP($A4479, TAB_JUROS_U[[Q_DIAS_U_PARC_TIR]:[V_FUT_U_JURS CENARIO]], D$5, FALSE)</f>
        <v>#N/A</v>
      </c>
      <c r="E4479" s="22" t="e">
        <f>VLOOKUP($A4479,TAB_CORRECAO_U[[Q_DIAS_U_PARC_TIR]:[V_FUT_U_CORC-02]],E$5, FALSE)</f>
        <v>#N/A</v>
      </c>
      <c r="F4479" s="22" t="e">
        <f>VLOOKUP($A4479,TAB_AMORTIZACAO_U[[Q_DIAS_U_PARC_TIR]:[V_FUT_U_PCPL-02]], F$5, FALSE)</f>
        <v>#N/A</v>
      </c>
      <c r="H4479" s="20">
        <f t="shared" si="352"/>
        <v>0</v>
      </c>
      <c r="I4479" s="21">
        <f t="shared" si="353"/>
        <v>0</v>
      </c>
      <c r="J4479" s="22" t="e">
        <f>VLOOKUP($A4479, TAB_JUROS_C[[DIAS_CORRIDOS]:[V_FUT_UTEIS]], J$5, FALSE)</f>
        <v>#N/A</v>
      </c>
      <c r="K4479" s="22" t="e">
        <f>VLOOKUP($A4479, TAB_CORRECAO_C[[DIAS_CORRIDOS]:[V_FUT_UTEIS]],K$5, FALSE)</f>
        <v>#N/A</v>
      </c>
      <c r="L4479" s="22" t="e">
        <f>VLOOKUP($A4479, TAB_AMORTIZACAO_C[[DIAS_CORRIDOS]:[V_FUT_UTEIS]], L$5, FALSE)</f>
        <v>#N/A</v>
      </c>
    </row>
    <row r="4480" spans="1:12" hidden="1">
      <c r="A4480" s="19">
        <f t="shared" si="354"/>
        <v>4474</v>
      </c>
      <c r="B4480" s="20">
        <f t="shared" si="350"/>
        <v>0</v>
      </c>
      <c r="C4480" s="21">
        <f t="shared" si="351"/>
        <v>0</v>
      </c>
      <c r="D4480" s="22" t="e">
        <f>VLOOKUP($A4480, TAB_JUROS_U[[Q_DIAS_U_PARC_TIR]:[V_FUT_U_JURS CENARIO]], D$5, FALSE)</f>
        <v>#N/A</v>
      </c>
      <c r="E4480" s="22" t="e">
        <f>VLOOKUP($A4480,TAB_CORRECAO_U[[Q_DIAS_U_PARC_TIR]:[V_FUT_U_CORC-02]],E$5, FALSE)</f>
        <v>#N/A</v>
      </c>
      <c r="F4480" s="22" t="e">
        <f>VLOOKUP($A4480,TAB_AMORTIZACAO_U[[Q_DIAS_U_PARC_TIR]:[V_FUT_U_PCPL-02]], F$5, FALSE)</f>
        <v>#N/A</v>
      </c>
      <c r="H4480" s="20">
        <f t="shared" si="352"/>
        <v>0</v>
      </c>
      <c r="I4480" s="21">
        <f t="shared" si="353"/>
        <v>0</v>
      </c>
      <c r="J4480" s="22" t="e">
        <f>VLOOKUP($A4480, TAB_JUROS_C[[DIAS_CORRIDOS]:[V_FUT_UTEIS]], J$5, FALSE)</f>
        <v>#N/A</v>
      </c>
      <c r="K4480" s="22" t="e">
        <f>VLOOKUP($A4480, TAB_CORRECAO_C[[DIAS_CORRIDOS]:[V_FUT_UTEIS]],K$5, FALSE)</f>
        <v>#N/A</v>
      </c>
      <c r="L4480" s="22" t="e">
        <f>VLOOKUP($A4480, TAB_AMORTIZACAO_C[[DIAS_CORRIDOS]:[V_FUT_UTEIS]], L$5, FALSE)</f>
        <v>#N/A</v>
      </c>
    </row>
    <row r="4481" spans="1:12" hidden="1">
      <c r="A4481" s="19">
        <f t="shared" si="354"/>
        <v>4475</v>
      </c>
      <c r="B4481" s="20">
        <f t="shared" si="350"/>
        <v>0</v>
      </c>
      <c r="C4481" s="21">
        <f t="shared" si="351"/>
        <v>0</v>
      </c>
      <c r="D4481" s="22" t="e">
        <f>VLOOKUP($A4481, TAB_JUROS_U[[Q_DIAS_U_PARC_TIR]:[V_FUT_U_JURS CENARIO]], D$5, FALSE)</f>
        <v>#N/A</v>
      </c>
      <c r="E4481" s="22" t="e">
        <f>VLOOKUP($A4481,TAB_CORRECAO_U[[Q_DIAS_U_PARC_TIR]:[V_FUT_U_CORC-02]],E$5, FALSE)</f>
        <v>#N/A</v>
      </c>
      <c r="F4481" s="22" t="e">
        <f>VLOOKUP($A4481,TAB_AMORTIZACAO_U[[Q_DIAS_U_PARC_TIR]:[V_FUT_U_PCPL-02]], F$5, FALSE)</f>
        <v>#N/A</v>
      </c>
      <c r="H4481" s="20">
        <f t="shared" si="352"/>
        <v>0</v>
      </c>
      <c r="I4481" s="21">
        <f t="shared" si="353"/>
        <v>0</v>
      </c>
      <c r="J4481" s="22" t="e">
        <f>VLOOKUP($A4481, TAB_JUROS_C[[DIAS_CORRIDOS]:[V_FUT_UTEIS]], J$5, FALSE)</f>
        <v>#N/A</v>
      </c>
      <c r="K4481" s="22" t="e">
        <f>VLOOKUP($A4481, TAB_CORRECAO_C[[DIAS_CORRIDOS]:[V_FUT_UTEIS]],K$5, FALSE)</f>
        <v>#N/A</v>
      </c>
      <c r="L4481" s="22" t="e">
        <f>VLOOKUP($A4481, TAB_AMORTIZACAO_C[[DIAS_CORRIDOS]:[V_FUT_UTEIS]], L$5, FALSE)</f>
        <v>#N/A</v>
      </c>
    </row>
    <row r="4482" spans="1:12" hidden="1">
      <c r="A4482" s="19">
        <f t="shared" si="354"/>
        <v>4476</v>
      </c>
      <c r="B4482" s="20">
        <f t="shared" si="350"/>
        <v>0</v>
      </c>
      <c r="C4482" s="21">
        <f t="shared" si="351"/>
        <v>0</v>
      </c>
      <c r="D4482" s="22" t="e">
        <f>VLOOKUP($A4482, TAB_JUROS_U[[Q_DIAS_U_PARC_TIR]:[V_FUT_U_JURS CENARIO]], D$5, FALSE)</f>
        <v>#N/A</v>
      </c>
      <c r="E4482" s="22" t="e">
        <f>VLOOKUP($A4482,TAB_CORRECAO_U[[Q_DIAS_U_PARC_TIR]:[V_FUT_U_CORC-02]],E$5, FALSE)</f>
        <v>#N/A</v>
      </c>
      <c r="F4482" s="22" t="e">
        <f>VLOOKUP($A4482,TAB_AMORTIZACAO_U[[Q_DIAS_U_PARC_TIR]:[V_FUT_U_PCPL-02]], F$5, FALSE)</f>
        <v>#N/A</v>
      </c>
      <c r="H4482" s="20">
        <f t="shared" si="352"/>
        <v>0</v>
      </c>
      <c r="I4482" s="21">
        <f t="shared" si="353"/>
        <v>0</v>
      </c>
      <c r="J4482" s="22" t="e">
        <f>VLOOKUP($A4482, TAB_JUROS_C[[DIAS_CORRIDOS]:[V_FUT_UTEIS]], J$5, FALSE)</f>
        <v>#N/A</v>
      </c>
      <c r="K4482" s="22" t="e">
        <f>VLOOKUP($A4482, TAB_CORRECAO_C[[DIAS_CORRIDOS]:[V_FUT_UTEIS]],K$5, FALSE)</f>
        <v>#N/A</v>
      </c>
      <c r="L4482" s="22" t="e">
        <f>VLOOKUP($A4482, TAB_AMORTIZACAO_C[[DIAS_CORRIDOS]:[V_FUT_UTEIS]], L$5, FALSE)</f>
        <v>#N/A</v>
      </c>
    </row>
    <row r="4483" spans="1:12" hidden="1">
      <c r="A4483" s="19">
        <f t="shared" si="354"/>
        <v>4477</v>
      </c>
      <c r="B4483" s="20">
        <f t="shared" si="350"/>
        <v>0</v>
      </c>
      <c r="C4483" s="21">
        <f t="shared" si="351"/>
        <v>0</v>
      </c>
      <c r="D4483" s="22" t="e">
        <f>VLOOKUP($A4483, TAB_JUROS_U[[Q_DIAS_U_PARC_TIR]:[V_FUT_U_JURS CENARIO]], D$5, FALSE)</f>
        <v>#N/A</v>
      </c>
      <c r="E4483" s="22" t="e">
        <f>VLOOKUP($A4483,TAB_CORRECAO_U[[Q_DIAS_U_PARC_TIR]:[V_FUT_U_CORC-02]],E$5, FALSE)</f>
        <v>#N/A</v>
      </c>
      <c r="F4483" s="22" t="e">
        <f>VLOOKUP($A4483,TAB_AMORTIZACAO_U[[Q_DIAS_U_PARC_TIR]:[V_FUT_U_PCPL-02]], F$5, FALSE)</f>
        <v>#N/A</v>
      </c>
      <c r="H4483" s="20">
        <f t="shared" si="352"/>
        <v>0</v>
      </c>
      <c r="I4483" s="21">
        <f t="shared" si="353"/>
        <v>0</v>
      </c>
      <c r="J4483" s="22" t="e">
        <f>VLOOKUP($A4483, TAB_JUROS_C[[DIAS_CORRIDOS]:[V_FUT_UTEIS]], J$5, FALSE)</f>
        <v>#N/A</v>
      </c>
      <c r="K4483" s="22" t="e">
        <f>VLOOKUP($A4483, TAB_CORRECAO_C[[DIAS_CORRIDOS]:[V_FUT_UTEIS]],K$5, FALSE)</f>
        <v>#N/A</v>
      </c>
      <c r="L4483" s="22" t="e">
        <f>VLOOKUP($A4483, TAB_AMORTIZACAO_C[[DIAS_CORRIDOS]:[V_FUT_UTEIS]], L$5, FALSE)</f>
        <v>#N/A</v>
      </c>
    </row>
    <row r="4484" spans="1:12" hidden="1">
      <c r="A4484" s="19">
        <f t="shared" si="354"/>
        <v>4478</v>
      </c>
      <c r="B4484" s="20">
        <f t="shared" si="350"/>
        <v>0</v>
      </c>
      <c r="C4484" s="21">
        <f t="shared" si="351"/>
        <v>0</v>
      </c>
      <c r="D4484" s="22" t="e">
        <f>VLOOKUP($A4484, TAB_JUROS_U[[Q_DIAS_U_PARC_TIR]:[V_FUT_U_JURS CENARIO]], D$5, FALSE)</f>
        <v>#N/A</v>
      </c>
      <c r="E4484" s="22" t="e">
        <f>VLOOKUP($A4484,TAB_CORRECAO_U[[Q_DIAS_U_PARC_TIR]:[V_FUT_U_CORC-02]],E$5, FALSE)</f>
        <v>#N/A</v>
      </c>
      <c r="F4484" s="22" t="e">
        <f>VLOOKUP($A4484,TAB_AMORTIZACAO_U[[Q_DIAS_U_PARC_TIR]:[V_FUT_U_PCPL-02]], F$5, FALSE)</f>
        <v>#N/A</v>
      </c>
      <c r="H4484" s="20">
        <f t="shared" si="352"/>
        <v>0</v>
      </c>
      <c r="I4484" s="21">
        <f t="shared" si="353"/>
        <v>0</v>
      </c>
      <c r="J4484" s="22" t="e">
        <f>VLOOKUP($A4484, TAB_JUROS_C[[DIAS_CORRIDOS]:[V_FUT_UTEIS]], J$5, FALSE)</f>
        <v>#N/A</v>
      </c>
      <c r="K4484" s="22" t="e">
        <f>VLOOKUP($A4484, TAB_CORRECAO_C[[DIAS_CORRIDOS]:[V_FUT_UTEIS]],K$5, FALSE)</f>
        <v>#N/A</v>
      </c>
      <c r="L4484" s="22" t="e">
        <f>VLOOKUP($A4484, TAB_AMORTIZACAO_C[[DIAS_CORRIDOS]:[V_FUT_UTEIS]], L$5, FALSE)</f>
        <v>#N/A</v>
      </c>
    </row>
    <row r="4485" spans="1:12" hidden="1">
      <c r="A4485" s="19">
        <f t="shared" si="354"/>
        <v>4479</v>
      </c>
      <c r="B4485" s="20">
        <f t="shared" si="350"/>
        <v>0</v>
      </c>
      <c r="C4485" s="21">
        <f t="shared" si="351"/>
        <v>0</v>
      </c>
      <c r="D4485" s="22" t="e">
        <f>VLOOKUP($A4485, TAB_JUROS_U[[Q_DIAS_U_PARC_TIR]:[V_FUT_U_JURS CENARIO]], D$5, FALSE)</f>
        <v>#N/A</v>
      </c>
      <c r="E4485" s="22" t="e">
        <f>VLOOKUP($A4485,TAB_CORRECAO_U[[Q_DIAS_U_PARC_TIR]:[V_FUT_U_CORC-02]],E$5, FALSE)</f>
        <v>#N/A</v>
      </c>
      <c r="F4485" s="22" t="e">
        <f>VLOOKUP($A4485,TAB_AMORTIZACAO_U[[Q_DIAS_U_PARC_TIR]:[V_FUT_U_PCPL-02]], F$5, FALSE)</f>
        <v>#N/A</v>
      </c>
      <c r="H4485" s="20">
        <f t="shared" si="352"/>
        <v>0</v>
      </c>
      <c r="I4485" s="21">
        <f t="shared" si="353"/>
        <v>0</v>
      </c>
      <c r="J4485" s="22" t="e">
        <f>VLOOKUP($A4485, TAB_JUROS_C[[DIAS_CORRIDOS]:[V_FUT_UTEIS]], J$5, FALSE)</f>
        <v>#N/A</v>
      </c>
      <c r="K4485" s="22" t="e">
        <f>VLOOKUP($A4485, TAB_CORRECAO_C[[DIAS_CORRIDOS]:[V_FUT_UTEIS]],K$5, FALSE)</f>
        <v>#N/A</v>
      </c>
      <c r="L4485" s="22" t="e">
        <f>VLOOKUP($A4485, TAB_AMORTIZACAO_C[[DIAS_CORRIDOS]:[V_FUT_UTEIS]], L$5, FALSE)</f>
        <v>#N/A</v>
      </c>
    </row>
    <row r="4486" spans="1:12" hidden="1">
      <c r="A4486" s="19">
        <f t="shared" si="354"/>
        <v>4480</v>
      </c>
      <c r="B4486" s="20">
        <f t="shared" si="350"/>
        <v>0</v>
      </c>
      <c r="C4486" s="21">
        <f t="shared" si="351"/>
        <v>0</v>
      </c>
      <c r="D4486" s="22" t="e">
        <f>VLOOKUP($A4486, TAB_JUROS_U[[Q_DIAS_U_PARC_TIR]:[V_FUT_U_JURS CENARIO]], D$5, FALSE)</f>
        <v>#N/A</v>
      </c>
      <c r="E4486" s="22" t="e">
        <f>VLOOKUP($A4486,TAB_CORRECAO_U[[Q_DIAS_U_PARC_TIR]:[V_FUT_U_CORC-02]],E$5, FALSE)</f>
        <v>#N/A</v>
      </c>
      <c r="F4486" s="22" t="e">
        <f>VLOOKUP($A4486,TAB_AMORTIZACAO_U[[Q_DIAS_U_PARC_TIR]:[V_FUT_U_PCPL-02]], F$5, FALSE)</f>
        <v>#N/A</v>
      </c>
      <c r="H4486" s="20">
        <f t="shared" si="352"/>
        <v>0</v>
      </c>
      <c r="I4486" s="21">
        <f t="shared" si="353"/>
        <v>0</v>
      </c>
      <c r="J4486" s="22" t="e">
        <f>VLOOKUP($A4486, TAB_JUROS_C[[DIAS_CORRIDOS]:[V_FUT_UTEIS]], J$5, FALSE)</f>
        <v>#N/A</v>
      </c>
      <c r="K4486" s="22" t="e">
        <f>VLOOKUP($A4486, TAB_CORRECAO_C[[DIAS_CORRIDOS]:[V_FUT_UTEIS]],K$5, FALSE)</f>
        <v>#N/A</v>
      </c>
      <c r="L4486" s="22" t="e">
        <f>VLOOKUP($A4486, TAB_AMORTIZACAO_C[[DIAS_CORRIDOS]:[V_FUT_UTEIS]], L$5, FALSE)</f>
        <v>#N/A</v>
      </c>
    </row>
    <row r="4487" spans="1:12" hidden="1">
      <c r="A4487" s="19">
        <f t="shared" si="354"/>
        <v>4481</v>
      </c>
      <c r="B4487" s="20">
        <f t="shared" si="350"/>
        <v>0</v>
      </c>
      <c r="C4487" s="21">
        <f t="shared" si="351"/>
        <v>0</v>
      </c>
      <c r="D4487" s="22" t="e">
        <f>VLOOKUP($A4487, TAB_JUROS_U[[Q_DIAS_U_PARC_TIR]:[V_FUT_U_JURS CENARIO]], D$5, FALSE)</f>
        <v>#N/A</v>
      </c>
      <c r="E4487" s="22" t="e">
        <f>VLOOKUP($A4487,TAB_CORRECAO_U[[Q_DIAS_U_PARC_TIR]:[V_FUT_U_CORC-02]],E$5, FALSE)</f>
        <v>#N/A</v>
      </c>
      <c r="F4487" s="22" t="e">
        <f>VLOOKUP($A4487,TAB_AMORTIZACAO_U[[Q_DIAS_U_PARC_TIR]:[V_FUT_U_PCPL-02]], F$5, FALSE)</f>
        <v>#N/A</v>
      </c>
      <c r="H4487" s="20">
        <f t="shared" si="352"/>
        <v>0</v>
      </c>
      <c r="I4487" s="21">
        <f t="shared" si="353"/>
        <v>0</v>
      </c>
      <c r="J4487" s="22" t="e">
        <f>VLOOKUP($A4487, TAB_JUROS_C[[DIAS_CORRIDOS]:[V_FUT_UTEIS]], J$5, FALSE)</f>
        <v>#N/A</v>
      </c>
      <c r="K4487" s="22" t="e">
        <f>VLOOKUP($A4487, TAB_CORRECAO_C[[DIAS_CORRIDOS]:[V_FUT_UTEIS]],K$5, FALSE)</f>
        <v>#N/A</v>
      </c>
      <c r="L4487" s="22" t="e">
        <f>VLOOKUP($A4487, TAB_AMORTIZACAO_C[[DIAS_CORRIDOS]:[V_FUT_UTEIS]], L$5, FALSE)</f>
        <v>#N/A</v>
      </c>
    </row>
    <row r="4488" spans="1:12" hidden="1">
      <c r="A4488" s="19">
        <f t="shared" si="354"/>
        <v>4482</v>
      </c>
      <c r="B4488" s="20">
        <f t="shared" si="350"/>
        <v>0</v>
      </c>
      <c r="C4488" s="21">
        <f t="shared" si="351"/>
        <v>0</v>
      </c>
      <c r="D4488" s="22" t="e">
        <f>VLOOKUP($A4488, TAB_JUROS_U[[Q_DIAS_U_PARC_TIR]:[V_FUT_U_JURS CENARIO]], D$5, FALSE)</f>
        <v>#N/A</v>
      </c>
      <c r="E4488" s="22" t="e">
        <f>VLOOKUP($A4488,TAB_CORRECAO_U[[Q_DIAS_U_PARC_TIR]:[V_FUT_U_CORC-02]],E$5, FALSE)</f>
        <v>#N/A</v>
      </c>
      <c r="F4488" s="22" t="e">
        <f>VLOOKUP($A4488,TAB_AMORTIZACAO_U[[Q_DIAS_U_PARC_TIR]:[V_FUT_U_PCPL-02]], F$5, FALSE)</f>
        <v>#N/A</v>
      </c>
      <c r="H4488" s="20">
        <f t="shared" si="352"/>
        <v>0</v>
      </c>
      <c r="I4488" s="21">
        <f t="shared" si="353"/>
        <v>0</v>
      </c>
      <c r="J4488" s="22" t="e">
        <f>VLOOKUP($A4488, TAB_JUROS_C[[DIAS_CORRIDOS]:[V_FUT_UTEIS]], J$5, FALSE)</f>
        <v>#N/A</v>
      </c>
      <c r="K4488" s="22" t="e">
        <f>VLOOKUP($A4488, TAB_CORRECAO_C[[DIAS_CORRIDOS]:[V_FUT_UTEIS]],K$5, FALSE)</f>
        <v>#N/A</v>
      </c>
      <c r="L4488" s="22" t="e">
        <f>VLOOKUP($A4488, TAB_AMORTIZACAO_C[[DIAS_CORRIDOS]:[V_FUT_UTEIS]], L$5, FALSE)</f>
        <v>#N/A</v>
      </c>
    </row>
    <row r="4489" spans="1:12" hidden="1">
      <c r="A4489" s="19">
        <f t="shared" si="354"/>
        <v>4483</v>
      </c>
      <c r="B4489" s="20">
        <f t="shared" ref="B4489:B4552" si="355">IF(ISERROR(C4489), 0, C4489)</f>
        <v>0</v>
      </c>
      <c r="C4489" s="21">
        <f t="shared" ref="C4489:C4552" si="356">SUMIF(D4489:F4489, "&gt;0", D4489:F4489)</f>
        <v>0</v>
      </c>
      <c r="D4489" s="22" t="e">
        <f>VLOOKUP($A4489, TAB_JUROS_U[[Q_DIAS_U_PARC_TIR]:[V_FUT_U_JURS CENARIO]], D$5, FALSE)</f>
        <v>#N/A</v>
      </c>
      <c r="E4489" s="22" t="e">
        <f>VLOOKUP($A4489,TAB_CORRECAO_U[[Q_DIAS_U_PARC_TIR]:[V_FUT_U_CORC-02]],E$5, FALSE)</f>
        <v>#N/A</v>
      </c>
      <c r="F4489" s="22" t="e">
        <f>VLOOKUP($A4489,TAB_AMORTIZACAO_U[[Q_DIAS_U_PARC_TIR]:[V_FUT_U_PCPL-02]], F$5, FALSE)</f>
        <v>#N/A</v>
      </c>
      <c r="H4489" s="20">
        <f t="shared" ref="H4489:H4552" si="357">IF(ISERROR(I4489), 0, I4489)</f>
        <v>0</v>
      </c>
      <c r="I4489" s="21">
        <f t="shared" ref="I4489:I4552" si="358">SUMIF(J4489:L4489, "&gt;0", J4489:L4489)</f>
        <v>0</v>
      </c>
      <c r="J4489" s="22" t="e">
        <f>VLOOKUP($A4489, TAB_JUROS_C[[DIAS_CORRIDOS]:[V_FUT_UTEIS]], J$5, FALSE)</f>
        <v>#N/A</v>
      </c>
      <c r="K4489" s="22" t="e">
        <f>VLOOKUP($A4489, TAB_CORRECAO_C[[DIAS_CORRIDOS]:[V_FUT_UTEIS]],K$5, FALSE)</f>
        <v>#N/A</v>
      </c>
      <c r="L4489" s="22" t="e">
        <f>VLOOKUP($A4489, TAB_AMORTIZACAO_C[[DIAS_CORRIDOS]:[V_FUT_UTEIS]], L$5, FALSE)</f>
        <v>#N/A</v>
      </c>
    </row>
    <row r="4490" spans="1:12" hidden="1">
      <c r="A4490" s="19">
        <f t="shared" ref="A4490:A4553" si="359">A4489+1</f>
        <v>4484</v>
      </c>
      <c r="B4490" s="20">
        <f t="shared" si="355"/>
        <v>0</v>
      </c>
      <c r="C4490" s="21">
        <f t="shared" si="356"/>
        <v>0</v>
      </c>
      <c r="D4490" s="22" t="e">
        <f>VLOOKUP($A4490, TAB_JUROS_U[[Q_DIAS_U_PARC_TIR]:[V_FUT_U_JURS CENARIO]], D$5, FALSE)</f>
        <v>#N/A</v>
      </c>
      <c r="E4490" s="22" t="e">
        <f>VLOOKUP($A4490,TAB_CORRECAO_U[[Q_DIAS_U_PARC_TIR]:[V_FUT_U_CORC-02]],E$5, FALSE)</f>
        <v>#N/A</v>
      </c>
      <c r="F4490" s="22" t="e">
        <f>VLOOKUP($A4490,TAB_AMORTIZACAO_U[[Q_DIAS_U_PARC_TIR]:[V_FUT_U_PCPL-02]], F$5, FALSE)</f>
        <v>#N/A</v>
      </c>
      <c r="H4490" s="20">
        <f t="shared" si="357"/>
        <v>0</v>
      </c>
      <c r="I4490" s="21">
        <f t="shared" si="358"/>
        <v>0</v>
      </c>
      <c r="J4490" s="22" t="e">
        <f>VLOOKUP($A4490, TAB_JUROS_C[[DIAS_CORRIDOS]:[V_FUT_UTEIS]], J$5, FALSE)</f>
        <v>#N/A</v>
      </c>
      <c r="K4490" s="22" t="e">
        <f>VLOOKUP($A4490, TAB_CORRECAO_C[[DIAS_CORRIDOS]:[V_FUT_UTEIS]],K$5, FALSE)</f>
        <v>#N/A</v>
      </c>
      <c r="L4490" s="22" t="e">
        <f>VLOOKUP($A4490, TAB_AMORTIZACAO_C[[DIAS_CORRIDOS]:[V_FUT_UTEIS]], L$5, FALSE)</f>
        <v>#N/A</v>
      </c>
    </row>
    <row r="4491" spans="1:12" hidden="1">
      <c r="A4491" s="19">
        <f t="shared" si="359"/>
        <v>4485</v>
      </c>
      <c r="B4491" s="20">
        <f t="shared" si="355"/>
        <v>0</v>
      </c>
      <c r="C4491" s="21">
        <f t="shared" si="356"/>
        <v>0</v>
      </c>
      <c r="D4491" s="22" t="e">
        <f>VLOOKUP($A4491, TAB_JUROS_U[[Q_DIAS_U_PARC_TIR]:[V_FUT_U_JURS CENARIO]], D$5, FALSE)</f>
        <v>#N/A</v>
      </c>
      <c r="E4491" s="22" t="e">
        <f>VLOOKUP($A4491,TAB_CORRECAO_U[[Q_DIAS_U_PARC_TIR]:[V_FUT_U_CORC-02]],E$5, FALSE)</f>
        <v>#N/A</v>
      </c>
      <c r="F4491" s="22" t="e">
        <f>VLOOKUP($A4491,TAB_AMORTIZACAO_U[[Q_DIAS_U_PARC_TIR]:[V_FUT_U_PCPL-02]], F$5, FALSE)</f>
        <v>#N/A</v>
      </c>
      <c r="H4491" s="20">
        <f t="shared" si="357"/>
        <v>0</v>
      </c>
      <c r="I4491" s="21">
        <f t="shared" si="358"/>
        <v>0</v>
      </c>
      <c r="J4491" s="22" t="e">
        <f>VLOOKUP($A4491, TAB_JUROS_C[[DIAS_CORRIDOS]:[V_FUT_UTEIS]], J$5, FALSE)</f>
        <v>#N/A</v>
      </c>
      <c r="K4491" s="22" t="e">
        <f>VLOOKUP($A4491, TAB_CORRECAO_C[[DIAS_CORRIDOS]:[V_FUT_UTEIS]],K$5, FALSE)</f>
        <v>#N/A</v>
      </c>
      <c r="L4491" s="22" t="e">
        <f>VLOOKUP($A4491, TAB_AMORTIZACAO_C[[DIAS_CORRIDOS]:[V_FUT_UTEIS]], L$5, FALSE)</f>
        <v>#N/A</v>
      </c>
    </row>
    <row r="4492" spans="1:12" hidden="1">
      <c r="A4492" s="19">
        <f t="shared" si="359"/>
        <v>4486</v>
      </c>
      <c r="B4492" s="20">
        <f t="shared" si="355"/>
        <v>0</v>
      </c>
      <c r="C4492" s="21">
        <f t="shared" si="356"/>
        <v>0</v>
      </c>
      <c r="D4492" s="22" t="e">
        <f>VLOOKUP($A4492, TAB_JUROS_U[[Q_DIAS_U_PARC_TIR]:[V_FUT_U_JURS CENARIO]], D$5, FALSE)</f>
        <v>#N/A</v>
      </c>
      <c r="E4492" s="22" t="e">
        <f>VLOOKUP($A4492,TAB_CORRECAO_U[[Q_DIAS_U_PARC_TIR]:[V_FUT_U_CORC-02]],E$5, FALSE)</f>
        <v>#N/A</v>
      </c>
      <c r="F4492" s="22" t="e">
        <f>VLOOKUP($A4492,TAB_AMORTIZACAO_U[[Q_DIAS_U_PARC_TIR]:[V_FUT_U_PCPL-02]], F$5, FALSE)</f>
        <v>#N/A</v>
      </c>
      <c r="H4492" s="20">
        <f t="shared" si="357"/>
        <v>0</v>
      </c>
      <c r="I4492" s="21">
        <f t="shared" si="358"/>
        <v>0</v>
      </c>
      <c r="J4492" s="22" t="e">
        <f>VLOOKUP($A4492, TAB_JUROS_C[[DIAS_CORRIDOS]:[V_FUT_UTEIS]], J$5, FALSE)</f>
        <v>#N/A</v>
      </c>
      <c r="K4492" s="22" t="e">
        <f>VLOOKUP($A4492, TAB_CORRECAO_C[[DIAS_CORRIDOS]:[V_FUT_UTEIS]],K$5, FALSE)</f>
        <v>#N/A</v>
      </c>
      <c r="L4492" s="22" t="e">
        <f>VLOOKUP($A4492, TAB_AMORTIZACAO_C[[DIAS_CORRIDOS]:[V_FUT_UTEIS]], L$5, FALSE)</f>
        <v>#N/A</v>
      </c>
    </row>
    <row r="4493" spans="1:12" hidden="1">
      <c r="A4493" s="19">
        <f t="shared" si="359"/>
        <v>4487</v>
      </c>
      <c r="B4493" s="20">
        <f t="shared" si="355"/>
        <v>0</v>
      </c>
      <c r="C4493" s="21">
        <f t="shared" si="356"/>
        <v>0</v>
      </c>
      <c r="D4493" s="22" t="e">
        <f>VLOOKUP($A4493, TAB_JUROS_U[[Q_DIAS_U_PARC_TIR]:[V_FUT_U_JURS CENARIO]], D$5, FALSE)</f>
        <v>#N/A</v>
      </c>
      <c r="E4493" s="22" t="e">
        <f>VLOOKUP($A4493,TAB_CORRECAO_U[[Q_DIAS_U_PARC_TIR]:[V_FUT_U_CORC-02]],E$5, FALSE)</f>
        <v>#N/A</v>
      </c>
      <c r="F4493" s="22" t="e">
        <f>VLOOKUP($A4493,TAB_AMORTIZACAO_U[[Q_DIAS_U_PARC_TIR]:[V_FUT_U_PCPL-02]], F$5, FALSE)</f>
        <v>#N/A</v>
      </c>
      <c r="H4493" s="20">
        <f t="shared" si="357"/>
        <v>0</v>
      </c>
      <c r="I4493" s="21">
        <f t="shared" si="358"/>
        <v>0</v>
      </c>
      <c r="J4493" s="22" t="e">
        <f>VLOOKUP($A4493, TAB_JUROS_C[[DIAS_CORRIDOS]:[V_FUT_UTEIS]], J$5, FALSE)</f>
        <v>#N/A</v>
      </c>
      <c r="K4493" s="22" t="e">
        <f>VLOOKUP($A4493, TAB_CORRECAO_C[[DIAS_CORRIDOS]:[V_FUT_UTEIS]],K$5, FALSE)</f>
        <v>#N/A</v>
      </c>
      <c r="L4493" s="22" t="e">
        <f>VLOOKUP($A4493, TAB_AMORTIZACAO_C[[DIAS_CORRIDOS]:[V_FUT_UTEIS]], L$5, FALSE)</f>
        <v>#N/A</v>
      </c>
    </row>
    <row r="4494" spans="1:12" hidden="1">
      <c r="A4494" s="19">
        <f t="shared" si="359"/>
        <v>4488</v>
      </c>
      <c r="B4494" s="20">
        <f t="shared" si="355"/>
        <v>0</v>
      </c>
      <c r="C4494" s="21">
        <f t="shared" si="356"/>
        <v>0</v>
      </c>
      <c r="D4494" s="22" t="e">
        <f>VLOOKUP($A4494, TAB_JUROS_U[[Q_DIAS_U_PARC_TIR]:[V_FUT_U_JURS CENARIO]], D$5, FALSE)</f>
        <v>#N/A</v>
      </c>
      <c r="E4494" s="22" t="e">
        <f>VLOOKUP($A4494,TAB_CORRECAO_U[[Q_DIAS_U_PARC_TIR]:[V_FUT_U_CORC-02]],E$5, FALSE)</f>
        <v>#N/A</v>
      </c>
      <c r="F4494" s="22" t="e">
        <f>VLOOKUP($A4494,TAB_AMORTIZACAO_U[[Q_DIAS_U_PARC_TIR]:[V_FUT_U_PCPL-02]], F$5, FALSE)</f>
        <v>#N/A</v>
      </c>
      <c r="H4494" s="20">
        <f t="shared" si="357"/>
        <v>0</v>
      </c>
      <c r="I4494" s="21">
        <f t="shared" si="358"/>
        <v>0</v>
      </c>
      <c r="J4494" s="22" t="e">
        <f>VLOOKUP($A4494, TAB_JUROS_C[[DIAS_CORRIDOS]:[V_FUT_UTEIS]], J$5, FALSE)</f>
        <v>#N/A</v>
      </c>
      <c r="K4494" s="22" t="e">
        <f>VLOOKUP($A4494, TAB_CORRECAO_C[[DIAS_CORRIDOS]:[V_FUT_UTEIS]],K$5, FALSE)</f>
        <v>#N/A</v>
      </c>
      <c r="L4494" s="22" t="e">
        <f>VLOOKUP($A4494, TAB_AMORTIZACAO_C[[DIAS_CORRIDOS]:[V_FUT_UTEIS]], L$5, FALSE)</f>
        <v>#N/A</v>
      </c>
    </row>
    <row r="4495" spans="1:12" hidden="1">
      <c r="A4495" s="19">
        <f t="shared" si="359"/>
        <v>4489</v>
      </c>
      <c r="B4495" s="20">
        <f t="shared" si="355"/>
        <v>0</v>
      </c>
      <c r="C4495" s="21">
        <f t="shared" si="356"/>
        <v>0</v>
      </c>
      <c r="D4495" s="22" t="e">
        <f>VLOOKUP($A4495, TAB_JUROS_U[[Q_DIAS_U_PARC_TIR]:[V_FUT_U_JURS CENARIO]], D$5, FALSE)</f>
        <v>#N/A</v>
      </c>
      <c r="E4495" s="22" t="e">
        <f>VLOOKUP($A4495,TAB_CORRECAO_U[[Q_DIAS_U_PARC_TIR]:[V_FUT_U_CORC-02]],E$5, FALSE)</f>
        <v>#N/A</v>
      </c>
      <c r="F4495" s="22" t="e">
        <f>VLOOKUP($A4495,TAB_AMORTIZACAO_U[[Q_DIAS_U_PARC_TIR]:[V_FUT_U_PCPL-02]], F$5, FALSE)</f>
        <v>#N/A</v>
      </c>
      <c r="H4495" s="20">
        <f t="shared" si="357"/>
        <v>0</v>
      </c>
      <c r="I4495" s="21">
        <f t="shared" si="358"/>
        <v>0</v>
      </c>
      <c r="J4495" s="22" t="e">
        <f>VLOOKUP($A4495, TAB_JUROS_C[[DIAS_CORRIDOS]:[V_FUT_UTEIS]], J$5, FALSE)</f>
        <v>#N/A</v>
      </c>
      <c r="K4495" s="22" t="e">
        <f>VLOOKUP($A4495, TAB_CORRECAO_C[[DIAS_CORRIDOS]:[V_FUT_UTEIS]],K$5, FALSE)</f>
        <v>#N/A</v>
      </c>
      <c r="L4495" s="22" t="e">
        <f>VLOOKUP($A4495, TAB_AMORTIZACAO_C[[DIAS_CORRIDOS]:[V_FUT_UTEIS]], L$5, FALSE)</f>
        <v>#N/A</v>
      </c>
    </row>
    <row r="4496" spans="1:12" hidden="1">
      <c r="A4496" s="19">
        <f t="shared" si="359"/>
        <v>4490</v>
      </c>
      <c r="B4496" s="20">
        <f t="shared" si="355"/>
        <v>0</v>
      </c>
      <c r="C4496" s="21">
        <f t="shared" si="356"/>
        <v>0</v>
      </c>
      <c r="D4496" s="22" t="e">
        <f>VLOOKUP($A4496, TAB_JUROS_U[[Q_DIAS_U_PARC_TIR]:[V_FUT_U_JURS CENARIO]], D$5, FALSE)</f>
        <v>#N/A</v>
      </c>
      <c r="E4496" s="22" t="e">
        <f>VLOOKUP($A4496,TAB_CORRECAO_U[[Q_DIAS_U_PARC_TIR]:[V_FUT_U_CORC-02]],E$5, FALSE)</f>
        <v>#N/A</v>
      </c>
      <c r="F4496" s="22" t="e">
        <f>VLOOKUP($A4496,TAB_AMORTIZACAO_U[[Q_DIAS_U_PARC_TIR]:[V_FUT_U_PCPL-02]], F$5, FALSE)</f>
        <v>#N/A</v>
      </c>
      <c r="H4496" s="20">
        <f t="shared" si="357"/>
        <v>0</v>
      </c>
      <c r="I4496" s="21">
        <f t="shared" si="358"/>
        <v>0</v>
      </c>
      <c r="J4496" s="22" t="e">
        <f>VLOOKUP($A4496, TAB_JUROS_C[[DIAS_CORRIDOS]:[V_FUT_UTEIS]], J$5, FALSE)</f>
        <v>#N/A</v>
      </c>
      <c r="K4496" s="22" t="e">
        <f>VLOOKUP($A4496, TAB_CORRECAO_C[[DIAS_CORRIDOS]:[V_FUT_UTEIS]],K$5, FALSE)</f>
        <v>#N/A</v>
      </c>
      <c r="L4496" s="22" t="e">
        <f>VLOOKUP($A4496, TAB_AMORTIZACAO_C[[DIAS_CORRIDOS]:[V_FUT_UTEIS]], L$5, FALSE)</f>
        <v>#N/A</v>
      </c>
    </row>
    <row r="4497" spans="1:12" hidden="1">
      <c r="A4497" s="19">
        <f t="shared" si="359"/>
        <v>4491</v>
      </c>
      <c r="B4497" s="20">
        <f t="shared" si="355"/>
        <v>0</v>
      </c>
      <c r="C4497" s="21">
        <f t="shared" si="356"/>
        <v>0</v>
      </c>
      <c r="D4497" s="22" t="e">
        <f>VLOOKUP($A4497, TAB_JUROS_U[[Q_DIAS_U_PARC_TIR]:[V_FUT_U_JURS CENARIO]], D$5, FALSE)</f>
        <v>#N/A</v>
      </c>
      <c r="E4497" s="22" t="e">
        <f>VLOOKUP($A4497,TAB_CORRECAO_U[[Q_DIAS_U_PARC_TIR]:[V_FUT_U_CORC-02]],E$5, FALSE)</f>
        <v>#N/A</v>
      </c>
      <c r="F4497" s="22" t="e">
        <f>VLOOKUP($A4497,TAB_AMORTIZACAO_U[[Q_DIAS_U_PARC_TIR]:[V_FUT_U_PCPL-02]], F$5, FALSE)</f>
        <v>#N/A</v>
      </c>
      <c r="H4497" s="20">
        <f t="shared" si="357"/>
        <v>0</v>
      </c>
      <c r="I4497" s="21">
        <f t="shared" si="358"/>
        <v>0</v>
      </c>
      <c r="J4497" s="22" t="e">
        <f>VLOOKUP($A4497, TAB_JUROS_C[[DIAS_CORRIDOS]:[V_FUT_UTEIS]], J$5, FALSE)</f>
        <v>#N/A</v>
      </c>
      <c r="K4497" s="22" t="e">
        <f>VLOOKUP($A4497, TAB_CORRECAO_C[[DIAS_CORRIDOS]:[V_FUT_UTEIS]],K$5, FALSE)</f>
        <v>#N/A</v>
      </c>
      <c r="L4497" s="22" t="e">
        <f>VLOOKUP($A4497, TAB_AMORTIZACAO_C[[DIAS_CORRIDOS]:[V_FUT_UTEIS]], L$5, FALSE)</f>
        <v>#N/A</v>
      </c>
    </row>
    <row r="4498" spans="1:12" hidden="1">
      <c r="A4498" s="19">
        <f t="shared" si="359"/>
        <v>4492</v>
      </c>
      <c r="B4498" s="20">
        <f t="shared" si="355"/>
        <v>0</v>
      </c>
      <c r="C4498" s="21">
        <f t="shared" si="356"/>
        <v>0</v>
      </c>
      <c r="D4498" s="22" t="e">
        <f>VLOOKUP($A4498, TAB_JUROS_U[[Q_DIAS_U_PARC_TIR]:[V_FUT_U_JURS CENARIO]], D$5, FALSE)</f>
        <v>#N/A</v>
      </c>
      <c r="E4498" s="22" t="e">
        <f>VLOOKUP($A4498,TAB_CORRECAO_U[[Q_DIAS_U_PARC_TIR]:[V_FUT_U_CORC-02]],E$5, FALSE)</f>
        <v>#N/A</v>
      </c>
      <c r="F4498" s="22" t="e">
        <f>VLOOKUP($A4498,TAB_AMORTIZACAO_U[[Q_DIAS_U_PARC_TIR]:[V_FUT_U_PCPL-02]], F$5, FALSE)</f>
        <v>#N/A</v>
      </c>
      <c r="H4498" s="20">
        <f t="shared" si="357"/>
        <v>0</v>
      </c>
      <c r="I4498" s="21">
        <f t="shared" si="358"/>
        <v>0</v>
      </c>
      <c r="J4498" s="22" t="e">
        <f>VLOOKUP($A4498, TAB_JUROS_C[[DIAS_CORRIDOS]:[V_FUT_UTEIS]], J$5, FALSE)</f>
        <v>#N/A</v>
      </c>
      <c r="K4498" s="22" t="e">
        <f>VLOOKUP($A4498, TAB_CORRECAO_C[[DIAS_CORRIDOS]:[V_FUT_UTEIS]],K$5, FALSE)</f>
        <v>#N/A</v>
      </c>
      <c r="L4498" s="22" t="e">
        <f>VLOOKUP($A4498, TAB_AMORTIZACAO_C[[DIAS_CORRIDOS]:[V_FUT_UTEIS]], L$5, FALSE)</f>
        <v>#N/A</v>
      </c>
    </row>
    <row r="4499" spans="1:12" hidden="1">
      <c r="A4499" s="19">
        <f t="shared" si="359"/>
        <v>4493</v>
      </c>
      <c r="B4499" s="20">
        <f t="shared" si="355"/>
        <v>0</v>
      </c>
      <c r="C4499" s="21">
        <f t="shared" si="356"/>
        <v>0</v>
      </c>
      <c r="D4499" s="22" t="e">
        <f>VLOOKUP($A4499, TAB_JUROS_U[[Q_DIAS_U_PARC_TIR]:[V_FUT_U_JURS CENARIO]], D$5, FALSE)</f>
        <v>#N/A</v>
      </c>
      <c r="E4499" s="22" t="e">
        <f>VLOOKUP($A4499,TAB_CORRECAO_U[[Q_DIAS_U_PARC_TIR]:[V_FUT_U_CORC-02]],E$5, FALSE)</f>
        <v>#N/A</v>
      </c>
      <c r="F4499" s="22" t="e">
        <f>VLOOKUP($A4499,TAB_AMORTIZACAO_U[[Q_DIAS_U_PARC_TIR]:[V_FUT_U_PCPL-02]], F$5, FALSE)</f>
        <v>#N/A</v>
      </c>
      <c r="H4499" s="20">
        <f t="shared" si="357"/>
        <v>0</v>
      </c>
      <c r="I4499" s="21">
        <f t="shared" si="358"/>
        <v>0</v>
      </c>
      <c r="J4499" s="22" t="e">
        <f>VLOOKUP($A4499, TAB_JUROS_C[[DIAS_CORRIDOS]:[V_FUT_UTEIS]], J$5, FALSE)</f>
        <v>#N/A</v>
      </c>
      <c r="K4499" s="22" t="e">
        <f>VLOOKUP($A4499, TAB_CORRECAO_C[[DIAS_CORRIDOS]:[V_FUT_UTEIS]],K$5, FALSE)</f>
        <v>#N/A</v>
      </c>
      <c r="L4499" s="22" t="e">
        <f>VLOOKUP($A4499, TAB_AMORTIZACAO_C[[DIAS_CORRIDOS]:[V_FUT_UTEIS]], L$5, FALSE)</f>
        <v>#N/A</v>
      </c>
    </row>
    <row r="4500" spans="1:12" hidden="1">
      <c r="A4500" s="19">
        <f t="shared" si="359"/>
        <v>4494</v>
      </c>
      <c r="B4500" s="20">
        <f t="shared" si="355"/>
        <v>0</v>
      </c>
      <c r="C4500" s="21">
        <f t="shared" si="356"/>
        <v>0</v>
      </c>
      <c r="D4500" s="22" t="e">
        <f>VLOOKUP($A4500, TAB_JUROS_U[[Q_DIAS_U_PARC_TIR]:[V_FUT_U_JURS CENARIO]], D$5, FALSE)</f>
        <v>#N/A</v>
      </c>
      <c r="E4500" s="22" t="e">
        <f>VLOOKUP($A4500,TAB_CORRECAO_U[[Q_DIAS_U_PARC_TIR]:[V_FUT_U_CORC-02]],E$5, FALSE)</f>
        <v>#N/A</v>
      </c>
      <c r="F4500" s="22" t="e">
        <f>VLOOKUP($A4500,TAB_AMORTIZACAO_U[[Q_DIAS_U_PARC_TIR]:[V_FUT_U_PCPL-02]], F$5, FALSE)</f>
        <v>#N/A</v>
      </c>
      <c r="H4500" s="20">
        <f t="shared" si="357"/>
        <v>0</v>
      </c>
      <c r="I4500" s="21">
        <f t="shared" si="358"/>
        <v>0</v>
      </c>
      <c r="J4500" s="22" t="e">
        <f>VLOOKUP($A4500, TAB_JUROS_C[[DIAS_CORRIDOS]:[V_FUT_UTEIS]], J$5, FALSE)</f>
        <v>#N/A</v>
      </c>
      <c r="K4500" s="22" t="e">
        <f>VLOOKUP($A4500, TAB_CORRECAO_C[[DIAS_CORRIDOS]:[V_FUT_UTEIS]],K$5, FALSE)</f>
        <v>#N/A</v>
      </c>
      <c r="L4500" s="22" t="e">
        <f>VLOOKUP($A4500, TAB_AMORTIZACAO_C[[DIAS_CORRIDOS]:[V_FUT_UTEIS]], L$5, FALSE)</f>
        <v>#N/A</v>
      </c>
    </row>
    <row r="4501" spans="1:12" hidden="1">
      <c r="A4501" s="19">
        <f t="shared" si="359"/>
        <v>4495</v>
      </c>
      <c r="B4501" s="20">
        <f t="shared" si="355"/>
        <v>0</v>
      </c>
      <c r="C4501" s="21">
        <f t="shared" si="356"/>
        <v>0</v>
      </c>
      <c r="D4501" s="22" t="e">
        <f>VLOOKUP($A4501, TAB_JUROS_U[[Q_DIAS_U_PARC_TIR]:[V_FUT_U_JURS CENARIO]], D$5, FALSE)</f>
        <v>#N/A</v>
      </c>
      <c r="E4501" s="22" t="e">
        <f>VLOOKUP($A4501,TAB_CORRECAO_U[[Q_DIAS_U_PARC_TIR]:[V_FUT_U_CORC-02]],E$5, FALSE)</f>
        <v>#N/A</v>
      </c>
      <c r="F4501" s="22" t="e">
        <f>VLOOKUP($A4501,TAB_AMORTIZACAO_U[[Q_DIAS_U_PARC_TIR]:[V_FUT_U_PCPL-02]], F$5, FALSE)</f>
        <v>#N/A</v>
      </c>
      <c r="H4501" s="20">
        <f t="shared" si="357"/>
        <v>0</v>
      </c>
      <c r="I4501" s="21">
        <f t="shared" si="358"/>
        <v>0</v>
      </c>
      <c r="J4501" s="22" t="e">
        <f>VLOOKUP($A4501, TAB_JUROS_C[[DIAS_CORRIDOS]:[V_FUT_UTEIS]], J$5, FALSE)</f>
        <v>#N/A</v>
      </c>
      <c r="K4501" s="22" t="e">
        <f>VLOOKUP($A4501, TAB_CORRECAO_C[[DIAS_CORRIDOS]:[V_FUT_UTEIS]],K$5, FALSE)</f>
        <v>#N/A</v>
      </c>
      <c r="L4501" s="22" t="e">
        <f>VLOOKUP($A4501, TAB_AMORTIZACAO_C[[DIAS_CORRIDOS]:[V_FUT_UTEIS]], L$5, FALSE)</f>
        <v>#N/A</v>
      </c>
    </row>
    <row r="4502" spans="1:12" hidden="1">
      <c r="A4502" s="19">
        <f t="shared" si="359"/>
        <v>4496</v>
      </c>
      <c r="B4502" s="20">
        <f t="shared" si="355"/>
        <v>0</v>
      </c>
      <c r="C4502" s="21">
        <f t="shared" si="356"/>
        <v>0</v>
      </c>
      <c r="D4502" s="22" t="e">
        <f>VLOOKUP($A4502, TAB_JUROS_U[[Q_DIAS_U_PARC_TIR]:[V_FUT_U_JURS CENARIO]], D$5, FALSE)</f>
        <v>#N/A</v>
      </c>
      <c r="E4502" s="22" t="e">
        <f>VLOOKUP($A4502,TAB_CORRECAO_U[[Q_DIAS_U_PARC_TIR]:[V_FUT_U_CORC-02]],E$5, FALSE)</f>
        <v>#N/A</v>
      </c>
      <c r="F4502" s="22" t="e">
        <f>VLOOKUP($A4502,TAB_AMORTIZACAO_U[[Q_DIAS_U_PARC_TIR]:[V_FUT_U_PCPL-02]], F$5, FALSE)</f>
        <v>#N/A</v>
      </c>
      <c r="H4502" s="20">
        <f t="shared" si="357"/>
        <v>0</v>
      </c>
      <c r="I4502" s="21">
        <f t="shared" si="358"/>
        <v>0</v>
      </c>
      <c r="J4502" s="22" t="e">
        <f>VLOOKUP($A4502, TAB_JUROS_C[[DIAS_CORRIDOS]:[V_FUT_UTEIS]], J$5, FALSE)</f>
        <v>#N/A</v>
      </c>
      <c r="K4502" s="22" t="e">
        <f>VLOOKUP($A4502, TAB_CORRECAO_C[[DIAS_CORRIDOS]:[V_FUT_UTEIS]],K$5, FALSE)</f>
        <v>#N/A</v>
      </c>
      <c r="L4502" s="22" t="e">
        <f>VLOOKUP($A4502, TAB_AMORTIZACAO_C[[DIAS_CORRIDOS]:[V_FUT_UTEIS]], L$5, FALSE)</f>
        <v>#N/A</v>
      </c>
    </row>
    <row r="4503" spans="1:12" hidden="1">
      <c r="A4503" s="19">
        <f t="shared" si="359"/>
        <v>4497</v>
      </c>
      <c r="B4503" s="20">
        <f t="shared" si="355"/>
        <v>0</v>
      </c>
      <c r="C4503" s="21">
        <f t="shared" si="356"/>
        <v>0</v>
      </c>
      <c r="D4503" s="22" t="e">
        <f>VLOOKUP($A4503, TAB_JUROS_U[[Q_DIAS_U_PARC_TIR]:[V_FUT_U_JURS CENARIO]], D$5, FALSE)</f>
        <v>#N/A</v>
      </c>
      <c r="E4503" s="22" t="e">
        <f>VLOOKUP($A4503,TAB_CORRECAO_U[[Q_DIAS_U_PARC_TIR]:[V_FUT_U_CORC-02]],E$5, FALSE)</f>
        <v>#N/A</v>
      </c>
      <c r="F4503" s="22" t="e">
        <f>VLOOKUP($A4503,TAB_AMORTIZACAO_U[[Q_DIAS_U_PARC_TIR]:[V_FUT_U_PCPL-02]], F$5, FALSE)</f>
        <v>#N/A</v>
      </c>
      <c r="H4503" s="20">
        <f t="shared" si="357"/>
        <v>0</v>
      </c>
      <c r="I4503" s="21">
        <f t="shared" si="358"/>
        <v>0</v>
      </c>
      <c r="J4503" s="22" t="e">
        <f>VLOOKUP($A4503, TAB_JUROS_C[[DIAS_CORRIDOS]:[V_FUT_UTEIS]], J$5, FALSE)</f>
        <v>#N/A</v>
      </c>
      <c r="K4503" s="22" t="e">
        <f>VLOOKUP($A4503, TAB_CORRECAO_C[[DIAS_CORRIDOS]:[V_FUT_UTEIS]],K$5, FALSE)</f>
        <v>#N/A</v>
      </c>
      <c r="L4503" s="22" t="e">
        <f>VLOOKUP($A4503, TAB_AMORTIZACAO_C[[DIAS_CORRIDOS]:[V_FUT_UTEIS]], L$5, FALSE)</f>
        <v>#N/A</v>
      </c>
    </row>
    <row r="4504" spans="1:12" hidden="1">
      <c r="A4504" s="19">
        <f t="shared" si="359"/>
        <v>4498</v>
      </c>
      <c r="B4504" s="20">
        <f t="shared" si="355"/>
        <v>0</v>
      </c>
      <c r="C4504" s="21">
        <f t="shared" si="356"/>
        <v>0</v>
      </c>
      <c r="D4504" s="22" t="e">
        <f>VLOOKUP($A4504, TAB_JUROS_U[[Q_DIAS_U_PARC_TIR]:[V_FUT_U_JURS CENARIO]], D$5, FALSE)</f>
        <v>#N/A</v>
      </c>
      <c r="E4504" s="22" t="e">
        <f>VLOOKUP($A4504,TAB_CORRECAO_U[[Q_DIAS_U_PARC_TIR]:[V_FUT_U_CORC-02]],E$5, FALSE)</f>
        <v>#N/A</v>
      </c>
      <c r="F4504" s="22" t="e">
        <f>VLOOKUP($A4504,TAB_AMORTIZACAO_U[[Q_DIAS_U_PARC_TIR]:[V_FUT_U_PCPL-02]], F$5, FALSE)</f>
        <v>#N/A</v>
      </c>
      <c r="H4504" s="20">
        <f t="shared" si="357"/>
        <v>0</v>
      </c>
      <c r="I4504" s="21">
        <f t="shared" si="358"/>
        <v>0</v>
      </c>
      <c r="J4504" s="22" t="e">
        <f>VLOOKUP($A4504, TAB_JUROS_C[[DIAS_CORRIDOS]:[V_FUT_UTEIS]], J$5, FALSE)</f>
        <v>#N/A</v>
      </c>
      <c r="K4504" s="22" t="e">
        <f>VLOOKUP($A4504, TAB_CORRECAO_C[[DIAS_CORRIDOS]:[V_FUT_UTEIS]],K$5, FALSE)</f>
        <v>#N/A</v>
      </c>
      <c r="L4504" s="22" t="e">
        <f>VLOOKUP($A4504, TAB_AMORTIZACAO_C[[DIAS_CORRIDOS]:[V_FUT_UTEIS]], L$5, FALSE)</f>
        <v>#N/A</v>
      </c>
    </row>
    <row r="4505" spans="1:12" hidden="1">
      <c r="A4505" s="19">
        <f t="shared" si="359"/>
        <v>4499</v>
      </c>
      <c r="B4505" s="20">
        <f t="shared" si="355"/>
        <v>0</v>
      </c>
      <c r="C4505" s="21">
        <f t="shared" si="356"/>
        <v>0</v>
      </c>
      <c r="D4505" s="22" t="e">
        <f>VLOOKUP($A4505, TAB_JUROS_U[[Q_DIAS_U_PARC_TIR]:[V_FUT_U_JURS CENARIO]], D$5, FALSE)</f>
        <v>#N/A</v>
      </c>
      <c r="E4505" s="22" t="e">
        <f>VLOOKUP($A4505,TAB_CORRECAO_U[[Q_DIAS_U_PARC_TIR]:[V_FUT_U_CORC-02]],E$5, FALSE)</f>
        <v>#N/A</v>
      </c>
      <c r="F4505" s="22" t="e">
        <f>VLOOKUP($A4505,TAB_AMORTIZACAO_U[[Q_DIAS_U_PARC_TIR]:[V_FUT_U_PCPL-02]], F$5, FALSE)</f>
        <v>#N/A</v>
      </c>
      <c r="H4505" s="20">
        <f t="shared" si="357"/>
        <v>0</v>
      </c>
      <c r="I4505" s="21">
        <f t="shared" si="358"/>
        <v>0</v>
      </c>
      <c r="J4505" s="22" t="e">
        <f>VLOOKUP($A4505, TAB_JUROS_C[[DIAS_CORRIDOS]:[V_FUT_UTEIS]], J$5, FALSE)</f>
        <v>#N/A</v>
      </c>
      <c r="K4505" s="22" t="e">
        <f>VLOOKUP($A4505, TAB_CORRECAO_C[[DIAS_CORRIDOS]:[V_FUT_UTEIS]],K$5, FALSE)</f>
        <v>#N/A</v>
      </c>
      <c r="L4505" s="22" t="e">
        <f>VLOOKUP($A4505, TAB_AMORTIZACAO_C[[DIAS_CORRIDOS]:[V_FUT_UTEIS]], L$5, FALSE)</f>
        <v>#N/A</v>
      </c>
    </row>
    <row r="4506" spans="1:12" hidden="1">
      <c r="A4506" s="19">
        <f t="shared" si="359"/>
        <v>4500</v>
      </c>
      <c r="B4506" s="20">
        <f t="shared" si="355"/>
        <v>0</v>
      </c>
      <c r="C4506" s="21">
        <f t="shared" si="356"/>
        <v>0</v>
      </c>
      <c r="D4506" s="22" t="e">
        <f>VLOOKUP($A4506, TAB_JUROS_U[[Q_DIAS_U_PARC_TIR]:[V_FUT_U_JURS CENARIO]], D$5, FALSE)</f>
        <v>#N/A</v>
      </c>
      <c r="E4506" s="22" t="e">
        <f>VLOOKUP($A4506,TAB_CORRECAO_U[[Q_DIAS_U_PARC_TIR]:[V_FUT_U_CORC-02]],E$5, FALSE)</f>
        <v>#N/A</v>
      </c>
      <c r="F4506" s="22" t="e">
        <f>VLOOKUP($A4506,TAB_AMORTIZACAO_U[[Q_DIAS_U_PARC_TIR]:[V_FUT_U_PCPL-02]], F$5, FALSE)</f>
        <v>#N/A</v>
      </c>
      <c r="H4506" s="20">
        <f t="shared" si="357"/>
        <v>0</v>
      </c>
      <c r="I4506" s="21">
        <f t="shared" si="358"/>
        <v>0</v>
      </c>
      <c r="J4506" s="22" t="e">
        <f>VLOOKUP($A4506, TAB_JUROS_C[[DIAS_CORRIDOS]:[V_FUT_UTEIS]], J$5, FALSE)</f>
        <v>#N/A</v>
      </c>
      <c r="K4506" s="22" t="e">
        <f>VLOOKUP($A4506, TAB_CORRECAO_C[[DIAS_CORRIDOS]:[V_FUT_UTEIS]],K$5, FALSE)</f>
        <v>#N/A</v>
      </c>
      <c r="L4506" s="22" t="e">
        <f>VLOOKUP($A4506, TAB_AMORTIZACAO_C[[DIAS_CORRIDOS]:[V_FUT_UTEIS]], L$5, FALSE)</f>
        <v>#N/A</v>
      </c>
    </row>
    <row r="4507" spans="1:12" hidden="1">
      <c r="A4507" s="19">
        <f t="shared" si="359"/>
        <v>4501</v>
      </c>
      <c r="B4507" s="20">
        <f t="shared" si="355"/>
        <v>0</v>
      </c>
      <c r="C4507" s="21">
        <f t="shared" si="356"/>
        <v>0</v>
      </c>
      <c r="D4507" s="22" t="e">
        <f>VLOOKUP($A4507, TAB_JUROS_U[[Q_DIAS_U_PARC_TIR]:[V_FUT_U_JURS CENARIO]], D$5, FALSE)</f>
        <v>#N/A</v>
      </c>
      <c r="E4507" s="22" t="e">
        <f>VLOOKUP($A4507,TAB_CORRECAO_U[[Q_DIAS_U_PARC_TIR]:[V_FUT_U_CORC-02]],E$5, FALSE)</f>
        <v>#N/A</v>
      </c>
      <c r="F4507" s="22" t="e">
        <f>VLOOKUP($A4507,TAB_AMORTIZACAO_U[[Q_DIAS_U_PARC_TIR]:[V_FUT_U_PCPL-02]], F$5, FALSE)</f>
        <v>#N/A</v>
      </c>
      <c r="H4507" s="20">
        <f t="shared" si="357"/>
        <v>0</v>
      </c>
      <c r="I4507" s="21">
        <f t="shared" si="358"/>
        <v>0</v>
      </c>
      <c r="J4507" s="22" t="e">
        <f>VLOOKUP($A4507, TAB_JUROS_C[[DIAS_CORRIDOS]:[V_FUT_UTEIS]], J$5, FALSE)</f>
        <v>#N/A</v>
      </c>
      <c r="K4507" s="22" t="e">
        <f>VLOOKUP($A4507, TAB_CORRECAO_C[[DIAS_CORRIDOS]:[V_FUT_UTEIS]],K$5, FALSE)</f>
        <v>#N/A</v>
      </c>
      <c r="L4507" s="22" t="e">
        <f>VLOOKUP($A4507, TAB_AMORTIZACAO_C[[DIAS_CORRIDOS]:[V_FUT_UTEIS]], L$5, FALSE)</f>
        <v>#N/A</v>
      </c>
    </row>
    <row r="4508" spans="1:12" hidden="1">
      <c r="A4508" s="19">
        <f t="shared" si="359"/>
        <v>4502</v>
      </c>
      <c r="B4508" s="20">
        <f t="shared" si="355"/>
        <v>0</v>
      </c>
      <c r="C4508" s="21">
        <f t="shared" si="356"/>
        <v>0</v>
      </c>
      <c r="D4508" s="22" t="e">
        <f>VLOOKUP($A4508, TAB_JUROS_U[[Q_DIAS_U_PARC_TIR]:[V_FUT_U_JURS CENARIO]], D$5, FALSE)</f>
        <v>#N/A</v>
      </c>
      <c r="E4508" s="22" t="e">
        <f>VLOOKUP($A4508,TAB_CORRECAO_U[[Q_DIAS_U_PARC_TIR]:[V_FUT_U_CORC-02]],E$5, FALSE)</f>
        <v>#N/A</v>
      </c>
      <c r="F4508" s="22" t="e">
        <f>VLOOKUP($A4508,TAB_AMORTIZACAO_U[[Q_DIAS_U_PARC_TIR]:[V_FUT_U_PCPL-02]], F$5, FALSE)</f>
        <v>#N/A</v>
      </c>
      <c r="H4508" s="20">
        <f t="shared" si="357"/>
        <v>0</v>
      </c>
      <c r="I4508" s="21">
        <f t="shared" si="358"/>
        <v>0</v>
      </c>
      <c r="J4508" s="22" t="e">
        <f>VLOOKUP($A4508, TAB_JUROS_C[[DIAS_CORRIDOS]:[V_FUT_UTEIS]], J$5, FALSE)</f>
        <v>#N/A</v>
      </c>
      <c r="K4508" s="22" t="e">
        <f>VLOOKUP($A4508, TAB_CORRECAO_C[[DIAS_CORRIDOS]:[V_FUT_UTEIS]],K$5, FALSE)</f>
        <v>#N/A</v>
      </c>
      <c r="L4508" s="22" t="e">
        <f>VLOOKUP($A4508, TAB_AMORTIZACAO_C[[DIAS_CORRIDOS]:[V_FUT_UTEIS]], L$5, FALSE)</f>
        <v>#N/A</v>
      </c>
    </row>
    <row r="4509" spans="1:12" hidden="1">
      <c r="A4509" s="19">
        <f t="shared" si="359"/>
        <v>4503</v>
      </c>
      <c r="B4509" s="20">
        <f t="shared" si="355"/>
        <v>0</v>
      </c>
      <c r="C4509" s="21">
        <f t="shared" si="356"/>
        <v>0</v>
      </c>
      <c r="D4509" s="22" t="e">
        <f>VLOOKUP($A4509, TAB_JUROS_U[[Q_DIAS_U_PARC_TIR]:[V_FUT_U_JURS CENARIO]], D$5, FALSE)</f>
        <v>#N/A</v>
      </c>
      <c r="E4509" s="22" t="e">
        <f>VLOOKUP($A4509,TAB_CORRECAO_U[[Q_DIAS_U_PARC_TIR]:[V_FUT_U_CORC-02]],E$5, FALSE)</f>
        <v>#N/A</v>
      </c>
      <c r="F4509" s="22" t="e">
        <f>VLOOKUP($A4509,TAB_AMORTIZACAO_U[[Q_DIAS_U_PARC_TIR]:[V_FUT_U_PCPL-02]], F$5, FALSE)</f>
        <v>#N/A</v>
      </c>
      <c r="H4509" s="20">
        <f t="shared" si="357"/>
        <v>0</v>
      </c>
      <c r="I4509" s="21">
        <f t="shared" si="358"/>
        <v>0</v>
      </c>
      <c r="J4509" s="22" t="e">
        <f>VLOOKUP($A4509, TAB_JUROS_C[[DIAS_CORRIDOS]:[V_FUT_UTEIS]], J$5, FALSE)</f>
        <v>#N/A</v>
      </c>
      <c r="K4509" s="22" t="e">
        <f>VLOOKUP($A4509, TAB_CORRECAO_C[[DIAS_CORRIDOS]:[V_FUT_UTEIS]],K$5, FALSE)</f>
        <v>#N/A</v>
      </c>
      <c r="L4509" s="22" t="e">
        <f>VLOOKUP($A4509, TAB_AMORTIZACAO_C[[DIAS_CORRIDOS]:[V_FUT_UTEIS]], L$5, FALSE)</f>
        <v>#N/A</v>
      </c>
    </row>
    <row r="4510" spans="1:12" hidden="1">
      <c r="A4510" s="19">
        <f t="shared" si="359"/>
        <v>4504</v>
      </c>
      <c r="B4510" s="20">
        <f t="shared" si="355"/>
        <v>0</v>
      </c>
      <c r="C4510" s="21">
        <f t="shared" si="356"/>
        <v>0</v>
      </c>
      <c r="D4510" s="22" t="e">
        <f>VLOOKUP($A4510, TAB_JUROS_U[[Q_DIAS_U_PARC_TIR]:[V_FUT_U_JURS CENARIO]], D$5, FALSE)</f>
        <v>#N/A</v>
      </c>
      <c r="E4510" s="22" t="e">
        <f>VLOOKUP($A4510,TAB_CORRECAO_U[[Q_DIAS_U_PARC_TIR]:[V_FUT_U_CORC-02]],E$5, FALSE)</f>
        <v>#N/A</v>
      </c>
      <c r="F4510" s="22" t="e">
        <f>VLOOKUP($A4510,TAB_AMORTIZACAO_U[[Q_DIAS_U_PARC_TIR]:[V_FUT_U_PCPL-02]], F$5, FALSE)</f>
        <v>#N/A</v>
      </c>
      <c r="H4510" s="20">
        <f t="shared" si="357"/>
        <v>0</v>
      </c>
      <c r="I4510" s="21">
        <f t="shared" si="358"/>
        <v>0</v>
      </c>
      <c r="J4510" s="22" t="e">
        <f>VLOOKUP($A4510, TAB_JUROS_C[[DIAS_CORRIDOS]:[V_FUT_UTEIS]], J$5, FALSE)</f>
        <v>#N/A</v>
      </c>
      <c r="K4510" s="22" t="e">
        <f>VLOOKUP($A4510, TAB_CORRECAO_C[[DIAS_CORRIDOS]:[V_FUT_UTEIS]],K$5, FALSE)</f>
        <v>#N/A</v>
      </c>
      <c r="L4510" s="22" t="e">
        <f>VLOOKUP($A4510, TAB_AMORTIZACAO_C[[DIAS_CORRIDOS]:[V_FUT_UTEIS]], L$5, FALSE)</f>
        <v>#N/A</v>
      </c>
    </row>
    <row r="4511" spans="1:12" hidden="1">
      <c r="A4511" s="19">
        <f t="shared" si="359"/>
        <v>4505</v>
      </c>
      <c r="B4511" s="20">
        <f t="shared" si="355"/>
        <v>0</v>
      </c>
      <c r="C4511" s="21">
        <f t="shared" si="356"/>
        <v>0</v>
      </c>
      <c r="D4511" s="22" t="e">
        <f>VLOOKUP($A4511, TAB_JUROS_U[[Q_DIAS_U_PARC_TIR]:[V_FUT_U_JURS CENARIO]], D$5, FALSE)</f>
        <v>#N/A</v>
      </c>
      <c r="E4511" s="22" t="e">
        <f>VLOOKUP($A4511,TAB_CORRECAO_U[[Q_DIAS_U_PARC_TIR]:[V_FUT_U_CORC-02]],E$5, FALSE)</f>
        <v>#N/A</v>
      </c>
      <c r="F4511" s="22" t="e">
        <f>VLOOKUP($A4511,TAB_AMORTIZACAO_U[[Q_DIAS_U_PARC_TIR]:[V_FUT_U_PCPL-02]], F$5, FALSE)</f>
        <v>#N/A</v>
      </c>
      <c r="H4511" s="20">
        <f t="shared" si="357"/>
        <v>0</v>
      </c>
      <c r="I4511" s="21">
        <f t="shared" si="358"/>
        <v>0</v>
      </c>
      <c r="J4511" s="22" t="e">
        <f>VLOOKUP($A4511, TAB_JUROS_C[[DIAS_CORRIDOS]:[V_FUT_UTEIS]], J$5, FALSE)</f>
        <v>#N/A</v>
      </c>
      <c r="K4511" s="22" t="e">
        <f>VLOOKUP($A4511, TAB_CORRECAO_C[[DIAS_CORRIDOS]:[V_FUT_UTEIS]],K$5, FALSE)</f>
        <v>#N/A</v>
      </c>
      <c r="L4511" s="22" t="e">
        <f>VLOOKUP($A4511, TAB_AMORTIZACAO_C[[DIAS_CORRIDOS]:[V_FUT_UTEIS]], L$5, FALSE)</f>
        <v>#N/A</v>
      </c>
    </row>
    <row r="4512" spans="1:12" hidden="1">
      <c r="A4512" s="19">
        <f t="shared" si="359"/>
        <v>4506</v>
      </c>
      <c r="B4512" s="20">
        <f t="shared" si="355"/>
        <v>0</v>
      </c>
      <c r="C4512" s="21">
        <f t="shared" si="356"/>
        <v>0</v>
      </c>
      <c r="D4512" s="22" t="e">
        <f>VLOOKUP($A4512, TAB_JUROS_U[[Q_DIAS_U_PARC_TIR]:[V_FUT_U_JURS CENARIO]], D$5, FALSE)</f>
        <v>#N/A</v>
      </c>
      <c r="E4512" s="22" t="e">
        <f>VLOOKUP($A4512,TAB_CORRECAO_U[[Q_DIAS_U_PARC_TIR]:[V_FUT_U_CORC-02]],E$5, FALSE)</f>
        <v>#N/A</v>
      </c>
      <c r="F4512" s="22" t="e">
        <f>VLOOKUP($A4512,TAB_AMORTIZACAO_U[[Q_DIAS_U_PARC_TIR]:[V_FUT_U_PCPL-02]], F$5, FALSE)</f>
        <v>#N/A</v>
      </c>
      <c r="H4512" s="20">
        <f t="shared" si="357"/>
        <v>0</v>
      </c>
      <c r="I4512" s="21">
        <f t="shared" si="358"/>
        <v>0</v>
      </c>
      <c r="J4512" s="22" t="e">
        <f>VLOOKUP($A4512, TAB_JUROS_C[[DIAS_CORRIDOS]:[V_FUT_UTEIS]], J$5, FALSE)</f>
        <v>#N/A</v>
      </c>
      <c r="K4512" s="22" t="e">
        <f>VLOOKUP($A4512, TAB_CORRECAO_C[[DIAS_CORRIDOS]:[V_FUT_UTEIS]],K$5, FALSE)</f>
        <v>#N/A</v>
      </c>
      <c r="L4512" s="22" t="e">
        <f>VLOOKUP($A4512, TAB_AMORTIZACAO_C[[DIAS_CORRIDOS]:[V_FUT_UTEIS]], L$5, FALSE)</f>
        <v>#N/A</v>
      </c>
    </row>
    <row r="4513" spans="1:12" hidden="1">
      <c r="A4513" s="19">
        <f t="shared" si="359"/>
        <v>4507</v>
      </c>
      <c r="B4513" s="20">
        <f t="shared" si="355"/>
        <v>0</v>
      </c>
      <c r="C4513" s="21">
        <f t="shared" si="356"/>
        <v>0</v>
      </c>
      <c r="D4513" s="22" t="e">
        <f>VLOOKUP($A4513, TAB_JUROS_U[[Q_DIAS_U_PARC_TIR]:[V_FUT_U_JURS CENARIO]], D$5, FALSE)</f>
        <v>#N/A</v>
      </c>
      <c r="E4513" s="22" t="e">
        <f>VLOOKUP($A4513,TAB_CORRECAO_U[[Q_DIAS_U_PARC_TIR]:[V_FUT_U_CORC-02]],E$5, FALSE)</f>
        <v>#N/A</v>
      </c>
      <c r="F4513" s="22" t="e">
        <f>VLOOKUP($A4513,TAB_AMORTIZACAO_U[[Q_DIAS_U_PARC_TIR]:[V_FUT_U_PCPL-02]], F$5, FALSE)</f>
        <v>#N/A</v>
      </c>
      <c r="H4513" s="20">
        <f t="shared" si="357"/>
        <v>0</v>
      </c>
      <c r="I4513" s="21">
        <f t="shared" si="358"/>
        <v>0</v>
      </c>
      <c r="J4513" s="22" t="e">
        <f>VLOOKUP($A4513, TAB_JUROS_C[[DIAS_CORRIDOS]:[V_FUT_UTEIS]], J$5, FALSE)</f>
        <v>#N/A</v>
      </c>
      <c r="K4513" s="22" t="e">
        <f>VLOOKUP($A4513, TAB_CORRECAO_C[[DIAS_CORRIDOS]:[V_FUT_UTEIS]],K$5, FALSE)</f>
        <v>#N/A</v>
      </c>
      <c r="L4513" s="22" t="e">
        <f>VLOOKUP($A4513, TAB_AMORTIZACAO_C[[DIAS_CORRIDOS]:[V_FUT_UTEIS]], L$5, FALSE)</f>
        <v>#N/A</v>
      </c>
    </row>
    <row r="4514" spans="1:12" hidden="1">
      <c r="A4514" s="19">
        <f t="shared" si="359"/>
        <v>4508</v>
      </c>
      <c r="B4514" s="20">
        <f t="shared" si="355"/>
        <v>0</v>
      </c>
      <c r="C4514" s="21">
        <f t="shared" si="356"/>
        <v>0</v>
      </c>
      <c r="D4514" s="22" t="e">
        <f>VLOOKUP($A4514, TAB_JUROS_U[[Q_DIAS_U_PARC_TIR]:[V_FUT_U_JURS CENARIO]], D$5, FALSE)</f>
        <v>#N/A</v>
      </c>
      <c r="E4514" s="22" t="e">
        <f>VLOOKUP($A4514,TAB_CORRECAO_U[[Q_DIAS_U_PARC_TIR]:[V_FUT_U_CORC-02]],E$5, FALSE)</f>
        <v>#N/A</v>
      </c>
      <c r="F4514" s="22" t="e">
        <f>VLOOKUP($A4514,TAB_AMORTIZACAO_U[[Q_DIAS_U_PARC_TIR]:[V_FUT_U_PCPL-02]], F$5, FALSE)</f>
        <v>#N/A</v>
      </c>
      <c r="H4514" s="20">
        <f t="shared" si="357"/>
        <v>0</v>
      </c>
      <c r="I4514" s="21">
        <f t="shared" si="358"/>
        <v>0</v>
      </c>
      <c r="J4514" s="22" t="e">
        <f>VLOOKUP($A4514, TAB_JUROS_C[[DIAS_CORRIDOS]:[V_FUT_UTEIS]], J$5, FALSE)</f>
        <v>#N/A</v>
      </c>
      <c r="K4514" s="22" t="e">
        <f>VLOOKUP($A4514, TAB_CORRECAO_C[[DIAS_CORRIDOS]:[V_FUT_UTEIS]],K$5, FALSE)</f>
        <v>#N/A</v>
      </c>
      <c r="L4514" s="22" t="e">
        <f>VLOOKUP($A4514, TAB_AMORTIZACAO_C[[DIAS_CORRIDOS]:[V_FUT_UTEIS]], L$5, FALSE)</f>
        <v>#N/A</v>
      </c>
    </row>
    <row r="4515" spans="1:12" hidden="1">
      <c r="A4515" s="19">
        <f t="shared" si="359"/>
        <v>4509</v>
      </c>
      <c r="B4515" s="20">
        <f t="shared" si="355"/>
        <v>0</v>
      </c>
      <c r="C4515" s="21">
        <f t="shared" si="356"/>
        <v>0</v>
      </c>
      <c r="D4515" s="22" t="e">
        <f>VLOOKUP($A4515, TAB_JUROS_U[[Q_DIAS_U_PARC_TIR]:[V_FUT_U_JURS CENARIO]], D$5, FALSE)</f>
        <v>#N/A</v>
      </c>
      <c r="E4515" s="22" t="e">
        <f>VLOOKUP($A4515,TAB_CORRECAO_U[[Q_DIAS_U_PARC_TIR]:[V_FUT_U_CORC-02]],E$5, FALSE)</f>
        <v>#N/A</v>
      </c>
      <c r="F4515" s="22" t="e">
        <f>VLOOKUP($A4515,TAB_AMORTIZACAO_U[[Q_DIAS_U_PARC_TIR]:[V_FUT_U_PCPL-02]], F$5, FALSE)</f>
        <v>#N/A</v>
      </c>
      <c r="H4515" s="20">
        <f t="shared" si="357"/>
        <v>0</v>
      </c>
      <c r="I4515" s="21">
        <f t="shared" si="358"/>
        <v>0</v>
      </c>
      <c r="J4515" s="22" t="e">
        <f>VLOOKUP($A4515, TAB_JUROS_C[[DIAS_CORRIDOS]:[V_FUT_UTEIS]], J$5, FALSE)</f>
        <v>#N/A</v>
      </c>
      <c r="K4515" s="22" t="e">
        <f>VLOOKUP($A4515, TAB_CORRECAO_C[[DIAS_CORRIDOS]:[V_FUT_UTEIS]],K$5, FALSE)</f>
        <v>#N/A</v>
      </c>
      <c r="L4515" s="22" t="e">
        <f>VLOOKUP($A4515, TAB_AMORTIZACAO_C[[DIAS_CORRIDOS]:[V_FUT_UTEIS]], L$5, FALSE)</f>
        <v>#N/A</v>
      </c>
    </row>
    <row r="4516" spans="1:12" hidden="1">
      <c r="A4516" s="19">
        <f t="shared" si="359"/>
        <v>4510</v>
      </c>
      <c r="B4516" s="20">
        <f t="shared" si="355"/>
        <v>0</v>
      </c>
      <c r="C4516" s="21">
        <f t="shared" si="356"/>
        <v>0</v>
      </c>
      <c r="D4516" s="22" t="e">
        <f>VLOOKUP($A4516, TAB_JUROS_U[[Q_DIAS_U_PARC_TIR]:[V_FUT_U_JURS CENARIO]], D$5, FALSE)</f>
        <v>#N/A</v>
      </c>
      <c r="E4516" s="22" t="e">
        <f>VLOOKUP($A4516,TAB_CORRECAO_U[[Q_DIAS_U_PARC_TIR]:[V_FUT_U_CORC-02]],E$5, FALSE)</f>
        <v>#N/A</v>
      </c>
      <c r="F4516" s="22" t="e">
        <f>VLOOKUP($A4516,TAB_AMORTIZACAO_U[[Q_DIAS_U_PARC_TIR]:[V_FUT_U_PCPL-02]], F$5, FALSE)</f>
        <v>#N/A</v>
      </c>
      <c r="H4516" s="20">
        <f t="shared" si="357"/>
        <v>0</v>
      </c>
      <c r="I4516" s="21">
        <f t="shared" si="358"/>
        <v>0</v>
      </c>
      <c r="J4516" s="22" t="e">
        <f>VLOOKUP($A4516, TAB_JUROS_C[[DIAS_CORRIDOS]:[V_FUT_UTEIS]], J$5, FALSE)</f>
        <v>#N/A</v>
      </c>
      <c r="K4516" s="22" t="e">
        <f>VLOOKUP($A4516, TAB_CORRECAO_C[[DIAS_CORRIDOS]:[V_FUT_UTEIS]],K$5, FALSE)</f>
        <v>#N/A</v>
      </c>
      <c r="L4516" s="22" t="e">
        <f>VLOOKUP($A4516, TAB_AMORTIZACAO_C[[DIAS_CORRIDOS]:[V_FUT_UTEIS]], L$5, FALSE)</f>
        <v>#N/A</v>
      </c>
    </row>
    <row r="4517" spans="1:12" hidden="1">
      <c r="A4517" s="19">
        <f t="shared" si="359"/>
        <v>4511</v>
      </c>
      <c r="B4517" s="20">
        <f t="shared" si="355"/>
        <v>0</v>
      </c>
      <c r="C4517" s="21">
        <f t="shared" si="356"/>
        <v>0</v>
      </c>
      <c r="D4517" s="22" t="e">
        <f>VLOOKUP($A4517, TAB_JUROS_U[[Q_DIAS_U_PARC_TIR]:[V_FUT_U_JURS CENARIO]], D$5, FALSE)</f>
        <v>#N/A</v>
      </c>
      <c r="E4517" s="22" t="e">
        <f>VLOOKUP($A4517,TAB_CORRECAO_U[[Q_DIAS_U_PARC_TIR]:[V_FUT_U_CORC-02]],E$5, FALSE)</f>
        <v>#N/A</v>
      </c>
      <c r="F4517" s="22" t="e">
        <f>VLOOKUP($A4517,TAB_AMORTIZACAO_U[[Q_DIAS_U_PARC_TIR]:[V_FUT_U_PCPL-02]], F$5, FALSE)</f>
        <v>#N/A</v>
      </c>
      <c r="H4517" s="20">
        <f t="shared" si="357"/>
        <v>0</v>
      </c>
      <c r="I4517" s="21">
        <f t="shared" si="358"/>
        <v>0</v>
      </c>
      <c r="J4517" s="22" t="e">
        <f>VLOOKUP($A4517, TAB_JUROS_C[[DIAS_CORRIDOS]:[V_FUT_UTEIS]], J$5, FALSE)</f>
        <v>#N/A</v>
      </c>
      <c r="K4517" s="22" t="e">
        <f>VLOOKUP($A4517, TAB_CORRECAO_C[[DIAS_CORRIDOS]:[V_FUT_UTEIS]],K$5, FALSE)</f>
        <v>#N/A</v>
      </c>
      <c r="L4517" s="22" t="e">
        <f>VLOOKUP($A4517, TAB_AMORTIZACAO_C[[DIAS_CORRIDOS]:[V_FUT_UTEIS]], L$5, FALSE)</f>
        <v>#N/A</v>
      </c>
    </row>
    <row r="4518" spans="1:12" hidden="1">
      <c r="A4518" s="19">
        <f t="shared" si="359"/>
        <v>4512</v>
      </c>
      <c r="B4518" s="20">
        <f t="shared" si="355"/>
        <v>0</v>
      </c>
      <c r="C4518" s="21">
        <f t="shared" si="356"/>
        <v>0</v>
      </c>
      <c r="D4518" s="22" t="e">
        <f>VLOOKUP($A4518, TAB_JUROS_U[[Q_DIAS_U_PARC_TIR]:[V_FUT_U_JURS CENARIO]], D$5, FALSE)</f>
        <v>#N/A</v>
      </c>
      <c r="E4518" s="22" t="e">
        <f>VLOOKUP($A4518,TAB_CORRECAO_U[[Q_DIAS_U_PARC_TIR]:[V_FUT_U_CORC-02]],E$5, FALSE)</f>
        <v>#N/A</v>
      </c>
      <c r="F4518" s="22" t="e">
        <f>VLOOKUP($A4518,TAB_AMORTIZACAO_U[[Q_DIAS_U_PARC_TIR]:[V_FUT_U_PCPL-02]], F$5, FALSE)</f>
        <v>#N/A</v>
      </c>
      <c r="H4518" s="20">
        <f t="shared" si="357"/>
        <v>0</v>
      </c>
      <c r="I4518" s="21">
        <f t="shared" si="358"/>
        <v>0</v>
      </c>
      <c r="J4518" s="22" t="e">
        <f>VLOOKUP($A4518, TAB_JUROS_C[[DIAS_CORRIDOS]:[V_FUT_UTEIS]], J$5, FALSE)</f>
        <v>#N/A</v>
      </c>
      <c r="K4518" s="22" t="e">
        <f>VLOOKUP($A4518, TAB_CORRECAO_C[[DIAS_CORRIDOS]:[V_FUT_UTEIS]],K$5, FALSE)</f>
        <v>#N/A</v>
      </c>
      <c r="L4518" s="22" t="e">
        <f>VLOOKUP($A4518, TAB_AMORTIZACAO_C[[DIAS_CORRIDOS]:[V_FUT_UTEIS]], L$5, FALSE)</f>
        <v>#N/A</v>
      </c>
    </row>
    <row r="4519" spans="1:12" hidden="1">
      <c r="A4519" s="19">
        <f t="shared" si="359"/>
        <v>4513</v>
      </c>
      <c r="B4519" s="20">
        <f t="shared" si="355"/>
        <v>0</v>
      </c>
      <c r="C4519" s="21">
        <f t="shared" si="356"/>
        <v>0</v>
      </c>
      <c r="D4519" s="22" t="e">
        <f>VLOOKUP($A4519, TAB_JUROS_U[[Q_DIAS_U_PARC_TIR]:[V_FUT_U_JURS CENARIO]], D$5, FALSE)</f>
        <v>#N/A</v>
      </c>
      <c r="E4519" s="22" t="e">
        <f>VLOOKUP($A4519,TAB_CORRECAO_U[[Q_DIAS_U_PARC_TIR]:[V_FUT_U_CORC-02]],E$5, FALSE)</f>
        <v>#N/A</v>
      </c>
      <c r="F4519" s="22" t="e">
        <f>VLOOKUP($A4519,TAB_AMORTIZACAO_U[[Q_DIAS_U_PARC_TIR]:[V_FUT_U_PCPL-02]], F$5, FALSE)</f>
        <v>#N/A</v>
      </c>
      <c r="H4519" s="20">
        <f t="shared" si="357"/>
        <v>0</v>
      </c>
      <c r="I4519" s="21">
        <f t="shared" si="358"/>
        <v>0</v>
      </c>
      <c r="J4519" s="22" t="e">
        <f>VLOOKUP($A4519, TAB_JUROS_C[[DIAS_CORRIDOS]:[V_FUT_UTEIS]], J$5, FALSE)</f>
        <v>#N/A</v>
      </c>
      <c r="K4519" s="22" t="e">
        <f>VLOOKUP($A4519, TAB_CORRECAO_C[[DIAS_CORRIDOS]:[V_FUT_UTEIS]],K$5, FALSE)</f>
        <v>#N/A</v>
      </c>
      <c r="L4519" s="22" t="e">
        <f>VLOOKUP($A4519, TAB_AMORTIZACAO_C[[DIAS_CORRIDOS]:[V_FUT_UTEIS]], L$5, FALSE)</f>
        <v>#N/A</v>
      </c>
    </row>
    <row r="4520" spans="1:12" hidden="1">
      <c r="A4520" s="19">
        <f t="shared" si="359"/>
        <v>4514</v>
      </c>
      <c r="B4520" s="20">
        <f t="shared" si="355"/>
        <v>0</v>
      </c>
      <c r="C4520" s="21">
        <f t="shared" si="356"/>
        <v>0</v>
      </c>
      <c r="D4520" s="22" t="e">
        <f>VLOOKUP($A4520, TAB_JUROS_U[[Q_DIAS_U_PARC_TIR]:[V_FUT_U_JURS CENARIO]], D$5, FALSE)</f>
        <v>#N/A</v>
      </c>
      <c r="E4520" s="22" t="e">
        <f>VLOOKUP($A4520,TAB_CORRECAO_U[[Q_DIAS_U_PARC_TIR]:[V_FUT_U_CORC-02]],E$5, FALSE)</f>
        <v>#N/A</v>
      </c>
      <c r="F4520" s="22" t="e">
        <f>VLOOKUP($A4520,TAB_AMORTIZACAO_U[[Q_DIAS_U_PARC_TIR]:[V_FUT_U_PCPL-02]], F$5, FALSE)</f>
        <v>#N/A</v>
      </c>
      <c r="H4520" s="20">
        <f t="shared" si="357"/>
        <v>0</v>
      </c>
      <c r="I4520" s="21">
        <f t="shared" si="358"/>
        <v>0</v>
      </c>
      <c r="J4520" s="22" t="e">
        <f>VLOOKUP($A4520, TAB_JUROS_C[[DIAS_CORRIDOS]:[V_FUT_UTEIS]], J$5, FALSE)</f>
        <v>#N/A</v>
      </c>
      <c r="K4520" s="22" t="e">
        <f>VLOOKUP($A4520, TAB_CORRECAO_C[[DIAS_CORRIDOS]:[V_FUT_UTEIS]],K$5, FALSE)</f>
        <v>#N/A</v>
      </c>
      <c r="L4520" s="22" t="e">
        <f>VLOOKUP($A4520, TAB_AMORTIZACAO_C[[DIAS_CORRIDOS]:[V_FUT_UTEIS]], L$5, FALSE)</f>
        <v>#N/A</v>
      </c>
    </row>
    <row r="4521" spans="1:12" hidden="1">
      <c r="A4521" s="19">
        <f t="shared" si="359"/>
        <v>4515</v>
      </c>
      <c r="B4521" s="20">
        <f t="shared" si="355"/>
        <v>0</v>
      </c>
      <c r="C4521" s="21">
        <f t="shared" si="356"/>
        <v>0</v>
      </c>
      <c r="D4521" s="22" t="e">
        <f>VLOOKUP($A4521, TAB_JUROS_U[[Q_DIAS_U_PARC_TIR]:[V_FUT_U_JURS CENARIO]], D$5, FALSE)</f>
        <v>#N/A</v>
      </c>
      <c r="E4521" s="22" t="e">
        <f>VLOOKUP($A4521,TAB_CORRECAO_U[[Q_DIAS_U_PARC_TIR]:[V_FUT_U_CORC-02]],E$5, FALSE)</f>
        <v>#N/A</v>
      </c>
      <c r="F4521" s="22" t="e">
        <f>VLOOKUP($A4521,TAB_AMORTIZACAO_U[[Q_DIAS_U_PARC_TIR]:[V_FUT_U_PCPL-02]], F$5, FALSE)</f>
        <v>#N/A</v>
      </c>
      <c r="H4521" s="20">
        <f t="shared" si="357"/>
        <v>0</v>
      </c>
      <c r="I4521" s="21">
        <f t="shared" si="358"/>
        <v>0</v>
      </c>
      <c r="J4521" s="22" t="e">
        <f>VLOOKUP($A4521, TAB_JUROS_C[[DIAS_CORRIDOS]:[V_FUT_UTEIS]], J$5, FALSE)</f>
        <v>#N/A</v>
      </c>
      <c r="K4521" s="22" t="e">
        <f>VLOOKUP($A4521, TAB_CORRECAO_C[[DIAS_CORRIDOS]:[V_FUT_UTEIS]],K$5, FALSE)</f>
        <v>#N/A</v>
      </c>
      <c r="L4521" s="22" t="e">
        <f>VLOOKUP($A4521, TAB_AMORTIZACAO_C[[DIAS_CORRIDOS]:[V_FUT_UTEIS]], L$5, FALSE)</f>
        <v>#N/A</v>
      </c>
    </row>
    <row r="4522" spans="1:12" hidden="1">
      <c r="A4522" s="19">
        <f t="shared" si="359"/>
        <v>4516</v>
      </c>
      <c r="B4522" s="20">
        <f t="shared" si="355"/>
        <v>0</v>
      </c>
      <c r="C4522" s="21">
        <f t="shared" si="356"/>
        <v>0</v>
      </c>
      <c r="D4522" s="22" t="e">
        <f>VLOOKUP($A4522, TAB_JUROS_U[[Q_DIAS_U_PARC_TIR]:[V_FUT_U_JURS CENARIO]], D$5, FALSE)</f>
        <v>#N/A</v>
      </c>
      <c r="E4522" s="22" t="e">
        <f>VLOOKUP($A4522,TAB_CORRECAO_U[[Q_DIAS_U_PARC_TIR]:[V_FUT_U_CORC-02]],E$5, FALSE)</f>
        <v>#N/A</v>
      </c>
      <c r="F4522" s="22" t="e">
        <f>VLOOKUP($A4522,TAB_AMORTIZACAO_U[[Q_DIAS_U_PARC_TIR]:[V_FUT_U_PCPL-02]], F$5, FALSE)</f>
        <v>#N/A</v>
      </c>
      <c r="H4522" s="20">
        <f t="shared" si="357"/>
        <v>0</v>
      </c>
      <c r="I4522" s="21">
        <f t="shared" si="358"/>
        <v>0</v>
      </c>
      <c r="J4522" s="22" t="e">
        <f>VLOOKUP($A4522, TAB_JUROS_C[[DIAS_CORRIDOS]:[V_FUT_UTEIS]], J$5, FALSE)</f>
        <v>#N/A</v>
      </c>
      <c r="K4522" s="22" t="e">
        <f>VLOOKUP($A4522, TAB_CORRECAO_C[[DIAS_CORRIDOS]:[V_FUT_UTEIS]],K$5, FALSE)</f>
        <v>#N/A</v>
      </c>
      <c r="L4522" s="22" t="e">
        <f>VLOOKUP($A4522, TAB_AMORTIZACAO_C[[DIAS_CORRIDOS]:[V_FUT_UTEIS]], L$5, FALSE)</f>
        <v>#N/A</v>
      </c>
    </row>
    <row r="4523" spans="1:12" hidden="1">
      <c r="A4523" s="19">
        <f t="shared" si="359"/>
        <v>4517</v>
      </c>
      <c r="B4523" s="20">
        <f t="shared" si="355"/>
        <v>0</v>
      </c>
      <c r="C4523" s="21">
        <f t="shared" si="356"/>
        <v>0</v>
      </c>
      <c r="D4523" s="22" t="e">
        <f>VLOOKUP($A4523, TAB_JUROS_U[[Q_DIAS_U_PARC_TIR]:[V_FUT_U_JURS CENARIO]], D$5, FALSE)</f>
        <v>#N/A</v>
      </c>
      <c r="E4523" s="22" t="e">
        <f>VLOOKUP($A4523,TAB_CORRECAO_U[[Q_DIAS_U_PARC_TIR]:[V_FUT_U_CORC-02]],E$5, FALSE)</f>
        <v>#N/A</v>
      </c>
      <c r="F4523" s="22" t="e">
        <f>VLOOKUP($A4523,TAB_AMORTIZACAO_U[[Q_DIAS_U_PARC_TIR]:[V_FUT_U_PCPL-02]], F$5, FALSE)</f>
        <v>#N/A</v>
      </c>
      <c r="H4523" s="20">
        <f t="shared" si="357"/>
        <v>0</v>
      </c>
      <c r="I4523" s="21">
        <f t="shared" si="358"/>
        <v>0</v>
      </c>
      <c r="J4523" s="22" t="e">
        <f>VLOOKUP($A4523, TAB_JUROS_C[[DIAS_CORRIDOS]:[V_FUT_UTEIS]], J$5, FALSE)</f>
        <v>#N/A</v>
      </c>
      <c r="K4523" s="22" t="e">
        <f>VLOOKUP($A4523, TAB_CORRECAO_C[[DIAS_CORRIDOS]:[V_FUT_UTEIS]],K$5, FALSE)</f>
        <v>#N/A</v>
      </c>
      <c r="L4523" s="22" t="e">
        <f>VLOOKUP($A4523, TAB_AMORTIZACAO_C[[DIAS_CORRIDOS]:[V_FUT_UTEIS]], L$5, FALSE)</f>
        <v>#N/A</v>
      </c>
    </row>
    <row r="4524" spans="1:12" hidden="1">
      <c r="A4524" s="19">
        <f t="shared" si="359"/>
        <v>4518</v>
      </c>
      <c r="B4524" s="20">
        <f t="shared" si="355"/>
        <v>0</v>
      </c>
      <c r="C4524" s="21">
        <f t="shared" si="356"/>
        <v>0</v>
      </c>
      <c r="D4524" s="22" t="e">
        <f>VLOOKUP($A4524, TAB_JUROS_U[[Q_DIAS_U_PARC_TIR]:[V_FUT_U_JURS CENARIO]], D$5, FALSE)</f>
        <v>#N/A</v>
      </c>
      <c r="E4524" s="22" t="e">
        <f>VLOOKUP($A4524,TAB_CORRECAO_U[[Q_DIAS_U_PARC_TIR]:[V_FUT_U_CORC-02]],E$5, FALSE)</f>
        <v>#N/A</v>
      </c>
      <c r="F4524" s="22" t="e">
        <f>VLOOKUP($A4524,TAB_AMORTIZACAO_U[[Q_DIAS_U_PARC_TIR]:[V_FUT_U_PCPL-02]], F$5, FALSE)</f>
        <v>#N/A</v>
      </c>
      <c r="H4524" s="20">
        <f t="shared" si="357"/>
        <v>0</v>
      </c>
      <c r="I4524" s="21">
        <f t="shared" si="358"/>
        <v>0</v>
      </c>
      <c r="J4524" s="22" t="e">
        <f>VLOOKUP($A4524, TAB_JUROS_C[[DIAS_CORRIDOS]:[V_FUT_UTEIS]], J$5, FALSE)</f>
        <v>#N/A</v>
      </c>
      <c r="K4524" s="22" t="e">
        <f>VLOOKUP($A4524, TAB_CORRECAO_C[[DIAS_CORRIDOS]:[V_FUT_UTEIS]],K$5, FALSE)</f>
        <v>#N/A</v>
      </c>
      <c r="L4524" s="22" t="e">
        <f>VLOOKUP($A4524, TAB_AMORTIZACAO_C[[DIAS_CORRIDOS]:[V_FUT_UTEIS]], L$5, FALSE)</f>
        <v>#N/A</v>
      </c>
    </row>
    <row r="4525" spans="1:12" hidden="1">
      <c r="A4525" s="19">
        <f t="shared" si="359"/>
        <v>4519</v>
      </c>
      <c r="B4525" s="20">
        <f t="shared" si="355"/>
        <v>0</v>
      </c>
      <c r="C4525" s="21">
        <f t="shared" si="356"/>
        <v>0</v>
      </c>
      <c r="D4525" s="22" t="e">
        <f>VLOOKUP($A4525, TAB_JUROS_U[[Q_DIAS_U_PARC_TIR]:[V_FUT_U_JURS CENARIO]], D$5, FALSE)</f>
        <v>#N/A</v>
      </c>
      <c r="E4525" s="22" t="e">
        <f>VLOOKUP($A4525,TAB_CORRECAO_U[[Q_DIAS_U_PARC_TIR]:[V_FUT_U_CORC-02]],E$5, FALSE)</f>
        <v>#N/A</v>
      </c>
      <c r="F4525" s="22" t="e">
        <f>VLOOKUP($A4525,TAB_AMORTIZACAO_U[[Q_DIAS_U_PARC_TIR]:[V_FUT_U_PCPL-02]], F$5, FALSE)</f>
        <v>#N/A</v>
      </c>
      <c r="H4525" s="20">
        <f t="shared" si="357"/>
        <v>0</v>
      </c>
      <c r="I4525" s="21">
        <f t="shared" si="358"/>
        <v>0</v>
      </c>
      <c r="J4525" s="22" t="e">
        <f>VLOOKUP($A4525, TAB_JUROS_C[[DIAS_CORRIDOS]:[V_FUT_UTEIS]], J$5, FALSE)</f>
        <v>#N/A</v>
      </c>
      <c r="K4525" s="22" t="e">
        <f>VLOOKUP($A4525, TAB_CORRECAO_C[[DIAS_CORRIDOS]:[V_FUT_UTEIS]],K$5, FALSE)</f>
        <v>#N/A</v>
      </c>
      <c r="L4525" s="22" t="e">
        <f>VLOOKUP($A4525, TAB_AMORTIZACAO_C[[DIAS_CORRIDOS]:[V_FUT_UTEIS]], L$5, FALSE)</f>
        <v>#N/A</v>
      </c>
    </row>
    <row r="4526" spans="1:12" hidden="1">
      <c r="A4526" s="19">
        <f t="shared" si="359"/>
        <v>4520</v>
      </c>
      <c r="B4526" s="20">
        <f t="shared" si="355"/>
        <v>0</v>
      </c>
      <c r="C4526" s="21">
        <f t="shared" si="356"/>
        <v>0</v>
      </c>
      <c r="D4526" s="22" t="e">
        <f>VLOOKUP($A4526, TAB_JUROS_U[[Q_DIAS_U_PARC_TIR]:[V_FUT_U_JURS CENARIO]], D$5, FALSE)</f>
        <v>#N/A</v>
      </c>
      <c r="E4526" s="22" t="e">
        <f>VLOOKUP($A4526,TAB_CORRECAO_U[[Q_DIAS_U_PARC_TIR]:[V_FUT_U_CORC-02]],E$5, FALSE)</f>
        <v>#N/A</v>
      </c>
      <c r="F4526" s="22" t="e">
        <f>VLOOKUP($A4526,TAB_AMORTIZACAO_U[[Q_DIAS_U_PARC_TIR]:[V_FUT_U_PCPL-02]], F$5, FALSE)</f>
        <v>#N/A</v>
      </c>
      <c r="H4526" s="20">
        <f t="shared" si="357"/>
        <v>0</v>
      </c>
      <c r="I4526" s="21">
        <f t="shared" si="358"/>
        <v>0</v>
      </c>
      <c r="J4526" s="22" t="e">
        <f>VLOOKUP($A4526, TAB_JUROS_C[[DIAS_CORRIDOS]:[V_FUT_UTEIS]], J$5, FALSE)</f>
        <v>#N/A</v>
      </c>
      <c r="K4526" s="22" t="e">
        <f>VLOOKUP($A4526, TAB_CORRECAO_C[[DIAS_CORRIDOS]:[V_FUT_UTEIS]],K$5, FALSE)</f>
        <v>#N/A</v>
      </c>
      <c r="L4526" s="22" t="e">
        <f>VLOOKUP($A4526, TAB_AMORTIZACAO_C[[DIAS_CORRIDOS]:[V_FUT_UTEIS]], L$5, FALSE)</f>
        <v>#N/A</v>
      </c>
    </row>
    <row r="4527" spans="1:12" hidden="1">
      <c r="A4527" s="19">
        <f t="shared" si="359"/>
        <v>4521</v>
      </c>
      <c r="B4527" s="20">
        <f t="shared" si="355"/>
        <v>0</v>
      </c>
      <c r="C4527" s="21">
        <f t="shared" si="356"/>
        <v>0</v>
      </c>
      <c r="D4527" s="22" t="e">
        <f>VLOOKUP($A4527, TAB_JUROS_U[[Q_DIAS_U_PARC_TIR]:[V_FUT_U_JURS CENARIO]], D$5, FALSE)</f>
        <v>#N/A</v>
      </c>
      <c r="E4527" s="22" t="e">
        <f>VLOOKUP($A4527,TAB_CORRECAO_U[[Q_DIAS_U_PARC_TIR]:[V_FUT_U_CORC-02]],E$5, FALSE)</f>
        <v>#N/A</v>
      </c>
      <c r="F4527" s="22" t="e">
        <f>VLOOKUP($A4527,TAB_AMORTIZACAO_U[[Q_DIAS_U_PARC_TIR]:[V_FUT_U_PCPL-02]], F$5, FALSE)</f>
        <v>#N/A</v>
      </c>
      <c r="H4527" s="20">
        <f t="shared" si="357"/>
        <v>0</v>
      </c>
      <c r="I4527" s="21">
        <f t="shared" si="358"/>
        <v>0</v>
      </c>
      <c r="J4527" s="22" t="e">
        <f>VLOOKUP($A4527, TAB_JUROS_C[[DIAS_CORRIDOS]:[V_FUT_UTEIS]], J$5, FALSE)</f>
        <v>#N/A</v>
      </c>
      <c r="K4527" s="22" t="e">
        <f>VLOOKUP($A4527, TAB_CORRECAO_C[[DIAS_CORRIDOS]:[V_FUT_UTEIS]],K$5, FALSE)</f>
        <v>#N/A</v>
      </c>
      <c r="L4527" s="22" t="e">
        <f>VLOOKUP($A4527, TAB_AMORTIZACAO_C[[DIAS_CORRIDOS]:[V_FUT_UTEIS]], L$5, FALSE)</f>
        <v>#N/A</v>
      </c>
    </row>
    <row r="4528" spans="1:12" hidden="1">
      <c r="A4528" s="19">
        <f t="shared" si="359"/>
        <v>4522</v>
      </c>
      <c r="B4528" s="20">
        <f t="shared" si="355"/>
        <v>0</v>
      </c>
      <c r="C4528" s="21">
        <f t="shared" si="356"/>
        <v>0</v>
      </c>
      <c r="D4528" s="22" t="e">
        <f>VLOOKUP($A4528, TAB_JUROS_U[[Q_DIAS_U_PARC_TIR]:[V_FUT_U_JURS CENARIO]], D$5, FALSE)</f>
        <v>#N/A</v>
      </c>
      <c r="E4528" s="22" t="e">
        <f>VLOOKUP($A4528,TAB_CORRECAO_U[[Q_DIAS_U_PARC_TIR]:[V_FUT_U_CORC-02]],E$5, FALSE)</f>
        <v>#N/A</v>
      </c>
      <c r="F4528" s="22" t="e">
        <f>VLOOKUP($A4528,TAB_AMORTIZACAO_U[[Q_DIAS_U_PARC_TIR]:[V_FUT_U_PCPL-02]], F$5, FALSE)</f>
        <v>#N/A</v>
      </c>
      <c r="H4528" s="20">
        <f t="shared" si="357"/>
        <v>0</v>
      </c>
      <c r="I4528" s="21">
        <f t="shared" si="358"/>
        <v>0</v>
      </c>
      <c r="J4528" s="22" t="e">
        <f>VLOOKUP($A4528, TAB_JUROS_C[[DIAS_CORRIDOS]:[V_FUT_UTEIS]], J$5, FALSE)</f>
        <v>#N/A</v>
      </c>
      <c r="K4528" s="22" t="e">
        <f>VLOOKUP($A4528, TAB_CORRECAO_C[[DIAS_CORRIDOS]:[V_FUT_UTEIS]],K$5, FALSE)</f>
        <v>#N/A</v>
      </c>
      <c r="L4528" s="22" t="e">
        <f>VLOOKUP($A4528, TAB_AMORTIZACAO_C[[DIAS_CORRIDOS]:[V_FUT_UTEIS]], L$5, FALSE)</f>
        <v>#N/A</v>
      </c>
    </row>
    <row r="4529" spans="1:12" hidden="1">
      <c r="A4529" s="19">
        <f t="shared" si="359"/>
        <v>4523</v>
      </c>
      <c r="B4529" s="20">
        <f t="shared" si="355"/>
        <v>0</v>
      </c>
      <c r="C4529" s="21">
        <f t="shared" si="356"/>
        <v>0</v>
      </c>
      <c r="D4529" s="22" t="e">
        <f>VLOOKUP($A4529, TAB_JUROS_U[[Q_DIAS_U_PARC_TIR]:[V_FUT_U_JURS CENARIO]], D$5, FALSE)</f>
        <v>#N/A</v>
      </c>
      <c r="E4529" s="22" t="e">
        <f>VLOOKUP($A4529,TAB_CORRECAO_U[[Q_DIAS_U_PARC_TIR]:[V_FUT_U_CORC-02]],E$5, FALSE)</f>
        <v>#N/A</v>
      </c>
      <c r="F4529" s="22" t="e">
        <f>VLOOKUP($A4529,TAB_AMORTIZACAO_U[[Q_DIAS_U_PARC_TIR]:[V_FUT_U_PCPL-02]], F$5, FALSE)</f>
        <v>#N/A</v>
      </c>
      <c r="H4529" s="20">
        <f t="shared" si="357"/>
        <v>0</v>
      </c>
      <c r="I4529" s="21">
        <f t="shared" si="358"/>
        <v>0</v>
      </c>
      <c r="J4529" s="22" t="e">
        <f>VLOOKUP($A4529, TAB_JUROS_C[[DIAS_CORRIDOS]:[V_FUT_UTEIS]], J$5, FALSE)</f>
        <v>#N/A</v>
      </c>
      <c r="K4529" s="22" t="e">
        <f>VLOOKUP($A4529, TAB_CORRECAO_C[[DIAS_CORRIDOS]:[V_FUT_UTEIS]],K$5, FALSE)</f>
        <v>#N/A</v>
      </c>
      <c r="L4529" s="22" t="e">
        <f>VLOOKUP($A4529, TAB_AMORTIZACAO_C[[DIAS_CORRIDOS]:[V_FUT_UTEIS]], L$5, FALSE)</f>
        <v>#N/A</v>
      </c>
    </row>
    <row r="4530" spans="1:12" hidden="1">
      <c r="A4530" s="19">
        <f t="shared" si="359"/>
        <v>4524</v>
      </c>
      <c r="B4530" s="20">
        <f t="shared" si="355"/>
        <v>0</v>
      </c>
      <c r="C4530" s="21">
        <f t="shared" si="356"/>
        <v>0</v>
      </c>
      <c r="D4530" s="22" t="e">
        <f>VLOOKUP($A4530, TAB_JUROS_U[[Q_DIAS_U_PARC_TIR]:[V_FUT_U_JURS CENARIO]], D$5, FALSE)</f>
        <v>#N/A</v>
      </c>
      <c r="E4530" s="22" t="e">
        <f>VLOOKUP($A4530,TAB_CORRECAO_U[[Q_DIAS_U_PARC_TIR]:[V_FUT_U_CORC-02]],E$5, FALSE)</f>
        <v>#N/A</v>
      </c>
      <c r="F4530" s="22" t="e">
        <f>VLOOKUP($A4530,TAB_AMORTIZACAO_U[[Q_DIAS_U_PARC_TIR]:[V_FUT_U_PCPL-02]], F$5, FALSE)</f>
        <v>#N/A</v>
      </c>
      <c r="H4530" s="20">
        <f t="shared" si="357"/>
        <v>0</v>
      </c>
      <c r="I4530" s="21">
        <f t="shared" si="358"/>
        <v>0</v>
      </c>
      <c r="J4530" s="22" t="e">
        <f>VLOOKUP($A4530, TAB_JUROS_C[[DIAS_CORRIDOS]:[V_FUT_UTEIS]], J$5, FALSE)</f>
        <v>#N/A</v>
      </c>
      <c r="K4530" s="22" t="e">
        <f>VLOOKUP($A4530, TAB_CORRECAO_C[[DIAS_CORRIDOS]:[V_FUT_UTEIS]],K$5, FALSE)</f>
        <v>#N/A</v>
      </c>
      <c r="L4530" s="22" t="e">
        <f>VLOOKUP($A4530, TAB_AMORTIZACAO_C[[DIAS_CORRIDOS]:[V_FUT_UTEIS]], L$5, FALSE)</f>
        <v>#N/A</v>
      </c>
    </row>
    <row r="4531" spans="1:12" hidden="1">
      <c r="A4531" s="19">
        <f t="shared" si="359"/>
        <v>4525</v>
      </c>
      <c r="B4531" s="20">
        <f t="shared" si="355"/>
        <v>0</v>
      </c>
      <c r="C4531" s="21">
        <f t="shared" si="356"/>
        <v>0</v>
      </c>
      <c r="D4531" s="22" t="e">
        <f>VLOOKUP($A4531, TAB_JUROS_U[[Q_DIAS_U_PARC_TIR]:[V_FUT_U_JURS CENARIO]], D$5, FALSE)</f>
        <v>#N/A</v>
      </c>
      <c r="E4531" s="22" t="e">
        <f>VLOOKUP($A4531,TAB_CORRECAO_U[[Q_DIAS_U_PARC_TIR]:[V_FUT_U_CORC-02]],E$5, FALSE)</f>
        <v>#N/A</v>
      </c>
      <c r="F4531" s="22" t="e">
        <f>VLOOKUP($A4531,TAB_AMORTIZACAO_U[[Q_DIAS_U_PARC_TIR]:[V_FUT_U_PCPL-02]], F$5, FALSE)</f>
        <v>#N/A</v>
      </c>
      <c r="H4531" s="20">
        <f t="shared" si="357"/>
        <v>0</v>
      </c>
      <c r="I4531" s="21">
        <f t="shared" si="358"/>
        <v>0</v>
      </c>
      <c r="J4531" s="22" t="e">
        <f>VLOOKUP($A4531, TAB_JUROS_C[[DIAS_CORRIDOS]:[V_FUT_UTEIS]], J$5, FALSE)</f>
        <v>#N/A</v>
      </c>
      <c r="K4531" s="22" t="e">
        <f>VLOOKUP($A4531, TAB_CORRECAO_C[[DIAS_CORRIDOS]:[V_FUT_UTEIS]],K$5, FALSE)</f>
        <v>#N/A</v>
      </c>
      <c r="L4531" s="22" t="e">
        <f>VLOOKUP($A4531, TAB_AMORTIZACAO_C[[DIAS_CORRIDOS]:[V_FUT_UTEIS]], L$5, FALSE)</f>
        <v>#N/A</v>
      </c>
    </row>
    <row r="4532" spans="1:12" hidden="1">
      <c r="A4532" s="19">
        <f t="shared" si="359"/>
        <v>4526</v>
      </c>
      <c r="B4532" s="20">
        <f t="shared" si="355"/>
        <v>0</v>
      </c>
      <c r="C4532" s="21">
        <f t="shared" si="356"/>
        <v>0</v>
      </c>
      <c r="D4532" s="22" t="e">
        <f>VLOOKUP($A4532, TAB_JUROS_U[[Q_DIAS_U_PARC_TIR]:[V_FUT_U_JURS CENARIO]], D$5, FALSE)</f>
        <v>#N/A</v>
      </c>
      <c r="E4532" s="22" t="e">
        <f>VLOOKUP($A4532,TAB_CORRECAO_U[[Q_DIAS_U_PARC_TIR]:[V_FUT_U_CORC-02]],E$5, FALSE)</f>
        <v>#N/A</v>
      </c>
      <c r="F4532" s="22" t="e">
        <f>VLOOKUP($A4532,TAB_AMORTIZACAO_U[[Q_DIAS_U_PARC_TIR]:[V_FUT_U_PCPL-02]], F$5, FALSE)</f>
        <v>#N/A</v>
      </c>
      <c r="H4532" s="20">
        <f t="shared" si="357"/>
        <v>0</v>
      </c>
      <c r="I4532" s="21">
        <f t="shared" si="358"/>
        <v>0</v>
      </c>
      <c r="J4532" s="22" t="e">
        <f>VLOOKUP($A4532, TAB_JUROS_C[[DIAS_CORRIDOS]:[V_FUT_UTEIS]], J$5, FALSE)</f>
        <v>#N/A</v>
      </c>
      <c r="K4532" s="22" t="e">
        <f>VLOOKUP($A4532, TAB_CORRECAO_C[[DIAS_CORRIDOS]:[V_FUT_UTEIS]],K$5, FALSE)</f>
        <v>#N/A</v>
      </c>
      <c r="L4532" s="22" t="e">
        <f>VLOOKUP($A4532, TAB_AMORTIZACAO_C[[DIAS_CORRIDOS]:[V_FUT_UTEIS]], L$5, FALSE)</f>
        <v>#N/A</v>
      </c>
    </row>
    <row r="4533" spans="1:12" hidden="1">
      <c r="A4533" s="19">
        <f t="shared" si="359"/>
        <v>4527</v>
      </c>
      <c r="B4533" s="20">
        <f t="shared" si="355"/>
        <v>0</v>
      </c>
      <c r="C4533" s="21">
        <f t="shared" si="356"/>
        <v>0</v>
      </c>
      <c r="D4533" s="22" t="e">
        <f>VLOOKUP($A4533, TAB_JUROS_U[[Q_DIAS_U_PARC_TIR]:[V_FUT_U_JURS CENARIO]], D$5, FALSE)</f>
        <v>#N/A</v>
      </c>
      <c r="E4533" s="22" t="e">
        <f>VLOOKUP($A4533,TAB_CORRECAO_U[[Q_DIAS_U_PARC_TIR]:[V_FUT_U_CORC-02]],E$5, FALSE)</f>
        <v>#N/A</v>
      </c>
      <c r="F4533" s="22" t="e">
        <f>VLOOKUP($A4533,TAB_AMORTIZACAO_U[[Q_DIAS_U_PARC_TIR]:[V_FUT_U_PCPL-02]], F$5, FALSE)</f>
        <v>#N/A</v>
      </c>
      <c r="H4533" s="20">
        <f t="shared" si="357"/>
        <v>0</v>
      </c>
      <c r="I4533" s="21">
        <f t="shared" si="358"/>
        <v>0</v>
      </c>
      <c r="J4533" s="22" t="e">
        <f>VLOOKUP($A4533, TAB_JUROS_C[[DIAS_CORRIDOS]:[V_FUT_UTEIS]], J$5, FALSE)</f>
        <v>#N/A</v>
      </c>
      <c r="K4533" s="22" t="e">
        <f>VLOOKUP($A4533, TAB_CORRECAO_C[[DIAS_CORRIDOS]:[V_FUT_UTEIS]],K$5, FALSE)</f>
        <v>#N/A</v>
      </c>
      <c r="L4533" s="22" t="e">
        <f>VLOOKUP($A4533, TAB_AMORTIZACAO_C[[DIAS_CORRIDOS]:[V_FUT_UTEIS]], L$5, FALSE)</f>
        <v>#N/A</v>
      </c>
    </row>
    <row r="4534" spans="1:12" hidden="1">
      <c r="A4534" s="19">
        <f t="shared" si="359"/>
        <v>4528</v>
      </c>
      <c r="B4534" s="20">
        <f t="shared" si="355"/>
        <v>0</v>
      </c>
      <c r="C4534" s="21">
        <f t="shared" si="356"/>
        <v>0</v>
      </c>
      <c r="D4534" s="22" t="e">
        <f>VLOOKUP($A4534, TAB_JUROS_U[[Q_DIAS_U_PARC_TIR]:[V_FUT_U_JURS CENARIO]], D$5, FALSE)</f>
        <v>#N/A</v>
      </c>
      <c r="E4534" s="22" t="e">
        <f>VLOOKUP($A4534,TAB_CORRECAO_U[[Q_DIAS_U_PARC_TIR]:[V_FUT_U_CORC-02]],E$5, FALSE)</f>
        <v>#N/A</v>
      </c>
      <c r="F4534" s="22" t="e">
        <f>VLOOKUP($A4534,TAB_AMORTIZACAO_U[[Q_DIAS_U_PARC_TIR]:[V_FUT_U_PCPL-02]], F$5, FALSE)</f>
        <v>#N/A</v>
      </c>
      <c r="H4534" s="20">
        <f t="shared" si="357"/>
        <v>0</v>
      </c>
      <c r="I4534" s="21">
        <f t="shared" si="358"/>
        <v>0</v>
      </c>
      <c r="J4534" s="22" t="e">
        <f>VLOOKUP($A4534, TAB_JUROS_C[[DIAS_CORRIDOS]:[V_FUT_UTEIS]], J$5, FALSE)</f>
        <v>#N/A</v>
      </c>
      <c r="K4534" s="22" t="e">
        <f>VLOOKUP($A4534, TAB_CORRECAO_C[[DIAS_CORRIDOS]:[V_FUT_UTEIS]],K$5, FALSE)</f>
        <v>#N/A</v>
      </c>
      <c r="L4534" s="22" t="e">
        <f>VLOOKUP($A4534, TAB_AMORTIZACAO_C[[DIAS_CORRIDOS]:[V_FUT_UTEIS]], L$5, FALSE)</f>
        <v>#N/A</v>
      </c>
    </row>
    <row r="4535" spans="1:12" hidden="1">
      <c r="A4535" s="19">
        <f t="shared" si="359"/>
        <v>4529</v>
      </c>
      <c r="B4535" s="20">
        <f t="shared" si="355"/>
        <v>0</v>
      </c>
      <c r="C4535" s="21">
        <f t="shared" si="356"/>
        <v>0</v>
      </c>
      <c r="D4535" s="22" t="e">
        <f>VLOOKUP($A4535, TAB_JUROS_U[[Q_DIAS_U_PARC_TIR]:[V_FUT_U_JURS CENARIO]], D$5, FALSE)</f>
        <v>#N/A</v>
      </c>
      <c r="E4535" s="22" t="e">
        <f>VLOOKUP($A4535,TAB_CORRECAO_U[[Q_DIAS_U_PARC_TIR]:[V_FUT_U_CORC-02]],E$5, FALSE)</f>
        <v>#N/A</v>
      </c>
      <c r="F4535" s="22" t="e">
        <f>VLOOKUP($A4535,TAB_AMORTIZACAO_U[[Q_DIAS_U_PARC_TIR]:[V_FUT_U_PCPL-02]], F$5, FALSE)</f>
        <v>#N/A</v>
      </c>
      <c r="H4535" s="20">
        <f t="shared" si="357"/>
        <v>0</v>
      </c>
      <c r="I4535" s="21">
        <f t="shared" si="358"/>
        <v>0</v>
      </c>
      <c r="J4535" s="22" t="e">
        <f>VLOOKUP($A4535, TAB_JUROS_C[[DIAS_CORRIDOS]:[V_FUT_UTEIS]], J$5, FALSE)</f>
        <v>#N/A</v>
      </c>
      <c r="K4535" s="22" t="e">
        <f>VLOOKUP($A4535, TAB_CORRECAO_C[[DIAS_CORRIDOS]:[V_FUT_UTEIS]],K$5, FALSE)</f>
        <v>#N/A</v>
      </c>
      <c r="L4535" s="22" t="e">
        <f>VLOOKUP($A4535, TAB_AMORTIZACAO_C[[DIAS_CORRIDOS]:[V_FUT_UTEIS]], L$5, FALSE)</f>
        <v>#N/A</v>
      </c>
    </row>
    <row r="4536" spans="1:12" hidden="1">
      <c r="A4536" s="19">
        <f t="shared" si="359"/>
        <v>4530</v>
      </c>
      <c r="B4536" s="20">
        <f t="shared" si="355"/>
        <v>0</v>
      </c>
      <c r="C4536" s="21">
        <f t="shared" si="356"/>
        <v>0</v>
      </c>
      <c r="D4536" s="22" t="e">
        <f>VLOOKUP($A4536, TAB_JUROS_U[[Q_DIAS_U_PARC_TIR]:[V_FUT_U_JURS CENARIO]], D$5, FALSE)</f>
        <v>#N/A</v>
      </c>
      <c r="E4536" s="22" t="e">
        <f>VLOOKUP($A4536,TAB_CORRECAO_U[[Q_DIAS_U_PARC_TIR]:[V_FUT_U_CORC-02]],E$5, FALSE)</f>
        <v>#N/A</v>
      </c>
      <c r="F4536" s="22" t="e">
        <f>VLOOKUP($A4536,TAB_AMORTIZACAO_U[[Q_DIAS_U_PARC_TIR]:[V_FUT_U_PCPL-02]], F$5, FALSE)</f>
        <v>#N/A</v>
      </c>
      <c r="H4536" s="20">
        <f t="shared" si="357"/>
        <v>0</v>
      </c>
      <c r="I4536" s="21">
        <f t="shared" si="358"/>
        <v>0</v>
      </c>
      <c r="J4536" s="22" t="e">
        <f>VLOOKUP($A4536, TAB_JUROS_C[[DIAS_CORRIDOS]:[V_FUT_UTEIS]], J$5, FALSE)</f>
        <v>#N/A</v>
      </c>
      <c r="K4536" s="22" t="e">
        <f>VLOOKUP($A4536, TAB_CORRECAO_C[[DIAS_CORRIDOS]:[V_FUT_UTEIS]],K$5, FALSE)</f>
        <v>#N/A</v>
      </c>
      <c r="L4536" s="22" t="e">
        <f>VLOOKUP($A4536, TAB_AMORTIZACAO_C[[DIAS_CORRIDOS]:[V_FUT_UTEIS]], L$5, FALSE)</f>
        <v>#N/A</v>
      </c>
    </row>
    <row r="4537" spans="1:12" hidden="1">
      <c r="A4537" s="19">
        <f t="shared" si="359"/>
        <v>4531</v>
      </c>
      <c r="B4537" s="20">
        <f t="shared" si="355"/>
        <v>0</v>
      </c>
      <c r="C4537" s="21">
        <f t="shared" si="356"/>
        <v>0</v>
      </c>
      <c r="D4537" s="22" t="e">
        <f>VLOOKUP($A4537, TAB_JUROS_U[[Q_DIAS_U_PARC_TIR]:[V_FUT_U_JURS CENARIO]], D$5, FALSE)</f>
        <v>#N/A</v>
      </c>
      <c r="E4537" s="22" t="e">
        <f>VLOOKUP($A4537,TAB_CORRECAO_U[[Q_DIAS_U_PARC_TIR]:[V_FUT_U_CORC-02]],E$5, FALSE)</f>
        <v>#N/A</v>
      </c>
      <c r="F4537" s="22" t="e">
        <f>VLOOKUP($A4537,TAB_AMORTIZACAO_U[[Q_DIAS_U_PARC_TIR]:[V_FUT_U_PCPL-02]], F$5, FALSE)</f>
        <v>#N/A</v>
      </c>
      <c r="H4537" s="20">
        <f t="shared" si="357"/>
        <v>0</v>
      </c>
      <c r="I4537" s="21">
        <f t="shared" si="358"/>
        <v>0</v>
      </c>
      <c r="J4537" s="22" t="e">
        <f>VLOOKUP($A4537, TAB_JUROS_C[[DIAS_CORRIDOS]:[V_FUT_UTEIS]], J$5, FALSE)</f>
        <v>#N/A</v>
      </c>
      <c r="K4537" s="22" t="e">
        <f>VLOOKUP($A4537, TAB_CORRECAO_C[[DIAS_CORRIDOS]:[V_FUT_UTEIS]],K$5, FALSE)</f>
        <v>#N/A</v>
      </c>
      <c r="L4537" s="22" t="e">
        <f>VLOOKUP($A4537, TAB_AMORTIZACAO_C[[DIAS_CORRIDOS]:[V_FUT_UTEIS]], L$5, FALSE)</f>
        <v>#N/A</v>
      </c>
    </row>
    <row r="4538" spans="1:12" hidden="1">
      <c r="A4538" s="19">
        <f t="shared" si="359"/>
        <v>4532</v>
      </c>
      <c r="B4538" s="20">
        <f t="shared" si="355"/>
        <v>0</v>
      </c>
      <c r="C4538" s="21">
        <f t="shared" si="356"/>
        <v>0</v>
      </c>
      <c r="D4538" s="22" t="e">
        <f>VLOOKUP($A4538, TAB_JUROS_U[[Q_DIAS_U_PARC_TIR]:[V_FUT_U_JURS CENARIO]], D$5, FALSE)</f>
        <v>#N/A</v>
      </c>
      <c r="E4538" s="22" t="e">
        <f>VLOOKUP($A4538,TAB_CORRECAO_U[[Q_DIAS_U_PARC_TIR]:[V_FUT_U_CORC-02]],E$5, FALSE)</f>
        <v>#N/A</v>
      </c>
      <c r="F4538" s="22" t="e">
        <f>VLOOKUP($A4538,TAB_AMORTIZACAO_U[[Q_DIAS_U_PARC_TIR]:[V_FUT_U_PCPL-02]], F$5, FALSE)</f>
        <v>#N/A</v>
      </c>
      <c r="H4538" s="20">
        <f t="shared" si="357"/>
        <v>0</v>
      </c>
      <c r="I4538" s="21">
        <f t="shared" si="358"/>
        <v>0</v>
      </c>
      <c r="J4538" s="22" t="e">
        <f>VLOOKUP($A4538, TAB_JUROS_C[[DIAS_CORRIDOS]:[V_FUT_UTEIS]], J$5, FALSE)</f>
        <v>#N/A</v>
      </c>
      <c r="K4538" s="22" t="e">
        <f>VLOOKUP($A4538, TAB_CORRECAO_C[[DIAS_CORRIDOS]:[V_FUT_UTEIS]],K$5, FALSE)</f>
        <v>#N/A</v>
      </c>
      <c r="L4538" s="22" t="e">
        <f>VLOOKUP($A4538, TAB_AMORTIZACAO_C[[DIAS_CORRIDOS]:[V_FUT_UTEIS]], L$5, FALSE)</f>
        <v>#N/A</v>
      </c>
    </row>
    <row r="4539" spans="1:12" hidden="1">
      <c r="A4539" s="19">
        <f t="shared" si="359"/>
        <v>4533</v>
      </c>
      <c r="B4539" s="20">
        <f t="shared" si="355"/>
        <v>0</v>
      </c>
      <c r="C4539" s="21">
        <f t="shared" si="356"/>
        <v>0</v>
      </c>
      <c r="D4539" s="22" t="e">
        <f>VLOOKUP($A4539, TAB_JUROS_U[[Q_DIAS_U_PARC_TIR]:[V_FUT_U_JURS CENARIO]], D$5, FALSE)</f>
        <v>#N/A</v>
      </c>
      <c r="E4539" s="22" t="e">
        <f>VLOOKUP($A4539,TAB_CORRECAO_U[[Q_DIAS_U_PARC_TIR]:[V_FUT_U_CORC-02]],E$5, FALSE)</f>
        <v>#N/A</v>
      </c>
      <c r="F4539" s="22" t="e">
        <f>VLOOKUP($A4539,TAB_AMORTIZACAO_U[[Q_DIAS_U_PARC_TIR]:[V_FUT_U_PCPL-02]], F$5, FALSE)</f>
        <v>#N/A</v>
      </c>
      <c r="H4539" s="20">
        <f t="shared" si="357"/>
        <v>0</v>
      </c>
      <c r="I4539" s="21">
        <f t="shared" si="358"/>
        <v>0</v>
      </c>
      <c r="J4539" s="22" t="e">
        <f>VLOOKUP($A4539, TAB_JUROS_C[[DIAS_CORRIDOS]:[V_FUT_UTEIS]], J$5, FALSE)</f>
        <v>#N/A</v>
      </c>
      <c r="K4539" s="22" t="e">
        <f>VLOOKUP($A4539, TAB_CORRECAO_C[[DIAS_CORRIDOS]:[V_FUT_UTEIS]],K$5, FALSE)</f>
        <v>#N/A</v>
      </c>
      <c r="L4539" s="22" t="e">
        <f>VLOOKUP($A4539, TAB_AMORTIZACAO_C[[DIAS_CORRIDOS]:[V_FUT_UTEIS]], L$5, FALSE)</f>
        <v>#N/A</v>
      </c>
    </row>
    <row r="4540" spans="1:12" hidden="1">
      <c r="A4540" s="19">
        <f t="shared" si="359"/>
        <v>4534</v>
      </c>
      <c r="B4540" s="20">
        <f t="shared" si="355"/>
        <v>0</v>
      </c>
      <c r="C4540" s="21">
        <f t="shared" si="356"/>
        <v>0</v>
      </c>
      <c r="D4540" s="22" t="e">
        <f>VLOOKUP($A4540, TAB_JUROS_U[[Q_DIAS_U_PARC_TIR]:[V_FUT_U_JURS CENARIO]], D$5, FALSE)</f>
        <v>#N/A</v>
      </c>
      <c r="E4540" s="22" t="e">
        <f>VLOOKUP($A4540,TAB_CORRECAO_U[[Q_DIAS_U_PARC_TIR]:[V_FUT_U_CORC-02]],E$5, FALSE)</f>
        <v>#N/A</v>
      </c>
      <c r="F4540" s="22" t="e">
        <f>VLOOKUP($A4540,TAB_AMORTIZACAO_U[[Q_DIAS_U_PARC_TIR]:[V_FUT_U_PCPL-02]], F$5, FALSE)</f>
        <v>#N/A</v>
      </c>
      <c r="H4540" s="20">
        <f t="shared" si="357"/>
        <v>0</v>
      </c>
      <c r="I4540" s="21">
        <f t="shared" si="358"/>
        <v>0</v>
      </c>
      <c r="J4540" s="22" t="e">
        <f>VLOOKUP($A4540, TAB_JUROS_C[[DIAS_CORRIDOS]:[V_FUT_UTEIS]], J$5, FALSE)</f>
        <v>#N/A</v>
      </c>
      <c r="K4540" s="22" t="e">
        <f>VLOOKUP($A4540, TAB_CORRECAO_C[[DIAS_CORRIDOS]:[V_FUT_UTEIS]],K$5, FALSE)</f>
        <v>#N/A</v>
      </c>
      <c r="L4540" s="22" t="e">
        <f>VLOOKUP($A4540, TAB_AMORTIZACAO_C[[DIAS_CORRIDOS]:[V_FUT_UTEIS]], L$5, FALSE)</f>
        <v>#N/A</v>
      </c>
    </row>
    <row r="4541" spans="1:12" hidden="1">
      <c r="A4541" s="19">
        <f t="shared" si="359"/>
        <v>4535</v>
      </c>
      <c r="B4541" s="20">
        <f t="shared" si="355"/>
        <v>0</v>
      </c>
      <c r="C4541" s="21">
        <f t="shared" si="356"/>
        <v>0</v>
      </c>
      <c r="D4541" s="22" t="e">
        <f>VLOOKUP($A4541, TAB_JUROS_U[[Q_DIAS_U_PARC_TIR]:[V_FUT_U_JURS CENARIO]], D$5, FALSE)</f>
        <v>#N/A</v>
      </c>
      <c r="E4541" s="22" t="e">
        <f>VLOOKUP($A4541,TAB_CORRECAO_U[[Q_DIAS_U_PARC_TIR]:[V_FUT_U_CORC-02]],E$5, FALSE)</f>
        <v>#N/A</v>
      </c>
      <c r="F4541" s="22" t="e">
        <f>VLOOKUP($A4541,TAB_AMORTIZACAO_U[[Q_DIAS_U_PARC_TIR]:[V_FUT_U_PCPL-02]], F$5, FALSE)</f>
        <v>#N/A</v>
      </c>
      <c r="H4541" s="20">
        <f t="shared" si="357"/>
        <v>0</v>
      </c>
      <c r="I4541" s="21">
        <f t="shared" si="358"/>
        <v>0</v>
      </c>
      <c r="J4541" s="22" t="e">
        <f>VLOOKUP($A4541, TAB_JUROS_C[[DIAS_CORRIDOS]:[V_FUT_UTEIS]], J$5, FALSE)</f>
        <v>#N/A</v>
      </c>
      <c r="K4541" s="22" t="e">
        <f>VLOOKUP($A4541, TAB_CORRECAO_C[[DIAS_CORRIDOS]:[V_FUT_UTEIS]],K$5, FALSE)</f>
        <v>#N/A</v>
      </c>
      <c r="L4541" s="22" t="e">
        <f>VLOOKUP($A4541, TAB_AMORTIZACAO_C[[DIAS_CORRIDOS]:[V_FUT_UTEIS]], L$5, FALSE)</f>
        <v>#N/A</v>
      </c>
    </row>
    <row r="4542" spans="1:12" hidden="1">
      <c r="A4542" s="19">
        <f t="shared" si="359"/>
        <v>4536</v>
      </c>
      <c r="B4542" s="20">
        <f t="shared" si="355"/>
        <v>0</v>
      </c>
      <c r="C4542" s="21">
        <f t="shared" si="356"/>
        <v>0</v>
      </c>
      <c r="D4542" s="22" t="e">
        <f>VLOOKUP($A4542, TAB_JUROS_U[[Q_DIAS_U_PARC_TIR]:[V_FUT_U_JURS CENARIO]], D$5, FALSE)</f>
        <v>#N/A</v>
      </c>
      <c r="E4542" s="22" t="e">
        <f>VLOOKUP($A4542,TAB_CORRECAO_U[[Q_DIAS_U_PARC_TIR]:[V_FUT_U_CORC-02]],E$5, FALSE)</f>
        <v>#N/A</v>
      </c>
      <c r="F4542" s="22" t="e">
        <f>VLOOKUP($A4542,TAB_AMORTIZACAO_U[[Q_DIAS_U_PARC_TIR]:[V_FUT_U_PCPL-02]], F$5, FALSE)</f>
        <v>#N/A</v>
      </c>
      <c r="H4542" s="20">
        <f t="shared" si="357"/>
        <v>0</v>
      </c>
      <c r="I4542" s="21">
        <f t="shared" si="358"/>
        <v>0</v>
      </c>
      <c r="J4542" s="22" t="e">
        <f>VLOOKUP($A4542, TAB_JUROS_C[[DIAS_CORRIDOS]:[V_FUT_UTEIS]], J$5, FALSE)</f>
        <v>#N/A</v>
      </c>
      <c r="K4542" s="22" t="e">
        <f>VLOOKUP($A4542, TAB_CORRECAO_C[[DIAS_CORRIDOS]:[V_FUT_UTEIS]],K$5, FALSE)</f>
        <v>#N/A</v>
      </c>
      <c r="L4542" s="22" t="e">
        <f>VLOOKUP($A4542, TAB_AMORTIZACAO_C[[DIAS_CORRIDOS]:[V_FUT_UTEIS]], L$5, FALSE)</f>
        <v>#N/A</v>
      </c>
    </row>
    <row r="4543" spans="1:12" hidden="1">
      <c r="A4543" s="19">
        <f t="shared" si="359"/>
        <v>4537</v>
      </c>
      <c r="B4543" s="20">
        <f t="shared" si="355"/>
        <v>0</v>
      </c>
      <c r="C4543" s="21">
        <f t="shared" si="356"/>
        <v>0</v>
      </c>
      <c r="D4543" s="22" t="e">
        <f>VLOOKUP($A4543, TAB_JUROS_U[[Q_DIAS_U_PARC_TIR]:[V_FUT_U_JURS CENARIO]], D$5, FALSE)</f>
        <v>#N/A</v>
      </c>
      <c r="E4543" s="22" t="e">
        <f>VLOOKUP($A4543,TAB_CORRECAO_U[[Q_DIAS_U_PARC_TIR]:[V_FUT_U_CORC-02]],E$5, FALSE)</f>
        <v>#N/A</v>
      </c>
      <c r="F4543" s="22" t="e">
        <f>VLOOKUP($A4543,TAB_AMORTIZACAO_U[[Q_DIAS_U_PARC_TIR]:[V_FUT_U_PCPL-02]], F$5, FALSE)</f>
        <v>#N/A</v>
      </c>
      <c r="H4543" s="20">
        <f t="shared" si="357"/>
        <v>0</v>
      </c>
      <c r="I4543" s="21">
        <f t="shared" si="358"/>
        <v>0</v>
      </c>
      <c r="J4543" s="22" t="e">
        <f>VLOOKUP($A4543, TAB_JUROS_C[[DIAS_CORRIDOS]:[V_FUT_UTEIS]], J$5, FALSE)</f>
        <v>#N/A</v>
      </c>
      <c r="K4543" s="22" t="e">
        <f>VLOOKUP($A4543, TAB_CORRECAO_C[[DIAS_CORRIDOS]:[V_FUT_UTEIS]],K$5, FALSE)</f>
        <v>#N/A</v>
      </c>
      <c r="L4543" s="22" t="e">
        <f>VLOOKUP($A4543, TAB_AMORTIZACAO_C[[DIAS_CORRIDOS]:[V_FUT_UTEIS]], L$5, FALSE)</f>
        <v>#N/A</v>
      </c>
    </row>
    <row r="4544" spans="1:12" hidden="1">
      <c r="A4544" s="19">
        <f t="shared" si="359"/>
        <v>4538</v>
      </c>
      <c r="B4544" s="20">
        <f t="shared" si="355"/>
        <v>0</v>
      </c>
      <c r="C4544" s="21">
        <f t="shared" si="356"/>
        <v>0</v>
      </c>
      <c r="D4544" s="22" t="e">
        <f>VLOOKUP($A4544, TAB_JUROS_U[[Q_DIAS_U_PARC_TIR]:[V_FUT_U_JURS CENARIO]], D$5, FALSE)</f>
        <v>#N/A</v>
      </c>
      <c r="E4544" s="22" t="e">
        <f>VLOOKUP($A4544,TAB_CORRECAO_U[[Q_DIAS_U_PARC_TIR]:[V_FUT_U_CORC-02]],E$5, FALSE)</f>
        <v>#N/A</v>
      </c>
      <c r="F4544" s="22" t="e">
        <f>VLOOKUP($A4544,TAB_AMORTIZACAO_U[[Q_DIAS_U_PARC_TIR]:[V_FUT_U_PCPL-02]], F$5, FALSE)</f>
        <v>#N/A</v>
      </c>
      <c r="H4544" s="20">
        <f t="shared" si="357"/>
        <v>0</v>
      </c>
      <c r="I4544" s="21">
        <f t="shared" si="358"/>
        <v>0</v>
      </c>
      <c r="J4544" s="22" t="e">
        <f>VLOOKUP($A4544, TAB_JUROS_C[[DIAS_CORRIDOS]:[V_FUT_UTEIS]], J$5, FALSE)</f>
        <v>#N/A</v>
      </c>
      <c r="K4544" s="22" t="e">
        <f>VLOOKUP($A4544, TAB_CORRECAO_C[[DIAS_CORRIDOS]:[V_FUT_UTEIS]],K$5, FALSE)</f>
        <v>#N/A</v>
      </c>
      <c r="L4544" s="22" t="e">
        <f>VLOOKUP($A4544, TAB_AMORTIZACAO_C[[DIAS_CORRIDOS]:[V_FUT_UTEIS]], L$5, FALSE)</f>
        <v>#N/A</v>
      </c>
    </row>
    <row r="4545" spans="1:12" hidden="1">
      <c r="A4545" s="19">
        <f t="shared" si="359"/>
        <v>4539</v>
      </c>
      <c r="B4545" s="20">
        <f t="shared" si="355"/>
        <v>0</v>
      </c>
      <c r="C4545" s="21">
        <f t="shared" si="356"/>
        <v>0</v>
      </c>
      <c r="D4545" s="22" t="e">
        <f>VLOOKUP($A4545, TAB_JUROS_U[[Q_DIAS_U_PARC_TIR]:[V_FUT_U_JURS CENARIO]], D$5, FALSE)</f>
        <v>#N/A</v>
      </c>
      <c r="E4545" s="22" t="e">
        <f>VLOOKUP($A4545,TAB_CORRECAO_U[[Q_DIAS_U_PARC_TIR]:[V_FUT_U_CORC-02]],E$5, FALSE)</f>
        <v>#N/A</v>
      </c>
      <c r="F4545" s="22" t="e">
        <f>VLOOKUP($A4545,TAB_AMORTIZACAO_U[[Q_DIAS_U_PARC_TIR]:[V_FUT_U_PCPL-02]], F$5, FALSE)</f>
        <v>#N/A</v>
      </c>
      <c r="H4545" s="20">
        <f t="shared" si="357"/>
        <v>0</v>
      </c>
      <c r="I4545" s="21">
        <f t="shared" si="358"/>
        <v>0</v>
      </c>
      <c r="J4545" s="22" t="e">
        <f>VLOOKUP($A4545, TAB_JUROS_C[[DIAS_CORRIDOS]:[V_FUT_UTEIS]], J$5, FALSE)</f>
        <v>#N/A</v>
      </c>
      <c r="K4545" s="22" t="e">
        <f>VLOOKUP($A4545, TAB_CORRECAO_C[[DIAS_CORRIDOS]:[V_FUT_UTEIS]],K$5, FALSE)</f>
        <v>#N/A</v>
      </c>
      <c r="L4545" s="22" t="e">
        <f>VLOOKUP($A4545, TAB_AMORTIZACAO_C[[DIAS_CORRIDOS]:[V_FUT_UTEIS]], L$5, FALSE)</f>
        <v>#N/A</v>
      </c>
    </row>
    <row r="4546" spans="1:12" hidden="1">
      <c r="A4546" s="19">
        <f t="shared" si="359"/>
        <v>4540</v>
      </c>
      <c r="B4546" s="20">
        <f t="shared" si="355"/>
        <v>0</v>
      </c>
      <c r="C4546" s="21">
        <f t="shared" si="356"/>
        <v>0</v>
      </c>
      <c r="D4546" s="22" t="e">
        <f>VLOOKUP($A4546, TAB_JUROS_U[[Q_DIAS_U_PARC_TIR]:[V_FUT_U_JURS CENARIO]], D$5, FALSE)</f>
        <v>#N/A</v>
      </c>
      <c r="E4546" s="22" t="e">
        <f>VLOOKUP($A4546,TAB_CORRECAO_U[[Q_DIAS_U_PARC_TIR]:[V_FUT_U_CORC-02]],E$5, FALSE)</f>
        <v>#N/A</v>
      </c>
      <c r="F4546" s="22" t="e">
        <f>VLOOKUP($A4546,TAB_AMORTIZACAO_U[[Q_DIAS_U_PARC_TIR]:[V_FUT_U_PCPL-02]], F$5, FALSE)</f>
        <v>#N/A</v>
      </c>
      <c r="H4546" s="20">
        <f t="shared" si="357"/>
        <v>0</v>
      </c>
      <c r="I4546" s="21">
        <f t="shared" si="358"/>
        <v>0</v>
      </c>
      <c r="J4546" s="22" t="e">
        <f>VLOOKUP($A4546, TAB_JUROS_C[[DIAS_CORRIDOS]:[V_FUT_UTEIS]], J$5, FALSE)</f>
        <v>#N/A</v>
      </c>
      <c r="K4546" s="22" t="e">
        <f>VLOOKUP($A4546, TAB_CORRECAO_C[[DIAS_CORRIDOS]:[V_FUT_UTEIS]],K$5, FALSE)</f>
        <v>#N/A</v>
      </c>
      <c r="L4546" s="22" t="e">
        <f>VLOOKUP($A4546, TAB_AMORTIZACAO_C[[DIAS_CORRIDOS]:[V_FUT_UTEIS]], L$5, FALSE)</f>
        <v>#N/A</v>
      </c>
    </row>
    <row r="4547" spans="1:12" hidden="1">
      <c r="A4547" s="19">
        <f t="shared" si="359"/>
        <v>4541</v>
      </c>
      <c r="B4547" s="20">
        <f t="shared" si="355"/>
        <v>0</v>
      </c>
      <c r="C4547" s="21">
        <f t="shared" si="356"/>
        <v>0</v>
      </c>
      <c r="D4547" s="22" t="e">
        <f>VLOOKUP($A4547, TAB_JUROS_U[[Q_DIAS_U_PARC_TIR]:[V_FUT_U_JURS CENARIO]], D$5, FALSE)</f>
        <v>#N/A</v>
      </c>
      <c r="E4547" s="22" t="e">
        <f>VLOOKUP($A4547,TAB_CORRECAO_U[[Q_DIAS_U_PARC_TIR]:[V_FUT_U_CORC-02]],E$5, FALSE)</f>
        <v>#N/A</v>
      </c>
      <c r="F4547" s="22" t="e">
        <f>VLOOKUP($A4547,TAB_AMORTIZACAO_U[[Q_DIAS_U_PARC_TIR]:[V_FUT_U_PCPL-02]], F$5, FALSE)</f>
        <v>#N/A</v>
      </c>
      <c r="H4547" s="20">
        <f t="shared" si="357"/>
        <v>0</v>
      </c>
      <c r="I4547" s="21">
        <f t="shared" si="358"/>
        <v>0</v>
      </c>
      <c r="J4547" s="22" t="e">
        <f>VLOOKUP($A4547, TAB_JUROS_C[[DIAS_CORRIDOS]:[V_FUT_UTEIS]], J$5, FALSE)</f>
        <v>#N/A</v>
      </c>
      <c r="K4547" s="22" t="e">
        <f>VLOOKUP($A4547, TAB_CORRECAO_C[[DIAS_CORRIDOS]:[V_FUT_UTEIS]],K$5, FALSE)</f>
        <v>#N/A</v>
      </c>
      <c r="L4547" s="22" t="e">
        <f>VLOOKUP($A4547, TAB_AMORTIZACAO_C[[DIAS_CORRIDOS]:[V_FUT_UTEIS]], L$5, FALSE)</f>
        <v>#N/A</v>
      </c>
    </row>
    <row r="4548" spans="1:12" hidden="1">
      <c r="A4548" s="19">
        <f t="shared" si="359"/>
        <v>4542</v>
      </c>
      <c r="B4548" s="20">
        <f t="shared" si="355"/>
        <v>0</v>
      </c>
      <c r="C4548" s="21">
        <f t="shared" si="356"/>
        <v>0</v>
      </c>
      <c r="D4548" s="22" t="e">
        <f>VLOOKUP($A4548, TAB_JUROS_U[[Q_DIAS_U_PARC_TIR]:[V_FUT_U_JURS CENARIO]], D$5, FALSE)</f>
        <v>#N/A</v>
      </c>
      <c r="E4548" s="22" t="e">
        <f>VLOOKUP($A4548,TAB_CORRECAO_U[[Q_DIAS_U_PARC_TIR]:[V_FUT_U_CORC-02]],E$5, FALSE)</f>
        <v>#N/A</v>
      </c>
      <c r="F4548" s="22" t="e">
        <f>VLOOKUP($A4548,TAB_AMORTIZACAO_U[[Q_DIAS_U_PARC_TIR]:[V_FUT_U_PCPL-02]], F$5, FALSE)</f>
        <v>#N/A</v>
      </c>
      <c r="H4548" s="20">
        <f t="shared" si="357"/>
        <v>0</v>
      </c>
      <c r="I4548" s="21">
        <f t="shared" si="358"/>
        <v>0</v>
      </c>
      <c r="J4548" s="22" t="e">
        <f>VLOOKUP($A4548, TAB_JUROS_C[[DIAS_CORRIDOS]:[V_FUT_UTEIS]], J$5, FALSE)</f>
        <v>#N/A</v>
      </c>
      <c r="K4548" s="22" t="e">
        <f>VLOOKUP($A4548, TAB_CORRECAO_C[[DIAS_CORRIDOS]:[V_FUT_UTEIS]],K$5, FALSE)</f>
        <v>#N/A</v>
      </c>
      <c r="L4548" s="22" t="e">
        <f>VLOOKUP($A4548, TAB_AMORTIZACAO_C[[DIAS_CORRIDOS]:[V_FUT_UTEIS]], L$5, FALSE)</f>
        <v>#N/A</v>
      </c>
    </row>
    <row r="4549" spans="1:12" hidden="1">
      <c r="A4549" s="19">
        <f t="shared" si="359"/>
        <v>4543</v>
      </c>
      <c r="B4549" s="20">
        <f t="shared" si="355"/>
        <v>0</v>
      </c>
      <c r="C4549" s="21">
        <f t="shared" si="356"/>
        <v>0</v>
      </c>
      <c r="D4549" s="22" t="e">
        <f>VLOOKUP($A4549, TAB_JUROS_U[[Q_DIAS_U_PARC_TIR]:[V_FUT_U_JURS CENARIO]], D$5, FALSE)</f>
        <v>#N/A</v>
      </c>
      <c r="E4549" s="22" t="e">
        <f>VLOOKUP($A4549,TAB_CORRECAO_U[[Q_DIAS_U_PARC_TIR]:[V_FUT_U_CORC-02]],E$5, FALSE)</f>
        <v>#N/A</v>
      </c>
      <c r="F4549" s="22" t="e">
        <f>VLOOKUP($A4549,TAB_AMORTIZACAO_U[[Q_DIAS_U_PARC_TIR]:[V_FUT_U_PCPL-02]], F$5, FALSE)</f>
        <v>#N/A</v>
      </c>
      <c r="H4549" s="20">
        <f t="shared" si="357"/>
        <v>0</v>
      </c>
      <c r="I4549" s="21">
        <f t="shared" si="358"/>
        <v>0</v>
      </c>
      <c r="J4549" s="22" t="e">
        <f>VLOOKUP($A4549, TAB_JUROS_C[[DIAS_CORRIDOS]:[V_FUT_UTEIS]], J$5, FALSE)</f>
        <v>#N/A</v>
      </c>
      <c r="K4549" s="22" t="e">
        <f>VLOOKUP($A4549, TAB_CORRECAO_C[[DIAS_CORRIDOS]:[V_FUT_UTEIS]],K$5, FALSE)</f>
        <v>#N/A</v>
      </c>
      <c r="L4549" s="22" t="e">
        <f>VLOOKUP($A4549, TAB_AMORTIZACAO_C[[DIAS_CORRIDOS]:[V_FUT_UTEIS]], L$5, FALSE)</f>
        <v>#N/A</v>
      </c>
    </row>
    <row r="4550" spans="1:12" hidden="1">
      <c r="A4550" s="19">
        <f t="shared" si="359"/>
        <v>4544</v>
      </c>
      <c r="B4550" s="20">
        <f t="shared" si="355"/>
        <v>0</v>
      </c>
      <c r="C4550" s="21">
        <f t="shared" si="356"/>
        <v>0</v>
      </c>
      <c r="D4550" s="22" t="e">
        <f>VLOOKUP($A4550, TAB_JUROS_U[[Q_DIAS_U_PARC_TIR]:[V_FUT_U_JURS CENARIO]], D$5, FALSE)</f>
        <v>#N/A</v>
      </c>
      <c r="E4550" s="22" t="e">
        <f>VLOOKUP($A4550,TAB_CORRECAO_U[[Q_DIAS_U_PARC_TIR]:[V_FUT_U_CORC-02]],E$5, FALSE)</f>
        <v>#N/A</v>
      </c>
      <c r="F4550" s="22" t="e">
        <f>VLOOKUP($A4550,TAB_AMORTIZACAO_U[[Q_DIAS_U_PARC_TIR]:[V_FUT_U_PCPL-02]], F$5, FALSE)</f>
        <v>#N/A</v>
      </c>
      <c r="H4550" s="20">
        <f t="shared" si="357"/>
        <v>0</v>
      </c>
      <c r="I4550" s="21">
        <f t="shared" si="358"/>
        <v>0</v>
      </c>
      <c r="J4550" s="22" t="e">
        <f>VLOOKUP($A4550, TAB_JUROS_C[[DIAS_CORRIDOS]:[V_FUT_UTEIS]], J$5, FALSE)</f>
        <v>#N/A</v>
      </c>
      <c r="K4550" s="22" t="e">
        <f>VLOOKUP($A4550, TAB_CORRECAO_C[[DIAS_CORRIDOS]:[V_FUT_UTEIS]],K$5, FALSE)</f>
        <v>#N/A</v>
      </c>
      <c r="L4550" s="22" t="e">
        <f>VLOOKUP($A4550, TAB_AMORTIZACAO_C[[DIAS_CORRIDOS]:[V_FUT_UTEIS]], L$5, FALSE)</f>
        <v>#N/A</v>
      </c>
    </row>
    <row r="4551" spans="1:12" hidden="1">
      <c r="A4551" s="19">
        <f t="shared" si="359"/>
        <v>4545</v>
      </c>
      <c r="B4551" s="20">
        <f t="shared" si="355"/>
        <v>0</v>
      </c>
      <c r="C4551" s="21">
        <f t="shared" si="356"/>
        <v>0</v>
      </c>
      <c r="D4551" s="22" t="e">
        <f>VLOOKUP($A4551, TAB_JUROS_U[[Q_DIAS_U_PARC_TIR]:[V_FUT_U_JURS CENARIO]], D$5, FALSE)</f>
        <v>#N/A</v>
      </c>
      <c r="E4551" s="22" t="e">
        <f>VLOOKUP($A4551,TAB_CORRECAO_U[[Q_DIAS_U_PARC_TIR]:[V_FUT_U_CORC-02]],E$5, FALSE)</f>
        <v>#N/A</v>
      </c>
      <c r="F4551" s="22" t="e">
        <f>VLOOKUP($A4551,TAB_AMORTIZACAO_U[[Q_DIAS_U_PARC_TIR]:[V_FUT_U_PCPL-02]], F$5, FALSE)</f>
        <v>#N/A</v>
      </c>
      <c r="H4551" s="20">
        <f t="shared" si="357"/>
        <v>0</v>
      </c>
      <c r="I4551" s="21">
        <f t="shared" si="358"/>
        <v>0</v>
      </c>
      <c r="J4551" s="22" t="e">
        <f>VLOOKUP($A4551, TAB_JUROS_C[[DIAS_CORRIDOS]:[V_FUT_UTEIS]], J$5, FALSE)</f>
        <v>#N/A</v>
      </c>
      <c r="K4551" s="22" t="e">
        <f>VLOOKUP($A4551, TAB_CORRECAO_C[[DIAS_CORRIDOS]:[V_FUT_UTEIS]],K$5, FALSE)</f>
        <v>#N/A</v>
      </c>
      <c r="L4551" s="22" t="e">
        <f>VLOOKUP($A4551, TAB_AMORTIZACAO_C[[DIAS_CORRIDOS]:[V_FUT_UTEIS]], L$5, FALSE)</f>
        <v>#N/A</v>
      </c>
    </row>
    <row r="4552" spans="1:12" hidden="1">
      <c r="A4552" s="19">
        <f t="shared" si="359"/>
        <v>4546</v>
      </c>
      <c r="B4552" s="20">
        <f t="shared" si="355"/>
        <v>0</v>
      </c>
      <c r="C4552" s="21">
        <f t="shared" si="356"/>
        <v>0</v>
      </c>
      <c r="D4552" s="22" t="e">
        <f>VLOOKUP($A4552, TAB_JUROS_U[[Q_DIAS_U_PARC_TIR]:[V_FUT_U_JURS CENARIO]], D$5, FALSE)</f>
        <v>#N/A</v>
      </c>
      <c r="E4552" s="22" t="e">
        <f>VLOOKUP($A4552,TAB_CORRECAO_U[[Q_DIAS_U_PARC_TIR]:[V_FUT_U_CORC-02]],E$5, FALSE)</f>
        <v>#N/A</v>
      </c>
      <c r="F4552" s="22" t="e">
        <f>VLOOKUP($A4552,TAB_AMORTIZACAO_U[[Q_DIAS_U_PARC_TIR]:[V_FUT_U_PCPL-02]], F$5, FALSE)</f>
        <v>#N/A</v>
      </c>
      <c r="H4552" s="20">
        <f t="shared" si="357"/>
        <v>0</v>
      </c>
      <c r="I4552" s="21">
        <f t="shared" si="358"/>
        <v>0</v>
      </c>
      <c r="J4552" s="22" t="e">
        <f>VLOOKUP($A4552, TAB_JUROS_C[[DIAS_CORRIDOS]:[V_FUT_UTEIS]], J$5, FALSE)</f>
        <v>#N/A</v>
      </c>
      <c r="K4552" s="22" t="e">
        <f>VLOOKUP($A4552, TAB_CORRECAO_C[[DIAS_CORRIDOS]:[V_FUT_UTEIS]],K$5, FALSE)</f>
        <v>#N/A</v>
      </c>
      <c r="L4552" s="22" t="e">
        <f>VLOOKUP($A4552, TAB_AMORTIZACAO_C[[DIAS_CORRIDOS]:[V_FUT_UTEIS]], L$5, FALSE)</f>
        <v>#N/A</v>
      </c>
    </row>
    <row r="4553" spans="1:12" hidden="1">
      <c r="A4553" s="19">
        <f t="shared" si="359"/>
        <v>4547</v>
      </c>
      <c r="B4553" s="20">
        <f t="shared" ref="B4553:B4616" si="360">IF(ISERROR(C4553), 0, C4553)</f>
        <v>0</v>
      </c>
      <c r="C4553" s="21">
        <f t="shared" ref="C4553:C4616" si="361">SUMIF(D4553:F4553, "&gt;0", D4553:F4553)</f>
        <v>0</v>
      </c>
      <c r="D4553" s="22" t="e">
        <f>VLOOKUP($A4553, TAB_JUROS_U[[Q_DIAS_U_PARC_TIR]:[V_FUT_U_JURS CENARIO]], D$5, FALSE)</f>
        <v>#N/A</v>
      </c>
      <c r="E4553" s="22" t="e">
        <f>VLOOKUP($A4553,TAB_CORRECAO_U[[Q_DIAS_U_PARC_TIR]:[V_FUT_U_CORC-02]],E$5, FALSE)</f>
        <v>#N/A</v>
      </c>
      <c r="F4553" s="22" t="e">
        <f>VLOOKUP($A4553,TAB_AMORTIZACAO_U[[Q_DIAS_U_PARC_TIR]:[V_FUT_U_PCPL-02]], F$5, FALSE)</f>
        <v>#N/A</v>
      </c>
      <c r="H4553" s="20">
        <f t="shared" ref="H4553:H4616" si="362">IF(ISERROR(I4553), 0, I4553)</f>
        <v>0</v>
      </c>
      <c r="I4553" s="21">
        <f t="shared" ref="I4553:I4616" si="363">SUMIF(J4553:L4553, "&gt;0", J4553:L4553)</f>
        <v>0</v>
      </c>
      <c r="J4553" s="22" t="e">
        <f>VLOOKUP($A4553, TAB_JUROS_C[[DIAS_CORRIDOS]:[V_FUT_UTEIS]], J$5, FALSE)</f>
        <v>#N/A</v>
      </c>
      <c r="K4553" s="22" t="e">
        <f>VLOOKUP($A4553, TAB_CORRECAO_C[[DIAS_CORRIDOS]:[V_FUT_UTEIS]],K$5, FALSE)</f>
        <v>#N/A</v>
      </c>
      <c r="L4553" s="22" t="e">
        <f>VLOOKUP($A4553, TAB_AMORTIZACAO_C[[DIAS_CORRIDOS]:[V_FUT_UTEIS]], L$5, FALSE)</f>
        <v>#N/A</v>
      </c>
    </row>
    <row r="4554" spans="1:12" hidden="1">
      <c r="A4554" s="19">
        <f t="shared" ref="A4554:A4617" si="364">A4553+1</f>
        <v>4548</v>
      </c>
      <c r="B4554" s="20">
        <f t="shared" si="360"/>
        <v>0</v>
      </c>
      <c r="C4554" s="21">
        <f t="shared" si="361"/>
        <v>0</v>
      </c>
      <c r="D4554" s="22" t="e">
        <f>VLOOKUP($A4554, TAB_JUROS_U[[Q_DIAS_U_PARC_TIR]:[V_FUT_U_JURS CENARIO]], D$5, FALSE)</f>
        <v>#N/A</v>
      </c>
      <c r="E4554" s="22" t="e">
        <f>VLOOKUP($A4554,TAB_CORRECAO_U[[Q_DIAS_U_PARC_TIR]:[V_FUT_U_CORC-02]],E$5, FALSE)</f>
        <v>#N/A</v>
      </c>
      <c r="F4554" s="22" t="e">
        <f>VLOOKUP($A4554,TAB_AMORTIZACAO_U[[Q_DIAS_U_PARC_TIR]:[V_FUT_U_PCPL-02]], F$5, FALSE)</f>
        <v>#N/A</v>
      </c>
      <c r="H4554" s="20">
        <f t="shared" si="362"/>
        <v>0</v>
      </c>
      <c r="I4554" s="21">
        <f t="shared" si="363"/>
        <v>0</v>
      </c>
      <c r="J4554" s="22" t="e">
        <f>VLOOKUP($A4554, TAB_JUROS_C[[DIAS_CORRIDOS]:[V_FUT_UTEIS]], J$5, FALSE)</f>
        <v>#N/A</v>
      </c>
      <c r="K4554" s="22" t="e">
        <f>VLOOKUP($A4554, TAB_CORRECAO_C[[DIAS_CORRIDOS]:[V_FUT_UTEIS]],K$5, FALSE)</f>
        <v>#N/A</v>
      </c>
      <c r="L4554" s="22" t="e">
        <f>VLOOKUP($A4554, TAB_AMORTIZACAO_C[[DIAS_CORRIDOS]:[V_FUT_UTEIS]], L$5, FALSE)</f>
        <v>#N/A</v>
      </c>
    </row>
    <row r="4555" spans="1:12" hidden="1">
      <c r="A4555" s="19">
        <f t="shared" si="364"/>
        <v>4549</v>
      </c>
      <c r="B4555" s="20">
        <f t="shared" si="360"/>
        <v>0</v>
      </c>
      <c r="C4555" s="21">
        <f t="shared" si="361"/>
        <v>0</v>
      </c>
      <c r="D4555" s="22" t="e">
        <f>VLOOKUP($A4555, TAB_JUROS_U[[Q_DIAS_U_PARC_TIR]:[V_FUT_U_JURS CENARIO]], D$5, FALSE)</f>
        <v>#N/A</v>
      </c>
      <c r="E4555" s="22" t="e">
        <f>VLOOKUP($A4555,TAB_CORRECAO_U[[Q_DIAS_U_PARC_TIR]:[V_FUT_U_CORC-02]],E$5, FALSE)</f>
        <v>#N/A</v>
      </c>
      <c r="F4555" s="22" t="e">
        <f>VLOOKUP($A4555,TAB_AMORTIZACAO_U[[Q_DIAS_U_PARC_TIR]:[V_FUT_U_PCPL-02]], F$5, FALSE)</f>
        <v>#N/A</v>
      </c>
      <c r="H4555" s="20">
        <f t="shared" si="362"/>
        <v>0</v>
      </c>
      <c r="I4555" s="21">
        <f t="shared" si="363"/>
        <v>0</v>
      </c>
      <c r="J4555" s="22" t="e">
        <f>VLOOKUP($A4555, TAB_JUROS_C[[DIAS_CORRIDOS]:[V_FUT_UTEIS]], J$5, FALSE)</f>
        <v>#N/A</v>
      </c>
      <c r="K4555" s="22" t="e">
        <f>VLOOKUP($A4555, TAB_CORRECAO_C[[DIAS_CORRIDOS]:[V_FUT_UTEIS]],K$5, FALSE)</f>
        <v>#N/A</v>
      </c>
      <c r="L4555" s="22" t="e">
        <f>VLOOKUP($A4555, TAB_AMORTIZACAO_C[[DIAS_CORRIDOS]:[V_FUT_UTEIS]], L$5, FALSE)</f>
        <v>#N/A</v>
      </c>
    </row>
    <row r="4556" spans="1:12" hidden="1">
      <c r="A4556" s="19">
        <f t="shared" si="364"/>
        <v>4550</v>
      </c>
      <c r="B4556" s="20">
        <f t="shared" si="360"/>
        <v>0</v>
      </c>
      <c r="C4556" s="21">
        <f t="shared" si="361"/>
        <v>0</v>
      </c>
      <c r="D4556" s="22" t="e">
        <f>VLOOKUP($A4556, TAB_JUROS_U[[Q_DIAS_U_PARC_TIR]:[V_FUT_U_JURS CENARIO]], D$5, FALSE)</f>
        <v>#N/A</v>
      </c>
      <c r="E4556" s="22" t="e">
        <f>VLOOKUP($A4556,TAB_CORRECAO_U[[Q_DIAS_U_PARC_TIR]:[V_FUT_U_CORC-02]],E$5, FALSE)</f>
        <v>#N/A</v>
      </c>
      <c r="F4556" s="22" t="e">
        <f>VLOOKUP($A4556,TAB_AMORTIZACAO_U[[Q_DIAS_U_PARC_TIR]:[V_FUT_U_PCPL-02]], F$5, FALSE)</f>
        <v>#N/A</v>
      </c>
      <c r="H4556" s="20">
        <f t="shared" si="362"/>
        <v>0</v>
      </c>
      <c r="I4556" s="21">
        <f t="shared" si="363"/>
        <v>0</v>
      </c>
      <c r="J4556" s="22" t="e">
        <f>VLOOKUP($A4556, TAB_JUROS_C[[DIAS_CORRIDOS]:[V_FUT_UTEIS]], J$5, FALSE)</f>
        <v>#N/A</v>
      </c>
      <c r="K4556" s="22" t="e">
        <f>VLOOKUP($A4556, TAB_CORRECAO_C[[DIAS_CORRIDOS]:[V_FUT_UTEIS]],K$5, FALSE)</f>
        <v>#N/A</v>
      </c>
      <c r="L4556" s="22" t="e">
        <f>VLOOKUP($A4556, TAB_AMORTIZACAO_C[[DIAS_CORRIDOS]:[V_FUT_UTEIS]], L$5, FALSE)</f>
        <v>#N/A</v>
      </c>
    </row>
    <row r="4557" spans="1:12" hidden="1">
      <c r="A4557" s="19">
        <f t="shared" si="364"/>
        <v>4551</v>
      </c>
      <c r="B4557" s="20">
        <f t="shared" si="360"/>
        <v>0</v>
      </c>
      <c r="C4557" s="21">
        <f t="shared" si="361"/>
        <v>0</v>
      </c>
      <c r="D4557" s="22" t="e">
        <f>VLOOKUP($A4557, TAB_JUROS_U[[Q_DIAS_U_PARC_TIR]:[V_FUT_U_JURS CENARIO]], D$5, FALSE)</f>
        <v>#N/A</v>
      </c>
      <c r="E4557" s="22" t="e">
        <f>VLOOKUP($A4557,TAB_CORRECAO_U[[Q_DIAS_U_PARC_TIR]:[V_FUT_U_CORC-02]],E$5, FALSE)</f>
        <v>#N/A</v>
      </c>
      <c r="F4557" s="22" t="e">
        <f>VLOOKUP($A4557,TAB_AMORTIZACAO_U[[Q_DIAS_U_PARC_TIR]:[V_FUT_U_PCPL-02]], F$5, FALSE)</f>
        <v>#N/A</v>
      </c>
      <c r="H4557" s="20">
        <f t="shared" si="362"/>
        <v>0</v>
      </c>
      <c r="I4557" s="21">
        <f t="shared" si="363"/>
        <v>0</v>
      </c>
      <c r="J4557" s="22" t="e">
        <f>VLOOKUP($A4557, TAB_JUROS_C[[DIAS_CORRIDOS]:[V_FUT_UTEIS]], J$5, FALSE)</f>
        <v>#N/A</v>
      </c>
      <c r="K4557" s="22" t="e">
        <f>VLOOKUP($A4557, TAB_CORRECAO_C[[DIAS_CORRIDOS]:[V_FUT_UTEIS]],K$5, FALSE)</f>
        <v>#N/A</v>
      </c>
      <c r="L4557" s="22" t="e">
        <f>VLOOKUP($A4557, TAB_AMORTIZACAO_C[[DIAS_CORRIDOS]:[V_FUT_UTEIS]], L$5, FALSE)</f>
        <v>#N/A</v>
      </c>
    </row>
    <row r="4558" spans="1:12" hidden="1">
      <c r="A4558" s="19">
        <f t="shared" si="364"/>
        <v>4552</v>
      </c>
      <c r="B4558" s="20">
        <f t="shared" si="360"/>
        <v>0</v>
      </c>
      <c r="C4558" s="21">
        <f t="shared" si="361"/>
        <v>0</v>
      </c>
      <c r="D4558" s="22" t="e">
        <f>VLOOKUP($A4558, TAB_JUROS_U[[Q_DIAS_U_PARC_TIR]:[V_FUT_U_JURS CENARIO]], D$5, FALSE)</f>
        <v>#N/A</v>
      </c>
      <c r="E4558" s="22" t="e">
        <f>VLOOKUP($A4558,TAB_CORRECAO_U[[Q_DIAS_U_PARC_TIR]:[V_FUT_U_CORC-02]],E$5, FALSE)</f>
        <v>#N/A</v>
      </c>
      <c r="F4558" s="22" t="e">
        <f>VLOOKUP($A4558,TAB_AMORTIZACAO_U[[Q_DIAS_U_PARC_TIR]:[V_FUT_U_PCPL-02]], F$5, FALSE)</f>
        <v>#N/A</v>
      </c>
      <c r="H4558" s="20">
        <f t="shared" si="362"/>
        <v>0</v>
      </c>
      <c r="I4558" s="21">
        <f t="shared" si="363"/>
        <v>0</v>
      </c>
      <c r="J4558" s="22" t="e">
        <f>VLOOKUP($A4558, TAB_JUROS_C[[DIAS_CORRIDOS]:[V_FUT_UTEIS]], J$5, FALSE)</f>
        <v>#N/A</v>
      </c>
      <c r="K4558" s="22" t="e">
        <f>VLOOKUP($A4558, TAB_CORRECAO_C[[DIAS_CORRIDOS]:[V_FUT_UTEIS]],K$5, FALSE)</f>
        <v>#N/A</v>
      </c>
      <c r="L4558" s="22" t="e">
        <f>VLOOKUP($A4558, TAB_AMORTIZACAO_C[[DIAS_CORRIDOS]:[V_FUT_UTEIS]], L$5, FALSE)</f>
        <v>#N/A</v>
      </c>
    </row>
    <row r="4559" spans="1:12" hidden="1">
      <c r="A4559" s="19">
        <f t="shared" si="364"/>
        <v>4553</v>
      </c>
      <c r="B4559" s="20">
        <f t="shared" si="360"/>
        <v>0</v>
      </c>
      <c r="C4559" s="21">
        <f t="shared" si="361"/>
        <v>0</v>
      </c>
      <c r="D4559" s="22" t="e">
        <f>VLOOKUP($A4559, TAB_JUROS_U[[Q_DIAS_U_PARC_TIR]:[V_FUT_U_JURS CENARIO]], D$5, FALSE)</f>
        <v>#N/A</v>
      </c>
      <c r="E4559" s="22" t="e">
        <f>VLOOKUP($A4559,TAB_CORRECAO_U[[Q_DIAS_U_PARC_TIR]:[V_FUT_U_CORC-02]],E$5, FALSE)</f>
        <v>#N/A</v>
      </c>
      <c r="F4559" s="22" t="e">
        <f>VLOOKUP($A4559,TAB_AMORTIZACAO_U[[Q_DIAS_U_PARC_TIR]:[V_FUT_U_PCPL-02]], F$5, FALSE)</f>
        <v>#N/A</v>
      </c>
      <c r="H4559" s="20">
        <f t="shared" si="362"/>
        <v>0</v>
      </c>
      <c r="I4559" s="21">
        <f t="shared" si="363"/>
        <v>0</v>
      </c>
      <c r="J4559" s="22" t="e">
        <f>VLOOKUP($A4559, TAB_JUROS_C[[DIAS_CORRIDOS]:[V_FUT_UTEIS]], J$5, FALSE)</f>
        <v>#N/A</v>
      </c>
      <c r="K4559" s="22" t="e">
        <f>VLOOKUP($A4559, TAB_CORRECAO_C[[DIAS_CORRIDOS]:[V_FUT_UTEIS]],K$5, FALSE)</f>
        <v>#N/A</v>
      </c>
      <c r="L4559" s="22" t="e">
        <f>VLOOKUP($A4559, TAB_AMORTIZACAO_C[[DIAS_CORRIDOS]:[V_FUT_UTEIS]], L$5, FALSE)</f>
        <v>#N/A</v>
      </c>
    </row>
    <row r="4560" spans="1:12" hidden="1">
      <c r="A4560" s="19">
        <f t="shared" si="364"/>
        <v>4554</v>
      </c>
      <c r="B4560" s="20">
        <f t="shared" si="360"/>
        <v>0</v>
      </c>
      <c r="C4560" s="21">
        <f t="shared" si="361"/>
        <v>0</v>
      </c>
      <c r="D4560" s="22" t="e">
        <f>VLOOKUP($A4560, TAB_JUROS_U[[Q_DIAS_U_PARC_TIR]:[V_FUT_U_JURS CENARIO]], D$5, FALSE)</f>
        <v>#N/A</v>
      </c>
      <c r="E4560" s="22" t="e">
        <f>VLOOKUP($A4560,TAB_CORRECAO_U[[Q_DIAS_U_PARC_TIR]:[V_FUT_U_CORC-02]],E$5, FALSE)</f>
        <v>#N/A</v>
      </c>
      <c r="F4560" s="22" t="e">
        <f>VLOOKUP($A4560,TAB_AMORTIZACAO_U[[Q_DIAS_U_PARC_TIR]:[V_FUT_U_PCPL-02]], F$5, FALSE)</f>
        <v>#N/A</v>
      </c>
      <c r="H4560" s="20">
        <f t="shared" si="362"/>
        <v>0</v>
      </c>
      <c r="I4560" s="21">
        <f t="shared" si="363"/>
        <v>0</v>
      </c>
      <c r="J4560" s="22" t="e">
        <f>VLOOKUP($A4560, TAB_JUROS_C[[DIAS_CORRIDOS]:[V_FUT_UTEIS]], J$5, FALSE)</f>
        <v>#N/A</v>
      </c>
      <c r="K4560" s="22" t="e">
        <f>VLOOKUP($A4560, TAB_CORRECAO_C[[DIAS_CORRIDOS]:[V_FUT_UTEIS]],K$5, FALSE)</f>
        <v>#N/A</v>
      </c>
      <c r="L4560" s="22" t="e">
        <f>VLOOKUP($A4560, TAB_AMORTIZACAO_C[[DIAS_CORRIDOS]:[V_FUT_UTEIS]], L$5, FALSE)</f>
        <v>#N/A</v>
      </c>
    </row>
    <row r="4561" spans="1:12" hidden="1">
      <c r="A4561" s="19">
        <f t="shared" si="364"/>
        <v>4555</v>
      </c>
      <c r="B4561" s="20">
        <f t="shared" si="360"/>
        <v>0</v>
      </c>
      <c r="C4561" s="21">
        <f t="shared" si="361"/>
        <v>0</v>
      </c>
      <c r="D4561" s="22" t="e">
        <f>VLOOKUP($A4561, TAB_JUROS_U[[Q_DIAS_U_PARC_TIR]:[V_FUT_U_JURS CENARIO]], D$5, FALSE)</f>
        <v>#N/A</v>
      </c>
      <c r="E4561" s="22" t="e">
        <f>VLOOKUP($A4561,TAB_CORRECAO_U[[Q_DIAS_U_PARC_TIR]:[V_FUT_U_CORC-02]],E$5, FALSE)</f>
        <v>#N/A</v>
      </c>
      <c r="F4561" s="22" t="e">
        <f>VLOOKUP($A4561,TAB_AMORTIZACAO_U[[Q_DIAS_U_PARC_TIR]:[V_FUT_U_PCPL-02]], F$5, FALSE)</f>
        <v>#N/A</v>
      </c>
      <c r="H4561" s="20">
        <f t="shared" si="362"/>
        <v>0</v>
      </c>
      <c r="I4561" s="21">
        <f t="shared" si="363"/>
        <v>0</v>
      </c>
      <c r="J4561" s="22" t="e">
        <f>VLOOKUP($A4561, TAB_JUROS_C[[DIAS_CORRIDOS]:[V_FUT_UTEIS]], J$5, FALSE)</f>
        <v>#N/A</v>
      </c>
      <c r="K4561" s="22" t="e">
        <f>VLOOKUP($A4561, TAB_CORRECAO_C[[DIAS_CORRIDOS]:[V_FUT_UTEIS]],K$5, FALSE)</f>
        <v>#N/A</v>
      </c>
      <c r="L4561" s="22" t="e">
        <f>VLOOKUP($A4561, TAB_AMORTIZACAO_C[[DIAS_CORRIDOS]:[V_FUT_UTEIS]], L$5, FALSE)</f>
        <v>#N/A</v>
      </c>
    </row>
    <row r="4562" spans="1:12" hidden="1">
      <c r="A4562" s="19">
        <f t="shared" si="364"/>
        <v>4556</v>
      </c>
      <c r="B4562" s="20">
        <f t="shared" si="360"/>
        <v>0</v>
      </c>
      <c r="C4562" s="21">
        <f t="shared" si="361"/>
        <v>0</v>
      </c>
      <c r="D4562" s="22" t="e">
        <f>VLOOKUP($A4562, TAB_JUROS_U[[Q_DIAS_U_PARC_TIR]:[V_FUT_U_JURS CENARIO]], D$5, FALSE)</f>
        <v>#N/A</v>
      </c>
      <c r="E4562" s="22" t="e">
        <f>VLOOKUP($A4562,TAB_CORRECAO_U[[Q_DIAS_U_PARC_TIR]:[V_FUT_U_CORC-02]],E$5, FALSE)</f>
        <v>#N/A</v>
      </c>
      <c r="F4562" s="22" t="e">
        <f>VLOOKUP($A4562,TAB_AMORTIZACAO_U[[Q_DIAS_U_PARC_TIR]:[V_FUT_U_PCPL-02]], F$5, FALSE)</f>
        <v>#N/A</v>
      </c>
      <c r="H4562" s="20">
        <f t="shared" si="362"/>
        <v>0</v>
      </c>
      <c r="I4562" s="21">
        <f t="shared" si="363"/>
        <v>0</v>
      </c>
      <c r="J4562" s="22" t="e">
        <f>VLOOKUP($A4562, TAB_JUROS_C[[DIAS_CORRIDOS]:[V_FUT_UTEIS]], J$5, FALSE)</f>
        <v>#N/A</v>
      </c>
      <c r="K4562" s="22" t="e">
        <f>VLOOKUP($A4562, TAB_CORRECAO_C[[DIAS_CORRIDOS]:[V_FUT_UTEIS]],K$5, FALSE)</f>
        <v>#N/A</v>
      </c>
      <c r="L4562" s="22" t="e">
        <f>VLOOKUP($A4562, TAB_AMORTIZACAO_C[[DIAS_CORRIDOS]:[V_FUT_UTEIS]], L$5, FALSE)</f>
        <v>#N/A</v>
      </c>
    </row>
    <row r="4563" spans="1:12" hidden="1">
      <c r="A4563" s="19">
        <f t="shared" si="364"/>
        <v>4557</v>
      </c>
      <c r="B4563" s="20">
        <f t="shared" si="360"/>
        <v>0</v>
      </c>
      <c r="C4563" s="21">
        <f t="shared" si="361"/>
        <v>0</v>
      </c>
      <c r="D4563" s="22" t="e">
        <f>VLOOKUP($A4563, TAB_JUROS_U[[Q_DIAS_U_PARC_TIR]:[V_FUT_U_JURS CENARIO]], D$5, FALSE)</f>
        <v>#N/A</v>
      </c>
      <c r="E4563" s="22" t="e">
        <f>VLOOKUP($A4563,TAB_CORRECAO_U[[Q_DIAS_U_PARC_TIR]:[V_FUT_U_CORC-02]],E$5, FALSE)</f>
        <v>#N/A</v>
      </c>
      <c r="F4563" s="22" t="e">
        <f>VLOOKUP($A4563,TAB_AMORTIZACAO_U[[Q_DIAS_U_PARC_TIR]:[V_FUT_U_PCPL-02]], F$5, FALSE)</f>
        <v>#N/A</v>
      </c>
      <c r="H4563" s="20">
        <f t="shared" si="362"/>
        <v>0</v>
      </c>
      <c r="I4563" s="21">
        <f t="shared" si="363"/>
        <v>0</v>
      </c>
      <c r="J4563" s="22" t="e">
        <f>VLOOKUP($A4563, TAB_JUROS_C[[DIAS_CORRIDOS]:[V_FUT_UTEIS]], J$5, FALSE)</f>
        <v>#N/A</v>
      </c>
      <c r="K4563" s="22" t="e">
        <f>VLOOKUP($A4563, TAB_CORRECAO_C[[DIAS_CORRIDOS]:[V_FUT_UTEIS]],K$5, FALSE)</f>
        <v>#N/A</v>
      </c>
      <c r="L4563" s="22" t="e">
        <f>VLOOKUP($A4563, TAB_AMORTIZACAO_C[[DIAS_CORRIDOS]:[V_FUT_UTEIS]], L$5, FALSE)</f>
        <v>#N/A</v>
      </c>
    </row>
    <row r="4564" spans="1:12" hidden="1">
      <c r="A4564" s="19">
        <f t="shared" si="364"/>
        <v>4558</v>
      </c>
      <c r="B4564" s="20">
        <f t="shared" si="360"/>
        <v>0</v>
      </c>
      <c r="C4564" s="21">
        <f t="shared" si="361"/>
        <v>0</v>
      </c>
      <c r="D4564" s="22" t="e">
        <f>VLOOKUP($A4564, TAB_JUROS_U[[Q_DIAS_U_PARC_TIR]:[V_FUT_U_JURS CENARIO]], D$5, FALSE)</f>
        <v>#N/A</v>
      </c>
      <c r="E4564" s="22" t="e">
        <f>VLOOKUP($A4564,TAB_CORRECAO_U[[Q_DIAS_U_PARC_TIR]:[V_FUT_U_CORC-02]],E$5, FALSE)</f>
        <v>#N/A</v>
      </c>
      <c r="F4564" s="22" t="e">
        <f>VLOOKUP($A4564,TAB_AMORTIZACAO_U[[Q_DIAS_U_PARC_TIR]:[V_FUT_U_PCPL-02]], F$5, FALSE)</f>
        <v>#N/A</v>
      </c>
      <c r="H4564" s="20">
        <f t="shared" si="362"/>
        <v>0</v>
      </c>
      <c r="I4564" s="21">
        <f t="shared" si="363"/>
        <v>0</v>
      </c>
      <c r="J4564" s="22" t="e">
        <f>VLOOKUP($A4564, TAB_JUROS_C[[DIAS_CORRIDOS]:[V_FUT_UTEIS]], J$5, FALSE)</f>
        <v>#N/A</v>
      </c>
      <c r="K4564" s="22" t="e">
        <f>VLOOKUP($A4564, TAB_CORRECAO_C[[DIAS_CORRIDOS]:[V_FUT_UTEIS]],K$5, FALSE)</f>
        <v>#N/A</v>
      </c>
      <c r="L4564" s="22" t="e">
        <f>VLOOKUP($A4564, TAB_AMORTIZACAO_C[[DIAS_CORRIDOS]:[V_FUT_UTEIS]], L$5, FALSE)</f>
        <v>#N/A</v>
      </c>
    </row>
    <row r="4565" spans="1:12" hidden="1">
      <c r="A4565" s="19">
        <f t="shared" si="364"/>
        <v>4559</v>
      </c>
      <c r="B4565" s="20">
        <f t="shared" si="360"/>
        <v>0</v>
      </c>
      <c r="C4565" s="21">
        <f t="shared" si="361"/>
        <v>0</v>
      </c>
      <c r="D4565" s="22" t="e">
        <f>VLOOKUP($A4565, TAB_JUROS_U[[Q_DIAS_U_PARC_TIR]:[V_FUT_U_JURS CENARIO]], D$5, FALSE)</f>
        <v>#N/A</v>
      </c>
      <c r="E4565" s="22" t="e">
        <f>VLOOKUP($A4565,TAB_CORRECAO_U[[Q_DIAS_U_PARC_TIR]:[V_FUT_U_CORC-02]],E$5, FALSE)</f>
        <v>#N/A</v>
      </c>
      <c r="F4565" s="22" t="e">
        <f>VLOOKUP($A4565,TAB_AMORTIZACAO_U[[Q_DIAS_U_PARC_TIR]:[V_FUT_U_PCPL-02]], F$5, FALSE)</f>
        <v>#N/A</v>
      </c>
      <c r="H4565" s="20">
        <f t="shared" si="362"/>
        <v>0</v>
      </c>
      <c r="I4565" s="21">
        <f t="shared" si="363"/>
        <v>0</v>
      </c>
      <c r="J4565" s="22" t="e">
        <f>VLOOKUP($A4565, TAB_JUROS_C[[DIAS_CORRIDOS]:[V_FUT_UTEIS]], J$5, FALSE)</f>
        <v>#N/A</v>
      </c>
      <c r="K4565" s="22" t="e">
        <f>VLOOKUP($A4565, TAB_CORRECAO_C[[DIAS_CORRIDOS]:[V_FUT_UTEIS]],K$5, FALSE)</f>
        <v>#N/A</v>
      </c>
      <c r="L4565" s="22" t="e">
        <f>VLOOKUP($A4565, TAB_AMORTIZACAO_C[[DIAS_CORRIDOS]:[V_FUT_UTEIS]], L$5, FALSE)</f>
        <v>#N/A</v>
      </c>
    </row>
    <row r="4566" spans="1:12" hidden="1">
      <c r="A4566" s="19">
        <f t="shared" si="364"/>
        <v>4560</v>
      </c>
      <c r="B4566" s="20">
        <f t="shared" si="360"/>
        <v>0</v>
      </c>
      <c r="C4566" s="21">
        <f t="shared" si="361"/>
        <v>0</v>
      </c>
      <c r="D4566" s="22" t="e">
        <f>VLOOKUP($A4566, TAB_JUROS_U[[Q_DIAS_U_PARC_TIR]:[V_FUT_U_JURS CENARIO]], D$5, FALSE)</f>
        <v>#N/A</v>
      </c>
      <c r="E4566" s="22" t="e">
        <f>VLOOKUP($A4566,TAB_CORRECAO_U[[Q_DIAS_U_PARC_TIR]:[V_FUT_U_CORC-02]],E$5, FALSE)</f>
        <v>#N/A</v>
      </c>
      <c r="F4566" s="22" t="e">
        <f>VLOOKUP($A4566,TAB_AMORTIZACAO_U[[Q_DIAS_U_PARC_TIR]:[V_FUT_U_PCPL-02]], F$5, FALSE)</f>
        <v>#N/A</v>
      </c>
      <c r="H4566" s="20">
        <f t="shared" si="362"/>
        <v>0</v>
      </c>
      <c r="I4566" s="21">
        <f t="shared" si="363"/>
        <v>0</v>
      </c>
      <c r="J4566" s="22" t="e">
        <f>VLOOKUP($A4566, TAB_JUROS_C[[DIAS_CORRIDOS]:[V_FUT_UTEIS]], J$5, FALSE)</f>
        <v>#N/A</v>
      </c>
      <c r="K4566" s="22" t="e">
        <f>VLOOKUP($A4566, TAB_CORRECAO_C[[DIAS_CORRIDOS]:[V_FUT_UTEIS]],K$5, FALSE)</f>
        <v>#N/A</v>
      </c>
      <c r="L4566" s="22" t="e">
        <f>VLOOKUP($A4566, TAB_AMORTIZACAO_C[[DIAS_CORRIDOS]:[V_FUT_UTEIS]], L$5, FALSE)</f>
        <v>#N/A</v>
      </c>
    </row>
    <row r="4567" spans="1:12" hidden="1">
      <c r="A4567" s="19">
        <f t="shared" si="364"/>
        <v>4561</v>
      </c>
      <c r="B4567" s="20">
        <f t="shared" si="360"/>
        <v>0</v>
      </c>
      <c r="C4567" s="21">
        <f t="shared" si="361"/>
        <v>0</v>
      </c>
      <c r="D4567" s="22" t="e">
        <f>VLOOKUP($A4567, TAB_JUROS_U[[Q_DIAS_U_PARC_TIR]:[V_FUT_U_JURS CENARIO]], D$5, FALSE)</f>
        <v>#N/A</v>
      </c>
      <c r="E4567" s="22" t="e">
        <f>VLOOKUP($A4567,TAB_CORRECAO_U[[Q_DIAS_U_PARC_TIR]:[V_FUT_U_CORC-02]],E$5, FALSE)</f>
        <v>#N/A</v>
      </c>
      <c r="F4567" s="22" t="e">
        <f>VLOOKUP($A4567,TAB_AMORTIZACAO_U[[Q_DIAS_U_PARC_TIR]:[V_FUT_U_PCPL-02]], F$5, FALSE)</f>
        <v>#N/A</v>
      </c>
      <c r="H4567" s="20">
        <f t="shared" si="362"/>
        <v>0</v>
      </c>
      <c r="I4567" s="21">
        <f t="shared" si="363"/>
        <v>0</v>
      </c>
      <c r="J4567" s="22" t="e">
        <f>VLOOKUP($A4567, TAB_JUROS_C[[DIAS_CORRIDOS]:[V_FUT_UTEIS]], J$5, FALSE)</f>
        <v>#N/A</v>
      </c>
      <c r="K4567" s="22" t="e">
        <f>VLOOKUP($A4567, TAB_CORRECAO_C[[DIAS_CORRIDOS]:[V_FUT_UTEIS]],K$5, FALSE)</f>
        <v>#N/A</v>
      </c>
      <c r="L4567" s="22" t="e">
        <f>VLOOKUP($A4567, TAB_AMORTIZACAO_C[[DIAS_CORRIDOS]:[V_FUT_UTEIS]], L$5, FALSE)</f>
        <v>#N/A</v>
      </c>
    </row>
    <row r="4568" spans="1:12" hidden="1">
      <c r="A4568" s="19">
        <f t="shared" si="364"/>
        <v>4562</v>
      </c>
      <c r="B4568" s="20">
        <f t="shared" si="360"/>
        <v>0</v>
      </c>
      <c r="C4568" s="21">
        <f t="shared" si="361"/>
        <v>0</v>
      </c>
      <c r="D4568" s="22" t="e">
        <f>VLOOKUP($A4568, TAB_JUROS_U[[Q_DIAS_U_PARC_TIR]:[V_FUT_U_JURS CENARIO]], D$5, FALSE)</f>
        <v>#N/A</v>
      </c>
      <c r="E4568" s="22" t="e">
        <f>VLOOKUP($A4568,TAB_CORRECAO_U[[Q_DIAS_U_PARC_TIR]:[V_FUT_U_CORC-02]],E$5, FALSE)</f>
        <v>#N/A</v>
      </c>
      <c r="F4568" s="22" t="e">
        <f>VLOOKUP($A4568,TAB_AMORTIZACAO_U[[Q_DIAS_U_PARC_TIR]:[V_FUT_U_PCPL-02]], F$5, FALSE)</f>
        <v>#N/A</v>
      </c>
      <c r="H4568" s="20">
        <f t="shared" si="362"/>
        <v>0</v>
      </c>
      <c r="I4568" s="21">
        <f t="shared" si="363"/>
        <v>0</v>
      </c>
      <c r="J4568" s="22" t="e">
        <f>VLOOKUP($A4568, TAB_JUROS_C[[DIAS_CORRIDOS]:[V_FUT_UTEIS]], J$5, FALSE)</f>
        <v>#N/A</v>
      </c>
      <c r="K4568" s="22" t="e">
        <f>VLOOKUP($A4568, TAB_CORRECAO_C[[DIAS_CORRIDOS]:[V_FUT_UTEIS]],K$5, FALSE)</f>
        <v>#N/A</v>
      </c>
      <c r="L4568" s="22" t="e">
        <f>VLOOKUP($A4568, TAB_AMORTIZACAO_C[[DIAS_CORRIDOS]:[V_FUT_UTEIS]], L$5, FALSE)</f>
        <v>#N/A</v>
      </c>
    </row>
    <row r="4569" spans="1:12" hidden="1">
      <c r="A4569" s="19">
        <f t="shared" si="364"/>
        <v>4563</v>
      </c>
      <c r="B4569" s="20">
        <f t="shared" si="360"/>
        <v>0</v>
      </c>
      <c r="C4569" s="21">
        <f t="shared" si="361"/>
        <v>0</v>
      </c>
      <c r="D4569" s="22" t="e">
        <f>VLOOKUP($A4569, TAB_JUROS_U[[Q_DIAS_U_PARC_TIR]:[V_FUT_U_JURS CENARIO]], D$5, FALSE)</f>
        <v>#N/A</v>
      </c>
      <c r="E4569" s="22" t="e">
        <f>VLOOKUP($A4569,TAB_CORRECAO_U[[Q_DIAS_U_PARC_TIR]:[V_FUT_U_CORC-02]],E$5, FALSE)</f>
        <v>#N/A</v>
      </c>
      <c r="F4569" s="22" t="e">
        <f>VLOOKUP($A4569,TAB_AMORTIZACAO_U[[Q_DIAS_U_PARC_TIR]:[V_FUT_U_PCPL-02]], F$5, FALSE)</f>
        <v>#N/A</v>
      </c>
      <c r="H4569" s="20">
        <f t="shared" si="362"/>
        <v>0</v>
      </c>
      <c r="I4569" s="21">
        <f t="shared" si="363"/>
        <v>0</v>
      </c>
      <c r="J4569" s="22" t="e">
        <f>VLOOKUP($A4569, TAB_JUROS_C[[DIAS_CORRIDOS]:[V_FUT_UTEIS]], J$5, FALSE)</f>
        <v>#N/A</v>
      </c>
      <c r="K4569" s="22" t="e">
        <f>VLOOKUP($A4569, TAB_CORRECAO_C[[DIAS_CORRIDOS]:[V_FUT_UTEIS]],K$5, FALSE)</f>
        <v>#N/A</v>
      </c>
      <c r="L4569" s="22" t="e">
        <f>VLOOKUP($A4569, TAB_AMORTIZACAO_C[[DIAS_CORRIDOS]:[V_FUT_UTEIS]], L$5, FALSE)</f>
        <v>#N/A</v>
      </c>
    </row>
    <row r="4570" spans="1:12" hidden="1">
      <c r="A4570" s="19">
        <f t="shared" si="364"/>
        <v>4564</v>
      </c>
      <c r="B4570" s="20">
        <f t="shared" si="360"/>
        <v>0</v>
      </c>
      <c r="C4570" s="21">
        <f t="shared" si="361"/>
        <v>0</v>
      </c>
      <c r="D4570" s="22" t="e">
        <f>VLOOKUP($A4570, TAB_JUROS_U[[Q_DIAS_U_PARC_TIR]:[V_FUT_U_JURS CENARIO]], D$5, FALSE)</f>
        <v>#N/A</v>
      </c>
      <c r="E4570" s="22" t="e">
        <f>VLOOKUP($A4570,TAB_CORRECAO_U[[Q_DIAS_U_PARC_TIR]:[V_FUT_U_CORC-02]],E$5, FALSE)</f>
        <v>#N/A</v>
      </c>
      <c r="F4570" s="22" t="e">
        <f>VLOOKUP($A4570,TAB_AMORTIZACAO_U[[Q_DIAS_U_PARC_TIR]:[V_FUT_U_PCPL-02]], F$5, FALSE)</f>
        <v>#N/A</v>
      </c>
      <c r="H4570" s="20">
        <f t="shared" si="362"/>
        <v>0</v>
      </c>
      <c r="I4570" s="21">
        <f t="shared" si="363"/>
        <v>0</v>
      </c>
      <c r="J4570" s="22" t="e">
        <f>VLOOKUP($A4570, TAB_JUROS_C[[DIAS_CORRIDOS]:[V_FUT_UTEIS]], J$5, FALSE)</f>
        <v>#N/A</v>
      </c>
      <c r="K4570" s="22" t="e">
        <f>VLOOKUP($A4570, TAB_CORRECAO_C[[DIAS_CORRIDOS]:[V_FUT_UTEIS]],K$5, FALSE)</f>
        <v>#N/A</v>
      </c>
      <c r="L4570" s="22" t="e">
        <f>VLOOKUP($A4570, TAB_AMORTIZACAO_C[[DIAS_CORRIDOS]:[V_FUT_UTEIS]], L$5, FALSE)</f>
        <v>#N/A</v>
      </c>
    </row>
    <row r="4571" spans="1:12" hidden="1">
      <c r="A4571" s="19">
        <f t="shared" si="364"/>
        <v>4565</v>
      </c>
      <c r="B4571" s="20">
        <f t="shared" si="360"/>
        <v>0</v>
      </c>
      <c r="C4571" s="21">
        <f t="shared" si="361"/>
        <v>0</v>
      </c>
      <c r="D4571" s="22" t="e">
        <f>VLOOKUP($A4571, TAB_JUROS_U[[Q_DIAS_U_PARC_TIR]:[V_FUT_U_JURS CENARIO]], D$5, FALSE)</f>
        <v>#N/A</v>
      </c>
      <c r="E4571" s="22" t="e">
        <f>VLOOKUP($A4571,TAB_CORRECAO_U[[Q_DIAS_U_PARC_TIR]:[V_FUT_U_CORC-02]],E$5, FALSE)</f>
        <v>#N/A</v>
      </c>
      <c r="F4571" s="22" t="e">
        <f>VLOOKUP($A4571,TAB_AMORTIZACAO_U[[Q_DIAS_U_PARC_TIR]:[V_FUT_U_PCPL-02]], F$5, FALSE)</f>
        <v>#N/A</v>
      </c>
      <c r="H4571" s="20">
        <f t="shared" si="362"/>
        <v>0</v>
      </c>
      <c r="I4571" s="21">
        <f t="shared" si="363"/>
        <v>0</v>
      </c>
      <c r="J4571" s="22" t="e">
        <f>VLOOKUP($A4571, TAB_JUROS_C[[DIAS_CORRIDOS]:[V_FUT_UTEIS]], J$5, FALSE)</f>
        <v>#N/A</v>
      </c>
      <c r="K4571" s="22" t="e">
        <f>VLOOKUP($A4571, TAB_CORRECAO_C[[DIAS_CORRIDOS]:[V_FUT_UTEIS]],K$5, FALSE)</f>
        <v>#N/A</v>
      </c>
      <c r="L4571" s="22" t="e">
        <f>VLOOKUP($A4571, TAB_AMORTIZACAO_C[[DIAS_CORRIDOS]:[V_FUT_UTEIS]], L$5, FALSE)</f>
        <v>#N/A</v>
      </c>
    </row>
    <row r="4572" spans="1:12" hidden="1">
      <c r="A4572" s="19">
        <f t="shared" si="364"/>
        <v>4566</v>
      </c>
      <c r="B4572" s="20">
        <f t="shared" si="360"/>
        <v>0</v>
      </c>
      <c r="C4572" s="21">
        <f t="shared" si="361"/>
        <v>0</v>
      </c>
      <c r="D4572" s="22" t="e">
        <f>VLOOKUP($A4572, TAB_JUROS_U[[Q_DIAS_U_PARC_TIR]:[V_FUT_U_JURS CENARIO]], D$5, FALSE)</f>
        <v>#N/A</v>
      </c>
      <c r="E4572" s="22" t="e">
        <f>VLOOKUP($A4572,TAB_CORRECAO_U[[Q_DIAS_U_PARC_TIR]:[V_FUT_U_CORC-02]],E$5, FALSE)</f>
        <v>#N/A</v>
      </c>
      <c r="F4572" s="22" t="e">
        <f>VLOOKUP($A4572,TAB_AMORTIZACAO_U[[Q_DIAS_U_PARC_TIR]:[V_FUT_U_PCPL-02]], F$5, FALSE)</f>
        <v>#N/A</v>
      </c>
      <c r="H4572" s="20">
        <f t="shared" si="362"/>
        <v>0</v>
      </c>
      <c r="I4572" s="21">
        <f t="shared" si="363"/>
        <v>0</v>
      </c>
      <c r="J4572" s="22" t="e">
        <f>VLOOKUP($A4572, TAB_JUROS_C[[DIAS_CORRIDOS]:[V_FUT_UTEIS]], J$5, FALSE)</f>
        <v>#N/A</v>
      </c>
      <c r="K4572" s="22" t="e">
        <f>VLOOKUP($A4572, TAB_CORRECAO_C[[DIAS_CORRIDOS]:[V_FUT_UTEIS]],K$5, FALSE)</f>
        <v>#N/A</v>
      </c>
      <c r="L4572" s="22" t="e">
        <f>VLOOKUP($A4572, TAB_AMORTIZACAO_C[[DIAS_CORRIDOS]:[V_FUT_UTEIS]], L$5, FALSE)</f>
        <v>#N/A</v>
      </c>
    </row>
    <row r="4573" spans="1:12" hidden="1">
      <c r="A4573" s="19">
        <f t="shared" si="364"/>
        <v>4567</v>
      </c>
      <c r="B4573" s="20">
        <f t="shared" si="360"/>
        <v>0</v>
      </c>
      <c r="C4573" s="21">
        <f t="shared" si="361"/>
        <v>0</v>
      </c>
      <c r="D4573" s="22" t="e">
        <f>VLOOKUP($A4573, TAB_JUROS_U[[Q_DIAS_U_PARC_TIR]:[V_FUT_U_JURS CENARIO]], D$5, FALSE)</f>
        <v>#N/A</v>
      </c>
      <c r="E4573" s="22" t="e">
        <f>VLOOKUP($A4573,TAB_CORRECAO_U[[Q_DIAS_U_PARC_TIR]:[V_FUT_U_CORC-02]],E$5, FALSE)</f>
        <v>#N/A</v>
      </c>
      <c r="F4573" s="22" t="e">
        <f>VLOOKUP($A4573,TAB_AMORTIZACAO_U[[Q_DIAS_U_PARC_TIR]:[V_FUT_U_PCPL-02]], F$5, FALSE)</f>
        <v>#N/A</v>
      </c>
      <c r="H4573" s="20">
        <f t="shared" si="362"/>
        <v>0</v>
      </c>
      <c r="I4573" s="21">
        <f t="shared" si="363"/>
        <v>0</v>
      </c>
      <c r="J4573" s="22" t="e">
        <f>VLOOKUP($A4573, TAB_JUROS_C[[DIAS_CORRIDOS]:[V_FUT_UTEIS]], J$5, FALSE)</f>
        <v>#N/A</v>
      </c>
      <c r="K4573" s="22" t="e">
        <f>VLOOKUP($A4573, TAB_CORRECAO_C[[DIAS_CORRIDOS]:[V_FUT_UTEIS]],K$5, FALSE)</f>
        <v>#N/A</v>
      </c>
      <c r="L4573" s="22" t="e">
        <f>VLOOKUP($A4573, TAB_AMORTIZACAO_C[[DIAS_CORRIDOS]:[V_FUT_UTEIS]], L$5, FALSE)</f>
        <v>#N/A</v>
      </c>
    </row>
    <row r="4574" spans="1:12" hidden="1">
      <c r="A4574" s="19">
        <f t="shared" si="364"/>
        <v>4568</v>
      </c>
      <c r="B4574" s="20">
        <f t="shared" si="360"/>
        <v>0</v>
      </c>
      <c r="C4574" s="21">
        <f t="shared" si="361"/>
        <v>0</v>
      </c>
      <c r="D4574" s="22" t="e">
        <f>VLOOKUP($A4574, TAB_JUROS_U[[Q_DIAS_U_PARC_TIR]:[V_FUT_U_JURS CENARIO]], D$5, FALSE)</f>
        <v>#N/A</v>
      </c>
      <c r="E4574" s="22" t="e">
        <f>VLOOKUP($A4574,TAB_CORRECAO_U[[Q_DIAS_U_PARC_TIR]:[V_FUT_U_CORC-02]],E$5, FALSE)</f>
        <v>#N/A</v>
      </c>
      <c r="F4574" s="22" t="e">
        <f>VLOOKUP($A4574,TAB_AMORTIZACAO_U[[Q_DIAS_U_PARC_TIR]:[V_FUT_U_PCPL-02]], F$5, FALSE)</f>
        <v>#N/A</v>
      </c>
      <c r="H4574" s="20">
        <f t="shared" si="362"/>
        <v>0</v>
      </c>
      <c r="I4574" s="21">
        <f t="shared" si="363"/>
        <v>0</v>
      </c>
      <c r="J4574" s="22" t="e">
        <f>VLOOKUP($A4574, TAB_JUROS_C[[DIAS_CORRIDOS]:[V_FUT_UTEIS]], J$5, FALSE)</f>
        <v>#N/A</v>
      </c>
      <c r="K4574" s="22" t="e">
        <f>VLOOKUP($A4574, TAB_CORRECAO_C[[DIAS_CORRIDOS]:[V_FUT_UTEIS]],K$5, FALSE)</f>
        <v>#N/A</v>
      </c>
      <c r="L4574" s="22" t="e">
        <f>VLOOKUP($A4574, TAB_AMORTIZACAO_C[[DIAS_CORRIDOS]:[V_FUT_UTEIS]], L$5, FALSE)</f>
        <v>#N/A</v>
      </c>
    </row>
    <row r="4575" spans="1:12" hidden="1">
      <c r="A4575" s="19">
        <f t="shared" si="364"/>
        <v>4569</v>
      </c>
      <c r="B4575" s="20">
        <f t="shared" si="360"/>
        <v>0</v>
      </c>
      <c r="C4575" s="21">
        <f t="shared" si="361"/>
        <v>0</v>
      </c>
      <c r="D4575" s="22" t="e">
        <f>VLOOKUP($A4575, TAB_JUROS_U[[Q_DIAS_U_PARC_TIR]:[V_FUT_U_JURS CENARIO]], D$5, FALSE)</f>
        <v>#N/A</v>
      </c>
      <c r="E4575" s="22" t="e">
        <f>VLOOKUP($A4575,TAB_CORRECAO_U[[Q_DIAS_U_PARC_TIR]:[V_FUT_U_CORC-02]],E$5, FALSE)</f>
        <v>#N/A</v>
      </c>
      <c r="F4575" s="22" t="e">
        <f>VLOOKUP($A4575,TAB_AMORTIZACAO_U[[Q_DIAS_U_PARC_TIR]:[V_FUT_U_PCPL-02]], F$5, FALSE)</f>
        <v>#N/A</v>
      </c>
      <c r="H4575" s="20">
        <f t="shared" si="362"/>
        <v>0</v>
      </c>
      <c r="I4575" s="21">
        <f t="shared" si="363"/>
        <v>0</v>
      </c>
      <c r="J4575" s="22" t="e">
        <f>VLOOKUP($A4575, TAB_JUROS_C[[DIAS_CORRIDOS]:[V_FUT_UTEIS]], J$5, FALSE)</f>
        <v>#N/A</v>
      </c>
      <c r="K4575" s="22" t="e">
        <f>VLOOKUP($A4575, TAB_CORRECAO_C[[DIAS_CORRIDOS]:[V_FUT_UTEIS]],K$5, FALSE)</f>
        <v>#N/A</v>
      </c>
      <c r="L4575" s="22" t="e">
        <f>VLOOKUP($A4575, TAB_AMORTIZACAO_C[[DIAS_CORRIDOS]:[V_FUT_UTEIS]], L$5, FALSE)</f>
        <v>#N/A</v>
      </c>
    </row>
    <row r="4576" spans="1:12" hidden="1">
      <c r="A4576" s="19">
        <f t="shared" si="364"/>
        <v>4570</v>
      </c>
      <c r="B4576" s="20">
        <f t="shared" si="360"/>
        <v>0</v>
      </c>
      <c r="C4576" s="21">
        <f t="shared" si="361"/>
        <v>0</v>
      </c>
      <c r="D4576" s="22" t="e">
        <f>VLOOKUP($A4576, TAB_JUROS_U[[Q_DIAS_U_PARC_TIR]:[V_FUT_U_JURS CENARIO]], D$5, FALSE)</f>
        <v>#N/A</v>
      </c>
      <c r="E4576" s="22" t="e">
        <f>VLOOKUP($A4576,TAB_CORRECAO_U[[Q_DIAS_U_PARC_TIR]:[V_FUT_U_CORC-02]],E$5, FALSE)</f>
        <v>#N/A</v>
      </c>
      <c r="F4576" s="22" t="e">
        <f>VLOOKUP($A4576,TAB_AMORTIZACAO_U[[Q_DIAS_U_PARC_TIR]:[V_FUT_U_PCPL-02]], F$5, FALSE)</f>
        <v>#N/A</v>
      </c>
      <c r="H4576" s="20">
        <f t="shared" si="362"/>
        <v>0</v>
      </c>
      <c r="I4576" s="21">
        <f t="shared" si="363"/>
        <v>0</v>
      </c>
      <c r="J4576" s="22" t="e">
        <f>VLOOKUP($A4576, TAB_JUROS_C[[DIAS_CORRIDOS]:[V_FUT_UTEIS]], J$5, FALSE)</f>
        <v>#N/A</v>
      </c>
      <c r="K4576" s="22" t="e">
        <f>VLOOKUP($A4576, TAB_CORRECAO_C[[DIAS_CORRIDOS]:[V_FUT_UTEIS]],K$5, FALSE)</f>
        <v>#N/A</v>
      </c>
      <c r="L4576" s="22" t="e">
        <f>VLOOKUP($A4576, TAB_AMORTIZACAO_C[[DIAS_CORRIDOS]:[V_FUT_UTEIS]], L$5, FALSE)</f>
        <v>#N/A</v>
      </c>
    </row>
    <row r="4577" spans="1:12" hidden="1">
      <c r="A4577" s="19">
        <f t="shared" si="364"/>
        <v>4571</v>
      </c>
      <c r="B4577" s="20">
        <f t="shared" si="360"/>
        <v>0</v>
      </c>
      <c r="C4577" s="21">
        <f t="shared" si="361"/>
        <v>0</v>
      </c>
      <c r="D4577" s="22" t="e">
        <f>VLOOKUP($A4577, TAB_JUROS_U[[Q_DIAS_U_PARC_TIR]:[V_FUT_U_JURS CENARIO]], D$5, FALSE)</f>
        <v>#N/A</v>
      </c>
      <c r="E4577" s="22" t="e">
        <f>VLOOKUP($A4577,TAB_CORRECAO_U[[Q_DIAS_U_PARC_TIR]:[V_FUT_U_CORC-02]],E$5, FALSE)</f>
        <v>#N/A</v>
      </c>
      <c r="F4577" s="22" t="e">
        <f>VLOOKUP($A4577,TAB_AMORTIZACAO_U[[Q_DIAS_U_PARC_TIR]:[V_FUT_U_PCPL-02]], F$5, FALSE)</f>
        <v>#N/A</v>
      </c>
      <c r="H4577" s="20">
        <f t="shared" si="362"/>
        <v>0</v>
      </c>
      <c r="I4577" s="21">
        <f t="shared" si="363"/>
        <v>0</v>
      </c>
      <c r="J4577" s="22" t="e">
        <f>VLOOKUP($A4577, TAB_JUROS_C[[DIAS_CORRIDOS]:[V_FUT_UTEIS]], J$5, FALSE)</f>
        <v>#N/A</v>
      </c>
      <c r="K4577" s="22" t="e">
        <f>VLOOKUP($A4577, TAB_CORRECAO_C[[DIAS_CORRIDOS]:[V_FUT_UTEIS]],K$5, FALSE)</f>
        <v>#N/A</v>
      </c>
      <c r="L4577" s="22" t="e">
        <f>VLOOKUP($A4577, TAB_AMORTIZACAO_C[[DIAS_CORRIDOS]:[V_FUT_UTEIS]], L$5, FALSE)</f>
        <v>#N/A</v>
      </c>
    </row>
    <row r="4578" spans="1:12" hidden="1">
      <c r="A4578" s="19">
        <f t="shared" si="364"/>
        <v>4572</v>
      </c>
      <c r="B4578" s="20">
        <f t="shared" si="360"/>
        <v>0</v>
      </c>
      <c r="C4578" s="21">
        <f t="shared" si="361"/>
        <v>0</v>
      </c>
      <c r="D4578" s="22" t="e">
        <f>VLOOKUP($A4578, TAB_JUROS_U[[Q_DIAS_U_PARC_TIR]:[V_FUT_U_JURS CENARIO]], D$5, FALSE)</f>
        <v>#N/A</v>
      </c>
      <c r="E4578" s="22" t="e">
        <f>VLOOKUP($A4578,TAB_CORRECAO_U[[Q_DIAS_U_PARC_TIR]:[V_FUT_U_CORC-02]],E$5, FALSE)</f>
        <v>#N/A</v>
      </c>
      <c r="F4578" s="22" t="e">
        <f>VLOOKUP($A4578,TAB_AMORTIZACAO_U[[Q_DIAS_U_PARC_TIR]:[V_FUT_U_PCPL-02]], F$5, FALSE)</f>
        <v>#N/A</v>
      </c>
      <c r="H4578" s="20">
        <f t="shared" si="362"/>
        <v>0</v>
      </c>
      <c r="I4578" s="21">
        <f t="shared" si="363"/>
        <v>0</v>
      </c>
      <c r="J4578" s="22" t="e">
        <f>VLOOKUP($A4578, TAB_JUROS_C[[DIAS_CORRIDOS]:[V_FUT_UTEIS]], J$5, FALSE)</f>
        <v>#N/A</v>
      </c>
      <c r="K4578" s="22" t="e">
        <f>VLOOKUP($A4578, TAB_CORRECAO_C[[DIAS_CORRIDOS]:[V_FUT_UTEIS]],K$5, FALSE)</f>
        <v>#N/A</v>
      </c>
      <c r="L4578" s="22" t="e">
        <f>VLOOKUP($A4578, TAB_AMORTIZACAO_C[[DIAS_CORRIDOS]:[V_FUT_UTEIS]], L$5, FALSE)</f>
        <v>#N/A</v>
      </c>
    </row>
    <row r="4579" spans="1:12" hidden="1">
      <c r="A4579" s="19">
        <f t="shared" si="364"/>
        <v>4573</v>
      </c>
      <c r="B4579" s="20">
        <f t="shared" si="360"/>
        <v>0</v>
      </c>
      <c r="C4579" s="21">
        <f t="shared" si="361"/>
        <v>0</v>
      </c>
      <c r="D4579" s="22" t="e">
        <f>VLOOKUP($A4579, TAB_JUROS_U[[Q_DIAS_U_PARC_TIR]:[V_FUT_U_JURS CENARIO]], D$5, FALSE)</f>
        <v>#N/A</v>
      </c>
      <c r="E4579" s="22" t="e">
        <f>VLOOKUP($A4579,TAB_CORRECAO_U[[Q_DIAS_U_PARC_TIR]:[V_FUT_U_CORC-02]],E$5, FALSE)</f>
        <v>#N/A</v>
      </c>
      <c r="F4579" s="22" t="e">
        <f>VLOOKUP($A4579,TAB_AMORTIZACAO_U[[Q_DIAS_U_PARC_TIR]:[V_FUT_U_PCPL-02]], F$5, FALSE)</f>
        <v>#N/A</v>
      </c>
      <c r="H4579" s="20">
        <f t="shared" si="362"/>
        <v>0</v>
      </c>
      <c r="I4579" s="21">
        <f t="shared" si="363"/>
        <v>0</v>
      </c>
      <c r="J4579" s="22" t="e">
        <f>VLOOKUP($A4579, TAB_JUROS_C[[DIAS_CORRIDOS]:[V_FUT_UTEIS]], J$5, FALSE)</f>
        <v>#N/A</v>
      </c>
      <c r="K4579" s="22" t="e">
        <f>VLOOKUP($A4579, TAB_CORRECAO_C[[DIAS_CORRIDOS]:[V_FUT_UTEIS]],K$5, FALSE)</f>
        <v>#N/A</v>
      </c>
      <c r="L4579" s="22" t="e">
        <f>VLOOKUP($A4579, TAB_AMORTIZACAO_C[[DIAS_CORRIDOS]:[V_FUT_UTEIS]], L$5, FALSE)</f>
        <v>#N/A</v>
      </c>
    </row>
    <row r="4580" spans="1:12" hidden="1">
      <c r="A4580" s="19">
        <f t="shared" si="364"/>
        <v>4574</v>
      </c>
      <c r="B4580" s="20">
        <f t="shared" si="360"/>
        <v>0</v>
      </c>
      <c r="C4580" s="21">
        <f t="shared" si="361"/>
        <v>0</v>
      </c>
      <c r="D4580" s="22" t="e">
        <f>VLOOKUP($A4580, TAB_JUROS_U[[Q_DIAS_U_PARC_TIR]:[V_FUT_U_JURS CENARIO]], D$5, FALSE)</f>
        <v>#N/A</v>
      </c>
      <c r="E4580" s="22" t="e">
        <f>VLOOKUP($A4580,TAB_CORRECAO_U[[Q_DIAS_U_PARC_TIR]:[V_FUT_U_CORC-02]],E$5, FALSE)</f>
        <v>#N/A</v>
      </c>
      <c r="F4580" s="22" t="e">
        <f>VLOOKUP($A4580,TAB_AMORTIZACAO_U[[Q_DIAS_U_PARC_TIR]:[V_FUT_U_PCPL-02]], F$5, FALSE)</f>
        <v>#N/A</v>
      </c>
      <c r="H4580" s="20">
        <f t="shared" si="362"/>
        <v>0</v>
      </c>
      <c r="I4580" s="21">
        <f t="shared" si="363"/>
        <v>0</v>
      </c>
      <c r="J4580" s="22" t="e">
        <f>VLOOKUP($A4580, TAB_JUROS_C[[DIAS_CORRIDOS]:[V_FUT_UTEIS]], J$5, FALSE)</f>
        <v>#N/A</v>
      </c>
      <c r="K4580" s="22" t="e">
        <f>VLOOKUP($A4580, TAB_CORRECAO_C[[DIAS_CORRIDOS]:[V_FUT_UTEIS]],K$5, FALSE)</f>
        <v>#N/A</v>
      </c>
      <c r="L4580" s="22" t="e">
        <f>VLOOKUP($A4580, TAB_AMORTIZACAO_C[[DIAS_CORRIDOS]:[V_FUT_UTEIS]], L$5, FALSE)</f>
        <v>#N/A</v>
      </c>
    </row>
    <row r="4581" spans="1:12" hidden="1">
      <c r="A4581" s="19">
        <f t="shared" si="364"/>
        <v>4575</v>
      </c>
      <c r="B4581" s="20">
        <f t="shared" si="360"/>
        <v>0</v>
      </c>
      <c r="C4581" s="21">
        <f t="shared" si="361"/>
        <v>0</v>
      </c>
      <c r="D4581" s="22" t="e">
        <f>VLOOKUP($A4581, TAB_JUROS_U[[Q_DIAS_U_PARC_TIR]:[V_FUT_U_JURS CENARIO]], D$5, FALSE)</f>
        <v>#N/A</v>
      </c>
      <c r="E4581" s="22" t="e">
        <f>VLOOKUP($A4581,TAB_CORRECAO_U[[Q_DIAS_U_PARC_TIR]:[V_FUT_U_CORC-02]],E$5, FALSE)</f>
        <v>#N/A</v>
      </c>
      <c r="F4581" s="22" t="e">
        <f>VLOOKUP($A4581,TAB_AMORTIZACAO_U[[Q_DIAS_U_PARC_TIR]:[V_FUT_U_PCPL-02]], F$5, FALSE)</f>
        <v>#N/A</v>
      </c>
      <c r="H4581" s="20">
        <f t="shared" si="362"/>
        <v>0</v>
      </c>
      <c r="I4581" s="21">
        <f t="shared" si="363"/>
        <v>0</v>
      </c>
      <c r="J4581" s="22" t="e">
        <f>VLOOKUP($A4581, TAB_JUROS_C[[DIAS_CORRIDOS]:[V_FUT_UTEIS]], J$5, FALSE)</f>
        <v>#N/A</v>
      </c>
      <c r="K4581" s="22" t="e">
        <f>VLOOKUP($A4581, TAB_CORRECAO_C[[DIAS_CORRIDOS]:[V_FUT_UTEIS]],K$5, FALSE)</f>
        <v>#N/A</v>
      </c>
      <c r="L4581" s="22" t="e">
        <f>VLOOKUP($A4581, TAB_AMORTIZACAO_C[[DIAS_CORRIDOS]:[V_FUT_UTEIS]], L$5, FALSE)</f>
        <v>#N/A</v>
      </c>
    </row>
    <row r="4582" spans="1:12" hidden="1">
      <c r="A4582" s="19">
        <f t="shared" si="364"/>
        <v>4576</v>
      </c>
      <c r="B4582" s="20">
        <f t="shared" si="360"/>
        <v>0</v>
      </c>
      <c r="C4582" s="21">
        <f t="shared" si="361"/>
        <v>0</v>
      </c>
      <c r="D4582" s="22" t="e">
        <f>VLOOKUP($A4582, TAB_JUROS_U[[Q_DIAS_U_PARC_TIR]:[V_FUT_U_JURS CENARIO]], D$5, FALSE)</f>
        <v>#N/A</v>
      </c>
      <c r="E4582" s="22" t="e">
        <f>VLOOKUP($A4582,TAB_CORRECAO_U[[Q_DIAS_U_PARC_TIR]:[V_FUT_U_CORC-02]],E$5, FALSE)</f>
        <v>#N/A</v>
      </c>
      <c r="F4582" s="22" t="e">
        <f>VLOOKUP($A4582,TAB_AMORTIZACAO_U[[Q_DIAS_U_PARC_TIR]:[V_FUT_U_PCPL-02]], F$5, FALSE)</f>
        <v>#N/A</v>
      </c>
      <c r="H4582" s="20">
        <f t="shared" si="362"/>
        <v>0</v>
      </c>
      <c r="I4582" s="21">
        <f t="shared" si="363"/>
        <v>0</v>
      </c>
      <c r="J4582" s="22" t="e">
        <f>VLOOKUP($A4582, TAB_JUROS_C[[DIAS_CORRIDOS]:[V_FUT_UTEIS]], J$5, FALSE)</f>
        <v>#N/A</v>
      </c>
      <c r="K4582" s="22" t="e">
        <f>VLOOKUP($A4582, TAB_CORRECAO_C[[DIAS_CORRIDOS]:[V_FUT_UTEIS]],K$5, FALSE)</f>
        <v>#N/A</v>
      </c>
      <c r="L4582" s="22" t="e">
        <f>VLOOKUP($A4582, TAB_AMORTIZACAO_C[[DIAS_CORRIDOS]:[V_FUT_UTEIS]], L$5, FALSE)</f>
        <v>#N/A</v>
      </c>
    </row>
    <row r="4583" spans="1:12" hidden="1">
      <c r="A4583" s="19">
        <f t="shared" si="364"/>
        <v>4577</v>
      </c>
      <c r="B4583" s="20">
        <f t="shared" si="360"/>
        <v>0</v>
      </c>
      <c r="C4583" s="21">
        <f t="shared" si="361"/>
        <v>0</v>
      </c>
      <c r="D4583" s="22" t="e">
        <f>VLOOKUP($A4583, TAB_JUROS_U[[Q_DIAS_U_PARC_TIR]:[V_FUT_U_JURS CENARIO]], D$5, FALSE)</f>
        <v>#N/A</v>
      </c>
      <c r="E4583" s="22" t="e">
        <f>VLOOKUP($A4583,TAB_CORRECAO_U[[Q_DIAS_U_PARC_TIR]:[V_FUT_U_CORC-02]],E$5, FALSE)</f>
        <v>#N/A</v>
      </c>
      <c r="F4583" s="22" t="e">
        <f>VLOOKUP($A4583,TAB_AMORTIZACAO_U[[Q_DIAS_U_PARC_TIR]:[V_FUT_U_PCPL-02]], F$5, FALSE)</f>
        <v>#N/A</v>
      </c>
      <c r="H4583" s="20">
        <f t="shared" si="362"/>
        <v>0</v>
      </c>
      <c r="I4583" s="21">
        <f t="shared" si="363"/>
        <v>0</v>
      </c>
      <c r="J4583" s="22" t="e">
        <f>VLOOKUP($A4583, TAB_JUROS_C[[DIAS_CORRIDOS]:[V_FUT_UTEIS]], J$5, FALSE)</f>
        <v>#N/A</v>
      </c>
      <c r="K4583" s="22" t="e">
        <f>VLOOKUP($A4583, TAB_CORRECAO_C[[DIAS_CORRIDOS]:[V_FUT_UTEIS]],K$5, FALSE)</f>
        <v>#N/A</v>
      </c>
      <c r="L4583" s="22" t="e">
        <f>VLOOKUP($A4583, TAB_AMORTIZACAO_C[[DIAS_CORRIDOS]:[V_FUT_UTEIS]], L$5, FALSE)</f>
        <v>#N/A</v>
      </c>
    </row>
    <row r="4584" spans="1:12" hidden="1">
      <c r="A4584" s="19">
        <f t="shared" si="364"/>
        <v>4578</v>
      </c>
      <c r="B4584" s="20">
        <f t="shared" si="360"/>
        <v>0</v>
      </c>
      <c r="C4584" s="21">
        <f t="shared" si="361"/>
        <v>0</v>
      </c>
      <c r="D4584" s="22" t="e">
        <f>VLOOKUP($A4584, TAB_JUROS_U[[Q_DIAS_U_PARC_TIR]:[V_FUT_U_JURS CENARIO]], D$5, FALSE)</f>
        <v>#N/A</v>
      </c>
      <c r="E4584" s="22" t="e">
        <f>VLOOKUP($A4584,TAB_CORRECAO_U[[Q_DIAS_U_PARC_TIR]:[V_FUT_U_CORC-02]],E$5, FALSE)</f>
        <v>#N/A</v>
      </c>
      <c r="F4584" s="22" t="e">
        <f>VLOOKUP($A4584,TAB_AMORTIZACAO_U[[Q_DIAS_U_PARC_TIR]:[V_FUT_U_PCPL-02]], F$5, FALSE)</f>
        <v>#N/A</v>
      </c>
      <c r="H4584" s="20">
        <f t="shared" si="362"/>
        <v>0</v>
      </c>
      <c r="I4584" s="21">
        <f t="shared" si="363"/>
        <v>0</v>
      </c>
      <c r="J4584" s="22" t="e">
        <f>VLOOKUP($A4584, TAB_JUROS_C[[DIAS_CORRIDOS]:[V_FUT_UTEIS]], J$5, FALSE)</f>
        <v>#N/A</v>
      </c>
      <c r="K4584" s="22" t="e">
        <f>VLOOKUP($A4584, TAB_CORRECAO_C[[DIAS_CORRIDOS]:[V_FUT_UTEIS]],K$5, FALSE)</f>
        <v>#N/A</v>
      </c>
      <c r="L4584" s="22" t="e">
        <f>VLOOKUP($A4584, TAB_AMORTIZACAO_C[[DIAS_CORRIDOS]:[V_FUT_UTEIS]], L$5, FALSE)</f>
        <v>#N/A</v>
      </c>
    </row>
    <row r="4585" spans="1:12" hidden="1">
      <c r="A4585" s="19">
        <f t="shared" si="364"/>
        <v>4579</v>
      </c>
      <c r="B4585" s="20">
        <f t="shared" si="360"/>
        <v>0</v>
      </c>
      <c r="C4585" s="21">
        <f t="shared" si="361"/>
        <v>0</v>
      </c>
      <c r="D4585" s="22" t="e">
        <f>VLOOKUP($A4585, TAB_JUROS_U[[Q_DIAS_U_PARC_TIR]:[V_FUT_U_JURS CENARIO]], D$5, FALSE)</f>
        <v>#N/A</v>
      </c>
      <c r="E4585" s="22" t="e">
        <f>VLOOKUP($A4585,TAB_CORRECAO_U[[Q_DIAS_U_PARC_TIR]:[V_FUT_U_CORC-02]],E$5, FALSE)</f>
        <v>#N/A</v>
      </c>
      <c r="F4585" s="22" t="e">
        <f>VLOOKUP($A4585,TAB_AMORTIZACAO_U[[Q_DIAS_U_PARC_TIR]:[V_FUT_U_PCPL-02]], F$5, FALSE)</f>
        <v>#N/A</v>
      </c>
      <c r="H4585" s="20">
        <f t="shared" si="362"/>
        <v>0</v>
      </c>
      <c r="I4585" s="21">
        <f t="shared" si="363"/>
        <v>0</v>
      </c>
      <c r="J4585" s="22" t="e">
        <f>VLOOKUP($A4585, TAB_JUROS_C[[DIAS_CORRIDOS]:[V_FUT_UTEIS]], J$5, FALSE)</f>
        <v>#N/A</v>
      </c>
      <c r="K4585" s="22" t="e">
        <f>VLOOKUP($A4585, TAB_CORRECAO_C[[DIAS_CORRIDOS]:[V_FUT_UTEIS]],K$5, FALSE)</f>
        <v>#N/A</v>
      </c>
      <c r="L4585" s="22" t="e">
        <f>VLOOKUP($A4585, TAB_AMORTIZACAO_C[[DIAS_CORRIDOS]:[V_FUT_UTEIS]], L$5, FALSE)</f>
        <v>#N/A</v>
      </c>
    </row>
    <row r="4586" spans="1:12" hidden="1">
      <c r="A4586" s="19">
        <f t="shared" si="364"/>
        <v>4580</v>
      </c>
      <c r="B4586" s="20">
        <f t="shared" si="360"/>
        <v>0</v>
      </c>
      <c r="C4586" s="21">
        <f t="shared" si="361"/>
        <v>0</v>
      </c>
      <c r="D4586" s="22" t="e">
        <f>VLOOKUP($A4586, TAB_JUROS_U[[Q_DIAS_U_PARC_TIR]:[V_FUT_U_JURS CENARIO]], D$5, FALSE)</f>
        <v>#N/A</v>
      </c>
      <c r="E4586" s="22" t="e">
        <f>VLOOKUP($A4586,TAB_CORRECAO_U[[Q_DIAS_U_PARC_TIR]:[V_FUT_U_CORC-02]],E$5, FALSE)</f>
        <v>#N/A</v>
      </c>
      <c r="F4586" s="22" t="e">
        <f>VLOOKUP($A4586,TAB_AMORTIZACAO_U[[Q_DIAS_U_PARC_TIR]:[V_FUT_U_PCPL-02]], F$5, FALSE)</f>
        <v>#N/A</v>
      </c>
      <c r="H4586" s="20">
        <f t="shared" si="362"/>
        <v>0</v>
      </c>
      <c r="I4586" s="21">
        <f t="shared" si="363"/>
        <v>0</v>
      </c>
      <c r="J4586" s="22" t="e">
        <f>VLOOKUP($A4586, TAB_JUROS_C[[DIAS_CORRIDOS]:[V_FUT_UTEIS]], J$5, FALSE)</f>
        <v>#N/A</v>
      </c>
      <c r="K4586" s="22" t="e">
        <f>VLOOKUP($A4586, TAB_CORRECAO_C[[DIAS_CORRIDOS]:[V_FUT_UTEIS]],K$5, FALSE)</f>
        <v>#N/A</v>
      </c>
      <c r="L4586" s="22" t="e">
        <f>VLOOKUP($A4586, TAB_AMORTIZACAO_C[[DIAS_CORRIDOS]:[V_FUT_UTEIS]], L$5, FALSE)</f>
        <v>#N/A</v>
      </c>
    </row>
    <row r="4587" spans="1:12" hidden="1">
      <c r="A4587" s="19">
        <f t="shared" si="364"/>
        <v>4581</v>
      </c>
      <c r="B4587" s="20">
        <f t="shared" si="360"/>
        <v>0</v>
      </c>
      <c r="C4587" s="21">
        <f t="shared" si="361"/>
        <v>0</v>
      </c>
      <c r="D4587" s="22" t="e">
        <f>VLOOKUP($A4587, TAB_JUROS_U[[Q_DIAS_U_PARC_TIR]:[V_FUT_U_JURS CENARIO]], D$5, FALSE)</f>
        <v>#N/A</v>
      </c>
      <c r="E4587" s="22" t="e">
        <f>VLOOKUP($A4587,TAB_CORRECAO_U[[Q_DIAS_U_PARC_TIR]:[V_FUT_U_CORC-02]],E$5, FALSE)</f>
        <v>#N/A</v>
      </c>
      <c r="F4587" s="22" t="e">
        <f>VLOOKUP($A4587,TAB_AMORTIZACAO_U[[Q_DIAS_U_PARC_TIR]:[V_FUT_U_PCPL-02]], F$5, FALSE)</f>
        <v>#N/A</v>
      </c>
      <c r="H4587" s="20">
        <f t="shared" si="362"/>
        <v>0</v>
      </c>
      <c r="I4587" s="21">
        <f t="shared" si="363"/>
        <v>0</v>
      </c>
      <c r="J4587" s="22" t="e">
        <f>VLOOKUP($A4587, TAB_JUROS_C[[DIAS_CORRIDOS]:[V_FUT_UTEIS]], J$5, FALSE)</f>
        <v>#N/A</v>
      </c>
      <c r="K4587" s="22" t="e">
        <f>VLOOKUP($A4587, TAB_CORRECAO_C[[DIAS_CORRIDOS]:[V_FUT_UTEIS]],K$5, FALSE)</f>
        <v>#N/A</v>
      </c>
      <c r="L4587" s="22" t="e">
        <f>VLOOKUP($A4587, TAB_AMORTIZACAO_C[[DIAS_CORRIDOS]:[V_FUT_UTEIS]], L$5, FALSE)</f>
        <v>#N/A</v>
      </c>
    </row>
    <row r="4588" spans="1:12" hidden="1">
      <c r="A4588" s="19">
        <f t="shared" si="364"/>
        <v>4582</v>
      </c>
      <c r="B4588" s="20">
        <f t="shared" si="360"/>
        <v>0</v>
      </c>
      <c r="C4588" s="21">
        <f t="shared" si="361"/>
        <v>0</v>
      </c>
      <c r="D4588" s="22" t="e">
        <f>VLOOKUP($A4588, TAB_JUROS_U[[Q_DIAS_U_PARC_TIR]:[V_FUT_U_JURS CENARIO]], D$5, FALSE)</f>
        <v>#N/A</v>
      </c>
      <c r="E4588" s="22" t="e">
        <f>VLOOKUP($A4588,TAB_CORRECAO_U[[Q_DIAS_U_PARC_TIR]:[V_FUT_U_CORC-02]],E$5, FALSE)</f>
        <v>#N/A</v>
      </c>
      <c r="F4588" s="22" t="e">
        <f>VLOOKUP($A4588,TAB_AMORTIZACAO_U[[Q_DIAS_U_PARC_TIR]:[V_FUT_U_PCPL-02]], F$5, FALSE)</f>
        <v>#N/A</v>
      </c>
      <c r="H4588" s="20">
        <f t="shared" si="362"/>
        <v>0</v>
      </c>
      <c r="I4588" s="21">
        <f t="shared" si="363"/>
        <v>0</v>
      </c>
      <c r="J4588" s="22" t="e">
        <f>VLOOKUP($A4588, TAB_JUROS_C[[DIAS_CORRIDOS]:[V_FUT_UTEIS]], J$5, FALSE)</f>
        <v>#N/A</v>
      </c>
      <c r="K4588" s="22" t="e">
        <f>VLOOKUP($A4588, TAB_CORRECAO_C[[DIAS_CORRIDOS]:[V_FUT_UTEIS]],K$5, FALSE)</f>
        <v>#N/A</v>
      </c>
      <c r="L4588" s="22" t="e">
        <f>VLOOKUP($A4588, TAB_AMORTIZACAO_C[[DIAS_CORRIDOS]:[V_FUT_UTEIS]], L$5, FALSE)</f>
        <v>#N/A</v>
      </c>
    </row>
    <row r="4589" spans="1:12" hidden="1">
      <c r="A4589" s="19">
        <f t="shared" si="364"/>
        <v>4583</v>
      </c>
      <c r="B4589" s="20">
        <f t="shared" si="360"/>
        <v>0</v>
      </c>
      <c r="C4589" s="21">
        <f t="shared" si="361"/>
        <v>0</v>
      </c>
      <c r="D4589" s="22" t="e">
        <f>VLOOKUP($A4589, TAB_JUROS_U[[Q_DIAS_U_PARC_TIR]:[V_FUT_U_JURS CENARIO]], D$5, FALSE)</f>
        <v>#N/A</v>
      </c>
      <c r="E4589" s="22" t="e">
        <f>VLOOKUP($A4589,TAB_CORRECAO_U[[Q_DIAS_U_PARC_TIR]:[V_FUT_U_CORC-02]],E$5, FALSE)</f>
        <v>#N/A</v>
      </c>
      <c r="F4589" s="22" t="e">
        <f>VLOOKUP($A4589,TAB_AMORTIZACAO_U[[Q_DIAS_U_PARC_TIR]:[V_FUT_U_PCPL-02]], F$5, FALSE)</f>
        <v>#N/A</v>
      </c>
      <c r="H4589" s="20">
        <f t="shared" si="362"/>
        <v>0</v>
      </c>
      <c r="I4589" s="21">
        <f t="shared" si="363"/>
        <v>0</v>
      </c>
      <c r="J4589" s="22" t="e">
        <f>VLOOKUP($A4589, TAB_JUROS_C[[DIAS_CORRIDOS]:[V_FUT_UTEIS]], J$5, FALSE)</f>
        <v>#N/A</v>
      </c>
      <c r="K4589" s="22" t="e">
        <f>VLOOKUP($A4589, TAB_CORRECAO_C[[DIAS_CORRIDOS]:[V_FUT_UTEIS]],K$5, FALSE)</f>
        <v>#N/A</v>
      </c>
      <c r="L4589" s="22" t="e">
        <f>VLOOKUP($A4589, TAB_AMORTIZACAO_C[[DIAS_CORRIDOS]:[V_FUT_UTEIS]], L$5, FALSE)</f>
        <v>#N/A</v>
      </c>
    </row>
    <row r="4590" spans="1:12" hidden="1">
      <c r="A4590" s="19">
        <f t="shared" si="364"/>
        <v>4584</v>
      </c>
      <c r="B4590" s="20">
        <f t="shared" si="360"/>
        <v>0</v>
      </c>
      <c r="C4590" s="21">
        <f t="shared" si="361"/>
        <v>0</v>
      </c>
      <c r="D4590" s="22" t="e">
        <f>VLOOKUP($A4590, TAB_JUROS_U[[Q_DIAS_U_PARC_TIR]:[V_FUT_U_JURS CENARIO]], D$5, FALSE)</f>
        <v>#N/A</v>
      </c>
      <c r="E4590" s="22" t="e">
        <f>VLOOKUP($A4590,TAB_CORRECAO_U[[Q_DIAS_U_PARC_TIR]:[V_FUT_U_CORC-02]],E$5, FALSE)</f>
        <v>#N/A</v>
      </c>
      <c r="F4590" s="22" t="e">
        <f>VLOOKUP($A4590,TAB_AMORTIZACAO_U[[Q_DIAS_U_PARC_TIR]:[V_FUT_U_PCPL-02]], F$5, FALSE)</f>
        <v>#N/A</v>
      </c>
      <c r="H4590" s="20">
        <f t="shared" si="362"/>
        <v>0</v>
      </c>
      <c r="I4590" s="21">
        <f t="shared" si="363"/>
        <v>0</v>
      </c>
      <c r="J4590" s="22" t="e">
        <f>VLOOKUP($A4590, TAB_JUROS_C[[DIAS_CORRIDOS]:[V_FUT_UTEIS]], J$5, FALSE)</f>
        <v>#N/A</v>
      </c>
      <c r="K4590" s="22" t="e">
        <f>VLOOKUP($A4590, TAB_CORRECAO_C[[DIAS_CORRIDOS]:[V_FUT_UTEIS]],K$5, FALSE)</f>
        <v>#N/A</v>
      </c>
      <c r="L4590" s="22" t="e">
        <f>VLOOKUP($A4590, TAB_AMORTIZACAO_C[[DIAS_CORRIDOS]:[V_FUT_UTEIS]], L$5, FALSE)</f>
        <v>#N/A</v>
      </c>
    </row>
    <row r="4591" spans="1:12" hidden="1">
      <c r="A4591" s="19">
        <f t="shared" si="364"/>
        <v>4585</v>
      </c>
      <c r="B4591" s="20">
        <f t="shared" si="360"/>
        <v>0</v>
      </c>
      <c r="C4591" s="21">
        <f t="shared" si="361"/>
        <v>0</v>
      </c>
      <c r="D4591" s="22" t="e">
        <f>VLOOKUP($A4591, TAB_JUROS_U[[Q_DIAS_U_PARC_TIR]:[V_FUT_U_JURS CENARIO]], D$5, FALSE)</f>
        <v>#N/A</v>
      </c>
      <c r="E4591" s="22" t="e">
        <f>VLOOKUP($A4591,TAB_CORRECAO_U[[Q_DIAS_U_PARC_TIR]:[V_FUT_U_CORC-02]],E$5, FALSE)</f>
        <v>#N/A</v>
      </c>
      <c r="F4591" s="22" t="e">
        <f>VLOOKUP($A4591,TAB_AMORTIZACAO_U[[Q_DIAS_U_PARC_TIR]:[V_FUT_U_PCPL-02]], F$5, FALSE)</f>
        <v>#N/A</v>
      </c>
      <c r="H4591" s="20">
        <f t="shared" si="362"/>
        <v>0</v>
      </c>
      <c r="I4591" s="21">
        <f t="shared" si="363"/>
        <v>0</v>
      </c>
      <c r="J4591" s="22" t="e">
        <f>VLOOKUP($A4591, TAB_JUROS_C[[DIAS_CORRIDOS]:[V_FUT_UTEIS]], J$5, FALSE)</f>
        <v>#N/A</v>
      </c>
      <c r="K4591" s="22" t="e">
        <f>VLOOKUP($A4591, TAB_CORRECAO_C[[DIAS_CORRIDOS]:[V_FUT_UTEIS]],K$5, FALSE)</f>
        <v>#N/A</v>
      </c>
      <c r="L4591" s="22" t="e">
        <f>VLOOKUP($A4591, TAB_AMORTIZACAO_C[[DIAS_CORRIDOS]:[V_FUT_UTEIS]], L$5, FALSE)</f>
        <v>#N/A</v>
      </c>
    </row>
    <row r="4592" spans="1:12" hidden="1">
      <c r="A4592" s="19">
        <f t="shared" si="364"/>
        <v>4586</v>
      </c>
      <c r="B4592" s="20">
        <f t="shared" si="360"/>
        <v>0</v>
      </c>
      <c r="C4592" s="21">
        <f t="shared" si="361"/>
        <v>0</v>
      </c>
      <c r="D4592" s="22" t="e">
        <f>VLOOKUP($A4592, TAB_JUROS_U[[Q_DIAS_U_PARC_TIR]:[V_FUT_U_JURS CENARIO]], D$5, FALSE)</f>
        <v>#N/A</v>
      </c>
      <c r="E4592" s="22" t="e">
        <f>VLOOKUP($A4592,TAB_CORRECAO_U[[Q_DIAS_U_PARC_TIR]:[V_FUT_U_CORC-02]],E$5, FALSE)</f>
        <v>#N/A</v>
      </c>
      <c r="F4592" s="22" t="e">
        <f>VLOOKUP($A4592,TAB_AMORTIZACAO_U[[Q_DIAS_U_PARC_TIR]:[V_FUT_U_PCPL-02]], F$5, FALSE)</f>
        <v>#N/A</v>
      </c>
      <c r="H4592" s="20">
        <f t="shared" si="362"/>
        <v>0</v>
      </c>
      <c r="I4592" s="21">
        <f t="shared" si="363"/>
        <v>0</v>
      </c>
      <c r="J4592" s="22" t="e">
        <f>VLOOKUP($A4592, TAB_JUROS_C[[DIAS_CORRIDOS]:[V_FUT_UTEIS]], J$5, FALSE)</f>
        <v>#N/A</v>
      </c>
      <c r="K4592" s="22" t="e">
        <f>VLOOKUP($A4592, TAB_CORRECAO_C[[DIAS_CORRIDOS]:[V_FUT_UTEIS]],K$5, FALSE)</f>
        <v>#N/A</v>
      </c>
      <c r="L4592" s="22" t="e">
        <f>VLOOKUP($A4592, TAB_AMORTIZACAO_C[[DIAS_CORRIDOS]:[V_FUT_UTEIS]], L$5, FALSE)</f>
        <v>#N/A</v>
      </c>
    </row>
    <row r="4593" spans="1:12" hidden="1">
      <c r="A4593" s="19">
        <f t="shared" si="364"/>
        <v>4587</v>
      </c>
      <c r="B4593" s="20">
        <f t="shared" si="360"/>
        <v>0</v>
      </c>
      <c r="C4593" s="21">
        <f t="shared" si="361"/>
        <v>0</v>
      </c>
      <c r="D4593" s="22" t="e">
        <f>VLOOKUP($A4593, TAB_JUROS_U[[Q_DIAS_U_PARC_TIR]:[V_FUT_U_JURS CENARIO]], D$5, FALSE)</f>
        <v>#N/A</v>
      </c>
      <c r="E4593" s="22" t="e">
        <f>VLOOKUP($A4593,TAB_CORRECAO_U[[Q_DIAS_U_PARC_TIR]:[V_FUT_U_CORC-02]],E$5, FALSE)</f>
        <v>#N/A</v>
      </c>
      <c r="F4593" s="22" t="e">
        <f>VLOOKUP($A4593,TAB_AMORTIZACAO_U[[Q_DIAS_U_PARC_TIR]:[V_FUT_U_PCPL-02]], F$5, FALSE)</f>
        <v>#N/A</v>
      </c>
      <c r="H4593" s="20">
        <f t="shared" si="362"/>
        <v>0</v>
      </c>
      <c r="I4593" s="21">
        <f t="shared" si="363"/>
        <v>0</v>
      </c>
      <c r="J4593" s="22" t="e">
        <f>VLOOKUP($A4593, TAB_JUROS_C[[DIAS_CORRIDOS]:[V_FUT_UTEIS]], J$5, FALSE)</f>
        <v>#N/A</v>
      </c>
      <c r="K4593" s="22" t="e">
        <f>VLOOKUP($A4593, TAB_CORRECAO_C[[DIAS_CORRIDOS]:[V_FUT_UTEIS]],K$5, FALSE)</f>
        <v>#N/A</v>
      </c>
      <c r="L4593" s="22" t="e">
        <f>VLOOKUP($A4593, TAB_AMORTIZACAO_C[[DIAS_CORRIDOS]:[V_FUT_UTEIS]], L$5, FALSE)</f>
        <v>#N/A</v>
      </c>
    </row>
    <row r="4594" spans="1:12" hidden="1">
      <c r="A4594" s="19">
        <f t="shared" si="364"/>
        <v>4588</v>
      </c>
      <c r="B4594" s="20">
        <f t="shared" si="360"/>
        <v>0</v>
      </c>
      <c r="C4594" s="21">
        <f t="shared" si="361"/>
        <v>0</v>
      </c>
      <c r="D4594" s="22" t="e">
        <f>VLOOKUP($A4594, TAB_JUROS_U[[Q_DIAS_U_PARC_TIR]:[V_FUT_U_JURS CENARIO]], D$5, FALSE)</f>
        <v>#N/A</v>
      </c>
      <c r="E4594" s="22" t="e">
        <f>VLOOKUP($A4594,TAB_CORRECAO_U[[Q_DIAS_U_PARC_TIR]:[V_FUT_U_CORC-02]],E$5, FALSE)</f>
        <v>#N/A</v>
      </c>
      <c r="F4594" s="22" t="e">
        <f>VLOOKUP($A4594,TAB_AMORTIZACAO_U[[Q_DIAS_U_PARC_TIR]:[V_FUT_U_PCPL-02]], F$5, FALSE)</f>
        <v>#N/A</v>
      </c>
      <c r="H4594" s="20">
        <f t="shared" si="362"/>
        <v>0</v>
      </c>
      <c r="I4594" s="21">
        <f t="shared" si="363"/>
        <v>0</v>
      </c>
      <c r="J4594" s="22" t="e">
        <f>VLOOKUP($A4594, TAB_JUROS_C[[DIAS_CORRIDOS]:[V_FUT_UTEIS]], J$5, FALSE)</f>
        <v>#N/A</v>
      </c>
      <c r="K4594" s="22" t="e">
        <f>VLOOKUP($A4594, TAB_CORRECAO_C[[DIAS_CORRIDOS]:[V_FUT_UTEIS]],K$5, FALSE)</f>
        <v>#N/A</v>
      </c>
      <c r="L4594" s="22" t="e">
        <f>VLOOKUP($A4594, TAB_AMORTIZACAO_C[[DIAS_CORRIDOS]:[V_FUT_UTEIS]], L$5, FALSE)</f>
        <v>#N/A</v>
      </c>
    </row>
    <row r="4595" spans="1:12" hidden="1">
      <c r="A4595" s="19">
        <f t="shared" si="364"/>
        <v>4589</v>
      </c>
      <c r="B4595" s="20">
        <f t="shared" si="360"/>
        <v>0</v>
      </c>
      <c r="C4595" s="21">
        <f t="shared" si="361"/>
        <v>0</v>
      </c>
      <c r="D4595" s="22" t="e">
        <f>VLOOKUP($A4595, TAB_JUROS_U[[Q_DIAS_U_PARC_TIR]:[V_FUT_U_JURS CENARIO]], D$5, FALSE)</f>
        <v>#N/A</v>
      </c>
      <c r="E4595" s="22" t="e">
        <f>VLOOKUP($A4595,TAB_CORRECAO_U[[Q_DIAS_U_PARC_TIR]:[V_FUT_U_CORC-02]],E$5, FALSE)</f>
        <v>#N/A</v>
      </c>
      <c r="F4595" s="22" t="e">
        <f>VLOOKUP($A4595,TAB_AMORTIZACAO_U[[Q_DIAS_U_PARC_TIR]:[V_FUT_U_PCPL-02]], F$5, FALSE)</f>
        <v>#N/A</v>
      </c>
      <c r="H4595" s="20">
        <f t="shared" si="362"/>
        <v>0</v>
      </c>
      <c r="I4595" s="21">
        <f t="shared" si="363"/>
        <v>0</v>
      </c>
      <c r="J4595" s="22" t="e">
        <f>VLOOKUP($A4595, TAB_JUROS_C[[DIAS_CORRIDOS]:[V_FUT_UTEIS]], J$5, FALSE)</f>
        <v>#N/A</v>
      </c>
      <c r="K4595" s="22" t="e">
        <f>VLOOKUP($A4595, TAB_CORRECAO_C[[DIAS_CORRIDOS]:[V_FUT_UTEIS]],K$5, FALSE)</f>
        <v>#N/A</v>
      </c>
      <c r="L4595" s="22" t="e">
        <f>VLOOKUP($A4595, TAB_AMORTIZACAO_C[[DIAS_CORRIDOS]:[V_FUT_UTEIS]], L$5, FALSE)</f>
        <v>#N/A</v>
      </c>
    </row>
    <row r="4596" spans="1:12" hidden="1">
      <c r="A4596" s="19">
        <f t="shared" si="364"/>
        <v>4590</v>
      </c>
      <c r="B4596" s="20">
        <f t="shared" si="360"/>
        <v>0</v>
      </c>
      <c r="C4596" s="21">
        <f t="shared" si="361"/>
        <v>0</v>
      </c>
      <c r="D4596" s="22" t="e">
        <f>VLOOKUP($A4596, TAB_JUROS_U[[Q_DIAS_U_PARC_TIR]:[V_FUT_U_JURS CENARIO]], D$5, FALSE)</f>
        <v>#N/A</v>
      </c>
      <c r="E4596" s="22" t="e">
        <f>VLOOKUP($A4596,TAB_CORRECAO_U[[Q_DIAS_U_PARC_TIR]:[V_FUT_U_CORC-02]],E$5, FALSE)</f>
        <v>#N/A</v>
      </c>
      <c r="F4596" s="22" t="e">
        <f>VLOOKUP($A4596,TAB_AMORTIZACAO_U[[Q_DIAS_U_PARC_TIR]:[V_FUT_U_PCPL-02]], F$5, FALSE)</f>
        <v>#N/A</v>
      </c>
      <c r="H4596" s="20">
        <f t="shared" si="362"/>
        <v>0</v>
      </c>
      <c r="I4596" s="21">
        <f t="shared" si="363"/>
        <v>0</v>
      </c>
      <c r="J4596" s="22" t="e">
        <f>VLOOKUP($A4596, TAB_JUROS_C[[DIAS_CORRIDOS]:[V_FUT_UTEIS]], J$5, FALSE)</f>
        <v>#N/A</v>
      </c>
      <c r="K4596" s="22" t="e">
        <f>VLOOKUP($A4596, TAB_CORRECAO_C[[DIAS_CORRIDOS]:[V_FUT_UTEIS]],K$5, FALSE)</f>
        <v>#N/A</v>
      </c>
      <c r="L4596" s="22" t="e">
        <f>VLOOKUP($A4596, TAB_AMORTIZACAO_C[[DIAS_CORRIDOS]:[V_FUT_UTEIS]], L$5, FALSE)</f>
        <v>#N/A</v>
      </c>
    </row>
    <row r="4597" spans="1:12" hidden="1">
      <c r="A4597" s="19">
        <f t="shared" si="364"/>
        <v>4591</v>
      </c>
      <c r="B4597" s="20">
        <f t="shared" si="360"/>
        <v>0</v>
      </c>
      <c r="C4597" s="21">
        <f t="shared" si="361"/>
        <v>0</v>
      </c>
      <c r="D4597" s="22" t="e">
        <f>VLOOKUP($A4597, TAB_JUROS_U[[Q_DIAS_U_PARC_TIR]:[V_FUT_U_JURS CENARIO]], D$5, FALSE)</f>
        <v>#N/A</v>
      </c>
      <c r="E4597" s="22" t="e">
        <f>VLOOKUP($A4597,TAB_CORRECAO_U[[Q_DIAS_U_PARC_TIR]:[V_FUT_U_CORC-02]],E$5, FALSE)</f>
        <v>#N/A</v>
      </c>
      <c r="F4597" s="22" t="e">
        <f>VLOOKUP($A4597,TAB_AMORTIZACAO_U[[Q_DIAS_U_PARC_TIR]:[V_FUT_U_PCPL-02]], F$5, FALSE)</f>
        <v>#N/A</v>
      </c>
      <c r="H4597" s="20">
        <f t="shared" si="362"/>
        <v>0</v>
      </c>
      <c r="I4597" s="21">
        <f t="shared" si="363"/>
        <v>0</v>
      </c>
      <c r="J4597" s="22" t="e">
        <f>VLOOKUP($A4597, TAB_JUROS_C[[DIAS_CORRIDOS]:[V_FUT_UTEIS]], J$5, FALSE)</f>
        <v>#N/A</v>
      </c>
      <c r="K4597" s="22" t="e">
        <f>VLOOKUP($A4597, TAB_CORRECAO_C[[DIAS_CORRIDOS]:[V_FUT_UTEIS]],K$5, FALSE)</f>
        <v>#N/A</v>
      </c>
      <c r="L4597" s="22" t="e">
        <f>VLOOKUP($A4597, TAB_AMORTIZACAO_C[[DIAS_CORRIDOS]:[V_FUT_UTEIS]], L$5, FALSE)</f>
        <v>#N/A</v>
      </c>
    </row>
    <row r="4598" spans="1:12" hidden="1">
      <c r="A4598" s="19">
        <f t="shared" si="364"/>
        <v>4592</v>
      </c>
      <c r="B4598" s="20">
        <f t="shared" si="360"/>
        <v>0</v>
      </c>
      <c r="C4598" s="21">
        <f t="shared" si="361"/>
        <v>0</v>
      </c>
      <c r="D4598" s="22" t="e">
        <f>VLOOKUP($A4598, TAB_JUROS_U[[Q_DIAS_U_PARC_TIR]:[V_FUT_U_JURS CENARIO]], D$5, FALSE)</f>
        <v>#N/A</v>
      </c>
      <c r="E4598" s="22" t="e">
        <f>VLOOKUP($A4598,TAB_CORRECAO_U[[Q_DIAS_U_PARC_TIR]:[V_FUT_U_CORC-02]],E$5, FALSE)</f>
        <v>#N/A</v>
      </c>
      <c r="F4598" s="22" t="e">
        <f>VLOOKUP($A4598,TAB_AMORTIZACAO_U[[Q_DIAS_U_PARC_TIR]:[V_FUT_U_PCPL-02]], F$5, FALSE)</f>
        <v>#N/A</v>
      </c>
      <c r="H4598" s="20">
        <f t="shared" si="362"/>
        <v>0</v>
      </c>
      <c r="I4598" s="21">
        <f t="shared" si="363"/>
        <v>0</v>
      </c>
      <c r="J4598" s="22" t="e">
        <f>VLOOKUP($A4598, TAB_JUROS_C[[DIAS_CORRIDOS]:[V_FUT_UTEIS]], J$5, FALSE)</f>
        <v>#N/A</v>
      </c>
      <c r="K4598" s="22" t="e">
        <f>VLOOKUP($A4598, TAB_CORRECAO_C[[DIAS_CORRIDOS]:[V_FUT_UTEIS]],K$5, FALSE)</f>
        <v>#N/A</v>
      </c>
      <c r="L4598" s="22" t="e">
        <f>VLOOKUP($A4598, TAB_AMORTIZACAO_C[[DIAS_CORRIDOS]:[V_FUT_UTEIS]], L$5, FALSE)</f>
        <v>#N/A</v>
      </c>
    </row>
    <row r="4599" spans="1:12" hidden="1">
      <c r="A4599" s="19">
        <f t="shared" si="364"/>
        <v>4593</v>
      </c>
      <c r="B4599" s="20">
        <f t="shared" si="360"/>
        <v>0</v>
      </c>
      <c r="C4599" s="21">
        <f t="shared" si="361"/>
        <v>0</v>
      </c>
      <c r="D4599" s="22" t="e">
        <f>VLOOKUP($A4599, TAB_JUROS_U[[Q_DIAS_U_PARC_TIR]:[V_FUT_U_JURS CENARIO]], D$5, FALSE)</f>
        <v>#N/A</v>
      </c>
      <c r="E4599" s="22" t="e">
        <f>VLOOKUP($A4599,TAB_CORRECAO_U[[Q_DIAS_U_PARC_TIR]:[V_FUT_U_CORC-02]],E$5, FALSE)</f>
        <v>#N/A</v>
      </c>
      <c r="F4599" s="22" t="e">
        <f>VLOOKUP($A4599,TAB_AMORTIZACAO_U[[Q_DIAS_U_PARC_TIR]:[V_FUT_U_PCPL-02]], F$5, FALSE)</f>
        <v>#N/A</v>
      </c>
      <c r="H4599" s="20">
        <f t="shared" si="362"/>
        <v>0</v>
      </c>
      <c r="I4599" s="21">
        <f t="shared" si="363"/>
        <v>0</v>
      </c>
      <c r="J4599" s="22" t="e">
        <f>VLOOKUP($A4599, TAB_JUROS_C[[DIAS_CORRIDOS]:[V_FUT_UTEIS]], J$5, FALSE)</f>
        <v>#N/A</v>
      </c>
      <c r="K4599" s="22" t="e">
        <f>VLOOKUP($A4599, TAB_CORRECAO_C[[DIAS_CORRIDOS]:[V_FUT_UTEIS]],K$5, FALSE)</f>
        <v>#N/A</v>
      </c>
      <c r="L4599" s="22" t="e">
        <f>VLOOKUP($A4599, TAB_AMORTIZACAO_C[[DIAS_CORRIDOS]:[V_FUT_UTEIS]], L$5, FALSE)</f>
        <v>#N/A</v>
      </c>
    </row>
    <row r="4600" spans="1:12" hidden="1">
      <c r="A4600" s="19">
        <f t="shared" si="364"/>
        <v>4594</v>
      </c>
      <c r="B4600" s="20">
        <f t="shared" si="360"/>
        <v>0</v>
      </c>
      <c r="C4600" s="21">
        <f t="shared" si="361"/>
        <v>0</v>
      </c>
      <c r="D4600" s="22" t="e">
        <f>VLOOKUP($A4600, TAB_JUROS_U[[Q_DIAS_U_PARC_TIR]:[V_FUT_U_JURS CENARIO]], D$5, FALSE)</f>
        <v>#N/A</v>
      </c>
      <c r="E4600" s="22" t="e">
        <f>VLOOKUP($A4600,TAB_CORRECAO_U[[Q_DIAS_U_PARC_TIR]:[V_FUT_U_CORC-02]],E$5, FALSE)</f>
        <v>#N/A</v>
      </c>
      <c r="F4600" s="22" t="e">
        <f>VLOOKUP($A4600,TAB_AMORTIZACAO_U[[Q_DIAS_U_PARC_TIR]:[V_FUT_U_PCPL-02]], F$5, FALSE)</f>
        <v>#N/A</v>
      </c>
      <c r="H4600" s="20">
        <f t="shared" si="362"/>
        <v>0</v>
      </c>
      <c r="I4600" s="21">
        <f t="shared" si="363"/>
        <v>0</v>
      </c>
      <c r="J4600" s="22" t="e">
        <f>VLOOKUP($A4600, TAB_JUROS_C[[DIAS_CORRIDOS]:[V_FUT_UTEIS]], J$5, FALSE)</f>
        <v>#N/A</v>
      </c>
      <c r="K4600" s="22" t="e">
        <f>VLOOKUP($A4600, TAB_CORRECAO_C[[DIAS_CORRIDOS]:[V_FUT_UTEIS]],K$5, FALSE)</f>
        <v>#N/A</v>
      </c>
      <c r="L4600" s="22" t="e">
        <f>VLOOKUP($A4600, TAB_AMORTIZACAO_C[[DIAS_CORRIDOS]:[V_FUT_UTEIS]], L$5, FALSE)</f>
        <v>#N/A</v>
      </c>
    </row>
    <row r="4601" spans="1:12" hidden="1">
      <c r="A4601" s="19">
        <f t="shared" si="364"/>
        <v>4595</v>
      </c>
      <c r="B4601" s="20">
        <f t="shared" si="360"/>
        <v>0</v>
      </c>
      <c r="C4601" s="21">
        <f t="shared" si="361"/>
        <v>0</v>
      </c>
      <c r="D4601" s="22" t="e">
        <f>VLOOKUP($A4601, TAB_JUROS_U[[Q_DIAS_U_PARC_TIR]:[V_FUT_U_JURS CENARIO]], D$5, FALSE)</f>
        <v>#N/A</v>
      </c>
      <c r="E4601" s="22" t="e">
        <f>VLOOKUP($A4601,TAB_CORRECAO_U[[Q_DIAS_U_PARC_TIR]:[V_FUT_U_CORC-02]],E$5, FALSE)</f>
        <v>#N/A</v>
      </c>
      <c r="F4601" s="22" t="e">
        <f>VLOOKUP($A4601,TAB_AMORTIZACAO_U[[Q_DIAS_U_PARC_TIR]:[V_FUT_U_PCPL-02]], F$5, FALSE)</f>
        <v>#N/A</v>
      </c>
      <c r="H4601" s="20">
        <f t="shared" si="362"/>
        <v>0</v>
      </c>
      <c r="I4601" s="21">
        <f t="shared" si="363"/>
        <v>0</v>
      </c>
      <c r="J4601" s="22" t="e">
        <f>VLOOKUP($A4601, TAB_JUROS_C[[DIAS_CORRIDOS]:[V_FUT_UTEIS]], J$5, FALSE)</f>
        <v>#N/A</v>
      </c>
      <c r="K4601" s="22" t="e">
        <f>VLOOKUP($A4601, TAB_CORRECAO_C[[DIAS_CORRIDOS]:[V_FUT_UTEIS]],K$5, FALSE)</f>
        <v>#N/A</v>
      </c>
      <c r="L4601" s="22" t="e">
        <f>VLOOKUP($A4601, TAB_AMORTIZACAO_C[[DIAS_CORRIDOS]:[V_FUT_UTEIS]], L$5, FALSE)</f>
        <v>#N/A</v>
      </c>
    </row>
    <row r="4602" spans="1:12" hidden="1">
      <c r="A4602" s="19">
        <f t="shared" si="364"/>
        <v>4596</v>
      </c>
      <c r="B4602" s="20">
        <f t="shared" si="360"/>
        <v>0</v>
      </c>
      <c r="C4602" s="21">
        <f t="shared" si="361"/>
        <v>0</v>
      </c>
      <c r="D4602" s="22" t="e">
        <f>VLOOKUP($A4602, TAB_JUROS_U[[Q_DIAS_U_PARC_TIR]:[V_FUT_U_JURS CENARIO]], D$5, FALSE)</f>
        <v>#N/A</v>
      </c>
      <c r="E4602" s="22" t="e">
        <f>VLOOKUP($A4602,TAB_CORRECAO_U[[Q_DIAS_U_PARC_TIR]:[V_FUT_U_CORC-02]],E$5, FALSE)</f>
        <v>#N/A</v>
      </c>
      <c r="F4602" s="22" t="e">
        <f>VLOOKUP($A4602,TAB_AMORTIZACAO_U[[Q_DIAS_U_PARC_TIR]:[V_FUT_U_PCPL-02]], F$5, FALSE)</f>
        <v>#N/A</v>
      </c>
      <c r="H4602" s="20">
        <f t="shared" si="362"/>
        <v>0</v>
      </c>
      <c r="I4602" s="21">
        <f t="shared" si="363"/>
        <v>0</v>
      </c>
      <c r="J4602" s="22" t="e">
        <f>VLOOKUP($A4602, TAB_JUROS_C[[DIAS_CORRIDOS]:[V_FUT_UTEIS]], J$5, FALSE)</f>
        <v>#N/A</v>
      </c>
      <c r="K4602" s="22" t="e">
        <f>VLOOKUP($A4602, TAB_CORRECAO_C[[DIAS_CORRIDOS]:[V_FUT_UTEIS]],K$5, FALSE)</f>
        <v>#N/A</v>
      </c>
      <c r="L4602" s="22" t="e">
        <f>VLOOKUP($A4602, TAB_AMORTIZACAO_C[[DIAS_CORRIDOS]:[V_FUT_UTEIS]], L$5, FALSE)</f>
        <v>#N/A</v>
      </c>
    </row>
    <row r="4603" spans="1:12" hidden="1">
      <c r="A4603" s="19">
        <f t="shared" si="364"/>
        <v>4597</v>
      </c>
      <c r="B4603" s="20">
        <f t="shared" si="360"/>
        <v>0</v>
      </c>
      <c r="C4603" s="21">
        <f t="shared" si="361"/>
        <v>0</v>
      </c>
      <c r="D4603" s="22" t="e">
        <f>VLOOKUP($A4603, TAB_JUROS_U[[Q_DIAS_U_PARC_TIR]:[V_FUT_U_JURS CENARIO]], D$5, FALSE)</f>
        <v>#N/A</v>
      </c>
      <c r="E4603" s="22" t="e">
        <f>VLOOKUP($A4603,TAB_CORRECAO_U[[Q_DIAS_U_PARC_TIR]:[V_FUT_U_CORC-02]],E$5, FALSE)</f>
        <v>#N/A</v>
      </c>
      <c r="F4603" s="22" t="e">
        <f>VLOOKUP($A4603,TAB_AMORTIZACAO_U[[Q_DIAS_U_PARC_TIR]:[V_FUT_U_PCPL-02]], F$5, FALSE)</f>
        <v>#N/A</v>
      </c>
      <c r="H4603" s="20">
        <f t="shared" si="362"/>
        <v>0</v>
      </c>
      <c r="I4603" s="21">
        <f t="shared" si="363"/>
        <v>0</v>
      </c>
      <c r="J4603" s="22" t="e">
        <f>VLOOKUP($A4603, TAB_JUROS_C[[DIAS_CORRIDOS]:[V_FUT_UTEIS]], J$5, FALSE)</f>
        <v>#N/A</v>
      </c>
      <c r="K4603" s="22" t="e">
        <f>VLOOKUP($A4603, TAB_CORRECAO_C[[DIAS_CORRIDOS]:[V_FUT_UTEIS]],K$5, FALSE)</f>
        <v>#N/A</v>
      </c>
      <c r="L4603" s="22" t="e">
        <f>VLOOKUP($A4603, TAB_AMORTIZACAO_C[[DIAS_CORRIDOS]:[V_FUT_UTEIS]], L$5, FALSE)</f>
        <v>#N/A</v>
      </c>
    </row>
    <row r="4604" spans="1:12" hidden="1">
      <c r="A4604" s="19">
        <f t="shared" si="364"/>
        <v>4598</v>
      </c>
      <c r="B4604" s="20">
        <f t="shared" si="360"/>
        <v>0</v>
      </c>
      <c r="C4604" s="21">
        <f t="shared" si="361"/>
        <v>0</v>
      </c>
      <c r="D4604" s="22" t="e">
        <f>VLOOKUP($A4604, TAB_JUROS_U[[Q_DIAS_U_PARC_TIR]:[V_FUT_U_JURS CENARIO]], D$5, FALSE)</f>
        <v>#N/A</v>
      </c>
      <c r="E4604" s="22" t="e">
        <f>VLOOKUP($A4604,TAB_CORRECAO_U[[Q_DIAS_U_PARC_TIR]:[V_FUT_U_CORC-02]],E$5, FALSE)</f>
        <v>#N/A</v>
      </c>
      <c r="F4604" s="22" t="e">
        <f>VLOOKUP($A4604,TAB_AMORTIZACAO_U[[Q_DIAS_U_PARC_TIR]:[V_FUT_U_PCPL-02]], F$5, FALSE)</f>
        <v>#N/A</v>
      </c>
      <c r="H4604" s="20">
        <f t="shared" si="362"/>
        <v>0</v>
      </c>
      <c r="I4604" s="21">
        <f t="shared" si="363"/>
        <v>0</v>
      </c>
      <c r="J4604" s="22" t="e">
        <f>VLOOKUP($A4604, TAB_JUROS_C[[DIAS_CORRIDOS]:[V_FUT_UTEIS]], J$5, FALSE)</f>
        <v>#N/A</v>
      </c>
      <c r="K4604" s="22" t="e">
        <f>VLOOKUP($A4604, TAB_CORRECAO_C[[DIAS_CORRIDOS]:[V_FUT_UTEIS]],K$5, FALSE)</f>
        <v>#N/A</v>
      </c>
      <c r="L4604" s="22" t="e">
        <f>VLOOKUP($A4604, TAB_AMORTIZACAO_C[[DIAS_CORRIDOS]:[V_FUT_UTEIS]], L$5, FALSE)</f>
        <v>#N/A</v>
      </c>
    </row>
    <row r="4605" spans="1:12" hidden="1">
      <c r="A4605" s="19">
        <f t="shared" si="364"/>
        <v>4599</v>
      </c>
      <c r="B4605" s="20">
        <f t="shared" si="360"/>
        <v>0</v>
      </c>
      <c r="C4605" s="21">
        <f t="shared" si="361"/>
        <v>0</v>
      </c>
      <c r="D4605" s="22" t="e">
        <f>VLOOKUP($A4605, TAB_JUROS_U[[Q_DIAS_U_PARC_TIR]:[V_FUT_U_JURS CENARIO]], D$5, FALSE)</f>
        <v>#N/A</v>
      </c>
      <c r="E4605" s="22" t="e">
        <f>VLOOKUP($A4605,TAB_CORRECAO_U[[Q_DIAS_U_PARC_TIR]:[V_FUT_U_CORC-02]],E$5, FALSE)</f>
        <v>#N/A</v>
      </c>
      <c r="F4605" s="22" t="e">
        <f>VLOOKUP($A4605,TAB_AMORTIZACAO_U[[Q_DIAS_U_PARC_TIR]:[V_FUT_U_PCPL-02]], F$5, FALSE)</f>
        <v>#N/A</v>
      </c>
      <c r="H4605" s="20">
        <f t="shared" si="362"/>
        <v>0</v>
      </c>
      <c r="I4605" s="21">
        <f t="shared" si="363"/>
        <v>0</v>
      </c>
      <c r="J4605" s="22" t="e">
        <f>VLOOKUP($A4605, TAB_JUROS_C[[DIAS_CORRIDOS]:[V_FUT_UTEIS]], J$5, FALSE)</f>
        <v>#N/A</v>
      </c>
      <c r="K4605" s="22" t="e">
        <f>VLOOKUP($A4605, TAB_CORRECAO_C[[DIAS_CORRIDOS]:[V_FUT_UTEIS]],K$5, FALSE)</f>
        <v>#N/A</v>
      </c>
      <c r="L4605" s="22" t="e">
        <f>VLOOKUP($A4605, TAB_AMORTIZACAO_C[[DIAS_CORRIDOS]:[V_FUT_UTEIS]], L$5, FALSE)</f>
        <v>#N/A</v>
      </c>
    </row>
    <row r="4606" spans="1:12" hidden="1">
      <c r="A4606" s="19">
        <f t="shared" si="364"/>
        <v>4600</v>
      </c>
      <c r="B4606" s="20">
        <f t="shared" si="360"/>
        <v>0</v>
      </c>
      <c r="C4606" s="21">
        <f t="shared" si="361"/>
        <v>0</v>
      </c>
      <c r="D4606" s="22" t="e">
        <f>VLOOKUP($A4606, TAB_JUROS_U[[Q_DIAS_U_PARC_TIR]:[V_FUT_U_JURS CENARIO]], D$5, FALSE)</f>
        <v>#N/A</v>
      </c>
      <c r="E4606" s="22" t="e">
        <f>VLOOKUP($A4606,TAB_CORRECAO_U[[Q_DIAS_U_PARC_TIR]:[V_FUT_U_CORC-02]],E$5, FALSE)</f>
        <v>#N/A</v>
      </c>
      <c r="F4606" s="22" t="e">
        <f>VLOOKUP($A4606,TAB_AMORTIZACAO_U[[Q_DIAS_U_PARC_TIR]:[V_FUT_U_PCPL-02]], F$5, FALSE)</f>
        <v>#N/A</v>
      </c>
      <c r="H4606" s="20">
        <f t="shared" si="362"/>
        <v>0</v>
      </c>
      <c r="I4606" s="21">
        <f t="shared" si="363"/>
        <v>0</v>
      </c>
      <c r="J4606" s="22" t="e">
        <f>VLOOKUP($A4606, TAB_JUROS_C[[DIAS_CORRIDOS]:[V_FUT_UTEIS]], J$5, FALSE)</f>
        <v>#N/A</v>
      </c>
      <c r="K4606" s="22" t="e">
        <f>VLOOKUP($A4606, TAB_CORRECAO_C[[DIAS_CORRIDOS]:[V_FUT_UTEIS]],K$5, FALSE)</f>
        <v>#N/A</v>
      </c>
      <c r="L4606" s="22" t="e">
        <f>VLOOKUP($A4606, TAB_AMORTIZACAO_C[[DIAS_CORRIDOS]:[V_FUT_UTEIS]], L$5, FALSE)</f>
        <v>#N/A</v>
      </c>
    </row>
    <row r="4607" spans="1:12" hidden="1">
      <c r="A4607" s="19">
        <f t="shared" si="364"/>
        <v>4601</v>
      </c>
      <c r="B4607" s="20">
        <f t="shared" si="360"/>
        <v>0</v>
      </c>
      <c r="C4607" s="21">
        <f t="shared" si="361"/>
        <v>0</v>
      </c>
      <c r="D4607" s="22" t="e">
        <f>VLOOKUP($A4607, TAB_JUROS_U[[Q_DIAS_U_PARC_TIR]:[V_FUT_U_JURS CENARIO]], D$5, FALSE)</f>
        <v>#N/A</v>
      </c>
      <c r="E4607" s="22" t="e">
        <f>VLOOKUP($A4607,TAB_CORRECAO_U[[Q_DIAS_U_PARC_TIR]:[V_FUT_U_CORC-02]],E$5, FALSE)</f>
        <v>#N/A</v>
      </c>
      <c r="F4607" s="22" t="e">
        <f>VLOOKUP($A4607,TAB_AMORTIZACAO_U[[Q_DIAS_U_PARC_TIR]:[V_FUT_U_PCPL-02]], F$5, FALSE)</f>
        <v>#N/A</v>
      </c>
      <c r="H4607" s="20">
        <f t="shared" si="362"/>
        <v>0</v>
      </c>
      <c r="I4607" s="21">
        <f t="shared" si="363"/>
        <v>0</v>
      </c>
      <c r="J4607" s="22" t="e">
        <f>VLOOKUP($A4607, TAB_JUROS_C[[DIAS_CORRIDOS]:[V_FUT_UTEIS]], J$5, FALSE)</f>
        <v>#N/A</v>
      </c>
      <c r="K4607" s="22" t="e">
        <f>VLOOKUP($A4607, TAB_CORRECAO_C[[DIAS_CORRIDOS]:[V_FUT_UTEIS]],K$5, FALSE)</f>
        <v>#N/A</v>
      </c>
      <c r="L4607" s="22" t="e">
        <f>VLOOKUP($A4607, TAB_AMORTIZACAO_C[[DIAS_CORRIDOS]:[V_FUT_UTEIS]], L$5, FALSE)</f>
        <v>#N/A</v>
      </c>
    </row>
    <row r="4608" spans="1:12" hidden="1">
      <c r="A4608" s="19">
        <f t="shared" si="364"/>
        <v>4602</v>
      </c>
      <c r="B4608" s="20">
        <f t="shared" si="360"/>
        <v>0</v>
      </c>
      <c r="C4608" s="21">
        <f t="shared" si="361"/>
        <v>0</v>
      </c>
      <c r="D4608" s="22" t="e">
        <f>VLOOKUP($A4608, TAB_JUROS_U[[Q_DIAS_U_PARC_TIR]:[V_FUT_U_JURS CENARIO]], D$5, FALSE)</f>
        <v>#N/A</v>
      </c>
      <c r="E4608" s="22" t="e">
        <f>VLOOKUP($A4608,TAB_CORRECAO_U[[Q_DIAS_U_PARC_TIR]:[V_FUT_U_CORC-02]],E$5, FALSE)</f>
        <v>#N/A</v>
      </c>
      <c r="F4608" s="22" t="e">
        <f>VLOOKUP($A4608,TAB_AMORTIZACAO_U[[Q_DIAS_U_PARC_TIR]:[V_FUT_U_PCPL-02]], F$5, FALSE)</f>
        <v>#N/A</v>
      </c>
      <c r="H4608" s="20">
        <f t="shared" si="362"/>
        <v>0</v>
      </c>
      <c r="I4608" s="21">
        <f t="shared" si="363"/>
        <v>0</v>
      </c>
      <c r="J4608" s="22" t="e">
        <f>VLOOKUP($A4608, TAB_JUROS_C[[DIAS_CORRIDOS]:[V_FUT_UTEIS]], J$5, FALSE)</f>
        <v>#N/A</v>
      </c>
      <c r="K4608" s="22" t="e">
        <f>VLOOKUP($A4608, TAB_CORRECAO_C[[DIAS_CORRIDOS]:[V_FUT_UTEIS]],K$5, FALSE)</f>
        <v>#N/A</v>
      </c>
      <c r="L4608" s="22" t="e">
        <f>VLOOKUP($A4608, TAB_AMORTIZACAO_C[[DIAS_CORRIDOS]:[V_FUT_UTEIS]], L$5, FALSE)</f>
        <v>#N/A</v>
      </c>
    </row>
    <row r="4609" spans="1:12" hidden="1">
      <c r="A4609" s="19">
        <f t="shared" si="364"/>
        <v>4603</v>
      </c>
      <c r="B4609" s="20">
        <f t="shared" si="360"/>
        <v>0</v>
      </c>
      <c r="C4609" s="21">
        <f t="shared" si="361"/>
        <v>0</v>
      </c>
      <c r="D4609" s="22" t="e">
        <f>VLOOKUP($A4609, TAB_JUROS_U[[Q_DIAS_U_PARC_TIR]:[V_FUT_U_JURS CENARIO]], D$5, FALSE)</f>
        <v>#N/A</v>
      </c>
      <c r="E4609" s="22" t="e">
        <f>VLOOKUP($A4609,TAB_CORRECAO_U[[Q_DIAS_U_PARC_TIR]:[V_FUT_U_CORC-02]],E$5, FALSE)</f>
        <v>#N/A</v>
      </c>
      <c r="F4609" s="22" t="e">
        <f>VLOOKUP($A4609,TAB_AMORTIZACAO_U[[Q_DIAS_U_PARC_TIR]:[V_FUT_U_PCPL-02]], F$5, FALSE)</f>
        <v>#N/A</v>
      </c>
      <c r="H4609" s="20">
        <f t="shared" si="362"/>
        <v>0</v>
      </c>
      <c r="I4609" s="21">
        <f t="shared" si="363"/>
        <v>0</v>
      </c>
      <c r="J4609" s="22" t="e">
        <f>VLOOKUP($A4609, TAB_JUROS_C[[DIAS_CORRIDOS]:[V_FUT_UTEIS]], J$5, FALSE)</f>
        <v>#N/A</v>
      </c>
      <c r="K4609" s="22" t="e">
        <f>VLOOKUP($A4609, TAB_CORRECAO_C[[DIAS_CORRIDOS]:[V_FUT_UTEIS]],K$5, FALSE)</f>
        <v>#N/A</v>
      </c>
      <c r="L4609" s="22" t="e">
        <f>VLOOKUP($A4609, TAB_AMORTIZACAO_C[[DIAS_CORRIDOS]:[V_FUT_UTEIS]], L$5, FALSE)</f>
        <v>#N/A</v>
      </c>
    </row>
    <row r="4610" spans="1:12" hidden="1">
      <c r="A4610" s="19">
        <f t="shared" si="364"/>
        <v>4604</v>
      </c>
      <c r="B4610" s="20">
        <f t="shared" si="360"/>
        <v>0</v>
      </c>
      <c r="C4610" s="21">
        <f t="shared" si="361"/>
        <v>0</v>
      </c>
      <c r="D4610" s="22" t="e">
        <f>VLOOKUP($A4610, TAB_JUROS_U[[Q_DIAS_U_PARC_TIR]:[V_FUT_U_JURS CENARIO]], D$5, FALSE)</f>
        <v>#N/A</v>
      </c>
      <c r="E4610" s="22" t="e">
        <f>VLOOKUP($A4610,TAB_CORRECAO_U[[Q_DIAS_U_PARC_TIR]:[V_FUT_U_CORC-02]],E$5, FALSE)</f>
        <v>#N/A</v>
      </c>
      <c r="F4610" s="22" t="e">
        <f>VLOOKUP($A4610,TAB_AMORTIZACAO_U[[Q_DIAS_U_PARC_TIR]:[V_FUT_U_PCPL-02]], F$5, FALSE)</f>
        <v>#N/A</v>
      </c>
      <c r="H4610" s="20">
        <f t="shared" si="362"/>
        <v>0</v>
      </c>
      <c r="I4610" s="21">
        <f t="shared" si="363"/>
        <v>0</v>
      </c>
      <c r="J4610" s="22" t="e">
        <f>VLOOKUP($A4610, TAB_JUROS_C[[DIAS_CORRIDOS]:[V_FUT_UTEIS]], J$5, FALSE)</f>
        <v>#N/A</v>
      </c>
      <c r="K4610" s="22" t="e">
        <f>VLOOKUP($A4610, TAB_CORRECAO_C[[DIAS_CORRIDOS]:[V_FUT_UTEIS]],K$5, FALSE)</f>
        <v>#N/A</v>
      </c>
      <c r="L4610" s="22" t="e">
        <f>VLOOKUP($A4610, TAB_AMORTIZACAO_C[[DIAS_CORRIDOS]:[V_FUT_UTEIS]], L$5, FALSE)</f>
        <v>#N/A</v>
      </c>
    </row>
    <row r="4611" spans="1:12" hidden="1">
      <c r="A4611" s="19">
        <f t="shared" si="364"/>
        <v>4605</v>
      </c>
      <c r="B4611" s="20">
        <f t="shared" si="360"/>
        <v>0</v>
      </c>
      <c r="C4611" s="21">
        <f t="shared" si="361"/>
        <v>0</v>
      </c>
      <c r="D4611" s="22" t="e">
        <f>VLOOKUP($A4611, TAB_JUROS_U[[Q_DIAS_U_PARC_TIR]:[V_FUT_U_JURS CENARIO]], D$5, FALSE)</f>
        <v>#N/A</v>
      </c>
      <c r="E4611" s="22" t="e">
        <f>VLOOKUP($A4611,TAB_CORRECAO_U[[Q_DIAS_U_PARC_TIR]:[V_FUT_U_CORC-02]],E$5, FALSE)</f>
        <v>#N/A</v>
      </c>
      <c r="F4611" s="22" t="e">
        <f>VLOOKUP($A4611,TAB_AMORTIZACAO_U[[Q_DIAS_U_PARC_TIR]:[V_FUT_U_PCPL-02]], F$5, FALSE)</f>
        <v>#N/A</v>
      </c>
      <c r="H4611" s="20">
        <f t="shared" si="362"/>
        <v>0</v>
      </c>
      <c r="I4611" s="21">
        <f t="shared" si="363"/>
        <v>0</v>
      </c>
      <c r="J4611" s="22" t="e">
        <f>VLOOKUP($A4611, TAB_JUROS_C[[DIAS_CORRIDOS]:[V_FUT_UTEIS]], J$5, FALSE)</f>
        <v>#N/A</v>
      </c>
      <c r="K4611" s="22" t="e">
        <f>VLOOKUP($A4611, TAB_CORRECAO_C[[DIAS_CORRIDOS]:[V_FUT_UTEIS]],K$5, FALSE)</f>
        <v>#N/A</v>
      </c>
      <c r="L4611" s="22" t="e">
        <f>VLOOKUP($A4611, TAB_AMORTIZACAO_C[[DIAS_CORRIDOS]:[V_FUT_UTEIS]], L$5, FALSE)</f>
        <v>#N/A</v>
      </c>
    </row>
    <row r="4612" spans="1:12" hidden="1">
      <c r="A4612" s="19">
        <f t="shared" si="364"/>
        <v>4606</v>
      </c>
      <c r="B4612" s="20">
        <f t="shared" si="360"/>
        <v>0</v>
      </c>
      <c r="C4612" s="21">
        <f t="shared" si="361"/>
        <v>0</v>
      </c>
      <c r="D4612" s="22" t="e">
        <f>VLOOKUP($A4612, TAB_JUROS_U[[Q_DIAS_U_PARC_TIR]:[V_FUT_U_JURS CENARIO]], D$5, FALSE)</f>
        <v>#N/A</v>
      </c>
      <c r="E4612" s="22" t="e">
        <f>VLOOKUP($A4612,TAB_CORRECAO_U[[Q_DIAS_U_PARC_TIR]:[V_FUT_U_CORC-02]],E$5, FALSE)</f>
        <v>#N/A</v>
      </c>
      <c r="F4612" s="22" t="e">
        <f>VLOOKUP($A4612,TAB_AMORTIZACAO_U[[Q_DIAS_U_PARC_TIR]:[V_FUT_U_PCPL-02]], F$5, FALSE)</f>
        <v>#N/A</v>
      </c>
      <c r="H4612" s="20">
        <f t="shared" si="362"/>
        <v>0</v>
      </c>
      <c r="I4612" s="21">
        <f t="shared" si="363"/>
        <v>0</v>
      </c>
      <c r="J4612" s="22" t="e">
        <f>VLOOKUP($A4612, TAB_JUROS_C[[DIAS_CORRIDOS]:[V_FUT_UTEIS]], J$5, FALSE)</f>
        <v>#N/A</v>
      </c>
      <c r="K4612" s="22" t="e">
        <f>VLOOKUP($A4612, TAB_CORRECAO_C[[DIAS_CORRIDOS]:[V_FUT_UTEIS]],K$5, FALSE)</f>
        <v>#N/A</v>
      </c>
      <c r="L4612" s="22" t="e">
        <f>VLOOKUP($A4612, TAB_AMORTIZACAO_C[[DIAS_CORRIDOS]:[V_FUT_UTEIS]], L$5, FALSE)</f>
        <v>#N/A</v>
      </c>
    </row>
    <row r="4613" spans="1:12" hidden="1">
      <c r="A4613" s="19">
        <f t="shared" si="364"/>
        <v>4607</v>
      </c>
      <c r="B4613" s="20">
        <f t="shared" si="360"/>
        <v>0</v>
      </c>
      <c r="C4613" s="21">
        <f t="shared" si="361"/>
        <v>0</v>
      </c>
      <c r="D4613" s="22" t="e">
        <f>VLOOKUP($A4613, TAB_JUROS_U[[Q_DIAS_U_PARC_TIR]:[V_FUT_U_JURS CENARIO]], D$5, FALSE)</f>
        <v>#N/A</v>
      </c>
      <c r="E4613" s="22" t="e">
        <f>VLOOKUP($A4613,TAB_CORRECAO_U[[Q_DIAS_U_PARC_TIR]:[V_FUT_U_CORC-02]],E$5, FALSE)</f>
        <v>#N/A</v>
      </c>
      <c r="F4613" s="22" t="e">
        <f>VLOOKUP($A4613,TAB_AMORTIZACAO_U[[Q_DIAS_U_PARC_TIR]:[V_FUT_U_PCPL-02]], F$5, FALSE)</f>
        <v>#N/A</v>
      </c>
      <c r="H4613" s="20">
        <f t="shared" si="362"/>
        <v>0</v>
      </c>
      <c r="I4613" s="21">
        <f t="shared" si="363"/>
        <v>0</v>
      </c>
      <c r="J4613" s="22" t="e">
        <f>VLOOKUP($A4613, TAB_JUROS_C[[DIAS_CORRIDOS]:[V_FUT_UTEIS]], J$5, FALSE)</f>
        <v>#N/A</v>
      </c>
      <c r="K4613" s="22" t="e">
        <f>VLOOKUP($A4613, TAB_CORRECAO_C[[DIAS_CORRIDOS]:[V_FUT_UTEIS]],K$5, FALSE)</f>
        <v>#N/A</v>
      </c>
      <c r="L4613" s="22" t="e">
        <f>VLOOKUP($A4613, TAB_AMORTIZACAO_C[[DIAS_CORRIDOS]:[V_FUT_UTEIS]], L$5, FALSE)</f>
        <v>#N/A</v>
      </c>
    </row>
    <row r="4614" spans="1:12" hidden="1">
      <c r="A4614" s="19">
        <f t="shared" si="364"/>
        <v>4608</v>
      </c>
      <c r="B4614" s="20">
        <f t="shared" si="360"/>
        <v>0</v>
      </c>
      <c r="C4614" s="21">
        <f t="shared" si="361"/>
        <v>0</v>
      </c>
      <c r="D4614" s="22" t="e">
        <f>VLOOKUP($A4614, TAB_JUROS_U[[Q_DIAS_U_PARC_TIR]:[V_FUT_U_JURS CENARIO]], D$5, FALSE)</f>
        <v>#N/A</v>
      </c>
      <c r="E4614" s="22" t="e">
        <f>VLOOKUP($A4614,TAB_CORRECAO_U[[Q_DIAS_U_PARC_TIR]:[V_FUT_U_CORC-02]],E$5, FALSE)</f>
        <v>#N/A</v>
      </c>
      <c r="F4614" s="22" t="e">
        <f>VLOOKUP($A4614,TAB_AMORTIZACAO_U[[Q_DIAS_U_PARC_TIR]:[V_FUT_U_PCPL-02]], F$5, FALSE)</f>
        <v>#N/A</v>
      </c>
      <c r="H4614" s="20">
        <f t="shared" si="362"/>
        <v>0</v>
      </c>
      <c r="I4614" s="21">
        <f t="shared" si="363"/>
        <v>0</v>
      </c>
      <c r="J4614" s="22" t="e">
        <f>VLOOKUP($A4614, TAB_JUROS_C[[DIAS_CORRIDOS]:[V_FUT_UTEIS]], J$5, FALSE)</f>
        <v>#N/A</v>
      </c>
      <c r="K4614" s="22" t="e">
        <f>VLOOKUP($A4614, TAB_CORRECAO_C[[DIAS_CORRIDOS]:[V_FUT_UTEIS]],K$5, FALSE)</f>
        <v>#N/A</v>
      </c>
      <c r="L4614" s="22" t="e">
        <f>VLOOKUP($A4614, TAB_AMORTIZACAO_C[[DIAS_CORRIDOS]:[V_FUT_UTEIS]], L$5, FALSE)</f>
        <v>#N/A</v>
      </c>
    </row>
    <row r="4615" spans="1:12" hidden="1">
      <c r="A4615" s="19">
        <f t="shared" si="364"/>
        <v>4609</v>
      </c>
      <c r="B4615" s="20">
        <f t="shared" si="360"/>
        <v>0</v>
      </c>
      <c r="C4615" s="21">
        <f t="shared" si="361"/>
        <v>0</v>
      </c>
      <c r="D4615" s="22" t="e">
        <f>VLOOKUP($A4615, TAB_JUROS_U[[Q_DIAS_U_PARC_TIR]:[V_FUT_U_JURS CENARIO]], D$5, FALSE)</f>
        <v>#N/A</v>
      </c>
      <c r="E4615" s="22" t="e">
        <f>VLOOKUP($A4615,TAB_CORRECAO_U[[Q_DIAS_U_PARC_TIR]:[V_FUT_U_CORC-02]],E$5, FALSE)</f>
        <v>#N/A</v>
      </c>
      <c r="F4615" s="22" t="e">
        <f>VLOOKUP($A4615,TAB_AMORTIZACAO_U[[Q_DIAS_U_PARC_TIR]:[V_FUT_U_PCPL-02]], F$5, FALSE)</f>
        <v>#N/A</v>
      </c>
      <c r="H4615" s="20">
        <f t="shared" si="362"/>
        <v>0</v>
      </c>
      <c r="I4615" s="21">
        <f t="shared" si="363"/>
        <v>0</v>
      </c>
      <c r="J4615" s="22" t="e">
        <f>VLOOKUP($A4615, TAB_JUROS_C[[DIAS_CORRIDOS]:[V_FUT_UTEIS]], J$5, FALSE)</f>
        <v>#N/A</v>
      </c>
      <c r="K4615" s="22" t="e">
        <f>VLOOKUP($A4615, TAB_CORRECAO_C[[DIAS_CORRIDOS]:[V_FUT_UTEIS]],K$5, FALSE)</f>
        <v>#N/A</v>
      </c>
      <c r="L4615" s="22" t="e">
        <f>VLOOKUP($A4615, TAB_AMORTIZACAO_C[[DIAS_CORRIDOS]:[V_FUT_UTEIS]], L$5, FALSE)</f>
        <v>#N/A</v>
      </c>
    </row>
    <row r="4616" spans="1:12" hidden="1">
      <c r="A4616" s="19">
        <f t="shared" si="364"/>
        <v>4610</v>
      </c>
      <c r="B4616" s="20">
        <f t="shared" si="360"/>
        <v>0</v>
      </c>
      <c r="C4616" s="21">
        <f t="shared" si="361"/>
        <v>0</v>
      </c>
      <c r="D4616" s="22" t="e">
        <f>VLOOKUP($A4616, TAB_JUROS_U[[Q_DIAS_U_PARC_TIR]:[V_FUT_U_JURS CENARIO]], D$5, FALSE)</f>
        <v>#N/A</v>
      </c>
      <c r="E4616" s="22" t="e">
        <f>VLOOKUP($A4616,TAB_CORRECAO_U[[Q_DIAS_U_PARC_TIR]:[V_FUT_U_CORC-02]],E$5, FALSE)</f>
        <v>#N/A</v>
      </c>
      <c r="F4616" s="22" t="e">
        <f>VLOOKUP($A4616,TAB_AMORTIZACAO_U[[Q_DIAS_U_PARC_TIR]:[V_FUT_U_PCPL-02]], F$5, FALSE)</f>
        <v>#N/A</v>
      </c>
      <c r="H4616" s="20">
        <f t="shared" si="362"/>
        <v>0</v>
      </c>
      <c r="I4616" s="21">
        <f t="shared" si="363"/>
        <v>0</v>
      </c>
      <c r="J4616" s="22" t="e">
        <f>VLOOKUP($A4616, TAB_JUROS_C[[DIAS_CORRIDOS]:[V_FUT_UTEIS]], J$5, FALSE)</f>
        <v>#N/A</v>
      </c>
      <c r="K4616" s="22" t="e">
        <f>VLOOKUP($A4616, TAB_CORRECAO_C[[DIAS_CORRIDOS]:[V_FUT_UTEIS]],K$5, FALSE)</f>
        <v>#N/A</v>
      </c>
      <c r="L4616" s="22" t="e">
        <f>VLOOKUP($A4616, TAB_AMORTIZACAO_C[[DIAS_CORRIDOS]:[V_FUT_UTEIS]], L$5, FALSE)</f>
        <v>#N/A</v>
      </c>
    </row>
    <row r="4617" spans="1:12" hidden="1">
      <c r="A4617" s="19">
        <f t="shared" si="364"/>
        <v>4611</v>
      </c>
      <c r="B4617" s="20">
        <f t="shared" ref="B4617:B4680" si="365">IF(ISERROR(C4617), 0, C4617)</f>
        <v>0</v>
      </c>
      <c r="C4617" s="21">
        <f t="shared" ref="C4617:C4680" si="366">SUMIF(D4617:F4617, "&gt;0", D4617:F4617)</f>
        <v>0</v>
      </c>
      <c r="D4617" s="22" t="e">
        <f>VLOOKUP($A4617, TAB_JUROS_U[[Q_DIAS_U_PARC_TIR]:[V_FUT_U_JURS CENARIO]], D$5, FALSE)</f>
        <v>#N/A</v>
      </c>
      <c r="E4617" s="22" t="e">
        <f>VLOOKUP($A4617,TAB_CORRECAO_U[[Q_DIAS_U_PARC_TIR]:[V_FUT_U_CORC-02]],E$5, FALSE)</f>
        <v>#N/A</v>
      </c>
      <c r="F4617" s="22" t="e">
        <f>VLOOKUP($A4617,TAB_AMORTIZACAO_U[[Q_DIAS_U_PARC_TIR]:[V_FUT_U_PCPL-02]], F$5, FALSE)</f>
        <v>#N/A</v>
      </c>
      <c r="H4617" s="20">
        <f t="shared" ref="H4617:H4680" si="367">IF(ISERROR(I4617), 0, I4617)</f>
        <v>0</v>
      </c>
      <c r="I4617" s="21">
        <f t="shared" ref="I4617:I4680" si="368">SUMIF(J4617:L4617, "&gt;0", J4617:L4617)</f>
        <v>0</v>
      </c>
      <c r="J4617" s="22" t="e">
        <f>VLOOKUP($A4617, TAB_JUROS_C[[DIAS_CORRIDOS]:[V_FUT_UTEIS]], J$5, FALSE)</f>
        <v>#N/A</v>
      </c>
      <c r="K4617" s="22" t="e">
        <f>VLOOKUP($A4617, TAB_CORRECAO_C[[DIAS_CORRIDOS]:[V_FUT_UTEIS]],K$5, FALSE)</f>
        <v>#N/A</v>
      </c>
      <c r="L4617" s="22" t="e">
        <f>VLOOKUP($A4617, TAB_AMORTIZACAO_C[[DIAS_CORRIDOS]:[V_FUT_UTEIS]], L$5, FALSE)</f>
        <v>#N/A</v>
      </c>
    </row>
    <row r="4618" spans="1:12" hidden="1">
      <c r="A4618" s="19">
        <f t="shared" ref="A4618:A4681" si="369">A4617+1</f>
        <v>4612</v>
      </c>
      <c r="B4618" s="20">
        <f t="shared" si="365"/>
        <v>0</v>
      </c>
      <c r="C4618" s="21">
        <f t="shared" si="366"/>
        <v>0</v>
      </c>
      <c r="D4618" s="22" t="e">
        <f>VLOOKUP($A4618, TAB_JUROS_U[[Q_DIAS_U_PARC_TIR]:[V_FUT_U_JURS CENARIO]], D$5, FALSE)</f>
        <v>#N/A</v>
      </c>
      <c r="E4618" s="22" t="e">
        <f>VLOOKUP($A4618,TAB_CORRECAO_U[[Q_DIAS_U_PARC_TIR]:[V_FUT_U_CORC-02]],E$5, FALSE)</f>
        <v>#N/A</v>
      </c>
      <c r="F4618" s="22" t="e">
        <f>VLOOKUP($A4618,TAB_AMORTIZACAO_U[[Q_DIAS_U_PARC_TIR]:[V_FUT_U_PCPL-02]], F$5, FALSE)</f>
        <v>#N/A</v>
      </c>
      <c r="H4618" s="20">
        <f t="shared" si="367"/>
        <v>0</v>
      </c>
      <c r="I4618" s="21">
        <f t="shared" si="368"/>
        <v>0</v>
      </c>
      <c r="J4618" s="22" t="e">
        <f>VLOOKUP($A4618, TAB_JUROS_C[[DIAS_CORRIDOS]:[V_FUT_UTEIS]], J$5, FALSE)</f>
        <v>#N/A</v>
      </c>
      <c r="K4618" s="22" t="e">
        <f>VLOOKUP($A4618, TAB_CORRECAO_C[[DIAS_CORRIDOS]:[V_FUT_UTEIS]],K$5, FALSE)</f>
        <v>#N/A</v>
      </c>
      <c r="L4618" s="22" t="e">
        <f>VLOOKUP($A4618, TAB_AMORTIZACAO_C[[DIAS_CORRIDOS]:[V_FUT_UTEIS]], L$5, FALSE)</f>
        <v>#N/A</v>
      </c>
    </row>
    <row r="4619" spans="1:12" hidden="1">
      <c r="A4619" s="19">
        <f t="shared" si="369"/>
        <v>4613</v>
      </c>
      <c r="B4619" s="20">
        <f t="shared" si="365"/>
        <v>0</v>
      </c>
      <c r="C4619" s="21">
        <f t="shared" si="366"/>
        <v>0</v>
      </c>
      <c r="D4619" s="22" t="e">
        <f>VLOOKUP($A4619, TAB_JUROS_U[[Q_DIAS_U_PARC_TIR]:[V_FUT_U_JURS CENARIO]], D$5, FALSE)</f>
        <v>#N/A</v>
      </c>
      <c r="E4619" s="22" t="e">
        <f>VLOOKUP($A4619,TAB_CORRECAO_U[[Q_DIAS_U_PARC_TIR]:[V_FUT_U_CORC-02]],E$5, FALSE)</f>
        <v>#N/A</v>
      </c>
      <c r="F4619" s="22" t="e">
        <f>VLOOKUP($A4619,TAB_AMORTIZACAO_U[[Q_DIAS_U_PARC_TIR]:[V_FUT_U_PCPL-02]], F$5, FALSE)</f>
        <v>#N/A</v>
      </c>
      <c r="H4619" s="20">
        <f t="shared" si="367"/>
        <v>0</v>
      </c>
      <c r="I4619" s="21">
        <f t="shared" si="368"/>
        <v>0</v>
      </c>
      <c r="J4619" s="22" t="e">
        <f>VLOOKUP($A4619, TAB_JUROS_C[[DIAS_CORRIDOS]:[V_FUT_UTEIS]], J$5, FALSE)</f>
        <v>#N/A</v>
      </c>
      <c r="K4619" s="22" t="e">
        <f>VLOOKUP($A4619, TAB_CORRECAO_C[[DIAS_CORRIDOS]:[V_FUT_UTEIS]],K$5, FALSE)</f>
        <v>#N/A</v>
      </c>
      <c r="L4619" s="22" t="e">
        <f>VLOOKUP($A4619, TAB_AMORTIZACAO_C[[DIAS_CORRIDOS]:[V_FUT_UTEIS]], L$5, FALSE)</f>
        <v>#N/A</v>
      </c>
    </row>
    <row r="4620" spans="1:12" hidden="1">
      <c r="A4620" s="19">
        <f t="shared" si="369"/>
        <v>4614</v>
      </c>
      <c r="B4620" s="20">
        <f t="shared" si="365"/>
        <v>0</v>
      </c>
      <c r="C4620" s="21">
        <f t="shared" si="366"/>
        <v>0</v>
      </c>
      <c r="D4620" s="22" t="e">
        <f>VLOOKUP($A4620, TAB_JUROS_U[[Q_DIAS_U_PARC_TIR]:[V_FUT_U_JURS CENARIO]], D$5, FALSE)</f>
        <v>#N/A</v>
      </c>
      <c r="E4620" s="22" t="e">
        <f>VLOOKUP($A4620,TAB_CORRECAO_U[[Q_DIAS_U_PARC_TIR]:[V_FUT_U_CORC-02]],E$5, FALSE)</f>
        <v>#N/A</v>
      </c>
      <c r="F4620" s="22" t="e">
        <f>VLOOKUP($A4620,TAB_AMORTIZACAO_U[[Q_DIAS_U_PARC_TIR]:[V_FUT_U_PCPL-02]], F$5, FALSE)</f>
        <v>#N/A</v>
      </c>
      <c r="H4620" s="20">
        <f t="shared" si="367"/>
        <v>0</v>
      </c>
      <c r="I4620" s="21">
        <f t="shared" si="368"/>
        <v>0</v>
      </c>
      <c r="J4620" s="22" t="e">
        <f>VLOOKUP($A4620, TAB_JUROS_C[[DIAS_CORRIDOS]:[V_FUT_UTEIS]], J$5, FALSE)</f>
        <v>#N/A</v>
      </c>
      <c r="K4620" s="22" t="e">
        <f>VLOOKUP($A4620, TAB_CORRECAO_C[[DIAS_CORRIDOS]:[V_FUT_UTEIS]],K$5, FALSE)</f>
        <v>#N/A</v>
      </c>
      <c r="L4620" s="22" t="e">
        <f>VLOOKUP($A4620, TAB_AMORTIZACAO_C[[DIAS_CORRIDOS]:[V_FUT_UTEIS]], L$5, FALSE)</f>
        <v>#N/A</v>
      </c>
    </row>
    <row r="4621" spans="1:12" hidden="1">
      <c r="A4621" s="19">
        <f t="shared" si="369"/>
        <v>4615</v>
      </c>
      <c r="B4621" s="20">
        <f t="shared" si="365"/>
        <v>0</v>
      </c>
      <c r="C4621" s="21">
        <f t="shared" si="366"/>
        <v>0</v>
      </c>
      <c r="D4621" s="22" t="e">
        <f>VLOOKUP($A4621, TAB_JUROS_U[[Q_DIAS_U_PARC_TIR]:[V_FUT_U_JURS CENARIO]], D$5, FALSE)</f>
        <v>#N/A</v>
      </c>
      <c r="E4621" s="22" t="e">
        <f>VLOOKUP($A4621,TAB_CORRECAO_U[[Q_DIAS_U_PARC_TIR]:[V_FUT_U_CORC-02]],E$5, FALSE)</f>
        <v>#N/A</v>
      </c>
      <c r="F4621" s="22" t="e">
        <f>VLOOKUP($A4621,TAB_AMORTIZACAO_U[[Q_DIAS_U_PARC_TIR]:[V_FUT_U_PCPL-02]], F$5, FALSE)</f>
        <v>#N/A</v>
      </c>
      <c r="H4621" s="20">
        <f t="shared" si="367"/>
        <v>0</v>
      </c>
      <c r="I4621" s="21">
        <f t="shared" si="368"/>
        <v>0</v>
      </c>
      <c r="J4621" s="22" t="e">
        <f>VLOOKUP($A4621, TAB_JUROS_C[[DIAS_CORRIDOS]:[V_FUT_UTEIS]], J$5, FALSE)</f>
        <v>#N/A</v>
      </c>
      <c r="K4621" s="22" t="e">
        <f>VLOOKUP($A4621, TAB_CORRECAO_C[[DIAS_CORRIDOS]:[V_FUT_UTEIS]],K$5, FALSE)</f>
        <v>#N/A</v>
      </c>
      <c r="L4621" s="22" t="e">
        <f>VLOOKUP($A4621, TAB_AMORTIZACAO_C[[DIAS_CORRIDOS]:[V_FUT_UTEIS]], L$5, FALSE)</f>
        <v>#N/A</v>
      </c>
    </row>
    <row r="4622" spans="1:12" hidden="1">
      <c r="A4622" s="19">
        <f t="shared" si="369"/>
        <v>4616</v>
      </c>
      <c r="B4622" s="20">
        <f t="shared" si="365"/>
        <v>0</v>
      </c>
      <c r="C4622" s="21">
        <f t="shared" si="366"/>
        <v>0</v>
      </c>
      <c r="D4622" s="22" t="e">
        <f>VLOOKUP($A4622, TAB_JUROS_U[[Q_DIAS_U_PARC_TIR]:[V_FUT_U_JURS CENARIO]], D$5, FALSE)</f>
        <v>#N/A</v>
      </c>
      <c r="E4622" s="22" t="e">
        <f>VLOOKUP($A4622,TAB_CORRECAO_U[[Q_DIAS_U_PARC_TIR]:[V_FUT_U_CORC-02]],E$5, FALSE)</f>
        <v>#N/A</v>
      </c>
      <c r="F4622" s="22" t="e">
        <f>VLOOKUP($A4622,TAB_AMORTIZACAO_U[[Q_DIAS_U_PARC_TIR]:[V_FUT_U_PCPL-02]], F$5, FALSE)</f>
        <v>#N/A</v>
      </c>
      <c r="H4622" s="20">
        <f t="shared" si="367"/>
        <v>0</v>
      </c>
      <c r="I4622" s="21">
        <f t="shared" si="368"/>
        <v>0</v>
      </c>
      <c r="J4622" s="22" t="e">
        <f>VLOOKUP($A4622, TAB_JUROS_C[[DIAS_CORRIDOS]:[V_FUT_UTEIS]], J$5, FALSE)</f>
        <v>#N/A</v>
      </c>
      <c r="K4622" s="22" t="e">
        <f>VLOOKUP($A4622, TAB_CORRECAO_C[[DIAS_CORRIDOS]:[V_FUT_UTEIS]],K$5, FALSE)</f>
        <v>#N/A</v>
      </c>
      <c r="L4622" s="22" t="e">
        <f>VLOOKUP($A4622, TAB_AMORTIZACAO_C[[DIAS_CORRIDOS]:[V_FUT_UTEIS]], L$5, FALSE)</f>
        <v>#N/A</v>
      </c>
    </row>
    <row r="4623" spans="1:12" hidden="1">
      <c r="A4623" s="19">
        <f t="shared" si="369"/>
        <v>4617</v>
      </c>
      <c r="B4623" s="20">
        <f t="shared" si="365"/>
        <v>0</v>
      </c>
      <c r="C4623" s="21">
        <f t="shared" si="366"/>
        <v>0</v>
      </c>
      <c r="D4623" s="22" t="e">
        <f>VLOOKUP($A4623, TAB_JUROS_U[[Q_DIAS_U_PARC_TIR]:[V_FUT_U_JURS CENARIO]], D$5, FALSE)</f>
        <v>#N/A</v>
      </c>
      <c r="E4623" s="22" t="e">
        <f>VLOOKUP($A4623,TAB_CORRECAO_U[[Q_DIAS_U_PARC_TIR]:[V_FUT_U_CORC-02]],E$5, FALSE)</f>
        <v>#N/A</v>
      </c>
      <c r="F4623" s="22" t="e">
        <f>VLOOKUP($A4623,TAB_AMORTIZACAO_U[[Q_DIAS_U_PARC_TIR]:[V_FUT_U_PCPL-02]], F$5, FALSE)</f>
        <v>#N/A</v>
      </c>
      <c r="H4623" s="20">
        <f t="shared" si="367"/>
        <v>0</v>
      </c>
      <c r="I4623" s="21">
        <f t="shared" si="368"/>
        <v>0</v>
      </c>
      <c r="J4623" s="22" t="e">
        <f>VLOOKUP($A4623, TAB_JUROS_C[[DIAS_CORRIDOS]:[V_FUT_UTEIS]], J$5, FALSE)</f>
        <v>#N/A</v>
      </c>
      <c r="K4623" s="22" t="e">
        <f>VLOOKUP($A4623, TAB_CORRECAO_C[[DIAS_CORRIDOS]:[V_FUT_UTEIS]],K$5, FALSE)</f>
        <v>#N/A</v>
      </c>
      <c r="L4623" s="22" t="e">
        <f>VLOOKUP($A4623, TAB_AMORTIZACAO_C[[DIAS_CORRIDOS]:[V_FUT_UTEIS]], L$5, FALSE)</f>
        <v>#N/A</v>
      </c>
    </row>
    <row r="4624" spans="1:12" hidden="1">
      <c r="A4624" s="19">
        <f t="shared" si="369"/>
        <v>4618</v>
      </c>
      <c r="B4624" s="20">
        <f t="shared" si="365"/>
        <v>0</v>
      </c>
      <c r="C4624" s="21">
        <f t="shared" si="366"/>
        <v>0</v>
      </c>
      <c r="D4624" s="22" t="e">
        <f>VLOOKUP($A4624, TAB_JUROS_U[[Q_DIAS_U_PARC_TIR]:[V_FUT_U_JURS CENARIO]], D$5, FALSE)</f>
        <v>#N/A</v>
      </c>
      <c r="E4624" s="22" t="e">
        <f>VLOOKUP($A4624,TAB_CORRECAO_U[[Q_DIAS_U_PARC_TIR]:[V_FUT_U_CORC-02]],E$5, FALSE)</f>
        <v>#N/A</v>
      </c>
      <c r="F4624" s="22" t="e">
        <f>VLOOKUP($A4624,TAB_AMORTIZACAO_U[[Q_DIAS_U_PARC_TIR]:[V_FUT_U_PCPL-02]], F$5, FALSE)</f>
        <v>#N/A</v>
      </c>
      <c r="H4624" s="20">
        <f t="shared" si="367"/>
        <v>0</v>
      </c>
      <c r="I4624" s="21">
        <f t="shared" si="368"/>
        <v>0</v>
      </c>
      <c r="J4624" s="22" t="e">
        <f>VLOOKUP($A4624, TAB_JUROS_C[[DIAS_CORRIDOS]:[V_FUT_UTEIS]], J$5, FALSE)</f>
        <v>#N/A</v>
      </c>
      <c r="K4624" s="22" t="e">
        <f>VLOOKUP($A4624, TAB_CORRECAO_C[[DIAS_CORRIDOS]:[V_FUT_UTEIS]],K$5, FALSE)</f>
        <v>#N/A</v>
      </c>
      <c r="L4624" s="22" t="e">
        <f>VLOOKUP($A4624, TAB_AMORTIZACAO_C[[DIAS_CORRIDOS]:[V_FUT_UTEIS]], L$5, FALSE)</f>
        <v>#N/A</v>
      </c>
    </row>
    <row r="4625" spans="1:12" hidden="1">
      <c r="A4625" s="19">
        <f t="shared" si="369"/>
        <v>4619</v>
      </c>
      <c r="B4625" s="20">
        <f t="shared" si="365"/>
        <v>0</v>
      </c>
      <c r="C4625" s="21">
        <f t="shared" si="366"/>
        <v>0</v>
      </c>
      <c r="D4625" s="22" t="e">
        <f>VLOOKUP($A4625, TAB_JUROS_U[[Q_DIAS_U_PARC_TIR]:[V_FUT_U_JURS CENARIO]], D$5, FALSE)</f>
        <v>#N/A</v>
      </c>
      <c r="E4625" s="22" t="e">
        <f>VLOOKUP($A4625,TAB_CORRECAO_U[[Q_DIAS_U_PARC_TIR]:[V_FUT_U_CORC-02]],E$5, FALSE)</f>
        <v>#N/A</v>
      </c>
      <c r="F4625" s="22" t="e">
        <f>VLOOKUP($A4625,TAB_AMORTIZACAO_U[[Q_DIAS_U_PARC_TIR]:[V_FUT_U_PCPL-02]], F$5, FALSE)</f>
        <v>#N/A</v>
      </c>
      <c r="H4625" s="20">
        <f t="shared" si="367"/>
        <v>0</v>
      </c>
      <c r="I4625" s="21">
        <f t="shared" si="368"/>
        <v>0</v>
      </c>
      <c r="J4625" s="22" t="e">
        <f>VLOOKUP($A4625, TAB_JUROS_C[[DIAS_CORRIDOS]:[V_FUT_UTEIS]], J$5, FALSE)</f>
        <v>#N/A</v>
      </c>
      <c r="K4625" s="22" t="e">
        <f>VLOOKUP($A4625, TAB_CORRECAO_C[[DIAS_CORRIDOS]:[V_FUT_UTEIS]],K$5, FALSE)</f>
        <v>#N/A</v>
      </c>
      <c r="L4625" s="22" t="e">
        <f>VLOOKUP($A4625, TAB_AMORTIZACAO_C[[DIAS_CORRIDOS]:[V_FUT_UTEIS]], L$5, FALSE)</f>
        <v>#N/A</v>
      </c>
    </row>
    <row r="4626" spans="1:12" hidden="1">
      <c r="A4626" s="19">
        <f t="shared" si="369"/>
        <v>4620</v>
      </c>
      <c r="B4626" s="20">
        <f t="shared" si="365"/>
        <v>0</v>
      </c>
      <c r="C4626" s="21">
        <f t="shared" si="366"/>
        <v>0</v>
      </c>
      <c r="D4626" s="22" t="e">
        <f>VLOOKUP($A4626, TAB_JUROS_U[[Q_DIAS_U_PARC_TIR]:[V_FUT_U_JURS CENARIO]], D$5, FALSE)</f>
        <v>#N/A</v>
      </c>
      <c r="E4626" s="22" t="e">
        <f>VLOOKUP($A4626,TAB_CORRECAO_U[[Q_DIAS_U_PARC_TIR]:[V_FUT_U_CORC-02]],E$5, FALSE)</f>
        <v>#N/A</v>
      </c>
      <c r="F4626" s="22" t="e">
        <f>VLOOKUP($A4626,TAB_AMORTIZACAO_U[[Q_DIAS_U_PARC_TIR]:[V_FUT_U_PCPL-02]], F$5, FALSE)</f>
        <v>#N/A</v>
      </c>
      <c r="H4626" s="20">
        <f t="shared" si="367"/>
        <v>0</v>
      </c>
      <c r="I4626" s="21">
        <f t="shared" si="368"/>
        <v>0</v>
      </c>
      <c r="J4626" s="22" t="e">
        <f>VLOOKUP($A4626, TAB_JUROS_C[[DIAS_CORRIDOS]:[V_FUT_UTEIS]], J$5, FALSE)</f>
        <v>#N/A</v>
      </c>
      <c r="K4626" s="22" t="e">
        <f>VLOOKUP($A4626, TAB_CORRECAO_C[[DIAS_CORRIDOS]:[V_FUT_UTEIS]],K$5, FALSE)</f>
        <v>#N/A</v>
      </c>
      <c r="L4626" s="22" t="e">
        <f>VLOOKUP($A4626, TAB_AMORTIZACAO_C[[DIAS_CORRIDOS]:[V_FUT_UTEIS]], L$5, FALSE)</f>
        <v>#N/A</v>
      </c>
    </row>
    <row r="4627" spans="1:12" hidden="1">
      <c r="A4627" s="19">
        <f t="shared" si="369"/>
        <v>4621</v>
      </c>
      <c r="B4627" s="20">
        <f t="shared" si="365"/>
        <v>0</v>
      </c>
      <c r="C4627" s="21">
        <f t="shared" si="366"/>
        <v>0</v>
      </c>
      <c r="D4627" s="22" t="e">
        <f>VLOOKUP($A4627, TAB_JUROS_U[[Q_DIAS_U_PARC_TIR]:[V_FUT_U_JURS CENARIO]], D$5, FALSE)</f>
        <v>#N/A</v>
      </c>
      <c r="E4627" s="22" t="e">
        <f>VLOOKUP($A4627,TAB_CORRECAO_U[[Q_DIAS_U_PARC_TIR]:[V_FUT_U_CORC-02]],E$5, FALSE)</f>
        <v>#N/A</v>
      </c>
      <c r="F4627" s="22" t="e">
        <f>VLOOKUP($A4627,TAB_AMORTIZACAO_U[[Q_DIAS_U_PARC_TIR]:[V_FUT_U_PCPL-02]], F$5, FALSE)</f>
        <v>#N/A</v>
      </c>
      <c r="H4627" s="20">
        <f t="shared" si="367"/>
        <v>0</v>
      </c>
      <c r="I4627" s="21">
        <f t="shared" si="368"/>
        <v>0</v>
      </c>
      <c r="J4627" s="22" t="e">
        <f>VLOOKUP($A4627, TAB_JUROS_C[[DIAS_CORRIDOS]:[V_FUT_UTEIS]], J$5, FALSE)</f>
        <v>#N/A</v>
      </c>
      <c r="K4627" s="22" t="e">
        <f>VLOOKUP($A4627, TAB_CORRECAO_C[[DIAS_CORRIDOS]:[V_FUT_UTEIS]],K$5, FALSE)</f>
        <v>#N/A</v>
      </c>
      <c r="L4627" s="22" t="e">
        <f>VLOOKUP($A4627, TAB_AMORTIZACAO_C[[DIAS_CORRIDOS]:[V_FUT_UTEIS]], L$5, FALSE)</f>
        <v>#N/A</v>
      </c>
    </row>
    <row r="4628" spans="1:12" hidden="1">
      <c r="A4628" s="19">
        <f t="shared" si="369"/>
        <v>4622</v>
      </c>
      <c r="B4628" s="20">
        <f t="shared" si="365"/>
        <v>0</v>
      </c>
      <c r="C4628" s="21">
        <f t="shared" si="366"/>
        <v>0</v>
      </c>
      <c r="D4628" s="22" t="e">
        <f>VLOOKUP($A4628, TAB_JUROS_U[[Q_DIAS_U_PARC_TIR]:[V_FUT_U_JURS CENARIO]], D$5, FALSE)</f>
        <v>#N/A</v>
      </c>
      <c r="E4628" s="22" t="e">
        <f>VLOOKUP($A4628,TAB_CORRECAO_U[[Q_DIAS_U_PARC_TIR]:[V_FUT_U_CORC-02]],E$5, FALSE)</f>
        <v>#N/A</v>
      </c>
      <c r="F4628" s="22" t="e">
        <f>VLOOKUP($A4628,TAB_AMORTIZACAO_U[[Q_DIAS_U_PARC_TIR]:[V_FUT_U_PCPL-02]], F$5, FALSE)</f>
        <v>#N/A</v>
      </c>
      <c r="H4628" s="20">
        <f t="shared" si="367"/>
        <v>0</v>
      </c>
      <c r="I4628" s="21">
        <f t="shared" si="368"/>
        <v>0</v>
      </c>
      <c r="J4628" s="22" t="e">
        <f>VLOOKUP($A4628, TAB_JUROS_C[[DIAS_CORRIDOS]:[V_FUT_UTEIS]], J$5, FALSE)</f>
        <v>#N/A</v>
      </c>
      <c r="K4628" s="22" t="e">
        <f>VLOOKUP($A4628, TAB_CORRECAO_C[[DIAS_CORRIDOS]:[V_FUT_UTEIS]],K$5, FALSE)</f>
        <v>#N/A</v>
      </c>
      <c r="L4628" s="22" t="e">
        <f>VLOOKUP($A4628, TAB_AMORTIZACAO_C[[DIAS_CORRIDOS]:[V_FUT_UTEIS]], L$5, FALSE)</f>
        <v>#N/A</v>
      </c>
    </row>
    <row r="4629" spans="1:12" hidden="1">
      <c r="A4629" s="19">
        <f t="shared" si="369"/>
        <v>4623</v>
      </c>
      <c r="B4629" s="20">
        <f t="shared" si="365"/>
        <v>0</v>
      </c>
      <c r="C4629" s="21">
        <f t="shared" si="366"/>
        <v>0</v>
      </c>
      <c r="D4629" s="22" t="e">
        <f>VLOOKUP($A4629, TAB_JUROS_U[[Q_DIAS_U_PARC_TIR]:[V_FUT_U_JURS CENARIO]], D$5, FALSE)</f>
        <v>#N/A</v>
      </c>
      <c r="E4629" s="22" t="e">
        <f>VLOOKUP($A4629,TAB_CORRECAO_U[[Q_DIAS_U_PARC_TIR]:[V_FUT_U_CORC-02]],E$5, FALSE)</f>
        <v>#N/A</v>
      </c>
      <c r="F4629" s="22" t="e">
        <f>VLOOKUP($A4629,TAB_AMORTIZACAO_U[[Q_DIAS_U_PARC_TIR]:[V_FUT_U_PCPL-02]], F$5, FALSE)</f>
        <v>#N/A</v>
      </c>
      <c r="H4629" s="20">
        <f t="shared" si="367"/>
        <v>0</v>
      </c>
      <c r="I4629" s="21">
        <f t="shared" si="368"/>
        <v>0</v>
      </c>
      <c r="J4629" s="22" t="e">
        <f>VLOOKUP($A4629, TAB_JUROS_C[[DIAS_CORRIDOS]:[V_FUT_UTEIS]], J$5, FALSE)</f>
        <v>#N/A</v>
      </c>
      <c r="K4629" s="22" t="e">
        <f>VLOOKUP($A4629, TAB_CORRECAO_C[[DIAS_CORRIDOS]:[V_FUT_UTEIS]],K$5, FALSE)</f>
        <v>#N/A</v>
      </c>
      <c r="L4629" s="22" t="e">
        <f>VLOOKUP($A4629, TAB_AMORTIZACAO_C[[DIAS_CORRIDOS]:[V_FUT_UTEIS]], L$5, FALSE)</f>
        <v>#N/A</v>
      </c>
    </row>
    <row r="4630" spans="1:12" hidden="1">
      <c r="A4630" s="19">
        <f t="shared" si="369"/>
        <v>4624</v>
      </c>
      <c r="B4630" s="20">
        <f t="shared" si="365"/>
        <v>0</v>
      </c>
      <c r="C4630" s="21">
        <f t="shared" si="366"/>
        <v>0</v>
      </c>
      <c r="D4630" s="22" t="e">
        <f>VLOOKUP($A4630, TAB_JUROS_U[[Q_DIAS_U_PARC_TIR]:[V_FUT_U_JURS CENARIO]], D$5, FALSE)</f>
        <v>#N/A</v>
      </c>
      <c r="E4630" s="22" t="e">
        <f>VLOOKUP($A4630,TAB_CORRECAO_U[[Q_DIAS_U_PARC_TIR]:[V_FUT_U_CORC-02]],E$5, FALSE)</f>
        <v>#N/A</v>
      </c>
      <c r="F4630" s="22" t="e">
        <f>VLOOKUP($A4630,TAB_AMORTIZACAO_U[[Q_DIAS_U_PARC_TIR]:[V_FUT_U_PCPL-02]], F$5, FALSE)</f>
        <v>#N/A</v>
      </c>
      <c r="H4630" s="20">
        <f t="shared" si="367"/>
        <v>0</v>
      </c>
      <c r="I4630" s="21">
        <f t="shared" si="368"/>
        <v>0</v>
      </c>
      <c r="J4630" s="22" t="e">
        <f>VLOOKUP($A4630, TAB_JUROS_C[[DIAS_CORRIDOS]:[V_FUT_UTEIS]], J$5, FALSE)</f>
        <v>#N/A</v>
      </c>
      <c r="K4630" s="22" t="e">
        <f>VLOOKUP($A4630, TAB_CORRECAO_C[[DIAS_CORRIDOS]:[V_FUT_UTEIS]],K$5, FALSE)</f>
        <v>#N/A</v>
      </c>
      <c r="L4630" s="22" t="e">
        <f>VLOOKUP($A4630, TAB_AMORTIZACAO_C[[DIAS_CORRIDOS]:[V_FUT_UTEIS]], L$5, FALSE)</f>
        <v>#N/A</v>
      </c>
    </row>
    <row r="4631" spans="1:12" hidden="1">
      <c r="A4631" s="19">
        <f t="shared" si="369"/>
        <v>4625</v>
      </c>
      <c r="B4631" s="20">
        <f t="shared" si="365"/>
        <v>0</v>
      </c>
      <c r="C4631" s="21">
        <f t="shared" si="366"/>
        <v>0</v>
      </c>
      <c r="D4631" s="22" t="e">
        <f>VLOOKUP($A4631, TAB_JUROS_U[[Q_DIAS_U_PARC_TIR]:[V_FUT_U_JURS CENARIO]], D$5, FALSE)</f>
        <v>#N/A</v>
      </c>
      <c r="E4631" s="22" t="e">
        <f>VLOOKUP($A4631,TAB_CORRECAO_U[[Q_DIAS_U_PARC_TIR]:[V_FUT_U_CORC-02]],E$5, FALSE)</f>
        <v>#N/A</v>
      </c>
      <c r="F4631" s="22" t="e">
        <f>VLOOKUP($A4631,TAB_AMORTIZACAO_U[[Q_DIAS_U_PARC_TIR]:[V_FUT_U_PCPL-02]], F$5, FALSE)</f>
        <v>#N/A</v>
      </c>
      <c r="H4631" s="20">
        <f t="shared" si="367"/>
        <v>0</v>
      </c>
      <c r="I4631" s="21">
        <f t="shared" si="368"/>
        <v>0</v>
      </c>
      <c r="J4631" s="22" t="e">
        <f>VLOOKUP($A4631, TAB_JUROS_C[[DIAS_CORRIDOS]:[V_FUT_UTEIS]], J$5, FALSE)</f>
        <v>#N/A</v>
      </c>
      <c r="K4631" s="22" t="e">
        <f>VLOOKUP($A4631, TAB_CORRECAO_C[[DIAS_CORRIDOS]:[V_FUT_UTEIS]],K$5, FALSE)</f>
        <v>#N/A</v>
      </c>
      <c r="L4631" s="22" t="e">
        <f>VLOOKUP($A4631, TAB_AMORTIZACAO_C[[DIAS_CORRIDOS]:[V_FUT_UTEIS]], L$5, FALSE)</f>
        <v>#N/A</v>
      </c>
    </row>
    <row r="4632" spans="1:12" hidden="1">
      <c r="A4632" s="19">
        <f t="shared" si="369"/>
        <v>4626</v>
      </c>
      <c r="B4632" s="20">
        <f t="shared" si="365"/>
        <v>0</v>
      </c>
      <c r="C4632" s="21">
        <f t="shared" si="366"/>
        <v>0</v>
      </c>
      <c r="D4632" s="22" t="e">
        <f>VLOOKUP($A4632, TAB_JUROS_U[[Q_DIAS_U_PARC_TIR]:[V_FUT_U_JURS CENARIO]], D$5, FALSE)</f>
        <v>#N/A</v>
      </c>
      <c r="E4632" s="22" t="e">
        <f>VLOOKUP($A4632,TAB_CORRECAO_U[[Q_DIAS_U_PARC_TIR]:[V_FUT_U_CORC-02]],E$5, FALSE)</f>
        <v>#N/A</v>
      </c>
      <c r="F4632" s="22" t="e">
        <f>VLOOKUP($A4632,TAB_AMORTIZACAO_U[[Q_DIAS_U_PARC_TIR]:[V_FUT_U_PCPL-02]], F$5, FALSE)</f>
        <v>#N/A</v>
      </c>
      <c r="H4632" s="20">
        <f t="shared" si="367"/>
        <v>0</v>
      </c>
      <c r="I4632" s="21">
        <f t="shared" si="368"/>
        <v>0</v>
      </c>
      <c r="J4632" s="22" t="e">
        <f>VLOOKUP($A4632, TAB_JUROS_C[[DIAS_CORRIDOS]:[V_FUT_UTEIS]], J$5, FALSE)</f>
        <v>#N/A</v>
      </c>
      <c r="K4632" s="22" t="e">
        <f>VLOOKUP($A4632, TAB_CORRECAO_C[[DIAS_CORRIDOS]:[V_FUT_UTEIS]],K$5, FALSE)</f>
        <v>#N/A</v>
      </c>
      <c r="L4632" s="22" t="e">
        <f>VLOOKUP($A4632, TAB_AMORTIZACAO_C[[DIAS_CORRIDOS]:[V_FUT_UTEIS]], L$5, FALSE)</f>
        <v>#N/A</v>
      </c>
    </row>
    <row r="4633" spans="1:12" hidden="1">
      <c r="A4633" s="19">
        <f t="shared" si="369"/>
        <v>4627</v>
      </c>
      <c r="B4633" s="20">
        <f t="shared" si="365"/>
        <v>0</v>
      </c>
      <c r="C4633" s="21">
        <f t="shared" si="366"/>
        <v>0</v>
      </c>
      <c r="D4633" s="22" t="e">
        <f>VLOOKUP($A4633, TAB_JUROS_U[[Q_DIAS_U_PARC_TIR]:[V_FUT_U_JURS CENARIO]], D$5, FALSE)</f>
        <v>#N/A</v>
      </c>
      <c r="E4633" s="22" t="e">
        <f>VLOOKUP($A4633,TAB_CORRECAO_U[[Q_DIAS_U_PARC_TIR]:[V_FUT_U_CORC-02]],E$5, FALSE)</f>
        <v>#N/A</v>
      </c>
      <c r="F4633" s="22" t="e">
        <f>VLOOKUP($A4633,TAB_AMORTIZACAO_U[[Q_DIAS_U_PARC_TIR]:[V_FUT_U_PCPL-02]], F$5, FALSE)</f>
        <v>#N/A</v>
      </c>
      <c r="H4633" s="20">
        <f t="shared" si="367"/>
        <v>0</v>
      </c>
      <c r="I4633" s="21">
        <f t="shared" si="368"/>
        <v>0</v>
      </c>
      <c r="J4633" s="22" t="e">
        <f>VLOOKUP($A4633, TAB_JUROS_C[[DIAS_CORRIDOS]:[V_FUT_UTEIS]], J$5, FALSE)</f>
        <v>#N/A</v>
      </c>
      <c r="K4633" s="22" t="e">
        <f>VLOOKUP($A4633, TAB_CORRECAO_C[[DIAS_CORRIDOS]:[V_FUT_UTEIS]],K$5, FALSE)</f>
        <v>#N/A</v>
      </c>
      <c r="L4633" s="22" t="e">
        <f>VLOOKUP($A4633, TAB_AMORTIZACAO_C[[DIAS_CORRIDOS]:[V_FUT_UTEIS]], L$5, FALSE)</f>
        <v>#N/A</v>
      </c>
    </row>
    <row r="4634" spans="1:12" hidden="1">
      <c r="A4634" s="19">
        <f t="shared" si="369"/>
        <v>4628</v>
      </c>
      <c r="B4634" s="20">
        <f t="shared" si="365"/>
        <v>0</v>
      </c>
      <c r="C4634" s="21">
        <f t="shared" si="366"/>
        <v>0</v>
      </c>
      <c r="D4634" s="22" t="e">
        <f>VLOOKUP($A4634, TAB_JUROS_U[[Q_DIAS_U_PARC_TIR]:[V_FUT_U_JURS CENARIO]], D$5, FALSE)</f>
        <v>#N/A</v>
      </c>
      <c r="E4634" s="22" t="e">
        <f>VLOOKUP($A4634,TAB_CORRECAO_U[[Q_DIAS_U_PARC_TIR]:[V_FUT_U_CORC-02]],E$5, FALSE)</f>
        <v>#N/A</v>
      </c>
      <c r="F4634" s="22" t="e">
        <f>VLOOKUP($A4634,TAB_AMORTIZACAO_U[[Q_DIAS_U_PARC_TIR]:[V_FUT_U_PCPL-02]], F$5, FALSE)</f>
        <v>#N/A</v>
      </c>
      <c r="H4634" s="20">
        <f t="shared" si="367"/>
        <v>0</v>
      </c>
      <c r="I4634" s="21">
        <f t="shared" si="368"/>
        <v>0</v>
      </c>
      <c r="J4634" s="22" t="e">
        <f>VLOOKUP($A4634, TAB_JUROS_C[[DIAS_CORRIDOS]:[V_FUT_UTEIS]], J$5, FALSE)</f>
        <v>#N/A</v>
      </c>
      <c r="K4634" s="22" t="e">
        <f>VLOOKUP($A4634, TAB_CORRECAO_C[[DIAS_CORRIDOS]:[V_FUT_UTEIS]],K$5, FALSE)</f>
        <v>#N/A</v>
      </c>
      <c r="L4634" s="22" t="e">
        <f>VLOOKUP($A4634, TAB_AMORTIZACAO_C[[DIAS_CORRIDOS]:[V_FUT_UTEIS]], L$5, FALSE)</f>
        <v>#N/A</v>
      </c>
    </row>
    <row r="4635" spans="1:12" hidden="1">
      <c r="A4635" s="19">
        <f t="shared" si="369"/>
        <v>4629</v>
      </c>
      <c r="B4635" s="20">
        <f t="shared" si="365"/>
        <v>0</v>
      </c>
      <c r="C4635" s="21">
        <f t="shared" si="366"/>
        <v>0</v>
      </c>
      <c r="D4635" s="22" t="e">
        <f>VLOOKUP($A4635, TAB_JUROS_U[[Q_DIAS_U_PARC_TIR]:[V_FUT_U_JURS CENARIO]], D$5, FALSE)</f>
        <v>#N/A</v>
      </c>
      <c r="E4635" s="22" t="e">
        <f>VLOOKUP($A4635,TAB_CORRECAO_U[[Q_DIAS_U_PARC_TIR]:[V_FUT_U_CORC-02]],E$5, FALSE)</f>
        <v>#N/A</v>
      </c>
      <c r="F4635" s="22" t="e">
        <f>VLOOKUP($A4635,TAB_AMORTIZACAO_U[[Q_DIAS_U_PARC_TIR]:[V_FUT_U_PCPL-02]], F$5, FALSE)</f>
        <v>#N/A</v>
      </c>
      <c r="H4635" s="20">
        <f t="shared" si="367"/>
        <v>0</v>
      </c>
      <c r="I4635" s="21">
        <f t="shared" si="368"/>
        <v>0</v>
      </c>
      <c r="J4635" s="22" t="e">
        <f>VLOOKUP($A4635, TAB_JUROS_C[[DIAS_CORRIDOS]:[V_FUT_UTEIS]], J$5, FALSE)</f>
        <v>#N/A</v>
      </c>
      <c r="K4635" s="22" t="e">
        <f>VLOOKUP($A4635, TAB_CORRECAO_C[[DIAS_CORRIDOS]:[V_FUT_UTEIS]],K$5, FALSE)</f>
        <v>#N/A</v>
      </c>
      <c r="L4635" s="22" t="e">
        <f>VLOOKUP($A4635, TAB_AMORTIZACAO_C[[DIAS_CORRIDOS]:[V_FUT_UTEIS]], L$5, FALSE)</f>
        <v>#N/A</v>
      </c>
    </row>
    <row r="4636" spans="1:12" hidden="1">
      <c r="A4636" s="19">
        <f t="shared" si="369"/>
        <v>4630</v>
      </c>
      <c r="B4636" s="20">
        <f t="shared" si="365"/>
        <v>0</v>
      </c>
      <c r="C4636" s="21">
        <f t="shared" si="366"/>
        <v>0</v>
      </c>
      <c r="D4636" s="22" t="e">
        <f>VLOOKUP($A4636, TAB_JUROS_U[[Q_DIAS_U_PARC_TIR]:[V_FUT_U_JURS CENARIO]], D$5, FALSE)</f>
        <v>#N/A</v>
      </c>
      <c r="E4636" s="22" t="e">
        <f>VLOOKUP($A4636,TAB_CORRECAO_U[[Q_DIAS_U_PARC_TIR]:[V_FUT_U_CORC-02]],E$5, FALSE)</f>
        <v>#N/A</v>
      </c>
      <c r="F4636" s="22" t="e">
        <f>VLOOKUP($A4636,TAB_AMORTIZACAO_U[[Q_DIAS_U_PARC_TIR]:[V_FUT_U_PCPL-02]], F$5, FALSE)</f>
        <v>#N/A</v>
      </c>
      <c r="H4636" s="20">
        <f t="shared" si="367"/>
        <v>0</v>
      </c>
      <c r="I4636" s="21">
        <f t="shared" si="368"/>
        <v>0</v>
      </c>
      <c r="J4636" s="22" t="e">
        <f>VLOOKUP($A4636, TAB_JUROS_C[[DIAS_CORRIDOS]:[V_FUT_UTEIS]], J$5, FALSE)</f>
        <v>#N/A</v>
      </c>
      <c r="K4636" s="22" t="e">
        <f>VLOOKUP($A4636, TAB_CORRECAO_C[[DIAS_CORRIDOS]:[V_FUT_UTEIS]],K$5, FALSE)</f>
        <v>#N/A</v>
      </c>
      <c r="L4636" s="22" t="e">
        <f>VLOOKUP($A4636, TAB_AMORTIZACAO_C[[DIAS_CORRIDOS]:[V_FUT_UTEIS]], L$5, FALSE)</f>
        <v>#N/A</v>
      </c>
    </row>
    <row r="4637" spans="1:12" hidden="1">
      <c r="A4637" s="19">
        <f t="shared" si="369"/>
        <v>4631</v>
      </c>
      <c r="B4637" s="20">
        <f t="shared" si="365"/>
        <v>0</v>
      </c>
      <c r="C4637" s="21">
        <f t="shared" si="366"/>
        <v>0</v>
      </c>
      <c r="D4637" s="22" t="e">
        <f>VLOOKUP($A4637, TAB_JUROS_U[[Q_DIAS_U_PARC_TIR]:[V_FUT_U_JURS CENARIO]], D$5, FALSE)</f>
        <v>#N/A</v>
      </c>
      <c r="E4637" s="22" t="e">
        <f>VLOOKUP($A4637,TAB_CORRECAO_U[[Q_DIAS_U_PARC_TIR]:[V_FUT_U_CORC-02]],E$5, FALSE)</f>
        <v>#N/A</v>
      </c>
      <c r="F4637" s="22" t="e">
        <f>VLOOKUP($A4637,TAB_AMORTIZACAO_U[[Q_DIAS_U_PARC_TIR]:[V_FUT_U_PCPL-02]], F$5, FALSE)</f>
        <v>#N/A</v>
      </c>
      <c r="H4637" s="20">
        <f t="shared" si="367"/>
        <v>0</v>
      </c>
      <c r="I4637" s="21">
        <f t="shared" si="368"/>
        <v>0</v>
      </c>
      <c r="J4637" s="22" t="e">
        <f>VLOOKUP($A4637, TAB_JUROS_C[[DIAS_CORRIDOS]:[V_FUT_UTEIS]], J$5, FALSE)</f>
        <v>#N/A</v>
      </c>
      <c r="K4637" s="22" t="e">
        <f>VLOOKUP($A4637, TAB_CORRECAO_C[[DIAS_CORRIDOS]:[V_FUT_UTEIS]],K$5, FALSE)</f>
        <v>#N/A</v>
      </c>
      <c r="L4637" s="22" t="e">
        <f>VLOOKUP($A4637, TAB_AMORTIZACAO_C[[DIAS_CORRIDOS]:[V_FUT_UTEIS]], L$5, FALSE)</f>
        <v>#N/A</v>
      </c>
    </row>
    <row r="4638" spans="1:12" hidden="1">
      <c r="A4638" s="19">
        <f t="shared" si="369"/>
        <v>4632</v>
      </c>
      <c r="B4638" s="20">
        <f t="shared" si="365"/>
        <v>0</v>
      </c>
      <c r="C4638" s="21">
        <f t="shared" si="366"/>
        <v>0</v>
      </c>
      <c r="D4638" s="22" t="e">
        <f>VLOOKUP($A4638, TAB_JUROS_U[[Q_DIAS_U_PARC_TIR]:[V_FUT_U_JURS CENARIO]], D$5, FALSE)</f>
        <v>#N/A</v>
      </c>
      <c r="E4638" s="22" t="e">
        <f>VLOOKUP($A4638,TAB_CORRECAO_U[[Q_DIAS_U_PARC_TIR]:[V_FUT_U_CORC-02]],E$5, FALSE)</f>
        <v>#N/A</v>
      </c>
      <c r="F4638" s="22" t="e">
        <f>VLOOKUP($A4638,TAB_AMORTIZACAO_U[[Q_DIAS_U_PARC_TIR]:[V_FUT_U_PCPL-02]], F$5, FALSE)</f>
        <v>#N/A</v>
      </c>
      <c r="H4638" s="20">
        <f t="shared" si="367"/>
        <v>0</v>
      </c>
      <c r="I4638" s="21">
        <f t="shared" si="368"/>
        <v>0</v>
      </c>
      <c r="J4638" s="22" t="e">
        <f>VLOOKUP($A4638, TAB_JUROS_C[[DIAS_CORRIDOS]:[V_FUT_UTEIS]], J$5, FALSE)</f>
        <v>#N/A</v>
      </c>
      <c r="K4638" s="22" t="e">
        <f>VLOOKUP($A4638, TAB_CORRECAO_C[[DIAS_CORRIDOS]:[V_FUT_UTEIS]],K$5, FALSE)</f>
        <v>#N/A</v>
      </c>
      <c r="L4638" s="22" t="e">
        <f>VLOOKUP($A4638, TAB_AMORTIZACAO_C[[DIAS_CORRIDOS]:[V_FUT_UTEIS]], L$5, FALSE)</f>
        <v>#N/A</v>
      </c>
    </row>
    <row r="4639" spans="1:12" hidden="1">
      <c r="A4639" s="19">
        <f t="shared" si="369"/>
        <v>4633</v>
      </c>
      <c r="B4639" s="20">
        <f t="shared" si="365"/>
        <v>0</v>
      </c>
      <c r="C4639" s="21">
        <f t="shared" si="366"/>
        <v>0</v>
      </c>
      <c r="D4639" s="22" t="e">
        <f>VLOOKUP($A4639, TAB_JUROS_U[[Q_DIAS_U_PARC_TIR]:[V_FUT_U_JURS CENARIO]], D$5, FALSE)</f>
        <v>#N/A</v>
      </c>
      <c r="E4639" s="22" t="e">
        <f>VLOOKUP($A4639,TAB_CORRECAO_U[[Q_DIAS_U_PARC_TIR]:[V_FUT_U_CORC-02]],E$5, FALSE)</f>
        <v>#N/A</v>
      </c>
      <c r="F4639" s="22" t="e">
        <f>VLOOKUP($A4639,TAB_AMORTIZACAO_U[[Q_DIAS_U_PARC_TIR]:[V_FUT_U_PCPL-02]], F$5, FALSE)</f>
        <v>#N/A</v>
      </c>
      <c r="H4639" s="20">
        <f t="shared" si="367"/>
        <v>0</v>
      </c>
      <c r="I4639" s="21">
        <f t="shared" si="368"/>
        <v>0</v>
      </c>
      <c r="J4639" s="22" t="e">
        <f>VLOOKUP($A4639, TAB_JUROS_C[[DIAS_CORRIDOS]:[V_FUT_UTEIS]], J$5, FALSE)</f>
        <v>#N/A</v>
      </c>
      <c r="K4639" s="22" t="e">
        <f>VLOOKUP($A4639, TAB_CORRECAO_C[[DIAS_CORRIDOS]:[V_FUT_UTEIS]],K$5, FALSE)</f>
        <v>#N/A</v>
      </c>
      <c r="L4639" s="22" t="e">
        <f>VLOOKUP($A4639, TAB_AMORTIZACAO_C[[DIAS_CORRIDOS]:[V_FUT_UTEIS]], L$5, FALSE)</f>
        <v>#N/A</v>
      </c>
    </row>
    <row r="4640" spans="1:12" hidden="1">
      <c r="A4640" s="19">
        <f t="shared" si="369"/>
        <v>4634</v>
      </c>
      <c r="B4640" s="20">
        <f t="shared" si="365"/>
        <v>0</v>
      </c>
      <c r="C4640" s="21">
        <f t="shared" si="366"/>
        <v>0</v>
      </c>
      <c r="D4640" s="22" t="e">
        <f>VLOOKUP($A4640, TAB_JUROS_U[[Q_DIAS_U_PARC_TIR]:[V_FUT_U_JURS CENARIO]], D$5, FALSE)</f>
        <v>#N/A</v>
      </c>
      <c r="E4640" s="22" t="e">
        <f>VLOOKUP($A4640,TAB_CORRECAO_U[[Q_DIAS_U_PARC_TIR]:[V_FUT_U_CORC-02]],E$5, FALSE)</f>
        <v>#N/A</v>
      </c>
      <c r="F4640" s="22" t="e">
        <f>VLOOKUP($A4640,TAB_AMORTIZACAO_U[[Q_DIAS_U_PARC_TIR]:[V_FUT_U_PCPL-02]], F$5, FALSE)</f>
        <v>#N/A</v>
      </c>
      <c r="H4640" s="20">
        <f t="shared" si="367"/>
        <v>0</v>
      </c>
      <c r="I4640" s="21">
        <f t="shared" si="368"/>
        <v>0</v>
      </c>
      <c r="J4640" s="22" t="e">
        <f>VLOOKUP($A4640, TAB_JUROS_C[[DIAS_CORRIDOS]:[V_FUT_UTEIS]], J$5, FALSE)</f>
        <v>#N/A</v>
      </c>
      <c r="K4640" s="22" t="e">
        <f>VLOOKUP($A4640, TAB_CORRECAO_C[[DIAS_CORRIDOS]:[V_FUT_UTEIS]],K$5, FALSE)</f>
        <v>#N/A</v>
      </c>
      <c r="L4640" s="22" t="e">
        <f>VLOOKUP($A4640, TAB_AMORTIZACAO_C[[DIAS_CORRIDOS]:[V_FUT_UTEIS]], L$5, FALSE)</f>
        <v>#N/A</v>
      </c>
    </row>
    <row r="4641" spans="1:12" hidden="1">
      <c r="A4641" s="19">
        <f t="shared" si="369"/>
        <v>4635</v>
      </c>
      <c r="B4641" s="20">
        <f t="shared" si="365"/>
        <v>0</v>
      </c>
      <c r="C4641" s="21">
        <f t="shared" si="366"/>
        <v>0</v>
      </c>
      <c r="D4641" s="22" t="e">
        <f>VLOOKUP($A4641, TAB_JUROS_U[[Q_DIAS_U_PARC_TIR]:[V_FUT_U_JURS CENARIO]], D$5, FALSE)</f>
        <v>#N/A</v>
      </c>
      <c r="E4641" s="22" t="e">
        <f>VLOOKUP($A4641,TAB_CORRECAO_U[[Q_DIAS_U_PARC_TIR]:[V_FUT_U_CORC-02]],E$5, FALSE)</f>
        <v>#N/A</v>
      </c>
      <c r="F4641" s="22" t="e">
        <f>VLOOKUP($A4641,TAB_AMORTIZACAO_U[[Q_DIAS_U_PARC_TIR]:[V_FUT_U_PCPL-02]], F$5, FALSE)</f>
        <v>#N/A</v>
      </c>
      <c r="H4641" s="20">
        <f t="shared" si="367"/>
        <v>0</v>
      </c>
      <c r="I4641" s="21">
        <f t="shared" si="368"/>
        <v>0</v>
      </c>
      <c r="J4641" s="22" t="e">
        <f>VLOOKUP($A4641, TAB_JUROS_C[[DIAS_CORRIDOS]:[V_FUT_UTEIS]], J$5, FALSE)</f>
        <v>#N/A</v>
      </c>
      <c r="K4641" s="22" t="e">
        <f>VLOOKUP($A4641, TAB_CORRECAO_C[[DIAS_CORRIDOS]:[V_FUT_UTEIS]],K$5, FALSE)</f>
        <v>#N/A</v>
      </c>
      <c r="L4641" s="22" t="e">
        <f>VLOOKUP($A4641, TAB_AMORTIZACAO_C[[DIAS_CORRIDOS]:[V_FUT_UTEIS]], L$5, FALSE)</f>
        <v>#N/A</v>
      </c>
    </row>
    <row r="4642" spans="1:12" hidden="1">
      <c r="A4642" s="19">
        <f t="shared" si="369"/>
        <v>4636</v>
      </c>
      <c r="B4642" s="20">
        <f t="shared" si="365"/>
        <v>0</v>
      </c>
      <c r="C4642" s="21">
        <f t="shared" si="366"/>
        <v>0</v>
      </c>
      <c r="D4642" s="22" t="e">
        <f>VLOOKUP($A4642, TAB_JUROS_U[[Q_DIAS_U_PARC_TIR]:[V_FUT_U_JURS CENARIO]], D$5, FALSE)</f>
        <v>#N/A</v>
      </c>
      <c r="E4642" s="22" t="e">
        <f>VLOOKUP($A4642,TAB_CORRECAO_U[[Q_DIAS_U_PARC_TIR]:[V_FUT_U_CORC-02]],E$5, FALSE)</f>
        <v>#N/A</v>
      </c>
      <c r="F4642" s="22" t="e">
        <f>VLOOKUP($A4642,TAB_AMORTIZACAO_U[[Q_DIAS_U_PARC_TIR]:[V_FUT_U_PCPL-02]], F$5, FALSE)</f>
        <v>#N/A</v>
      </c>
      <c r="H4642" s="20">
        <f t="shared" si="367"/>
        <v>0</v>
      </c>
      <c r="I4642" s="21">
        <f t="shared" si="368"/>
        <v>0</v>
      </c>
      <c r="J4642" s="22" t="e">
        <f>VLOOKUP($A4642, TAB_JUROS_C[[DIAS_CORRIDOS]:[V_FUT_UTEIS]], J$5, FALSE)</f>
        <v>#N/A</v>
      </c>
      <c r="K4642" s="22" t="e">
        <f>VLOOKUP($A4642, TAB_CORRECAO_C[[DIAS_CORRIDOS]:[V_FUT_UTEIS]],K$5, FALSE)</f>
        <v>#N/A</v>
      </c>
      <c r="L4642" s="22" t="e">
        <f>VLOOKUP($A4642, TAB_AMORTIZACAO_C[[DIAS_CORRIDOS]:[V_FUT_UTEIS]], L$5, FALSE)</f>
        <v>#N/A</v>
      </c>
    </row>
    <row r="4643" spans="1:12" hidden="1">
      <c r="A4643" s="19">
        <f t="shared" si="369"/>
        <v>4637</v>
      </c>
      <c r="B4643" s="20">
        <f t="shared" si="365"/>
        <v>0</v>
      </c>
      <c r="C4643" s="21">
        <f t="shared" si="366"/>
        <v>0</v>
      </c>
      <c r="D4643" s="22" t="e">
        <f>VLOOKUP($A4643, TAB_JUROS_U[[Q_DIAS_U_PARC_TIR]:[V_FUT_U_JURS CENARIO]], D$5, FALSE)</f>
        <v>#N/A</v>
      </c>
      <c r="E4643" s="22" t="e">
        <f>VLOOKUP($A4643,TAB_CORRECAO_U[[Q_DIAS_U_PARC_TIR]:[V_FUT_U_CORC-02]],E$5, FALSE)</f>
        <v>#N/A</v>
      </c>
      <c r="F4643" s="22" t="e">
        <f>VLOOKUP($A4643,TAB_AMORTIZACAO_U[[Q_DIAS_U_PARC_TIR]:[V_FUT_U_PCPL-02]], F$5, FALSE)</f>
        <v>#N/A</v>
      </c>
      <c r="H4643" s="20">
        <f t="shared" si="367"/>
        <v>0</v>
      </c>
      <c r="I4643" s="21">
        <f t="shared" si="368"/>
        <v>0</v>
      </c>
      <c r="J4643" s="22" t="e">
        <f>VLOOKUP($A4643, TAB_JUROS_C[[DIAS_CORRIDOS]:[V_FUT_UTEIS]], J$5, FALSE)</f>
        <v>#N/A</v>
      </c>
      <c r="K4643" s="22" t="e">
        <f>VLOOKUP($A4643, TAB_CORRECAO_C[[DIAS_CORRIDOS]:[V_FUT_UTEIS]],K$5, FALSE)</f>
        <v>#N/A</v>
      </c>
      <c r="L4643" s="22" t="e">
        <f>VLOOKUP($A4643, TAB_AMORTIZACAO_C[[DIAS_CORRIDOS]:[V_FUT_UTEIS]], L$5, FALSE)</f>
        <v>#N/A</v>
      </c>
    </row>
    <row r="4644" spans="1:12" hidden="1">
      <c r="A4644" s="19">
        <f t="shared" si="369"/>
        <v>4638</v>
      </c>
      <c r="B4644" s="20">
        <f t="shared" si="365"/>
        <v>0</v>
      </c>
      <c r="C4644" s="21">
        <f t="shared" si="366"/>
        <v>0</v>
      </c>
      <c r="D4644" s="22" t="e">
        <f>VLOOKUP($A4644, TAB_JUROS_U[[Q_DIAS_U_PARC_TIR]:[V_FUT_U_JURS CENARIO]], D$5, FALSE)</f>
        <v>#N/A</v>
      </c>
      <c r="E4644" s="22" t="e">
        <f>VLOOKUP($A4644,TAB_CORRECAO_U[[Q_DIAS_U_PARC_TIR]:[V_FUT_U_CORC-02]],E$5, FALSE)</f>
        <v>#N/A</v>
      </c>
      <c r="F4644" s="22" t="e">
        <f>VLOOKUP($A4644,TAB_AMORTIZACAO_U[[Q_DIAS_U_PARC_TIR]:[V_FUT_U_PCPL-02]], F$5, FALSE)</f>
        <v>#N/A</v>
      </c>
      <c r="H4644" s="20">
        <f t="shared" si="367"/>
        <v>0</v>
      </c>
      <c r="I4644" s="21">
        <f t="shared" si="368"/>
        <v>0</v>
      </c>
      <c r="J4644" s="22" t="e">
        <f>VLOOKUP($A4644, TAB_JUROS_C[[DIAS_CORRIDOS]:[V_FUT_UTEIS]], J$5, FALSE)</f>
        <v>#N/A</v>
      </c>
      <c r="K4644" s="22" t="e">
        <f>VLOOKUP($A4644, TAB_CORRECAO_C[[DIAS_CORRIDOS]:[V_FUT_UTEIS]],K$5, FALSE)</f>
        <v>#N/A</v>
      </c>
      <c r="L4644" s="22" t="e">
        <f>VLOOKUP($A4644, TAB_AMORTIZACAO_C[[DIAS_CORRIDOS]:[V_FUT_UTEIS]], L$5, FALSE)</f>
        <v>#N/A</v>
      </c>
    </row>
    <row r="4645" spans="1:12" hidden="1">
      <c r="A4645" s="19">
        <f t="shared" si="369"/>
        <v>4639</v>
      </c>
      <c r="B4645" s="20">
        <f t="shared" si="365"/>
        <v>0</v>
      </c>
      <c r="C4645" s="21">
        <f t="shared" si="366"/>
        <v>0</v>
      </c>
      <c r="D4645" s="22" t="e">
        <f>VLOOKUP($A4645, TAB_JUROS_U[[Q_DIAS_U_PARC_TIR]:[V_FUT_U_JURS CENARIO]], D$5, FALSE)</f>
        <v>#N/A</v>
      </c>
      <c r="E4645" s="22" t="e">
        <f>VLOOKUP($A4645,TAB_CORRECAO_U[[Q_DIAS_U_PARC_TIR]:[V_FUT_U_CORC-02]],E$5, FALSE)</f>
        <v>#N/A</v>
      </c>
      <c r="F4645" s="22" t="e">
        <f>VLOOKUP($A4645,TAB_AMORTIZACAO_U[[Q_DIAS_U_PARC_TIR]:[V_FUT_U_PCPL-02]], F$5, FALSE)</f>
        <v>#N/A</v>
      </c>
      <c r="H4645" s="20">
        <f t="shared" si="367"/>
        <v>0</v>
      </c>
      <c r="I4645" s="21">
        <f t="shared" si="368"/>
        <v>0</v>
      </c>
      <c r="J4645" s="22" t="e">
        <f>VLOOKUP($A4645, TAB_JUROS_C[[DIAS_CORRIDOS]:[V_FUT_UTEIS]], J$5, FALSE)</f>
        <v>#N/A</v>
      </c>
      <c r="K4645" s="22" t="e">
        <f>VLOOKUP($A4645, TAB_CORRECAO_C[[DIAS_CORRIDOS]:[V_FUT_UTEIS]],K$5, FALSE)</f>
        <v>#N/A</v>
      </c>
      <c r="L4645" s="22" t="e">
        <f>VLOOKUP($A4645, TAB_AMORTIZACAO_C[[DIAS_CORRIDOS]:[V_FUT_UTEIS]], L$5, FALSE)</f>
        <v>#N/A</v>
      </c>
    </row>
    <row r="4646" spans="1:12" hidden="1">
      <c r="A4646" s="19">
        <f t="shared" si="369"/>
        <v>4640</v>
      </c>
      <c r="B4646" s="20">
        <f t="shared" si="365"/>
        <v>0</v>
      </c>
      <c r="C4646" s="21">
        <f t="shared" si="366"/>
        <v>0</v>
      </c>
      <c r="D4646" s="22" t="e">
        <f>VLOOKUP($A4646, TAB_JUROS_U[[Q_DIAS_U_PARC_TIR]:[V_FUT_U_JURS CENARIO]], D$5, FALSE)</f>
        <v>#N/A</v>
      </c>
      <c r="E4646" s="22" t="e">
        <f>VLOOKUP($A4646,TAB_CORRECAO_U[[Q_DIAS_U_PARC_TIR]:[V_FUT_U_CORC-02]],E$5, FALSE)</f>
        <v>#N/A</v>
      </c>
      <c r="F4646" s="22" t="e">
        <f>VLOOKUP($A4646,TAB_AMORTIZACAO_U[[Q_DIAS_U_PARC_TIR]:[V_FUT_U_PCPL-02]], F$5, FALSE)</f>
        <v>#N/A</v>
      </c>
      <c r="H4646" s="20">
        <f t="shared" si="367"/>
        <v>0</v>
      </c>
      <c r="I4646" s="21">
        <f t="shared" si="368"/>
        <v>0</v>
      </c>
      <c r="J4646" s="22" t="e">
        <f>VLOOKUP($A4646, TAB_JUROS_C[[DIAS_CORRIDOS]:[V_FUT_UTEIS]], J$5, FALSE)</f>
        <v>#N/A</v>
      </c>
      <c r="K4646" s="22" t="e">
        <f>VLOOKUP($A4646, TAB_CORRECAO_C[[DIAS_CORRIDOS]:[V_FUT_UTEIS]],K$5, FALSE)</f>
        <v>#N/A</v>
      </c>
      <c r="L4646" s="22" t="e">
        <f>VLOOKUP($A4646, TAB_AMORTIZACAO_C[[DIAS_CORRIDOS]:[V_FUT_UTEIS]], L$5, FALSE)</f>
        <v>#N/A</v>
      </c>
    </row>
    <row r="4647" spans="1:12" hidden="1">
      <c r="A4647" s="19">
        <f t="shared" si="369"/>
        <v>4641</v>
      </c>
      <c r="B4647" s="20">
        <f t="shared" si="365"/>
        <v>0</v>
      </c>
      <c r="C4647" s="21">
        <f t="shared" si="366"/>
        <v>0</v>
      </c>
      <c r="D4647" s="22" t="e">
        <f>VLOOKUP($A4647, TAB_JUROS_U[[Q_DIAS_U_PARC_TIR]:[V_FUT_U_JURS CENARIO]], D$5, FALSE)</f>
        <v>#N/A</v>
      </c>
      <c r="E4647" s="22" t="e">
        <f>VLOOKUP($A4647,TAB_CORRECAO_U[[Q_DIAS_U_PARC_TIR]:[V_FUT_U_CORC-02]],E$5, FALSE)</f>
        <v>#N/A</v>
      </c>
      <c r="F4647" s="22" t="e">
        <f>VLOOKUP($A4647,TAB_AMORTIZACAO_U[[Q_DIAS_U_PARC_TIR]:[V_FUT_U_PCPL-02]], F$5, FALSE)</f>
        <v>#N/A</v>
      </c>
      <c r="H4647" s="20">
        <f t="shared" si="367"/>
        <v>0</v>
      </c>
      <c r="I4647" s="21">
        <f t="shared" si="368"/>
        <v>0</v>
      </c>
      <c r="J4647" s="22" t="e">
        <f>VLOOKUP($A4647, TAB_JUROS_C[[DIAS_CORRIDOS]:[V_FUT_UTEIS]], J$5, FALSE)</f>
        <v>#N/A</v>
      </c>
      <c r="K4647" s="22" t="e">
        <f>VLOOKUP($A4647, TAB_CORRECAO_C[[DIAS_CORRIDOS]:[V_FUT_UTEIS]],K$5, FALSE)</f>
        <v>#N/A</v>
      </c>
      <c r="L4647" s="22" t="e">
        <f>VLOOKUP($A4647, TAB_AMORTIZACAO_C[[DIAS_CORRIDOS]:[V_FUT_UTEIS]], L$5, FALSE)</f>
        <v>#N/A</v>
      </c>
    </row>
    <row r="4648" spans="1:12" hidden="1">
      <c r="A4648" s="19">
        <f t="shared" si="369"/>
        <v>4642</v>
      </c>
      <c r="B4648" s="20">
        <f t="shared" si="365"/>
        <v>0</v>
      </c>
      <c r="C4648" s="21">
        <f t="shared" si="366"/>
        <v>0</v>
      </c>
      <c r="D4648" s="22" t="e">
        <f>VLOOKUP($A4648, TAB_JUROS_U[[Q_DIAS_U_PARC_TIR]:[V_FUT_U_JURS CENARIO]], D$5, FALSE)</f>
        <v>#N/A</v>
      </c>
      <c r="E4648" s="22" t="e">
        <f>VLOOKUP($A4648,TAB_CORRECAO_U[[Q_DIAS_U_PARC_TIR]:[V_FUT_U_CORC-02]],E$5, FALSE)</f>
        <v>#N/A</v>
      </c>
      <c r="F4648" s="22" t="e">
        <f>VLOOKUP($A4648,TAB_AMORTIZACAO_U[[Q_DIAS_U_PARC_TIR]:[V_FUT_U_PCPL-02]], F$5, FALSE)</f>
        <v>#N/A</v>
      </c>
      <c r="H4648" s="20">
        <f t="shared" si="367"/>
        <v>0</v>
      </c>
      <c r="I4648" s="21">
        <f t="shared" si="368"/>
        <v>0</v>
      </c>
      <c r="J4648" s="22" t="e">
        <f>VLOOKUP($A4648, TAB_JUROS_C[[DIAS_CORRIDOS]:[V_FUT_UTEIS]], J$5, FALSE)</f>
        <v>#N/A</v>
      </c>
      <c r="K4648" s="22" t="e">
        <f>VLOOKUP($A4648, TAB_CORRECAO_C[[DIAS_CORRIDOS]:[V_FUT_UTEIS]],K$5, FALSE)</f>
        <v>#N/A</v>
      </c>
      <c r="L4648" s="22" t="e">
        <f>VLOOKUP($A4648, TAB_AMORTIZACAO_C[[DIAS_CORRIDOS]:[V_FUT_UTEIS]], L$5, FALSE)</f>
        <v>#N/A</v>
      </c>
    </row>
    <row r="4649" spans="1:12" hidden="1">
      <c r="A4649" s="19">
        <f t="shared" si="369"/>
        <v>4643</v>
      </c>
      <c r="B4649" s="20">
        <f t="shared" si="365"/>
        <v>0</v>
      </c>
      <c r="C4649" s="21">
        <f t="shared" si="366"/>
        <v>0</v>
      </c>
      <c r="D4649" s="22" t="e">
        <f>VLOOKUP($A4649, TAB_JUROS_U[[Q_DIAS_U_PARC_TIR]:[V_FUT_U_JURS CENARIO]], D$5, FALSE)</f>
        <v>#N/A</v>
      </c>
      <c r="E4649" s="22" t="e">
        <f>VLOOKUP($A4649,TAB_CORRECAO_U[[Q_DIAS_U_PARC_TIR]:[V_FUT_U_CORC-02]],E$5, FALSE)</f>
        <v>#N/A</v>
      </c>
      <c r="F4649" s="22" t="e">
        <f>VLOOKUP($A4649,TAB_AMORTIZACAO_U[[Q_DIAS_U_PARC_TIR]:[V_FUT_U_PCPL-02]], F$5, FALSE)</f>
        <v>#N/A</v>
      </c>
      <c r="H4649" s="20">
        <f t="shared" si="367"/>
        <v>0</v>
      </c>
      <c r="I4649" s="21">
        <f t="shared" si="368"/>
        <v>0</v>
      </c>
      <c r="J4649" s="22" t="e">
        <f>VLOOKUP($A4649, TAB_JUROS_C[[DIAS_CORRIDOS]:[V_FUT_UTEIS]], J$5, FALSE)</f>
        <v>#N/A</v>
      </c>
      <c r="K4649" s="22" t="e">
        <f>VLOOKUP($A4649, TAB_CORRECAO_C[[DIAS_CORRIDOS]:[V_FUT_UTEIS]],K$5, FALSE)</f>
        <v>#N/A</v>
      </c>
      <c r="L4649" s="22" t="e">
        <f>VLOOKUP($A4649, TAB_AMORTIZACAO_C[[DIAS_CORRIDOS]:[V_FUT_UTEIS]], L$5, FALSE)</f>
        <v>#N/A</v>
      </c>
    </row>
    <row r="4650" spans="1:12" hidden="1">
      <c r="A4650" s="19">
        <f t="shared" si="369"/>
        <v>4644</v>
      </c>
      <c r="B4650" s="20">
        <f t="shared" si="365"/>
        <v>0</v>
      </c>
      <c r="C4650" s="21">
        <f t="shared" si="366"/>
        <v>0</v>
      </c>
      <c r="D4650" s="22" t="e">
        <f>VLOOKUP($A4650, TAB_JUROS_U[[Q_DIAS_U_PARC_TIR]:[V_FUT_U_JURS CENARIO]], D$5, FALSE)</f>
        <v>#N/A</v>
      </c>
      <c r="E4650" s="22" t="e">
        <f>VLOOKUP($A4650,TAB_CORRECAO_U[[Q_DIAS_U_PARC_TIR]:[V_FUT_U_CORC-02]],E$5, FALSE)</f>
        <v>#N/A</v>
      </c>
      <c r="F4650" s="22" t="e">
        <f>VLOOKUP($A4650,TAB_AMORTIZACAO_U[[Q_DIAS_U_PARC_TIR]:[V_FUT_U_PCPL-02]], F$5, FALSE)</f>
        <v>#N/A</v>
      </c>
      <c r="H4650" s="20">
        <f t="shared" si="367"/>
        <v>0</v>
      </c>
      <c r="I4650" s="21">
        <f t="shared" si="368"/>
        <v>0</v>
      </c>
      <c r="J4650" s="22" t="e">
        <f>VLOOKUP($A4650, TAB_JUROS_C[[DIAS_CORRIDOS]:[V_FUT_UTEIS]], J$5, FALSE)</f>
        <v>#N/A</v>
      </c>
      <c r="K4650" s="22" t="e">
        <f>VLOOKUP($A4650, TAB_CORRECAO_C[[DIAS_CORRIDOS]:[V_FUT_UTEIS]],K$5, FALSE)</f>
        <v>#N/A</v>
      </c>
      <c r="L4650" s="22" t="e">
        <f>VLOOKUP($A4650, TAB_AMORTIZACAO_C[[DIAS_CORRIDOS]:[V_FUT_UTEIS]], L$5, FALSE)</f>
        <v>#N/A</v>
      </c>
    </row>
    <row r="4651" spans="1:12" hidden="1">
      <c r="A4651" s="19">
        <f t="shared" si="369"/>
        <v>4645</v>
      </c>
      <c r="B4651" s="20">
        <f t="shared" si="365"/>
        <v>0</v>
      </c>
      <c r="C4651" s="21">
        <f t="shared" si="366"/>
        <v>0</v>
      </c>
      <c r="D4651" s="22" t="e">
        <f>VLOOKUP($A4651, TAB_JUROS_U[[Q_DIAS_U_PARC_TIR]:[V_FUT_U_JURS CENARIO]], D$5, FALSE)</f>
        <v>#N/A</v>
      </c>
      <c r="E4651" s="22" t="e">
        <f>VLOOKUP($A4651,TAB_CORRECAO_U[[Q_DIAS_U_PARC_TIR]:[V_FUT_U_CORC-02]],E$5, FALSE)</f>
        <v>#N/A</v>
      </c>
      <c r="F4651" s="22" t="e">
        <f>VLOOKUP($A4651,TAB_AMORTIZACAO_U[[Q_DIAS_U_PARC_TIR]:[V_FUT_U_PCPL-02]], F$5, FALSE)</f>
        <v>#N/A</v>
      </c>
      <c r="H4651" s="20">
        <f t="shared" si="367"/>
        <v>0</v>
      </c>
      <c r="I4651" s="21">
        <f t="shared" si="368"/>
        <v>0</v>
      </c>
      <c r="J4651" s="22" t="e">
        <f>VLOOKUP($A4651, TAB_JUROS_C[[DIAS_CORRIDOS]:[V_FUT_UTEIS]], J$5, FALSE)</f>
        <v>#N/A</v>
      </c>
      <c r="K4651" s="22" t="e">
        <f>VLOOKUP($A4651, TAB_CORRECAO_C[[DIAS_CORRIDOS]:[V_FUT_UTEIS]],K$5, FALSE)</f>
        <v>#N/A</v>
      </c>
      <c r="L4651" s="22" t="e">
        <f>VLOOKUP($A4651, TAB_AMORTIZACAO_C[[DIAS_CORRIDOS]:[V_FUT_UTEIS]], L$5, FALSE)</f>
        <v>#N/A</v>
      </c>
    </row>
    <row r="4652" spans="1:12" hidden="1">
      <c r="A4652" s="19">
        <f t="shared" si="369"/>
        <v>4646</v>
      </c>
      <c r="B4652" s="20">
        <f t="shared" si="365"/>
        <v>0</v>
      </c>
      <c r="C4652" s="21">
        <f t="shared" si="366"/>
        <v>0</v>
      </c>
      <c r="D4652" s="22" t="e">
        <f>VLOOKUP($A4652, TAB_JUROS_U[[Q_DIAS_U_PARC_TIR]:[V_FUT_U_JURS CENARIO]], D$5, FALSE)</f>
        <v>#N/A</v>
      </c>
      <c r="E4652" s="22" t="e">
        <f>VLOOKUP($A4652,TAB_CORRECAO_U[[Q_DIAS_U_PARC_TIR]:[V_FUT_U_CORC-02]],E$5, FALSE)</f>
        <v>#N/A</v>
      </c>
      <c r="F4652" s="22" t="e">
        <f>VLOOKUP($A4652,TAB_AMORTIZACAO_U[[Q_DIAS_U_PARC_TIR]:[V_FUT_U_PCPL-02]], F$5, FALSE)</f>
        <v>#N/A</v>
      </c>
      <c r="H4652" s="20">
        <f t="shared" si="367"/>
        <v>0</v>
      </c>
      <c r="I4652" s="21">
        <f t="shared" si="368"/>
        <v>0</v>
      </c>
      <c r="J4652" s="22" t="e">
        <f>VLOOKUP($A4652, TAB_JUROS_C[[DIAS_CORRIDOS]:[V_FUT_UTEIS]], J$5, FALSE)</f>
        <v>#N/A</v>
      </c>
      <c r="K4652" s="22" t="e">
        <f>VLOOKUP($A4652, TAB_CORRECAO_C[[DIAS_CORRIDOS]:[V_FUT_UTEIS]],K$5, FALSE)</f>
        <v>#N/A</v>
      </c>
      <c r="L4652" s="22" t="e">
        <f>VLOOKUP($A4652, TAB_AMORTIZACAO_C[[DIAS_CORRIDOS]:[V_FUT_UTEIS]], L$5, FALSE)</f>
        <v>#N/A</v>
      </c>
    </row>
    <row r="4653" spans="1:12" hidden="1">
      <c r="A4653" s="19">
        <f t="shared" si="369"/>
        <v>4647</v>
      </c>
      <c r="B4653" s="20">
        <f t="shared" si="365"/>
        <v>0</v>
      </c>
      <c r="C4653" s="21">
        <f t="shared" si="366"/>
        <v>0</v>
      </c>
      <c r="D4653" s="22" t="e">
        <f>VLOOKUP($A4653, TAB_JUROS_U[[Q_DIAS_U_PARC_TIR]:[V_FUT_U_JURS CENARIO]], D$5, FALSE)</f>
        <v>#N/A</v>
      </c>
      <c r="E4653" s="22" t="e">
        <f>VLOOKUP($A4653,TAB_CORRECAO_U[[Q_DIAS_U_PARC_TIR]:[V_FUT_U_CORC-02]],E$5, FALSE)</f>
        <v>#N/A</v>
      </c>
      <c r="F4653" s="22" t="e">
        <f>VLOOKUP($A4653,TAB_AMORTIZACAO_U[[Q_DIAS_U_PARC_TIR]:[V_FUT_U_PCPL-02]], F$5, FALSE)</f>
        <v>#N/A</v>
      </c>
      <c r="H4653" s="20">
        <f t="shared" si="367"/>
        <v>0</v>
      </c>
      <c r="I4653" s="21">
        <f t="shared" si="368"/>
        <v>0</v>
      </c>
      <c r="J4653" s="22" t="e">
        <f>VLOOKUP($A4653, TAB_JUROS_C[[DIAS_CORRIDOS]:[V_FUT_UTEIS]], J$5, FALSE)</f>
        <v>#N/A</v>
      </c>
      <c r="K4653" s="22" t="e">
        <f>VLOOKUP($A4653, TAB_CORRECAO_C[[DIAS_CORRIDOS]:[V_FUT_UTEIS]],K$5, FALSE)</f>
        <v>#N/A</v>
      </c>
      <c r="L4653" s="22" t="e">
        <f>VLOOKUP($A4653, TAB_AMORTIZACAO_C[[DIAS_CORRIDOS]:[V_FUT_UTEIS]], L$5, FALSE)</f>
        <v>#N/A</v>
      </c>
    </row>
    <row r="4654" spans="1:12" hidden="1">
      <c r="A4654" s="19">
        <f t="shared" si="369"/>
        <v>4648</v>
      </c>
      <c r="B4654" s="20">
        <f t="shared" si="365"/>
        <v>0</v>
      </c>
      <c r="C4654" s="21">
        <f t="shared" si="366"/>
        <v>0</v>
      </c>
      <c r="D4654" s="22" t="e">
        <f>VLOOKUP($A4654, TAB_JUROS_U[[Q_DIAS_U_PARC_TIR]:[V_FUT_U_JURS CENARIO]], D$5, FALSE)</f>
        <v>#N/A</v>
      </c>
      <c r="E4654" s="22" t="e">
        <f>VLOOKUP($A4654,TAB_CORRECAO_U[[Q_DIAS_U_PARC_TIR]:[V_FUT_U_CORC-02]],E$5, FALSE)</f>
        <v>#N/A</v>
      </c>
      <c r="F4654" s="22" t="e">
        <f>VLOOKUP($A4654,TAB_AMORTIZACAO_U[[Q_DIAS_U_PARC_TIR]:[V_FUT_U_PCPL-02]], F$5, FALSE)</f>
        <v>#N/A</v>
      </c>
      <c r="H4654" s="20">
        <f t="shared" si="367"/>
        <v>0</v>
      </c>
      <c r="I4654" s="21">
        <f t="shared" si="368"/>
        <v>0</v>
      </c>
      <c r="J4654" s="22" t="e">
        <f>VLOOKUP($A4654, TAB_JUROS_C[[DIAS_CORRIDOS]:[V_FUT_UTEIS]], J$5, FALSE)</f>
        <v>#N/A</v>
      </c>
      <c r="K4654" s="22" t="e">
        <f>VLOOKUP($A4654, TAB_CORRECAO_C[[DIAS_CORRIDOS]:[V_FUT_UTEIS]],K$5, FALSE)</f>
        <v>#N/A</v>
      </c>
      <c r="L4654" s="22" t="e">
        <f>VLOOKUP($A4654, TAB_AMORTIZACAO_C[[DIAS_CORRIDOS]:[V_FUT_UTEIS]], L$5, FALSE)</f>
        <v>#N/A</v>
      </c>
    </row>
    <row r="4655" spans="1:12" hidden="1">
      <c r="A4655" s="19">
        <f t="shared" si="369"/>
        <v>4649</v>
      </c>
      <c r="B4655" s="20">
        <f t="shared" si="365"/>
        <v>0</v>
      </c>
      <c r="C4655" s="21">
        <f t="shared" si="366"/>
        <v>0</v>
      </c>
      <c r="D4655" s="22" t="e">
        <f>VLOOKUP($A4655, TAB_JUROS_U[[Q_DIAS_U_PARC_TIR]:[V_FUT_U_JURS CENARIO]], D$5, FALSE)</f>
        <v>#N/A</v>
      </c>
      <c r="E4655" s="22" t="e">
        <f>VLOOKUP($A4655,TAB_CORRECAO_U[[Q_DIAS_U_PARC_TIR]:[V_FUT_U_CORC-02]],E$5, FALSE)</f>
        <v>#N/A</v>
      </c>
      <c r="F4655" s="22" t="e">
        <f>VLOOKUP($A4655,TAB_AMORTIZACAO_U[[Q_DIAS_U_PARC_TIR]:[V_FUT_U_PCPL-02]], F$5, FALSE)</f>
        <v>#N/A</v>
      </c>
      <c r="H4655" s="20">
        <f t="shared" si="367"/>
        <v>0</v>
      </c>
      <c r="I4655" s="21">
        <f t="shared" si="368"/>
        <v>0</v>
      </c>
      <c r="J4655" s="22" t="e">
        <f>VLOOKUP($A4655, TAB_JUROS_C[[DIAS_CORRIDOS]:[V_FUT_UTEIS]], J$5, FALSE)</f>
        <v>#N/A</v>
      </c>
      <c r="K4655" s="22" t="e">
        <f>VLOOKUP($A4655, TAB_CORRECAO_C[[DIAS_CORRIDOS]:[V_FUT_UTEIS]],K$5, FALSE)</f>
        <v>#N/A</v>
      </c>
      <c r="L4655" s="22" t="e">
        <f>VLOOKUP($A4655, TAB_AMORTIZACAO_C[[DIAS_CORRIDOS]:[V_FUT_UTEIS]], L$5, FALSE)</f>
        <v>#N/A</v>
      </c>
    </row>
    <row r="4656" spans="1:12" hidden="1">
      <c r="A4656" s="19">
        <f t="shared" si="369"/>
        <v>4650</v>
      </c>
      <c r="B4656" s="20">
        <f t="shared" si="365"/>
        <v>0</v>
      </c>
      <c r="C4656" s="21">
        <f t="shared" si="366"/>
        <v>0</v>
      </c>
      <c r="D4656" s="22" t="e">
        <f>VLOOKUP($A4656, TAB_JUROS_U[[Q_DIAS_U_PARC_TIR]:[V_FUT_U_JURS CENARIO]], D$5, FALSE)</f>
        <v>#N/A</v>
      </c>
      <c r="E4656" s="22" t="e">
        <f>VLOOKUP($A4656,TAB_CORRECAO_U[[Q_DIAS_U_PARC_TIR]:[V_FUT_U_CORC-02]],E$5, FALSE)</f>
        <v>#N/A</v>
      </c>
      <c r="F4656" s="22" t="e">
        <f>VLOOKUP($A4656,TAB_AMORTIZACAO_U[[Q_DIAS_U_PARC_TIR]:[V_FUT_U_PCPL-02]], F$5, FALSE)</f>
        <v>#N/A</v>
      </c>
      <c r="H4656" s="20">
        <f t="shared" si="367"/>
        <v>0</v>
      </c>
      <c r="I4656" s="21">
        <f t="shared" si="368"/>
        <v>0</v>
      </c>
      <c r="J4656" s="22" t="e">
        <f>VLOOKUP($A4656, TAB_JUROS_C[[DIAS_CORRIDOS]:[V_FUT_UTEIS]], J$5, FALSE)</f>
        <v>#N/A</v>
      </c>
      <c r="K4656" s="22" t="e">
        <f>VLOOKUP($A4656, TAB_CORRECAO_C[[DIAS_CORRIDOS]:[V_FUT_UTEIS]],K$5, FALSE)</f>
        <v>#N/A</v>
      </c>
      <c r="L4656" s="22" t="e">
        <f>VLOOKUP($A4656, TAB_AMORTIZACAO_C[[DIAS_CORRIDOS]:[V_FUT_UTEIS]], L$5, FALSE)</f>
        <v>#N/A</v>
      </c>
    </row>
    <row r="4657" spans="1:12" hidden="1">
      <c r="A4657" s="19">
        <f t="shared" si="369"/>
        <v>4651</v>
      </c>
      <c r="B4657" s="20">
        <f t="shared" si="365"/>
        <v>0</v>
      </c>
      <c r="C4657" s="21">
        <f t="shared" si="366"/>
        <v>0</v>
      </c>
      <c r="D4657" s="22" t="e">
        <f>VLOOKUP($A4657, TAB_JUROS_U[[Q_DIAS_U_PARC_TIR]:[V_FUT_U_JURS CENARIO]], D$5, FALSE)</f>
        <v>#N/A</v>
      </c>
      <c r="E4657" s="22" t="e">
        <f>VLOOKUP($A4657,TAB_CORRECAO_U[[Q_DIAS_U_PARC_TIR]:[V_FUT_U_CORC-02]],E$5, FALSE)</f>
        <v>#N/A</v>
      </c>
      <c r="F4657" s="22" t="e">
        <f>VLOOKUP($A4657,TAB_AMORTIZACAO_U[[Q_DIAS_U_PARC_TIR]:[V_FUT_U_PCPL-02]], F$5, FALSE)</f>
        <v>#N/A</v>
      </c>
      <c r="H4657" s="20">
        <f t="shared" si="367"/>
        <v>0</v>
      </c>
      <c r="I4657" s="21">
        <f t="shared" si="368"/>
        <v>0</v>
      </c>
      <c r="J4657" s="22" t="e">
        <f>VLOOKUP($A4657, TAB_JUROS_C[[DIAS_CORRIDOS]:[V_FUT_UTEIS]], J$5, FALSE)</f>
        <v>#N/A</v>
      </c>
      <c r="K4657" s="22" t="e">
        <f>VLOOKUP($A4657, TAB_CORRECAO_C[[DIAS_CORRIDOS]:[V_FUT_UTEIS]],K$5, FALSE)</f>
        <v>#N/A</v>
      </c>
      <c r="L4657" s="22" t="e">
        <f>VLOOKUP($A4657, TAB_AMORTIZACAO_C[[DIAS_CORRIDOS]:[V_FUT_UTEIS]], L$5, FALSE)</f>
        <v>#N/A</v>
      </c>
    </row>
    <row r="4658" spans="1:12" hidden="1">
      <c r="A4658" s="19">
        <f t="shared" si="369"/>
        <v>4652</v>
      </c>
      <c r="B4658" s="20">
        <f t="shared" si="365"/>
        <v>0</v>
      </c>
      <c r="C4658" s="21">
        <f t="shared" si="366"/>
        <v>0</v>
      </c>
      <c r="D4658" s="22" t="e">
        <f>VLOOKUP($A4658, TAB_JUROS_U[[Q_DIAS_U_PARC_TIR]:[V_FUT_U_JURS CENARIO]], D$5, FALSE)</f>
        <v>#N/A</v>
      </c>
      <c r="E4658" s="22" t="e">
        <f>VLOOKUP($A4658,TAB_CORRECAO_U[[Q_DIAS_U_PARC_TIR]:[V_FUT_U_CORC-02]],E$5, FALSE)</f>
        <v>#N/A</v>
      </c>
      <c r="F4658" s="22" t="e">
        <f>VLOOKUP($A4658,TAB_AMORTIZACAO_U[[Q_DIAS_U_PARC_TIR]:[V_FUT_U_PCPL-02]], F$5, FALSE)</f>
        <v>#N/A</v>
      </c>
      <c r="H4658" s="20">
        <f t="shared" si="367"/>
        <v>0</v>
      </c>
      <c r="I4658" s="21">
        <f t="shared" si="368"/>
        <v>0</v>
      </c>
      <c r="J4658" s="22" t="e">
        <f>VLOOKUP($A4658, TAB_JUROS_C[[DIAS_CORRIDOS]:[V_FUT_UTEIS]], J$5, FALSE)</f>
        <v>#N/A</v>
      </c>
      <c r="K4658" s="22" t="e">
        <f>VLOOKUP($A4658, TAB_CORRECAO_C[[DIAS_CORRIDOS]:[V_FUT_UTEIS]],K$5, FALSE)</f>
        <v>#N/A</v>
      </c>
      <c r="L4658" s="22" t="e">
        <f>VLOOKUP($A4658, TAB_AMORTIZACAO_C[[DIAS_CORRIDOS]:[V_FUT_UTEIS]], L$5, FALSE)</f>
        <v>#N/A</v>
      </c>
    </row>
    <row r="4659" spans="1:12" hidden="1">
      <c r="A4659" s="19">
        <f t="shared" si="369"/>
        <v>4653</v>
      </c>
      <c r="B4659" s="20">
        <f t="shared" si="365"/>
        <v>0</v>
      </c>
      <c r="C4659" s="21">
        <f t="shared" si="366"/>
        <v>0</v>
      </c>
      <c r="D4659" s="22" t="e">
        <f>VLOOKUP($A4659, TAB_JUROS_U[[Q_DIAS_U_PARC_TIR]:[V_FUT_U_JURS CENARIO]], D$5, FALSE)</f>
        <v>#N/A</v>
      </c>
      <c r="E4659" s="22" t="e">
        <f>VLOOKUP($A4659,TAB_CORRECAO_U[[Q_DIAS_U_PARC_TIR]:[V_FUT_U_CORC-02]],E$5, FALSE)</f>
        <v>#N/A</v>
      </c>
      <c r="F4659" s="22" t="e">
        <f>VLOOKUP($A4659,TAB_AMORTIZACAO_U[[Q_DIAS_U_PARC_TIR]:[V_FUT_U_PCPL-02]], F$5, FALSE)</f>
        <v>#N/A</v>
      </c>
      <c r="H4659" s="20">
        <f t="shared" si="367"/>
        <v>0</v>
      </c>
      <c r="I4659" s="21">
        <f t="shared" si="368"/>
        <v>0</v>
      </c>
      <c r="J4659" s="22" t="e">
        <f>VLOOKUP($A4659, TAB_JUROS_C[[DIAS_CORRIDOS]:[V_FUT_UTEIS]], J$5, FALSE)</f>
        <v>#N/A</v>
      </c>
      <c r="K4659" s="22" t="e">
        <f>VLOOKUP($A4659, TAB_CORRECAO_C[[DIAS_CORRIDOS]:[V_FUT_UTEIS]],K$5, FALSE)</f>
        <v>#N/A</v>
      </c>
      <c r="L4659" s="22" t="e">
        <f>VLOOKUP($A4659, TAB_AMORTIZACAO_C[[DIAS_CORRIDOS]:[V_FUT_UTEIS]], L$5, FALSE)</f>
        <v>#N/A</v>
      </c>
    </row>
    <row r="4660" spans="1:12" hidden="1">
      <c r="A4660" s="19">
        <f t="shared" si="369"/>
        <v>4654</v>
      </c>
      <c r="B4660" s="20">
        <f t="shared" si="365"/>
        <v>0</v>
      </c>
      <c r="C4660" s="21">
        <f t="shared" si="366"/>
        <v>0</v>
      </c>
      <c r="D4660" s="22" t="e">
        <f>VLOOKUP($A4660, TAB_JUROS_U[[Q_DIAS_U_PARC_TIR]:[V_FUT_U_JURS CENARIO]], D$5, FALSE)</f>
        <v>#N/A</v>
      </c>
      <c r="E4660" s="22" t="e">
        <f>VLOOKUP($A4660,TAB_CORRECAO_U[[Q_DIAS_U_PARC_TIR]:[V_FUT_U_CORC-02]],E$5, FALSE)</f>
        <v>#N/A</v>
      </c>
      <c r="F4660" s="22" t="e">
        <f>VLOOKUP($A4660,TAB_AMORTIZACAO_U[[Q_DIAS_U_PARC_TIR]:[V_FUT_U_PCPL-02]], F$5, FALSE)</f>
        <v>#N/A</v>
      </c>
      <c r="H4660" s="20">
        <f t="shared" si="367"/>
        <v>0</v>
      </c>
      <c r="I4660" s="21">
        <f t="shared" si="368"/>
        <v>0</v>
      </c>
      <c r="J4660" s="22" t="e">
        <f>VLOOKUP($A4660, TAB_JUROS_C[[DIAS_CORRIDOS]:[V_FUT_UTEIS]], J$5, FALSE)</f>
        <v>#N/A</v>
      </c>
      <c r="K4660" s="22" t="e">
        <f>VLOOKUP($A4660, TAB_CORRECAO_C[[DIAS_CORRIDOS]:[V_FUT_UTEIS]],K$5, FALSE)</f>
        <v>#N/A</v>
      </c>
      <c r="L4660" s="22" t="e">
        <f>VLOOKUP($A4660, TAB_AMORTIZACAO_C[[DIAS_CORRIDOS]:[V_FUT_UTEIS]], L$5, FALSE)</f>
        <v>#N/A</v>
      </c>
    </row>
    <row r="4661" spans="1:12" hidden="1">
      <c r="A4661" s="19">
        <f t="shared" si="369"/>
        <v>4655</v>
      </c>
      <c r="B4661" s="20">
        <f t="shared" si="365"/>
        <v>0</v>
      </c>
      <c r="C4661" s="21">
        <f t="shared" si="366"/>
        <v>0</v>
      </c>
      <c r="D4661" s="22" t="e">
        <f>VLOOKUP($A4661, TAB_JUROS_U[[Q_DIAS_U_PARC_TIR]:[V_FUT_U_JURS CENARIO]], D$5, FALSE)</f>
        <v>#N/A</v>
      </c>
      <c r="E4661" s="22" t="e">
        <f>VLOOKUP($A4661,TAB_CORRECAO_U[[Q_DIAS_U_PARC_TIR]:[V_FUT_U_CORC-02]],E$5, FALSE)</f>
        <v>#N/A</v>
      </c>
      <c r="F4661" s="22" t="e">
        <f>VLOOKUP($A4661,TAB_AMORTIZACAO_U[[Q_DIAS_U_PARC_TIR]:[V_FUT_U_PCPL-02]], F$5, FALSE)</f>
        <v>#N/A</v>
      </c>
      <c r="H4661" s="20">
        <f t="shared" si="367"/>
        <v>0</v>
      </c>
      <c r="I4661" s="21">
        <f t="shared" si="368"/>
        <v>0</v>
      </c>
      <c r="J4661" s="22" t="e">
        <f>VLOOKUP($A4661, TAB_JUROS_C[[DIAS_CORRIDOS]:[V_FUT_UTEIS]], J$5, FALSE)</f>
        <v>#N/A</v>
      </c>
      <c r="K4661" s="22" t="e">
        <f>VLOOKUP($A4661, TAB_CORRECAO_C[[DIAS_CORRIDOS]:[V_FUT_UTEIS]],K$5, FALSE)</f>
        <v>#N/A</v>
      </c>
      <c r="L4661" s="22" t="e">
        <f>VLOOKUP($A4661, TAB_AMORTIZACAO_C[[DIAS_CORRIDOS]:[V_FUT_UTEIS]], L$5, FALSE)</f>
        <v>#N/A</v>
      </c>
    </row>
    <row r="4662" spans="1:12" hidden="1">
      <c r="A4662" s="19">
        <f t="shared" si="369"/>
        <v>4656</v>
      </c>
      <c r="B4662" s="20">
        <f t="shared" si="365"/>
        <v>0</v>
      </c>
      <c r="C4662" s="21">
        <f t="shared" si="366"/>
        <v>0</v>
      </c>
      <c r="D4662" s="22" t="e">
        <f>VLOOKUP($A4662, TAB_JUROS_U[[Q_DIAS_U_PARC_TIR]:[V_FUT_U_JURS CENARIO]], D$5, FALSE)</f>
        <v>#N/A</v>
      </c>
      <c r="E4662" s="22" t="e">
        <f>VLOOKUP($A4662,TAB_CORRECAO_U[[Q_DIAS_U_PARC_TIR]:[V_FUT_U_CORC-02]],E$5, FALSE)</f>
        <v>#N/A</v>
      </c>
      <c r="F4662" s="22" t="e">
        <f>VLOOKUP($A4662,TAB_AMORTIZACAO_U[[Q_DIAS_U_PARC_TIR]:[V_FUT_U_PCPL-02]], F$5, FALSE)</f>
        <v>#N/A</v>
      </c>
      <c r="H4662" s="20">
        <f t="shared" si="367"/>
        <v>0</v>
      </c>
      <c r="I4662" s="21">
        <f t="shared" si="368"/>
        <v>0</v>
      </c>
      <c r="J4662" s="22" t="e">
        <f>VLOOKUP($A4662, TAB_JUROS_C[[DIAS_CORRIDOS]:[V_FUT_UTEIS]], J$5, FALSE)</f>
        <v>#N/A</v>
      </c>
      <c r="K4662" s="22" t="e">
        <f>VLOOKUP($A4662, TAB_CORRECAO_C[[DIAS_CORRIDOS]:[V_FUT_UTEIS]],K$5, FALSE)</f>
        <v>#N/A</v>
      </c>
      <c r="L4662" s="22" t="e">
        <f>VLOOKUP($A4662, TAB_AMORTIZACAO_C[[DIAS_CORRIDOS]:[V_FUT_UTEIS]], L$5, FALSE)</f>
        <v>#N/A</v>
      </c>
    </row>
    <row r="4663" spans="1:12" hidden="1">
      <c r="A4663" s="19">
        <f t="shared" si="369"/>
        <v>4657</v>
      </c>
      <c r="B4663" s="20">
        <f t="shared" si="365"/>
        <v>0</v>
      </c>
      <c r="C4663" s="21">
        <f t="shared" si="366"/>
        <v>0</v>
      </c>
      <c r="D4663" s="22" t="e">
        <f>VLOOKUP($A4663, TAB_JUROS_U[[Q_DIAS_U_PARC_TIR]:[V_FUT_U_JURS CENARIO]], D$5, FALSE)</f>
        <v>#N/A</v>
      </c>
      <c r="E4663" s="22" t="e">
        <f>VLOOKUP($A4663,TAB_CORRECAO_U[[Q_DIAS_U_PARC_TIR]:[V_FUT_U_CORC-02]],E$5, FALSE)</f>
        <v>#N/A</v>
      </c>
      <c r="F4663" s="22" t="e">
        <f>VLOOKUP($A4663,TAB_AMORTIZACAO_U[[Q_DIAS_U_PARC_TIR]:[V_FUT_U_PCPL-02]], F$5, FALSE)</f>
        <v>#N/A</v>
      </c>
      <c r="H4663" s="20">
        <f t="shared" si="367"/>
        <v>0</v>
      </c>
      <c r="I4663" s="21">
        <f t="shared" si="368"/>
        <v>0</v>
      </c>
      <c r="J4663" s="22" t="e">
        <f>VLOOKUP($A4663, TAB_JUROS_C[[DIAS_CORRIDOS]:[V_FUT_UTEIS]], J$5, FALSE)</f>
        <v>#N/A</v>
      </c>
      <c r="K4663" s="22" t="e">
        <f>VLOOKUP($A4663, TAB_CORRECAO_C[[DIAS_CORRIDOS]:[V_FUT_UTEIS]],K$5, FALSE)</f>
        <v>#N/A</v>
      </c>
      <c r="L4663" s="22" t="e">
        <f>VLOOKUP($A4663, TAB_AMORTIZACAO_C[[DIAS_CORRIDOS]:[V_FUT_UTEIS]], L$5, FALSE)</f>
        <v>#N/A</v>
      </c>
    </row>
    <row r="4664" spans="1:12" hidden="1">
      <c r="A4664" s="19">
        <f t="shared" si="369"/>
        <v>4658</v>
      </c>
      <c r="B4664" s="20">
        <f t="shared" si="365"/>
        <v>0</v>
      </c>
      <c r="C4664" s="21">
        <f t="shared" si="366"/>
        <v>0</v>
      </c>
      <c r="D4664" s="22" t="e">
        <f>VLOOKUP($A4664, TAB_JUROS_U[[Q_DIAS_U_PARC_TIR]:[V_FUT_U_JURS CENARIO]], D$5, FALSE)</f>
        <v>#N/A</v>
      </c>
      <c r="E4664" s="22" t="e">
        <f>VLOOKUP($A4664,TAB_CORRECAO_U[[Q_DIAS_U_PARC_TIR]:[V_FUT_U_CORC-02]],E$5, FALSE)</f>
        <v>#N/A</v>
      </c>
      <c r="F4664" s="22" t="e">
        <f>VLOOKUP($A4664,TAB_AMORTIZACAO_U[[Q_DIAS_U_PARC_TIR]:[V_FUT_U_PCPL-02]], F$5, FALSE)</f>
        <v>#N/A</v>
      </c>
      <c r="H4664" s="20">
        <f t="shared" si="367"/>
        <v>0</v>
      </c>
      <c r="I4664" s="21">
        <f t="shared" si="368"/>
        <v>0</v>
      </c>
      <c r="J4664" s="22" t="e">
        <f>VLOOKUP($A4664, TAB_JUROS_C[[DIAS_CORRIDOS]:[V_FUT_UTEIS]], J$5, FALSE)</f>
        <v>#N/A</v>
      </c>
      <c r="K4664" s="22" t="e">
        <f>VLOOKUP($A4664, TAB_CORRECAO_C[[DIAS_CORRIDOS]:[V_FUT_UTEIS]],K$5, FALSE)</f>
        <v>#N/A</v>
      </c>
      <c r="L4664" s="22" t="e">
        <f>VLOOKUP($A4664, TAB_AMORTIZACAO_C[[DIAS_CORRIDOS]:[V_FUT_UTEIS]], L$5, FALSE)</f>
        <v>#N/A</v>
      </c>
    </row>
    <row r="4665" spans="1:12" hidden="1">
      <c r="A4665" s="19">
        <f t="shared" si="369"/>
        <v>4659</v>
      </c>
      <c r="B4665" s="20">
        <f t="shared" si="365"/>
        <v>0</v>
      </c>
      <c r="C4665" s="21">
        <f t="shared" si="366"/>
        <v>0</v>
      </c>
      <c r="D4665" s="22" t="e">
        <f>VLOOKUP($A4665, TAB_JUROS_U[[Q_DIAS_U_PARC_TIR]:[V_FUT_U_JURS CENARIO]], D$5, FALSE)</f>
        <v>#N/A</v>
      </c>
      <c r="E4665" s="22" t="e">
        <f>VLOOKUP($A4665,TAB_CORRECAO_U[[Q_DIAS_U_PARC_TIR]:[V_FUT_U_CORC-02]],E$5, FALSE)</f>
        <v>#N/A</v>
      </c>
      <c r="F4665" s="22" t="e">
        <f>VLOOKUP($A4665,TAB_AMORTIZACAO_U[[Q_DIAS_U_PARC_TIR]:[V_FUT_U_PCPL-02]], F$5, FALSE)</f>
        <v>#N/A</v>
      </c>
      <c r="H4665" s="20">
        <f t="shared" si="367"/>
        <v>0</v>
      </c>
      <c r="I4665" s="21">
        <f t="shared" si="368"/>
        <v>0</v>
      </c>
      <c r="J4665" s="22" t="e">
        <f>VLOOKUP($A4665, TAB_JUROS_C[[DIAS_CORRIDOS]:[V_FUT_UTEIS]], J$5, FALSE)</f>
        <v>#N/A</v>
      </c>
      <c r="K4665" s="22" t="e">
        <f>VLOOKUP($A4665, TAB_CORRECAO_C[[DIAS_CORRIDOS]:[V_FUT_UTEIS]],K$5, FALSE)</f>
        <v>#N/A</v>
      </c>
      <c r="L4665" s="22" t="e">
        <f>VLOOKUP($A4665, TAB_AMORTIZACAO_C[[DIAS_CORRIDOS]:[V_FUT_UTEIS]], L$5, FALSE)</f>
        <v>#N/A</v>
      </c>
    </row>
    <row r="4666" spans="1:12" hidden="1">
      <c r="A4666" s="19">
        <f t="shared" si="369"/>
        <v>4660</v>
      </c>
      <c r="B4666" s="20">
        <f t="shared" si="365"/>
        <v>0</v>
      </c>
      <c r="C4666" s="21">
        <f t="shared" si="366"/>
        <v>0</v>
      </c>
      <c r="D4666" s="22" t="e">
        <f>VLOOKUP($A4666, TAB_JUROS_U[[Q_DIAS_U_PARC_TIR]:[V_FUT_U_JURS CENARIO]], D$5, FALSE)</f>
        <v>#N/A</v>
      </c>
      <c r="E4666" s="22" t="e">
        <f>VLOOKUP($A4666,TAB_CORRECAO_U[[Q_DIAS_U_PARC_TIR]:[V_FUT_U_CORC-02]],E$5, FALSE)</f>
        <v>#N/A</v>
      </c>
      <c r="F4666" s="22" t="e">
        <f>VLOOKUP($A4666,TAB_AMORTIZACAO_U[[Q_DIAS_U_PARC_TIR]:[V_FUT_U_PCPL-02]], F$5, FALSE)</f>
        <v>#N/A</v>
      </c>
      <c r="H4666" s="20">
        <f t="shared" si="367"/>
        <v>0</v>
      </c>
      <c r="I4666" s="21">
        <f t="shared" si="368"/>
        <v>0</v>
      </c>
      <c r="J4666" s="22" t="e">
        <f>VLOOKUP($A4666, TAB_JUROS_C[[DIAS_CORRIDOS]:[V_FUT_UTEIS]], J$5, FALSE)</f>
        <v>#N/A</v>
      </c>
      <c r="K4666" s="22" t="e">
        <f>VLOOKUP($A4666, TAB_CORRECAO_C[[DIAS_CORRIDOS]:[V_FUT_UTEIS]],K$5, FALSE)</f>
        <v>#N/A</v>
      </c>
      <c r="L4666" s="22" t="e">
        <f>VLOOKUP($A4666, TAB_AMORTIZACAO_C[[DIAS_CORRIDOS]:[V_FUT_UTEIS]], L$5, FALSE)</f>
        <v>#N/A</v>
      </c>
    </row>
    <row r="4667" spans="1:12" hidden="1">
      <c r="A4667" s="19">
        <f t="shared" si="369"/>
        <v>4661</v>
      </c>
      <c r="B4667" s="20">
        <f t="shared" si="365"/>
        <v>0</v>
      </c>
      <c r="C4667" s="21">
        <f t="shared" si="366"/>
        <v>0</v>
      </c>
      <c r="D4667" s="22" t="e">
        <f>VLOOKUP($A4667, TAB_JUROS_U[[Q_DIAS_U_PARC_TIR]:[V_FUT_U_JURS CENARIO]], D$5, FALSE)</f>
        <v>#N/A</v>
      </c>
      <c r="E4667" s="22" t="e">
        <f>VLOOKUP($A4667,TAB_CORRECAO_U[[Q_DIAS_U_PARC_TIR]:[V_FUT_U_CORC-02]],E$5, FALSE)</f>
        <v>#N/A</v>
      </c>
      <c r="F4667" s="22" t="e">
        <f>VLOOKUP($A4667,TAB_AMORTIZACAO_U[[Q_DIAS_U_PARC_TIR]:[V_FUT_U_PCPL-02]], F$5, FALSE)</f>
        <v>#N/A</v>
      </c>
      <c r="H4667" s="20">
        <f t="shared" si="367"/>
        <v>0</v>
      </c>
      <c r="I4667" s="21">
        <f t="shared" si="368"/>
        <v>0</v>
      </c>
      <c r="J4667" s="22" t="e">
        <f>VLOOKUP($A4667, TAB_JUROS_C[[DIAS_CORRIDOS]:[V_FUT_UTEIS]], J$5, FALSE)</f>
        <v>#N/A</v>
      </c>
      <c r="K4667" s="22" t="e">
        <f>VLOOKUP($A4667, TAB_CORRECAO_C[[DIAS_CORRIDOS]:[V_FUT_UTEIS]],K$5, FALSE)</f>
        <v>#N/A</v>
      </c>
      <c r="L4667" s="22" t="e">
        <f>VLOOKUP($A4667, TAB_AMORTIZACAO_C[[DIAS_CORRIDOS]:[V_FUT_UTEIS]], L$5, FALSE)</f>
        <v>#N/A</v>
      </c>
    </row>
    <row r="4668" spans="1:12" hidden="1">
      <c r="A4668" s="19">
        <f t="shared" si="369"/>
        <v>4662</v>
      </c>
      <c r="B4668" s="20">
        <f t="shared" si="365"/>
        <v>0</v>
      </c>
      <c r="C4668" s="21">
        <f t="shared" si="366"/>
        <v>0</v>
      </c>
      <c r="D4668" s="22" t="e">
        <f>VLOOKUP($A4668, TAB_JUROS_U[[Q_DIAS_U_PARC_TIR]:[V_FUT_U_JURS CENARIO]], D$5, FALSE)</f>
        <v>#N/A</v>
      </c>
      <c r="E4668" s="22" t="e">
        <f>VLOOKUP($A4668,TAB_CORRECAO_U[[Q_DIAS_U_PARC_TIR]:[V_FUT_U_CORC-02]],E$5, FALSE)</f>
        <v>#N/A</v>
      </c>
      <c r="F4668" s="22" t="e">
        <f>VLOOKUP($A4668,TAB_AMORTIZACAO_U[[Q_DIAS_U_PARC_TIR]:[V_FUT_U_PCPL-02]], F$5, FALSE)</f>
        <v>#N/A</v>
      </c>
      <c r="H4668" s="20">
        <f t="shared" si="367"/>
        <v>0</v>
      </c>
      <c r="I4668" s="21">
        <f t="shared" si="368"/>
        <v>0</v>
      </c>
      <c r="J4668" s="22" t="e">
        <f>VLOOKUP($A4668, TAB_JUROS_C[[DIAS_CORRIDOS]:[V_FUT_UTEIS]], J$5, FALSE)</f>
        <v>#N/A</v>
      </c>
      <c r="K4668" s="22" t="e">
        <f>VLOOKUP($A4668, TAB_CORRECAO_C[[DIAS_CORRIDOS]:[V_FUT_UTEIS]],K$5, FALSE)</f>
        <v>#N/A</v>
      </c>
      <c r="L4668" s="22" t="e">
        <f>VLOOKUP($A4668, TAB_AMORTIZACAO_C[[DIAS_CORRIDOS]:[V_FUT_UTEIS]], L$5, FALSE)</f>
        <v>#N/A</v>
      </c>
    </row>
    <row r="4669" spans="1:12" hidden="1">
      <c r="A4669" s="19">
        <f t="shared" si="369"/>
        <v>4663</v>
      </c>
      <c r="B4669" s="20">
        <f t="shared" si="365"/>
        <v>0</v>
      </c>
      <c r="C4669" s="21">
        <f t="shared" si="366"/>
        <v>0</v>
      </c>
      <c r="D4669" s="22" t="e">
        <f>VLOOKUP($A4669, TAB_JUROS_U[[Q_DIAS_U_PARC_TIR]:[V_FUT_U_JURS CENARIO]], D$5, FALSE)</f>
        <v>#N/A</v>
      </c>
      <c r="E4669" s="22" t="e">
        <f>VLOOKUP($A4669,TAB_CORRECAO_U[[Q_DIAS_U_PARC_TIR]:[V_FUT_U_CORC-02]],E$5, FALSE)</f>
        <v>#N/A</v>
      </c>
      <c r="F4669" s="22" t="e">
        <f>VLOOKUP($A4669,TAB_AMORTIZACAO_U[[Q_DIAS_U_PARC_TIR]:[V_FUT_U_PCPL-02]], F$5, FALSE)</f>
        <v>#N/A</v>
      </c>
      <c r="H4669" s="20">
        <f t="shared" si="367"/>
        <v>0</v>
      </c>
      <c r="I4669" s="21">
        <f t="shared" si="368"/>
        <v>0</v>
      </c>
      <c r="J4669" s="22" t="e">
        <f>VLOOKUP($A4669, TAB_JUROS_C[[DIAS_CORRIDOS]:[V_FUT_UTEIS]], J$5, FALSE)</f>
        <v>#N/A</v>
      </c>
      <c r="K4669" s="22" t="e">
        <f>VLOOKUP($A4669, TAB_CORRECAO_C[[DIAS_CORRIDOS]:[V_FUT_UTEIS]],K$5, FALSE)</f>
        <v>#N/A</v>
      </c>
      <c r="L4669" s="22" t="e">
        <f>VLOOKUP($A4669, TAB_AMORTIZACAO_C[[DIAS_CORRIDOS]:[V_FUT_UTEIS]], L$5, FALSE)</f>
        <v>#N/A</v>
      </c>
    </row>
    <row r="4670" spans="1:12" hidden="1">
      <c r="A4670" s="19">
        <f t="shared" si="369"/>
        <v>4664</v>
      </c>
      <c r="B4670" s="20">
        <f t="shared" si="365"/>
        <v>0</v>
      </c>
      <c r="C4670" s="21">
        <f t="shared" si="366"/>
        <v>0</v>
      </c>
      <c r="D4670" s="22" t="e">
        <f>VLOOKUP($A4670, TAB_JUROS_U[[Q_DIAS_U_PARC_TIR]:[V_FUT_U_JURS CENARIO]], D$5, FALSE)</f>
        <v>#N/A</v>
      </c>
      <c r="E4670" s="22" t="e">
        <f>VLOOKUP($A4670,TAB_CORRECAO_U[[Q_DIAS_U_PARC_TIR]:[V_FUT_U_CORC-02]],E$5, FALSE)</f>
        <v>#N/A</v>
      </c>
      <c r="F4670" s="22" t="e">
        <f>VLOOKUP($A4670,TAB_AMORTIZACAO_U[[Q_DIAS_U_PARC_TIR]:[V_FUT_U_PCPL-02]], F$5, FALSE)</f>
        <v>#N/A</v>
      </c>
      <c r="H4670" s="20">
        <f t="shared" si="367"/>
        <v>0</v>
      </c>
      <c r="I4670" s="21">
        <f t="shared" si="368"/>
        <v>0</v>
      </c>
      <c r="J4670" s="22" t="e">
        <f>VLOOKUP($A4670, TAB_JUROS_C[[DIAS_CORRIDOS]:[V_FUT_UTEIS]], J$5, FALSE)</f>
        <v>#N/A</v>
      </c>
      <c r="K4670" s="22" t="e">
        <f>VLOOKUP($A4670, TAB_CORRECAO_C[[DIAS_CORRIDOS]:[V_FUT_UTEIS]],K$5, FALSE)</f>
        <v>#N/A</v>
      </c>
      <c r="L4670" s="22" t="e">
        <f>VLOOKUP($A4670, TAB_AMORTIZACAO_C[[DIAS_CORRIDOS]:[V_FUT_UTEIS]], L$5, FALSE)</f>
        <v>#N/A</v>
      </c>
    </row>
    <row r="4671" spans="1:12" hidden="1">
      <c r="A4671" s="19">
        <f t="shared" si="369"/>
        <v>4665</v>
      </c>
      <c r="B4671" s="20">
        <f t="shared" si="365"/>
        <v>0</v>
      </c>
      <c r="C4671" s="21">
        <f t="shared" si="366"/>
        <v>0</v>
      </c>
      <c r="D4671" s="22" t="e">
        <f>VLOOKUP($A4671, TAB_JUROS_U[[Q_DIAS_U_PARC_TIR]:[V_FUT_U_JURS CENARIO]], D$5, FALSE)</f>
        <v>#N/A</v>
      </c>
      <c r="E4671" s="22" t="e">
        <f>VLOOKUP($A4671,TAB_CORRECAO_U[[Q_DIAS_U_PARC_TIR]:[V_FUT_U_CORC-02]],E$5, FALSE)</f>
        <v>#N/A</v>
      </c>
      <c r="F4671" s="22" t="e">
        <f>VLOOKUP($A4671,TAB_AMORTIZACAO_U[[Q_DIAS_U_PARC_TIR]:[V_FUT_U_PCPL-02]], F$5, FALSE)</f>
        <v>#N/A</v>
      </c>
      <c r="H4671" s="20">
        <f t="shared" si="367"/>
        <v>0</v>
      </c>
      <c r="I4671" s="21">
        <f t="shared" si="368"/>
        <v>0</v>
      </c>
      <c r="J4671" s="22" t="e">
        <f>VLOOKUP($A4671, TAB_JUROS_C[[DIAS_CORRIDOS]:[V_FUT_UTEIS]], J$5, FALSE)</f>
        <v>#N/A</v>
      </c>
      <c r="K4671" s="22" t="e">
        <f>VLOOKUP($A4671, TAB_CORRECAO_C[[DIAS_CORRIDOS]:[V_FUT_UTEIS]],K$5, FALSE)</f>
        <v>#N/A</v>
      </c>
      <c r="L4671" s="22" t="e">
        <f>VLOOKUP($A4671, TAB_AMORTIZACAO_C[[DIAS_CORRIDOS]:[V_FUT_UTEIS]], L$5, FALSE)</f>
        <v>#N/A</v>
      </c>
    </row>
    <row r="4672" spans="1:12" hidden="1">
      <c r="A4672" s="19">
        <f t="shared" si="369"/>
        <v>4666</v>
      </c>
      <c r="B4672" s="20">
        <f t="shared" si="365"/>
        <v>0</v>
      </c>
      <c r="C4672" s="21">
        <f t="shared" si="366"/>
        <v>0</v>
      </c>
      <c r="D4672" s="22" t="e">
        <f>VLOOKUP($A4672, TAB_JUROS_U[[Q_DIAS_U_PARC_TIR]:[V_FUT_U_JURS CENARIO]], D$5, FALSE)</f>
        <v>#N/A</v>
      </c>
      <c r="E4672" s="22" t="e">
        <f>VLOOKUP($A4672,TAB_CORRECAO_U[[Q_DIAS_U_PARC_TIR]:[V_FUT_U_CORC-02]],E$5, FALSE)</f>
        <v>#N/A</v>
      </c>
      <c r="F4672" s="22" t="e">
        <f>VLOOKUP($A4672,TAB_AMORTIZACAO_U[[Q_DIAS_U_PARC_TIR]:[V_FUT_U_PCPL-02]], F$5, FALSE)</f>
        <v>#N/A</v>
      </c>
      <c r="H4672" s="20">
        <f t="shared" si="367"/>
        <v>0</v>
      </c>
      <c r="I4672" s="21">
        <f t="shared" si="368"/>
        <v>0</v>
      </c>
      <c r="J4672" s="22" t="e">
        <f>VLOOKUP($A4672, TAB_JUROS_C[[DIAS_CORRIDOS]:[V_FUT_UTEIS]], J$5, FALSE)</f>
        <v>#N/A</v>
      </c>
      <c r="K4672" s="22" t="e">
        <f>VLOOKUP($A4672, TAB_CORRECAO_C[[DIAS_CORRIDOS]:[V_FUT_UTEIS]],K$5, FALSE)</f>
        <v>#N/A</v>
      </c>
      <c r="L4672" s="22" t="e">
        <f>VLOOKUP($A4672, TAB_AMORTIZACAO_C[[DIAS_CORRIDOS]:[V_FUT_UTEIS]], L$5, FALSE)</f>
        <v>#N/A</v>
      </c>
    </row>
    <row r="4673" spans="1:12" hidden="1">
      <c r="A4673" s="19">
        <f t="shared" si="369"/>
        <v>4667</v>
      </c>
      <c r="B4673" s="20">
        <f t="shared" si="365"/>
        <v>0</v>
      </c>
      <c r="C4673" s="21">
        <f t="shared" si="366"/>
        <v>0</v>
      </c>
      <c r="D4673" s="22" t="e">
        <f>VLOOKUP($A4673, TAB_JUROS_U[[Q_DIAS_U_PARC_TIR]:[V_FUT_U_JURS CENARIO]], D$5, FALSE)</f>
        <v>#N/A</v>
      </c>
      <c r="E4673" s="22" t="e">
        <f>VLOOKUP($A4673,TAB_CORRECAO_U[[Q_DIAS_U_PARC_TIR]:[V_FUT_U_CORC-02]],E$5, FALSE)</f>
        <v>#N/A</v>
      </c>
      <c r="F4673" s="22" t="e">
        <f>VLOOKUP($A4673,TAB_AMORTIZACAO_U[[Q_DIAS_U_PARC_TIR]:[V_FUT_U_PCPL-02]], F$5, FALSE)</f>
        <v>#N/A</v>
      </c>
      <c r="H4673" s="20">
        <f t="shared" si="367"/>
        <v>0</v>
      </c>
      <c r="I4673" s="21">
        <f t="shared" si="368"/>
        <v>0</v>
      </c>
      <c r="J4673" s="22" t="e">
        <f>VLOOKUP($A4673, TAB_JUROS_C[[DIAS_CORRIDOS]:[V_FUT_UTEIS]], J$5, FALSE)</f>
        <v>#N/A</v>
      </c>
      <c r="K4673" s="22" t="e">
        <f>VLOOKUP($A4673, TAB_CORRECAO_C[[DIAS_CORRIDOS]:[V_FUT_UTEIS]],K$5, FALSE)</f>
        <v>#N/A</v>
      </c>
      <c r="L4673" s="22" t="e">
        <f>VLOOKUP($A4673, TAB_AMORTIZACAO_C[[DIAS_CORRIDOS]:[V_FUT_UTEIS]], L$5, FALSE)</f>
        <v>#N/A</v>
      </c>
    </row>
    <row r="4674" spans="1:12" hidden="1">
      <c r="A4674" s="19">
        <f t="shared" si="369"/>
        <v>4668</v>
      </c>
      <c r="B4674" s="20">
        <f t="shared" si="365"/>
        <v>0</v>
      </c>
      <c r="C4674" s="21">
        <f t="shared" si="366"/>
        <v>0</v>
      </c>
      <c r="D4674" s="22" t="e">
        <f>VLOOKUP($A4674, TAB_JUROS_U[[Q_DIAS_U_PARC_TIR]:[V_FUT_U_JURS CENARIO]], D$5, FALSE)</f>
        <v>#N/A</v>
      </c>
      <c r="E4674" s="22" t="e">
        <f>VLOOKUP($A4674,TAB_CORRECAO_U[[Q_DIAS_U_PARC_TIR]:[V_FUT_U_CORC-02]],E$5, FALSE)</f>
        <v>#N/A</v>
      </c>
      <c r="F4674" s="22" t="e">
        <f>VLOOKUP($A4674,TAB_AMORTIZACAO_U[[Q_DIAS_U_PARC_TIR]:[V_FUT_U_PCPL-02]], F$5, FALSE)</f>
        <v>#N/A</v>
      </c>
      <c r="H4674" s="20">
        <f t="shared" si="367"/>
        <v>0</v>
      </c>
      <c r="I4674" s="21">
        <f t="shared" si="368"/>
        <v>0</v>
      </c>
      <c r="J4674" s="22" t="e">
        <f>VLOOKUP($A4674, TAB_JUROS_C[[DIAS_CORRIDOS]:[V_FUT_UTEIS]], J$5, FALSE)</f>
        <v>#N/A</v>
      </c>
      <c r="K4674" s="22" t="e">
        <f>VLOOKUP($A4674, TAB_CORRECAO_C[[DIAS_CORRIDOS]:[V_FUT_UTEIS]],K$5, FALSE)</f>
        <v>#N/A</v>
      </c>
      <c r="L4674" s="22" t="e">
        <f>VLOOKUP($A4674, TAB_AMORTIZACAO_C[[DIAS_CORRIDOS]:[V_FUT_UTEIS]], L$5, FALSE)</f>
        <v>#N/A</v>
      </c>
    </row>
    <row r="4675" spans="1:12" hidden="1">
      <c r="A4675" s="19">
        <f t="shared" si="369"/>
        <v>4669</v>
      </c>
      <c r="B4675" s="20">
        <f t="shared" si="365"/>
        <v>0</v>
      </c>
      <c r="C4675" s="21">
        <f t="shared" si="366"/>
        <v>0</v>
      </c>
      <c r="D4675" s="22" t="e">
        <f>VLOOKUP($A4675, TAB_JUROS_U[[Q_DIAS_U_PARC_TIR]:[V_FUT_U_JURS CENARIO]], D$5, FALSE)</f>
        <v>#N/A</v>
      </c>
      <c r="E4675" s="22" t="e">
        <f>VLOOKUP($A4675,TAB_CORRECAO_U[[Q_DIAS_U_PARC_TIR]:[V_FUT_U_CORC-02]],E$5, FALSE)</f>
        <v>#N/A</v>
      </c>
      <c r="F4675" s="22" t="e">
        <f>VLOOKUP($A4675,TAB_AMORTIZACAO_U[[Q_DIAS_U_PARC_TIR]:[V_FUT_U_PCPL-02]], F$5, FALSE)</f>
        <v>#N/A</v>
      </c>
      <c r="H4675" s="20">
        <f t="shared" si="367"/>
        <v>0</v>
      </c>
      <c r="I4675" s="21">
        <f t="shared" si="368"/>
        <v>0</v>
      </c>
      <c r="J4675" s="22" t="e">
        <f>VLOOKUP($A4675, TAB_JUROS_C[[DIAS_CORRIDOS]:[V_FUT_UTEIS]], J$5, FALSE)</f>
        <v>#N/A</v>
      </c>
      <c r="K4675" s="22" t="e">
        <f>VLOOKUP($A4675, TAB_CORRECAO_C[[DIAS_CORRIDOS]:[V_FUT_UTEIS]],K$5, FALSE)</f>
        <v>#N/A</v>
      </c>
      <c r="L4675" s="22" t="e">
        <f>VLOOKUP($A4675, TAB_AMORTIZACAO_C[[DIAS_CORRIDOS]:[V_FUT_UTEIS]], L$5, FALSE)</f>
        <v>#N/A</v>
      </c>
    </row>
    <row r="4676" spans="1:12" hidden="1">
      <c r="A4676" s="19">
        <f t="shared" si="369"/>
        <v>4670</v>
      </c>
      <c r="B4676" s="20">
        <f t="shared" si="365"/>
        <v>0</v>
      </c>
      <c r="C4676" s="21">
        <f t="shared" si="366"/>
        <v>0</v>
      </c>
      <c r="D4676" s="22" t="e">
        <f>VLOOKUP($A4676, TAB_JUROS_U[[Q_DIAS_U_PARC_TIR]:[V_FUT_U_JURS CENARIO]], D$5, FALSE)</f>
        <v>#N/A</v>
      </c>
      <c r="E4676" s="22" t="e">
        <f>VLOOKUP($A4676,TAB_CORRECAO_U[[Q_DIAS_U_PARC_TIR]:[V_FUT_U_CORC-02]],E$5, FALSE)</f>
        <v>#N/A</v>
      </c>
      <c r="F4676" s="22" t="e">
        <f>VLOOKUP($A4676,TAB_AMORTIZACAO_U[[Q_DIAS_U_PARC_TIR]:[V_FUT_U_PCPL-02]], F$5, FALSE)</f>
        <v>#N/A</v>
      </c>
      <c r="H4676" s="20">
        <f t="shared" si="367"/>
        <v>0</v>
      </c>
      <c r="I4676" s="21">
        <f t="shared" si="368"/>
        <v>0</v>
      </c>
      <c r="J4676" s="22" t="e">
        <f>VLOOKUP($A4676, TAB_JUROS_C[[DIAS_CORRIDOS]:[V_FUT_UTEIS]], J$5, FALSE)</f>
        <v>#N/A</v>
      </c>
      <c r="K4676" s="22" t="e">
        <f>VLOOKUP($A4676, TAB_CORRECAO_C[[DIAS_CORRIDOS]:[V_FUT_UTEIS]],K$5, FALSE)</f>
        <v>#N/A</v>
      </c>
      <c r="L4676" s="22" t="e">
        <f>VLOOKUP($A4676, TAB_AMORTIZACAO_C[[DIAS_CORRIDOS]:[V_FUT_UTEIS]], L$5, FALSE)</f>
        <v>#N/A</v>
      </c>
    </row>
    <row r="4677" spans="1:12" hidden="1">
      <c r="A4677" s="19">
        <f t="shared" si="369"/>
        <v>4671</v>
      </c>
      <c r="B4677" s="20">
        <f t="shared" si="365"/>
        <v>0</v>
      </c>
      <c r="C4677" s="21">
        <f t="shared" si="366"/>
        <v>0</v>
      </c>
      <c r="D4677" s="22" t="e">
        <f>VLOOKUP($A4677, TAB_JUROS_U[[Q_DIAS_U_PARC_TIR]:[V_FUT_U_JURS CENARIO]], D$5, FALSE)</f>
        <v>#N/A</v>
      </c>
      <c r="E4677" s="22" t="e">
        <f>VLOOKUP($A4677,TAB_CORRECAO_U[[Q_DIAS_U_PARC_TIR]:[V_FUT_U_CORC-02]],E$5, FALSE)</f>
        <v>#N/A</v>
      </c>
      <c r="F4677" s="22" t="e">
        <f>VLOOKUP($A4677,TAB_AMORTIZACAO_U[[Q_DIAS_U_PARC_TIR]:[V_FUT_U_PCPL-02]], F$5, FALSE)</f>
        <v>#N/A</v>
      </c>
      <c r="H4677" s="20">
        <f t="shared" si="367"/>
        <v>0</v>
      </c>
      <c r="I4677" s="21">
        <f t="shared" si="368"/>
        <v>0</v>
      </c>
      <c r="J4677" s="22" t="e">
        <f>VLOOKUP($A4677, TAB_JUROS_C[[DIAS_CORRIDOS]:[V_FUT_UTEIS]], J$5, FALSE)</f>
        <v>#N/A</v>
      </c>
      <c r="K4677" s="22" t="e">
        <f>VLOOKUP($A4677, TAB_CORRECAO_C[[DIAS_CORRIDOS]:[V_FUT_UTEIS]],K$5, FALSE)</f>
        <v>#N/A</v>
      </c>
      <c r="L4677" s="22" t="e">
        <f>VLOOKUP($A4677, TAB_AMORTIZACAO_C[[DIAS_CORRIDOS]:[V_FUT_UTEIS]], L$5, FALSE)</f>
        <v>#N/A</v>
      </c>
    </row>
    <row r="4678" spans="1:12" hidden="1">
      <c r="A4678" s="19">
        <f t="shared" si="369"/>
        <v>4672</v>
      </c>
      <c r="B4678" s="20">
        <f t="shared" si="365"/>
        <v>0</v>
      </c>
      <c r="C4678" s="21">
        <f t="shared" si="366"/>
        <v>0</v>
      </c>
      <c r="D4678" s="22" t="e">
        <f>VLOOKUP($A4678, TAB_JUROS_U[[Q_DIAS_U_PARC_TIR]:[V_FUT_U_JURS CENARIO]], D$5, FALSE)</f>
        <v>#N/A</v>
      </c>
      <c r="E4678" s="22" t="e">
        <f>VLOOKUP($A4678,TAB_CORRECAO_U[[Q_DIAS_U_PARC_TIR]:[V_FUT_U_CORC-02]],E$5, FALSE)</f>
        <v>#N/A</v>
      </c>
      <c r="F4678" s="22" t="e">
        <f>VLOOKUP($A4678,TAB_AMORTIZACAO_U[[Q_DIAS_U_PARC_TIR]:[V_FUT_U_PCPL-02]], F$5, FALSE)</f>
        <v>#N/A</v>
      </c>
      <c r="H4678" s="20">
        <f t="shared" si="367"/>
        <v>0</v>
      </c>
      <c r="I4678" s="21">
        <f t="shared" si="368"/>
        <v>0</v>
      </c>
      <c r="J4678" s="22" t="e">
        <f>VLOOKUP($A4678, TAB_JUROS_C[[DIAS_CORRIDOS]:[V_FUT_UTEIS]], J$5, FALSE)</f>
        <v>#N/A</v>
      </c>
      <c r="K4678" s="22" t="e">
        <f>VLOOKUP($A4678, TAB_CORRECAO_C[[DIAS_CORRIDOS]:[V_FUT_UTEIS]],K$5, FALSE)</f>
        <v>#N/A</v>
      </c>
      <c r="L4678" s="22" t="e">
        <f>VLOOKUP($A4678, TAB_AMORTIZACAO_C[[DIAS_CORRIDOS]:[V_FUT_UTEIS]], L$5, FALSE)</f>
        <v>#N/A</v>
      </c>
    </row>
    <row r="4679" spans="1:12" hidden="1">
      <c r="A4679" s="19">
        <f t="shared" si="369"/>
        <v>4673</v>
      </c>
      <c r="B4679" s="20">
        <f t="shared" si="365"/>
        <v>0</v>
      </c>
      <c r="C4679" s="21">
        <f t="shared" si="366"/>
        <v>0</v>
      </c>
      <c r="D4679" s="22" t="e">
        <f>VLOOKUP($A4679, TAB_JUROS_U[[Q_DIAS_U_PARC_TIR]:[V_FUT_U_JURS CENARIO]], D$5, FALSE)</f>
        <v>#N/A</v>
      </c>
      <c r="E4679" s="22" t="e">
        <f>VLOOKUP($A4679,TAB_CORRECAO_U[[Q_DIAS_U_PARC_TIR]:[V_FUT_U_CORC-02]],E$5, FALSE)</f>
        <v>#N/A</v>
      </c>
      <c r="F4679" s="22" t="e">
        <f>VLOOKUP($A4679,TAB_AMORTIZACAO_U[[Q_DIAS_U_PARC_TIR]:[V_FUT_U_PCPL-02]], F$5, FALSE)</f>
        <v>#N/A</v>
      </c>
      <c r="H4679" s="20">
        <f t="shared" si="367"/>
        <v>0</v>
      </c>
      <c r="I4679" s="21">
        <f t="shared" si="368"/>
        <v>0</v>
      </c>
      <c r="J4679" s="22" t="e">
        <f>VLOOKUP($A4679, TAB_JUROS_C[[DIAS_CORRIDOS]:[V_FUT_UTEIS]], J$5, FALSE)</f>
        <v>#N/A</v>
      </c>
      <c r="K4679" s="22" t="e">
        <f>VLOOKUP($A4679, TAB_CORRECAO_C[[DIAS_CORRIDOS]:[V_FUT_UTEIS]],K$5, FALSE)</f>
        <v>#N/A</v>
      </c>
      <c r="L4679" s="22" t="e">
        <f>VLOOKUP($A4679, TAB_AMORTIZACAO_C[[DIAS_CORRIDOS]:[V_FUT_UTEIS]], L$5, FALSE)</f>
        <v>#N/A</v>
      </c>
    </row>
    <row r="4680" spans="1:12" hidden="1">
      <c r="A4680" s="19">
        <f t="shared" si="369"/>
        <v>4674</v>
      </c>
      <c r="B4680" s="20">
        <f t="shared" si="365"/>
        <v>0</v>
      </c>
      <c r="C4680" s="21">
        <f t="shared" si="366"/>
        <v>0</v>
      </c>
      <c r="D4680" s="22" t="e">
        <f>VLOOKUP($A4680, TAB_JUROS_U[[Q_DIAS_U_PARC_TIR]:[V_FUT_U_JURS CENARIO]], D$5, FALSE)</f>
        <v>#N/A</v>
      </c>
      <c r="E4680" s="22" t="e">
        <f>VLOOKUP($A4680,TAB_CORRECAO_U[[Q_DIAS_U_PARC_TIR]:[V_FUT_U_CORC-02]],E$5, FALSE)</f>
        <v>#N/A</v>
      </c>
      <c r="F4680" s="22" t="e">
        <f>VLOOKUP($A4680,TAB_AMORTIZACAO_U[[Q_DIAS_U_PARC_TIR]:[V_FUT_U_PCPL-02]], F$5, FALSE)</f>
        <v>#N/A</v>
      </c>
      <c r="H4680" s="20">
        <f t="shared" si="367"/>
        <v>0</v>
      </c>
      <c r="I4680" s="21">
        <f t="shared" si="368"/>
        <v>0</v>
      </c>
      <c r="J4680" s="22" t="e">
        <f>VLOOKUP($A4680, TAB_JUROS_C[[DIAS_CORRIDOS]:[V_FUT_UTEIS]], J$5, FALSE)</f>
        <v>#N/A</v>
      </c>
      <c r="K4680" s="22" t="e">
        <f>VLOOKUP($A4680, TAB_CORRECAO_C[[DIAS_CORRIDOS]:[V_FUT_UTEIS]],K$5, FALSE)</f>
        <v>#N/A</v>
      </c>
      <c r="L4680" s="22" t="e">
        <f>VLOOKUP($A4680, TAB_AMORTIZACAO_C[[DIAS_CORRIDOS]:[V_FUT_UTEIS]], L$5, FALSE)</f>
        <v>#N/A</v>
      </c>
    </row>
    <row r="4681" spans="1:12" hidden="1">
      <c r="A4681" s="19">
        <f t="shared" si="369"/>
        <v>4675</v>
      </c>
      <c r="B4681" s="20">
        <f t="shared" ref="B4681:B4744" si="370">IF(ISERROR(C4681), 0, C4681)</f>
        <v>0</v>
      </c>
      <c r="C4681" s="21">
        <f t="shared" ref="C4681:C4744" si="371">SUMIF(D4681:F4681, "&gt;0", D4681:F4681)</f>
        <v>0</v>
      </c>
      <c r="D4681" s="22" t="e">
        <f>VLOOKUP($A4681, TAB_JUROS_U[[Q_DIAS_U_PARC_TIR]:[V_FUT_U_JURS CENARIO]], D$5, FALSE)</f>
        <v>#N/A</v>
      </c>
      <c r="E4681" s="22" t="e">
        <f>VLOOKUP($A4681,TAB_CORRECAO_U[[Q_DIAS_U_PARC_TIR]:[V_FUT_U_CORC-02]],E$5, FALSE)</f>
        <v>#N/A</v>
      </c>
      <c r="F4681" s="22" t="e">
        <f>VLOOKUP($A4681,TAB_AMORTIZACAO_U[[Q_DIAS_U_PARC_TIR]:[V_FUT_U_PCPL-02]], F$5, FALSE)</f>
        <v>#N/A</v>
      </c>
      <c r="H4681" s="20">
        <f t="shared" ref="H4681:H4744" si="372">IF(ISERROR(I4681), 0, I4681)</f>
        <v>0</v>
      </c>
      <c r="I4681" s="21">
        <f t="shared" ref="I4681:I4744" si="373">SUMIF(J4681:L4681, "&gt;0", J4681:L4681)</f>
        <v>0</v>
      </c>
      <c r="J4681" s="22" t="e">
        <f>VLOOKUP($A4681, TAB_JUROS_C[[DIAS_CORRIDOS]:[V_FUT_UTEIS]], J$5, FALSE)</f>
        <v>#N/A</v>
      </c>
      <c r="K4681" s="22" t="e">
        <f>VLOOKUP($A4681, TAB_CORRECAO_C[[DIAS_CORRIDOS]:[V_FUT_UTEIS]],K$5, FALSE)</f>
        <v>#N/A</v>
      </c>
      <c r="L4681" s="22" t="e">
        <f>VLOOKUP($A4681, TAB_AMORTIZACAO_C[[DIAS_CORRIDOS]:[V_FUT_UTEIS]], L$5, FALSE)</f>
        <v>#N/A</v>
      </c>
    </row>
    <row r="4682" spans="1:12" hidden="1">
      <c r="A4682" s="19">
        <f t="shared" ref="A4682:A4745" si="374">A4681+1</f>
        <v>4676</v>
      </c>
      <c r="B4682" s="20">
        <f t="shared" si="370"/>
        <v>0</v>
      </c>
      <c r="C4682" s="21">
        <f t="shared" si="371"/>
        <v>0</v>
      </c>
      <c r="D4682" s="22" t="e">
        <f>VLOOKUP($A4682, TAB_JUROS_U[[Q_DIAS_U_PARC_TIR]:[V_FUT_U_JURS CENARIO]], D$5, FALSE)</f>
        <v>#N/A</v>
      </c>
      <c r="E4682" s="22" t="e">
        <f>VLOOKUP($A4682,TAB_CORRECAO_U[[Q_DIAS_U_PARC_TIR]:[V_FUT_U_CORC-02]],E$5, FALSE)</f>
        <v>#N/A</v>
      </c>
      <c r="F4682" s="22" t="e">
        <f>VLOOKUP($A4682,TAB_AMORTIZACAO_U[[Q_DIAS_U_PARC_TIR]:[V_FUT_U_PCPL-02]], F$5, FALSE)</f>
        <v>#N/A</v>
      </c>
      <c r="H4682" s="20">
        <f t="shared" si="372"/>
        <v>0</v>
      </c>
      <c r="I4682" s="21">
        <f t="shared" si="373"/>
        <v>0</v>
      </c>
      <c r="J4682" s="22" t="e">
        <f>VLOOKUP($A4682, TAB_JUROS_C[[DIAS_CORRIDOS]:[V_FUT_UTEIS]], J$5, FALSE)</f>
        <v>#N/A</v>
      </c>
      <c r="K4682" s="22" t="e">
        <f>VLOOKUP($A4682, TAB_CORRECAO_C[[DIAS_CORRIDOS]:[V_FUT_UTEIS]],K$5, FALSE)</f>
        <v>#N/A</v>
      </c>
      <c r="L4682" s="22" t="e">
        <f>VLOOKUP($A4682, TAB_AMORTIZACAO_C[[DIAS_CORRIDOS]:[V_FUT_UTEIS]], L$5, FALSE)</f>
        <v>#N/A</v>
      </c>
    </row>
    <row r="4683" spans="1:12" hidden="1">
      <c r="A4683" s="19">
        <f t="shared" si="374"/>
        <v>4677</v>
      </c>
      <c r="B4683" s="20">
        <f t="shared" si="370"/>
        <v>0</v>
      </c>
      <c r="C4683" s="21">
        <f t="shared" si="371"/>
        <v>0</v>
      </c>
      <c r="D4683" s="22" t="e">
        <f>VLOOKUP($A4683, TAB_JUROS_U[[Q_DIAS_U_PARC_TIR]:[V_FUT_U_JURS CENARIO]], D$5, FALSE)</f>
        <v>#N/A</v>
      </c>
      <c r="E4683" s="22" t="e">
        <f>VLOOKUP($A4683,TAB_CORRECAO_U[[Q_DIAS_U_PARC_TIR]:[V_FUT_U_CORC-02]],E$5, FALSE)</f>
        <v>#N/A</v>
      </c>
      <c r="F4683" s="22" t="e">
        <f>VLOOKUP($A4683,TAB_AMORTIZACAO_U[[Q_DIAS_U_PARC_TIR]:[V_FUT_U_PCPL-02]], F$5, FALSE)</f>
        <v>#N/A</v>
      </c>
      <c r="H4683" s="20">
        <f t="shared" si="372"/>
        <v>0</v>
      </c>
      <c r="I4683" s="21">
        <f t="shared" si="373"/>
        <v>0</v>
      </c>
      <c r="J4683" s="22" t="e">
        <f>VLOOKUP($A4683, TAB_JUROS_C[[DIAS_CORRIDOS]:[V_FUT_UTEIS]], J$5, FALSE)</f>
        <v>#N/A</v>
      </c>
      <c r="K4683" s="22" t="e">
        <f>VLOOKUP($A4683, TAB_CORRECAO_C[[DIAS_CORRIDOS]:[V_FUT_UTEIS]],K$5, FALSE)</f>
        <v>#N/A</v>
      </c>
      <c r="L4683" s="22" t="e">
        <f>VLOOKUP($A4683, TAB_AMORTIZACAO_C[[DIAS_CORRIDOS]:[V_FUT_UTEIS]], L$5, FALSE)</f>
        <v>#N/A</v>
      </c>
    </row>
    <row r="4684" spans="1:12" hidden="1">
      <c r="A4684" s="19">
        <f t="shared" si="374"/>
        <v>4678</v>
      </c>
      <c r="B4684" s="20">
        <f t="shared" si="370"/>
        <v>0</v>
      </c>
      <c r="C4684" s="21">
        <f t="shared" si="371"/>
        <v>0</v>
      </c>
      <c r="D4684" s="22" t="e">
        <f>VLOOKUP($A4684, TAB_JUROS_U[[Q_DIAS_U_PARC_TIR]:[V_FUT_U_JURS CENARIO]], D$5, FALSE)</f>
        <v>#N/A</v>
      </c>
      <c r="E4684" s="22" t="e">
        <f>VLOOKUP($A4684,TAB_CORRECAO_U[[Q_DIAS_U_PARC_TIR]:[V_FUT_U_CORC-02]],E$5, FALSE)</f>
        <v>#N/A</v>
      </c>
      <c r="F4684" s="22" t="e">
        <f>VLOOKUP($A4684,TAB_AMORTIZACAO_U[[Q_DIAS_U_PARC_TIR]:[V_FUT_U_PCPL-02]], F$5, FALSE)</f>
        <v>#N/A</v>
      </c>
      <c r="H4684" s="20">
        <f t="shared" si="372"/>
        <v>0</v>
      </c>
      <c r="I4684" s="21">
        <f t="shared" si="373"/>
        <v>0</v>
      </c>
      <c r="J4684" s="22" t="e">
        <f>VLOOKUP($A4684, TAB_JUROS_C[[DIAS_CORRIDOS]:[V_FUT_UTEIS]], J$5, FALSE)</f>
        <v>#N/A</v>
      </c>
      <c r="K4684" s="22" t="e">
        <f>VLOOKUP($A4684, TAB_CORRECAO_C[[DIAS_CORRIDOS]:[V_FUT_UTEIS]],K$5, FALSE)</f>
        <v>#N/A</v>
      </c>
      <c r="L4684" s="22" t="e">
        <f>VLOOKUP($A4684, TAB_AMORTIZACAO_C[[DIAS_CORRIDOS]:[V_FUT_UTEIS]], L$5, FALSE)</f>
        <v>#N/A</v>
      </c>
    </row>
    <row r="4685" spans="1:12" hidden="1">
      <c r="A4685" s="19">
        <f t="shared" si="374"/>
        <v>4679</v>
      </c>
      <c r="B4685" s="20">
        <f t="shared" si="370"/>
        <v>0</v>
      </c>
      <c r="C4685" s="21">
        <f t="shared" si="371"/>
        <v>0</v>
      </c>
      <c r="D4685" s="22" t="e">
        <f>VLOOKUP($A4685, TAB_JUROS_U[[Q_DIAS_U_PARC_TIR]:[V_FUT_U_JURS CENARIO]], D$5, FALSE)</f>
        <v>#N/A</v>
      </c>
      <c r="E4685" s="22" t="e">
        <f>VLOOKUP($A4685,TAB_CORRECAO_U[[Q_DIAS_U_PARC_TIR]:[V_FUT_U_CORC-02]],E$5, FALSE)</f>
        <v>#N/A</v>
      </c>
      <c r="F4685" s="22" t="e">
        <f>VLOOKUP($A4685,TAB_AMORTIZACAO_U[[Q_DIAS_U_PARC_TIR]:[V_FUT_U_PCPL-02]], F$5, FALSE)</f>
        <v>#N/A</v>
      </c>
      <c r="H4685" s="20">
        <f t="shared" si="372"/>
        <v>0</v>
      </c>
      <c r="I4685" s="21">
        <f t="shared" si="373"/>
        <v>0</v>
      </c>
      <c r="J4685" s="22" t="e">
        <f>VLOOKUP($A4685, TAB_JUROS_C[[DIAS_CORRIDOS]:[V_FUT_UTEIS]], J$5, FALSE)</f>
        <v>#N/A</v>
      </c>
      <c r="K4685" s="22" t="e">
        <f>VLOOKUP($A4685, TAB_CORRECAO_C[[DIAS_CORRIDOS]:[V_FUT_UTEIS]],K$5, FALSE)</f>
        <v>#N/A</v>
      </c>
      <c r="L4685" s="22" t="e">
        <f>VLOOKUP($A4685, TAB_AMORTIZACAO_C[[DIAS_CORRIDOS]:[V_FUT_UTEIS]], L$5, FALSE)</f>
        <v>#N/A</v>
      </c>
    </row>
    <row r="4686" spans="1:12" hidden="1">
      <c r="A4686" s="19">
        <f t="shared" si="374"/>
        <v>4680</v>
      </c>
      <c r="B4686" s="20">
        <f t="shared" si="370"/>
        <v>0</v>
      </c>
      <c r="C4686" s="21">
        <f t="shared" si="371"/>
        <v>0</v>
      </c>
      <c r="D4686" s="22" t="e">
        <f>VLOOKUP($A4686, TAB_JUROS_U[[Q_DIAS_U_PARC_TIR]:[V_FUT_U_JURS CENARIO]], D$5, FALSE)</f>
        <v>#N/A</v>
      </c>
      <c r="E4686" s="22" t="e">
        <f>VLOOKUP($A4686,TAB_CORRECAO_U[[Q_DIAS_U_PARC_TIR]:[V_FUT_U_CORC-02]],E$5, FALSE)</f>
        <v>#N/A</v>
      </c>
      <c r="F4686" s="22" t="e">
        <f>VLOOKUP($A4686,TAB_AMORTIZACAO_U[[Q_DIAS_U_PARC_TIR]:[V_FUT_U_PCPL-02]], F$5, FALSE)</f>
        <v>#N/A</v>
      </c>
      <c r="H4686" s="20">
        <f t="shared" si="372"/>
        <v>0</v>
      </c>
      <c r="I4686" s="21">
        <f t="shared" si="373"/>
        <v>0</v>
      </c>
      <c r="J4686" s="22" t="e">
        <f>VLOOKUP($A4686, TAB_JUROS_C[[DIAS_CORRIDOS]:[V_FUT_UTEIS]], J$5, FALSE)</f>
        <v>#N/A</v>
      </c>
      <c r="K4686" s="22" t="e">
        <f>VLOOKUP($A4686, TAB_CORRECAO_C[[DIAS_CORRIDOS]:[V_FUT_UTEIS]],K$5, FALSE)</f>
        <v>#N/A</v>
      </c>
      <c r="L4686" s="22" t="e">
        <f>VLOOKUP($A4686, TAB_AMORTIZACAO_C[[DIAS_CORRIDOS]:[V_FUT_UTEIS]], L$5, FALSE)</f>
        <v>#N/A</v>
      </c>
    </row>
    <row r="4687" spans="1:12" hidden="1">
      <c r="A4687" s="19">
        <f t="shared" si="374"/>
        <v>4681</v>
      </c>
      <c r="B4687" s="20">
        <f t="shared" si="370"/>
        <v>0</v>
      </c>
      <c r="C4687" s="21">
        <f t="shared" si="371"/>
        <v>0</v>
      </c>
      <c r="D4687" s="22" t="e">
        <f>VLOOKUP($A4687, TAB_JUROS_U[[Q_DIAS_U_PARC_TIR]:[V_FUT_U_JURS CENARIO]], D$5, FALSE)</f>
        <v>#N/A</v>
      </c>
      <c r="E4687" s="22" t="e">
        <f>VLOOKUP($A4687,TAB_CORRECAO_U[[Q_DIAS_U_PARC_TIR]:[V_FUT_U_CORC-02]],E$5, FALSE)</f>
        <v>#N/A</v>
      </c>
      <c r="F4687" s="22" t="e">
        <f>VLOOKUP($A4687,TAB_AMORTIZACAO_U[[Q_DIAS_U_PARC_TIR]:[V_FUT_U_PCPL-02]], F$5, FALSE)</f>
        <v>#N/A</v>
      </c>
      <c r="H4687" s="20">
        <f t="shared" si="372"/>
        <v>0</v>
      </c>
      <c r="I4687" s="21">
        <f t="shared" si="373"/>
        <v>0</v>
      </c>
      <c r="J4687" s="22" t="e">
        <f>VLOOKUP($A4687, TAB_JUROS_C[[DIAS_CORRIDOS]:[V_FUT_UTEIS]], J$5, FALSE)</f>
        <v>#N/A</v>
      </c>
      <c r="K4687" s="22" t="e">
        <f>VLOOKUP($A4687, TAB_CORRECAO_C[[DIAS_CORRIDOS]:[V_FUT_UTEIS]],K$5, FALSE)</f>
        <v>#N/A</v>
      </c>
      <c r="L4687" s="22" t="e">
        <f>VLOOKUP($A4687, TAB_AMORTIZACAO_C[[DIAS_CORRIDOS]:[V_FUT_UTEIS]], L$5, FALSE)</f>
        <v>#N/A</v>
      </c>
    </row>
    <row r="4688" spans="1:12" hidden="1">
      <c r="A4688" s="19">
        <f t="shared" si="374"/>
        <v>4682</v>
      </c>
      <c r="B4688" s="20">
        <f t="shared" si="370"/>
        <v>0</v>
      </c>
      <c r="C4688" s="21">
        <f t="shared" si="371"/>
        <v>0</v>
      </c>
      <c r="D4688" s="22" t="e">
        <f>VLOOKUP($A4688, TAB_JUROS_U[[Q_DIAS_U_PARC_TIR]:[V_FUT_U_JURS CENARIO]], D$5, FALSE)</f>
        <v>#N/A</v>
      </c>
      <c r="E4688" s="22" t="e">
        <f>VLOOKUP($A4688,TAB_CORRECAO_U[[Q_DIAS_U_PARC_TIR]:[V_FUT_U_CORC-02]],E$5, FALSE)</f>
        <v>#N/A</v>
      </c>
      <c r="F4688" s="22" t="e">
        <f>VLOOKUP($A4688,TAB_AMORTIZACAO_U[[Q_DIAS_U_PARC_TIR]:[V_FUT_U_PCPL-02]], F$5, FALSE)</f>
        <v>#N/A</v>
      </c>
      <c r="H4688" s="20">
        <f t="shared" si="372"/>
        <v>0</v>
      </c>
      <c r="I4688" s="21">
        <f t="shared" si="373"/>
        <v>0</v>
      </c>
      <c r="J4688" s="22" t="e">
        <f>VLOOKUP($A4688, TAB_JUROS_C[[DIAS_CORRIDOS]:[V_FUT_UTEIS]], J$5, FALSE)</f>
        <v>#N/A</v>
      </c>
      <c r="K4688" s="22" t="e">
        <f>VLOOKUP($A4688, TAB_CORRECAO_C[[DIAS_CORRIDOS]:[V_FUT_UTEIS]],K$5, FALSE)</f>
        <v>#N/A</v>
      </c>
      <c r="L4688" s="22" t="e">
        <f>VLOOKUP($A4688, TAB_AMORTIZACAO_C[[DIAS_CORRIDOS]:[V_FUT_UTEIS]], L$5, FALSE)</f>
        <v>#N/A</v>
      </c>
    </row>
    <row r="4689" spans="1:12" hidden="1">
      <c r="A4689" s="19">
        <f t="shared" si="374"/>
        <v>4683</v>
      </c>
      <c r="B4689" s="20">
        <f t="shared" si="370"/>
        <v>0</v>
      </c>
      <c r="C4689" s="21">
        <f t="shared" si="371"/>
        <v>0</v>
      </c>
      <c r="D4689" s="22" t="e">
        <f>VLOOKUP($A4689, TAB_JUROS_U[[Q_DIAS_U_PARC_TIR]:[V_FUT_U_JURS CENARIO]], D$5, FALSE)</f>
        <v>#N/A</v>
      </c>
      <c r="E4689" s="22" t="e">
        <f>VLOOKUP($A4689,TAB_CORRECAO_U[[Q_DIAS_U_PARC_TIR]:[V_FUT_U_CORC-02]],E$5, FALSE)</f>
        <v>#N/A</v>
      </c>
      <c r="F4689" s="22" t="e">
        <f>VLOOKUP($A4689,TAB_AMORTIZACAO_U[[Q_DIAS_U_PARC_TIR]:[V_FUT_U_PCPL-02]], F$5, FALSE)</f>
        <v>#N/A</v>
      </c>
      <c r="H4689" s="20">
        <f t="shared" si="372"/>
        <v>0</v>
      </c>
      <c r="I4689" s="21">
        <f t="shared" si="373"/>
        <v>0</v>
      </c>
      <c r="J4689" s="22" t="e">
        <f>VLOOKUP($A4689, TAB_JUROS_C[[DIAS_CORRIDOS]:[V_FUT_UTEIS]], J$5, FALSE)</f>
        <v>#N/A</v>
      </c>
      <c r="K4689" s="22" t="e">
        <f>VLOOKUP($A4689, TAB_CORRECAO_C[[DIAS_CORRIDOS]:[V_FUT_UTEIS]],K$5, FALSE)</f>
        <v>#N/A</v>
      </c>
      <c r="L4689" s="22" t="e">
        <f>VLOOKUP($A4689, TAB_AMORTIZACAO_C[[DIAS_CORRIDOS]:[V_FUT_UTEIS]], L$5, FALSE)</f>
        <v>#N/A</v>
      </c>
    </row>
    <row r="4690" spans="1:12" hidden="1">
      <c r="A4690" s="19">
        <f t="shared" si="374"/>
        <v>4684</v>
      </c>
      <c r="B4690" s="20">
        <f t="shared" si="370"/>
        <v>0</v>
      </c>
      <c r="C4690" s="21">
        <f t="shared" si="371"/>
        <v>0</v>
      </c>
      <c r="D4690" s="22" t="e">
        <f>VLOOKUP($A4690, TAB_JUROS_U[[Q_DIAS_U_PARC_TIR]:[V_FUT_U_JURS CENARIO]], D$5, FALSE)</f>
        <v>#N/A</v>
      </c>
      <c r="E4690" s="22" t="e">
        <f>VLOOKUP($A4690,TAB_CORRECAO_U[[Q_DIAS_U_PARC_TIR]:[V_FUT_U_CORC-02]],E$5, FALSE)</f>
        <v>#N/A</v>
      </c>
      <c r="F4690" s="22" t="e">
        <f>VLOOKUP($A4690,TAB_AMORTIZACAO_U[[Q_DIAS_U_PARC_TIR]:[V_FUT_U_PCPL-02]], F$5, FALSE)</f>
        <v>#N/A</v>
      </c>
      <c r="H4690" s="20">
        <f t="shared" si="372"/>
        <v>0</v>
      </c>
      <c r="I4690" s="21">
        <f t="shared" si="373"/>
        <v>0</v>
      </c>
      <c r="J4690" s="22" t="e">
        <f>VLOOKUP($A4690, TAB_JUROS_C[[DIAS_CORRIDOS]:[V_FUT_UTEIS]], J$5, FALSE)</f>
        <v>#N/A</v>
      </c>
      <c r="K4690" s="22" t="e">
        <f>VLOOKUP($A4690, TAB_CORRECAO_C[[DIAS_CORRIDOS]:[V_FUT_UTEIS]],K$5, FALSE)</f>
        <v>#N/A</v>
      </c>
      <c r="L4690" s="22" t="e">
        <f>VLOOKUP($A4690, TAB_AMORTIZACAO_C[[DIAS_CORRIDOS]:[V_FUT_UTEIS]], L$5, FALSE)</f>
        <v>#N/A</v>
      </c>
    </row>
    <row r="4691" spans="1:12" hidden="1">
      <c r="A4691" s="19">
        <f t="shared" si="374"/>
        <v>4685</v>
      </c>
      <c r="B4691" s="20">
        <f t="shared" si="370"/>
        <v>0</v>
      </c>
      <c r="C4691" s="21">
        <f t="shared" si="371"/>
        <v>0</v>
      </c>
      <c r="D4691" s="22" t="e">
        <f>VLOOKUP($A4691, TAB_JUROS_U[[Q_DIAS_U_PARC_TIR]:[V_FUT_U_JURS CENARIO]], D$5, FALSE)</f>
        <v>#N/A</v>
      </c>
      <c r="E4691" s="22" t="e">
        <f>VLOOKUP($A4691,TAB_CORRECAO_U[[Q_DIAS_U_PARC_TIR]:[V_FUT_U_CORC-02]],E$5, FALSE)</f>
        <v>#N/A</v>
      </c>
      <c r="F4691" s="22" t="e">
        <f>VLOOKUP($A4691,TAB_AMORTIZACAO_U[[Q_DIAS_U_PARC_TIR]:[V_FUT_U_PCPL-02]], F$5, FALSE)</f>
        <v>#N/A</v>
      </c>
      <c r="H4691" s="20">
        <f t="shared" si="372"/>
        <v>0</v>
      </c>
      <c r="I4691" s="21">
        <f t="shared" si="373"/>
        <v>0</v>
      </c>
      <c r="J4691" s="22" t="e">
        <f>VLOOKUP($A4691, TAB_JUROS_C[[DIAS_CORRIDOS]:[V_FUT_UTEIS]], J$5, FALSE)</f>
        <v>#N/A</v>
      </c>
      <c r="K4691" s="22" t="e">
        <f>VLOOKUP($A4691, TAB_CORRECAO_C[[DIAS_CORRIDOS]:[V_FUT_UTEIS]],K$5, FALSE)</f>
        <v>#N/A</v>
      </c>
      <c r="L4691" s="22" t="e">
        <f>VLOOKUP($A4691, TAB_AMORTIZACAO_C[[DIAS_CORRIDOS]:[V_FUT_UTEIS]], L$5, FALSE)</f>
        <v>#N/A</v>
      </c>
    </row>
    <row r="4692" spans="1:12" hidden="1">
      <c r="A4692" s="19">
        <f t="shared" si="374"/>
        <v>4686</v>
      </c>
      <c r="B4692" s="20">
        <f t="shared" si="370"/>
        <v>0</v>
      </c>
      <c r="C4692" s="21">
        <f t="shared" si="371"/>
        <v>0</v>
      </c>
      <c r="D4692" s="22" t="e">
        <f>VLOOKUP($A4692, TAB_JUROS_U[[Q_DIAS_U_PARC_TIR]:[V_FUT_U_JURS CENARIO]], D$5, FALSE)</f>
        <v>#N/A</v>
      </c>
      <c r="E4692" s="22" t="e">
        <f>VLOOKUP($A4692,TAB_CORRECAO_U[[Q_DIAS_U_PARC_TIR]:[V_FUT_U_CORC-02]],E$5, FALSE)</f>
        <v>#N/A</v>
      </c>
      <c r="F4692" s="22" t="e">
        <f>VLOOKUP($A4692,TAB_AMORTIZACAO_U[[Q_DIAS_U_PARC_TIR]:[V_FUT_U_PCPL-02]], F$5, FALSE)</f>
        <v>#N/A</v>
      </c>
      <c r="H4692" s="20">
        <f t="shared" si="372"/>
        <v>0</v>
      </c>
      <c r="I4692" s="21">
        <f t="shared" si="373"/>
        <v>0</v>
      </c>
      <c r="J4692" s="22" t="e">
        <f>VLOOKUP($A4692, TAB_JUROS_C[[DIAS_CORRIDOS]:[V_FUT_UTEIS]], J$5, FALSE)</f>
        <v>#N/A</v>
      </c>
      <c r="K4692" s="22" t="e">
        <f>VLOOKUP($A4692, TAB_CORRECAO_C[[DIAS_CORRIDOS]:[V_FUT_UTEIS]],K$5, FALSE)</f>
        <v>#N/A</v>
      </c>
      <c r="L4692" s="22" t="e">
        <f>VLOOKUP($A4692, TAB_AMORTIZACAO_C[[DIAS_CORRIDOS]:[V_FUT_UTEIS]], L$5, FALSE)</f>
        <v>#N/A</v>
      </c>
    </row>
    <row r="4693" spans="1:12" hidden="1">
      <c r="A4693" s="19">
        <f t="shared" si="374"/>
        <v>4687</v>
      </c>
      <c r="B4693" s="20">
        <f t="shared" si="370"/>
        <v>0</v>
      </c>
      <c r="C4693" s="21">
        <f t="shared" si="371"/>
        <v>0</v>
      </c>
      <c r="D4693" s="22" t="e">
        <f>VLOOKUP($A4693, TAB_JUROS_U[[Q_DIAS_U_PARC_TIR]:[V_FUT_U_JURS CENARIO]], D$5, FALSE)</f>
        <v>#N/A</v>
      </c>
      <c r="E4693" s="22" t="e">
        <f>VLOOKUP($A4693,TAB_CORRECAO_U[[Q_DIAS_U_PARC_TIR]:[V_FUT_U_CORC-02]],E$5, FALSE)</f>
        <v>#N/A</v>
      </c>
      <c r="F4693" s="22" t="e">
        <f>VLOOKUP($A4693,TAB_AMORTIZACAO_U[[Q_DIAS_U_PARC_TIR]:[V_FUT_U_PCPL-02]], F$5, FALSE)</f>
        <v>#N/A</v>
      </c>
      <c r="H4693" s="20">
        <f t="shared" si="372"/>
        <v>0</v>
      </c>
      <c r="I4693" s="21">
        <f t="shared" si="373"/>
        <v>0</v>
      </c>
      <c r="J4693" s="22" t="e">
        <f>VLOOKUP($A4693, TAB_JUROS_C[[DIAS_CORRIDOS]:[V_FUT_UTEIS]], J$5, FALSE)</f>
        <v>#N/A</v>
      </c>
      <c r="K4693" s="22" t="e">
        <f>VLOOKUP($A4693, TAB_CORRECAO_C[[DIAS_CORRIDOS]:[V_FUT_UTEIS]],K$5, FALSE)</f>
        <v>#N/A</v>
      </c>
      <c r="L4693" s="22" t="e">
        <f>VLOOKUP($A4693, TAB_AMORTIZACAO_C[[DIAS_CORRIDOS]:[V_FUT_UTEIS]], L$5, FALSE)</f>
        <v>#N/A</v>
      </c>
    </row>
    <row r="4694" spans="1:12" hidden="1">
      <c r="A4694" s="19">
        <f t="shared" si="374"/>
        <v>4688</v>
      </c>
      <c r="B4694" s="20">
        <f t="shared" si="370"/>
        <v>0</v>
      </c>
      <c r="C4694" s="21">
        <f t="shared" si="371"/>
        <v>0</v>
      </c>
      <c r="D4694" s="22" t="e">
        <f>VLOOKUP($A4694, TAB_JUROS_U[[Q_DIAS_U_PARC_TIR]:[V_FUT_U_JURS CENARIO]], D$5, FALSE)</f>
        <v>#N/A</v>
      </c>
      <c r="E4694" s="22" t="e">
        <f>VLOOKUP($A4694,TAB_CORRECAO_U[[Q_DIAS_U_PARC_TIR]:[V_FUT_U_CORC-02]],E$5, FALSE)</f>
        <v>#N/A</v>
      </c>
      <c r="F4694" s="22" t="e">
        <f>VLOOKUP($A4694,TAB_AMORTIZACAO_U[[Q_DIAS_U_PARC_TIR]:[V_FUT_U_PCPL-02]], F$5, FALSE)</f>
        <v>#N/A</v>
      </c>
      <c r="H4694" s="20">
        <f t="shared" si="372"/>
        <v>0</v>
      </c>
      <c r="I4694" s="21">
        <f t="shared" si="373"/>
        <v>0</v>
      </c>
      <c r="J4694" s="22" t="e">
        <f>VLOOKUP($A4694, TAB_JUROS_C[[DIAS_CORRIDOS]:[V_FUT_UTEIS]], J$5, FALSE)</f>
        <v>#N/A</v>
      </c>
      <c r="K4694" s="22" t="e">
        <f>VLOOKUP($A4694, TAB_CORRECAO_C[[DIAS_CORRIDOS]:[V_FUT_UTEIS]],K$5, FALSE)</f>
        <v>#N/A</v>
      </c>
      <c r="L4694" s="22" t="e">
        <f>VLOOKUP($A4694, TAB_AMORTIZACAO_C[[DIAS_CORRIDOS]:[V_FUT_UTEIS]], L$5, FALSE)</f>
        <v>#N/A</v>
      </c>
    </row>
    <row r="4695" spans="1:12" hidden="1">
      <c r="A4695" s="19">
        <f t="shared" si="374"/>
        <v>4689</v>
      </c>
      <c r="B4695" s="20">
        <f t="shared" si="370"/>
        <v>0</v>
      </c>
      <c r="C4695" s="21">
        <f t="shared" si="371"/>
        <v>0</v>
      </c>
      <c r="D4695" s="22" t="e">
        <f>VLOOKUP($A4695, TAB_JUROS_U[[Q_DIAS_U_PARC_TIR]:[V_FUT_U_JURS CENARIO]], D$5, FALSE)</f>
        <v>#N/A</v>
      </c>
      <c r="E4695" s="22" t="e">
        <f>VLOOKUP($A4695,TAB_CORRECAO_U[[Q_DIAS_U_PARC_TIR]:[V_FUT_U_CORC-02]],E$5, FALSE)</f>
        <v>#N/A</v>
      </c>
      <c r="F4695" s="22" t="e">
        <f>VLOOKUP($A4695,TAB_AMORTIZACAO_U[[Q_DIAS_U_PARC_TIR]:[V_FUT_U_PCPL-02]], F$5, FALSE)</f>
        <v>#N/A</v>
      </c>
      <c r="H4695" s="20">
        <f t="shared" si="372"/>
        <v>0</v>
      </c>
      <c r="I4695" s="21">
        <f t="shared" si="373"/>
        <v>0</v>
      </c>
      <c r="J4695" s="22" t="e">
        <f>VLOOKUP($A4695, TAB_JUROS_C[[DIAS_CORRIDOS]:[V_FUT_UTEIS]], J$5, FALSE)</f>
        <v>#N/A</v>
      </c>
      <c r="K4695" s="22" t="e">
        <f>VLOOKUP($A4695, TAB_CORRECAO_C[[DIAS_CORRIDOS]:[V_FUT_UTEIS]],K$5, FALSE)</f>
        <v>#N/A</v>
      </c>
      <c r="L4695" s="22" t="e">
        <f>VLOOKUP($A4695, TAB_AMORTIZACAO_C[[DIAS_CORRIDOS]:[V_FUT_UTEIS]], L$5, FALSE)</f>
        <v>#N/A</v>
      </c>
    </row>
    <row r="4696" spans="1:12" hidden="1">
      <c r="A4696" s="19">
        <f t="shared" si="374"/>
        <v>4690</v>
      </c>
      <c r="B4696" s="20">
        <f t="shared" si="370"/>
        <v>0</v>
      </c>
      <c r="C4696" s="21">
        <f t="shared" si="371"/>
        <v>0</v>
      </c>
      <c r="D4696" s="22" t="e">
        <f>VLOOKUP($A4696, TAB_JUROS_U[[Q_DIAS_U_PARC_TIR]:[V_FUT_U_JURS CENARIO]], D$5, FALSE)</f>
        <v>#N/A</v>
      </c>
      <c r="E4696" s="22" t="e">
        <f>VLOOKUP($A4696,TAB_CORRECAO_U[[Q_DIAS_U_PARC_TIR]:[V_FUT_U_CORC-02]],E$5, FALSE)</f>
        <v>#N/A</v>
      </c>
      <c r="F4696" s="22" t="e">
        <f>VLOOKUP($A4696,TAB_AMORTIZACAO_U[[Q_DIAS_U_PARC_TIR]:[V_FUT_U_PCPL-02]], F$5, FALSE)</f>
        <v>#N/A</v>
      </c>
      <c r="H4696" s="20">
        <f t="shared" si="372"/>
        <v>0</v>
      </c>
      <c r="I4696" s="21">
        <f t="shared" si="373"/>
        <v>0</v>
      </c>
      <c r="J4696" s="22" t="e">
        <f>VLOOKUP($A4696, TAB_JUROS_C[[DIAS_CORRIDOS]:[V_FUT_UTEIS]], J$5, FALSE)</f>
        <v>#N/A</v>
      </c>
      <c r="K4696" s="22" t="e">
        <f>VLOOKUP($A4696, TAB_CORRECAO_C[[DIAS_CORRIDOS]:[V_FUT_UTEIS]],K$5, FALSE)</f>
        <v>#N/A</v>
      </c>
      <c r="L4696" s="22" t="e">
        <f>VLOOKUP($A4696, TAB_AMORTIZACAO_C[[DIAS_CORRIDOS]:[V_FUT_UTEIS]], L$5, FALSE)</f>
        <v>#N/A</v>
      </c>
    </row>
    <row r="4697" spans="1:12" hidden="1">
      <c r="A4697" s="19">
        <f t="shared" si="374"/>
        <v>4691</v>
      </c>
      <c r="B4697" s="20">
        <f t="shared" si="370"/>
        <v>0</v>
      </c>
      <c r="C4697" s="21">
        <f t="shared" si="371"/>
        <v>0</v>
      </c>
      <c r="D4697" s="22" t="e">
        <f>VLOOKUP($A4697, TAB_JUROS_U[[Q_DIAS_U_PARC_TIR]:[V_FUT_U_JURS CENARIO]], D$5, FALSE)</f>
        <v>#N/A</v>
      </c>
      <c r="E4697" s="22" t="e">
        <f>VLOOKUP($A4697,TAB_CORRECAO_U[[Q_DIAS_U_PARC_TIR]:[V_FUT_U_CORC-02]],E$5, FALSE)</f>
        <v>#N/A</v>
      </c>
      <c r="F4697" s="22" t="e">
        <f>VLOOKUP($A4697,TAB_AMORTIZACAO_U[[Q_DIAS_U_PARC_TIR]:[V_FUT_U_PCPL-02]], F$5, FALSE)</f>
        <v>#N/A</v>
      </c>
      <c r="H4697" s="20">
        <f t="shared" si="372"/>
        <v>0</v>
      </c>
      <c r="I4697" s="21">
        <f t="shared" si="373"/>
        <v>0</v>
      </c>
      <c r="J4697" s="22" t="e">
        <f>VLOOKUP($A4697, TAB_JUROS_C[[DIAS_CORRIDOS]:[V_FUT_UTEIS]], J$5, FALSE)</f>
        <v>#N/A</v>
      </c>
      <c r="K4697" s="22" t="e">
        <f>VLOOKUP($A4697, TAB_CORRECAO_C[[DIAS_CORRIDOS]:[V_FUT_UTEIS]],K$5, FALSE)</f>
        <v>#N/A</v>
      </c>
      <c r="L4697" s="22" t="e">
        <f>VLOOKUP($A4697, TAB_AMORTIZACAO_C[[DIAS_CORRIDOS]:[V_FUT_UTEIS]], L$5, FALSE)</f>
        <v>#N/A</v>
      </c>
    </row>
    <row r="4698" spans="1:12" hidden="1">
      <c r="A4698" s="19">
        <f t="shared" si="374"/>
        <v>4692</v>
      </c>
      <c r="B4698" s="20">
        <f t="shared" si="370"/>
        <v>0</v>
      </c>
      <c r="C4698" s="21">
        <f t="shared" si="371"/>
        <v>0</v>
      </c>
      <c r="D4698" s="22" t="e">
        <f>VLOOKUP($A4698, TAB_JUROS_U[[Q_DIAS_U_PARC_TIR]:[V_FUT_U_JURS CENARIO]], D$5, FALSE)</f>
        <v>#N/A</v>
      </c>
      <c r="E4698" s="22" t="e">
        <f>VLOOKUP($A4698,TAB_CORRECAO_U[[Q_DIAS_U_PARC_TIR]:[V_FUT_U_CORC-02]],E$5, FALSE)</f>
        <v>#N/A</v>
      </c>
      <c r="F4698" s="22" t="e">
        <f>VLOOKUP($A4698,TAB_AMORTIZACAO_U[[Q_DIAS_U_PARC_TIR]:[V_FUT_U_PCPL-02]], F$5, FALSE)</f>
        <v>#N/A</v>
      </c>
      <c r="H4698" s="20">
        <f t="shared" si="372"/>
        <v>0</v>
      </c>
      <c r="I4698" s="21">
        <f t="shared" si="373"/>
        <v>0</v>
      </c>
      <c r="J4698" s="22" t="e">
        <f>VLOOKUP($A4698, TAB_JUROS_C[[DIAS_CORRIDOS]:[V_FUT_UTEIS]], J$5, FALSE)</f>
        <v>#N/A</v>
      </c>
      <c r="K4698" s="22" t="e">
        <f>VLOOKUP($A4698, TAB_CORRECAO_C[[DIAS_CORRIDOS]:[V_FUT_UTEIS]],K$5, FALSE)</f>
        <v>#N/A</v>
      </c>
      <c r="L4698" s="22" t="e">
        <f>VLOOKUP($A4698, TAB_AMORTIZACAO_C[[DIAS_CORRIDOS]:[V_FUT_UTEIS]], L$5, FALSE)</f>
        <v>#N/A</v>
      </c>
    </row>
    <row r="4699" spans="1:12" hidden="1">
      <c r="A4699" s="19">
        <f t="shared" si="374"/>
        <v>4693</v>
      </c>
      <c r="B4699" s="20">
        <f t="shared" si="370"/>
        <v>0</v>
      </c>
      <c r="C4699" s="21">
        <f t="shared" si="371"/>
        <v>0</v>
      </c>
      <c r="D4699" s="22" t="e">
        <f>VLOOKUP($A4699, TAB_JUROS_U[[Q_DIAS_U_PARC_TIR]:[V_FUT_U_JURS CENARIO]], D$5, FALSE)</f>
        <v>#N/A</v>
      </c>
      <c r="E4699" s="22" t="e">
        <f>VLOOKUP($A4699,TAB_CORRECAO_U[[Q_DIAS_U_PARC_TIR]:[V_FUT_U_CORC-02]],E$5, FALSE)</f>
        <v>#N/A</v>
      </c>
      <c r="F4699" s="22" t="e">
        <f>VLOOKUP($A4699,TAB_AMORTIZACAO_U[[Q_DIAS_U_PARC_TIR]:[V_FUT_U_PCPL-02]], F$5, FALSE)</f>
        <v>#N/A</v>
      </c>
      <c r="H4699" s="20">
        <f t="shared" si="372"/>
        <v>0</v>
      </c>
      <c r="I4699" s="21">
        <f t="shared" si="373"/>
        <v>0</v>
      </c>
      <c r="J4699" s="22" t="e">
        <f>VLOOKUP($A4699, TAB_JUROS_C[[DIAS_CORRIDOS]:[V_FUT_UTEIS]], J$5, FALSE)</f>
        <v>#N/A</v>
      </c>
      <c r="K4699" s="22" t="e">
        <f>VLOOKUP($A4699, TAB_CORRECAO_C[[DIAS_CORRIDOS]:[V_FUT_UTEIS]],K$5, FALSE)</f>
        <v>#N/A</v>
      </c>
      <c r="L4699" s="22" t="e">
        <f>VLOOKUP($A4699, TAB_AMORTIZACAO_C[[DIAS_CORRIDOS]:[V_FUT_UTEIS]], L$5, FALSE)</f>
        <v>#N/A</v>
      </c>
    </row>
    <row r="4700" spans="1:12" hidden="1">
      <c r="A4700" s="19">
        <f t="shared" si="374"/>
        <v>4694</v>
      </c>
      <c r="B4700" s="20">
        <f t="shared" si="370"/>
        <v>0</v>
      </c>
      <c r="C4700" s="21">
        <f t="shared" si="371"/>
        <v>0</v>
      </c>
      <c r="D4700" s="22" t="e">
        <f>VLOOKUP($A4700, TAB_JUROS_U[[Q_DIAS_U_PARC_TIR]:[V_FUT_U_JURS CENARIO]], D$5, FALSE)</f>
        <v>#N/A</v>
      </c>
      <c r="E4700" s="22" t="e">
        <f>VLOOKUP($A4700,TAB_CORRECAO_U[[Q_DIAS_U_PARC_TIR]:[V_FUT_U_CORC-02]],E$5, FALSE)</f>
        <v>#N/A</v>
      </c>
      <c r="F4700" s="22" t="e">
        <f>VLOOKUP($A4700,TAB_AMORTIZACAO_U[[Q_DIAS_U_PARC_TIR]:[V_FUT_U_PCPL-02]], F$5, FALSE)</f>
        <v>#N/A</v>
      </c>
      <c r="H4700" s="20">
        <f t="shared" si="372"/>
        <v>0</v>
      </c>
      <c r="I4700" s="21">
        <f t="shared" si="373"/>
        <v>0</v>
      </c>
      <c r="J4700" s="22" t="e">
        <f>VLOOKUP($A4700, TAB_JUROS_C[[DIAS_CORRIDOS]:[V_FUT_UTEIS]], J$5, FALSE)</f>
        <v>#N/A</v>
      </c>
      <c r="K4700" s="22" t="e">
        <f>VLOOKUP($A4700, TAB_CORRECAO_C[[DIAS_CORRIDOS]:[V_FUT_UTEIS]],K$5, FALSE)</f>
        <v>#N/A</v>
      </c>
      <c r="L4700" s="22" t="e">
        <f>VLOOKUP($A4700, TAB_AMORTIZACAO_C[[DIAS_CORRIDOS]:[V_FUT_UTEIS]], L$5, FALSE)</f>
        <v>#N/A</v>
      </c>
    </row>
    <row r="4701" spans="1:12" hidden="1">
      <c r="A4701" s="19">
        <f t="shared" si="374"/>
        <v>4695</v>
      </c>
      <c r="B4701" s="20">
        <f t="shared" si="370"/>
        <v>0</v>
      </c>
      <c r="C4701" s="21">
        <f t="shared" si="371"/>
        <v>0</v>
      </c>
      <c r="D4701" s="22" t="e">
        <f>VLOOKUP($A4701, TAB_JUROS_U[[Q_DIAS_U_PARC_TIR]:[V_FUT_U_JURS CENARIO]], D$5, FALSE)</f>
        <v>#N/A</v>
      </c>
      <c r="E4701" s="22" t="e">
        <f>VLOOKUP($A4701,TAB_CORRECAO_U[[Q_DIAS_U_PARC_TIR]:[V_FUT_U_CORC-02]],E$5, FALSE)</f>
        <v>#N/A</v>
      </c>
      <c r="F4701" s="22" t="e">
        <f>VLOOKUP($A4701,TAB_AMORTIZACAO_U[[Q_DIAS_U_PARC_TIR]:[V_FUT_U_PCPL-02]], F$5, FALSE)</f>
        <v>#N/A</v>
      </c>
      <c r="H4701" s="20">
        <f t="shared" si="372"/>
        <v>0</v>
      </c>
      <c r="I4701" s="21">
        <f t="shared" si="373"/>
        <v>0</v>
      </c>
      <c r="J4701" s="22" t="e">
        <f>VLOOKUP($A4701, TAB_JUROS_C[[DIAS_CORRIDOS]:[V_FUT_UTEIS]], J$5, FALSE)</f>
        <v>#N/A</v>
      </c>
      <c r="K4701" s="22" t="e">
        <f>VLOOKUP($A4701, TAB_CORRECAO_C[[DIAS_CORRIDOS]:[V_FUT_UTEIS]],K$5, FALSE)</f>
        <v>#N/A</v>
      </c>
      <c r="L4701" s="22" t="e">
        <f>VLOOKUP($A4701, TAB_AMORTIZACAO_C[[DIAS_CORRIDOS]:[V_FUT_UTEIS]], L$5, FALSE)</f>
        <v>#N/A</v>
      </c>
    </row>
    <row r="4702" spans="1:12" hidden="1">
      <c r="A4702" s="19">
        <f t="shared" si="374"/>
        <v>4696</v>
      </c>
      <c r="B4702" s="20">
        <f t="shared" si="370"/>
        <v>0</v>
      </c>
      <c r="C4702" s="21">
        <f t="shared" si="371"/>
        <v>0</v>
      </c>
      <c r="D4702" s="22" t="e">
        <f>VLOOKUP($A4702, TAB_JUROS_U[[Q_DIAS_U_PARC_TIR]:[V_FUT_U_JURS CENARIO]], D$5, FALSE)</f>
        <v>#N/A</v>
      </c>
      <c r="E4702" s="22" t="e">
        <f>VLOOKUP($A4702,TAB_CORRECAO_U[[Q_DIAS_U_PARC_TIR]:[V_FUT_U_CORC-02]],E$5, FALSE)</f>
        <v>#N/A</v>
      </c>
      <c r="F4702" s="22" t="e">
        <f>VLOOKUP($A4702,TAB_AMORTIZACAO_U[[Q_DIAS_U_PARC_TIR]:[V_FUT_U_PCPL-02]], F$5, FALSE)</f>
        <v>#N/A</v>
      </c>
      <c r="H4702" s="20">
        <f t="shared" si="372"/>
        <v>0</v>
      </c>
      <c r="I4702" s="21">
        <f t="shared" si="373"/>
        <v>0</v>
      </c>
      <c r="J4702" s="22" t="e">
        <f>VLOOKUP($A4702, TAB_JUROS_C[[DIAS_CORRIDOS]:[V_FUT_UTEIS]], J$5, FALSE)</f>
        <v>#N/A</v>
      </c>
      <c r="K4702" s="22" t="e">
        <f>VLOOKUP($A4702, TAB_CORRECAO_C[[DIAS_CORRIDOS]:[V_FUT_UTEIS]],K$5, FALSE)</f>
        <v>#N/A</v>
      </c>
      <c r="L4702" s="22" t="e">
        <f>VLOOKUP($A4702, TAB_AMORTIZACAO_C[[DIAS_CORRIDOS]:[V_FUT_UTEIS]], L$5, FALSE)</f>
        <v>#N/A</v>
      </c>
    </row>
    <row r="4703" spans="1:12" hidden="1">
      <c r="A4703" s="19">
        <f t="shared" si="374"/>
        <v>4697</v>
      </c>
      <c r="B4703" s="20">
        <f t="shared" si="370"/>
        <v>0</v>
      </c>
      <c r="C4703" s="21">
        <f t="shared" si="371"/>
        <v>0</v>
      </c>
      <c r="D4703" s="22" t="e">
        <f>VLOOKUP($A4703, TAB_JUROS_U[[Q_DIAS_U_PARC_TIR]:[V_FUT_U_JURS CENARIO]], D$5, FALSE)</f>
        <v>#N/A</v>
      </c>
      <c r="E4703" s="22" t="e">
        <f>VLOOKUP($A4703,TAB_CORRECAO_U[[Q_DIAS_U_PARC_TIR]:[V_FUT_U_CORC-02]],E$5, FALSE)</f>
        <v>#N/A</v>
      </c>
      <c r="F4703" s="22" t="e">
        <f>VLOOKUP($A4703,TAB_AMORTIZACAO_U[[Q_DIAS_U_PARC_TIR]:[V_FUT_U_PCPL-02]], F$5, FALSE)</f>
        <v>#N/A</v>
      </c>
      <c r="H4703" s="20">
        <f t="shared" si="372"/>
        <v>0</v>
      </c>
      <c r="I4703" s="21">
        <f t="shared" si="373"/>
        <v>0</v>
      </c>
      <c r="J4703" s="22" t="e">
        <f>VLOOKUP($A4703, TAB_JUROS_C[[DIAS_CORRIDOS]:[V_FUT_UTEIS]], J$5, FALSE)</f>
        <v>#N/A</v>
      </c>
      <c r="K4703" s="22" t="e">
        <f>VLOOKUP($A4703, TAB_CORRECAO_C[[DIAS_CORRIDOS]:[V_FUT_UTEIS]],K$5, FALSE)</f>
        <v>#N/A</v>
      </c>
      <c r="L4703" s="22" t="e">
        <f>VLOOKUP($A4703, TAB_AMORTIZACAO_C[[DIAS_CORRIDOS]:[V_FUT_UTEIS]], L$5, FALSE)</f>
        <v>#N/A</v>
      </c>
    </row>
    <row r="4704" spans="1:12" hidden="1">
      <c r="A4704" s="19">
        <f t="shared" si="374"/>
        <v>4698</v>
      </c>
      <c r="B4704" s="20">
        <f t="shared" si="370"/>
        <v>0</v>
      </c>
      <c r="C4704" s="21">
        <f t="shared" si="371"/>
        <v>0</v>
      </c>
      <c r="D4704" s="22" t="e">
        <f>VLOOKUP($A4704, TAB_JUROS_U[[Q_DIAS_U_PARC_TIR]:[V_FUT_U_JURS CENARIO]], D$5, FALSE)</f>
        <v>#N/A</v>
      </c>
      <c r="E4704" s="22" t="e">
        <f>VLOOKUP($A4704,TAB_CORRECAO_U[[Q_DIAS_U_PARC_TIR]:[V_FUT_U_CORC-02]],E$5, FALSE)</f>
        <v>#N/A</v>
      </c>
      <c r="F4704" s="22" t="e">
        <f>VLOOKUP($A4704,TAB_AMORTIZACAO_U[[Q_DIAS_U_PARC_TIR]:[V_FUT_U_PCPL-02]], F$5, FALSE)</f>
        <v>#N/A</v>
      </c>
      <c r="H4704" s="20">
        <f t="shared" si="372"/>
        <v>0</v>
      </c>
      <c r="I4704" s="21">
        <f t="shared" si="373"/>
        <v>0</v>
      </c>
      <c r="J4704" s="22" t="e">
        <f>VLOOKUP($A4704, TAB_JUROS_C[[DIAS_CORRIDOS]:[V_FUT_UTEIS]], J$5, FALSE)</f>
        <v>#N/A</v>
      </c>
      <c r="K4704" s="22" t="e">
        <f>VLOOKUP($A4704, TAB_CORRECAO_C[[DIAS_CORRIDOS]:[V_FUT_UTEIS]],K$5, FALSE)</f>
        <v>#N/A</v>
      </c>
      <c r="L4704" s="22" t="e">
        <f>VLOOKUP($A4704, TAB_AMORTIZACAO_C[[DIAS_CORRIDOS]:[V_FUT_UTEIS]], L$5, FALSE)</f>
        <v>#N/A</v>
      </c>
    </row>
    <row r="4705" spans="1:12" hidden="1">
      <c r="A4705" s="19">
        <f t="shared" si="374"/>
        <v>4699</v>
      </c>
      <c r="B4705" s="20">
        <f t="shared" si="370"/>
        <v>0</v>
      </c>
      <c r="C4705" s="21">
        <f t="shared" si="371"/>
        <v>0</v>
      </c>
      <c r="D4705" s="22" t="e">
        <f>VLOOKUP($A4705, TAB_JUROS_U[[Q_DIAS_U_PARC_TIR]:[V_FUT_U_JURS CENARIO]], D$5, FALSE)</f>
        <v>#N/A</v>
      </c>
      <c r="E4705" s="22" t="e">
        <f>VLOOKUP($A4705,TAB_CORRECAO_U[[Q_DIAS_U_PARC_TIR]:[V_FUT_U_CORC-02]],E$5, FALSE)</f>
        <v>#N/A</v>
      </c>
      <c r="F4705" s="22" t="e">
        <f>VLOOKUP($A4705,TAB_AMORTIZACAO_U[[Q_DIAS_U_PARC_TIR]:[V_FUT_U_PCPL-02]], F$5, FALSE)</f>
        <v>#N/A</v>
      </c>
      <c r="H4705" s="20">
        <f t="shared" si="372"/>
        <v>0</v>
      </c>
      <c r="I4705" s="21">
        <f t="shared" si="373"/>
        <v>0</v>
      </c>
      <c r="J4705" s="22" t="e">
        <f>VLOOKUP($A4705, TAB_JUROS_C[[DIAS_CORRIDOS]:[V_FUT_UTEIS]], J$5, FALSE)</f>
        <v>#N/A</v>
      </c>
      <c r="K4705" s="22" t="e">
        <f>VLOOKUP($A4705, TAB_CORRECAO_C[[DIAS_CORRIDOS]:[V_FUT_UTEIS]],K$5, FALSE)</f>
        <v>#N/A</v>
      </c>
      <c r="L4705" s="22" t="e">
        <f>VLOOKUP($A4705, TAB_AMORTIZACAO_C[[DIAS_CORRIDOS]:[V_FUT_UTEIS]], L$5, FALSE)</f>
        <v>#N/A</v>
      </c>
    </row>
    <row r="4706" spans="1:12" hidden="1">
      <c r="A4706" s="19">
        <f t="shared" si="374"/>
        <v>4700</v>
      </c>
      <c r="B4706" s="20">
        <f t="shared" si="370"/>
        <v>0</v>
      </c>
      <c r="C4706" s="21">
        <f t="shared" si="371"/>
        <v>0</v>
      </c>
      <c r="D4706" s="22" t="e">
        <f>VLOOKUP($A4706, TAB_JUROS_U[[Q_DIAS_U_PARC_TIR]:[V_FUT_U_JURS CENARIO]], D$5, FALSE)</f>
        <v>#N/A</v>
      </c>
      <c r="E4706" s="22" t="e">
        <f>VLOOKUP($A4706,TAB_CORRECAO_U[[Q_DIAS_U_PARC_TIR]:[V_FUT_U_CORC-02]],E$5, FALSE)</f>
        <v>#N/A</v>
      </c>
      <c r="F4706" s="22" t="e">
        <f>VLOOKUP($A4706,TAB_AMORTIZACAO_U[[Q_DIAS_U_PARC_TIR]:[V_FUT_U_PCPL-02]], F$5, FALSE)</f>
        <v>#N/A</v>
      </c>
      <c r="H4706" s="20">
        <f t="shared" si="372"/>
        <v>0</v>
      </c>
      <c r="I4706" s="21">
        <f t="shared" si="373"/>
        <v>0</v>
      </c>
      <c r="J4706" s="22" t="e">
        <f>VLOOKUP($A4706, TAB_JUROS_C[[DIAS_CORRIDOS]:[V_FUT_UTEIS]], J$5, FALSE)</f>
        <v>#N/A</v>
      </c>
      <c r="K4706" s="22" t="e">
        <f>VLOOKUP($A4706, TAB_CORRECAO_C[[DIAS_CORRIDOS]:[V_FUT_UTEIS]],K$5, FALSE)</f>
        <v>#N/A</v>
      </c>
      <c r="L4706" s="22" t="e">
        <f>VLOOKUP($A4706, TAB_AMORTIZACAO_C[[DIAS_CORRIDOS]:[V_FUT_UTEIS]], L$5, FALSE)</f>
        <v>#N/A</v>
      </c>
    </row>
    <row r="4707" spans="1:12" hidden="1">
      <c r="A4707" s="19">
        <f t="shared" si="374"/>
        <v>4701</v>
      </c>
      <c r="B4707" s="20">
        <f t="shared" si="370"/>
        <v>0</v>
      </c>
      <c r="C4707" s="21">
        <f t="shared" si="371"/>
        <v>0</v>
      </c>
      <c r="D4707" s="22" t="e">
        <f>VLOOKUP($A4707, TAB_JUROS_U[[Q_DIAS_U_PARC_TIR]:[V_FUT_U_JURS CENARIO]], D$5, FALSE)</f>
        <v>#N/A</v>
      </c>
      <c r="E4707" s="22" t="e">
        <f>VLOOKUP($A4707,TAB_CORRECAO_U[[Q_DIAS_U_PARC_TIR]:[V_FUT_U_CORC-02]],E$5, FALSE)</f>
        <v>#N/A</v>
      </c>
      <c r="F4707" s="22" t="e">
        <f>VLOOKUP($A4707,TAB_AMORTIZACAO_U[[Q_DIAS_U_PARC_TIR]:[V_FUT_U_PCPL-02]], F$5, FALSE)</f>
        <v>#N/A</v>
      </c>
      <c r="H4707" s="20">
        <f t="shared" si="372"/>
        <v>0</v>
      </c>
      <c r="I4707" s="21">
        <f t="shared" si="373"/>
        <v>0</v>
      </c>
      <c r="J4707" s="22" t="e">
        <f>VLOOKUP($A4707, TAB_JUROS_C[[DIAS_CORRIDOS]:[V_FUT_UTEIS]], J$5, FALSE)</f>
        <v>#N/A</v>
      </c>
      <c r="K4707" s="22" t="e">
        <f>VLOOKUP($A4707, TAB_CORRECAO_C[[DIAS_CORRIDOS]:[V_FUT_UTEIS]],K$5, FALSE)</f>
        <v>#N/A</v>
      </c>
      <c r="L4707" s="22" t="e">
        <f>VLOOKUP($A4707, TAB_AMORTIZACAO_C[[DIAS_CORRIDOS]:[V_FUT_UTEIS]], L$5, FALSE)</f>
        <v>#N/A</v>
      </c>
    </row>
    <row r="4708" spans="1:12" hidden="1">
      <c r="A4708" s="19">
        <f t="shared" si="374"/>
        <v>4702</v>
      </c>
      <c r="B4708" s="20">
        <f t="shared" si="370"/>
        <v>0</v>
      </c>
      <c r="C4708" s="21">
        <f t="shared" si="371"/>
        <v>0</v>
      </c>
      <c r="D4708" s="22" t="e">
        <f>VLOOKUP($A4708, TAB_JUROS_U[[Q_DIAS_U_PARC_TIR]:[V_FUT_U_JURS CENARIO]], D$5, FALSE)</f>
        <v>#N/A</v>
      </c>
      <c r="E4708" s="22" t="e">
        <f>VLOOKUP($A4708,TAB_CORRECAO_U[[Q_DIAS_U_PARC_TIR]:[V_FUT_U_CORC-02]],E$5, FALSE)</f>
        <v>#N/A</v>
      </c>
      <c r="F4708" s="22" t="e">
        <f>VLOOKUP($A4708,TAB_AMORTIZACAO_U[[Q_DIAS_U_PARC_TIR]:[V_FUT_U_PCPL-02]], F$5, FALSE)</f>
        <v>#N/A</v>
      </c>
      <c r="H4708" s="20">
        <f t="shared" si="372"/>
        <v>0</v>
      </c>
      <c r="I4708" s="21">
        <f t="shared" si="373"/>
        <v>0</v>
      </c>
      <c r="J4708" s="22" t="e">
        <f>VLOOKUP($A4708, TAB_JUROS_C[[DIAS_CORRIDOS]:[V_FUT_UTEIS]], J$5, FALSE)</f>
        <v>#N/A</v>
      </c>
      <c r="K4708" s="22" t="e">
        <f>VLOOKUP($A4708, TAB_CORRECAO_C[[DIAS_CORRIDOS]:[V_FUT_UTEIS]],K$5, FALSE)</f>
        <v>#N/A</v>
      </c>
      <c r="L4708" s="22" t="e">
        <f>VLOOKUP($A4708, TAB_AMORTIZACAO_C[[DIAS_CORRIDOS]:[V_FUT_UTEIS]], L$5, FALSE)</f>
        <v>#N/A</v>
      </c>
    </row>
    <row r="4709" spans="1:12" hidden="1">
      <c r="A4709" s="19">
        <f t="shared" si="374"/>
        <v>4703</v>
      </c>
      <c r="B4709" s="20">
        <f t="shared" si="370"/>
        <v>0</v>
      </c>
      <c r="C4709" s="21">
        <f t="shared" si="371"/>
        <v>0</v>
      </c>
      <c r="D4709" s="22" t="e">
        <f>VLOOKUP($A4709, TAB_JUROS_U[[Q_DIAS_U_PARC_TIR]:[V_FUT_U_JURS CENARIO]], D$5, FALSE)</f>
        <v>#N/A</v>
      </c>
      <c r="E4709" s="22" t="e">
        <f>VLOOKUP($A4709,TAB_CORRECAO_U[[Q_DIAS_U_PARC_TIR]:[V_FUT_U_CORC-02]],E$5, FALSE)</f>
        <v>#N/A</v>
      </c>
      <c r="F4709" s="22" t="e">
        <f>VLOOKUP($A4709,TAB_AMORTIZACAO_U[[Q_DIAS_U_PARC_TIR]:[V_FUT_U_PCPL-02]], F$5, FALSE)</f>
        <v>#N/A</v>
      </c>
      <c r="H4709" s="20">
        <f t="shared" si="372"/>
        <v>0</v>
      </c>
      <c r="I4709" s="21">
        <f t="shared" si="373"/>
        <v>0</v>
      </c>
      <c r="J4709" s="22" t="e">
        <f>VLOOKUP($A4709, TAB_JUROS_C[[DIAS_CORRIDOS]:[V_FUT_UTEIS]], J$5, FALSE)</f>
        <v>#N/A</v>
      </c>
      <c r="K4709" s="22" t="e">
        <f>VLOOKUP($A4709, TAB_CORRECAO_C[[DIAS_CORRIDOS]:[V_FUT_UTEIS]],K$5, FALSE)</f>
        <v>#N/A</v>
      </c>
      <c r="L4709" s="22" t="e">
        <f>VLOOKUP($A4709, TAB_AMORTIZACAO_C[[DIAS_CORRIDOS]:[V_FUT_UTEIS]], L$5, FALSE)</f>
        <v>#N/A</v>
      </c>
    </row>
    <row r="4710" spans="1:12" hidden="1">
      <c r="A4710" s="19">
        <f t="shared" si="374"/>
        <v>4704</v>
      </c>
      <c r="B4710" s="20">
        <f t="shared" si="370"/>
        <v>0</v>
      </c>
      <c r="C4710" s="21">
        <f t="shared" si="371"/>
        <v>0</v>
      </c>
      <c r="D4710" s="22" t="e">
        <f>VLOOKUP($A4710, TAB_JUROS_U[[Q_DIAS_U_PARC_TIR]:[V_FUT_U_JURS CENARIO]], D$5, FALSE)</f>
        <v>#N/A</v>
      </c>
      <c r="E4710" s="22" t="e">
        <f>VLOOKUP($A4710,TAB_CORRECAO_U[[Q_DIAS_U_PARC_TIR]:[V_FUT_U_CORC-02]],E$5, FALSE)</f>
        <v>#N/A</v>
      </c>
      <c r="F4710" s="22" t="e">
        <f>VLOOKUP($A4710,TAB_AMORTIZACAO_U[[Q_DIAS_U_PARC_TIR]:[V_FUT_U_PCPL-02]], F$5, FALSE)</f>
        <v>#N/A</v>
      </c>
      <c r="H4710" s="20">
        <f t="shared" si="372"/>
        <v>0</v>
      </c>
      <c r="I4710" s="21">
        <f t="shared" si="373"/>
        <v>0</v>
      </c>
      <c r="J4710" s="22" t="e">
        <f>VLOOKUP($A4710, TAB_JUROS_C[[DIAS_CORRIDOS]:[V_FUT_UTEIS]], J$5, FALSE)</f>
        <v>#N/A</v>
      </c>
      <c r="K4710" s="22" t="e">
        <f>VLOOKUP($A4710, TAB_CORRECAO_C[[DIAS_CORRIDOS]:[V_FUT_UTEIS]],K$5, FALSE)</f>
        <v>#N/A</v>
      </c>
      <c r="L4710" s="22" t="e">
        <f>VLOOKUP($A4710, TAB_AMORTIZACAO_C[[DIAS_CORRIDOS]:[V_FUT_UTEIS]], L$5, FALSE)</f>
        <v>#N/A</v>
      </c>
    </row>
    <row r="4711" spans="1:12" hidden="1">
      <c r="A4711" s="19">
        <f t="shared" si="374"/>
        <v>4705</v>
      </c>
      <c r="B4711" s="20">
        <f t="shared" si="370"/>
        <v>0</v>
      </c>
      <c r="C4711" s="21">
        <f t="shared" si="371"/>
        <v>0</v>
      </c>
      <c r="D4711" s="22" t="e">
        <f>VLOOKUP($A4711, TAB_JUROS_U[[Q_DIAS_U_PARC_TIR]:[V_FUT_U_JURS CENARIO]], D$5, FALSE)</f>
        <v>#N/A</v>
      </c>
      <c r="E4711" s="22" t="e">
        <f>VLOOKUP($A4711,TAB_CORRECAO_U[[Q_DIAS_U_PARC_TIR]:[V_FUT_U_CORC-02]],E$5, FALSE)</f>
        <v>#N/A</v>
      </c>
      <c r="F4711" s="22" t="e">
        <f>VLOOKUP($A4711,TAB_AMORTIZACAO_U[[Q_DIAS_U_PARC_TIR]:[V_FUT_U_PCPL-02]], F$5, FALSE)</f>
        <v>#N/A</v>
      </c>
      <c r="H4711" s="20">
        <f t="shared" si="372"/>
        <v>0</v>
      </c>
      <c r="I4711" s="21">
        <f t="shared" si="373"/>
        <v>0</v>
      </c>
      <c r="J4711" s="22" t="e">
        <f>VLOOKUP($A4711, TAB_JUROS_C[[DIAS_CORRIDOS]:[V_FUT_UTEIS]], J$5, FALSE)</f>
        <v>#N/A</v>
      </c>
      <c r="K4711" s="22" t="e">
        <f>VLOOKUP($A4711, TAB_CORRECAO_C[[DIAS_CORRIDOS]:[V_FUT_UTEIS]],K$5, FALSE)</f>
        <v>#N/A</v>
      </c>
      <c r="L4711" s="22" t="e">
        <f>VLOOKUP($A4711, TAB_AMORTIZACAO_C[[DIAS_CORRIDOS]:[V_FUT_UTEIS]], L$5, FALSE)</f>
        <v>#N/A</v>
      </c>
    </row>
    <row r="4712" spans="1:12" hidden="1">
      <c r="A4712" s="19">
        <f t="shared" si="374"/>
        <v>4706</v>
      </c>
      <c r="B4712" s="20">
        <f t="shared" si="370"/>
        <v>0</v>
      </c>
      <c r="C4712" s="21">
        <f t="shared" si="371"/>
        <v>0</v>
      </c>
      <c r="D4712" s="22" t="e">
        <f>VLOOKUP($A4712, TAB_JUROS_U[[Q_DIAS_U_PARC_TIR]:[V_FUT_U_JURS CENARIO]], D$5, FALSE)</f>
        <v>#N/A</v>
      </c>
      <c r="E4712" s="22" t="e">
        <f>VLOOKUP($A4712,TAB_CORRECAO_U[[Q_DIAS_U_PARC_TIR]:[V_FUT_U_CORC-02]],E$5, FALSE)</f>
        <v>#N/A</v>
      </c>
      <c r="F4712" s="22" t="e">
        <f>VLOOKUP($A4712,TAB_AMORTIZACAO_U[[Q_DIAS_U_PARC_TIR]:[V_FUT_U_PCPL-02]], F$5, FALSE)</f>
        <v>#N/A</v>
      </c>
      <c r="H4712" s="20">
        <f t="shared" si="372"/>
        <v>0</v>
      </c>
      <c r="I4712" s="21">
        <f t="shared" si="373"/>
        <v>0</v>
      </c>
      <c r="J4712" s="22" t="e">
        <f>VLOOKUP($A4712, TAB_JUROS_C[[DIAS_CORRIDOS]:[V_FUT_UTEIS]], J$5, FALSE)</f>
        <v>#N/A</v>
      </c>
      <c r="K4712" s="22" t="e">
        <f>VLOOKUP($A4712, TAB_CORRECAO_C[[DIAS_CORRIDOS]:[V_FUT_UTEIS]],K$5, FALSE)</f>
        <v>#N/A</v>
      </c>
      <c r="L4712" s="22" t="e">
        <f>VLOOKUP($A4712, TAB_AMORTIZACAO_C[[DIAS_CORRIDOS]:[V_FUT_UTEIS]], L$5, FALSE)</f>
        <v>#N/A</v>
      </c>
    </row>
    <row r="4713" spans="1:12" hidden="1">
      <c r="A4713" s="19">
        <f t="shared" si="374"/>
        <v>4707</v>
      </c>
      <c r="B4713" s="20">
        <f t="shared" si="370"/>
        <v>0</v>
      </c>
      <c r="C4713" s="21">
        <f t="shared" si="371"/>
        <v>0</v>
      </c>
      <c r="D4713" s="22" t="e">
        <f>VLOOKUP($A4713, TAB_JUROS_U[[Q_DIAS_U_PARC_TIR]:[V_FUT_U_JURS CENARIO]], D$5, FALSE)</f>
        <v>#N/A</v>
      </c>
      <c r="E4713" s="22" t="e">
        <f>VLOOKUP($A4713,TAB_CORRECAO_U[[Q_DIAS_U_PARC_TIR]:[V_FUT_U_CORC-02]],E$5, FALSE)</f>
        <v>#N/A</v>
      </c>
      <c r="F4713" s="22" t="e">
        <f>VLOOKUP($A4713,TAB_AMORTIZACAO_U[[Q_DIAS_U_PARC_TIR]:[V_FUT_U_PCPL-02]], F$5, FALSE)</f>
        <v>#N/A</v>
      </c>
      <c r="H4713" s="20">
        <f t="shared" si="372"/>
        <v>0</v>
      </c>
      <c r="I4713" s="21">
        <f t="shared" si="373"/>
        <v>0</v>
      </c>
      <c r="J4713" s="22" t="e">
        <f>VLOOKUP($A4713, TAB_JUROS_C[[DIAS_CORRIDOS]:[V_FUT_UTEIS]], J$5, FALSE)</f>
        <v>#N/A</v>
      </c>
      <c r="K4713" s="22" t="e">
        <f>VLOOKUP($A4713, TAB_CORRECAO_C[[DIAS_CORRIDOS]:[V_FUT_UTEIS]],K$5, FALSE)</f>
        <v>#N/A</v>
      </c>
      <c r="L4713" s="22" t="e">
        <f>VLOOKUP($A4713, TAB_AMORTIZACAO_C[[DIAS_CORRIDOS]:[V_FUT_UTEIS]], L$5, FALSE)</f>
        <v>#N/A</v>
      </c>
    </row>
    <row r="4714" spans="1:12" hidden="1">
      <c r="A4714" s="19">
        <f t="shared" si="374"/>
        <v>4708</v>
      </c>
      <c r="B4714" s="20">
        <f t="shared" si="370"/>
        <v>0</v>
      </c>
      <c r="C4714" s="21">
        <f t="shared" si="371"/>
        <v>0</v>
      </c>
      <c r="D4714" s="22" t="e">
        <f>VLOOKUP($A4714, TAB_JUROS_U[[Q_DIAS_U_PARC_TIR]:[V_FUT_U_JURS CENARIO]], D$5, FALSE)</f>
        <v>#N/A</v>
      </c>
      <c r="E4714" s="22" t="e">
        <f>VLOOKUP($A4714,TAB_CORRECAO_U[[Q_DIAS_U_PARC_TIR]:[V_FUT_U_CORC-02]],E$5, FALSE)</f>
        <v>#N/A</v>
      </c>
      <c r="F4714" s="22" t="e">
        <f>VLOOKUP($A4714,TAB_AMORTIZACAO_U[[Q_DIAS_U_PARC_TIR]:[V_FUT_U_PCPL-02]], F$5, FALSE)</f>
        <v>#N/A</v>
      </c>
      <c r="H4714" s="20">
        <f t="shared" si="372"/>
        <v>0</v>
      </c>
      <c r="I4714" s="21">
        <f t="shared" si="373"/>
        <v>0</v>
      </c>
      <c r="J4714" s="22" t="e">
        <f>VLOOKUP($A4714, TAB_JUROS_C[[DIAS_CORRIDOS]:[V_FUT_UTEIS]], J$5, FALSE)</f>
        <v>#N/A</v>
      </c>
      <c r="K4714" s="22" t="e">
        <f>VLOOKUP($A4714, TAB_CORRECAO_C[[DIAS_CORRIDOS]:[V_FUT_UTEIS]],K$5, FALSE)</f>
        <v>#N/A</v>
      </c>
      <c r="L4714" s="22" t="e">
        <f>VLOOKUP($A4714, TAB_AMORTIZACAO_C[[DIAS_CORRIDOS]:[V_FUT_UTEIS]], L$5, FALSE)</f>
        <v>#N/A</v>
      </c>
    </row>
    <row r="4715" spans="1:12" hidden="1">
      <c r="A4715" s="19">
        <f t="shared" si="374"/>
        <v>4709</v>
      </c>
      <c r="B4715" s="20">
        <f t="shared" si="370"/>
        <v>0</v>
      </c>
      <c r="C4715" s="21">
        <f t="shared" si="371"/>
        <v>0</v>
      </c>
      <c r="D4715" s="22" t="e">
        <f>VLOOKUP($A4715, TAB_JUROS_U[[Q_DIAS_U_PARC_TIR]:[V_FUT_U_JURS CENARIO]], D$5, FALSE)</f>
        <v>#N/A</v>
      </c>
      <c r="E4715" s="22" t="e">
        <f>VLOOKUP($A4715,TAB_CORRECAO_U[[Q_DIAS_U_PARC_TIR]:[V_FUT_U_CORC-02]],E$5, FALSE)</f>
        <v>#N/A</v>
      </c>
      <c r="F4715" s="22" t="e">
        <f>VLOOKUP($A4715,TAB_AMORTIZACAO_U[[Q_DIAS_U_PARC_TIR]:[V_FUT_U_PCPL-02]], F$5, FALSE)</f>
        <v>#N/A</v>
      </c>
      <c r="H4715" s="20">
        <f t="shared" si="372"/>
        <v>0</v>
      </c>
      <c r="I4715" s="21">
        <f t="shared" si="373"/>
        <v>0</v>
      </c>
      <c r="J4715" s="22" t="e">
        <f>VLOOKUP($A4715, TAB_JUROS_C[[DIAS_CORRIDOS]:[V_FUT_UTEIS]], J$5, FALSE)</f>
        <v>#N/A</v>
      </c>
      <c r="K4715" s="22" t="e">
        <f>VLOOKUP($A4715, TAB_CORRECAO_C[[DIAS_CORRIDOS]:[V_FUT_UTEIS]],K$5, FALSE)</f>
        <v>#N/A</v>
      </c>
      <c r="L4715" s="22" t="e">
        <f>VLOOKUP($A4715, TAB_AMORTIZACAO_C[[DIAS_CORRIDOS]:[V_FUT_UTEIS]], L$5, FALSE)</f>
        <v>#N/A</v>
      </c>
    </row>
    <row r="4716" spans="1:12" hidden="1">
      <c r="A4716" s="19">
        <f t="shared" si="374"/>
        <v>4710</v>
      </c>
      <c r="B4716" s="20">
        <f t="shared" si="370"/>
        <v>0</v>
      </c>
      <c r="C4716" s="21">
        <f t="shared" si="371"/>
        <v>0</v>
      </c>
      <c r="D4716" s="22" t="e">
        <f>VLOOKUP($A4716, TAB_JUROS_U[[Q_DIAS_U_PARC_TIR]:[V_FUT_U_JURS CENARIO]], D$5, FALSE)</f>
        <v>#N/A</v>
      </c>
      <c r="E4716" s="22" t="e">
        <f>VLOOKUP($A4716,TAB_CORRECAO_U[[Q_DIAS_U_PARC_TIR]:[V_FUT_U_CORC-02]],E$5, FALSE)</f>
        <v>#N/A</v>
      </c>
      <c r="F4716" s="22" t="e">
        <f>VLOOKUP($A4716,TAB_AMORTIZACAO_U[[Q_DIAS_U_PARC_TIR]:[V_FUT_U_PCPL-02]], F$5, FALSE)</f>
        <v>#N/A</v>
      </c>
      <c r="H4716" s="20">
        <f t="shared" si="372"/>
        <v>0</v>
      </c>
      <c r="I4716" s="21">
        <f t="shared" si="373"/>
        <v>0</v>
      </c>
      <c r="J4716" s="22" t="e">
        <f>VLOOKUP($A4716, TAB_JUROS_C[[DIAS_CORRIDOS]:[V_FUT_UTEIS]], J$5, FALSE)</f>
        <v>#N/A</v>
      </c>
      <c r="K4716" s="22" t="e">
        <f>VLOOKUP($A4716, TAB_CORRECAO_C[[DIAS_CORRIDOS]:[V_FUT_UTEIS]],K$5, FALSE)</f>
        <v>#N/A</v>
      </c>
      <c r="L4716" s="22" t="e">
        <f>VLOOKUP($A4716, TAB_AMORTIZACAO_C[[DIAS_CORRIDOS]:[V_FUT_UTEIS]], L$5, FALSE)</f>
        <v>#N/A</v>
      </c>
    </row>
    <row r="4717" spans="1:12" hidden="1">
      <c r="A4717" s="19">
        <f t="shared" si="374"/>
        <v>4711</v>
      </c>
      <c r="B4717" s="20">
        <f t="shared" si="370"/>
        <v>0</v>
      </c>
      <c r="C4717" s="21">
        <f t="shared" si="371"/>
        <v>0</v>
      </c>
      <c r="D4717" s="22" t="e">
        <f>VLOOKUP($A4717, TAB_JUROS_U[[Q_DIAS_U_PARC_TIR]:[V_FUT_U_JURS CENARIO]], D$5, FALSE)</f>
        <v>#N/A</v>
      </c>
      <c r="E4717" s="22" t="e">
        <f>VLOOKUP($A4717,TAB_CORRECAO_U[[Q_DIAS_U_PARC_TIR]:[V_FUT_U_CORC-02]],E$5, FALSE)</f>
        <v>#N/A</v>
      </c>
      <c r="F4717" s="22" t="e">
        <f>VLOOKUP($A4717,TAB_AMORTIZACAO_U[[Q_DIAS_U_PARC_TIR]:[V_FUT_U_PCPL-02]], F$5, FALSE)</f>
        <v>#N/A</v>
      </c>
      <c r="H4717" s="20">
        <f t="shared" si="372"/>
        <v>0</v>
      </c>
      <c r="I4717" s="21">
        <f t="shared" si="373"/>
        <v>0</v>
      </c>
      <c r="J4717" s="22" t="e">
        <f>VLOOKUP($A4717, TAB_JUROS_C[[DIAS_CORRIDOS]:[V_FUT_UTEIS]], J$5, FALSE)</f>
        <v>#N/A</v>
      </c>
      <c r="K4717" s="22" t="e">
        <f>VLOOKUP($A4717, TAB_CORRECAO_C[[DIAS_CORRIDOS]:[V_FUT_UTEIS]],K$5, FALSE)</f>
        <v>#N/A</v>
      </c>
      <c r="L4717" s="22" t="e">
        <f>VLOOKUP($A4717, TAB_AMORTIZACAO_C[[DIAS_CORRIDOS]:[V_FUT_UTEIS]], L$5, FALSE)</f>
        <v>#N/A</v>
      </c>
    </row>
    <row r="4718" spans="1:12" hidden="1">
      <c r="A4718" s="19">
        <f t="shared" si="374"/>
        <v>4712</v>
      </c>
      <c r="B4718" s="20">
        <f t="shared" si="370"/>
        <v>0</v>
      </c>
      <c r="C4718" s="21">
        <f t="shared" si="371"/>
        <v>0</v>
      </c>
      <c r="D4718" s="22" t="e">
        <f>VLOOKUP($A4718, TAB_JUROS_U[[Q_DIAS_U_PARC_TIR]:[V_FUT_U_JURS CENARIO]], D$5, FALSE)</f>
        <v>#N/A</v>
      </c>
      <c r="E4718" s="22" t="e">
        <f>VLOOKUP($A4718,TAB_CORRECAO_U[[Q_DIAS_U_PARC_TIR]:[V_FUT_U_CORC-02]],E$5, FALSE)</f>
        <v>#N/A</v>
      </c>
      <c r="F4718" s="22" t="e">
        <f>VLOOKUP($A4718,TAB_AMORTIZACAO_U[[Q_DIAS_U_PARC_TIR]:[V_FUT_U_PCPL-02]], F$5, FALSE)</f>
        <v>#N/A</v>
      </c>
      <c r="H4718" s="20">
        <f t="shared" si="372"/>
        <v>0</v>
      </c>
      <c r="I4718" s="21">
        <f t="shared" si="373"/>
        <v>0</v>
      </c>
      <c r="J4718" s="22" t="e">
        <f>VLOOKUP($A4718, TAB_JUROS_C[[DIAS_CORRIDOS]:[V_FUT_UTEIS]], J$5, FALSE)</f>
        <v>#N/A</v>
      </c>
      <c r="K4718" s="22" t="e">
        <f>VLOOKUP($A4718, TAB_CORRECAO_C[[DIAS_CORRIDOS]:[V_FUT_UTEIS]],K$5, FALSE)</f>
        <v>#N/A</v>
      </c>
      <c r="L4718" s="22" t="e">
        <f>VLOOKUP($A4718, TAB_AMORTIZACAO_C[[DIAS_CORRIDOS]:[V_FUT_UTEIS]], L$5, FALSE)</f>
        <v>#N/A</v>
      </c>
    </row>
    <row r="4719" spans="1:12" hidden="1">
      <c r="A4719" s="19">
        <f t="shared" si="374"/>
        <v>4713</v>
      </c>
      <c r="B4719" s="20">
        <f t="shared" si="370"/>
        <v>0</v>
      </c>
      <c r="C4719" s="21">
        <f t="shared" si="371"/>
        <v>0</v>
      </c>
      <c r="D4719" s="22" t="e">
        <f>VLOOKUP($A4719, TAB_JUROS_U[[Q_DIAS_U_PARC_TIR]:[V_FUT_U_JURS CENARIO]], D$5, FALSE)</f>
        <v>#N/A</v>
      </c>
      <c r="E4719" s="22" t="e">
        <f>VLOOKUP($A4719,TAB_CORRECAO_U[[Q_DIAS_U_PARC_TIR]:[V_FUT_U_CORC-02]],E$5, FALSE)</f>
        <v>#N/A</v>
      </c>
      <c r="F4719" s="22" t="e">
        <f>VLOOKUP($A4719,TAB_AMORTIZACAO_U[[Q_DIAS_U_PARC_TIR]:[V_FUT_U_PCPL-02]], F$5, FALSE)</f>
        <v>#N/A</v>
      </c>
      <c r="H4719" s="20">
        <f t="shared" si="372"/>
        <v>0</v>
      </c>
      <c r="I4719" s="21">
        <f t="shared" si="373"/>
        <v>0</v>
      </c>
      <c r="J4719" s="22" t="e">
        <f>VLOOKUP($A4719, TAB_JUROS_C[[DIAS_CORRIDOS]:[V_FUT_UTEIS]], J$5, FALSE)</f>
        <v>#N/A</v>
      </c>
      <c r="K4719" s="22" t="e">
        <f>VLOOKUP($A4719, TAB_CORRECAO_C[[DIAS_CORRIDOS]:[V_FUT_UTEIS]],K$5, FALSE)</f>
        <v>#N/A</v>
      </c>
      <c r="L4719" s="22" t="e">
        <f>VLOOKUP($A4719, TAB_AMORTIZACAO_C[[DIAS_CORRIDOS]:[V_FUT_UTEIS]], L$5, FALSE)</f>
        <v>#N/A</v>
      </c>
    </row>
    <row r="4720" spans="1:12" hidden="1">
      <c r="A4720" s="19">
        <f t="shared" si="374"/>
        <v>4714</v>
      </c>
      <c r="B4720" s="20">
        <f t="shared" si="370"/>
        <v>0</v>
      </c>
      <c r="C4720" s="21">
        <f t="shared" si="371"/>
        <v>0</v>
      </c>
      <c r="D4720" s="22" t="e">
        <f>VLOOKUP($A4720, TAB_JUROS_U[[Q_DIAS_U_PARC_TIR]:[V_FUT_U_JURS CENARIO]], D$5, FALSE)</f>
        <v>#N/A</v>
      </c>
      <c r="E4720" s="22" t="e">
        <f>VLOOKUP($A4720,TAB_CORRECAO_U[[Q_DIAS_U_PARC_TIR]:[V_FUT_U_CORC-02]],E$5, FALSE)</f>
        <v>#N/A</v>
      </c>
      <c r="F4720" s="22" t="e">
        <f>VLOOKUP($A4720,TAB_AMORTIZACAO_U[[Q_DIAS_U_PARC_TIR]:[V_FUT_U_PCPL-02]], F$5, FALSE)</f>
        <v>#N/A</v>
      </c>
      <c r="H4720" s="20">
        <f t="shared" si="372"/>
        <v>0</v>
      </c>
      <c r="I4720" s="21">
        <f t="shared" si="373"/>
        <v>0</v>
      </c>
      <c r="J4720" s="22" t="e">
        <f>VLOOKUP($A4720, TAB_JUROS_C[[DIAS_CORRIDOS]:[V_FUT_UTEIS]], J$5, FALSE)</f>
        <v>#N/A</v>
      </c>
      <c r="K4720" s="22" t="e">
        <f>VLOOKUP($A4720, TAB_CORRECAO_C[[DIAS_CORRIDOS]:[V_FUT_UTEIS]],K$5, FALSE)</f>
        <v>#N/A</v>
      </c>
      <c r="L4720" s="22" t="e">
        <f>VLOOKUP($A4720, TAB_AMORTIZACAO_C[[DIAS_CORRIDOS]:[V_FUT_UTEIS]], L$5, FALSE)</f>
        <v>#N/A</v>
      </c>
    </row>
    <row r="4721" spans="1:12" hidden="1">
      <c r="A4721" s="19">
        <f t="shared" si="374"/>
        <v>4715</v>
      </c>
      <c r="B4721" s="20">
        <f t="shared" si="370"/>
        <v>0</v>
      </c>
      <c r="C4721" s="21">
        <f t="shared" si="371"/>
        <v>0</v>
      </c>
      <c r="D4721" s="22" t="e">
        <f>VLOOKUP($A4721, TAB_JUROS_U[[Q_DIAS_U_PARC_TIR]:[V_FUT_U_JURS CENARIO]], D$5, FALSE)</f>
        <v>#N/A</v>
      </c>
      <c r="E4721" s="22" t="e">
        <f>VLOOKUP($A4721,TAB_CORRECAO_U[[Q_DIAS_U_PARC_TIR]:[V_FUT_U_CORC-02]],E$5, FALSE)</f>
        <v>#N/A</v>
      </c>
      <c r="F4721" s="22" t="e">
        <f>VLOOKUP($A4721,TAB_AMORTIZACAO_U[[Q_DIAS_U_PARC_TIR]:[V_FUT_U_PCPL-02]], F$5, FALSE)</f>
        <v>#N/A</v>
      </c>
      <c r="H4721" s="20">
        <f t="shared" si="372"/>
        <v>0</v>
      </c>
      <c r="I4721" s="21">
        <f t="shared" si="373"/>
        <v>0</v>
      </c>
      <c r="J4721" s="22" t="e">
        <f>VLOOKUP($A4721, TAB_JUROS_C[[DIAS_CORRIDOS]:[V_FUT_UTEIS]], J$5, FALSE)</f>
        <v>#N/A</v>
      </c>
      <c r="K4721" s="22" t="e">
        <f>VLOOKUP($A4721, TAB_CORRECAO_C[[DIAS_CORRIDOS]:[V_FUT_UTEIS]],K$5, FALSE)</f>
        <v>#N/A</v>
      </c>
      <c r="L4721" s="22" t="e">
        <f>VLOOKUP($A4721, TAB_AMORTIZACAO_C[[DIAS_CORRIDOS]:[V_FUT_UTEIS]], L$5, FALSE)</f>
        <v>#N/A</v>
      </c>
    </row>
    <row r="4722" spans="1:12" hidden="1">
      <c r="A4722" s="19">
        <f t="shared" si="374"/>
        <v>4716</v>
      </c>
      <c r="B4722" s="20">
        <f t="shared" si="370"/>
        <v>0</v>
      </c>
      <c r="C4722" s="21">
        <f t="shared" si="371"/>
        <v>0</v>
      </c>
      <c r="D4722" s="22" t="e">
        <f>VLOOKUP($A4722, TAB_JUROS_U[[Q_DIAS_U_PARC_TIR]:[V_FUT_U_JURS CENARIO]], D$5, FALSE)</f>
        <v>#N/A</v>
      </c>
      <c r="E4722" s="22" t="e">
        <f>VLOOKUP($A4722,TAB_CORRECAO_U[[Q_DIAS_U_PARC_TIR]:[V_FUT_U_CORC-02]],E$5, FALSE)</f>
        <v>#N/A</v>
      </c>
      <c r="F4722" s="22" t="e">
        <f>VLOOKUP($A4722,TAB_AMORTIZACAO_U[[Q_DIAS_U_PARC_TIR]:[V_FUT_U_PCPL-02]], F$5, FALSE)</f>
        <v>#N/A</v>
      </c>
      <c r="H4722" s="20">
        <f t="shared" si="372"/>
        <v>0</v>
      </c>
      <c r="I4722" s="21">
        <f t="shared" si="373"/>
        <v>0</v>
      </c>
      <c r="J4722" s="22" t="e">
        <f>VLOOKUP($A4722, TAB_JUROS_C[[DIAS_CORRIDOS]:[V_FUT_UTEIS]], J$5, FALSE)</f>
        <v>#N/A</v>
      </c>
      <c r="K4722" s="22" t="e">
        <f>VLOOKUP($A4722, TAB_CORRECAO_C[[DIAS_CORRIDOS]:[V_FUT_UTEIS]],K$5, FALSE)</f>
        <v>#N/A</v>
      </c>
      <c r="L4722" s="22" t="e">
        <f>VLOOKUP($A4722, TAB_AMORTIZACAO_C[[DIAS_CORRIDOS]:[V_FUT_UTEIS]], L$5, FALSE)</f>
        <v>#N/A</v>
      </c>
    </row>
    <row r="4723" spans="1:12" hidden="1">
      <c r="A4723" s="19">
        <f t="shared" si="374"/>
        <v>4717</v>
      </c>
      <c r="B4723" s="20">
        <f t="shared" si="370"/>
        <v>0</v>
      </c>
      <c r="C4723" s="21">
        <f t="shared" si="371"/>
        <v>0</v>
      </c>
      <c r="D4723" s="22" t="e">
        <f>VLOOKUP($A4723, TAB_JUROS_U[[Q_DIAS_U_PARC_TIR]:[V_FUT_U_JURS CENARIO]], D$5, FALSE)</f>
        <v>#N/A</v>
      </c>
      <c r="E4723" s="22" t="e">
        <f>VLOOKUP($A4723,TAB_CORRECAO_U[[Q_DIAS_U_PARC_TIR]:[V_FUT_U_CORC-02]],E$5, FALSE)</f>
        <v>#N/A</v>
      </c>
      <c r="F4723" s="22" t="e">
        <f>VLOOKUP($A4723,TAB_AMORTIZACAO_U[[Q_DIAS_U_PARC_TIR]:[V_FUT_U_PCPL-02]], F$5, FALSE)</f>
        <v>#N/A</v>
      </c>
      <c r="H4723" s="20">
        <f t="shared" si="372"/>
        <v>0</v>
      </c>
      <c r="I4723" s="21">
        <f t="shared" si="373"/>
        <v>0</v>
      </c>
      <c r="J4723" s="22" t="e">
        <f>VLOOKUP($A4723, TAB_JUROS_C[[DIAS_CORRIDOS]:[V_FUT_UTEIS]], J$5, FALSE)</f>
        <v>#N/A</v>
      </c>
      <c r="K4723" s="22" t="e">
        <f>VLOOKUP($A4723, TAB_CORRECAO_C[[DIAS_CORRIDOS]:[V_FUT_UTEIS]],K$5, FALSE)</f>
        <v>#N/A</v>
      </c>
      <c r="L4723" s="22" t="e">
        <f>VLOOKUP($A4723, TAB_AMORTIZACAO_C[[DIAS_CORRIDOS]:[V_FUT_UTEIS]], L$5, FALSE)</f>
        <v>#N/A</v>
      </c>
    </row>
    <row r="4724" spans="1:12" hidden="1">
      <c r="A4724" s="19">
        <f t="shared" si="374"/>
        <v>4718</v>
      </c>
      <c r="B4724" s="20">
        <f t="shared" si="370"/>
        <v>0</v>
      </c>
      <c r="C4724" s="21">
        <f t="shared" si="371"/>
        <v>0</v>
      </c>
      <c r="D4724" s="22" t="e">
        <f>VLOOKUP($A4724, TAB_JUROS_U[[Q_DIAS_U_PARC_TIR]:[V_FUT_U_JURS CENARIO]], D$5, FALSE)</f>
        <v>#N/A</v>
      </c>
      <c r="E4724" s="22" t="e">
        <f>VLOOKUP($A4724,TAB_CORRECAO_U[[Q_DIAS_U_PARC_TIR]:[V_FUT_U_CORC-02]],E$5, FALSE)</f>
        <v>#N/A</v>
      </c>
      <c r="F4724" s="22" t="e">
        <f>VLOOKUP($A4724,TAB_AMORTIZACAO_U[[Q_DIAS_U_PARC_TIR]:[V_FUT_U_PCPL-02]], F$5, FALSE)</f>
        <v>#N/A</v>
      </c>
      <c r="H4724" s="20">
        <f t="shared" si="372"/>
        <v>0</v>
      </c>
      <c r="I4724" s="21">
        <f t="shared" si="373"/>
        <v>0</v>
      </c>
      <c r="J4724" s="22" t="e">
        <f>VLOOKUP($A4724, TAB_JUROS_C[[DIAS_CORRIDOS]:[V_FUT_UTEIS]], J$5, FALSE)</f>
        <v>#N/A</v>
      </c>
      <c r="K4724" s="22" t="e">
        <f>VLOOKUP($A4724, TAB_CORRECAO_C[[DIAS_CORRIDOS]:[V_FUT_UTEIS]],K$5, FALSE)</f>
        <v>#N/A</v>
      </c>
      <c r="L4724" s="22" t="e">
        <f>VLOOKUP($A4724, TAB_AMORTIZACAO_C[[DIAS_CORRIDOS]:[V_FUT_UTEIS]], L$5, FALSE)</f>
        <v>#N/A</v>
      </c>
    </row>
    <row r="4725" spans="1:12" hidden="1">
      <c r="A4725" s="19">
        <f t="shared" si="374"/>
        <v>4719</v>
      </c>
      <c r="B4725" s="20">
        <f t="shared" si="370"/>
        <v>0</v>
      </c>
      <c r="C4725" s="21">
        <f t="shared" si="371"/>
        <v>0</v>
      </c>
      <c r="D4725" s="22" t="e">
        <f>VLOOKUP($A4725, TAB_JUROS_U[[Q_DIAS_U_PARC_TIR]:[V_FUT_U_JURS CENARIO]], D$5, FALSE)</f>
        <v>#N/A</v>
      </c>
      <c r="E4725" s="22" t="e">
        <f>VLOOKUP($A4725,TAB_CORRECAO_U[[Q_DIAS_U_PARC_TIR]:[V_FUT_U_CORC-02]],E$5, FALSE)</f>
        <v>#N/A</v>
      </c>
      <c r="F4725" s="22" t="e">
        <f>VLOOKUP($A4725,TAB_AMORTIZACAO_U[[Q_DIAS_U_PARC_TIR]:[V_FUT_U_PCPL-02]], F$5, FALSE)</f>
        <v>#N/A</v>
      </c>
      <c r="H4725" s="20">
        <f t="shared" si="372"/>
        <v>0</v>
      </c>
      <c r="I4725" s="21">
        <f t="shared" si="373"/>
        <v>0</v>
      </c>
      <c r="J4725" s="22" t="e">
        <f>VLOOKUP($A4725, TAB_JUROS_C[[DIAS_CORRIDOS]:[V_FUT_UTEIS]], J$5, FALSE)</f>
        <v>#N/A</v>
      </c>
      <c r="K4725" s="22" t="e">
        <f>VLOOKUP($A4725, TAB_CORRECAO_C[[DIAS_CORRIDOS]:[V_FUT_UTEIS]],K$5, FALSE)</f>
        <v>#N/A</v>
      </c>
      <c r="L4725" s="22" t="e">
        <f>VLOOKUP($A4725, TAB_AMORTIZACAO_C[[DIAS_CORRIDOS]:[V_FUT_UTEIS]], L$5, FALSE)</f>
        <v>#N/A</v>
      </c>
    </row>
    <row r="4726" spans="1:12" hidden="1">
      <c r="A4726" s="19">
        <f t="shared" si="374"/>
        <v>4720</v>
      </c>
      <c r="B4726" s="20">
        <f t="shared" si="370"/>
        <v>0</v>
      </c>
      <c r="C4726" s="21">
        <f t="shared" si="371"/>
        <v>0</v>
      </c>
      <c r="D4726" s="22" t="e">
        <f>VLOOKUP($A4726, TAB_JUROS_U[[Q_DIAS_U_PARC_TIR]:[V_FUT_U_JURS CENARIO]], D$5, FALSE)</f>
        <v>#N/A</v>
      </c>
      <c r="E4726" s="22" t="e">
        <f>VLOOKUP($A4726,TAB_CORRECAO_U[[Q_DIAS_U_PARC_TIR]:[V_FUT_U_CORC-02]],E$5, FALSE)</f>
        <v>#N/A</v>
      </c>
      <c r="F4726" s="22" t="e">
        <f>VLOOKUP($A4726,TAB_AMORTIZACAO_U[[Q_DIAS_U_PARC_TIR]:[V_FUT_U_PCPL-02]], F$5, FALSE)</f>
        <v>#N/A</v>
      </c>
      <c r="H4726" s="20">
        <f t="shared" si="372"/>
        <v>0</v>
      </c>
      <c r="I4726" s="21">
        <f t="shared" si="373"/>
        <v>0</v>
      </c>
      <c r="J4726" s="22" t="e">
        <f>VLOOKUP($A4726, TAB_JUROS_C[[DIAS_CORRIDOS]:[V_FUT_UTEIS]], J$5, FALSE)</f>
        <v>#N/A</v>
      </c>
      <c r="K4726" s="22" t="e">
        <f>VLOOKUP($A4726, TAB_CORRECAO_C[[DIAS_CORRIDOS]:[V_FUT_UTEIS]],K$5, FALSE)</f>
        <v>#N/A</v>
      </c>
      <c r="L4726" s="22" t="e">
        <f>VLOOKUP($A4726, TAB_AMORTIZACAO_C[[DIAS_CORRIDOS]:[V_FUT_UTEIS]], L$5, FALSE)</f>
        <v>#N/A</v>
      </c>
    </row>
    <row r="4727" spans="1:12" hidden="1">
      <c r="A4727" s="19">
        <f t="shared" si="374"/>
        <v>4721</v>
      </c>
      <c r="B4727" s="20">
        <f t="shared" si="370"/>
        <v>0</v>
      </c>
      <c r="C4727" s="21">
        <f t="shared" si="371"/>
        <v>0</v>
      </c>
      <c r="D4727" s="22" t="e">
        <f>VLOOKUP($A4727, TAB_JUROS_U[[Q_DIAS_U_PARC_TIR]:[V_FUT_U_JURS CENARIO]], D$5, FALSE)</f>
        <v>#N/A</v>
      </c>
      <c r="E4727" s="22" t="e">
        <f>VLOOKUP($A4727,TAB_CORRECAO_U[[Q_DIAS_U_PARC_TIR]:[V_FUT_U_CORC-02]],E$5, FALSE)</f>
        <v>#N/A</v>
      </c>
      <c r="F4727" s="22" t="e">
        <f>VLOOKUP($A4727,TAB_AMORTIZACAO_U[[Q_DIAS_U_PARC_TIR]:[V_FUT_U_PCPL-02]], F$5, FALSE)</f>
        <v>#N/A</v>
      </c>
      <c r="H4727" s="20">
        <f t="shared" si="372"/>
        <v>0</v>
      </c>
      <c r="I4727" s="21">
        <f t="shared" si="373"/>
        <v>0</v>
      </c>
      <c r="J4727" s="22" t="e">
        <f>VLOOKUP($A4727, TAB_JUROS_C[[DIAS_CORRIDOS]:[V_FUT_UTEIS]], J$5, FALSE)</f>
        <v>#N/A</v>
      </c>
      <c r="K4727" s="22" t="e">
        <f>VLOOKUP($A4727, TAB_CORRECAO_C[[DIAS_CORRIDOS]:[V_FUT_UTEIS]],K$5, FALSE)</f>
        <v>#N/A</v>
      </c>
      <c r="L4727" s="22" t="e">
        <f>VLOOKUP($A4727, TAB_AMORTIZACAO_C[[DIAS_CORRIDOS]:[V_FUT_UTEIS]], L$5, FALSE)</f>
        <v>#N/A</v>
      </c>
    </row>
    <row r="4728" spans="1:12" hidden="1">
      <c r="A4728" s="19">
        <f t="shared" si="374"/>
        <v>4722</v>
      </c>
      <c r="B4728" s="20">
        <f t="shared" si="370"/>
        <v>0</v>
      </c>
      <c r="C4728" s="21">
        <f t="shared" si="371"/>
        <v>0</v>
      </c>
      <c r="D4728" s="22" t="e">
        <f>VLOOKUP($A4728, TAB_JUROS_U[[Q_DIAS_U_PARC_TIR]:[V_FUT_U_JURS CENARIO]], D$5, FALSE)</f>
        <v>#N/A</v>
      </c>
      <c r="E4728" s="22" t="e">
        <f>VLOOKUP($A4728,TAB_CORRECAO_U[[Q_DIAS_U_PARC_TIR]:[V_FUT_U_CORC-02]],E$5, FALSE)</f>
        <v>#N/A</v>
      </c>
      <c r="F4728" s="22" t="e">
        <f>VLOOKUP($A4728,TAB_AMORTIZACAO_U[[Q_DIAS_U_PARC_TIR]:[V_FUT_U_PCPL-02]], F$5, FALSE)</f>
        <v>#N/A</v>
      </c>
      <c r="H4728" s="20">
        <f t="shared" si="372"/>
        <v>0</v>
      </c>
      <c r="I4728" s="21">
        <f t="shared" si="373"/>
        <v>0</v>
      </c>
      <c r="J4728" s="22" t="e">
        <f>VLOOKUP($A4728, TAB_JUROS_C[[DIAS_CORRIDOS]:[V_FUT_UTEIS]], J$5, FALSE)</f>
        <v>#N/A</v>
      </c>
      <c r="K4728" s="22" t="e">
        <f>VLOOKUP($A4728, TAB_CORRECAO_C[[DIAS_CORRIDOS]:[V_FUT_UTEIS]],K$5, FALSE)</f>
        <v>#N/A</v>
      </c>
      <c r="L4728" s="22" t="e">
        <f>VLOOKUP($A4728, TAB_AMORTIZACAO_C[[DIAS_CORRIDOS]:[V_FUT_UTEIS]], L$5, FALSE)</f>
        <v>#N/A</v>
      </c>
    </row>
    <row r="4729" spans="1:12" hidden="1">
      <c r="A4729" s="19">
        <f t="shared" si="374"/>
        <v>4723</v>
      </c>
      <c r="B4729" s="20">
        <f t="shared" si="370"/>
        <v>0</v>
      </c>
      <c r="C4729" s="21">
        <f t="shared" si="371"/>
        <v>0</v>
      </c>
      <c r="D4729" s="22" t="e">
        <f>VLOOKUP($A4729, TAB_JUROS_U[[Q_DIAS_U_PARC_TIR]:[V_FUT_U_JURS CENARIO]], D$5, FALSE)</f>
        <v>#N/A</v>
      </c>
      <c r="E4729" s="22" t="e">
        <f>VLOOKUP($A4729,TAB_CORRECAO_U[[Q_DIAS_U_PARC_TIR]:[V_FUT_U_CORC-02]],E$5, FALSE)</f>
        <v>#N/A</v>
      </c>
      <c r="F4729" s="22" t="e">
        <f>VLOOKUP($A4729,TAB_AMORTIZACAO_U[[Q_DIAS_U_PARC_TIR]:[V_FUT_U_PCPL-02]], F$5, FALSE)</f>
        <v>#N/A</v>
      </c>
      <c r="H4729" s="20">
        <f t="shared" si="372"/>
        <v>0</v>
      </c>
      <c r="I4729" s="21">
        <f t="shared" si="373"/>
        <v>0</v>
      </c>
      <c r="J4729" s="22" t="e">
        <f>VLOOKUP($A4729, TAB_JUROS_C[[DIAS_CORRIDOS]:[V_FUT_UTEIS]], J$5, FALSE)</f>
        <v>#N/A</v>
      </c>
      <c r="K4729" s="22" t="e">
        <f>VLOOKUP($A4729, TAB_CORRECAO_C[[DIAS_CORRIDOS]:[V_FUT_UTEIS]],K$5, FALSE)</f>
        <v>#N/A</v>
      </c>
      <c r="L4729" s="22" t="e">
        <f>VLOOKUP($A4729, TAB_AMORTIZACAO_C[[DIAS_CORRIDOS]:[V_FUT_UTEIS]], L$5, FALSE)</f>
        <v>#N/A</v>
      </c>
    </row>
    <row r="4730" spans="1:12" hidden="1">
      <c r="A4730" s="19">
        <f t="shared" si="374"/>
        <v>4724</v>
      </c>
      <c r="B4730" s="20">
        <f t="shared" si="370"/>
        <v>0</v>
      </c>
      <c r="C4730" s="21">
        <f t="shared" si="371"/>
        <v>0</v>
      </c>
      <c r="D4730" s="22" t="e">
        <f>VLOOKUP($A4730, TAB_JUROS_U[[Q_DIAS_U_PARC_TIR]:[V_FUT_U_JURS CENARIO]], D$5, FALSE)</f>
        <v>#N/A</v>
      </c>
      <c r="E4730" s="22" t="e">
        <f>VLOOKUP($A4730,TAB_CORRECAO_U[[Q_DIAS_U_PARC_TIR]:[V_FUT_U_CORC-02]],E$5, FALSE)</f>
        <v>#N/A</v>
      </c>
      <c r="F4730" s="22" t="e">
        <f>VLOOKUP($A4730,TAB_AMORTIZACAO_U[[Q_DIAS_U_PARC_TIR]:[V_FUT_U_PCPL-02]], F$5, FALSE)</f>
        <v>#N/A</v>
      </c>
      <c r="H4730" s="20">
        <f t="shared" si="372"/>
        <v>0</v>
      </c>
      <c r="I4730" s="21">
        <f t="shared" si="373"/>
        <v>0</v>
      </c>
      <c r="J4730" s="22" t="e">
        <f>VLOOKUP($A4730, TAB_JUROS_C[[DIAS_CORRIDOS]:[V_FUT_UTEIS]], J$5, FALSE)</f>
        <v>#N/A</v>
      </c>
      <c r="K4730" s="22" t="e">
        <f>VLOOKUP($A4730, TAB_CORRECAO_C[[DIAS_CORRIDOS]:[V_FUT_UTEIS]],K$5, FALSE)</f>
        <v>#N/A</v>
      </c>
      <c r="L4730" s="22" t="e">
        <f>VLOOKUP($A4730, TAB_AMORTIZACAO_C[[DIAS_CORRIDOS]:[V_FUT_UTEIS]], L$5, FALSE)</f>
        <v>#N/A</v>
      </c>
    </row>
    <row r="4731" spans="1:12" hidden="1">
      <c r="A4731" s="19">
        <f t="shared" si="374"/>
        <v>4725</v>
      </c>
      <c r="B4731" s="20">
        <f t="shared" si="370"/>
        <v>0</v>
      </c>
      <c r="C4731" s="21">
        <f t="shared" si="371"/>
        <v>0</v>
      </c>
      <c r="D4731" s="22" t="e">
        <f>VLOOKUP($A4731, TAB_JUROS_U[[Q_DIAS_U_PARC_TIR]:[V_FUT_U_JURS CENARIO]], D$5, FALSE)</f>
        <v>#N/A</v>
      </c>
      <c r="E4731" s="22" t="e">
        <f>VLOOKUP($A4731,TAB_CORRECAO_U[[Q_DIAS_U_PARC_TIR]:[V_FUT_U_CORC-02]],E$5, FALSE)</f>
        <v>#N/A</v>
      </c>
      <c r="F4731" s="22" t="e">
        <f>VLOOKUP($A4731,TAB_AMORTIZACAO_U[[Q_DIAS_U_PARC_TIR]:[V_FUT_U_PCPL-02]], F$5, FALSE)</f>
        <v>#N/A</v>
      </c>
      <c r="H4731" s="20">
        <f t="shared" si="372"/>
        <v>0</v>
      </c>
      <c r="I4731" s="21">
        <f t="shared" si="373"/>
        <v>0</v>
      </c>
      <c r="J4731" s="22" t="e">
        <f>VLOOKUP($A4731, TAB_JUROS_C[[DIAS_CORRIDOS]:[V_FUT_UTEIS]], J$5, FALSE)</f>
        <v>#N/A</v>
      </c>
      <c r="K4731" s="22" t="e">
        <f>VLOOKUP($A4731, TAB_CORRECAO_C[[DIAS_CORRIDOS]:[V_FUT_UTEIS]],K$5, FALSE)</f>
        <v>#N/A</v>
      </c>
      <c r="L4731" s="22" t="e">
        <f>VLOOKUP($A4731, TAB_AMORTIZACAO_C[[DIAS_CORRIDOS]:[V_FUT_UTEIS]], L$5, FALSE)</f>
        <v>#N/A</v>
      </c>
    </row>
    <row r="4732" spans="1:12" hidden="1">
      <c r="A4732" s="19">
        <f t="shared" si="374"/>
        <v>4726</v>
      </c>
      <c r="B4732" s="20">
        <f t="shared" si="370"/>
        <v>0</v>
      </c>
      <c r="C4732" s="21">
        <f t="shared" si="371"/>
        <v>0</v>
      </c>
      <c r="D4732" s="22" t="e">
        <f>VLOOKUP($A4732, TAB_JUROS_U[[Q_DIAS_U_PARC_TIR]:[V_FUT_U_JURS CENARIO]], D$5, FALSE)</f>
        <v>#N/A</v>
      </c>
      <c r="E4732" s="22" t="e">
        <f>VLOOKUP($A4732,TAB_CORRECAO_U[[Q_DIAS_U_PARC_TIR]:[V_FUT_U_CORC-02]],E$5, FALSE)</f>
        <v>#N/A</v>
      </c>
      <c r="F4732" s="22" t="e">
        <f>VLOOKUP($A4732,TAB_AMORTIZACAO_U[[Q_DIAS_U_PARC_TIR]:[V_FUT_U_PCPL-02]], F$5, FALSE)</f>
        <v>#N/A</v>
      </c>
      <c r="H4732" s="20">
        <f t="shared" si="372"/>
        <v>0</v>
      </c>
      <c r="I4732" s="21">
        <f t="shared" si="373"/>
        <v>0</v>
      </c>
      <c r="J4732" s="22" t="e">
        <f>VLOOKUP($A4732, TAB_JUROS_C[[DIAS_CORRIDOS]:[V_FUT_UTEIS]], J$5, FALSE)</f>
        <v>#N/A</v>
      </c>
      <c r="K4732" s="22" t="e">
        <f>VLOOKUP($A4732, TAB_CORRECAO_C[[DIAS_CORRIDOS]:[V_FUT_UTEIS]],K$5, FALSE)</f>
        <v>#N/A</v>
      </c>
      <c r="L4732" s="22" t="e">
        <f>VLOOKUP($A4732, TAB_AMORTIZACAO_C[[DIAS_CORRIDOS]:[V_FUT_UTEIS]], L$5, FALSE)</f>
        <v>#N/A</v>
      </c>
    </row>
    <row r="4733" spans="1:12" hidden="1">
      <c r="A4733" s="19">
        <f t="shared" si="374"/>
        <v>4727</v>
      </c>
      <c r="B4733" s="20">
        <f t="shared" si="370"/>
        <v>0</v>
      </c>
      <c r="C4733" s="21">
        <f t="shared" si="371"/>
        <v>0</v>
      </c>
      <c r="D4733" s="22" t="e">
        <f>VLOOKUP($A4733, TAB_JUROS_U[[Q_DIAS_U_PARC_TIR]:[V_FUT_U_JURS CENARIO]], D$5, FALSE)</f>
        <v>#N/A</v>
      </c>
      <c r="E4733" s="22" t="e">
        <f>VLOOKUP($A4733,TAB_CORRECAO_U[[Q_DIAS_U_PARC_TIR]:[V_FUT_U_CORC-02]],E$5, FALSE)</f>
        <v>#N/A</v>
      </c>
      <c r="F4733" s="22" t="e">
        <f>VLOOKUP($A4733,TAB_AMORTIZACAO_U[[Q_DIAS_U_PARC_TIR]:[V_FUT_U_PCPL-02]], F$5, FALSE)</f>
        <v>#N/A</v>
      </c>
      <c r="H4733" s="20">
        <f t="shared" si="372"/>
        <v>0</v>
      </c>
      <c r="I4733" s="21">
        <f t="shared" si="373"/>
        <v>0</v>
      </c>
      <c r="J4733" s="22" t="e">
        <f>VLOOKUP($A4733, TAB_JUROS_C[[DIAS_CORRIDOS]:[V_FUT_UTEIS]], J$5, FALSE)</f>
        <v>#N/A</v>
      </c>
      <c r="K4733" s="22" t="e">
        <f>VLOOKUP($A4733, TAB_CORRECAO_C[[DIAS_CORRIDOS]:[V_FUT_UTEIS]],K$5, FALSE)</f>
        <v>#N/A</v>
      </c>
      <c r="L4733" s="22" t="e">
        <f>VLOOKUP($A4733, TAB_AMORTIZACAO_C[[DIAS_CORRIDOS]:[V_FUT_UTEIS]], L$5, FALSE)</f>
        <v>#N/A</v>
      </c>
    </row>
    <row r="4734" spans="1:12" hidden="1">
      <c r="A4734" s="19">
        <f t="shared" si="374"/>
        <v>4728</v>
      </c>
      <c r="B4734" s="20">
        <f t="shared" si="370"/>
        <v>0</v>
      </c>
      <c r="C4734" s="21">
        <f t="shared" si="371"/>
        <v>0</v>
      </c>
      <c r="D4734" s="22" t="e">
        <f>VLOOKUP($A4734, TAB_JUROS_U[[Q_DIAS_U_PARC_TIR]:[V_FUT_U_JURS CENARIO]], D$5, FALSE)</f>
        <v>#N/A</v>
      </c>
      <c r="E4734" s="22" t="e">
        <f>VLOOKUP($A4734,TAB_CORRECAO_U[[Q_DIAS_U_PARC_TIR]:[V_FUT_U_CORC-02]],E$5, FALSE)</f>
        <v>#N/A</v>
      </c>
      <c r="F4734" s="22" t="e">
        <f>VLOOKUP($A4734,TAB_AMORTIZACAO_U[[Q_DIAS_U_PARC_TIR]:[V_FUT_U_PCPL-02]], F$5, FALSE)</f>
        <v>#N/A</v>
      </c>
      <c r="H4734" s="20">
        <f t="shared" si="372"/>
        <v>0</v>
      </c>
      <c r="I4734" s="21">
        <f t="shared" si="373"/>
        <v>0</v>
      </c>
      <c r="J4734" s="22" t="e">
        <f>VLOOKUP($A4734, TAB_JUROS_C[[DIAS_CORRIDOS]:[V_FUT_UTEIS]], J$5, FALSE)</f>
        <v>#N/A</v>
      </c>
      <c r="K4734" s="22" t="e">
        <f>VLOOKUP($A4734, TAB_CORRECAO_C[[DIAS_CORRIDOS]:[V_FUT_UTEIS]],K$5, FALSE)</f>
        <v>#N/A</v>
      </c>
      <c r="L4734" s="22" t="e">
        <f>VLOOKUP($A4734, TAB_AMORTIZACAO_C[[DIAS_CORRIDOS]:[V_FUT_UTEIS]], L$5, FALSE)</f>
        <v>#N/A</v>
      </c>
    </row>
    <row r="4735" spans="1:12" hidden="1">
      <c r="A4735" s="19">
        <f t="shared" si="374"/>
        <v>4729</v>
      </c>
      <c r="B4735" s="20">
        <f t="shared" si="370"/>
        <v>0</v>
      </c>
      <c r="C4735" s="21">
        <f t="shared" si="371"/>
        <v>0</v>
      </c>
      <c r="D4735" s="22" t="e">
        <f>VLOOKUP($A4735, TAB_JUROS_U[[Q_DIAS_U_PARC_TIR]:[V_FUT_U_JURS CENARIO]], D$5, FALSE)</f>
        <v>#N/A</v>
      </c>
      <c r="E4735" s="22" t="e">
        <f>VLOOKUP($A4735,TAB_CORRECAO_U[[Q_DIAS_U_PARC_TIR]:[V_FUT_U_CORC-02]],E$5, FALSE)</f>
        <v>#N/A</v>
      </c>
      <c r="F4735" s="22" t="e">
        <f>VLOOKUP($A4735,TAB_AMORTIZACAO_U[[Q_DIAS_U_PARC_TIR]:[V_FUT_U_PCPL-02]], F$5, FALSE)</f>
        <v>#N/A</v>
      </c>
      <c r="H4735" s="20">
        <f t="shared" si="372"/>
        <v>0</v>
      </c>
      <c r="I4735" s="21">
        <f t="shared" si="373"/>
        <v>0</v>
      </c>
      <c r="J4735" s="22" t="e">
        <f>VLOOKUP($A4735, TAB_JUROS_C[[DIAS_CORRIDOS]:[V_FUT_UTEIS]], J$5, FALSE)</f>
        <v>#N/A</v>
      </c>
      <c r="K4735" s="22" t="e">
        <f>VLOOKUP($A4735, TAB_CORRECAO_C[[DIAS_CORRIDOS]:[V_FUT_UTEIS]],K$5, FALSE)</f>
        <v>#N/A</v>
      </c>
      <c r="L4735" s="22" t="e">
        <f>VLOOKUP($A4735, TAB_AMORTIZACAO_C[[DIAS_CORRIDOS]:[V_FUT_UTEIS]], L$5, FALSE)</f>
        <v>#N/A</v>
      </c>
    </row>
    <row r="4736" spans="1:12" hidden="1">
      <c r="A4736" s="19">
        <f t="shared" si="374"/>
        <v>4730</v>
      </c>
      <c r="B4736" s="20">
        <f t="shared" si="370"/>
        <v>0</v>
      </c>
      <c r="C4736" s="21">
        <f t="shared" si="371"/>
        <v>0</v>
      </c>
      <c r="D4736" s="22" t="e">
        <f>VLOOKUP($A4736, TAB_JUROS_U[[Q_DIAS_U_PARC_TIR]:[V_FUT_U_JURS CENARIO]], D$5, FALSE)</f>
        <v>#N/A</v>
      </c>
      <c r="E4736" s="22" t="e">
        <f>VLOOKUP($A4736,TAB_CORRECAO_U[[Q_DIAS_U_PARC_TIR]:[V_FUT_U_CORC-02]],E$5, FALSE)</f>
        <v>#N/A</v>
      </c>
      <c r="F4736" s="22" t="e">
        <f>VLOOKUP($A4736,TAB_AMORTIZACAO_U[[Q_DIAS_U_PARC_TIR]:[V_FUT_U_PCPL-02]], F$5, FALSE)</f>
        <v>#N/A</v>
      </c>
      <c r="H4736" s="20">
        <f t="shared" si="372"/>
        <v>0</v>
      </c>
      <c r="I4736" s="21">
        <f t="shared" si="373"/>
        <v>0</v>
      </c>
      <c r="J4736" s="22" t="e">
        <f>VLOOKUP($A4736, TAB_JUROS_C[[DIAS_CORRIDOS]:[V_FUT_UTEIS]], J$5, FALSE)</f>
        <v>#N/A</v>
      </c>
      <c r="K4736" s="22" t="e">
        <f>VLOOKUP($A4736, TAB_CORRECAO_C[[DIAS_CORRIDOS]:[V_FUT_UTEIS]],K$5, FALSE)</f>
        <v>#N/A</v>
      </c>
      <c r="L4736" s="22" t="e">
        <f>VLOOKUP($A4736, TAB_AMORTIZACAO_C[[DIAS_CORRIDOS]:[V_FUT_UTEIS]], L$5, FALSE)</f>
        <v>#N/A</v>
      </c>
    </row>
    <row r="4737" spans="1:12" hidden="1">
      <c r="A4737" s="19">
        <f t="shared" si="374"/>
        <v>4731</v>
      </c>
      <c r="B4737" s="20">
        <f t="shared" si="370"/>
        <v>0</v>
      </c>
      <c r="C4737" s="21">
        <f t="shared" si="371"/>
        <v>0</v>
      </c>
      <c r="D4737" s="22" t="e">
        <f>VLOOKUP($A4737, TAB_JUROS_U[[Q_DIAS_U_PARC_TIR]:[V_FUT_U_JURS CENARIO]], D$5, FALSE)</f>
        <v>#N/A</v>
      </c>
      <c r="E4737" s="22" t="e">
        <f>VLOOKUP($A4737,TAB_CORRECAO_U[[Q_DIAS_U_PARC_TIR]:[V_FUT_U_CORC-02]],E$5, FALSE)</f>
        <v>#N/A</v>
      </c>
      <c r="F4737" s="22" t="e">
        <f>VLOOKUP($A4737,TAB_AMORTIZACAO_U[[Q_DIAS_U_PARC_TIR]:[V_FUT_U_PCPL-02]], F$5, FALSE)</f>
        <v>#N/A</v>
      </c>
      <c r="H4737" s="20">
        <f t="shared" si="372"/>
        <v>0</v>
      </c>
      <c r="I4737" s="21">
        <f t="shared" si="373"/>
        <v>0</v>
      </c>
      <c r="J4737" s="22" t="e">
        <f>VLOOKUP($A4737, TAB_JUROS_C[[DIAS_CORRIDOS]:[V_FUT_UTEIS]], J$5, FALSE)</f>
        <v>#N/A</v>
      </c>
      <c r="K4737" s="22" t="e">
        <f>VLOOKUP($A4737, TAB_CORRECAO_C[[DIAS_CORRIDOS]:[V_FUT_UTEIS]],K$5, FALSE)</f>
        <v>#N/A</v>
      </c>
      <c r="L4737" s="22" t="e">
        <f>VLOOKUP($A4737, TAB_AMORTIZACAO_C[[DIAS_CORRIDOS]:[V_FUT_UTEIS]], L$5, FALSE)</f>
        <v>#N/A</v>
      </c>
    </row>
    <row r="4738" spans="1:12" hidden="1">
      <c r="A4738" s="19">
        <f t="shared" si="374"/>
        <v>4732</v>
      </c>
      <c r="B4738" s="20">
        <f t="shared" si="370"/>
        <v>0</v>
      </c>
      <c r="C4738" s="21">
        <f t="shared" si="371"/>
        <v>0</v>
      </c>
      <c r="D4738" s="22" t="e">
        <f>VLOOKUP($A4738, TAB_JUROS_U[[Q_DIAS_U_PARC_TIR]:[V_FUT_U_JURS CENARIO]], D$5, FALSE)</f>
        <v>#N/A</v>
      </c>
      <c r="E4738" s="22" t="e">
        <f>VLOOKUP($A4738,TAB_CORRECAO_U[[Q_DIAS_U_PARC_TIR]:[V_FUT_U_CORC-02]],E$5, FALSE)</f>
        <v>#N/A</v>
      </c>
      <c r="F4738" s="22" t="e">
        <f>VLOOKUP($A4738,TAB_AMORTIZACAO_U[[Q_DIAS_U_PARC_TIR]:[V_FUT_U_PCPL-02]], F$5, FALSE)</f>
        <v>#N/A</v>
      </c>
      <c r="H4738" s="20">
        <f t="shared" si="372"/>
        <v>0</v>
      </c>
      <c r="I4738" s="21">
        <f t="shared" si="373"/>
        <v>0</v>
      </c>
      <c r="J4738" s="22" t="e">
        <f>VLOOKUP($A4738, TAB_JUROS_C[[DIAS_CORRIDOS]:[V_FUT_UTEIS]], J$5, FALSE)</f>
        <v>#N/A</v>
      </c>
      <c r="K4738" s="22" t="e">
        <f>VLOOKUP($A4738, TAB_CORRECAO_C[[DIAS_CORRIDOS]:[V_FUT_UTEIS]],K$5, FALSE)</f>
        <v>#N/A</v>
      </c>
      <c r="L4738" s="22" t="e">
        <f>VLOOKUP($A4738, TAB_AMORTIZACAO_C[[DIAS_CORRIDOS]:[V_FUT_UTEIS]], L$5, FALSE)</f>
        <v>#N/A</v>
      </c>
    </row>
    <row r="4739" spans="1:12" hidden="1">
      <c r="A4739" s="19">
        <f t="shared" si="374"/>
        <v>4733</v>
      </c>
      <c r="B4739" s="20">
        <f t="shared" si="370"/>
        <v>0</v>
      </c>
      <c r="C4739" s="21">
        <f t="shared" si="371"/>
        <v>0</v>
      </c>
      <c r="D4739" s="22" t="e">
        <f>VLOOKUP($A4739, TAB_JUROS_U[[Q_DIAS_U_PARC_TIR]:[V_FUT_U_JURS CENARIO]], D$5, FALSE)</f>
        <v>#N/A</v>
      </c>
      <c r="E4739" s="22" t="e">
        <f>VLOOKUP($A4739,TAB_CORRECAO_U[[Q_DIAS_U_PARC_TIR]:[V_FUT_U_CORC-02]],E$5, FALSE)</f>
        <v>#N/A</v>
      </c>
      <c r="F4739" s="22" t="e">
        <f>VLOOKUP($A4739,TAB_AMORTIZACAO_U[[Q_DIAS_U_PARC_TIR]:[V_FUT_U_PCPL-02]], F$5, FALSE)</f>
        <v>#N/A</v>
      </c>
      <c r="H4739" s="20">
        <f t="shared" si="372"/>
        <v>0</v>
      </c>
      <c r="I4739" s="21">
        <f t="shared" si="373"/>
        <v>0</v>
      </c>
      <c r="J4739" s="22" t="e">
        <f>VLOOKUP($A4739, TAB_JUROS_C[[DIAS_CORRIDOS]:[V_FUT_UTEIS]], J$5, FALSE)</f>
        <v>#N/A</v>
      </c>
      <c r="K4739" s="22" t="e">
        <f>VLOOKUP($A4739, TAB_CORRECAO_C[[DIAS_CORRIDOS]:[V_FUT_UTEIS]],K$5, FALSE)</f>
        <v>#N/A</v>
      </c>
      <c r="L4739" s="22" t="e">
        <f>VLOOKUP($A4739, TAB_AMORTIZACAO_C[[DIAS_CORRIDOS]:[V_FUT_UTEIS]], L$5, FALSE)</f>
        <v>#N/A</v>
      </c>
    </row>
    <row r="4740" spans="1:12" hidden="1">
      <c r="A4740" s="19">
        <f t="shared" si="374"/>
        <v>4734</v>
      </c>
      <c r="B4740" s="20">
        <f t="shared" si="370"/>
        <v>0</v>
      </c>
      <c r="C4740" s="21">
        <f t="shared" si="371"/>
        <v>0</v>
      </c>
      <c r="D4740" s="22" t="e">
        <f>VLOOKUP($A4740, TAB_JUROS_U[[Q_DIAS_U_PARC_TIR]:[V_FUT_U_JURS CENARIO]], D$5, FALSE)</f>
        <v>#N/A</v>
      </c>
      <c r="E4740" s="22" t="e">
        <f>VLOOKUP($A4740,TAB_CORRECAO_U[[Q_DIAS_U_PARC_TIR]:[V_FUT_U_CORC-02]],E$5, FALSE)</f>
        <v>#N/A</v>
      </c>
      <c r="F4740" s="22" t="e">
        <f>VLOOKUP($A4740,TAB_AMORTIZACAO_U[[Q_DIAS_U_PARC_TIR]:[V_FUT_U_PCPL-02]], F$5, FALSE)</f>
        <v>#N/A</v>
      </c>
      <c r="H4740" s="20">
        <f t="shared" si="372"/>
        <v>0</v>
      </c>
      <c r="I4740" s="21">
        <f t="shared" si="373"/>
        <v>0</v>
      </c>
      <c r="J4740" s="22" t="e">
        <f>VLOOKUP($A4740, TAB_JUROS_C[[DIAS_CORRIDOS]:[V_FUT_UTEIS]], J$5, FALSE)</f>
        <v>#N/A</v>
      </c>
      <c r="K4740" s="22" t="e">
        <f>VLOOKUP($A4740, TAB_CORRECAO_C[[DIAS_CORRIDOS]:[V_FUT_UTEIS]],K$5, FALSE)</f>
        <v>#N/A</v>
      </c>
      <c r="L4740" s="22" t="e">
        <f>VLOOKUP($A4740, TAB_AMORTIZACAO_C[[DIAS_CORRIDOS]:[V_FUT_UTEIS]], L$5, FALSE)</f>
        <v>#N/A</v>
      </c>
    </row>
    <row r="4741" spans="1:12" hidden="1">
      <c r="A4741" s="19">
        <f t="shared" si="374"/>
        <v>4735</v>
      </c>
      <c r="B4741" s="20">
        <f t="shared" si="370"/>
        <v>0</v>
      </c>
      <c r="C4741" s="21">
        <f t="shared" si="371"/>
        <v>0</v>
      </c>
      <c r="D4741" s="22" t="e">
        <f>VLOOKUP($A4741, TAB_JUROS_U[[Q_DIAS_U_PARC_TIR]:[V_FUT_U_JURS CENARIO]], D$5, FALSE)</f>
        <v>#N/A</v>
      </c>
      <c r="E4741" s="22" t="e">
        <f>VLOOKUP($A4741,TAB_CORRECAO_U[[Q_DIAS_U_PARC_TIR]:[V_FUT_U_CORC-02]],E$5, FALSE)</f>
        <v>#N/A</v>
      </c>
      <c r="F4741" s="22" t="e">
        <f>VLOOKUP($A4741,TAB_AMORTIZACAO_U[[Q_DIAS_U_PARC_TIR]:[V_FUT_U_PCPL-02]], F$5, FALSE)</f>
        <v>#N/A</v>
      </c>
      <c r="H4741" s="20">
        <f t="shared" si="372"/>
        <v>0</v>
      </c>
      <c r="I4741" s="21">
        <f t="shared" si="373"/>
        <v>0</v>
      </c>
      <c r="J4741" s="22" t="e">
        <f>VLOOKUP($A4741, TAB_JUROS_C[[DIAS_CORRIDOS]:[V_FUT_UTEIS]], J$5, FALSE)</f>
        <v>#N/A</v>
      </c>
      <c r="K4741" s="22" t="e">
        <f>VLOOKUP($A4741, TAB_CORRECAO_C[[DIAS_CORRIDOS]:[V_FUT_UTEIS]],K$5, FALSE)</f>
        <v>#N/A</v>
      </c>
      <c r="L4741" s="22" t="e">
        <f>VLOOKUP($A4741, TAB_AMORTIZACAO_C[[DIAS_CORRIDOS]:[V_FUT_UTEIS]], L$5, FALSE)</f>
        <v>#N/A</v>
      </c>
    </row>
    <row r="4742" spans="1:12" hidden="1">
      <c r="A4742" s="19">
        <f t="shared" si="374"/>
        <v>4736</v>
      </c>
      <c r="B4742" s="20">
        <f t="shared" si="370"/>
        <v>0</v>
      </c>
      <c r="C4742" s="21">
        <f t="shared" si="371"/>
        <v>0</v>
      </c>
      <c r="D4742" s="22" t="e">
        <f>VLOOKUP($A4742, TAB_JUROS_U[[Q_DIAS_U_PARC_TIR]:[V_FUT_U_JURS CENARIO]], D$5, FALSE)</f>
        <v>#N/A</v>
      </c>
      <c r="E4742" s="22" t="e">
        <f>VLOOKUP($A4742,TAB_CORRECAO_U[[Q_DIAS_U_PARC_TIR]:[V_FUT_U_CORC-02]],E$5, FALSE)</f>
        <v>#N/A</v>
      </c>
      <c r="F4742" s="22" t="e">
        <f>VLOOKUP($A4742,TAB_AMORTIZACAO_U[[Q_DIAS_U_PARC_TIR]:[V_FUT_U_PCPL-02]], F$5, FALSE)</f>
        <v>#N/A</v>
      </c>
      <c r="H4742" s="20">
        <f t="shared" si="372"/>
        <v>0</v>
      </c>
      <c r="I4742" s="21">
        <f t="shared" si="373"/>
        <v>0</v>
      </c>
      <c r="J4742" s="22" t="e">
        <f>VLOOKUP($A4742, TAB_JUROS_C[[DIAS_CORRIDOS]:[V_FUT_UTEIS]], J$5, FALSE)</f>
        <v>#N/A</v>
      </c>
      <c r="K4742" s="22" t="e">
        <f>VLOOKUP($A4742, TAB_CORRECAO_C[[DIAS_CORRIDOS]:[V_FUT_UTEIS]],K$5, FALSE)</f>
        <v>#N/A</v>
      </c>
      <c r="L4742" s="22" t="e">
        <f>VLOOKUP($A4742, TAB_AMORTIZACAO_C[[DIAS_CORRIDOS]:[V_FUT_UTEIS]], L$5, FALSE)</f>
        <v>#N/A</v>
      </c>
    </row>
    <row r="4743" spans="1:12" hidden="1">
      <c r="A4743" s="19">
        <f t="shared" si="374"/>
        <v>4737</v>
      </c>
      <c r="B4743" s="20">
        <f t="shared" si="370"/>
        <v>0</v>
      </c>
      <c r="C4743" s="21">
        <f t="shared" si="371"/>
        <v>0</v>
      </c>
      <c r="D4743" s="22" t="e">
        <f>VLOOKUP($A4743, TAB_JUROS_U[[Q_DIAS_U_PARC_TIR]:[V_FUT_U_JURS CENARIO]], D$5, FALSE)</f>
        <v>#N/A</v>
      </c>
      <c r="E4743" s="22" t="e">
        <f>VLOOKUP($A4743,TAB_CORRECAO_U[[Q_DIAS_U_PARC_TIR]:[V_FUT_U_CORC-02]],E$5, FALSE)</f>
        <v>#N/A</v>
      </c>
      <c r="F4743" s="22" t="e">
        <f>VLOOKUP($A4743,TAB_AMORTIZACAO_U[[Q_DIAS_U_PARC_TIR]:[V_FUT_U_PCPL-02]], F$5, FALSE)</f>
        <v>#N/A</v>
      </c>
      <c r="H4743" s="20">
        <f t="shared" si="372"/>
        <v>0</v>
      </c>
      <c r="I4743" s="21">
        <f t="shared" si="373"/>
        <v>0</v>
      </c>
      <c r="J4743" s="22" t="e">
        <f>VLOOKUP($A4743, TAB_JUROS_C[[DIAS_CORRIDOS]:[V_FUT_UTEIS]], J$5, FALSE)</f>
        <v>#N/A</v>
      </c>
      <c r="K4743" s="22" t="e">
        <f>VLOOKUP($A4743, TAB_CORRECAO_C[[DIAS_CORRIDOS]:[V_FUT_UTEIS]],K$5, FALSE)</f>
        <v>#N/A</v>
      </c>
      <c r="L4743" s="22" t="e">
        <f>VLOOKUP($A4743, TAB_AMORTIZACAO_C[[DIAS_CORRIDOS]:[V_FUT_UTEIS]], L$5, FALSE)</f>
        <v>#N/A</v>
      </c>
    </row>
    <row r="4744" spans="1:12" hidden="1">
      <c r="A4744" s="19">
        <f t="shared" si="374"/>
        <v>4738</v>
      </c>
      <c r="B4744" s="20">
        <f t="shared" si="370"/>
        <v>0</v>
      </c>
      <c r="C4744" s="21">
        <f t="shared" si="371"/>
        <v>0</v>
      </c>
      <c r="D4744" s="22" t="e">
        <f>VLOOKUP($A4744, TAB_JUROS_U[[Q_DIAS_U_PARC_TIR]:[V_FUT_U_JURS CENARIO]], D$5, FALSE)</f>
        <v>#N/A</v>
      </c>
      <c r="E4744" s="22" t="e">
        <f>VLOOKUP($A4744,TAB_CORRECAO_U[[Q_DIAS_U_PARC_TIR]:[V_FUT_U_CORC-02]],E$5, FALSE)</f>
        <v>#N/A</v>
      </c>
      <c r="F4744" s="22" t="e">
        <f>VLOOKUP($A4744,TAB_AMORTIZACAO_U[[Q_DIAS_U_PARC_TIR]:[V_FUT_U_PCPL-02]], F$5, FALSE)</f>
        <v>#N/A</v>
      </c>
      <c r="H4744" s="20">
        <f t="shared" si="372"/>
        <v>0</v>
      </c>
      <c r="I4744" s="21">
        <f t="shared" si="373"/>
        <v>0</v>
      </c>
      <c r="J4744" s="22" t="e">
        <f>VLOOKUP($A4744, TAB_JUROS_C[[DIAS_CORRIDOS]:[V_FUT_UTEIS]], J$5, FALSE)</f>
        <v>#N/A</v>
      </c>
      <c r="K4744" s="22" t="e">
        <f>VLOOKUP($A4744, TAB_CORRECAO_C[[DIAS_CORRIDOS]:[V_FUT_UTEIS]],K$5, FALSE)</f>
        <v>#N/A</v>
      </c>
      <c r="L4744" s="22" t="e">
        <f>VLOOKUP($A4744, TAB_AMORTIZACAO_C[[DIAS_CORRIDOS]:[V_FUT_UTEIS]], L$5, FALSE)</f>
        <v>#N/A</v>
      </c>
    </row>
    <row r="4745" spans="1:12" hidden="1">
      <c r="A4745" s="19">
        <f t="shared" si="374"/>
        <v>4739</v>
      </c>
      <c r="B4745" s="20">
        <f t="shared" ref="B4745:B4768" si="375">IF(ISERROR(C4745), 0, C4745)</f>
        <v>0</v>
      </c>
      <c r="C4745" s="21">
        <f t="shared" ref="C4745:C4768" si="376">SUMIF(D4745:F4745, "&gt;0", D4745:F4745)</f>
        <v>0</v>
      </c>
      <c r="D4745" s="22" t="e">
        <f>VLOOKUP($A4745, TAB_JUROS_U[[Q_DIAS_U_PARC_TIR]:[V_FUT_U_JURS CENARIO]], D$5, FALSE)</f>
        <v>#N/A</v>
      </c>
      <c r="E4745" s="22" t="e">
        <f>VLOOKUP($A4745,TAB_CORRECAO_U[[Q_DIAS_U_PARC_TIR]:[V_FUT_U_CORC-02]],E$5, FALSE)</f>
        <v>#N/A</v>
      </c>
      <c r="F4745" s="22" t="e">
        <f>VLOOKUP($A4745,TAB_AMORTIZACAO_U[[Q_DIAS_U_PARC_TIR]:[V_FUT_U_PCPL-02]], F$5, FALSE)</f>
        <v>#N/A</v>
      </c>
      <c r="H4745" s="20">
        <f t="shared" ref="H4745:H4768" si="377">IF(ISERROR(I4745), 0, I4745)</f>
        <v>0</v>
      </c>
      <c r="I4745" s="21">
        <f t="shared" ref="I4745:I4768" si="378">SUMIF(J4745:L4745, "&gt;0", J4745:L4745)</f>
        <v>0</v>
      </c>
      <c r="J4745" s="22" t="e">
        <f>VLOOKUP($A4745, TAB_JUROS_C[[DIAS_CORRIDOS]:[V_FUT_UTEIS]], J$5, FALSE)</f>
        <v>#N/A</v>
      </c>
      <c r="K4745" s="22" t="e">
        <f>VLOOKUP($A4745, TAB_CORRECAO_C[[DIAS_CORRIDOS]:[V_FUT_UTEIS]],K$5, FALSE)</f>
        <v>#N/A</v>
      </c>
      <c r="L4745" s="22" t="e">
        <f>VLOOKUP($A4745, TAB_AMORTIZACAO_C[[DIAS_CORRIDOS]:[V_FUT_UTEIS]], L$5, FALSE)</f>
        <v>#N/A</v>
      </c>
    </row>
    <row r="4746" spans="1:12" hidden="1">
      <c r="A4746" s="19">
        <f t="shared" ref="A4746:A4768" si="379">A4745+1</f>
        <v>4740</v>
      </c>
      <c r="B4746" s="20">
        <f t="shared" si="375"/>
        <v>0</v>
      </c>
      <c r="C4746" s="21">
        <f t="shared" si="376"/>
        <v>0</v>
      </c>
      <c r="D4746" s="22" t="e">
        <f>VLOOKUP($A4746, TAB_JUROS_U[[Q_DIAS_U_PARC_TIR]:[V_FUT_U_JURS CENARIO]], D$5, FALSE)</f>
        <v>#N/A</v>
      </c>
      <c r="E4746" s="22" t="e">
        <f>VLOOKUP($A4746,TAB_CORRECAO_U[[Q_DIAS_U_PARC_TIR]:[V_FUT_U_CORC-02]],E$5, FALSE)</f>
        <v>#N/A</v>
      </c>
      <c r="F4746" s="22" t="e">
        <f>VLOOKUP($A4746,TAB_AMORTIZACAO_U[[Q_DIAS_U_PARC_TIR]:[V_FUT_U_PCPL-02]], F$5, FALSE)</f>
        <v>#N/A</v>
      </c>
      <c r="H4746" s="20">
        <f t="shared" si="377"/>
        <v>0</v>
      </c>
      <c r="I4746" s="21">
        <f t="shared" si="378"/>
        <v>0</v>
      </c>
      <c r="J4746" s="22" t="e">
        <f>VLOOKUP($A4746, TAB_JUROS_C[[DIAS_CORRIDOS]:[V_FUT_UTEIS]], J$5, FALSE)</f>
        <v>#N/A</v>
      </c>
      <c r="K4746" s="22" t="e">
        <f>VLOOKUP($A4746, TAB_CORRECAO_C[[DIAS_CORRIDOS]:[V_FUT_UTEIS]],K$5, FALSE)</f>
        <v>#N/A</v>
      </c>
      <c r="L4746" s="22" t="e">
        <f>VLOOKUP($A4746, TAB_AMORTIZACAO_C[[DIAS_CORRIDOS]:[V_FUT_UTEIS]], L$5, FALSE)</f>
        <v>#N/A</v>
      </c>
    </row>
    <row r="4747" spans="1:12" hidden="1">
      <c r="A4747" s="19">
        <f t="shared" si="379"/>
        <v>4741</v>
      </c>
      <c r="B4747" s="20">
        <f t="shared" si="375"/>
        <v>0</v>
      </c>
      <c r="C4747" s="21">
        <f t="shared" si="376"/>
        <v>0</v>
      </c>
      <c r="D4747" s="22" t="e">
        <f>VLOOKUP($A4747, TAB_JUROS_U[[Q_DIAS_U_PARC_TIR]:[V_FUT_U_JURS CENARIO]], D$5, FALSE)</f>
        <v>#N/A</v>
      </c>
      <c r="E4747" s="22" t="e">
        <f>VLOOKUP($A4747,TAB_CORRECAO_U[[Q_DIAS_U_PARC_TIR]:[V_FUT_U_CORC-02]],E$5, FALSE)</f>
        <v>#N/A</v>
      </c>
      <c r="F4747" s="22" t="e">
        <f>VLOOKUP($A4747,TAB_AMORTIZACAO_U[[Q_DIAS_U_PARC_TIR]:[V_FUT_U_PCPL-02]], F$5, FALSE)</f>
        <v>#N/A</v>
      </c>
      <c r="H4747" s="20">
        <f t="shared" si="377"/>
        <v>0</v>
      </c>
      <c r="I4747" s="21">
        <f t="shared" si="378"/>
        <v>0</v>
      </c>
      <c r="J4747" s="22" t="e">
        <f>VLOOKUP($A4747, TAB_JUROS_C[[DIAS_CORRIDOS]:[V_FUT_UTEIS]], J$5, FALSE)</f>
        <v>#N/A</v>
      </c>
      <c r="K4747" s="22" t="e">
        <f>VLOOKUP($A4747, TAB_CORRECAO_C[[DIAS_CORRIDOS]:[V_FUT_UTEIS]],K$5, FALSE)</f>
        <v>#N/A</v>
      </c>
      <c r="L4747" s="22" t="e">
        <f>VLOOKUP($A4747, TAB_AMORTIZACAO_C[[DIAS_CORRIDOS]:[V_FUT_UTEIS]], L$5, FALSE)</f>
        <v>#N/A</v>
      </c>
    </row>
    <row r="4748" spans="1:12" hidden="1">
      <c r="A4748" s="19">
        <f t="shared" si="379"/>
        <v>4742</v>
      </c>
      <c r="B4748" s="20">
        <f t="shared" si="375"/>
        <v>0</v>
      </c>
      <c r="C4748" s="21">
        <f t="shared" si="376"/>
        <v>0</v>
      </c>
      <c r="D4748" s="22" t="e">
        <f>VLOOKUP($A4748, TAB_JUROS_U[[Q_DIAS_U_PARC_TIR]:[V_FUT_U_JURS CENARIO]], D$5, FALSE)</f>
        <v>#N/A</v>
      </c>
      <c r="E4748" s="22" t="e">
        <f>VLOOKUP($A4748,TAB_CORRECAO_U[[Q_DIAS_U_PARC_TIR]:[V_FUT_U_CORC-02]],E$5, FALSE)</f>
        <v>#N/A</v>
      </c>
      <c r="F4748" s="22" t="e">
        <f>VLOOKUP($A4748,TAB_AMORTIZACAO_U[[Q_DIAS_U_PARC_TIR]:[V_FUT_U_PCPL-02]], F$5, FALSE)</f>
        <v>#N/A</v>
      </c>
      <c r="H4748" s="20">
        <f t="shared" si="377"/>
        <v>0</v>
      </c>
      <c r="I4748" s="21">
        <f t="shared" si="378"/>
        <v>0</v>
      </c>
      <c r="J4748" s="22" t="e">
        <f>VLOOKUP($A4748, TAB_JUROS_C[[DIAS_CORRIDOS]:[V_FUT_UTEIS]], J$5, FALSE)</f>
        <v>#N/A</v>
      </c>
      <c r="K4748" s="22" t="e">
        <f>VLOOKUP($A4748, TAB_CORRECAO_C[[DIAS_CORRIDOS]:[V_FUT_UTEIS]],K$5, FALSE)</f>
        <v>#N/A</v>
      </c>
      <c r="L4748" s="22" t="e">
        <f>VLOOKUP($A4748, TAB_AMORTIZACAO_C[[DIAS_CORRIDOS]:[V_FUT_UTEIS]], L$5, FALSE)</f>
        <v>#N/A</v>
      </c>
    </row>
    <row r="4749" spans="1:12" hidden="1">
      <c r="A4749" s="19">
        <f t="shared" si="379"/>
        <v>4743</v>
      </c>
      <c r="B4749" s="20">
        <f t="shared" si="375"/>
        <v>0</v>
      </c>
      <c r="C4749" s="21">
        <f t="shared" si="376"/>
        <v>0</v>
      </c>
      <c r="D4749" s="22" t="e">
        <f>VLOOKUP($A4749, TAB_JUROS_U[[Q_DIAS_U_PARC_TIR]:[V_FUT_U_JURS CENARIO]], D$5, FALSE)</f>
        <v>#N/A</v>
      </c>
      <c r="E4749" s="22" t="e">
        <f>VLOOKUP($A4749,TAB_CORRECAO_U[[Q_DIAS_U_PARC_TIR]:[V_FUT_U_CORC-02]],E$5, FALSE)</f>
        <v>#N/A</v>
      </c>
      <c r="F4749" s="22" t="e">
        <f>VLOOKUP($A4749,TAB_AMORTIZACAO_U[[Q_DIAS_U_PARC_TIR]:[V_FUT_U_PCPL-02]], F$5, FALSE)</f>
        <v>#N/A</v>
      </c>
      <c r="H4749" s="20">
        <f t="shared" si="377"/>
        <v>0</v>
      </c>
      <c r="I4749" s="21">
        <f t="shared" si="378"/>
        <v>0</v>
      </c>
      <c r="J4749" s="22" t="e">
        <f>VLOOKUP($A4749, TAB_JUROS_C[[DIAS_CORRIDOS]:[V_FUT_UTEIS]], J$5, FALSE)</f>
        <v>#N/A</v>
      </c>
      <c r="K4749" s="22" t="e">
        <f>VLOOKUP($A4749, TAB_CORRECAO_C[[DIAS_CORRIDOS]:[V_FUT_UTEIS]],K$5, FALSE)</f>
        <v>#N/A</v>
      </c>
      <c r="L4749" s="22" t="e">
        <f>VLOOKUP($A4749, TAB_AMORTIZACAO_C[[DIAS_CORRIDOS]:[V_FUT_UTEIS]], L$5, FALSE)</f>
        <v>#N/A</v>
      </c>
    </row>
    <row r="4750" spans="1:12" hidden="1">
      <c r="A4750" s="19">
        <f t="shared" si="379"/>
        <v>4744</v>
      </c>
      <c r="B4750" s="20">
        <f t="shared" si="375"/>
        <v>0</v>
      </c>
      <c r="C4750" s="21">
        <f t="shared" si="376"/>
        <v>0</v>
      </c>
      <c r="D4750" s="22" t="e">
        <f>VLOOKUP($A4750, TAB_JUROS_U[[Q_DIAS_U_PARC_TIR]:[V_FUT_U_JURS CENARIO]], D$5, FALSE)</f>
        <v>#N/A</v>
      </c>
      <c r="E4750" s="22" t="e">
        <f>VLOOKUP($A4750,TAB_CORRECAO_U[[Q_DIAS_U_PARC_TIR]:[V_FUT_U_CORC-02]],E$5, FALSE)</f>
        <v>#N/A</v>
      </c>
      <c r="F4750" s="22" t="e">
        <f>VLOOKUP($A4750,TAB_AMORTIZACAO_U[[Q_DIAS_U_PARC_TIR]:[V_FUT_U_PCPL-02]], F$5, FALSE)</f>
        <v>#N/A</v>
      </c>
      <c r="H4750" s="20">
        <f t="shared" si="377"/>
        <v>0</v>
      </c>
      <c r="I4750" s="21">
        <f t="shared" si="378"/>
        <v>0</v>
      </c>
      <c r="J4750" s="22" t="e">
        <f>VLOOKUP($A4750, TAB_JUROS_C[[DIAS_CORRIDOS]:[V_FUT_UTEIS]], J$5, FALSE)</f>
        <v>#N/A</v>
      </c>
      <c r="K4750" s="22" t="e">
        <f>VLOOKUP($A4750, TAB_CORRECAO_C[[DIAS_CORRIDOS]:[V_FUT_UTEIS]],K$5, FALSE)</f>
        <v>#N/A</v>
      </c>
      <c r="L4750" s="22" t="e">
        <f>VLOOKUP($A4750, TAB_AMORTIZACAO_C[[DIAS_CORRIDOS]:[V_FUT_UTEIS]], L$5, FALSE)</f>
        <v>#N/A</v>
      </c>
    </row>
    <row r="4751" spans="1:12" hidden="1">
      <c r="A4751" s="19">
        <f t="shared" si="379"/>
        <v>4745</v>
      </c>
      <c r="B4751" s="20">
        <f t="shared" si="375"/>
        <v>0</v>
      </c>
      <c r="C4751" s="21">
        <f t="shared" si="376"/>
        <v>0</v>
      </c>
      <c r="D4751" s="22" t="e">
        <f>VLOOKUP($A4751, TAB_JUROS_U[[Q_DIAS_U_PARC_TIR]:[V_FUT_U_JURS CENARIO]], D$5, FALSE)</f>
        <v>#N/A</v>
      </c>
      <c r="E4751" s="22" t="e">
        <f>VLOOKUP($A4751,TAB_CORRECAO_U[[Q_DIAS_U_PARC_TIR]:[V_FUT_U_CORC-02]],E$5, FALSE)</f>
        <v>#N/A</v>
      </c>
      <c r="F4751" s="22" t="e">
        <f>VLOOKUP($A4751,TAB_AMORTIZACAO_U[[Q_DIAS_U_PARC_TIR]:[V_FUT_U_PCPL-02]], F$5, FALSE)</f>
        <v>#N/A</v>
      </c>
      <c r="H4751" s="20">
        <f t="shared" si="377"/>
        <v>0</v>
      </c>
      <c r="I4751" s="21">
        <f t="shared" si="378"/>
        <v>0</v>
      </c>
      <c r="J4751" s="22" t="e">
        <f>VLOOKUP($A4751, TAB_JUROS_C[[DIAS_CORRIDOS]:[V_FUT_UTEIS]], J$5, FALSE)</f>
        <v>#N/A</v>
      </c>
      <c r="K4751" s="22" t="e">
        <f>VLOOKUP($A4751, TAB_CORRECAO_C[[DIAS_CORRIDOS]:[V_FUT_UTEIS]],K$5, FALSE)</f>
        <v>#N/A</v>
      </c>
      <c r="L4751" s="22" t="e">
        <f>VLOOKUP($A4751, TAB_AMORTIZACAO_C[[DIAS_CORRIDOS]:[V_FUT_UTEIS]], L$5, FALSE)</f>
        <v>#N/A</v>
      </c>
    </row>
    <row r="4752" spans="1:12" hidden="1">
      <c r="A4752" s="19">
        <f t="shared" si="379"/>
        <v>4746</v>
      </c>
      <c r="B4752" s="20">
        <f t="shared" si="375"/>
        <v>0</v>
      </c>
      <c r="C4752" s="21">
        <f t="shared" si="376"/>
        <v>0</v>
      </c>
      <c r="D4752" s="22" t="e">
        <f>VLOOKUP($A4752, TAB_JUROS_U[[Q_DIAS_U_PARC_TIR]:[V_FUT_U_JURS CENARIO]], D$5, FALSE)</f>
        <v>#N/A</v>
      </c>
      <c r="E4752" s="22" t="e">
        <f>VLOOKUP($A4752,TAB_CORRECAO_U[[Q_DIAS_U_PARC_TIR]:[V_FUT_U_CORC-02]],E$5, FALSE)</f>
        <v>#N/A</v>
      </c>
      <c r="F4752" s="22" t="e">
        <f>VLOOKUP($A4752,TAB_AMORTIZACAO_U[[Q_DIAS_U_PARC_TIR]:[V_FUT_U_PCPL-02]], F$5, FALSE)</f>
        <v>#N/A</v>
      </c>
      <c r="H4752" s="20">
        <f t="shared" si="377"/>
        <v>0</v>
      </c>
      <c r="I4752" s="21">
        <f t="shared" si="378"/>
        <v>0</v>
      </c>
      <c r="J4752" s="22" t="e">
        <f>VLOOKUP($A4752, TAB_JUROS_C[[DIAS_CORRIDOS]:[V_FUT_UTEIS]], J$5, FALSE)</f>
        <v>#N/A</v>
      </c>
      <c r="K4752" s="22" t="e">
        <f>VLOOKUP($A4752, TAB_CORRECAO_C[[DIAS_CORRIDOS]:[V_FUT_UTEIS]],K$5, FALSE)</f>
        <v>#N/A</v>
      </c>
      <c r="L4752" s="22" t="e">
        <f>VLOOKUP($A4752, TAB_AMORTIZACAO_C[[DIAS_CORRIDOS]:[V_FUT_UTEIS]], L$5, FALSE)</f>
        <v>#N/A</v>
      </c>
    </row>
    <row r="4753" spans="1:12" hidden="1">
      <c r="A4753" s="19">
        <f t="shared" si="379"/>
        <v>4747</v>
      </c>
      <c r="B4753" s="20">
        <f t="shared" si="375"/>
        <v>0</v>
      </c>
      <c r="C4753" s="21">
        <f t="shared" si="376"/>
        <v>0</v>
      </c>
      <c r="D4753" s="22" t="e">
        <f>VLOOKUP($A4753, TAB_JUROS_U[[Q_DIAS_U_PARC_TIR]:[V_FUT_U_JURS CENARIO]], D$5, FALSE)</f>
        <v>#N/A</v>
      </c>
      <c r="E4753" s="22" t="e">
        <f>VLOOKUP($A4753,TAB_CORRECAO_U[[Q_DIAS_U_PARC_TIR]:[V_FUT_U_CORC-02]],E$5, FALSE)</f>
        <v>#N/A</v>
      </c>
      <c r="F4753" s="22" t="e">
        <f>VLOOKUP($A4753,TAB_AMORTIZACAO_U[[Q_DIAS_U_PARC_TIR]:[V_FUT_U_PCPL-02]], F$5, FALSE)</f>
        <v>#N/A</v>
      </c>
      <c r="H4753" s="20">
        <f t="shared" si="377"/>
        <v>0</v>
      </c>
      <c r="I4753" s="21">
        <f t="shared" si="378"/>
        <v>0</v>
      </c>
      <c r="J4753" s="22" t="e">
        <f>VLOOKUP($A4753, TAB_JUROS_C[[DIAS_CORRIDOS]:[V_FUT_UTEIS]], J$5, FALSE)</f>
        <v>#N/A</v>
      </c>
      <c r="K4753" s="22" t="e">
        <f>VLOOKUP($A4753, TAB_CORRECAO_C[[DIAS_CORRIDOS]:[V_FUT_UTEIS]],K$5, FALSE)</f>
        <v>#N/A</v>
      </c>
      <c r="L4753" s="22" t="e">
        <f>VLOOKUP($A4753, TAB_AMORTIZACAO_C[[DIAS_CORRIDOS]:[V_FUT_UTEIS]], L$5, FALSE)</f>
        <v>#N/A</v>
      </c>
    </row>
    <row r="4754" spans="1:12" hidden="1">
      <c r="A4754" s="19">
        <f t="shared" si="379"/>
        <v>4748</v>
      </c>
      <c r="B4754" s="20">
        <f t="shared" si="375"/>
        <v>0</v>
      </c>
      <c r="C4754" s="21">
        <f t="shared" si="376"/>
        <v>0</v>
      </c>
      <c r="D4754" s="22" t="e">
        <f>VLOOKUP($A4754, TAB_JUROS_U[[Q_DIAS_U_PARC_TIR]:[V_FUT_U_JURS CENARIO]], D$5, FALSE)</f>
        <v>#N/A</v>
      </c>
      <c r="E4754" s="22" t="e">
        <f>VLOOKUP($A4754,TAB_CORRECAO_U[[Q_DIAS_U_PARC_TIR]:[V_FUT_U_CORC-02]],E$5, FALSE)</f>
        <v>#N/A</v>
      </c>
      <c r="F4754" s="22" t="e">
        <f>VLOOKUP($A4754,TAB_AMORTIZACAO_U[[Q_DIAS_U_PARC_TIR]:[V_FUT_U_PCPL-02]], F$5, FALSE)</f>
        <v>#N/A</v>
      </c>
      <c r="H4754" s="20">
        <f t="shared" si="377"/>
        <v>0</v>
      </c>
      <c r="I4754" s="21">
        <f t="shared" si="378"/>
        <v>0</v>
      </c>
      <c r="J4754" s="22" t="e">
        <f>VLOOKUP($A4754, TAB_JUROS_C[[DIAS_CORRIDOS]:[V_FUT_UTEIS]], J$5, FALSE)</f>
        <v>#N/A</v>
      </c>
      <c r="K4754" s="22" t="e">
        <f>VLOOKUP($A4754, TAB_CORRECAO_C[[DIAS_CORRIDOS]:[V_FUT_UTEIS]],K$5, FALSE)</f>
        <v>#N/A</v>
      </c>
      <c r="L4754" s="22" t="e">
        <f>VLOOKUP($A4754, TAB_AMORTIZACAO_C[[DIAS_CORRIDOS]:[V_FUT_UTEIS]], L$5, FALSE)</f>
        <v>#N/A</v>
      </c>
    </row>
    <row r="4755" spans="1:12" hidden="1">
      <c r="A4755" s="19">
        <f t="shared" si="379"/>
        <v>4749</v>
      </c>
      <c r="B4755" s="20">
        <f t="shared" si="375"/>
        <v>0</v>
      </c>
      <c r="C4755" s="21">
        <f t="shared" si="376"/>
        <v>0</v>
      </c>
      <c r="D4755" s="22" t="e">
        <f>VLOOKUP($A4755, TAB_JUROS_U[[Q_DIAS_U_PARC_TIR]:[V_FUT_U_JURS CENARIO]], D$5, FALSE)</f>
        <v>#N/A</v>
      </c>
      <c r="E4755" s="22" t="e">
        <f>VLOOKUP($A4755,TAB_CORRECAO_U[[Q_DIAS_U_PARC_TIR]:[V_FUT_U_CORC-02]],E$5, FALSE)</f>
        <v>#N/A</v>
      </c>
      <c r="F4755" s="22" t="e">
        <f>VLOOKUP($A4755,TAB_AMORTIZACAO_U[[Q_DIAS_U_PARC_TIR]:[V_FUT_U_PCPL-02]], F$5, FALSE)</f>
        <v>#N/A</v>
      </c>
      <c r="H4755" s="20">
        <f t="shared" si="377"/>
        <v>0</v>
      </c>
      <c r="I4755" s="21">
        <f t="shared" si="378"/>
        <v>0</v>
      </c>
      <c r="J4755" s="22" t="e">
        <f>VLOOKUP($A4755, TAB_JUROS_C[[DIAS_CORRIDOS]:[V_FUT_UTEIS]], J$5, FALSE)</f>
        <v>#N/A</v>
      </c>
      <c r="K4755" s="22" t="e">
        <f>VLOOKUP($A4755, TAB_CORRECAO_C[[DIAS_CORRIDOS]:[V_FUT_UTEIS]],K$5, FALSE)</f>
        <v>#N/A</v>
      </c>
      <c r="L4755" s="22" t="e">
        <f>VLOOKUP($A4755, TAB_AMORTIZACAO_C[[DIAS_CORRIDOS]:[V_FUT_UTEIS]], L$5, FALSE)</f>
        <v>#N/A</v>
      </c>
    </row>
    <row r="4756" spans="1:12" hidden="1">
      <c r="A4756" s="19">
        <f t="shared" si="379"/>
        <v>4750</v>
      </c>
      <c r="B4756" s="20">
        <f t="shared" si="375"/>
        <v>0</v>
      </c>
      <c r="C4756" s="21">
        <f t="shared" si="376"/>
        <v>0</v>
      </c>
      <c r="D4756" s="22" t="e">
        <f>VLOOKUP($A4756, TAB_JUROS_U[[Q_DIAS_U_PARC_TIR]:[V_FUT_U_JURS CENARIO]], D$5, FALSE)</f>
        <v>#N/A</v>
      </c>
      <c r="E4756" s="22" t="e">
        <f>VLOOKUP($A4756,TAB_CORRECAO_U[[Q_DIAS_U_PARC_TIR]:[V_FUT_U_CORC-02]],E$5, FALSE)</f>
        <v>#N/A</v>
      </c>
      <c r="F4756" s="22" t="e">
        <f>VLOOKUP($A4756,TAB_AMORTIZACAO_U[[Q_DIAS_U_PARC_TIR]:[V_FUT_U_PCPL-02]], F$5, FALSE)</f>
        <v>#N/A</v>
      </c>
      <c r="H4756" s="20">
        <f t="shared" si="377"/>
        <v>0</v>
      </c>
      <c r="I4756" s="21">
        <f t="shared" si="378"/>
        <v>0</v>
      </c>
      <c r="J4756" s="22" t="e">
        <f>VLOOKUP($A4756, TAB_JUROS_C[[DIAS_CORRIDOS]:[V_FUT_UTEIS]], J$5, FALSE)</f>
        <v>#N/A</v>
      </c>
      <c r="K4756" s="22" t="e">
        <f>VLOOKUP($A4756, TAB_CORRECAO_C[[DIAS_CORRIDOS]:[V_FUT_UTEIS]],K$5, FALSE)</f>
        <v>#N/A</v>
      </c>
      <c r="L4756" s="22" t="e">
        <f>VLOOKUP($A4756, TAB_AMORTIZACAO_C[[DIAS_CORRIDOS]:[V_FUT_UTEIS]], L$5, FALSE)</f>
        <v>#N/A</v>
      </c>
    </row>
    <row r="4757" spans="1:12" hidden="1">
      <c r="A4757" s="19">
        <f t="shared" si="379"/>
        <v>4751</v>
      </c>
      <c r="B4757" s="20">
        <f t="shared" si="375"/>
        <v>0</v>
      </c>
      <c r="C4757" s="21">
        <f t="shared" si="376"/>
        <v>0</v>
      </c>
      <c r="D4757" s="22" t="e">
        <f>VLOOKUP($A4757, TAB_JUROS_U[[Q_DIAS_U_PARC_TIR]:[V_FUT_U_JURS CENARIO]], D$5, FALSE)</f>
        <v>#N/A</v>
      </c>
      <c r="E4757" s="22" t="e">
        <f>VLOOKUP($A4757,TAB_CORRECAO_U[[Q_DIAS_U_PARC_TIR]:[V_FUT_U_CORC-02]],E$5, FALSE)</f>
        <v>#N/A</v>
      </c>
      <c r="F4757" s="22" t="e">
        <f>VLOOKUP($A4757,TAB_AMORTIZACAO_U[[Q_DIAS_U_PARC_TIR]:[V_FUT_U_PCPL-02]], F$5, FALSE)</f>
        <v>#N/A</v>
      </c>
      <c r="H4757" s="20">
        <f t="shared" si="377"/>
        <v>0</v>
      </c>
      <c r="I4757" s="21">
        <f t="shared" si="378"/>
        <v>0</v>
      </c>
      <c r="J4757" s="22" t="e">
        <f>VLOOKUP($A4757, TAB_JUROS_C[[DIAS_CORRIDOS]:[V_FUT_UTEIS]], J$5, FALSE)</f>
        <v>#N/A</v>
      </c>
      <c r="K4757" s="22" t="e">
        <f>VLOOKUP($A4757, TAB_CORRECAO_C[[DIAS_CORRIDOS]:[V_FUT_UTEIS]],K$5, FALSE)</f>
        <v>#N/A</v>
      </c>
      <c r="L4757" s="22" t="e">
        <f>VLOOKUP($A4757, TAB_AMORTIZACAO_C[[DIAS_CORRIDOS]:[V_FUT_UTEIS]], L$5, FALSE)</f>
        <v>#N/A</v>
      </c>
    </row>
    <row r="4758" spans="1:12" hidden="1">
      <c r="A4758" s="19">
        <f t="shared" si="379"/>
        <v>4752</v>
      </c>
      <c r="B4758" s="20">
        <f t="shared" si="375"/>
        <v>0</v>
      </c>
      <c r="C4758" s="21">
        <f t="shared" si="376"/>
        <v>0</v>
      </c>
      <c r="D4758" s="22" t="e">
        <f>VLOOKUP($A4758, TAB_JUROS_U[[Q_DIAS_U_PARC_TIR]:[V_FUT_U_JURS CENARIO]], D$5, FALSE)</f>
        <v>#N/A</v>
      </c>
      <c r="E4758" s="22" t="e">
        <f>VLOOKUP($A4758,TAB_CORRECAO_U[[Q_DIAS_U_PARC_TIR]:[V_FUT_U_CORC-02]],E$5, FALSE)</f>
        <v>#N/A</v>
      </c>
      <c r="F4758" s="22" t="e">
        <f>VLOOKUP($A4758,TAB_AMORTIZACAO_U[[Q_DIAS_U_PARC_TIR]:[V_FUT_U_PCPL-02]], F$5, FALSE)</f>
        <v>#N/A</v>
      </c>
      <c r="H4758" s="20">
        <f t="shared" si="377"/>
        <v>0</v>
      </c>
      <c r="I4758" s="21">
        <f t="shared" si="378"/>
        <v>0</v>
      </c>
      <c r="J4758" s="22" t="e">
        <f>VLOOKUP($A4758, TAB_JUROS_C[[DIAS_CORRIDOS]:[V_FUT_UTEIS]], J$5, FALSE)</f>
        <v>#N/A</v>
      </c>
      <c r="K4758" s="22" t="e">
        <f>VLOOKUP($A4758, TAB_CORRECAO_C[[DIAS_CORRIDOS]:[V_FUT_UTEIS]],K$5, FALSE)</f>
        <v>#N/A</v>
      </c>
      <c r="L4758" s="22" t="e">
        <f>VLOOKUP($A4758, TAB_AMORTIZACAO_C[[DIAS_CORRIDOS]:[V_FUT_UTEIS]], L$5, FALSE)</f>
        <v>#N/A</v>
      </c>
    </row>
    <row r="4759" spans="1:12" hidden="1">
      <c r="A4759" s="19">
        <f t="shared" si="379"/>
        <v>4753</v>
      </c>
      <c r="B4759" s="20">
        <f t="shared" si="375"/>
        <v>0</v>
      </c>
      <c r="C4759" s="21">
        <f t="shared" si="376"/>
        <v>0</v>
      </c>
      <c r="D4759" s="22" t="e">
        <f>VLOOKUP($A4759, TAB_JUROS_U[[Q_DIAS_U_PARC_TIR]:[V_FUT_U_JURS CENARIO]], D$5, FALSE)</f>
        <v>#N/A</v>
      </c>
      <c r="E4759" s="22" t="e">
        <f>VLOOKUP($A4759,TAB_CORRECAO_U[[Q_DIAS_U_PARC_TIR]:[V_FUT_U_CORC-02]],E$5, FALSE)</f>
        <v>#N/A</v>
      </c>
      <c r="F4759" s="22" t="e">
        <f>VLOOKUP($A4759,TAB_AMORTIZACAO_U[[Q_DIAS_U_PARC_TIR]:[V_FUT_U_PCPL-02]], F$5, FALSE)</f>
        <v>#N/A</v>
      </c>
      <c r="H4759" s="20">
        <f t="shared" si="377"/>
        <v>0</v>
      </c>
      <c r="I4759" s="21">
        <f t="shared" si="378"/>
        <v>0</v>
      </c>
      <c r="J4759" s="22" t="e">
        <f>VLOOKUP($A4759, TAB_JUROS_C[[DIAS_CORRIDOS]:[V_FUT_UTEIS]], J$5, FALSE)</f>
        <v>#N/A</v>
      </c>
      <c r="K4759" s="22" t="e">
        <f>VLOOKUP($A4759, TAB_CORRECAO_C[[DIAS_CORRIDOS]:[V_FUT_UTEIS]],K$5, FALSE)</f>
        <v>#N/A</v>
      </c>
      <c r="L4759" s="22" t="e">
        <f>VLOOKUP($A4759, TAB_AMORTIZACAO_C[[DIAS_CORRIDOS]:[V_FUT_UTEIS]], L$5, FALSE)</f>
        <v>#N/A</v>
      </c>
    </row>
    <row r="4760" spans="1:12" hidden="1">
      <c r="A4760" s="19">
        <f t="shared" si="379"/>
        <v>4754</v>
      </c>
      <c r="B4760" s="20">
        <f t="shared" si="375"/>
        <v>0</v>
      </c>
      <c r="C4760" s="21">
        <f t="shared" si="376"/>
        <v>0</v>
      </c>
      <c r="D4760" s="22" t="e">
        <f>VLOOKUP($A4760, TAB_JUROS_U[[Q_DIAS_U_PARC_TIR]:[V_FUT_U_JURS CENARIO]], D$5, FALSE)</f>
        <v>#N/A</v>
      </c>
      <c r="E4760" s="22" t="e">
        <f>VLOOKUP($A4760,TAB_CORRECAO_U[[Q_DIAS_U_PARC_TIR]:[V_FUT_U_CORC-02]],E$5, FALSE)</f>
        <v>#N/A</v>
      </c>
      <c r="F4760" s="22" t="e">
        <f>VLOOKUP($A4760,TAB_AMORTIZACAO_U[[Q_DIAS_U_PARC_TIR]:[V_FUT_U_PCPL-02]], F$5, FALSE)</f>
        <v>#N/A</v>
      </c>
      <c r="H4760" s="20">
        <f t="shared" si="377"/>
        <v>0</v>
      </c>
      <c r="I4760" s="21">
        <f t="shared" si="378"/>
        <v>0</v>
      </c>
      <c r="J4760" s="22" t="e">
        <f>VLOOKUP($A4760, TAB_JUROS_C[[DIAS_CORRIDOS]:[V_FUT_UTEIS]], J$5, FALSE)</f>
        <v>#N/A</v>
      </c>
      <c r="K4760" s="22" t="e">
        <f>VLOOKUP($A4760, TAB_CORRECAO_C[[DIAS_CORRIDOS]:[V_FUT_UTEIS]],K$5, FALSE)</f>
        <v>#N/A</v>
      </c>
      <c r="L4760" s="22" t="e">
        <f>VLOOKUP($A4760, TAB_AMORTIZACAO_C[[DIAS_CORRIDOS]:[V_FUT_UTEIS]], L$5, FALSE)</f>
        <v>#N/A</v>
      </c>
    </row>
    <row r="4761" spans="1:12" hidden="1">
      <c r="A4761" s="19">
        <f t="shared" si="379"/>
        <v>4755</v>
      </c>
      <c r="B4761" s="20">
        <f t="shared" si="375"/>
        <v>0</v>
      </c>
      <c r="C4761" s="21">
        <f t="shared" si="376"/>
        <v>0</v>
      </c>
      <c r="D4761" s="22" t="e">
        <f>VLOOKUP($A4761, TAB_JUROS_U[[Q_DIAS_U_PARC_TIR]:[V_FUT_U_JURS CENARIO]], D$5, FALSE)</f>
        <v>#N/A</v>
      </c>
      <c r="E4761" s="22" t="e">
        <f>VLOOKUP($A4761,TAB_CORRECAO_U[[Q_DIAS_U_PARC_TIR]:[V_FUT_U_CORC-02]],E$5, FALSE)</f>
        <v>#N/A</v>
      </c>
      <c r="F4761" s="22" t="e">
        <f>VLOOKUP($A4761,TAB_AMORTIZACAO_U[[Q_DIAS_U_PARC_TIR]:[V_FUT_U_PCPL-02]], F$5, FALSE)</f>
        <v>#N/A</v>
      </c>
      <c r="H4761" s="20">
        <f t="shared" si="377"/>
        <v>0</v>
      </c>
      <c r="I4761" s="21">
        <f t="shared" si="378"/>
        <v>0</v>
      </c>
      <c r="J4761" s="22" t="e">
        <f>VLOOKUP($A4761, TAB_JUROS_C[[DIAS_CORRIDOS]:[V_FUT_UTEIS]], J$5, FALSE)</f>
        <v>#N/A</v>
      </c>
      <c r="K4761" s="22" t="e">
        <f>VLOOKUP($A4761, TAB_CORRECAO_C[[DIAS_CORRIDOS]:[V_FUT_UTEIS]],K$5, FALSE)</f>
        <v>#N/A</v>
      </c>
      <c r="L4761" s="22" t="e">
        <f>VLOOKUP($A4761, TAB_AMORTIZACAO_C[[DIAS_CORRIDOS]:[V_FUT_UTEIS]], L$5, FALSE)</f>
        <v>#N/A</v>
      </c>
    </row>
    <row r="4762" spans="1:12" hidden="1">
      <c r="A4762" s="19">
        <f t="shared" si="379"/>
        <v>4756</v>
      </c>
      <c r="B4762" s="20">
        <f t="shared" si="375"/>
        <v>0</v>
      </c>
      <c r="C4762" s="21">
        <f t="shared" si="376"/>
        <v>0</v>
      </c>
      <c r="D4762" s="22" t="e">
        <f>VLOOKUP($A4762, TAB_JUROS_U[[Q_DIAS_U_PARC_TIR]:[V_FUT_U_JURS CENARIO]], D$5, FALSE)</f>
        <v>#N/A</v>
      </c>
      <c r="E4762" s="22" t="e">
        <f>VLOOKUP($A4762,TAB_CORRECAO_U[[Q_DIAS_U_PARC_TIR]:[V_FUT_U_CORC-02]],E$5, FALSE)</f>
        <v>#N/A</v>
      </c>
      <c r="F4762" s="22" t="e">
        <f>VLOOKUP($A4762,TAB_AMORTIZACAO_U[[Q_DIAS_U_PARC_TIR]:[V_FUT_U_PCPL-02]], F$5, FALSE)</f>
        <v>#N/A</v>
      </c>
      <c r="H4762" s="20">
        <f t="shared" si="377"/>
        <v>0</v>
      </c>
      <c r="I4762" s="21">
        <f t="shared" si="378"/>
        <v>0</v>
      </c>
      <c r="J4762" s="22" t="e">
        <f>VLOOKUP($A4762, TAB_JUROS_C[[DIAS_CORRIDOS]:[V_FUT_UTEIS]], J$5, FALSE)</f>
        <v>#N/A</v>
      </c>
      <c r="K4762" s="22" t="e">
        <f>VLOOKUP($A4762, TAB_CORRECAO_C[[DIAS_CORRIDOS]:[V_FUT_UTEIS]],K$5, FALSE)</f>
        <v>#N/A</v>
      </c>
      <c r="L4762" s="22" t="e">
        <f>VLOOKUP($A4762, TAB_AMORTIZACAO_C[[DIAS_CORRIDOS]:[V_FUT_UTEIS]], L$5, FALSE)</f>
        <v>#N/A</v>
      </c>
    </row>
    <row r="4763" spans="1:12" hidden="1">
      <c r="A4763" s="19">
        <f t="shared" si="379"/>
        <v>4757</v>
      </c>
      <c r="B4763" s="20">
        <f t="shared" si="375"/>
        <v>0</v>
      </c>
      <c r="C4763" s="21">
        <f t="shared" si="376"/>
        <v>0</v>
      </c>
      <c r="D4763" s="22" t="e">
        <f>VLOOKUP($A4763, TAB_JUROS_U[[Q_DIAS_U_PARC_TIR]:[V_FUT_U_JURS CENARIO]], D$5, FALSE)</f>
        <v>#N/A</v>
      </c>
      <c r="E4763" s="22" t="e">
        <f>VLOOKUP($A4763,TAB_CORRECAO_U[[Q_DIAS_U_PARC_TIR]:[V_FUT_U_CORC-02]],E$5, FALSE)</f>
        <v>#N/A</v>
      </c>
      <c r="F4763" s="22" t="e">
        <f>VLOOKUP($A4763,TAB_AMORTIZACAO_U[[Q_DIAS_U_PARC_TIR]:[V_FUT_U_PCPL-02]], F$5, FALSE)</f>
        <v>#N/A</v>
      </c>
      <c r="H4763" s="20">
        <f t="shared" si="377"/>
        <v>0</v>
      </c>
      <c r="I4763" s="21">
        <f t="shared" si="378"/>
        <v>0</v>
      </c>
      <c r="J4763" s="22" t="e">
        <f>VLOOKUP($A4763, TAB_JUROS_C[[DIAS_CORRIDOS]:[V_FUT_UTEIS]], J$5, FALSE)</f>
        <v>#N/A</v>
      </c>
      <c r="K4763" s="22" t="e">
        <f>VLOOKUP($A4763, TAB_CORRECAO_C[[DIAS_CORRIDOS]:[V_FUT_UTEIS]],K$5, FALSE)</f>
        <v>#N/A</v>
      </c>
      <c r="L4763" s="22" t="e">
        <f>VLOOKUP($A4763, TAB_AMORTIZACAO_C[[DIAS_CORRIDOS]:[V_FUT_UTEIS]], L$5, FALSE)</f>
        <v>#N/A</v>
      </c>
    </row>
    <row r="4764" spans="1:12" hidden="1">
      <c r="A4764" s="19">
        <f t="shared" si="379"/>
        <v>4758</v>
      </c>
      <c r="B4764" s="20">
        <f t="shared" si="375"/>
        <v>0</v>
      </c>
      <c r="C4764" s="21">
        <f t="shared" si="376"/>
        <v>0</v>
      </c>
      <c r="D4764" s="22" t="e">
        <f>VLOOKUP($A4764, TAB_JUROS_U[[Q_DIAS_U_PARC_TIR]:[V_FUT_U_JURS CENARIO]], D$5, FALSE)</f>
        <v>#N/A</v>
      </c>
      <c r="E4764" s="22" t="e">
        <f>VLOOKUP($A4764,TAB_CORRECAO_U[[Q_DIAS_U_PARC_TIR]:[V_FUT_U_CORC-02]],E$5, FALSE)</f>
        <v>#N/A</v>
      </c>
      <c r="F4764" s="22" t="e">
        <f>VLOOKUP($A4764,TAB_AMORTIZACAO_U[[Q_DIAS_U_PARC_TIR]:[V_FUT_U_PCPL-02]], F$5, FALSE)</f>
        <v>#N/A</v>
      </c>
      <c r="H4764" s="20">
        <f t="shared" si="377"/>
        <v>0</v>
      </c>
      <c r="I4764" s="21">
        <f t="shared" si="378"/>
        <v>0</v>
      </c>
      <c r="J4764" s="22" t="e">
        <f>VLOOKUP($A4764, TAB_JUROS_C[[DIAS_CORRIDOS]:[V_FUT_UTEIS]], J$5, FALSE)</f>
        <v>#N/A</v>
      </c>
      <c r="K4764" s="22" t="e">
        <f>VLOOKUP($A4764, TAB_CORRECAO_C[[DIAS_CORRIDOS]:[V_FUT_UTEIS]],K$5, FALSE)</f>
        <v>#N/A</v>
      </c>
      <c r="L4764" s="22" t="e">
        <f>VLOOKUP($A4764, TAB_AMORTIZACAO_C[[DIAS_CORRIDOS]:[V_FUT_UTEIS]], L$5, FALSE)</f>
        <v>#N/A</v>
      </c>
    </row>
    <row r="4765" spans="1:12" hidden="1">
      <c r="A4765" s="19">
        <f t="shared" si="379"/>
        <v>4759</v>
      </c>
      <c r="B4765" s="20">
        <f t="shared" si="375"/>
        <v>0</v>
      </c>
      <c r="C4765" s="21">
        <f t="shared" si="376"/>
        <v>0</v>
      </c>
      <c r="D4765" s="22" t="e">
        <f>VLOOKUP($A4765, TAB_JUROS_U[[Q_DIAS_U_PARC_TIR]:[V_FUT_U_JURS CENARIO]], D$5, FALSE)</f>
        <v>#N/A</v>
      </c>
      <c r="E4765" s="22" t="e">
        <f>VLOOKUP($A4765,TAB_CORRECAO_U[[Q_DIAS_U_PARC_TIR]:[V_FUT_U_CORC-02]],E$5, FALSE)</f>
        <v>#N/A</v>
      </c>
      <c r="F4765" s="22" t="e">
        <f>VLOOKUP($A4765,TAB_AMORTIZACAO_U[[Q_DIAS_U_PARC_TIR]:[V_FUT_U_PCPL-02]], F$5, FALSE)</f>
        <v>#N/A</v>
      </c>
      <c r="H4765" s="20">
        <f t="shared" si="377"/>
        <v>0</v>
      </c>
      <c r="I4765" s="21">
        <f t="shared" si="378"/>
        <v>0</v>
      </c>
      <c r="J4765" s="22" t="e">
        <f>VLOOKUP($A4765, TAB_JUROS_C[[DIAS_CORRIDOS]:[V_FUT_UTEIS]], J$5, FALSE)</f>
        <v>#N/A</v>
      </c>
      <c r="K4765" s="22" t="e">
        <f>VLOOKUP($A4765, TAB_CORRECAO_C[[DIAS_CORRIDOS]:[V_FUT_UTEIS]],K$5, FALSE)</f>
        <v>#N/A</v>
      </c>
      <c r="L4765" s="22" t="e">
        <f>VLOOKUP($A4765, TAB_AMORTIZACAO_C[[DIAS_CORRIDOS]:[V_FUT_UTEIS]], L$5, FALSE)</f>
        <v>#N/A</v>
      </c>
    </row>
    <row r="4766" spans="1:12" hidden="1">
      <c r="A4766" s="19">
        <f t="shared" si="379"/>
        <v>4760</v>
      </c>
      <c r="B4766" s="20">
        <f t="shared" si="375"/>
        <v>0</v>
      </c>
      <c r="C4766" s="21">
        <f t="shared" si="376"/>
        <v>0</v>
      </c>
      <c r="D4766" s="22" t="e">
        <f>VLOOKUP($A4766, TAB_JUROS_U[[Q_DIAS_U_PARC_TIR]:[V_FUT_U_JURS CENARIO]], D$5, FALSE)</f>
        <v>#N/A</v>
      </c>
      <c r="E4766" s="22" t="e">
        <f>VLOOKUP($A4766,TAB_CORRECAO_U[[Q_DIAS_U_PARC_TIR]:[V_FUT_U_CORC-02]],E$5, FALSE)</f>
        <v>#N/A</v>
      </c>
      <c r="F4766" s="22" t="e">
        <f>VLOOKUP($A4766,TAB_AMORTIZACAO_U[[Q_DIAS_U_PARC_TIR]:[V_FUT_U_PCPL-02]], F$5, FALSE)</f>
        <v>#N/A</v>
      </c>
      <c r="H4766" s="20">
        <f t="shared" si="377"/>
        <v>0</v>
      </c>
      <c r="I4766" s="21">
        <f t="shared" si="378"/>
        <v>0</v>
      </c>
      <c r="J4766" s="22" t="e">
        <f>VLOOKUP($A4766, TAB_JUROS_C[[DIAS_CORRIDOS]:[V_FUT_UTEIS]], J$5, FALSE)</f>
        <v>#N/A</v>
      </c>
      <c r="K4766" s="22" t="e">
        <f>VLOOKUP($A4766, TAB_CORRECAO_C[[DIAS_CORRIDOS]:[V_FUT_UTEIS]],K$5, FALSE)</f>
        <v>#N/A</v>
      </c>
      <c r="L4766" s="22" t="e">
        <f>VLOOKUP($A4766, TAB_AMORTIZACAO_C[[DIAS_CORRIDOS]:[V_FUT_UTEIS]], L$5, FALSE)</f>
        <v>#N/A</v>
      </c>
    </row>
    <row r="4767" spans="1:12" hidden="1">
      <c r="A4767" s="19">
        <f t="shared" si="379"/>
        <v>4761</v>
      </c>
      <c r="B4767" s="20">
        <f t="shared" si="375"/>
        <v>0</v>
      </c>
      <c r="C4767" s="21">
        <f t="shared" si="376"/>
        <v>0</v>
      </c>
      <c r="D4767" s="22" t="e">
        <f>VLOOKUP($A4767, TAB_JUROS_U[[Q_DIAS_U_PARC_TIR]:[V_FUT_U_JURS CENARIO]], D$5, FALSE)</f>
        <v>#N/A</v>
      </c>
      <c r="E4767" s="22" t="e">
        <f>VLOOKUP($A4767,TAB_CORRECAO_U[[Q_DIAS_U_PARC_TIR]:[V_FUT_U_CORC-02]],E$5, FALSE)</f>
        <v>#N/A</v>
      </c>
      <c r="F4767" s="22" t="e">
        <f>VLOOKUP($A4767,TAB_AMORTIZACAO_U[[Q_DIAS_U_PARC_TIR]:[V_FUT_U_PCPL-02]], F$5, FALSE)</f>
        <v>#N/A</v>
      </c>
      <c r="H4767" s="20">
        <f t="shared" si="377"/>
        <v>0</v>
      </c>
      <c r="I4767" s="21">
        <f t="shared" si="378"/>
        <v>0</v>
      </c>
      <c r="J4767" s="22" t="e">
        <f>VLOOKUP($A4767, TAB_JUROS_C[[DIAS_CORRIDOS]:[V_FUT_UTEIS]], J$5, FALSE)</f>
        <v>#N/A</v>
      </c>
      <c r="K4767" s="22" t="e">
        <f>VLOOKUP($A4767, TAB_CORRECAO_C[[DIAS_CORRIDOS]:[V_FUT_UTEIS]],K$5, FALSE)</f>
        <v>#N/A</v>
      </c>
      <c r="L4767" s="22" t="e">
        <f>VLOOKUP($A4767, TAB_AMORTIZACAO_C[[DIAS_CORRIDOS]:[V_FUT_UTEIS]], L$5, FALSE)</f>
        <v>#N/A</v>
      </c>
    </row>
    <row r="4768" spans="1:12" hidden="1">
      <c r="A4768" s="19">
        <f t="shared" si="379"/>
        <v>4762</v>
      </c>
      <c r="B4768" s="20">
        <f t="shared" si="375"/>
        <v>0</v>
      </c>
      <c r="C4768" s="21">
        <f t="shared" si="376"/>
        <v>0</v>
      </c>
      <c r="D4768" s="22" t="e">
        <f>VLOOKUP($A4768, TAB_JUROS_U[[Q_DIAS_U_PARC_TIR]:[V_FUT_U_JURS CENARIO]], D$5, FALSE)</f>
        <v>#N/A</v>
      </c>
      <c r="E4768" s="22" t="e">
        <f>VLOOKUP($A4768,TAB_CORRECAO_U[[Q_DIAS_U_PARC_TIR]:[V_FUT_U_CORC-02]],E$5, FALSE)</f>
        <v>#N/A</v>
      </c>
      <c r="F4768" s="22" t="e">
        <f>VLOOKUP($A4768,TAB_AMORTIZACAO_U[[Q_DIAS_U_PARC_TIR]:[V_FUT_U_PCPL-02]], F$5, FALSE)</f>
        <v>#N/A</v>
      </c>
      <c r="H4768" s="20">
        <f t="shared" si="377"/>
        <v>0</v>
      </c>
      <c r="I4768" s="21">
        <f t="shared" si="378"/>
        <v>0</v>
      </c>
      <c r="J4768" s="22" t="e">
        <f>VLOOKUP($A4768, TAB_JUROS_C[[DIAS_CORRIDOS]:[V_FUT_UTEIS]], J$5, FALSE)</f>
        <v>#N/A</v>
      </c>
      <c r="K4768" s="22" t="e">
        <f>VLOOKUP($A4768, TAB_CORRECAO_C[[DIAS_CORRIDOS]:[V_FUT_UTEIS]],K$5, FALSE)</f>
        <v>#N/A</v>
      </c>
      <c r="L4768" s="22" t="e">
        <f>VLOOKUP($A4768, TAB_AMORTIZACAO_C[[DIAS_CORRIDOS]:[V_FUT_UTEIS]], L$5, FALSE)</f>
        <v>#N/A</v>
      </c>
    </row>
  </sheetData>
  <autoFilter ref="A6:L4768">
    <filterColumn colId="1">
      <filters>
        <filter val="R$ 1.015,94"/>
        <filter val="R$ 1.032,15"/>
        <filter val="R$ 1.050,01"/>
        <filter val="R$ 1.054,11"/>
        <filter val="R$ 1.081,52"/>
        <filter val="R$ 1.110,58"/>
        <filter val="R$ 1.149,92"/>
        <filter val="R$ 1.159,13"/>
        <filter val="R$ 1.195,97"/>
        <filter val="R$ 1.222,96"/>
        <filter val="R$ 1.289,58"/>
        <filter val="R$ 1.313,72"/>
        <filter val="R$ 1.318,00"/>
        <filter val="R$ 1.322,39"/>
        <filter val="R$ 1.356,64"/>
        <filter val="R$ 1.391,51"/>
        <filter val="R$ 1.421,28"/>
        <filter val="R$ 1.427,30"/>
        <filter val="R$ 1.494,27"/>
        <filter val="R$ 1.530,99"/>
        <filter val="R$ 1.569,01"/>
        <filter val="R$ 1.604,85"/>
        <filter val="R$ 1.615,83"/>
        <filter val="R$ 1.649,94"/>
        <filter val="R$ 1.686,35"/>
        <filter val="R$ 1.701,01"/>
        <filter val="R$ 1.744,50"/>
        <filter val="R$ 1.790,70"/>
        <filter val="R$ 1.817,52"/>
        <filter val="R$ 1.918,87"/>
        <filter val="R$ 1.969,85"/>
        <filter val="R$ 1.971,92"/>
        <filter val="R$ 1.974,08"/>
        <filter val="R$ 101,26"/>
        <filter val="R$ 105,20"/>
        <filter val="R$ 109,52"/>
        <filter val="R$ 111,33"/>
        <filter val="R$ 115,85"/>
        <filter val="R$ 116,04"/>
        <filter val="R$ 119,68"/>
        <filter val="R$ 121,57"/>
        <filter val="R$ 125,63"/>
        <filter val="R$ 128,94"/>
        <filter val="R$ 135,52"/>
        <filter val="R$ 138,10"/>
        <filter val="R$ 141,46"/>
        <filter val="R$ 145,98"/>
        <filter val="R$ 152,71"/>
        <filter val="R$ 153,55"/>
        <filter val="R$ 158,91"/>
        <filter val="R$ 162,01"/>
        <filter val="R$ 167,76"/>
        <filter val="R$ 169,21"/>
        <filter val="R$ 172,97"/>
        <filter val="R$ 176,52"/>
        <filter val="R$ 185,71"/>
        <filter val="R$ 186,27"/>
        <filter val="R$ 193,53"/>
        <filter val="R$ 196,98"/>
        <filter val="R$ 2.050,19"/>
        <filter val="R$ 2.096,59"/>
        <filter val="R$ 2.139,39"/>
        <filter val="R$ 2.140,65"/>
        <filter val="R$ 2.144,91"/>
        <filter val="R$ 2.159,65"/>
        <filter val="R$ 2.168,19"/>
        <filter val="R$ 2.217,85"/>
        <filter val="R$ 2.249,17"/>
        <filter val="R$ 2.282,52"/>
        <filter val="R$ 200,15"/>
        <filter val="R$ 208,43"/>
        <filter val="R$ 216,35"/>
        <filter val="R$ 220,13"/>
        <filter val="R$ 225,70"/>
        <filter val="R$ 232,50"/>
        <filter val="R$ 233,05"/>
        <filter val="R$ 243,56"/>
        <filter val="R$ 251,28"/>
        <filter val="R$ 254,79"/>
        <filter val="R$ 262,43"/>
        <filter val="R$ 268,17"/>
        <filter val="R$ 273,97"/>
        <filter val="R$ 274,32"/>
        <filter val="R$ 285,32"/>
        <filter val="R$ 297,94"/>
        <filter val="R$ 303,46"/>
        <filter val="R$ 307,98"/>
        <filter val="R$ 312,06"/>
        <filter val="R$ 330,27"/>
        <filter val="R$ 331,69"/>
        <filter val="R$ 339,59"/>
        <filter val="R$ 340,30"/>
        <filter val="R$ 355,28"/>
        <filter val="R$ 359,10"/>
        <filter val="R$ 376,28"/>
        <filter val="R$ 381,43"/>
        <filter val="R$ 393,57"/>
        <filter val="R$ 395,85"/>
        <filter val="R$ 404,96"/>
        <filter val="R$ 419,35"/>
        <filter val="R$ 434,92"/>
        <filter val="R$ 438,73"/>
        <filter val="R$ 446,85"/>
        <filter val="R$ 453,71"/>
        <filter val="R$ 467,65"/>
        <filter val="R$ 477,99"/>
        <filter val="R$ 492,83"/>
        <filter val="R$ 494,04"/>
        <filter val="R$ 509,39"/>
        <filter val="R$ 517,18"/>
        <filter val="R$ 543,06"/>
        <filter val="R$ 552,56"/>
        <filter val="R$ 567,08"/>
        <filter val="R$ 582,54"/>
        <filter val="R$ 586,22"/>
        <filter val="R$ 601,55"/>
        <filter val="R$ 604,62"/>
        <filter val="R$ 610,52"/>
        <filter val="R$ 652,08"/>
        <filter val="R$ 658,87"/>
        <filter val="R$ 659,52"/>
        <filter val="R$ 674,33"/>
        <filter val="R$ 694,38"/>
        <filter val="R$ 721,68"/>
        <filter val="R$ 724,35"/>
        <filter val="R$ 746,42"/>
        <filter val="R$ 766,64"/>
        <filter val="R$ 774,37"/>
        <filter val="R$ 781,93"/>
        <filter val="R$ 787,56"/>
        <filter val="R$ 81,47"/>
        <filter val="R$ 84,47"/>
        <filter val="R$ 855,55"/>
        <filter val="R$ 859,68"/>
        <filter val="R$ 87,80"/>
        <filter val="R$ 879,14"/>
        <filter val="R$ 888,07"/>
        <filter val="R$ 91,12"/>
        <filter val="R$ 924,77"/>
        <filter val="R$ 94,65"/>
        <filter val="R$ 941,43"/>
        <filter val="R$ 956,46"/>
        <filter val="R$ 969,12"/>
        <filter val="R$ 98,29"/>
      </filters>
    </filterColumn>
  </autoFilter>
  <mergeCells count="2">
    <mergeCell ref="C1:D1"/>
    <mergeCell ref="I1: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617"/>
  <sheetViews>
    <sheetView showGridLines="0" tabSelected="1" zoomScaleNormal="100" workbookViewId="0">
      <pane xSplit="6" ySplit="24" topLeftCell="S25" activePane="bottomRight" state="frozenSplit"/>
      <selection sqref="A1:F24"/>
      <selection pane="topRight" activeCell="K13" sqref="K13"/>
      <selection pane="bottomLeft" activeCell="A25" sqref="A25"/>
      <selection pane="bottomRight" activeCell="C15" sqref="C15"/>
    </sheetView>
  </sheetViews>
  <sheetFormatPr defaultColWidth="9.5703125" defaultRowHeight="11.25"/>
  <cols>
    <col min="1" max="1" width="8.140625" style="24" bestFit="1" customWidth="1"/>
    <col min="2" max="2" width="17.42578125" style="24" bestFit="1" customWidth="1"/>
    <col min="3" max="3" width="28.5703125" style="24" bestFit="1" customWidth="1"/>
    <col min="4" max="4" width="9" style="24" bestFit="1" customWidth="1"/>
    <col min="5" max="5" width="14.140625" style="24" bestFit="1" customWidth="1"/>
    <col min="6" max="6" width="14" style="24" bestFit="1" customWidth="1"/>
    <col min="7" max="7" width="9.140625" style="24" bestFit="1" customWidth="1"/>
    <col min="8" max="8" width="12.7109375" style="24" bestFit="1" customWidth="1"/>
    <col min="9" max="9" width="12.85546875" style="24" bestFit="1" customWidth="1"/>
    <col min="10" max="11" width="14" style="24" bestFit="1" customWidth="1"/>
    <col min="12" max="12" width="16.85546875" style="24" bestFit="1" customWidth="1"/>
    <col min="13" max="13" width="19.7109375" style="24" bestFit="1" customWidth="1"/>
    <col min="14" max="14" width="16.140625" style="24" bestFit="1" customWidth="1"/>
    <col min="15" max="15" width="13.42578125" style="24" bestFit="1" customWidth="1"/>
    <col min="16" max="16" width="24" style="24" bestFit="1" customWidth="1"/>
    <col min="17" max="17" width="11.140625" style="24" bestFit="1" customWidth="1"/>
    <col min="18" max="18" width="29.140625" style="24" bestFit="1" customWidth="1"/>
    <col min="19" max="19" width="11.85546875" style="24" bestFit="1" customWidth="1"/>
    <col min="20" max="21" width="15.42578125" style="24" bestFit="1" customWidth="1"/>
    <col min="22" max="22" width="14" style="24" bestFit="1" customWidth="1"/>
    <col min="23" max="23" width="8.85546875" style="24" customWidth="1"/>
    <col min="24" max="24" width="13.5703125" style="24" bestFit="1" customWidth="1"/>
    <col min="25" max="25" width="29" style="24" bestFit="1" customWidth="1"/>
    <col min="26" max="26" width="11.7109375" style="24" bestFit="1" customWidth="1"/>
    <col min="27" max="27" width="13" style="24" bestFit="1" customWidth="1"/>
    <col min="28" max="28" width="13.28515625" style="24" bestFit="1" customWidth="1"/>
    <col min="29" max="29" width="13" style="24" bestFit="1" customWidth="1"/>
    <col min="30" max="31" width="14.85546875" style="24" bestFit="1" customWidth="1"/>
    <col min="32" max="32" width="14" style="24" bestFit="1" customWidth="1"/>
    <col min="33" max="33" width="13.28515625" style="24" bestFit="1" customWidth="1"/>
    <col min="34" max="34" width="13" style="24" bestFit="1" customWidth="1"/>
    <col min="35" max="35" width="13.42578125" style="24" bestFit="1" customWidth="1"/>
    <col min="36" max="36" width="13.140625" style="24" bestFit="1" customWidth="1"/>
    <col min="37" max="41" width="10.28515625" style="24" bestFit="1" customWidth="1"/>
    <col min="42" max="42" width="4.28515625" style="24" bestFit="1" customWidth="1"/>
    <col min="43" max="43" width="16.7109375" style="24" bestFit="1" customWidth="1"/>
    <col min="44" max="44" width="9.5703125" style="24" bestFit="1" customWidth="1"/>
    <col min="45" max="45" width="16.7109375" style="24" bestFit="1" customWidth="1"/>
    <col min="46" max="46" width="11" style="24" bestFit="1" customWidth="1"/>
    <col min="47" max="47" width="11.7109375" style="24" bestFit="1" customWidth="1"/>
    <col min="48" max="48" width="15.28515625" style="24" bestFit="1" customWidth="1"/>
    <col min="49" max="49" width="12.7109375" style="24" bestFit="1" customWidth="1"/>
    <col min="50" max="50" width="12.85546875" style="24" bestFit="1" customWidth="1"/>
    <col min="51" max="51" width="13.140625" style="24" bestFit="1" customWidth="1"/>
    <col min="52" max="52" width="9.85546875" style="24" bestFit="1" customWidth="1"/>
    <col min="53" max="16384" width="9.5703125" style="24"/>
  </cols>
  <sheetData>
    <row r="2" spans="2:21">
      <c r="B2" s="23" t="s">
        <v>121</v>
      </c>
      <c r="C2" s="23" t="s">
        <v>121</v>
      </c>
    </row>
    <row r="3" spans="2:21" ht="12" thickBot="1">
      <c r="B3" s="25" t="s">
        <v>116</v>
      </c>
      <c r="C3" s="26" t="str">
        <f>CAD_TITULO[ATV_CODIGO]</f>
        <v xml:space="preserve">CRI            </v>
      </c>
      <c r="E3" s="51" t="s">
        <v>149</v>
      </c>
      <c r="F3" s="209"/>
      <c r="G3" s="225"/>
      <c r="H3" s="51" t="s">
        <v>264</v>
      </c>
    </row>
    <row r="4" spans="2:21" ht="12" thickBot="1">
      <c r="B4" s="25" t="s">
        <v>109</v>
      </c>
      <c r="C4" s="26" t="str">
        <f>CAD_REPACTUACAO[IDX_CODIGO]</f>
        <v xml:space="preserve">CDI            </v>
      </c>
      <c r="E4" s="66" t="s">
        <v>143</v>
      </c>
      <c r="F4" s="90">
        <f>IF(C16=C14, TIR_U_CALC, "Cálculo # Compra")</f>
        <v>2.5002725930499237</v>
      </c>
      <c r="G4" s="27"/>
      <c r="H4" s="30" t="s">
        <v>123</v>
      </c>
      <c r="I4" s="53" t="s">
        <v>135</v>
      </c>
      <c r="J4" s="31" t="s">
        <v>134</v>
      </c>
      <c r="K4" s="32" t="s">
        <v>124</v>
      </c>
    </row>
    <row r="5" spans="2:21">
      <c r="B5" s="25" t="s">
        <v>110</v>
      </c>
      <c r="C5" s="28" t="str">
        <f>TRIM(CAD_TITULO[CD_INTM_FINC])</f>
        <v>15L0676664</v>
      </c>
      <c r="D5" s="207" t="s">
        <v>53</v>
      </c>
      <c r="E5" s="67" t="s">
        <v>145</v>
      </c>
      <c r="F5" s="91">
        <f>IF(C16=C14, TIR_C_CALC, "Cálculo # Compra")</f>
        <v>2.4642232978208556</v>
      </c>
      <c r="H5" s="54" t="s">
        <v>105</v>
      </c>
      <c r="I5" s="55">
        <f>SUM(TAB_JUROS_U[V_PRS_U_JURS])</f>
        <v>7616.8781929212282</v>
      </c>
      <c r="J5" s="56">
        <f>SUM(TAB_JUROS_C[V_PRS_UTEIS])</f>
        <v>7617.1915074504286</v>
      </c>
      <c r="K5" s="55" t="e">
        <f>VLOOKUP($C$21,TAB_JUROS_U[[dt_eve_u]:[V_PRS_U_JURS]],MATCH(TAB_JUROS_U[[#Headers],[V_PRS_U_JURS]],TAB_JUROS_U[[#Headers],[dt_eve_u]:[V_PRS_U_JURS]],0))</f>
        <v>#N/A</v>
      </c>
    </row>
    <row r="6" spans="2:21">
      <c r="B6" s="25" t="s">
        <v>117</v>
      </c>
      <c r="C6" s="29">
        <f>CAD_REPACTUACAO[DT_INIC_RPAC]</f>
        <v>42354</v>
      </c>
      <c r="D6" s="201" t="s">
        <v>1702</v>
      </c>
      <c r="E6" s="66" t="s">
        <v>142</v>
      </c>
      <c r="F6" s="122">
        <f>I8</f>
        <v>100436.91000007863</v>
      </c>
      <c r="G6" s="137"/>
      <c r="H6" s="57" t="s">
        <v>106</v>
      </c>
      <c r="I6" s="58">
        <f>SUM(TAB_CORRECAO_U[V_PRS_U_CORC])</f>
        <v>46505.733145148253</v>
      </c>
      <c r="J6" s="59">
        <f>SUM(TAB_CORRECAO_C[V_PRS_UTEIS])</f>
        <v>46507.552744699467</v>
      </c>
      <c r="K6" s="58" t="e">
        <f>VLOOKUP($C$21,TAB_JUROS_U[[dt_eve_u]:[V_PRS_U_JURS]],MATCH(TAB_JUROS_U[[#Headers],[V_PRS_U_JURS]],TAB_JUROS_U[[#Headers],[dt_eve_u]:[V_PRS_U_JURS]],0))</f>
        <v>#N/A</v>
      </c>
      <c r="U6" s="44"/>
    </row>
    <row r="7" spans="2:21" ht="12" thickBot="1">
      <c r="B7" s="25" t="s">
        <v>118</v>
      </c>
      <c r="C7" s="29">
        <f>CAD_REPACTUACAO[RF_BASE_CALC]</f>
        <v>42348</v>
      </c>
      <c r="D7" s="201" t="s">
        <v>1703</v>
      </c>
      <c r="E7" s="68" t="s">
        <v>144</v>
      </c>
      <c r="F7" s="130">
        <f>J8</f>
        <v>100436.91000000312</v>
      </c>
      <c r="G7" s="137"/>
      <c r="H7" s="60" t="s">
        <v>107</v>
      </c>
      <c r="I7" s="61">
        <f>SUM(TAB_AMORTIZACAO_U[V_PRS_U_PCPL])</f>
        <v>46314.298662009147</v>
      </c>
      <c r="J7" s="62">
        <f>SUM(TAB_AMORTIZACAO_C[V_PRS_UTEIS])</f>
        <v>46312.165747853222</v>
      </c>
      <c r="K7" s="61" t="e">
        <f>VLOOKUP($C$21,TAB_JUROS_U[[dt_eve_u]:[V_PRS_U_JURS]],MATCH(TAB_JUROS_U[[#Headers],[V_PRS_U_JURS]],TAB_JUROS_U[[#Headers],[dt_eve_u]:[V_PRS_U_JURS]],0))</f>
        <v>#N/A</v>
      </c>
      <c r="U7" s="44"/>
    </row>
    <row r="8" spans="2:21" ht="12" thickBot="1">
      <c r="B8" s="25" t="s">
        <v>119</v>
      </c>
      <c r="C8" s="33">
        <f>CAD_TITULO[ATV_LOTE]</f>
        <v>100000</v>
      </c>
      <c r="H8" s="30" t="s">
        <v>104</v>
      </c>
      <c r="I8" s="35">
        <f>IF(ISERROR(I6), 0, I6) + IF(ISERROR(I5), 0, I5) + IF(ISERROR(I7), 0, I7)</f>
        <v>100436.91000007863</v>
      </c>
      <c r="J8" s="35">
        <f>IF(ISERROR(J6), 0, J6) + IF(ISERROR(J5), 0, J5) + IF(ISERROR(J7), 0, J7)</f>
        <v>100436.91000000312</v>
      </c>
      <c r="K8" s="35">
        <f>IF(ISERROR(K6), 0, K6) + IF(ISERROR(K5), 0, K5) + IF(ISERROR(K7), 0, K7)</f>
        <v>0</v>
      </c>
    </row>
    <row r="9" spans="2:21">
      <c r="B9" s="25" t="s">
        <v>111</v>
      </c>
      <c r="C9" s="33">
        <f>CAD_REPACTUACAO[V_TXA_RPAC]</f>
        <v>2.5</v>
      </c>
      <c r="E9" s="51" t="s">
        <v>148</v>
      </c>
      <c r="F9" s="69"/>
    </row>
    <row r="10" spans="2:21">
      <c r="B10" s="25" t="s">
        <v>112</v>
      </c>
      <c r="C10" s="33">
        <f>CAD_REPACTUACAO[IDX_PC]</f>
        <v>100</v>
      </c>
      <c r="E10" s="70" t="s">
        <v>146</v>
      </c>
      <c r="F10" s="86">
        <f>VLOOKUP($C$13, TAB_TESTES[], 5, FALSE)</f>
        <v>2.500272593</v>
      </c>
      <c r="H10" s="92" t="s">
        <v>233</v>
      </c>
      <c r="I10" s="92" t="s">
        <v>235</v>
      </c>
      <c r="J10" s="92" t="s">
        <v>234</v>
      </c>
      <c r="N10" s="201"/>
    </row>
    <row r="11" spans="2:21">
      <c r="C11" s="36"/>
      <c r="E11" s="71" t="s">
        <v>147</v>
      </c>
      <c r="F11" s="87">
        <f>VLOOKUP($C$13, TAB_TESTES[], 6, FALSE)</f>
        <v>2.452418625</v>
      </c>
      <c r="G11" s="37"/>
      <c r="H11" s="93">
        <v>1</v>
      </c>
      <c r="I11" s="93">
        <f>+H11*I8</f>
        <v>100436.91000007863</v>
      </c>
      <c r="J11" s="93">
        <f>+H11*J8</f>
        <v>100436.91000000312</v>
      </c>
    </row>
    <row r="12" spans="2:21">
      <c r="B12" s="23" t="s">
        <v>120</v>
      </c>
      <c r="C12" s="23" t="s">
        <v>120</v>
      </c>
      <c r="E12" s="70" t="s">
        <v>126</v>
      </c>
      <c r="F12" s="88">
        <f>VLOOKUP($C$13, TAB_TESTES[], 7, FALSE)</f>
        <v>100436.91</v>
      </c>
      <c r="J12" s="48"/>
    </row>
    <row r="13" spans="2:21">
      <c r="B13" s="134" t="s">
        <v>261</v>
      </c>
      <c r="C13" s="136">
        <v>1</v>
      </c>
      <c r="E13" s="71" t="s">
        <v>127</v>
      </c>
      <c r="F13" s="89">
        <f>VLOOKUP($C$13, TAB_TESTES[], 8, FALSE)</f>
        <v>100686.49</v>
      </c>
      <c r="G13" s="37"/>
      <c r="I13" s="77"/>
      <c r="J13" s="48"/>
    </row>
    <row r="14" spans="2:21" ht="12" thickBot="1">
      <c r="B14" s="38" t="s">
        <v>113</v>
      </c>
      <c r="C14" s="39">
        <f>VLOOKUP($C$13, TAB_TESTES[#Data], 2, FALSE)</f>
        <v>42366</v>
      </c>
      <c r="G14" s="41"/>
      <c r="H14" s="51" t="s">
        <v>263</v>
      </c>
      <c r="K14" s="44"/>
    </row>
    <row r="15" spans="2:21" ht="12" thickBot="1">
      <c r="B15" s="38" t="s">
        <v>114</v>
      </c>
      <c r="C15" s="40">
        <f>VLOOKUP($C$13, TAB_TESTES[], 3, FALSE)</f>
        <v>100436.91</v>
      </c>
      <c r="E15" s="51" t="s">
        <v>150</v>
      </c>
      <c r="F15" s="51"/>
      <c r="H15" s="30" t="s">
        <v>123</v>
      </c>
      <c r="I15" s="53" t="s">
        <v>253</v>
      </c>
      <c r="J15" s="31" t="s">
        <v>254</v>
      </c>
    </row>
    <row r="16" spans="2:21">
      <c r="B16" s="42" t="s">
        <v>115</v>
      </c>
      <c r="C16" s="43">
        <f>VLOOKUP($C$13, TAB_TESTES[], 4, FALSE)</f>
        <v>42366</v>
      </c>
      <c r="E16" s="70" t="s">
        <v>146</v>
      </c>
      <c r="F16" s="109">
        <f>ROUND(F10-F4, 8)</f>
        <v>0</v>
      </c>
      <c r="H16" s="54" t="s">
        <v>105</v>
      </c>
      <c r="I16" s="55">
        <f>SUM(TAB_JUROS_U[V_FUT_U_JURS CENARIO])</f>
        <v>8146.6503768210187</v>
      </c>
      <c r="J16" s="56">
        <f>SUM(TAB_JUROS_C[V_FUT_C_JURS])</f>
        <v>13210.567808676278</v>
      </c>
      <c r="U16" s="24" t="s">
        <v>82</v>
      </c>
    </row>
    <row r="17" spans="1:39" ht="15">
      <c r="B17" s="38" t="s">
        <v>87</v>
      </c>
      <c r="C17" s="131">
        <f>IF(C14=DT_CALCULO_C, F4, VLOOKUP($C$13, TAB_TESTES[], 5, FALSE))</f>
        <v>2.5002725930499237</v>
      </c>
      <c r="E17" s="71" t="s">
        <v>147</v>
      </c>
      <c r="F17" s="110">
        <f t="shared" ref="F17:F19" si="0">ROUND(F11-F5, 8)</f>
        <v>-1.180467E-2</v>
      </c>
      <c r="H17" s="57" t="s">
        <v>106</v>
      </c>
      <c r="I17" s="58">
        <f>SUM(TAB_CORRECAO_U[V_FUT_U_CORC-02])</f>
        <v>49757.888476762855</v>
      </c>
      <c r="J17" s="59">
        <f>SUM(TAB_CORRECAO_C[V_FUT_C_CORC])</f>
        <v>578.9739999999988</v>
      </c>
      <c r="M17" s="206"/>
      <c r="N17" s="200"/>
      <c r="U17" s="24" t="s">
        <v>83</v>
      </c>
    </row>
    <row r="18" spans="1:39" ht="12" thickBot="1">
      <c r="B18" s="38" t="s">
        <v>88</v>
      </c>
      <c r="C18" s="131">
        <f>IF(C14=DT_CALCULO_C, F5, VLOOKUP($C$13, TAB_TESTES[], 6, FALSE))</f>
        <v>2.4642232978208556</v>
      </c>
      <c r="E18" s="70" t="s">
        <v>126</v>
      </c>
      <c r="F18" s="111">
        <f t="shared" si="0"/>
        <v>-8.0000000000000002E-8</v>
      </c>
      <c r="H18" s="60" t="s">
        <v>107</v>
      </c>
      <c r="I18" s="61">
        <f>SUM(TAB_AMORTIZACAO_U[V_FUT_U_PCPL-02])</f>
        <v>50624.025390735864</v>
      </c>
      <c r="J18" s="62">
        <f>SUM(TAB_AMORTIZACAO_C[V_FUT_C_PCPL])</f>
        <v>99999.999999999956</v>
      </c>
      <c r="M18" s="206"/>
    </row>
    <row r="19" spans="1:39" ht="12" thickBot="1">
      <c r="E19" s="71" t="s">
        <v>127</v>
      </c>
      <c r="F19" s="112">
        <f t="shared" si="0"/>
        <v>249.58</v>
      </c>
      <c r="G19" s="37"/>
      <c r="H19" s="30" t="s">
        <v>104</v>
      </c>
      <c r="I19" s="35">
        <f>IF(ISERROR(I17), 0, I17) + IF(ISERROR(I16), 0, I16) + IF(ISERROR(I18), 0, I18)</f>
        <v>108528.56424431974</v>
      </c>
      <c r="J19" s="34">
        <f>IF(ISERROR(J17), 0, J17) + IF(ISERROR(J16), 0, J16) + IF(ISERROR(J18), 0, J18)</f>
        <v>113789.54180867624</v>
      </c>
      <c r="M19" s="120"/>
      <c r="U19" s="78"/>
    </row>
    <row r="20" spans="1:39">
      <c r="B20" s="23" t="s">
        <v>122</v>
      </c>
      <c r="C20" s="23" t="s">
        <v>122</v>
      </c>
      <c r="I20" s="48"/>
      <c r="M20" s="201"/>
      <c r="P20" s="118" t="s">
        <v>225</v>
      </c>
      <c r="R20" s="118" t="s">
        <v>225</v>
      </c>
    </row>
    <row r="21" spans="1:39">
      <c r="B21" s="38" t="s">
        <v>125</v>
      </c>
      <c r="C21" s="39">
        <f>WORKDAY(WORKDAY(C16, 1, TAB_FERIADOS[FER_DATA]), -1, TAB_FERIADOS[FER_DATA])</f>
        <v>42366</v>
      </c>
      <c r="P21" s="119" t="s">
        <v>224</v>
      </c>
      <c r="R21" s="119" t="s">
        <v>224</v>
      </c>
      <c r="AD21" s="129" t="s">
        <v>258</v>
      </c>
      <c r="AE21" s="129" t="s">
        <v>258</v>
      </c>
    </row>
    <row r="22" spans="1:39">
      <c r="C22" s="120"/>
      <c r="F22" s="44"/>
      <c r="T22" s="24" t="s">
        <v>941</v>
      </c>
    </row>
    <row r="23" spans="1:39" s="51" customFormat="1">
      <c r="A23" s="65" t="s">
        <v>131</v>
      </c>
      <c r="B23" s="65" t="s">
        <v>131</v>
      </c>
      <c r="C23" s="65" t="s">
        <v>131</v>
      </c>
      <c r="D23" s="65" t="s">
        <v>131</v>
      </c>
      <c r="E23" s="65" t="s">
        <v>131</v>
      </c>
      <c r="F23" s="65" t="s">
        <v>131</v>
      </c>
      <c r="G23" s="50" t="s">
        <v>132</v>
      </c>
      <c r="H23" s="50" t="s">
        <v>132</v>
      </c>
      <c r="I23" s="50" t="s">
        <v>132</v>
      </c>
      <c r="J23" s="50" t="s">
        <v>132</v>
      </c>
      <c r="K23" s="50" t="s">
        <v>132</v>
      </c>
      <c r="L23" s="50" t="s">
        <v>132</v>
      </c>
      <c r="M23" s="50" t="s">
        <v>132</v>
      </c>
      <c r="N23" s="50" t="s">
        <v>132</v>
      </c>
      <c r="O23" s="50" t="s">
        <v>132</v>
      </c>
      <c r="P23" s="50" t="s">
        <v>132</v>
      </c>
      <c r="Q23" s="50" t="s">
        <v>132</v>
      </c>
      <c r="R23" s="50" t="s">
        <v>132</v>
      </c>
      <c r="S23" s="50" t="s">
        <v>132</v>
      </c>
      <c r="T23" s="50" t="s">
        <v>132</v>
      </c>
      <c r="U23" s="50"/>
      <c r="V23" s="50"/>
      <c r="X23" s="52" t="s">
        <v>133</v>
      </c>
      <c r="Y23" s="52" t="s">
        <v>133</v>
      </c>
      <c r="Z23" s="52" t="s">
        <v>133</v>
      </c>
      <c r="AA23" s="52" t="s">
        <v>133</v>
      </c>
      <c r="AB23" s="52" t="s">
        <v>133</v>
      </c>
      <c r="AC23" s="52" t="s">
        <v>133</v>
      </c>
      <c r="AD23" s="52" t="s">
        <v>133</v>
      </c>
      <c r="AE23" s="52" t="s">
        <v>133</v>
      </c>
      <c r="AF23" s="24"/>
      <c r="AG23" s="24"/>
      <c r="AH23" s="24"/>
      <c r="AI23" s="24"/>
      <c r="AJ23" s="24"/>
      <c r="AK23" s="24"/>
      <c r="AL23" s="24"/>
      <c r="AM23" s="24"/>
    </row>
    <row r="24" spans="1:39">
      <c r="A24" s="81" t="s">
        <v>226</v>
      </c>
      <c r="B24" s="24" t="s">
        <v>76</v>
      </c>
      <c r="C24" s="24" t="s">
        <v>77</v>
      </c>
      <c r="D24" s="24" t="s">
        <v>78</v>
      </c>
      <c r="E24" s="24" t="s">
        <v>79</v>
      </c>
      <c r="F24" s="24" t="s">
        <v>80</v>
      </c>
      <c r="G24" s="45" t="s">
        <v>85</v>
      </c>
      <c r="H24" s="204" t="s">
        <v>223</v>
      </c>
      <c r="I24" s="24" t="s">
        <v>90</v>
      </c>
      <c r="J24" s="102" t="s">
        <v>240</v>
      </c>
      <c r="K24" s="24" t="s">
        <v>93</v>
      </c>
      <c r="L24" s="121" t="s">
        <v>256</v>
      </c>
      <c r="M24" s="24" t="s">
        <v>86</v>
      </c>
      <c r="N24" s="24" t="s">
        <v>89</v>
      </c>
      <c r="O24" s="24" t="s">
        <v>84</v>
      </c>
      <c r="P24" s="24" t="s">
        <v>99</v>
      </c>
      <c r="Q24" s="142" t="s">
        <v>92</v>
      </c>
      <c r="R24" s="24" t="s">
        <v>100</v>
      </c>
      <c r="S24" s="24" t="s">
        <v>91</v>
      </c>
      <c r="T24" s="142" t="s">
        <v>94</v>
      </c>
      <c r="U24" s="142" t="s">
        <v>826</v>
      </c>
      <c r="V24" s="142" t="s">
        <v>81</v>
      </c>
      <c r="X24" s="85" t="s">
        <v>138</v>
      </c>
      <c r="Y24" s="24" t="s">
        <v>100</v>
      </c>
      <c r="Z24" s="84" t="s">
        <v>232</v>
      </c>
      <c r="AA24" s="85" t="s">
        <v>136</v>
      </c>
      <c r="AB24" s="85" t="s">
        <v>137</v>
      </c>
      <c r="AC24" s="85" t="s">
        <v>128</v>
      </c>
      <c r="AD24" s="85" t="s">
        <v>255</v>
      </c>
      <c r="AE24" s="125" t="s">
        <v>257</v>
      </c>
    </row>
    <row r="25" spans="1:39">
      <c r="A25" s="82">
        <v>1</v>
      </c>
      <c r="B25" s="24">
        <f>VLOOKUP($A25, CAD_JUROS[#Data], MATCH(B$24, CAD_JUROS[#Headers],0), FALSE)</f>
        <v>2</v>
      </c>
      <c r="C25" s="24" t="str">
        <f>VLOOKUP($A25, CAD_JUROS[#Data], MATCH(C$24, CAD_JUROS[#Headers],0), FALSE)</f>
        <v xml:space="preserve">JUROS SOBRE PRINCIPAL                             </v>
      </c>
      <c r="D25" s="36">
        <f>VLOOKUP($A25, CAD_JUROS[#Data], MATCH(D$24, CAD_JUROS[#Headers],0), FALSE)</f>
        <v>42380</v>
      </c>
      <c r="E25" s="48">
        <f>VLOOKUP($A25, CAD_JUROS[#Data], MATCH(E$24, CAD_JUROS[#Headers],0), FALSE)</f>
        <v>0</v>
      </c>
      <c r="F25" s="36">
        <f>VLOOKUP($A25, CAD_JUROS[#Data], MATCH(F$24, CAD_JUROS[#Headers],0), FALSE)</f>
        <v>42384</v>
      </c>
      <c r="G25" s="47">
        <f>WORKDAY(WORKDAY(TAB_JUROS_U[[#This Row],[DT_EVE]], -1, TAB_FERIADOS[FER_DATA]), 1, TAB_FERIADOS[FER_DATA])</f>
        <v>42380</v>
      </c>
      <c r="H25" s="75">
        <f>WORKDAY(WORKDAY(TAB_JUROS_U[[#This Row],[DT_LQDC_EVE]], -1, TAB_FERIADOS[FER_DATA]), 1, TAB_FERIADOS[FER_DATA])</f>
        <v>42384</v>
      </c>
      <c r="I25" s="48">
        <f>PU_EMISSAO - SUMIF(TAB_AMORTIZACAO_U[DT_EVE], "&lt;" &amp; TAB_JUROS_U[[#This Row],[DT_EVE]], TAB_AMORTIZACAO_U[V_PU_AMTC])</f>
        <v>100000</v>
      </c>
      <c r="J25" s="48">
        <f>IFERROR(VLOOKUP(TAB_JUROS_U[[#This Row],[DT_EVE]], TAB_AMORTIZACAO_U[[DT_EVE]:[V_PU_AMTC]], 2, FALSE), 0)</f>
        <v>1007.6</v>
      </c>
      <c r="K25" s="48">
        <f>NETWORKDAYS(DT_CALCULO_U, TAB_JUROS_U[[#This Row],[dt_eve_u]], TAB_FERIADOS[FER_DATA]) -1</f>
        <v>9</v>
      </c>
      <c r="L25" s="48">
        <f>NETWORKDAYS(DT_CALCULO_U, TAB_JUROS_U[[#This Row],[dt_lqdc_eve_u]], TAB_FERIADOS[FER_DATA]) -1</f>
        <v>13</v>
      </c>
      <c r="M25" s="48">
        <f>NETWORKDAYS(IF(ISTEXT(H24), DT_B_JURS, H24), TAB_JUROS_U[[#This Row],[dt_lqdc_eve_u]],  TAB_FERIADOS[FER_DATA]) -1</f>
        <v>20</v>
      </c>
      <c r="N25" s="123">
        <f>(TX_EMISSAO/100 +1)^(TAB_JUROS_U[[#This Row],[dias_periodo_u]]/252)</f>
        <v>1.0019616526860928</v>
      </c>
      <c r="O25" s="78">
        <f>(TIR_U/100 +1)^(TAB_JUROS_U[[#This Row],[Q_DIAS_U_PARC_TIR]]/252)</f>
        <v>1.0012747742809247</v>
      </c>
      <c r="P25" s="116" t="str">
        <f>"TX_CENARIO" &amp; TEXT(DT_CALCULO_C, "-AAAAMMDD") &amp; TEXT(TAB_JUROS_U[[#This Row],[DT_EVE]], "-AAAAMMDD")</f>
        <v>TX_CENARIO-20151228-20160111</v>
      </c>
      <c r="Q25" s="44">
        <f>IFERROR(VLOOKUP(TAB_JUROS_U[[#This Row],[Chave-CENARIO]],CENARIO[],2,FALSE), 0)</f>
        <v>14.271121239999999</v>
      </c>
      <c r="R25" s="116" t="str">
        <f>"CORRECAO_JURS_U" &amp; TEXT(DT_CALCULO_C, "-AAAAMMDD") &amp; TEXT(TAB_JUROS_U[[#This Row],[DT_EVE]], "-AAAAMMDD")</f>
        <v>CORRECAO_JURS_U-20151228-20160111</v>
      </c>
      <c r="S25" s="44">
        <f>IFERROR(VLOOKUP(TAB_JUROS_U[[#This Row],[Chave-CORC]],CORRECAO_JURS_U[],2, FALSE), 0)</f>
        <v>1.01058859</v>
      </c>
      <c r="T25" s="78">
        <f>MAX(0, (TAB_JUROS_U[[#This Row],[CUPOM_TIR]] -1) * IF(TAB_JUROS_U[[#This Row],[ID_T_EVE]]=1, TAB_JUROS_U[[#This Row],[PU_AMORT]], TAB_JUROS_U[[#This Row],[V_NOML_PCPL]]) * TAB_JUROS_U[[#This Row],[CORRECAO_U]])</f>
        <v>198.24238221082655</v>
      </c>
      <c r="U25" s="78">
        <f>MAX(0, TAB_JUROS_U[[#This Row],[V_FUT_U_JURS-01]]/((((TAB_JUROS_U[[#This Row],[TX_CENARIO]]/100 +1)^(1/252) -1) * PC_IDXR/100 +1)^TAB_JUROS_U[[#This Row],[Q_DIAS_U_PARC_TIR]]))</f>
        <v>196.88277442581261</v>
      </c>
      <c r="V25" s="78">
        <f>+TAB_JUROS_U[[#This Row],[V_FUT_U_JURS CENARIO]]/TAB_JUROS_U[[#This Row],[VAR_DESCAP_U]]</f>
        <v>196.63211286552774</v>
      </c>
      <c r="W25" s="78"/>
      <c r="X25" s="64">
        <f>TAB_JUROS_U[[#This Row],[dt_eve_u]]- DT_CALCULO_C</f>
        <v>14</v>
      </c>
      <c r="Y25" s="48" t="str">
        <f>"CORRECAO_JURS_C" &amp; TEXT(DT_CALCULO_C, "-AAAAMMDD") &amp; TEXT(TAB_JUROS_U[[#This Row],[DT_EVE]], "-AAAAMMDD")</f>
        <v>CORRECAO_JURS_C-20151228-20160111</v>
      </c>
      <c r="Z25" s="44">
        <f>IFERROR(VLOOKUP(TAB_JUROS_C[[#This Row],[Chave-CORC]],CORRECAO_JURS_C[],2, FALSE), 0)</f>
        <v>1</v>
      </c>
      <c r="AA2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196.16526860928298</v>
      </c>
      <c r="AB25" s="63">
        <f>(TIR_C/100 +1)^(TAB_JUROS_C[[#This Row],[DIAS_CORRIDOS]]/360)</f>
        <v>1.0009471403357881</v>
      </c>
      <c r="AC25" s="78">
        <f>IF(TAB_JUROS_C[[#This Row],[DIAS_CORRIDOS]]&lt;0, 0, TAB_JUROS_C[[#This Row],[V_FUT_C_JURS]]/TAB_JUROS_C[[#This Row],[VAR_DESCAP_C]])</f>
        <v>195.97964837930937</v>
      </c>
      <c r="AD25" s="78">
        <f>TAB_JUROS_U[[#This Row],[V_FUT_U_JURS CENARIO]]</f>
        <v>196.88277442581261</v>
      </c>
      <c r="AE25" s="124">
        <f>IF(TAB_JUROS_C[[#This Row],[DIAS_CORRIDOS]]&lt;0, 0, TAB_JUROS_C[[#This Row],[V_FUT_UTEIS]]/TAB_JUROS_C[[#This Row],[VAR_DESCAP_C]])</f>
        <v>196.69647526018633</v>
      </c>
    </row>
    <row r="26" spans="1:39">
      <c r="A26" s="82">
        <f>+A25+1</f>
        <v>2</v>
      </c>
      <c r="B26" s="24">
        <f>VLOOKUP($A26, CAD_JUROS[#Data], MATCH(B$24, CAD_JUROS[#Headers],0), FALSE)</f>
        <v>2</v>
      </c>
      <c r="C26" s="24" t="str">
        <f>VLOOKUP($A26, CAD_JUROS[#Data], MATCH(C$24, CAD_JUROS[#Headers],0), FALSE)</f>
        <v xml:space="preserve">JUROS SOBRE PRINCIPAL                             </v>
      </c>
      <c r="D26" s="36">
        <f>VLOOKUP($A26, CAD_JUROS[#Data], MATCH(D$24, CAD_JUROS[#Headers],0), FALSE)</f>
        <v>42410</v>
      </c>
      <c r="E26" s="48">
        <f>VLOOKUP($A26, CAD_JUROS[#Data], MATCH(E$24, CAD_JUROS[#Headers],0), FALSE)</f>
        <v>0</v>
      </c>
      <c r="F26" s="36">
        <f>VLOOKUP($A26, CAD_JUROS[#Data], MATCH(F$24, CAD_JUROS[#Headers],0), FALSE)</f>
        <v>42416</v>
      </c>
      <c r="G26" s="47">
        <f>WORKDAY(WORKDAY(TAB_JUROS_U[[#This Row],[DT_EVE]], -1, TAB_FERIADOS[FER_DATA]), 1, TAB_FERIADOS[FER_DATA])</f>
        <v>42410</v>
      </c>
      <c r="H26" s="75">
        <f>WORKDAY(WORKDAY(TAB_JUROS_U[[#This Row],[DT_LQDC_EVE]], -1, TAB_FERIADOS[FER_DATA]), 1, TAB_FERIADOS[FER_DATA])</f>
        <v>42416</v>
      </c>
      <c r="I26" s="48">
        <f>PU_EMISSAO - SUMIF(TAB_AMORTIZACAO_U[DT_EVE], "&lt;" &amp; TAB_JUROS_U[[#This Row],[DT_EVE]], TAB_AMORTIZACAO_U[V_PU_AMTC])</f>
        <v>98992.4</v>
      </c>
      <c r="J26" s="48">
        <f>IFERROR(VLOOKUP(TAB_JUROS_U[[#This Row],[DT_EVE]], TAB_AMORTIZACAO_U[[DT_EVE]:[V_PU_AMTC]], 2, FALSE), 0)</f>
        <v>996.75447499999996</v>
      </c>
      <c r="K26" s="48">
        <f>NETWORKDAYS(DT_CALCULO_U, TAB_JUROS_U[[#This Row],[dt_eve_u]], TAB_FERIADOS[FER_DATA]) -1</f>
        <v>29</v>
      </c>
      <c r="L26" s="48">
        <f>NETWORKDAYS(DT_CALCULO_U, TAB_JUROS_U[[#This Row],[dt_lqdc_eve_u]], TAB_FERIADOS[FER_DATA]) -1</f>
        <v>33</v>
      </c>
      <c r="M26" s="48">
        <f>NETWORKDAYS(IF(ISTEXT(H25), DT_B_JURS, H25), TAB_JUROS_U[[#This Row],[dt_lqdc_eve_u]],  TAB_FERIADOS[FER_DATA]) -1</f>
        <v>20</v>
      </c>
      <c r="N26" s="123">
        <f>(TX_EMISSAO/100 +1)^(TAB_JUROS_U[[#This Row],[dias_periodo_u]]/252)</f>
        <v>1.0019616526860928</v>
      </c>
      <c r="O26" s="78">
        <f>(TIR_U/100 +1)^(TAB_JUROS_U[[#This Row],[Q_DIAS_U_PARC_TIR]]/252)</f>
        <v>1.0032391393817965</v>
      </c>
      <c r="P26" s="116" t="str">
        <f>"TX_CENARIO" &amp; TEXT(DT_CALCULO_C, "-AAAAMMDD") &amp; TEXT(TAB_JUROS_U[[#This Row],[DT_EVE]], "-AAAAMMDD")</f>
        <v>TX_CENARIO-20151228-20160210</v>
      </c>
      <c r="Q26" s="44">
        <f>IFERROR(VLOOKUP(TAB_JUROS_U[[#This Row],[Chave-CENARIO]],CENARIO[],2,FALSE), 0)</f>
        <v>14.408799999999999</v>
      </c>
      <c r="R26" s="116" t="str">
        <f>"CORRECAO_JURS_U" &amp; TEXT(DT_CALCULO_C, "-AAAAMMDD") &amp; TEXT(TAB_JUROS_U[[#This Row],[DT_EVE]], "-AAAAMMDD")</f>
        <v>CORRECAO_JURS_U-20151228-20160210</v>
      </c>
      <c r="S26" s="44">
        <f>IFERROR(VLOOKUP(TAB_JUROS_U[[#This Row],[Chave-CORC]],CORRECAO_JURS_U[],2, FALSE), 0)</f>
        <v>1.0107509699999999</v>
      </c>
      <c r="T26" s="78">
        <f>MAX(0, (TAB_JUROS_U[[#This Row],[CUPOM_TIR]] -1) * IF(TAB_JUROS_U[[#This Row],[ID_T_EVE]]=1, TAB_JUROS_U[[#This Row],[PU_AMORT]], TAB_JUROS_U[[#This Row],[V_NOML_PCPL]]) * TAB_JUROS_U[[#This Row],[CORRECAO_U]])</f>
        <v>196.27642432997177</v>
      </c>
      <c r="U26" s="78">
        <f>MAX(0, TAB_JUROS_U[[#This Row],[V_FUT_U_JURS-01]]/((((TAB_JUROS_U[[#This Row],[TX_CENARIO]]/100 +1)^(1/252) -1) * PC_IDXR/100 +1)^TAB_JUROS_U[[#This Row],[Q_DIAS_U_PARC_TIR]]))</f>
        <v>192.84693285980023</v>
      </c>
      <c r="V26" s="78">
        <f>+TAB_JUROS_U[[#This Row],[V_FUT_U_JURS CENARIO]]/TAB_JUROS_U[[#This Row],[VAR_DESCAP_U]]</f>
        <v>192.22429158678355</v>
      </c>
      <c r="W26" s="78"/>
      <c r="X26" s="64">
        <f>TAB_JUROS_U[[#This Row],[dt_eve_u]]- DT_CALCULO_C</f>
        <v>44</v>
      </c>
      <c r="Y26" s="48" t="str">
        <f>"CORRECAO_JURS_C" &amp; TEXT(DT_CALCULO_C, "-AAAAMMDD") &amp; TEXT(TAB_JUROS_U[[#This Row],[DT_EVE]], "-AAAAMMDD")</f>
        <v>CORRECAO_JURS_C-20151228-20160210</v>
      </c>
      <c r="Z26" s="44">
        <f>IFERROR(VLOOKUP(TAB_JUROS_C[[#This Row],[Chave-CORC]],CORRECAO_JURS_C[],2, FALSE), 0)</f>
        <v>1</v>
      </c>
      <c r="AA2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194.1887073627758</v>
      </c>
      <c r="AB26" s="63">
        <f>(TIR_C/100 +1)^(TAB_JUROS_C[[#This Row],[DIAS_CORRIDOS]]/360)</f>
        <v>1.0029797486217285</v>
      </c>
      <c r="AC26" s="78">
        <f>IF(TAB_JUROS_C[[#This Row],[DIAS_CORRIDOS]]&lt;0, 0, TAB_JUROS_C[[#This Row],[V_FUT_C_JURS]]/TAB_JUROS_C[[#This Row],[VAR_DESCAP_C]])</f>
        <v>193.61179288976217</v>
      </c>
      <c r="AD26" s="78">
        <f>TAB_JUROS_U[[#This Row],[V_FUT_U_JURS CENARIO]]</f>
        <v>192.84693285980023</v>
      </c>
      <c r="AE26" s="124">
        <f>IF(TAB_JUROS_C[[#This Row],[DIAS_CORRIDOS]]&lt;0, 0, TAB_JUROS_C[[#This Row],[V_FUT_UTEIS]]/TAB_JUROS_C[[#This Row],[VAR_DESCAP_C]])</f>
        <v>192.2740046594221</v>
      </c>
    </row>
    <row r="27" spans="1:39">
      <c r="A27" s="82">
        <f t="shared" ref="A27:A90" si="1">+A26+1</f>
        <v>3</v>
      </c>
      <c r="B27" s="24">
        <f>VLOOKUP($A27, CAD_JUROS[#Data], MATCH(B$24, CAD_JUROS[#Headers],0), FALSE)</f>
        <v>2</v>
      </c>
      <c r="C27" s="24" t="str">
        <f>VLOOKUP($A27, CAD_JUROS[#Data], MATCH(C$24, CAD_JUROS[#Headers],0), FALSE)</f>
        <v xml:space="preserve">JUROS SOBRE PRINCIPAL                             </v>
      </c>
      <c r="D27" s="36">
        <f>VLOOKUP($A27, CAD_JUROS[#Data], MATCH(D$24, CAD_JUROS[#Headers],0), FALSE)</f>
        <v>42437</v>
      </c>
      <c r="E27" s="48">
        <f>VLOOKUP($A27, CAD_JUROS[#Data], MATCH(E$24, CAD_JUROS[#Headers],0), FALSE)</f>
        <v>0</v>
      </c>
      <c r="F27" s="36">
        <f>VLOOKUP($A27, CAD_JUROS[#Data], MATCH(F$24, CAD_JUROS[#Headers],0), FALSE)</f>
        <v>42443</v>
      </c>
      <c r="G27" s="47">
        <f>WORKDAY(WORKDAY(TAB_JUROS_U[[#This Row],[DT_EVE]], -1, TAB_FERIADOS[FER_DATA]), 1, TAB_FERIADOS[FER_DATA])</f>
        <v>42437</v>
      </c>
      <c r="H27" s="75">
        <f>WORKDAY(WORKDAY(TAB_JUROS_U[[#This Row],[DT_LQDC_EVE]], -1, TAB_FERIADOS[FER_DATA]), 1, TAB_FERIADOS[FER_DATA])</f>
        <v>42443</v>
      </c>
      <c r="I27" s="48">
        <f>PU_EMISSAO - SUMIF(TAB_AMORTIZACAO_U[DT_EVE], "&lt;" &amp; TAB_JUROS_U[[#This Row],[DT_EVE]], TAB_AMORTIZACAO_U[V_PU_AMTC])</f>
        <v>97995.645525</v>
      </c>
      <c r="J27" s="48">
        <f>IFERROR(VLOOKUP(TAB_JUROS_U[[#This Row],[DT_EVE]], TAB_AMORTIZACAO_U[[DT_EVE]:[V_PU_AMTC]], 2, FALSE), 0)</f>
        <v>996.02774099999999</v>
      </c>
      <c r="K27" s="48">
        <f>NETWORKDAYS(DT_CALCULO_U, TAB_JUROS_U[[#This Row],[dt_eve_u]], TAB_FERIADOS[FER_DATA]) -1</f>
        <v>48</v>
      </c>
      <c r="L27" s="48">
        <f>NETWORKDAYS(DT_CALCULO_U, TAB_JUROS_U[[#This Row],[dt_lqdc_eve_u]], TAB_FERIADOS[FER_DATA]) -1</f>
        <v>52</v>
      </c>
      <c r="M27" s="48">
        <f>NETWORKDAYS(IF(ISTEXT(H26), DT_B_JURS, H26), TAB_JUROS_U[[#This Row],[dt_lqdc_eve_u]],  TAB_FERIADOS[FER_DATA]) -1</f>
        <v>19</v>
      </c>
      <c r="N27" s="123">
        <f>(TX_EMISSAO/100 +1)^(TAB_JUROS_U[[#This Row],[dias_periodo_u]]/252)</f>
        <v>1.0018634787225431</v>
      </c>
      <c r="O27" s="78">
        <f>(TIR_U/100 +1)^(TAB_JUROS_U[[#This Row],[Q_DIAS_U_PARC_TIR]]/252)</f>
        <v>1.0051088557094283</v>
      </c>
      <c r="P27" s="116" t="str">
        <f>"TX_CENARIO" &amp; TEXT(DT_CALCULO_C, "-AAAAMMDD") &amp; TEXT(TAB_JUROS_U[[#This Row],[DT_EVE]], "-AAAAMMDD")</f>
        <v>TX_CENARIO-20151228-20160308</v>
      </c>
      <c r="Q27" s="44">
        <f>IFERROR(VLOOKUP(TAB_JUROS_U[[#This Row],[Chave-CENARIO]],CENARIO[],2,FALSE), 0)</f>
        <v>14.592700000000001</v>
      </c>
      <c r="R27" s="116" t="str">
        <f>"CORRECAO_JURS_U" &amp; TEXT(DT_CALCULO_C, "-AAAAMMDD") &amp; TEXT(TAB_JUROS_U[[#This Row],[DT_EVE]], "-AAAAMMDD")</f>
        <v>CORRECAO_JURS_U-20151228-20160308</v>
      </c>
      <c r="S27" s="44">
        <f>IFERROR(VLOOKUP(TAB_JUROS_U[[#This Row],[Chave-CORC]],CORRECAO_JURS_U[],2, FALSE), 0)</f>
        <v>1.0104201900000001</v>
      </c>
      <c r="T27" s="78">
        <f>MAX(0, (TAB_JUROS_U[[#This Row],[CUPOM_TIR]] -1) * IF(TAB_JUROS_U[[#This Row],[ID_T_EVE]]=1, TAB_JUROS_U[[#This Row],[PU_AMORT]], TAB_JUROS_U[[#This Row],[V_NOML_PCPL]]) * TAB_JUROS_U[[#This Row],[CORRECAO_U]])</f>
        <v>184.51566041366553</v>
      </c>
      <c r="U27" s="78">
        <f>MAX(0, TAB_JUROS_U[[#This Row],[V_FUT_U_JURS-01]]/((((TAB_JUROS_U[[#This Row],[TX_CENARIO]]/100 +1)^(1/252) -1) * PC_IDXR/100 +1)^TAB_JUROS_U[[#This Row],[Q_DIAS_U_PARC_TIR]]))</f>
        <v>179.40157101158496</v>
      </c>
      <c r="V27" s="78">
        <f>+TAB_JUROS_U[[#This Row],[V_FUT_U_JURS CENARIO]]/TAB_JUROS_U[[#This Row],[VAR_DESCAP_U]]</f>
        <v>178.48969292481192</v>
      </c>
      <c r="W27" s="78"/>
      <c r="X27" s="64">
        <f>TAB_JUROS_U[[#This Row],[dt_eve_u]]- DT_CALCULO_C</f>
        <v>71</v>
      </c>
      <c r="Y27" s="48" t="str">
        <f>"CORRECAO_JURS_C" &amp; TEXT(DT_CALCULO_C, "-AAAAMMDD") &amp; TEXT(TAB_JUROS_U[[#This Row],[DT_EVE]], "-AAAAMMDD")</f>
        <v>CORRECAO_JURS_C-20151228-20160308</v>
      </c>
      <c r="Z27" s="44">
        <f>IFERROR(VLOOKUP(TAB_JUROS_C[[#This Row],[Chave-CORC]],CORRECAO_JURS_C[],2, FALSE), 0)</f>
        <v>1</v>
      </c>
      <c r="AA2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182.61280033771448</v>
      </c>
      <c r="AB27" s="63">
        <f>(TIR_C/100 +1)^(TAB_JUROS_C[[#This Row],[DIAS_CORRIDOS]]/360)</f>
        <v>1.0048126249272449</v>
      </c>
      <c r="AC27" s="78">
        <f>IF(TAB_JUROS_C[[#This Row],[DIAS_CORRIDOS]]&lt;0, 0, TAB_JUROS_C[[#This Row],[V_FUT_C_JURS]]/TAB_JUROS_C[[#This Row],[VAR_DESCAP_C]])</f>
        <v>181.73816272554981</v>
      </c>
      <c r="AD27" s="78">
        <f>TAB_JUROS_U[[#This Row],[V_FUT_U_JURS CENARIO]]</f>
        <v>179.40157101158496</v>
      </c>
      <c r="AE27" s="124">
        <f>IF(TAB_JUROS_C[[#This Row],[DIAS_CORRIDOS]]&lt;0, 0, TAB_JUROS_C[[#This Row],[V_FUT_UTEIS]]/TAB_JUROS_C[[#This Row],[VAR_DESCAP_C]])</f>
        <v>178.54231382151954</v>
      </c>
    </row>
    <row r="28" spans="1:39">
      <c r="A28" s="82">
        <f t="shared" si="1"/>
        <v>4</v>
      </c>
      <c r="B28" s="24">
        <f>VLOOKUP($A28, CAD_JUROS[#Data], MATCH(B$24, CAD_JUROS[#Headers],0), FALSE)</f>
        <v>2</v>
      </c>
      <c r="C28" s="24" t="str">
        <f>VLOOKUP($A28, CAD_JUROS[#Data], MATCH(C$24, CAD_JUROS[#Headers],0), FALSE)</f>
        <v xml:space="preserve">JUROS SOBRE PRINCIPAL                             </v>
      </c>
      <c r="D28" s="36">
        <f>VLOOKUP($A28, CAD_JUROS[#Data], MATCH(D$24, CAD_JUROS[#Headers],0), FALSE)</f>
        <v>42468</v>
      </c>
      <c r="E28" s="48">
        <f>VLOOKUP($A28, CAD_JUROS[#Data], MATCH(E$24, CAD_JUROS[#Headers],0), FALSE)</f>
        <v>0</v>
      </c>
      <c r="F28" s="36">
        <f>VLOOKUP($A28, CAD_JUROS[#Data], MATCH(F$24, CAD_JUROS[#Headers],0), FALSE)</f>
        <v>42474</v>
      </c>
      <c r="G28" s="47">
        <f>WORKDAY(WORKDAY(TAB_JUROS_U[[#This Row],[DT_EVE]], -1, TAB_FERIADOS[FER_DATA]), 1, TAB_FERIADOS[FER_DATA])</f>
        <v>42468</v>
      </c>
      <c r="H28" s="75">
        <f>WORKDAY(WORKDAY(TAB_JUROS_U[[#This Row],[DT_LQDC_EVE]], -1, TAB_FERIADOS[FER_DATA]), 1, TAB_FERIADOS[FER_DATA])</f>
        <v>42474</v>
      </c>
      <c r="I28" s="48">
        <f>PU_EMISSAO - SUMIF(TAB_AMORTIZACAO_U[DT_EVE], "&lt;" &amp; TAB_JUROS_U[[#This Row],[DT_EVE]], TAB_AMORTIZACAO_U[V_PU_AMTC])</f>
        <v>96999.617784000002</v>
      </c>
      <c r="J28" s="48">
        <f>IFERROR(VLOOKUP(TAB_JUROS_U[[#This Row],[DT_EVE]], TAB_AMORTIZACAO_U[[DT_EVE]:[V_PU_AMTC]], 2, FALSE), 0)</f>
        <v>954.76723700000002</v>
      </c>
      <c r="K28" s="48">
        <f>NETWORKDAYS(DT_CALCULO_U, TAB_JUROS_U[[#This Row],[dt_eve_u]], TAB_FERIADOS[FER_DATA]) -1</f>
        <v>70</v>
      </c>
      <c r="L28" s="48">
        <f>NETWORKDAYS(DT_CALCULO_U, TAB_JUROS_U[[#This Row],[dt_lqdc_eve_u]], TAB_FERIADOS[FER_DATA]) -1</f>
        <v>74</v>
      </c>
      <c r="M28" s="48">
        <f>NETWORKDAYS(IF(ISTEXT(H27), DT_B_JURS, H27), TAB_JUROS_U[[#This Row],[dt_lqdc_eve_u]],  TAB_FERIADOS[FER_DATA]) -1</f>
        <v>22</v>
      </c>
      <c r="N28" s="123">
        <f>(TX_EMISSAO/100 +1)^(TAB_JUROS_U[[#This Row],[dias_periodo_u]]/252)</f>
        <v>1.0021580294747356</v>
      </c>
      <c r="O28" s="78">
        <f>(TIR_U/100 +1)^(TAB_JUROS_U[[#This Row],[Q_DIAS_U_PARC_TIR]]/252)</f>
        <v>1.0072781441085392</v>
      </c>
      <c r="P28" s="116" t="str">
        <f>"TX_CENARIO" &amp; TEXT(DT_CALCULO_C, "-AAAAMMDD") &amp; TEXT(TAB_JUROS_U[[#This Row],[DT_EVE]], "-AAAAMMDD")</f>
        <v>TX_CENARIO-20151228-20160408</v>
      </c>
      <c r="Q28" s="44">
        <f>IFERROR(VLOOKUP(TAB_JUROS_U[[#This Row],[Chave-CENARIO]],CENARIO[],2,FALSE), 0)</f>
        <v>14.805999999999999</v>
      </c>
      <c r="R28" s="116" t="str">
        <f>"CORRECAO_JURS_U" &amp; TEXT(DT_CALCULO_C, "-AAAAMMDD") &amp; TEXT(TAB_JUROS_U[[#This Row],[DT_EVE]], "-AAAAMMDD")</f>
        <v>CORRECAO_JURS_U-20151228-20160408</v>
      </c>
      <c r="S28" s="44">
        <f>IFERROR(VLOOKUP(TAB_JUROS_U[[#This Row],[Chave-CORC]],CORRECAO_JURS_U[],2, FALSE), 0)</f>
        <v>1.0124769199999999</v>
      </c>
      <c r="T28" s="78">
        <f>MAX(0, (TAB_JUROS_U[[#This Row],[CUPOM_TIR]] -1) * IF(TAB_JUROS_U[[#This Row],[ID_T_EVE]]=1, TAB_JUROS_U[[#This Row],[PU_AMORT]], TAB_JUROS_U[[#This Row],[V_NOML_PCPL]]) * TAB_JUROS_U[[#This Row],[CORRECAO_U]])</f>
        <v>211.93980335263373</v>
      </c>
      <c r="U28" s="78">
        <f>MAX(0, TAB_JUROS_U[[#This Row],[V_FUT_U_JURS-01]]/((((TAB_JUROS_U[[#This Row],[TX_CENARIO]]/100 +1)^(1/252) -1) * PC_IDXR/100 +1)^TAB_JUROS_U[[#This Row],[Q_DIAS_U_PARC_TIR]]))</f>
        <v>203.51849332265758</v>
      </c>
      <c r="V28" s="78">
        <f>+TAB_JUROS_U[[#This Row],[V_FUT_U_JURS CENARIO]]/TAB_JUROS_U[[#This Row],[VAR_DESCAP_U]]</f>
        <v>202.04795915906169</v>
      </c>
      <c r="W28" s="78"/>
      <c r="X28" s="64">
        <f>TAB_JUROS_U[[#This Row],[dt_eve_u]]- DT_CALCULO_C</f>
        <v>102</v>
      </c>
      <c r="Y28" s="48" t="str">
        <f>"CORRECAO_JURS_C" &amp; TEXT(DT_CALCULO_C, "-AAAAMMDD") &amp; TEXT(TAB_JUROS_U[[#This Row],[DT_EVE]], "-AAAAMMDD")</f>
        <v>CORRECAO_JURS_C-20151228-20160408</v>
      </c>
      <c r="Z28" s="44">
        <f>IFERROR(VLOOKUP(TAB_JUROS_C[[#This Row],[Chave-CORC]],CORRECAO_JURS_C[],2, FALSE), 0)</f>
        <v>1</v>
      </c>
      <c r="AA2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209.3280342159639</v>
      </c>
      <c r="AB28" s="63">
        <f>(TIR_C/100 +1)^(TAB_JUROS_C[[#This Row],[DIAS_CORRIDOS]]/360)</f>
        <v>1.0069211693708799</v>
      </c>
      <c r="AC28" s="78">
        <f>IF(TAB_JUROS_C[[#This Row],[DIAS_CORRIDOS]]&lt;0, 0, TAB_JUROS_C[[#This Row],[V_FUT_C_JURS]]/TAB_JUROS_C[[#This Row],[VAR_DESCAP_C]])</f>
        <v>207.88919786714899</v>
      </c>
      <c r="AD28" s="78">
        <f>TAB_JUROS_U[[#This Row],[V_FUT_U_JURS CENARIO]]</f>
        <v>203.51849332265758</v>
      </c>
      <c r="AE28" s="124">
        <f>IF(TAB_JUROS_C[[#This Row],[DIAS_CORRIDOS]]&lt;0, 0, TAB_JUROS_C[[#This Row],[V_FUT_UTEIS]]/TAB_JUROS_C[[#This Row],[VAR_DESCAP_C]])</f>
        <v>202.11958941117015</v>
      </c>
    </row>
    <row r="29" spans="1:39">
      <c r="A29" s="82">
        <f t="shared" si="1"/>
        <v>5</v>
      </c>
      <c r="B29" s="24">
        <f>VLOOKUP($A29, CAD_JUROS[#Data], MATCH(B$24, CAD_JUROS[#Headers],0), FALSE)</f>
        <v>2</v>
      </c>
      <c r="C29" s="24" t="str">
        <f>VLOOKUP($A29, CAD_JUROS[#Data], MATCH(C$24, CAD_JUROS[#Headers],0), FALSE)</f>
        <v xml:space="preserve">JUROS SOBRE PRINCIPAL                             </v>
      </c>
      <c r="D29" s="36">
        <f>VLOOKUP($A29, CAD_JUROS[#Data], MATCH(D$24, CAD_JUROS[#Headers],0), FALSE)</f>
        <v>42499</v>
      </c>
      <c r="E29" s="48">
        <f>VLOOKUP($A29, CAD_JUROS[#Data], MATCH(E$24, CAD_JUROS[#Headers],0), FALSE)</f>
        <v>0</v>
      </c>
      <c r="F29" s="36">
        <f>VLOOKUP($A29, CAD_JUROS[#Data], MATCH(F$24, CAD_JUROS[#Headers],0), FALSE)</f>
        <v>42503</v>
      </c>
      <c r="G29" s="47">
        <f>WORKDAY(WORKDAY(TAB_JUROS_U[[#This Row],[DT_EVE]], -1, TAB_FERIADOS[FER_DATA]), 1, TAB_FERIADOS[FER_DATA])</f>
        <v>42499</v>
      </c>
      <c r="H29" s="75">
        <f>WORKDAY(WORKDAY(TAB_JUROS_U[[#This Row],[DT_LQDC_EVE]], -1, TAB_FERIADOS[FER_DATA]), 1, TAB_FERIADOS[FER_DATA])</f>
        <v>42503</v>
      </c>
      <c r="I29" s="48">
        <f>PU_EMISSAO - SUMIF(TAB_AMORTIZACAO_U[DT_EVE], "&lt;" &amp; TAB_JUROS_U[[#This Row],[DT_EVE]], TAB_AMORTIZACAO_U[V_PU_AMTC])</f>
        <v>96044.850546999995</v>
      </c>
      <c r="J29" s="48">
        <f>IFERROR(VLOOKUP(TAB_JUROS_U[[#This Row],[DT_EVE]], TAB_AMORTIZACAO_U[[DT_EVE]:[V_PU_AMTC]], 2, FALSE), 0)</f>
        <v>962.46544700000004</v>
      </c>
      <c r="K29" s="48">
        <f>NETWORKDAYS(DT_CALCULO_U, TAB_JUROS_U[[#This Row],[dt_eve_u]], TAB_FERIADOS[FER_DATA]) -1</f>
        <v>90</v>
      </c>
      <c r="L29" s="48">
        <f>NETWORKDAYS(DT_CALCULO_U, TAB_JUROS_U[[#This Row],[dt_lqdc_eve_u]], TAB_FERIADOS[FER_DATA]) -1</f>
        <v>94</v>
      </c>
      <c r="M29" s="48">
        <f>NETWORKDAYS(IF(ISTEXT(H28), DT_B_JURS, H28), TAB_JUROS_U[[#This Row],[dt_lqdc_eve_u]],  TAB_FERIADOS[FER_DATA]) -1</f>
        <v>20</v>
      </c>
      <c r="N29" s="123">
        <f>(TX_EMISSAO/100 +1)^(TAB_JUROS_U[[#This Row],[dias_periodo_u]]/252)</f>
        <v>1.0019616526860928</v>
      </c>
      <c r="O29" s="78">
        <f>(TIR_U/100 +1)^(TAB_JUROS_U[[#This Row],[Q_DIAS_U_PARC_TIR]]/252)</f>
        <v>1.0092542870055565</v>
      </c>
      <c r="P29" s="116" t="str">
        <f>"TX_CENARIO" &amp; TEXT(DT_CALCULO_C, "-AAAAMMDD") &amp; TEXT(TAB_JUROS_U[[#This Row],[DT_EVE]], "-AAAAMMDD")</f>
        <v>TX_CENARIO-20151228-20160509</v>
      </c>
      <c r="Q29" s="44">
        <f>IFERROR(VLOOKUP(TAB_JUROS_U[[#This Row],[Chave-CENARIO]],CENARIO[],2,FALSE), 0)</f>
        <v>14.962899999999999</v>
      </c>
      <c r="R29" s="116" t="str">
        <f>"CORRECAO_JURS_U" &amp; TEXT(DT_CALCULO_C, "-AAAAMMDD") &amp; TEXT(TAB_JUROS_U[[#This Row],[DT_EVE]], "-AAAAMMDD")</f>
        <v>CORRECAO_JURS_U-20151228-20160509</v>
      </c>
      <c r="S29" s="44">
        <f>IFERROR(VLOOKUP(TAB_JUROS_U[[#This Row],[Chave-CORC]],CORRECAO_JURS_U[],2, FALSE), 0)</f>
        <v>1.01145901</v>
      </c>
      <c r="T29" s="78">
        <f>MAX(0, (TAB_JUROS_U[[#This Row],[CUPOM_TIR]] -1) * IF(TAB_JUROS_U[[#This Row],[ID_T_EVE]]=1, TAB_JUROS_U[[#This Row],[PU_AMORT]], TAB_JUROS_U[[#This Row],[V_NOML_PCPL]]) * TAB_JUROS_U[[#This Row],[CORRECAO_U]])</f>
        <v>190.56559262197226</v>
      </c>
      <c r="U29" s="78">
        <f>MAX(0, TAB_JUROS_U[[#This Row],[V_FUT_U_JURS-01]]/((((TAB_JUROS_U[[#This Row],[TX_CENARIO]]/100 +1)^(1/252) -1) * PC_IDXR/100 +1)^TAB_JUROS_U[[#This Row],[Q_DIAS_U_PARC_TIR]]))</f>
        <v>180.90705447002384</v>
      </c>
      <c r="V29" s="78">
        <f>+TAB_JUROS_U[[#This Row],[V_FUT_U_JURS CENARIO]]/TAB_JUROS_U[[#This Row],[VAR_DESCAP_U]]</f>
        <v>179.24823981354842</v>
      </c>
      <c r="W29" s="78"/>
      <c r="X29" s="64">
        <f>TAB_JUROS_U[[#This Row],[dt_eve_u]]- DT_CALCULO_C</f>
        <v>133</v>
      </c>
      <c r="Y29" s="48" t="str">
        <f>"CORRECAO_JURS_C" &amp; TEXT(DT_CALCULO_C, "-AAAAMMDD") &amp; TEXT(TAB_JUROS_U[[#This Row],[DT_EVE]], "-AAAAMMDD")</f>
        <v>CORRECAO_JURS_C-20151228-20160509</v>
      </c>
      <c r="Z29" s="44">
        <f>IFERROR(VLOOKUP(TAB_JUROS_C[[#This Row],[Chave-CORC]],CORRECAO_JURS_C[],2, FALSE), 0)</f>
        <v>1</v>
      </c>
      <c r="AA2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188.40663906090691</v>
      </c>
      <c r="AB29" s="63">
        <f>(TIR_C/100 +1)^(TAB_JUROS_C[[#This Row],[DIAS_CORRIDOS]]/360)</f>
        <v>1.0090341384799306</v>
      </c>
      <c r="AC29" s="78">
        <f>IF(TAB_JUROS_C[[#This Row],[DIAS_CORRIDOS]]&lt;0, 0, TAB_JUROS_C[[#This Row],[V_FUT_C_JURS]]/TAB_JUROS_C[[#This Row],[VAR_DESCAP_C]])</f>
        <v>186.71978665135546</v>
      </c>
      <c r="AD29" s="78">
        <f>TAB_JUROS_U[[#This Row],[V_FUT_U_JURS CENARIO]]</f>
        <v>180.90705447002384</v>
      </c>
      <c r="AE29" s="124">
        <f>IF(TAB_JUROS_C[[#This Row],[DIAS_CORRIDOS]]&lt;0, 0, TAB_JUROS_C[[#This Row],[V_FUT_UTEIS]]/TAB_JUROS_C[[#This Row],[VAR_DESCAP_C]])</f>
        <v>179.28734774281577</v>
      </c>
    </row>
    <row r="30" spans="1:39">
      <c r="A30" s="82">
        <f t="shared" si="1"/>
        <v>6</v>
      </c>
      <c r="B30" s="24">
        <f>VLOOKUP($A30, CAD_JUROS[#Data], MATCH(B$24, CAD_JUROS[#Headers],0), FALSE)</f>
        <v>2</v>
      </c>
      <c r="C30" s="24" t="str">
        <f>VLOOKUP($A30, CAD_JUROS[#Data], MATCH(C$24, CAD_JUROS[#Headers],0), FALSE)</f>
        <v xml:space="preserve">JUROS SOBRE PRINCIPAL                             </v>
      </c>
      <c r="D30" s="36">
        <f>VLOOKUP($A30, CAD_JUROS[#Data], MATCH(D$24, CAD_JUROS[#Headers],0), FALSE)</f>
        <v>42529</v>
      </c>
      <c r="E30" s="48">
        <f>VLOOKUP($A30, CAD_JUROS[#Data], MATCH(E$24, CAD_JUROS[#Headers],0), FALSE)</f>
        <v>0</v>
      </c>
      <c r="F30" s="36">
        <f>VLOOKUP($A30, CAD_JUROS[#Data], MATCH(F$24, CAD_JUROS[#Headers],0), FALSE)</f>
        <v>42535</v>
      </c>
      <c r="G30" s="47">
        <f>WORKDAY(WORKDAY(TAB_JUROS_U[[#This Row],[DT_EVE]], -1, TAB_FERIADOS[FER_DATA]), 1, TAB_FERIADOS[FER_DATA])</f>
        <v>42529</v>
      </c>
      <c r="H30" s="75">
        <f>WORKDAY(WORKDAY(TAB_JUROS_U[[#This Row],[DT_LQDC_EVE]], -1, TAB_FERIADOS[FER_DATA]), 1, TAB_FERIADOS[FER_DATA])</f>
        <v>42535</v>
      </c>
      <c r="I30" s="48">
        <f>PU_EMISSAO - SUMIF(TAB_AMORTIZACAO_U[DT_EVE], "&lt;" &amp; TAB_JUROS_U[[#This Row],[DT_EVE]], TAB_AMORTIZACAO_U[V_PU_AMTC])</f>
        <v>95082.3851</v>
      </c>
      <c r="J30" s="48">
        <f>IFERROR(VLOOKUP(TAB_JUROS_U[[#This Row],[DT_EVE]], TAB_AMORTIZACAO_U[[DT_EVE]:[V_PU_AMTC]], 2, FALSE), 0)</f>
        <v>940.74511800000005</v>
      </c>
      <c r="K30" s="48">
        <f>NETWORKDAYS(DT_CALCULO_U, TAB_JUROS_U[[#This Row],[dt_eve_u]], TAB_FERIADOS[FER_DATA]) -1</f>
        <v>111</v>
      </c>
      <c r="L30" s="48">
        <f>NETWORKDAYS(DT_CALCULO_U, TAB_JUROS_U[[#This Row],[dt_lqdc_eve_u]], TAB_FERIADOS[FER_DATA]) -1</f>
        <v>115</v>
      </c>
      <c r="M30" s="48">
        <f>NETWORKDAYS(IF(ISTEXT(H29), DT_B_JURS, H29), TAB_JUROS_U[[#This Row],[dt_lqdc_eve_u]],  TAB_FERIADOS[FER_DATA]) -1</f>
        <v>21</v>
      </c>
      <c r="N30" s="123">
        <f>(TX_EMISSAO/100 +1)^(TAB_JUROS_U[[#This Row],[dias_periodo_u]]/252)</f>
        <v>1.0020598362698427</v>
      </c>
      <c r="O30" s="78">
        <f>(TIR_U/100 +1)^(TAB_JUROS_U[[#This Row],[Q_DIAS_U_PARC_TIR]]/252)</f>
        <v>1.0113334097231823</v>
      </c>
      <c r="P30" s="116" t="str">
        <f>"TX_CENARIO" &amp; TEXT(DT_CALCULO_C, "-AAAAMMDD") &amp; TEXT(TAB_JUROS_U[[#This Row],[DT_EVE]], "-AAAAMMDD")</f>
        <v>TX_CENARIO-20151228-20160608</v>
      </c>
      <c r="Q30" s="44">
        <f>IFERROR(VLOOKUP(TAB_JUROS_U[[#This Row],[Chave-CENARIO]],CENARIO[],2,FALSE), 0)</f>
        <v>15.119300000000001</v>
      </c>
      <c r="R30" s="116" t="str">
        <f>"CORRECAO_JURS_U" &amp; TEXT(DT_CALCULO_C, "-AAAAMMDD") &amp; TEXT(TAB_JUROS_U[[#This Row],[DT_EVE]], "-AAAAMMDD")</f>
        <v>CORRECAO_JURS_U-20151228-20160608</v>
      </c>
      <c r="S30" s="44">
        <f>IFERROR(VLOOKUP(TAB_JUROS_U[[#This Row],[Chave-CORC]],CORRECAO_JURS_U[],2, FALSE), 0)</f>
        <v>1.01224172</v>
      </c>
      <c r="T30" s="78">
        <f>MAX(0, (TAB_JUROS_U[[#This Row],[CUPOM_TIR]] -1) * IF(TAB_JUROS_U[[#This Row],[ID_T_EVE]]=1, TAB_JUROS_U[[#This Row],[PU_AMORT]], TAB_JUROS_U[[#This Row],[V_NOML_PCPL]]) * TAB_JUROS_U[[#This Row],[CORRECAO_U]])</f>
        <v>198.2517370615993</v>
      </c>
      <c r="U30" s="78">
        <f>MAX(0, TAB_JUROS_U[[#This Row],[V_FUT_U_JURS-01]]/((((TAB_JUROS_U[[#This Row],[TX_CENARIO]]/100 +1)^(1/252) -1) * PC_IDXR/100 +1)^TAB_JUROS_U[[#This Row],[Q_DIAS_U_PARC_TIR]]))</f>
        <v>185.9140004577701</v>
      </c>
      <c r="V30" s="78">
        <f>+TAB_JUROS_U[[#This Row],[V_FUT_U_JURS CENARIO]]/TAB_JUROS_U[[#This Row],[VAR_DESCAP_U]]</f>
        <v>183.83057325146379</v>
      </c>
      <c r="W30" s="78"/>
      <c r="X30" s="64">
        <f>TAB_JUROS_U[[#This Row],[dt_eve_u]]- DT_CALCULO_C</f>
        <v>163</v>
      </c>
      <c r="Y30" s="48" t="str">
        <f>"CORRECAO_JURS_C" &amp; TEXT(DT_CALCULO_C, "-AAAAMMDD") &amp; TEXT(TAB_JUROS_U[[#This Row],[DT_EVE]], "-AAAAMMDD")</f>
        <v>CORRECAO_JURS_C-20151228-20160608</v>
      </c>
      <c r="Z30" s="44">
        <f>IFERROR(VLOOKUP(TAB_JUROS_C[[#This Row],[Chave-CORC]],CORRECAO_JURS_C[],2, FALSE), 0)</f>
        <v>1</v>
      </c>
      <c r="AA3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195.85414545213499</v>
      </c>
      <c r="AB30" s="63">
        <f>(TIR_C/100 +1)^(TAB_JUROS_C[[#This Row],[DIAS_CORRIDOS]]/360)</f>
        <v>1.011083168911231</v>
      </c>
      <c r="AC30" s="78">
        <f>IF(TAB_JUROS_C[[#This Row],[DIAS_CORRIDOS]]&lt;0, 0, TAB_JUROS_C[[#This Row],[V_FUT_C_JURS]]/TAB_JUROS_C[[#This Row],[VAR_DESCAP_C]])</f>
        <v>193.7072552231657</v>
      </c>
      <c r="AD30" s="78">
        <f>TAB_JUROS_U[[#This Row],[V_FUT_U_JURS CENARIO]]</f>
        <v>185.9140004577701</v>
      </c>
      <c r="AE30" s="124">
        <f>IF(TAB_JUROS_C[[#This Row],[DIAS_CORRIDOS]]&lt;0, 0, TAB_JUROS_C[[#This Row],[V_FUT_UTEIS]]/TAB_JUROS_C[[#This Row],[VAR_DESCAP_C]])</f>
        <v>183.87607090519435</v>
      </c>
    </row>
    <row r="31" spans="1:39">
      <c r="A31" s="82">
        <f t="shared" si="1"/>
        <v>7</v>
      </c>
      <c r="B31" s="24">
        <f>VLOOKUP($A31, CAD_JUROS[#Data], MATCH(B$24, CAD_JUROS[#Headers],0), FALSE)</f>
        <v>2</v>
      </c>
      <c r="C31" s="24" t="str">
        <f>VLOOKUP($A31, CAD_JUROS[#Data], MATCH(C$24, CAD_JUROS[#Headers],0), FALSE)</f>
        <v xml:space="preserve">JUROS SOBRE PRINCIPAL                             </v>
      </c>
      <c r="D31" s="36">
        <f>VLOOKUP($A31, CAD_JUROS[#Data], MATCH(D$24, CAD_JUROS[#Headers],0), FALSE)</f>
        <v>42559</v>
      </c>
      <c r="E31" s="48">
        <f>VLOOKUP($A31, CAD_JUROS[#Data], MATCH(E$24, CAD_JUROS[#Headers],0), FALSE)</f>
        <v>0</v>
      </c>
      <c r="F31" s="36">
        <f>VLOOKUP($A31, CAD_JUROS[#Data], MATCH(F$24, CAD_JUROS[#Headers],0), FALSE)</f>
        <v>42565</v>
      </c>
      <c r="G31" s="47">
        <f>WORKDAY(WORKDAY(TAB_JUROS_U[[#This Row],[DT_EVE]], -1, TAB_FERIADOS[FER_DATA]), 1, TAB_FERIADOS[FER_DATA])</f>
        <v>42559</v>
      </c>
      <c r="H31" s="75">
        <f>WORKDAY(WORKDAY(TAB_JUROS_U[[#This Row],[DT_LQDC_EVE]], -1, TAB_FERIADOS[FER_DATA]), 1, TAB_FERIADOS[FER_DATA])</f>
        <v>42565</v>
      </c>
      <c r="I31" s="48">
        <f>PU_EMISSAO - SUMIF(TAB_AMORTIZACAO_U[DT_EVE], "&lt;" &amp; TAB_JUROS_U[[#This Row],[DT_EVE]], TAB_AMORTIZACAO_U[V_PU_AMTC])</f>
        <v>94141.639981999993</v>
      </c>
      <c r="J31" s="48">
        <f>IFERROR(VLOOKUP(TAB_JUROS_U[[#This Row],[DT_EVE]], TAB_AMORTIZACAO_U[[DT_EVE]:[V_PU_AMTC]], 2, FALSE), 0)</f>
        <v>918.63412200000005</v>
      </c>
      <c r="K31" s="48">
        <f>NETWORKDAYS(DT_CALCULO_U, TAB_JUROS_U[[#This Row],[dt_eve_u]], TAB_FERIADOS[FER_DATA]) -1</f>
        <v>133</v>
      </c>
      <c r="L31" s="48">
        <f>NETWORKDAYS(DT_CALCULO_U, TAB_JUROS_U[[#This Row],[dt_lqdc_eve_u]], TAB_FERIADOS[FER_DATA]) -1</f>
        <v>137</v>
      </c>
      <c r="M31" s="48">
        <f>NETWORKDAYS(IF(ISTEXT(H30), DT_B_JURS, H30), TAB_JUROS_U[[#This Row],[dt_lqdc_eve_u]],  TAB_FERIADOS[FER_DATA]) -1</f>
        <v>22</v>
      </c>
      <c r="N31" s="123">
        <f>(TX_EMISSAO/100 +1)^(TAB_JUROS_U[[#This Row],[dias_periodo_u]]/252)</f>
        <v>1.0021580294747356</v>
      </c>
      <c r="O31" s="78">
        <f>(TIR_U/100 +1)^(TAB_JUROS_U[[#This Row],[Q_DIAS_U_PARC_TIR]]/252)</f>
        <v>1.0135161323416166</v>
      </c>
      <c r="P31" s="116" t="str">
        <f>"TX_CENARIO" &amp; TEXT(DT_CALCULO_C, "-AAAAMMDD") &amp; TEXT(TAB_JUROS_U[[#This Row],[DT_EVE]], "-AAAAMMDD")</f>
        <v>TX_CENARIO-20151228-20160708</v>
      </c>
      <c r="Q31" s="44">
        <f>IFERROR(VLOOKUP(TAB_JUROS_U[[#This Row],[Chave-CENARIO]],CENARIO[],2,FALSE), 0)</f>
        <v>15.2698</v>
      </c>
      <c r="R31" s="116" t="str">
        <f>"CORRECAO_JURS_U" &amp; TEXT(DT_CALCULO_C, "-AAAAMMDD") &amp; TEXT(TAB_JUROS_U[[#This Row],[DT_EVE]], "-AAAAMMDD")</f>
        <v>CORRECAO_JURS_U-20151228-20160708</v>
      </c>
      <c r="S31" s="44">
        <f>IFERROR(VLOOKUP(TAB_JUROS_U[[#This Row],[Chave-CORC]],CORRECAO_JURS_U[],2, FALSE), 0)</f>
        <v>1.0129370200000001</v>
      </c>
      <c r="T31" s="78">
        <f>MAX(0, (TAB_JUROS_U[[#This Row],[CUPOM_TIR]] -1) * IF(TAB_JUROS_U[[#This Row],[ID_T_EVE]]=1, TAB_JUROS_U[[#This Row],[PU_AMORT]], TAB_JUROS_U[[#This Row],[V_NOML_PCPL]]) * TAB_JUROS_U[[#This Row],[CORRECAO_U]])</f>
        <v>205.78872447743626</v>
      </c>
      <c r="U31" s="78">
        <f>MAX(0, TAB_JUROS_U[[#This Row],[V_FUT_U_JURS-01]]/((((TAB_JUROS_U[[#This Row],[TX_CENARIO]]/100 +1)^(1/252) -1) * PC_IDXR/100 +1)^TAB_JUROS_U[[#This Row],[Q_DIAS_U_PARC_TIR]]))</f>
        <v>190.48898741565034</v>
      </c>
      <c r="V31" s="78">
        <f>+TAB_JUROS_U[[#This Row],[V_FUT_U_JURS CENARIO]]/TAB_JUROS_U[[#This Row],[VAR_DESCAP_U]]</f>
        <v>187.94864860764145</v>
      </c>
      <c r="W31" s="78"/>
      <c r="X31" s="64">
        <f>TAB_JUROS_U[[#This Row],[dt_eve_u]]- DT_CALCULO_C</f>
        <v>193</v>
      </c>
      <c r="Y31" s="48" t="str">
        <f>"CORRECAO_JURS_C" &amp; TEXT(DT_CALCULO_C, "-AAAAMMDD") &amp; TEXT(TAB_JUROS_U[[#This Row],[DT_EVE]], "-AAAAMMDD")</f>
        <v>CORRECAO_JURS_C-20151228-20160708</v>
      </c>
      <c r="Z31" s="44">
        <f>IFERROR(VLOOKUP(TAB_JUROS_C[[#This Row],[Chave-CORC]],CORRECAO_JURS_C[],2, FALSE), 0)</f>
        <v>1</v>
      </c>
      <c r="AA3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203.16043388110768</v>
      </c>
      <c r="AB31" s="63">
        <f>(TIR_C/100 +1)^(TAB_JUROS_C[[#This Row],[DIAS_CORRIDOS]]/360)</f>
        <v>1.0131363602777743</v>
      </c>
      <c r="AC31" s="78">
        <f>IF(TAB_JUROS_C[[#This Row],[DIAS_CORRIDOS]]&lt;0, 0, TAB_JUROS_C[[#This Row],[V_FUT_C_JURS]]/TAB_JUROS_C[[#This Row],[VAR_DESCAP_C]])</f>
        <v>200.52624883130898</v>
      </c>
      <c r="AD31" s="78">
        <f>TAB_JUROS_U[[#This Row],[V_FUT_U_JURS CENARIO]]</f>
        <v>190.48898741565034</v>
      </c>
      <c r="AE31" s="124">
        <f>IF(TAB_JUROS_C[[#This Row],[DIAS_CORRIDOS]]&lt;0, 0, TAB_JUROS_C[[#This Row],[V_FUT_UTEIS]]/TAB_JUROS_C[[#This Row],[VAR_DESCAP_C]])</f>
        <v>188.01910076884761</v>
      </c>
    </row>
    <row r="32" spans="1:39">
      <c r="A32" s="82">
        <f t="shared" si="1"/>
        <v>8</v>
      </c>
      <c r="B32" s="24">
        <f>VLOOKUP($A32, CAD_JUROS[#Data], MATCH(B$24, CAD_JUROS[#Headers],0), FALSE)</f>
        <v>2</v>
      </c>
      <c r="C32" s="24" t="str">
        <f>VLOOKUP($A32, CAD_JUROS[#Data], MATCH(C$24, CAD_JUROS[#Headers],0), FALSE)</f>
        <v xml:space="preserve">JUROS SOBRE PRINCIPAL                             </v>
      </c>
      <c r="D32" s="36">
        <f>VLOOKUP($A32, CAD_JUROS[#Data], MATCH(D$24, CAD_JUROS[#Headers],0), FALSE)</f>
        <v>42590</v>
      </c>
      <c r="E32" s="48">
        <f>VLOOKUP($A32, CAD_JUROS[#Data], MATCH(E$24, CAD_JUROS[#Headers],0), FALSE)</f>
        <v>0</v>
      </c>
      <c r="F32" s="36">
        <f>VLOOKUP($A32, CAD_JUROS[#Data], MATCH(F$24, CAD_JUROS[#Headers],0), FALSE)</f>
        <v>42594</v>
      </c>
      <c r="G32" s="47">
        <f>WORKDAY(WORKDAY(TAB_JUROS_U[[#This Row],[DT_EVE]], -1, TAB_FERIADOS[FER_DATA]), 1, TAB_FERIADOS[FER_DATA])</f>
        <v>42590</v>
      </c>
      <c r="H32" s="75">
        <f>WORKDAY(WORKDAY(TAB_JUROS_U[[#This Row],[DT_LQDC_EVE]], -1, TAB_FERIADOS[FER_DATA]), 1, TAB_FERIADOS[FER_DATA])</f>
        <v>42594</v>
      </c>
      <c r="I32" s="48">
        <f>PU_EMISSAO - SUMIF(TAB_AMORTIZACAO_U[DT_EVE], "&lt;" &amp; TAB_JUROS_U[[#This Row],[DT_EVE]], TAB_AMORTIZACAO_U[V_PU_AMTC])</f>
        <v>93223.005860000005</v>
      </c>
      <c r="J32" s="48">
        <f>IFERROR(VLOOKUP(TAB_JUROS_U[[#This Row],[DT_EVE]], TAB_AMORTIZACAO_U[[DT_EVE]:[V_PU_AMTC]], 2, FALSE), 0)</f>
        <v>915.35669399999995</v>
      </c>
      <c r="K32" s="48">
        <f>NETWORKDAYS(DT_CALCULO_U, TAB_JUROS_U[[#This Row],[dt_eve_u]], TAB_FERIADOS[FER_DATA]) -1</f>
        <v>154</v>
      </c>
      <c r="L32" s="48">
        <f>NETWORKDAYS(DT_CALCULO_U, TAB_JUROS_U[[#This Row],[dt_lqdc_eve_u]], TAB_FERIADOS[FER_DATA]) -1</f>
        <v>158</v>
      </c>
      <c r="M32" s="48">
        <f>NETWORKDAYS(IF(ISTEXT(H31), DT_B_JURS, H31), TAB_JUROS_U[[#This Row],[dt_lqdc_eve_u]],  TAB_FERIADOS[FER_DATA]) -1</f>
        <v>21</v>
      </c>
      <c r="N32" s="123">
        <f>(TX_EMISSAO/100 +1)^(TAB_JUROS_U[[#This Row],[dias_periodo_u]]/252)</f>
        <v>1.0020598362698427</v>
      </c>
      <c r="O32" s="78">
        <f>(TIR_U/100 +1)^(TAB_JUROS_U[[#This Row],[Q_DIAS_U_PARC_TIR]]/252)</f>
        <v>1.0156040347092983</v>
      </c>
      <c r="P32" s="116" t="str">
        <f>"TX_CENARIO" &amp; TEXT(DT_CALCULO_C, "-AAAAMMDD") &amp; TEXT(TAB_JUROS_U[[#This Row],[DT_EVE]], "-AAAAMMDD")</f>
        <v>TX_CENARIO-20151228-20160808</v>
      </c>
      <c r="Q32" s="44">
        <f>IFERROR(VLOOKUP(TAB_JUROS_U[[#This Row],[Chave-CENARIO]],CENARIO[],2,FALSE), 0)</f>
        <v>15.4056</v>
      </c>
      <c r="R32" s="116" t="str">
        <f>"CORRECAO_JURS_U" &amp; TEXT(DT_CALCULO_C, "-AAAAMMDD") &amp; TEXT(TAB_JUROS_U[[#This Row],[DT_EVE]], "-AAAAMMDD")</f>
        <v>CORRECAO_JURS_U-20151228-20160808</v>
      </c>
      <c r="S32" s="44">
        <f>IFERROR(VLOOKUP(TAB_JUROS_U[[#This Row],[Chave-CORC]],CORRECAO_JURS_U[],2, FALSE), 0)</f>
        <v>1.0126990300000001</v>
      </c>
      <c r="T32" s="78">
        <f>MAX(0, (TAB_JUROS_U[[#This Row],[CUPOM_TIR]] -1) * IF(TAB_JUROS_U[[#This Row],[ID_T_EVE]]=1, TAB_JUROS_U[[#This Row],[PU_AMORT]], TAB_JUROS_U[[#This Row],[V_NOML_PCPL]]) * TAB_JUROS_U[[#This Row],[CORRECAO_U]])</f>
        <v>194.46264882469382</v>
      </c>
      <c r="U32" s="78">
        <f>MAX(0, TAB_JUROS_U[[#This Row],[V_FUT_U_JURS-01]]/((((TAB_JUROS_U[[#This Row],[TX_CENARIO]]/100 +1)^(1/252) -1) * PC_IDXR/100 +1)^TAB_JUROS_U[[#This Row],[Q_DIAS_U_PARC_TIR]]))</f>
        <v>177.75463300327181</v>
      </c>
      <c r="V32" s="78">
        <f>+TAB_JUROS_U[[#This Row],[V_FUT_U_JURS CENARIO]]/TAB_JUROS_U[[#This Row],[VAR_DESCAP_U]]</f>
        <v>175.02355930887126</v>
      </c>
      <c r="W32" s="78"/>
      <c r="X32" s="64">
        <f>TAB_JUROS_U[[#This Row],[dt_eve_u]]- DT_CALCULO_C</f>
        <v>224</v>
      </c>
      <c r="Y32" s="48" t="str">
        <f>"CORRECAO_JURS_C" &amp; TEXT(DT_CALCULO_C, "-AAAAMMDD") &amp; TEXT(TAB_JUROS_U[[#This Row],[DT_EVE]], "-AAAAMMDD")</f>
        <v>CORRECAO_JURS_C-20151228-20160808</v>
      </c>
      <c r="Z32" s="44">
        <f>IFERROR(VLOOKUP(TAB_JUROS_C[[#This Row],[Chave-CORC]],CORRECAO_JURS_C[],2, FALSE), 0)</f>
        <v>1</v>
      </c>
      <c r="AA3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192.02412865419038</v>
      </c>
      <c r="AB32" s="63">
        <f>(TIR_C/100 +1)^(TAB_JUROS_C[[#This Row],[DIAS_CORRIDOS]]/360)</f>
        <v>1.0152623716256741</v>
      </c>
      <c r="AC32" s="78">
        <f>IF(TAB_JUROS_C[[#This Row],[DIAS_CORRIDOS]]&lt;0, 0, TAB_JUROS_C[[#This Row],[V_FUT_C_JURS]]/TAB_JUROS_C[[#This Row],[VAR_DESCAP_C]])</f>
        <v>189.13744271514221</v>
      </c>
      <c r="AD32" s="78">
        <f>TAB_JUROS_U[[#This Row],[V_FUT_U_JURS CENARIO]]</f>
        <v>177.75463300327181</v>
      </c>
      <c r="AE32" s="124">
        <f>IF(TAB_JUROS_C[[#This Row],[DIAS_CORRIDOS]]&lt;0, 0, TAB_JUROS_C[[#This Row],[V_FUT_UTEIS]]/TAB_JUROS_C[[#This Row],[VAR_DESCAP_C]])</f>
        <v>175.08245944212902</v>
      </c>
    </row>
    <row r="33" spans="1:32">
      <c r="A33" s="82">
        <f t="shared" si="1"/>
        <v>9</v>
      </c>
      <c r="B33" s="24">
        <f>VLOOKUP($A33, CAD_JUROS[#Data], MATCH(B$24, CAD_JUROS[#Headers],0), FALSE)</f>
        <v>2</v>
      </c>
      <c r="C33" s="24" t="str">
        <f>VLOOKUP($A33, CAD_JUROS[#Data], MATCH(C$24, CAD_JUROS[#Headers],0), FALSE)</f>
        <v xml:space="preserve">JUROS SOBRE PRINCIPAL                             </v>
      </c>
      <c r="D33" s="36">
        <f>VLOOKUP($A33, CAD_JUROS[#Data], MATCH(D$24, CAD_JUROS[#Headers],0), FALSE)</f>
        <v>42622</v>
      </c>
      <c r="E33" s="48">
        <f>VLOOKUP($A33, CAD_JUROS[#Data], MATCH(E$24, CAD_JUROS[#Headers],0), FALSE)</f>
        <v>0</v>
      </c>
      <c r="F33" s="36">
        <f>VLOOKUP($A33, CAD_JUROS[#Data], MATCH(F$24, CAD_JUROS[#Headers],0), FALSE)</f>
        <v>42628</v>
      </c>
      <c r="G33" s="47">
        <f>WORKDAY(WORKDAY(TAB_JUROS_U[[#This Row],[DT_EVE]], -1, TAB_FERIADOS[FER_DATA]), 1, TAB_FERIADOS[FER_DATA])</f>
        <v>42622</v>
      </c>
      <c r="H33" s="75">
        <f>WORKDAY(WORKDAY(TAB_JUROS_U[[#This Row],[DT_LQDC_EVE]], -1, TAB_FERIADOS[FER_DATA]), 1, TAB_FERIADOS[FER_DATA])</f>
        <v>42628</v>
      </c>
      <c r="I33" s="48">
        <f>PU_EMISSAO - SUMIF(TAB_AMORTIZACAO_U[DT_EVE], "&lt;" &amp; TAB_JUROS_U[[#This Row],[DT_EVE]], TAB_AMORTIZACAO_U[V_PU_AMTC])</f>
        <v>92307.649166000003</v>
      </c>
      <c r="J33" s="48">
        <f>IFERROR(VLOOKUP(TAB_JUROS_U[[#This Row],[DT_EVE]], TAB_AMORTIZACAO_U[[DT_EVE]:[V_PU_AMTC]], 2, FALSE), 0)</f>
        <v>883.56881699999997</v>
      </c>
      <c r="K33" s="48">
        <f>NETWORKDAYS(DT_CALCULO_U, TAB_JUROS_U[[#This Row],[dt_eve_u]], TAB_FERIADOS[FER_DATA]) -1</f>
        <v>177</v>
      </c>
      <c r="L33" s="48">
        <f>NETWORKDAYS(DT_CALCULO_U, TAB_JUROS_U[[#This Row],[dt_lqdc_eve_u]], TAB_FERIADOS[FER_DATA]) -1</f>
        <v>181</v>
      </c>
      <c r="M33" s="48">
        <f>NETWORKDAYS(IF(ISTEXT(H32), DT_B_JURS, H32), TAB_JUROS_U[[#This Row],[dt_lqdc_eve_u]],  TAB_FERIADOS[FER_DATA]) -1</f>
        <v>23</v>
      </c>
      <c r="N33" s="123">
        <f>(TX_EMISSAO/100 +1)^(TAB_JUROS_U[[#This Row],[dias_periodo_u]]/252)</f>
        <v>1.0022562323017139</v>
      </c>
      <c r="O33" s="78">
        <f>(TIR_U/100 +1)^(TAB_JUROS_U[[#This Row],[Q_DIAS_U_PARC_TIR]]/252)</f>
        <v>1.0178957204086447</v>
      </c>
      <c r="P33" s="116" t="str">
        <f>"TX_CENARIO" &amp; TEXT(DT_CALCULO_C, "-AAAAMMDD") &amp; TEXT(TAB_JUROS_U[[#This Row],[DT_EVE]], "-AAAAMMDD")</f>
        <v>TX_CENARIO-20151228-20160909</v>
      </c>
      <c r="Q33" s="44">
        <f>IFERROR(VLOOKUP(TAB_JUROS_U[[#This Row],[Chave-CENARIO]],CENARIO[],2,FALSE), 0)</f>
        <v>15.546200000000001</v>
      </c>
      <c r="R33" s="116" t="str">
        <f>"CORRECAO_JURS_U" &amp; TEXT(DT_CALCULO_C, "-AAAAMMDD") &amp; TEXT(TAB_JUROS_U[[#This Row],[DT_EVE]], "-AAAAMMDD")</f>
        <v>CORRECAO_JURS_U-20151228-20160909</v>
      </c>
      <c r="S33" s="44">
        <f>IFERROR(VLOOKUP(TAB_JUROS_U[[#This Row],[Chave-CORC]],CORRECAO_JURS_U[],2, FALSE), 0)</f>
        <v>1.0139181799999999</v>
      </c>
      <c r="T33" s="78">
        <f>MAX(0, (TAB_JUROS_U[[#This Row],[CUPOM_TIR]] -1) * IF(TAB_JUROS_U[[#This Row],[ID_T_EVE]]=1, TAB_JUROS_U[[#This Row],[PU_AMORT]], TAB_JUROS_U[[#This Row],[V_NOML_PCPL]]) * TAB_JUROS_U[[#This Row],[CORRECAO_U]])</f>
        <v>211.16620429318482</v>
      </c>
      <c r="U33" s="78">
        <f>MAX(0, TAB_JUROS_U[[#This Row],[V_FUT_U_JURS-01]]/((((TAB_JUROS_U[[#This Row],[TX_CENARIO]]/100 +1)^(1/252) -1) * PC_IDXR/100 +1)^TAB_JUROS_U[[#This Row],[Q_DIAS_U_PARC_TIR]]))</f>
        <v>190.34869622498758</v>
      </c>
      <c r="V33" s="78">
        <f>+TAB_JUROS_U[[#This Row],[V_FUT_U_JURS CENARIO]]/TAB_JUROS_U[[#This Row],[VAR_DESCAP_U]]</f>
        <v>187.0021578915472</v>
      </c>
      <c r="W33" s="78"/>
      <c r="X33" s="64">
        <f>TAB_JUROS_U[[#This Row],[dt_eve_u]]- DT_CALCULO_C</f>
        <v>256</v>
      </c>
      <c r="Y33" s="48" t="str">
        <f>"CORRECAO_JURS_C" &amp; TEXT(DT_CALCULO_C, "-AAAAMMDD") &amp; TEXT(TAB_JUROS_U[[#This Row],[DT_EVE]], "-AAAAMMDD")</f>
        <v>CORRECAO_JURS_C-20151228-20160909</v>
      </c>
      <c r="Z33" s="44">
        <f>IFERROR(VLOOKUP(TAB_JUROS_C[[#This Row],[Chave-CORC]],CORRECAO_JURS_C[],2, FALSE), 0)</f>
        <v>1</v>
      </c>
      <c r="AA3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208.26749974360342</v>
      </c>
      <c r="AB33" s="63">
        <f>(TIR_C/100 +1)^(TAB_JUROS_C[[#This Row],[DIAS_CORRIDOS]]/360)</f>
        <v>1.0174616436005401</v>
      </c>
      <c r="AC33" s="78">
        <f>IF(TAB_JUROS_C[[#This Row],[DIAS_CORRIDOS]]&lt;0, 0, TAB_JUROS_C[[#This Row],[V_FUT_C_JURS]]/TAB_JUROS_C[[#This Row],[VAR_DESCAP_C]])</f>
        <v>204.69321969386215</v>
      </c>
      <c r="AD33" s="78">
        <f>TAB_JUROS_U[[#This Row],[V_FUT_U_JURS CENARIO]]</f>
        <v>190.34869622498758</v>
      </c>
      <c r="AE33" s="124">
        <f>IF(TAB_JUROS_C[[#This Row],[DIAS_CORRIDOS]]&lt;0, 0, TAB_JUROS_C[[#This Row],[V_FUT_UTEIS]]/TAB_JUROS_C[[#This Row],[VAR_DESCAP_C]])</f>
        <v>187.08193809782503</v>
      </c>
    </row>
    <row r="34" spans="1:32">
      <c r="A34" s="82">
        <f t="shared" si="1"/>
        <v>10</v>
      </c>
      <c r="B34" s="24">
        <f>VLOOKUP($A34, CAD_JUROS[#Data], MATCH(B$24, CAD_JUROS[#Headers],0), FALSE)</f>
        <v>2</v>
      </c>
      <c r="C34" s="24" t="str">
        <f>VLOOKUP($A34, CAD_JUROS[#Data], MATCH(C$24, CAD_JUROS[#Headers],0), FALSE)</f>
        <v xml:space="preserve">JUROS SOBRE PRINCIPAL                             </v>
      </c>
      <c r="D34" s="36">
        <f>VLOOKUP($A34, CAD_JUROS[#Data], MATCH(D$24, CAD_JUROS[#Headers],0), FALSE)</f>
        <v>42654</v>
      </c>
      <c r="E34" s="48">
        <f>VLOOKUP($A34, CAD_JUROS[#Data], MATCH(E$24, CAD_JUROS[#Headers],0), FALSE)</f>
        <v>0</v>
      </c>
      <c r="F34" s="36">
        <f>VLOOKUP($A34, CAD_JUROS[#Data], MATCH(F$24, CAD_JUROS[#Headers],0), FALSE)</f>
        <v>42660</v>
      </c>
      <c r="G34" s="47">
        <f>WORKDAY(WORKDAY(TAB_JUROS_U[[#This Row],[DT_EVE]], -1, TAB_FERIADOS[FER_DATA]), 1, TAB_FERIADOS[FER_DATA])</f>
        <v>42654</v>
      </c>
      <c r="H34" s="75">
        <f>WORKDAY(WORKDAY(TAB_JUROS_U[[#This Row],[DT_LQDC_EVE]], -1, TAB_FERIADOS[FER_DATA]), 1, TAB_FERIADOS[FER_DATA])</f>
        <v>42660</v>
      </c>
      <c r="I34" s="48">
        <f>PU_EMISSAO - SUMIF(TAB_AMORTIZACAO_U[DT_EVE], "&lt;" &amp; TAB_JUROS_U[[#This Row],[DT_EVE]], TAB_AMORTIZACAO_U[V_PU_AMTC])</f>
        <v>91424.080348999996</v>
      </c>
      <c r="J34" s="48">
        <f>IFERROR(VLOOKUP(TAB_JUROS_U[[#This Row],[DT_EVE]], TAB_AMORTIZACAO_U[[DT_EVE]:[V_PU_AMTC]], 2, FALSE), 0)</f>
        <v>889.64772500000004</v>
      </c>
      <c r="K34" s="48">
        <f>NETWORKDAYS(DT_CALCULO_U, TAB_JUROS_U[[#This Row],[dt_eve_u]], TAB_FERIADOS[FER_DATA]) -1</f>
        <v>199</v>
      </c>
      <c r="L34" s="48">
        <f>NETWORKDAYS(DT_CALCULO_U, TAB_JUROS_U[[#This Row],[dt_lqdc_eve_u]], TAB_FERIADOS[FER_DATA]) -1</f>
        <v>202</v>
      </c>
      <c r="M34" s="48">
        <f>NETWORKDAYS(IF(ISTEXT(H33), DT_B_JURS, H33), TAB_JUROS_U[[#This Row],[dt_lqdc_eve_u]],  TAB_FERIADOS[FER_DATA]) -1</f>
        <v>21</v>
      </c>
      <c r="N34" s="123">
        <f>(TX_EMISSAO/100 +1)^(TAB_JUROS_U[[#This Row],[dias_periodo_u]]/252)</f>
        <v>1.0020598362698427</v>
      </c>
      <c r="O34" s="78">
        <f>(TIR_U/100 +1)^(TAB_JUROS_U[[#This Row],[Q_DIAS_U_PARC_TIR]]/252)</f>
        <v>1.0199926449832779</v>
      </c>
      <c r="P34" s="116" t="str">
        <f>"TX_CENARIO" &amp; TEXT(DT_CALCULO_C, "-AAAAMMDD") &amp; TEXT(TAB_JUROS_U[[#This Row],[DT_EVE]], "-AAAAMMDD")</f>
        <v>TX_CENARIO-20151228-20161011</v>
      </c>
      <c r="Q34" s="44">
        <f>IFERROR(VLOOKUP(TAB_JUROS_U[[#This Row],[Chave-CENARIO]],CENARIO[],2,FALSE), 0)</f>
        <v>15.672599999999999</v>
      </c>
      <c r="R34" s="116" t="str">
        <f>"CORRECAO_JURS_U" &amp; TEXT(DT_CALCULO_C, "-AAAAMMDD") &amp; TEXT(TAB_JUROS_U[[#This Row],[DT_EVE]], "-AAAAMMDD")</f>
        <v>CORRECAO_JURS_U-20151228-20161011</v>
      </c>
      <c r="S34" s="44">
        <f>IFERROR(VLOOKUP(TAB_JUROS_U[[#This Row],[Chave-CORC]],CORRECAO_JURS_U[],2, FALSE), 0)</f>
        <v>1.0133826699999999</v>
      </c>
      <c r="T34" s="78">
        <f>MAX(0, (TAB_JUROS_U[[#This Row],[CUPOM_TIR]] -1) * IF(TAB_JUROS_U[[#This Row],[ID_T_EVE]]=1, TAB_JUROS_U[[#This Row],[PU_AMORT]], TAB_JUROS_U[[#This Row],[V_NOML_PCPL]]) * TAB_JUROS_U[[#This Row],[CORRECAO_U]])</f>
        <v>190.8388428088887</v>
      </c>
      <c r="U34" s="78">
        <f>MAX(0, TAB_JUROS_U[[#This Row],[V_FUT_U_JURS-01]]/((((TAB_JUROS_U[[#This Row],[TX_CENARIO]]/100 +1)^(1/252) -1) * PC_IDXR/100 +1)^TAB_JUROS_U[[#This Row],[Q_DIAS_U_PARC_TIR]]))</f>
        <v>169.81733092419108</v>
      </c>
      <c r="V34" s="78">
        <f>+TAB_JUROS_U[[#This Row],[V_FUT_U_JURS CENARIO]]/TAB_JUROS_U[[#This Row],[VAR_DESCAP_U]]</f>
        <v>166.48877985485387</v>
      </c>
      <c r="W34" s="78"/>
      <c r="X34" s="64">
        <f>TAB_JUROS_U[[#This Row],[dt_eve_u]]- DT_CALCULO_C</f>
        <v>288</v>
      </c>
      <c r="Y34" s="48" t="str">
        <f>"CORRECAO_JURS_C" &amp; TEXT(DT_CALCULO_C, "-AAAAMMDD") &amp; TEXT(TAB_JUROS_U[[#This Row],[DT_EVE]], "-AAAAMMDD")</f>
        <v>CORRECAO_JURS_C-20151228-20161011</v>
      </c>
      <c r="Z34" s="44">
        <f>IFERROR(VLOOKUP(TAB_JUROS_C[[#This Row],[Chave-CORC]],CORRECAO_JURS_C[],2, FALSE), 0)</f>
        <v>1</v>
      </c>
      <c r="AA3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188.31863663988719</v>
      </c>
      <c r="AB34" s="63">
        <f>(TIR_C/100 +1)^(TAB_JUROS_C[[#This Row],[DIAS_CORRIDOS]]/360)</f>
        <v>1.019665679661375</v>
      </c>
      <c r="AC34" s="78">
        <f>IF(TAB_JUROS_C[[#This Row],[DIAS_CORRIDOS]]&lt;0, 0, TAB_JUROS_C[[#This Row],[V_FUT_C_JURS]]/TAB_JUROS_C[[#This Row],[VAR_DESCAP_C]])</f>
        <v>184.68664817906463</v>
      </c>
      <c r="AD34" s="78">
        <f>TAB_JUROS_U[[#This Row],[V_FUT_U_JURS CENARIO]]</f>
        <v>169.81733092419108</v>
      </c>
      <c r="AE34" s="124">
        <f>IF(TAB_JUROS_C[[#This Row],[DIAS_CORRIDOS]]&lt;0, 0, TAB_JUROS_C[[#This Row],[V_FUT_UTEIS]]/TAB_JUROS_C[[#This Row],[VAR_DESCAP_C]])</f>
        <v>166.54216603679984</v>
      </c>
    </row>
    <row r="35" spans="1:32">
      <c r="A35" s="82">
        <f t="shared" si="1"/>
        <v>11</v>
      </c>
      <c r="B35" s="24">
        <f>VLOOKUP($A35, CAD_JUROS[#Data], MATCH(B$24, CAD_JUROS[#Headers],0), FALSE)</f>
        <v>2</v>
      </c>
      <c r="C35" s="24" t="str">
        <f>VLOOKUP($A35, CAD_JUROS[#Data], MATCH(C$24, CAD_JUROS[#Headers],0), FALSE)</f>
        <v xml:space="preserve">JUROS SOBRE PRINCIPAL                             </v>
      </c>
      <c r="D35" s="36">
        <f>VLOOKUP($A35, CAD_JUROS[#Data], MATCH(D$24, CAD_JUROS[#Headers],0), FALSE)</f>
        <v>42684</v>
      </c>
      <c r="E35" s="48">
        <f>VLOOKUP($A35, CAD_JUROS[#Data], MATCH(E$24, CAD_JUROS[#Headers],0), FALSE)</f>
        <v>0</v>
      </c>
      <c r="F35" s="36">
        <f>VLOOKUP($A35, CAD_JUROS[#Data], MATCH(F$24, CAD_JUROS[#Headers],0), FALSE)</f>
        <v>42690</v>
      </c>
      <c r="G35" s="47">
        <f>WORKDAY(WORKDAY(TAB_JUROS_U[[#This Row],[DT_EVE]], -1, TAB_FERIADOS[FER_DATA]), 1, TAB_FERIADOS[FER_DATA])</f>
        <v>42684</v>
      </c>
      <c r="H35" s="75">
        <f>WORKDAY(WORKDAY(TAB_JUROS_U[[#This Row],[DT_LQDC_EVE]], -1, TAB_FERIADOS[FER_DATA]), 1, TAB_FERIADOS[FER_DATA])</f>
        <v>42690</v>
      </c>
      <c r="I35" s="48">
        <f>PU_EMISSAO - SUMIF(TAB_AMORTIZACAO_U[DT_EVE], "&lt;" &amp; TAB_JUROS_U[[#This Row],[DT_EVE]], TAB_AMORTIZACAO_U[V_PU_AMTC])</f>
        <v>90534.432623999994</v>
      </c>
      <c r="J35" s="48">
        <f>IFERROR(VLOOKUP(TAB_JUROS_U[[#This Row],[DT_EVE]], TAB_AMORTIZACAO_U[[DT_EVE]:[V_PU_AMTC]], 2, FALSE), 0)</f>
        <v>886.96583599999997</v>
      </c>
      <c r="K35" s="48">
        <f>NETWORKDAYS(DT_CALCULO_U, TAB_JUROS_U[[#This Row],[dt_eve_u]], TAB_FERIADOS[FER_DATA]) -1</f>
        <v>219</v>
      </c>
      <c r="L35" s="48">
        <f>NETWORKDAYS(DT_CALCULO_U, TAB_JUROS_U[[#This Row],[dt_lqdc_eve_u]], TAB_FERIADOS[FER_DATA]) -1</f>
        <v>222</v>
      </c>
      <c r="M35" s="48">
        <f>NETWORKDAYS(IF(ISTEXT(H34), DT_B_JURS, H34), TAB_JUROS_U[[#This Row],[dt_lqdc_eve_u]],  TAB_FERIADOS[FER_DATA]) -1</f>
        <v>20</v>
      </c>
      <c r="N35" s="123">
        <f>(TX_EMISSAO/100 +1)^(TAB_JUROS_U[[#This Row],[dias_periodo_u]]/252)</f>
        <v>1.0019616526860928</v>
      </c>
      <c r="O35" s="78">
        <f>(TIR_U/100 +1)^(TAB_JUROS_U[[#This Row],[Q_DIAS_U_PARC_TIR]]/252)</f>
        <v>1.0219937320039612</v>
      </c>
      <c r="P35" s="116" t="str">
        <f>"TX_CENARIO" &amp; TEXT(DT_CALCULO_C, "-AAAAMMDD") &amp; TEXT(TAB_JUROS_U[[#This Row],[DT_EVE]], "-AAAAMMDD")</f>
        <v>TX_CENARIO-20151228-20161110</v>
      </c>
      <c r="Q35" s="44">
        <f>IFERROR(VLOOKUP(TAB_JUROS_U[[#This Row],[Chave-CENARIO]],CENARIO[],2,FALSE), 0)</f>
        <v>15.7506</v>
      </c>
      <c r="R35" s="116" t="str">
        <f>"CORRECAO_JURS_U" &amp; TEXT(DT_CALCULO_C, "-AAAAMMDD") &amp; TEXT(TAB_JUROS_U[[#This Row],[DT_EVE]], "-AAAAMMDD")</f>
        <v>CORRECAO_JURS_U-20151228-20161110</v>
      </c>
      <c r="S35" s="44">
        <f>IFERROR(VLOOKUP(TAB_JUROS_U[[#This Row],[Chave-CORC]],CORRECAO_JURS_U[],2, FALSE), 0)</f>
        <v>1.0123268700000001</v>
      </c>
      <c r="T35" s="78">
        <f>MAX(0, (TAB_JUROS_U[[#This Row],[CUPOM_TIR]] -1) * IF(TAB_JUROS_U[[#This Row],[ID_T_EVE]]=1, TAB_JUROS_U[[#This Row],[PU_AMORT]], TAB_JUROS_U[[#This Row],[V_NOML_PCPL]]) * TAB_JUROS_U[[#This Row],[CORRECAO_U]])</f>
        <v>179.78632946435599</v>
      </c>
      <c r="U35" s="78">
        <f>MAX(0, TAB_JUROS_U[[#This Row],[V_FUT_U_JURS-01]]/((((TAB_JUROS_U[[#This Row],[TX_CENARIO]]/100 +1)^(1/252) -1) * PC_IDXR/100 +1)^TAB_JUROS_U[[#This Row],[Q_DIAS_U_PARC_TIR]]))</f>
        <v>158.05043911702776</v>
      </c>
      <c r="V35" s="78">
        <f>+TAB_JUROS_U[[#This Row],[V_FUT_U_JURS CENARIO]]/TAB_JUROS_U[[#This Row],[VAR_DESCAP_U]]</f>
        <v>154.64912764887208</v>
      </c>
      <c r="W35" s="78"/>
      <c r="X35" s="64">
        <f>TAB_JUROS_U[[#This Row],[dt_eve_u]]- DT_CALCULO_C</f>
        <v>318</v>
      </c>
      <c r="Y35" s="48" t="str">
        <f>"CORRECAO_JURS_C" &amp; TEXT(DT_CALCULO_C, "-AAAAMMDD") &amp; TEXT(TAB_JUROS_U[[#This Row],[DT_EVE]], "-AAAAMMDD")</f>
        <v>CORRECAO_JURS_C-20151228-20161110</v>
      </c>
      <c r="Z35" s="44">
        <f>IFERROR(VLOOKUP(TAB_JUROS_C[[#This Row],[Chave-CORC]],CORRECAO_JURS_C[],2, FALSE), 0)</f>
        <v>1</v>
      </c>
      <c r="AA3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177.5971129407599</v>
      </c>
      <c r="AB35" s="63">
        <f>(TIR_C/100 +1)^(TAB_JUROS_C[[#This Row],[DIAS_CORRIDOS]]/360)</f>
        <v>1.0217362994032659</v>
      </c>
      <c r="AC35" s="78">
        <f>IF(TAB_JUROS_C[[#This Row],[DIAS_CORRIDOS]]&lt;0, 0, TAB_JUROS_C[[#This Row],[V_FUT_C_JURS]]/TAB_JUROS_C[[#This Row],[VAR_DESCAP_C]])</f>
        <v>173.8189325802397</v>
      </c>
      <c r="AD35" s="78">
        <f>TAB_JUROS_U[[#This Row],[V_FUT_U_JURS CENARIO]]</f>
        <v>158.05043911702776</v>
      </c>
      <c r="AE35" s="124">
        <f>IF(TAB_JUROS_C[[#This Row],[DIAS_CORRIDOS]]&lt;0, 0, TAB_JUROS_C[[#This Row],[V_FUT_UTEIS]]/TAB_JUROS_C[[#This Row],[VAR_DESCAP_C]])</f>
        <v>154.68809242593753</v>
      </c>
      <c r="AF35" s="64"/>
    </row>
    <row r="36" spans="1:32">
      <c r="A36" s="82">
        <f t="shared" si="1"/>
        <v>12</v>
      </c>
      <c r="B36" s="24">
        <f>VLOOKUP($A36, CAD_JUROS[#Data], MATCH(B$24, CAD_JUROS[#Headers],0), FALSE)</f>
        <v>2</v>
      </c>
      <c r="C36" s="24" t="str">
        <f>VLOOKUP($A36, CAD_JUROS[#Data], MATCH(C$24, CAD_JUROS[#Headers],0), FALSE)</f>
        <v xml:space="preserve">JUROS SOBRE PRINCIPAL                             </v>
      </c>
      <c r="D36" s="36">
        <f>VLOOKUP($A36, CAD_JUROS[#Data], MATCH(D$24, CAD_JUROS[#Headers],0), FALSE)</f>
        <v>42712</v>
      </c>
      <c r="E36" s="48">
        <f>VLOOKUP($A36, CAD_JUROS[#Data], MATCH(E$24, CAD_JUROS[#Headers],0), FALSE)</f>
        <v>0</v>
      </c>
      <c r="F36" s="36">
        <f>VLOOKUP($A36, CAD_JUROS[#Data], MATCH(F$24, CAD_JUROS[#Headers],0), FALSE)</f>
        <v>42718</v>
      </c>
      <c r="G36" s="47">
        <f>WORKDAY(WORKDAY(TAB_JUROS_U[[#This Row],[DT_EVE]], -1, TAB_FERIADOS[FER_DATA]), 1, TAB_FERIADOS[FER_DATA])</f>
        <v>42712</v>
      </c>
      <c r="H36" s="75">
        <f>WORKDAY(WORKDAY(TAB_JUROS_U[[#This Row],[DT_LQDC_EVE]], -1, TAB_FERIADOS[FER_DATA]), 1, TAB_FERIADOS[FER_DATA])</f>
        <v>42718</v>
      </c>
      <c r="I36" s="48">
        <f>PU_EMISSAO - SUMIF(TAB_AMORTIZACAO_U[DT_EVE], "&lt;" &amp; TAB_JUROS_U[[#This Row],[DT_EVE]], TAB_AMORTIZACAO_U[V_PU_AMTC])</f>
        <v>89647.466788000005</v>
      </c>
      <c r="J36" s="48">
        <f>IFERROR(VLOOKUP(TAB_JUROS_U[[#This Row],[DT_EVE]], TAB_AMORTIZACAO_U[[DT_EVE]:[V_PU_AMTC]], 2, FALSE), 0)</f>
        <v>875.58680800000002</v>
      </c>
      <c r="K36" s="48">
        <f>NETWORKDAYS(DT_CALCULO_U, TAB_JUROS_U[[#This Row],[dt_eve_u]], TAB_FERIADOS[FER_DATA]) -1</f>
        <v>238</v>
      </c>
      <c r="L36" s="48">
        <f>NETWORKDAYS(DT_CALCULO_U, TAB_JUROS_U[[#This Row],[dt_lqdc_eve_u]], TAB_FERIADOS[FER_DATA]) -1</f>
        <v>242</v>
      </c>
      <c r="M36" s="48">
        <f>NETWORKDAYS(IF(ISTEXT(H35), DT_B_JURS, H35), TAB_JUROS_U[[#This Row],[dt_lqdc_eve_u]],  TAB_FERIADOS[FER_DATA]) -1</f>
        <v>20</v>
      </c>
      <c r="N36" s="123">
        <f>(TX_EMISSAO/100 +1)^(TAB_JUROS_U[[#This Row],[dias_periodo_u]]/252)</f>
        <v>1.0019616526860928</v>
      </c>
      <c r="O36" s="78">
        <f>(TIR_U/100 +1)^(TAB_JUROS_U[[#This Row],[Q_DIAS_U_PARC_TIR]]/252)</f>
        <v>1.023998744885565</v>
      </c>
      <c r="P36" s="116" t="str">
        <f>"TX_CENARIO" &amp; TEXT(DT_CALCULO_C, "-AAAAMMDD") &amp; TEXT(TAB_JUROS_U[[#This Row],[DT_EVE]], "-AAAAMMDD")</f>
        <v>TX_CENARIO-20151228-20161208</v>
      </c>
      <c r="Q36" s="44">
        <f>IFERROR(VLOOKUP(TAB_JUROS_U[[#This Row],[Chave-CENARIO]],CENARIO[],2,FALSE), 0)</f>
        <v>15.8056</v>
      </c>
      <c r="R36" s="116" t="str">
        <f>"CORRECAO_JURS_U" &amp; TEXT(DT_CALCULO_C, "-AAAAMMDD") &amp; TEXT(TAB_JUROS_U[[#This Row],[DT_EVE]], "-AAAAMMDD")</f>
        <v>CORRECAO_JURS_U-20151228-20161208</v>
      </c>
      <c r="S36" s="44">
        <f>IFERROR(VLOOKUP(TAB_JUROS_U[[#This Row],[Chave-CORC]],CORRECAO_JURS_U[],2, FALSE), 0)</f>
        <v>1.01159081</v>
      </c>
      <c r="T36" s="78">
        <f>MAX(0, (TAB_JUROS_U[[#This Row],[CUPOM_TIR]] -1) * IF(TAB_JUROS_U[[#This Row],[ID_T_EVE]]=1, TAB_JUROS_U[[#This Row],[PU_AMORT]], TAB_JUROS_U[[#This Row],[V_NOML_PCPL]]) * TAB_JUROS_U[[#This Row],[CORRECAO_U]])</f>
        <v>177.89552134918756</v>
      </c>
      <c r="U36" s="78">
        <f>MAX(0, TAB_JUROS_U[[#This Row],[V_FUT_U_JURS-01]]/((((TAB_JUROS_U[[#This Row],[TX_CENARIO]]/100 +1)^(1/252) -1) * PC_IDXR/100 +1)^TAB_JUROS_U[[#This Row],[Q_DIAS_U_PARC_TIR]]))</f>
        <v>154.51277925213827</v>
      </c>
      <c r="V36" s="78">
        <f>+TAB_JUROS_U[[#This Row],[V_FUT_U_JURS CENARIO]]/TAB_JUROS_U[[#This Row],[VAR_DESCAP_U]]</f>
        <v>150.8915709358663</v>
      </c>
      <c r="W36" s="78"/>
      <c r="X36" s="64">
        <f>TAB_JUROS_U[[#This Row],[dt_eve_u]]- DT_CALCULO_C</f>
        <v>346</v>
      </c>
      <c r="Y36" s="48" t="str">
        <f>"CORRECAO_JURS_C" &amp; TEXT(DT_CALCULO_C, "-AAAAMMDD") &amp; TEXT(TAB_JUROS_U[[#This Row],[DT_EVE]], "-AAAAMMDD")</f>
        <v>CORRECAO_JURS_C-20151228-20161208</v>
      </c>
      <c r="Z36" s="44">
        <f>IFERROR(VLOOKUP(TAB_JUROS_C[[#This Row],[Chave-CORC]],CORRECAO_JURS_C[],2, FALSE), 0)</f>
        <v>1</v>
      </c>
      <c r="AA3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175.85719402609794</v>
      </c>
      <c r="AB36" s="63">
        <f>(TIR_C/100 +1)^(TAB_JUROS_C[[#This Row],[DIAS_CORRIDOS]]/360)</f>
        <v>1.0236726713005759</v>
      </c>
      <c r="AC36" s="78">
        <f>IF(TAB_JUROS_C[[#This Row],[DIAS_CORRIDOS]]&lt;0, 0, TAB_JUROS_C[[#This Row],[V_FUT_C_JURS]]/TAB_JUROS_C[[#This Row],[VAR_DESCAP_C]])</f>
        <v>171.79045505109696</v>
      </c>
      <c r="AD36" s="78">
        <f>TAB_JUROS_U[[#This Row],[V_FUT_U_JURS CENARIO]]</f>
        <v>154.51277925213827</v>
      </c>
      <c r="AE36" s="124">
        <f>IF(TAB_JUROS_C[[#This Row],[DIAS_CORRIDOS]]&lt;0, 0, TAB_JUROS_C[[#This Row],[V_FUT_UTEIS]]/TAB_JUROS_C[[#This Row],[VAR_DESCAP_C]])</f>
        <v>150.93963488917782</v>
      </c>
      <c r="AF36" s="64"/>
    </row>
    <row r="37" spans="1:32">
      <c r="A37" s="82">
        <f t="shared" si="1"/>
        <v>13</v>
      </c>
      <c r="B37" s="24">
        <f>VLOOKUP($A37, CAD_JUROS[#Data], MATCH(B$24, CAD_JUROS[#Headers],0), FALSE)</f>
        <v>2</v>
      </c>
      <c r="C37" s="24" t="str">
        <f>VLOOKUP($A37, CAD_JUROS[#Data], MATCH(C$24, CAD_JUROS[#Headers],0), FALSE)</f>
        <v xml:space="preserve">JUROS SOBRE PRINCIPAL                             </v>
      </c>
      <c r="D37" s="36">
        <f>VLOOKUP($A37, CAD_JUROS[#Data], MATCH(D$24, CAD_JUROS[#Headers],0), FALSE)</f>
        <v>42744</v>
      </c>
      <c r="E37" s="48">
        <f>VLOOKUP($A37, CAD_JUROS[#Data], MATCH(E$24, CAD_JUROS[#Headers],0), FALSE)</f>
        <v>0</v>
      </c>
      <c r="F37" s="36">
        <f>VLOOKUP($A37, CAD_JUROS[#Data], MATCH(F$24, CAD_JUROS[#Headers],0), FALSE)</f>
        <v>42748</v>
      </c>
      <c r="G37" s="47">
        <f>WORKDAY(WORKDAY(TAB_JUROS_U[[#This Row],[DT_EVE]], -1, TAB_FERIADOS[FER_DATA]), 1, TAB_FERIADOS[FER_DATA])</f>
        <v>42744</v>
      </c>
      <c r="H37" s="75">
        <f>WORKDAY(WORKDAY(TAB_JUROS_U[[#This Row],[DT_LQDC_EVE]], -1, TAB_FERIADOS[FER_DATA]), 1, TAB_FERIADOS[FER_DATA])</f>
        <v>42748</v>
      </c>
      <c r="I37" s="48">
        <f>PU_EMISSAO - SUMIF(TAB_AMORTIZACAO_U[DT_EVE], "&lt;" &amp; TAB_JUROS_U[[#This Row],[DT_EVE]], TAB_AMORTIZACAO_U[V_PU_AMTC])</f>
        <v>88771.879979999998</v>
      </c>
      <c r="J37" s="48">
        <f>IFERROR(VLOOKUP(TAB_JUROS_U[[#This Row],[DT_EVE]], TAB_AMORTIZACAO_U[[DT_EVE]:[V_PU_AMTC]], 2, FALSE), 0)</f>
        <v>928.64263600000004</v>
      </c>
      <c r="K37" s="48">
        <f>NETWORKDAYS(DT_CALCULO_U, TAB_JUROS_U[[#This Row],[dt_eve_u]], TAB_FERIADOS[FER_DATA]) -1</f>
        <v>260</v>
      </c>
      <c r="L37" s="48">
        <f>NETWORKDAYS(DT_CALCULO_U, TAB_JUROS_U[[#This Row],[dt_lqdc_eve_u]], TAB_FERIADOS[FER_DATA]) -1</f>
        <v>264</v>
      </c>
      <c r="M37" s="48">
        <f>NETWORKDAYS(IF(ISTEXT(H36), DT_B_JURS, H36), TAB_JUROS_U[[#This Row],[dt_lqdc_eve_u]],  TAB_FERIADOS[FER_DATA]) -1</f>
        <v>22</v>
      </c>
      <c r="N37" s="123">
        <f>(TX_EMISSAO/100 +1)^(TAB_JUROS_U[[#This Row],[dias_periodo_u]]/252)</f>
        <v>1.0021580294747356</v>
      </c>
      <c r="O37" s="78">
        <f>(TIR_U/100 +1)^(TAB_JUROS_U[[#This Row],[Q_DIAS_U_PARC_TIR]]/252)</f>
        <v>1.0262088026174876</v>
      </c>
      <c r="P37" s="116" t="str">
        <f>"TX_CENARIO" &amp; TEXT(DT_CALCULO_C, "-AAAAMMDD") &amp; TEXT(TAB_JUROS_U[[#This Row],[DT_EVE]], "-AAAAMMDD")</f>
        <v>TX_CENARIO-20151228-20170109</v>
      </c>
      <c r="Q37" s="44">
        <f>IFERROR(VLOOKUP(TAB_JUROS_U[[#This Row],[Chave-CENARIO]],CENARIO[],2,FALSE), 0)</f>
        <v>15.8864</v>
      </c>
      <c r="R37" s="116" t="str">
        <f>"CORRECAO_JURS_U" &amp; TEXT(DT_CALCULO_C, "-AAAAMMDD") &amp; TEXT(TAB_JUROS_U[[#This Row],[DT_EVE]], "-AAAAMMDD")</f>
        <v>CORRECAO_JURS_U-20151228-20170109</v>
      </c>
      <c r="S37" s="44">
        <f>IFERROR(VLOOKUP(TAB_JUROS_U[[#This Row],[Chave-CORC]],CORRECAO_JURS_U[],2, FALSE), 0)</f>
        <v>1.0132758900000001</v>
      </c>
      <c r="T37" s="78">
        <f>MAX(0, (TAB_JUROS_U[[#This Row],[CUPOM_TIR]] -1) * IF(TAB_JUROS_U[[#This Row],[ID_T_EVE]]=1, TAB_JUROS_U[[#This Row],[PU_AMORT]], TAB_JUROS_U[[#This Row],[V_NOML_PCPL]]) * TAB_JUROS_U[[#This Row],[CORRECAO_U]])</f>
        <v>194.11562675145024</v>
      </c>
      <c r="U37" s="78">
        <f>MAX(0, TAB_JUROS_U[[#This Row],[V_FUT_U_JURS-01]]/((((TAB_JUROS_U[[#This Row],[TX_CENARIO]]/100 +1)^(1/252) -1) * PC_IDXR/100 +1)^TAB_JUROS_U[[#This Row],[Q_DIAS_U_PARC_TIR]]))</f>
        <v>166.33316884055742</v>
      </c>
      <c r="V37" s="78">
        <f>+TAB_JUROS_U[[#This Row],[V_FUT_U_JURS CENARIO]]/TAB_JUROS_U[[#This Row],[VAR_DESCAP_U]]</f>
        <v>162.08511212952143</v>
      </c>
      <c r="W37" s="78"/>
      <c r="X37" s="64">
        <f>TAB_JUROS_U[[#This Row],[dt_eve_u]]- DT_CALCULO_C</f>
        <v>378</v>
      </c>
      <c r="Y37" s="48" t="str">
        <f>"CORRECAO_JURS_C" &amp; TEXT(DT_CALCULO_C, "-AAAAMMDD") &amp; TEXT(TAB_JUROS_U[[#This Row],[DT_EVE]], "-AAAAMMDD")</f>
        <v>CORRECAO_JURS_C-20151228-20170109</v>
      </c>
      <c r="Z37" s="44">
        <f>IFERROR(VLOOKUP(TAB_JUROS_C[[#This Row],[Chave-CORC]],CORRECAO_JURS_C[],2, FALSE), 0)</f>
        <v>1</v>
      </c>
      <c r="AA3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191.57233352453517</v>
      </c>
      <c r="AB37" s="63">
        <f>(TIR_C/100 +1)^(TAB_JUROS_C[[#This Row],[DIAS_CORRIDOS]]/360)</f>
        <v>1.0258901617546174</v>
      </c>
      <c r="AC37" s="78">
        <f>IF(TAB_JUROS_C[[#This Row],[DIAS_CORRIDOS]]&lt;0, 0, TAB_JUROS_C[[#This Row],[V_FUT_C_JURS]]/TAB_JUROS_C[[#This Row],[VAR_DESCAP_C]])</f>
        <v>186.73766516766474</v>
      </c>
      <c r="AD37" s="78">
        <f>TAB_JUROS_U[[#This Row],[V_FUT_U_JURS CENARIO]]</f>
        <v>166.33316884055742</v>
      </c>
      <c r="AE37" s="124">
        <f>IF(TAB_JUROS_C[[#This Row],[DIAS_CORRIDOS]]&lt;0, 0, TAB_JUROS_C[[#This Row],[V_FUT_UTEIS]]/TAB_JUROS_C[[#This Row],[VAR_DESCAP_C]])</f>
        <v>162.13545566717565</v>
      </c>
      <c r="AF37" s="64"/>
    </row>
    <row r="38" spans="1:32">
      <c r="A38" s="82">
        <f t="shared" si="1"/>
        <v>14</v>
      </c>
      <c r="B38" s="24">
        <f>VLOOKUP($A38, CAD_JUROS[#Data], MATCH(B$24, CAD_JUROS[#Headers],0), FALSE)</f>
        <v>2</v>
      </c>
      <c r="C38" s="24" t="str">
        <f>VLOOKUP($A38, CAD_JUROS[#Data], MATCH(C$24, CAD_JUROS[#Headers],0), FALSE)</f>
        <v xml:space="preserve">JUROS SOBRE PRINCIPAL                             </v>
      </c>
      <c r="D38" s="36">
        <f>VLOOKUP($A38, CAD_JUROS[#Data], MATCH(D$24, CAD_JUROS[#Headers],0), FALSE)</f>
        <v>42774</v>
      </c>
      <c r="E38" s="48">
        <f>VLOOKUP($A38, CAD_JUROS[#Data], MATCH(E$24, CAD_JUROS[#Headers],0), FALSE)</f>
        <v>0</v>
      </c>
      <c r="F38" s="36">
        <f>VLOOKUP($A38, CAD_JUROS[#Data], MATCH(F$24, CAD_JUROS[#Headers],0), FALSE)</f>
        <v>42780</v>
      </c>
      <c r="G38" s="47">
        <f>WORKDAY(WORKDAY(TAB_JUROS_U[[#This Row],[DT_EVE]], -1, TAB_FERIADOS[FER_DATA]), 1, TAB_FERIADOS[FER_DATA])</f>
        <v>42774</v>
      </c>
      <c r="H38" s="75">
        <f>WORKDAY(WORKDAY(TAB_JUROS_U[[#This Row],[DT_LQDC_EVE]], -1, TAB_FERIADOS[FER_DATA]), 1, TAB_FERIADOS[FER_DATA])</f>
        <v>42780</v>
      </c>
      <c r="I38" s="48">
        <f>PU_EMISSAO - SUMIF(TAB_AMORTIZACAO_U[DT_EVE], "&lt;" &amp; TAB_JUROS_U[[#This Row],[DT_EVE]], TAB_AMORTIZACAO_U[V_PU_AMTC])</f>
        <v>87843.237343999994</v>
      </c>
      <c r="J38" s="48">
        <f>IFERROR(VLOOKUP(TAB_JUROS_U[[#This Row],[DT_EVE]], TAB_AMORTIZACAO_U[[DT_EVE]:[V_PU_AMTC]], 2, FALSE), 0)</f>
        <v>915.50221899999997</v>
      </c>
      <c r="K38" s="48">
        <f>NETWORKDAYS(DT_CALCULO_U, TAB_JUROS_U[[#This Row],[dt_eve_u]], TAB_FERIADOS[FER_DATA]) -1</f>
        <v>282</v>
      </c>
      <c r="L38" s="48">
        <f>NETWORKDAYS(DT_CALCULO_U, TAB_JUROS_U[[#This Row],[dt_lqdc_eve_u]], TAB_FERIADOS[FER_DATA]) -1</f>
        <v>286</v>
      </c>
      <c r="M38" s="48">
        <f>NETWORKDAYS(IF(ISTEXT(H37), DT_B_JURS, H37), TAB_JUROS_U[[#This Row],[dt_lqdc_eve_u]],  TAB_FERIADOS[FER_DATA]) -1</f>
        <v>22</v>
      </c>
      <c r="N38" s="123">
        <f>(TX_EMISSAO/100 +1)^(TAB_JUROS_U[[#This Row],[dias_periodo_u]]/252)</f>
        <v>1.0021580294747356</v>
      </c>
      <c r="O38" s="78">
        <f>(TIR_U/100 +1)^(TAB_JUROS_U[[#This Row],[Q_DIAS_U_PARC_TIR]]/252)</f>
        <v>1.0284236302333605</v>
      </c>
      <c r="P38" s="116" t="str">
        <f>"TX_CENARIO" &amp; TEXT(DT_CALCULO_C, "-AAAAMMDD") &amp; TEXT(TAB_JUROS_U[[#This Row],[DT_EVE]], "-AAAAMMDD")</f>
        <v>TX_CENARIO-20151228-20170208</v>
      </c>
      <c r="Q38" s="44">
        <f>IFERROR(VLOOKUP(TAB_JUROS_U[[#This Row],[Chave-CENARIO]],CENARIO[],2,FALSE), 0)</f>
        <v>15.9948</v>
      </c>
      <c r="R38" s="116" t="str">
        <f>"CORRECAO_JURS_U" &amp; TEXT(DT_CALCULO_C, "-AAAAMMDD") &amp; TEXT(TAB_JUROS_U[[#This Row],[DT_EVE]], "-AAAAMMDD")</f>
        <v>CORRECAO_JURS_U-20151228-20170208</v>
      </c>
      <c r="S38" s="44">
        <f>IFERROR(VLOOKUP(TAB_JUROS_U[[#This Row],[Chave-CORC]],CORRECAO_JURS_U[],2, FALSE), 0)</f>
        <v>1.01398418</v>
      </c>
      <c r="T38" s="78">
        <f>MAX(0, (TAB_JUROS_U[[#This Row],[CUPOM_TIR]] -1) * IF(TAB_JUROS_U[[#This Row],[ID_T_EVE]]=1, TAB_JUROS_U[[#This Row],[PU_AMORT]], TAB_JUROS_U[[#This Row],[V_NOML_PCPL]]) * TAB_JUROS_U[[#This Row],[CORRECAO_U]])</f>
        <v>192.2192525089423</v>
      </c>
      <c r="U38" s="78">
        <f>MAX(0, TAB_JUROS_U[[#This Row],[V_FUT_U_JURS-01]]/((((TAB_JUROS_U[[#This Row],[TX_CENARIO]]/100 +1)^(1/252) -1) * PC_IDXR/100 +1)^TAB_JUROS_U[[#This Row],[Q_DIAS_U_PARC_TIR]]))</f>
        <v>162.42926441771493</v>
      </c>
      <c r="V38" s="78">
        <f>+TAB_JUROS_U[[#This Row],[V_FUT_U_JURS CENARIO]]/TAB_JUROS_U[[#This Row],[VAR_DESCAP_U]]</f>
        <v>157.94003525653915</v>
      </c>
      <c r="W38" s="78"/>
      <c r="X38" s="64">
        <f>TAB_JUROS_U[[#This Row],[dt_eve_u]]- DT_CALCULO_C</f>
        <v>408</v>
      </c>
      <c r="Y38" s="48" t="str">
        <f>"CORRECAO_JURS_C" &amp; TEXT(DT_CALCULO_C, "-AAAAMMDD") &amp; TEXT(TAB_JUROS_U[[#This Row],[DT_EVE]], "-AAAAMMDD")</f>
        <v>CORRECAO_JURS_C-20151228-20170208</v>
      </c>
      <c r="Z38" s="44">
        <f>IFERROR(VLOOKUP(TAB_JUROS_C[[#This Row],[Chave-CORC]],CORRECAO_JURS_C[],2, FALSE), 0)</f>
        <v>1</v>
      </c>
      <c r="AA3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189.56829534455093</v>
      </c>
      <c r="AB38" s="63">
        <f>(TIR_C/100 +1)^(TAB_JUROS_C[[#This Row],[DIAS_CORRIDOS]]/360)</f>
        <v>1.027973421458569</v>
      </c>
      <c r="AC38" s="78">
        <f>IF(TAB_JUROS_C[[#This Row],[DIAS_CORRIDOS]]&lt;0, 0, TAB_JUROS_C[[#This Row],[V_FUT_C_JURS]]/TAB_JUROS_C[[#This Row],[VAR_DESCAP_C]])</f>
        <v>184.40972440277361</v>
      </c>
      <c r="AD38" s="78">
        <f>TAB_JUROS_U[[#This Row],[V_FUT_U_JURS CENARIO]]</f>
        <v>162.42926441771493</v>
      </c>
      <c r="AE38" s="124">
        <f>IF(TAB_JUROS_C[[#This Row],[DIAS_CORRIDOS]]&lt;0, 0, TAB_JUROS_C[[#This Row],[V_FUT_UTEIS]]/TAB_JUROS_C[[#This Row],[VAR_DESCAP_C]])</f>
        <v>158.00920629567213</v>
      </c>
      <c r="AF38" s="64"/>
    </row>
    <row r="39" spans="1:32">
      <c r="A39" s="82">
        <f t="shared" si="1"/>
        <v>15</v>
      </c>
      <c r="B39" s="24">
        <f>VLOOKUP($A39, CAD_JUROS[#Data], MATCH(B$24, CAD_JUROS[#Headers],0), FALSE)</f>
        <v>2</v>
      </c>
      <c r="C39" s="24" t="str">
        <f>VLOOKUP($A39, CAD_JUROS[#Data], MATCH(C$24, CAD_JUROS[#Headers],0), FALSE)</f>
        <v xml:space="preserve">JUROS SOBRE PRINCIPAL                             </v>
      </c>
      <c r="D39" s="36">
        <f>VLOOKUP($A39, CAD_JUROS[#Data], MATCH(D$24, CAD_JUROS[#Headers],0), FALSE)</f>
        <v>42802</v>
      </c>
      <c r="E39" s="48">
        <f>VLOOKUP($A39, CAD_JUROS[#Data], MATCH(E$24, CAD_JUROS[#Headers],0), FALSE)</f>
        <v>0</v>
      </c>
      <c r="F39" s="36">
        <f>VLOOKUP($A39, CAD_JUROS[#Data], MATCH(F$24, CAD_JUROS[#Headers],0), FALSE)</f>
        <v>42808</v>
      </c>
      <c r="G39" s="47">
        <f>WORKDAY(WORKDAY(TAB_JUROS_U[[#This Row],[DT_EVE]], -1, TAB_FERIADOS[FER_DATA]), 1, TAB_FERIADOS[FER_DATA])</f>
        <v>42802</v>
      </c>
      <c r="H39" s="75">
        <f>WORKDAY(WORKDAY(TAB_JUROS_U[[#This Row],[DT_LQDC_EVE]], -1, TAB_FERIADOS[FER_DATA]), 1, TAB_FERIADOS[FER_DATA])</f>
        <v>42808</v>
      </c>
      <c r="I39" s="48">
        <f>PU_EMISSAO - SUMIF(TAB_AMORTIZACAO_U[DT_EVE], "&lt;" &amp; TAB_JUROS_U[[#This Row],[DT_EVE]], TAB_AMORTIZACAO_U[V_PU_AMTC])</f>
        <v>86927.735125000007</v>
      </c>
      <c r="J39" s="48">
        <f>IFERROR(VLOOKUP(TAB_JUROS_U[[#This Row],[DT_EVE]], TAB_AMORTIZACAO_U[[DT_EVE]:[V_PU_AMTC]], 2, FALSE), 0)</f>
        <v>939.25417800000002</v>
      </c>
      <c r="K39" s="48">
        <f>NETWORKDAYS(DT_CALCULO_U, TAB_JUROS_U[[#This Row],[dt_eve_u]], TAB_FERIADOS[FER_DATA]) -1</f>
        <v>300</v>
      </c>
      <c r="L39" s="48">
        <f>NETWORKDAYS(DT_CALCULO_U, TAB_JUROS_U[[#This Row],[dt_lqdc_eve_u]], TAB_FERIADOS[FER_DATA]) -1</f>
        <v>304</v>
      </c>
      <c r="M39" s="48">
        <f>NETWORKDAYS(IF(ISTEXT(H38), DT_B_JURS, H38), TAB_JUROS_U[[#This Row],[dt_lqdc_eve_u]],  TAB_FERIADOS[FER_DATA]) -1</f>
        <v>18</v>
      </c>
      <c r="N39" s="123">
        <f>(TX_EMISSAO/100 +1)^(TAB_JUROS_U[[#This Row],[dias_periodo_u]]/252)</f>
        <v>1.0017653143782506</v>
      </c>
      <c r="O39" s="78">
        <f>(TIR_U/100 +1)^(TAB_JUROS_U[[#This Row],[Q_DIAS_U_PARC_TIR]]/252)</f>
        <v>1.0302393169590489</v>
      </c>
      <c r="P39" s="116" t="str">
        <f>"TX_CENARIO" &amp; TEXT(DT_CALCULO_C, "-AAAAMMDD") &amp; TEXT(TAB_JUROS_U[[#This Row],[DT_EVE]], "-AAAAMMDD")</f>
        <v>TX_CENARIO-20151228-20170308</v>
      </c>
      <c r="Q39" s="44">
        <f>IFERROR(VLOOKUP(TAB_JUROS_U[[#This Row],[Chave-CENARIO]],CENARIO[],2,FALSE), 0)</f>
        <v>16.071999999999999</v>
      </c>
      <c r="R39" s="116" t="str">
        <f>"CORRECAO_JURS_U" &amp; TEXT(DT_CALCULO_C, "-AAAAMMDD") &amp; TEXT(TAB_JUROS_U[[#This Row],[DT_EVE]], "-AAAAMMDD")</f>
        <v>CORRECAO_JURS_U-20151228-20170308</v>
      </c>
      <c r="S39" s="44">
        <f>IFERROR(VLOOKUP(TAB_JUROS_U[[#This Row],[Chave-CORC]],CORRECAO_JURS_U[],2, FALSE), 0)</f>
        <v>1.0114307600000001</v>
      </c>
      <c r="T39" s="78">
        <f>MAX(0, (TAB_JUROS_U[[#This Row],[CUPOM_TIR]] -1) * IF(TAB_JUROS_U[[#This Row],[ID_T_EVE]]=1, TAB_JUROS_U[[#This Row],[PU_AMORT]], TAB_JUROS_U[[#This Row],[V_NOML_PCPL]]) * TAB_JUROS_U[[#This Row],[CORRECAO_U]])</f>
        <v>155.20888545378071</v>
      </c>
      <c r="U39" s="78">
        <f>MAX(0, TAB_JUROS_U[[#This Row],[V_FUT_U_JURS-01]]/((((TAB_JUROS_U[[#This Row],[TX_CENARIO]]/100 +1)^(1/252) -1) * PC_IDXR/100 +1)^TAB_JUROS_U[[#This Row],[Q_DIAS_U_PARC_TIR]]))</f>
        <v>129.66795182813027</v>
      </c>
      <c r="V39" s="78">
        <f>+TAB_JUROS_U[[#This Row],[V_FUT_U_JURS CENARIO]]/TAB_JUROS_U[[#This Row],[VAR_DESCAP_U]]</f>
        <v>125.86197177066623</v>
      </c>
      <c r="W39" s="78"/>
      <c r="X39" s="64">
        <f>TAB_JUROS_U[[#This Row],[dt_eve_u]]- DT_CALCULO_C</f>
        <v>436</v>
      </c>
      <c r="Y39" s="48" t="str">
        <f>"CORRECAO_JURS_C" &amp; TEXT(DT_CALCULO_C, "-AAAAMMDD") &amp; TEXT(TAB_JUROS_U[[#This Row],[DT_EVE]], "-AAAAMMDD")</f>
        <v>CORRECAO_JURS_C-20151228-20170308</v>
      </c>
      <c r="Z39" s="44">
        <f>IFERROR(VLOOKUP(TAB_JUROS_C[[#This Row],[Chave-CORC]],CORRECAO_JURS_C[],2, FALSE), 0)</f>
        <v>1</v>
      </c>
      <c r="AA3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153.45478068491875</v>
      </c>
      <c r="AB39" s="63">
        <f>(TIR_C/100 +1)^(TAB_JUROS_C[[#This Row],[DIAS_CORRIDOS]]/360)</f>
        <v>1.0299216138107996</v>
      </c>
      <c r="AC39" s="78">
        <f>IF(TAB_JUROS_C[[#This Row],[DIAS_CORRIDOS]]&lt;0, 0, TAB_JUROS_C[[#This Row],[V_FUT_C_JURS]]/TAB_JUROS_C[[#This Row],[VAR_DESCAP_C]])</f>
        <v>148.99656306572953</v>
      </c>
      <c r="AD39" s="78">
        <f>TAB_JUROS_U[[#This Row],[V_FUT_U_JURS CENARIO]]</f>
        <v>129.66795182813027</v>
      </c>
      <c r="AE39" s="124">
        <f>IF(TAB_JUROS_C[[#This Row],[DIAS_CORRIDOS]]&lt;0, 0, TAB_JUROS_C[[#This Row],[V_FUT_UTEIS]]/TAB_JUROS_C[[#This Row],[VAR_DESCAP_C]])</f>
        <v>125.90079680758186</v>
      </c>
      <c r="AF39" s="64"/>
    </row>
    <row r="40" spans="1:32">
      <c r="A40" s="82">
        <f t="shared" si="1"/>
        <v>16</v>
      </c>
      <c r="B40" s="24">
        <f>VLOOKUP($A40, CAD_JUROS[#Data], MATCH(B$24, CAD_JUROS[#Headers],0), FALSE)</f>
        <v>2</v>
      </c>
      <c r="C40" s="24" t="str">
        <f>VLOOKUP($A40, CAD_JUROS[#Data], MATCH(C$24, CAD_JUROS[#Headers],0), FALSE)</f>
        <v xml:space="preserve">JUROS SOBRE PRINCIPAL                             </v>
      </c>
      <c r="D40" s="36">
        <f>VLOOKUP($A40, CAD_JUROS[#Data], MATCH(D$24, CAD_JUROS[#Headers],0), FALSE)</f>
        <v>42836</v>
      </c>
      <c r="E40" s="48">
        <f>VLOOKUP($A40, CAD_JUROS[#Data], MATCH(E$24, CAD_JUROS[#Headers],0), FALSE)</f>
        <v>0</v>
      </c>
      <c r="F40" s="36">
        <f>VLOOKUP($A40, CAD_JUROS[#Data], MATCH(F$24, CAD_JUROS[#Headers],0), FALSE)</f>
        <v>42842</v>
      </c>
      <c r="G40" s="47">
        <f>WORKDAY(WORKDAY(TAB_JUROS_U[[#This Row],[DT_EVE]], -1, TAB_FERIADOS[FER_DATA]), 1, TAB_FERIADOS[FER_DATA])</f>
        <v>42836</v>
      </c>
      <c r="H40" s="75">
        <f>WORKDAY(WORKDAY(TAB_JUROS_U[[#This Row],[DT_LQDC_EVE]], -1, TAB_FERIADOS[FER_DATA]), 1, TAB_FERIADOS[FER_DATA])</f>
        <v>42842</v>
      </c>
      <c r="I40" s="48">
        <f>PU_EMISSAO - SUMIF(TAB_AMORTIZACAO_U[DT_EVE], "&lt;" &amp; TAB_JUROS_U[[#This Row],[DT_EVE]], TAB_AMORTIZACAO_U[V_PU_AMTC])</f>
        <v>85988.480947000004</v>
      </c>
      <c r="J40" s="48">
        <f>IFERROR(VLOOKUP(TAB_JUROS_U[[#This Row],[DT_EVE]], TAB_AMORTIZACAO_U[[DT_EVE]:[V_PU_AMTC]], 2, FALSE), 0)</f>
        <v>883.27367600000002</v>
      </c>
      <c r="K40" s="48">
        <f>NETWORKDAYS(DT_CALCULO_U, TAB_JUROS_U[[#This Row],[dt_eve_u]], TAB_FERIADOS[FER_DATA]) -1</f>
        <v>324</v>
      </c>
      <c r="L40" s="48">
        <f>NETWORKDAYS(DT_CALCULO_U, TAB_JUROS_U[[#This Row],[dt_lqdc_eve_u]], TAB_FERIADOS[FER_DATA]) -1</f>
        <v>327</v>
      </c>
      <c r="M40" s="48">
        <f>NETWORKDAYS(IF(ISTEXT(H39), DT_B_JURS, H39), TAB_JUROS_U[[#This Row],[dt_lqdc_eve_u]],  TAB_FERIADOS[FER_DATA]) -1</f>
        <v>23</v>
      </c>
      <c r="N40" s="123">
        <f>(TX_EMISSAO/100 +1)^(TAB_JUROS_U[[#This Row],[dias_periodo_u]]/252)</f>
        <v>1.0022562323017139</v>
      </c>
      <c r="O40" s="78">
        <f>(TIR_U/100 +1)^(TAB_JUROS_U[[#This Row],[Q_DIAS_U_PARC_TIR]]/252)</f>
        <v>1.0325640268153418</v>
      </c>
      <c r="P40" s="116" t="str">
        <f>"TX_CENARIO" &amp; TEXT(DT_CALCULO_C, "-AAAAMMDD") &amp; TEXT(TAB_JUROS_U[[#This Row],[DT_EVE]], "-AAAAMMDD")</f>
        <v>TX_CENARIO-20151228-20170411</v>
      </c>
      <c r="Q40" s="44">
        <f>IFERROR(VLOOKUP(TAB_JUROS_U[[#This Row],[Chave-CENARIO]],CENARIO[],2,FALSE), 0)</f>
        <v>16.1586</v>
      </c>
      <c r="R40" s="116" t="str">
        <f>"CORRECAO_JURS_U" &amp; TEXT(DT_CALCULO_C, "-AAAAMMDD") &amp; TEXT(TAB_JUROS_U[[#This Row],[DT_EVE]], "-AAAAMMDD")</f>
        <v>CORRECAO_JURS_U-20151228-20170411</v>
      </c>
      <c r="S40" s="44">
        <f>IFERROR(VLOOKUP(TAB_JUROS_U[[#This Row],[Chave-CORC]],CORRECAO_JURS_U[],2, FALSE), 0)</f>
        <v>1.01526038</v>
      </c>
      <c r="T40" s="78">
        <f>MAX(0, (TAB_JUROS_U[[#This Row],[CUPOM_TIR]] -1) * IF(TAB_JUROS_U[[#This Row],[ID_T_EVE]]=1, TAB_JUROS_U[[#This Row],[PU_AMORT]], TAB_JUROS_U[[#This Row],[V_NOML_PCPL]]) * TAB_JUROS_U[[#This Row],[CORRECAO_U]])</f>
        <v>196.9706544330011</v>
      </c>
      <c r="U40" s="78">
        <f>MAX(0, TAB_JUROS_U[[#This Row],[V_FUT_U_JURS-01]]/((((TAB_JUROS_U[[#This Row],[TX_CENARIO]]/100 +1)^(1/252) -1) * PC_IDXR/100 +1)^TAB_JUROS_U[[#This Row],[Q_DIAS_U_PARC_TIR]]))</f>
        <v>162.17713810906247</v>
      </c>
      <c r="V40" s="78">
        <f>+TAB_JUROS_U[[#This Row],[V_FUT_U_JURS CENARIO]]/TAB_JUROS_U[[#This Row],[VAR_DESCAP_U]]</f>
        <v>157.0625490501088</v>
      </c>
      <c r="W40" s="78"/>
      <c r="X40" s="64">
        <f>TAB_JUROS_U[[#This Row],[dt_eve_u]]- DT_CALCULO_C</f>
        <v>470</v>
      </c>
      <c r="Y40" s="48" t="str">
        <f>"CORRECAO_JURS_C" &amp; TEXT(DT_CALCULO_C, "-AAAAMMDD") &amp; TEXT(TAB_JUROS_U[[#This Row],[DT_EVE]], "-AAAAMMDD")</f>
        <v>CORRECAO_JURS_C-20151228-20170411</v>
      </c>
      <c r="Z40" s="44">
        <f>IFERROR(VLOOKUP(TAB_JUROS_C[[#This Row],[Chave-CORC]],CORRECAO_JURS_C[],2, FALSE), 0)</f>
        <v>1</v>
      </c>
      <c r="AA4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194.00998828793172</v>
      </c>
      <c r="AB40" s="63">
        <f>(TIR_C/100 +1)^(TAB_JUROS_C[[#This Row],[DIAS_CORRIDOS]]/360)</f>
        <v>1.0322922403336825</v>
      </c>
      <c r="AC40" s="78">
        <f>IF(TAB_JUROS_C[[#This Row],[DIAS_CORRIDOS]]&lt;0, 0, TAB_JUROS_C[[#This Row],[V_FUT_C_JURS]]/TAB_JUROS_C[[#This Row],[VAR_DESCAP_C]])</f>
        <v>187.94095383805183</v>
      </c>
      <c r="AD40" s="78">
        <f>TAB_JUROS_U[[#This Row],[V_FUT_U_JURS CENARIO]]</f>
        <v>162.17713810906247</v>
      </c>
      <c r="AE40" s="124">
        <f>IF(TAB_JUROS_C[[#This Row],[DIAS_CORRIDOS]]&lt;0, 0, TAB_JUROS_C[[#This Row],[V_FUT_UTEIS]]/TAB_JUROS_C[[#This Row],[VAR_DESCAP_C]])</f>
        <v>157.10390117496152</v>
      </c>
      <c r="AF40" s="64"/>
    </row>
    <row r="41" spans="1:32">
      <c r="A41" s="82">
        <f t="shared" si="1"/>
        <v>17</v>
      </c>
      <c r="B41" s="24">
        <f>VLOOKUP($A41, CAD_JUROS[#Data], MATCH(B$24, CAD_JUROS[#Headers],0), FALSE)</f>
        <v>2</v>
      </c>
      <c r="C41" s="24" t="str">
        <f>VLOOKUP($A41, CAD_JUROS[#Data], MATCH(C$24, CAD_JUROS[#Headers],0), FALSE)</f>
        <v xml:space="preserve">JUROS SOBRE PRINCIPAL                             </v>
      </c>
      <c r="D41" s="36">
        <f>VLOOKUP($A41, CAD_JUROS[#Data], MATCH(D$24, CAD_JUROS[#Headers],0), FALSE)</f>
        <v>42864</v>
      </c>
      <c r="E41" s="48">
        <f>VLOOKUP($A41, CAD_JUROS[#Data], MATCH(E$24, CAD_JUROS[#Headers],0), FALSE)</f>
        <v>0</v>
      </c>
      <c r="F41" s="36">
        <f>VLOOKUP($A41, CAD_JUROS[#Data], MATCH(F$24, CAD_JUROS[#Headers],0), FALSE)</f>
        <v>42870</v>
      </c>
      <c r="G41" s="47">
        <f>WORKDAY(WORKDAY(TAB_JUROS_U[[#This Row],[DT_EVE]], -1, TAB_FERIADOS[FER_DATA]), 1, TAB_FERIADOS[FER_DATA])</f>
        <v>42864</v>
      </c>
      <c r="H41" s="75">
        <f>WORKDAY(WORKDAY(TAB_JUROS_U[[#This Row],[DT_LQDC_EVE]], -1, TAB_FERIADOS[FER_DATA]), 1, TAB_FERIADOS[FER_DATA])</f>
        <v>42870</v>
      </c>
      <c r="I41" s="48">
        <f>PU_EMISSAO - SUMIF(TAB_AMORTIZACAO_U[DT_EVE], "&lt;" &amp; TAB_JUROS_U[[#This Row],[DT_EVE]], TAB_AMORTIZACAO_U[V_PU_AMTC])</f>
        <v>85105.207270999992</v>
      </c>
      <c r="J41" s="48">
        <f>IFERROR(VLOOKUP(TAB_JUROS_U[[#This Row],[DT_EVE]], TAB_AMORTIZACAO_U[[DT_EVE]:[V_PU_AMTC]], 2, FALSE), 0)</f>
        <v>914.79587200000003</v>
      </c>
      <c r="K41" s="48">
        <f>NETWORKDAYS(DT_CALCULO_U, TAB_JUROS_U[[#This Row],[dt_eve_u]], TAB_FERIADOS[FER_DATA]) -1</f>
        <v>341</v>
      </c>
      <c r="L41" s="48">
        <f>NETWORKDAYS(DT_CALCULO_U, TAB_JUROS_U[[#This Row],[dt_lqdc_eve_u]], TAB_FERIADOS[FER_DATA]) -1</f>
        <v>345</v>
      </c>
      <c r="M41" s="48">
        <f>NETWORKDAYS(IF(ISTEXT(H40), DT_B_JURS, H40), TAB_JUROS_U[[#This Row],[dt_lqdc_eve_u]],  TAB_FERIADOS[FER_DATA]) -1</f>
        <v>18</v>
      </c>
      <c r="N41" s="123">
        <f>(TX_EMISSAO/100 +1)^(TAB_JUROS_U[[#This Row],[dias_periodo_u]]/252)</f>
        <v>1.0017653143782506</v>
      </c>
      <c r="O41" s="78">
        <f>(TIR_U/100 +1)^(TAB_JUROS_U[[#This Row],[Q_DIAS_U_PARC_TIR]]/252)</f>
        <v>1.0343870234305468</v>
      </c>
      <c r="P41" s="116" t="str">
        <f>"TX_CENARIO" &amp; TEXT(DT_CALCULO_C, "-AAAAMMDD") &amp; TEXT(TAB_JUROS_U[[#This Row],[DT_EVE]], "-AAAAMMDD")</f>
        <v>TX_CENARIO-20151228-20170509</v>
      </c>
      <c r="Q41" s="44">
        <f>IFERROR(VLOOKUP(TAB_JUROS_U[[#This Row],[Chave-CENARIO]],CENARIO[],2,FALSE), 0)</f>
        <v>16.218299999999999</v>
      </c>
      <c r="R41" s="116" t="str">
        <f>"CORRECAO_JURS_U" &amp; TEXT(DT_CALCULO_C, "-AAAAMMDD") &amp; TEXT(TAB_JUROS_U[[#This Row],[DT_EVE]], "-AAAAMMDD")</f>
        <v>CORRECAO_JURS_U-20151228-20170509</v>
      </c>
      <c r="S41" s="44">
        <f>IFERROR(VLOOKUP(TAB_JUROS_U[[#This Row],[Chave-CORC]],CORRECAO_JURS_U[],2, FALSE), 0)</f>
        <v>1.0107907300000001</v>
      </c>
      <c r="T41" s="78">
        <f>MAX(0, (TAB_JUROS_U[[#This Row],[CUPOM_TIR]] -1) * IF(TAB_JUROS_U[[#This Row],[ID_T_EVE]]=1, TAB_JUROS_U[[#This Row],[PU_AMORT]], TAB_JUROS_U[[#This Row],[V_NOML_PCPL]]) * TAB_JUROS_U[[#This Row],[CORRECAO_U]])</f>
        <v>151.85861777580791</v>
      </c>
      <c r="U41" s="78">
        <f>MAX(0, TAB_JUROS_U[[#This Row],[V_FUT_U_JURS-01]]/((((TAB_JUROS_U[[#This Row],[TX_CENARIO]]/100 +1)^(1/252) -1) * PC_IDXR/100 +1)^TAB_JUROS_U[[#This Row],[Q_DIAS_U_PARC_TIR]]))</f>
        <v>123.61623683663174</v>
      </c>
      <c r="V41" s="78">
        <f>+TAB_JUROS_U[[#This Row],[V_FUT_U_JURS CENARIO]]/TAB_JUROS_U[[#This Row],[VAR_DESCAP_U]]</f>
        <v>119.50675524394943</v>
      </c>
      <c r="W41" s="78"/>
      <c r="X41" s="64">
        <f>TAB_JUROS_U[[#This Row],[dt_eve_u]]- DT_CALCULO_C</f>
        <v>498</v>
      </c>
      <c r="Y41" s="48" t="str">
        <f>"CORRECAO_JURS_C" &amp; TEXT(DT_CALCULO_C, "-AAAAMMDD") &amp; TEXT(TAB_JUROS_U[[#This Row],[DT_EVE]], "-AAAAMMDD")</f>
        <v>CORRECAO_JURS_C-20151228-20170509</v>
      </c>
      <c r="Z41" s="44">
        <f>IFERROR(VLOOKUP(TAB_JUROS_C[[#This Row],[Chave-CORC]],CORRECAO_JURS_C[],2, FALSE), 0)</f>
        <v>1</v>
      </c>
      <c r="AA4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150.23744605949037</v>
      </c>
      <c r="AB41" s="63">
        <f>(TIR_C/100 +1)^(TAB_JUROS_C[[#This Row],[DIAS_CORRIDOS]]/360)</f>
        <v>1.0342486176153358</v>
      </c>
      <c r="AC41" s="78">
        <f>IF(TAB_JUROS_C[[#This Row],[DIAS_CORRIDOS]]&lt;0, 0, TAB_JUROS_C[[#This Row],[V_FUT_C_JURS]]/TAB_JUROS_C[[#This Row],[VAR_DESCAP_C]])</f>
        <v>145.26240934785335</v>
      </c>
      <c r="AD41" s="78">
        <f>TAB_JUROS_U[[#This Row],[V_FUT_U_JURS CENARIO]]</f>
        <v>123.61623683663174</v>
      </c>
      <c r="AE41" s="124">
        <f>IF(TAB_JUROS_C[[#This Row],[DIAS_CORRIDOS]]&lt;0, 0, TAB_JUROS_C[[#This Row],[V_FUT_UTEIS]]/TAB_JUROS_C[[#This Row],[VAR_DESCAP_C]])</f>
        <v>119.5227479458985</v>
      </c>
      <c r="AF41" s="64"/>
    </row>
    <row r="42" spans="1:32">
      <c r="A42" s="82">
        <f t="shared" si="1"/>
        <v>18</v>
      </c>
      <c r="B42" s="24">
        <f>VLOOKUP($A42, CAD_JUROS[#Data], MATCH(B$24, CAD_JUROS[#Headers],0), FALSE)</f>
        <v>2</v>
      </c>
      <c r="C42" s="24" t="str">
        <f>VLOOKUP($A42, CAD_JUROS[#Data], MATCH(C$24, CAD_JUROS[#Headers],0), FALSE)</f>
        <v xml:space="preserve">JUROS SOBRE PRINCIPAL                             </v>
      </c>
      <c r="D42" s="36">
        <f>VLOOKUP($A42, CAD_JUROS[#Data], MATCH(D$24, CAD_JUROS[#Headers],0), FALSE)</f>
        <v>42894</v>
      </c>
      <c r="E42" s="48">
        <f>VLOOKUP($A42, CAD_JUROS[#Data], MATCH(E$24, CAD_JUROS[#Headers],0), FALSE)</f>
        <v>0</v>
      </c>
      <c r="F42" s="36">
        <f>VLOOKUP($A42, CAD_JUROS[#Data], MATCH(F$24, CAD_JUROS[#Headers],0), FALSE)</f>
        <v>42900</v>
      </c>
      <c r="G42" s="47">
        <f>WORKDAY(WORKDAY(TAB_JUROS_U[[#This Row],[DT_EVE]], -1, TAB_FERIADOS[FER_DATA]), 1, TAB_FERIADOS[FER_DATA])</f>
        <v>42894</v>
      </c>
      <c r="H42" s="75">
        <f>WORKDAY(WORKDAY(TAB_JUROS_U[[#This Row],[DT_LQDC_EVE]], -1, TAB_FERIADOS[FER_DATA]), 1, TAB_FERIADOS[FER_DATA])</f>
        <v>42900</v>
      </c>
      <c r="I42" s="48">
        <f>PU_EMISSAO - SUMIF(TAB_AMORTIZACAO_U[DT_EVE], "&lt;" &amp; TAB_JUROS_U[[#This Row],[DT_EVE]], TAB_AMORTIZACAO_U[V_PU_AMTC])</f>
        <v>84190.411399000004</v>
      </c>
      <c r="J42" s="48">
        <f>IFERROR(VLOOKUP(TAB_JUROS_U[[#This Row],[DT_EVE]], TAB_AMORTIZACAO_U[[DT_EVE]:[V_PU_AMTC]], 2, FALSE), 0)</f>
        <v>868.92923599999995</v>
      </c>
      <c r="K42" s="48">
        <f>NETWORKDAYS(DT_CALCULO_U, TAB_JUROS_U[[#This Row],[dt_eve_u]], TAB_FERIADOS[FER_DATA]) -1</f>
        <v>363</v>
      </c>
      <c r="L42" s="48">
        <f>NETWORKDAYS(DT_CALCULO_U, TAB_JUROS_U[[#This Row],[dt_lqdc_eve_u]], TAB_FERIADOS[FER_DATA]) -1</f>
        <v>367</v>
      </c>
      <c r="M42" s="48">
        <f>NETWORKDAYS(IF(ISTEXT(H41), DT_B_JURS, H41), TAB_JUROS_U[[#This Row],[dt_lqdc_eve_u]],  TAB_FERIADOS[FER_DATA]) -1</f>
        <v>22</v>
      </c>
      <c r="N42" s="123">
        <f>(TX_EMISSAO/100 +1)^(TAB_JUROS_U[[#This Row],[dias_periodo_u]]/252)</f>
        <v>1.0021580294747356</v>
      </c>
      <c r="O42" s="78">
        <f>(TIR_U/100 +1)^(TAB_JUROS_U[[#This Row],[Q_DIAS_U_PARC_TIR]]/252)</f>
        <v>1.0366195017908482</v>
      </c>
      <c r="P42" s="116" t="str">
        <f>"TX_CENARIO" &amp; TEXT(DT_CALCULO_C, "-AAAAMMDD") &amp; TEXT(TAB_JUROS_U[[#This Row],[DT_EVE]], "-AAAAMMDD")</f>
        <v>TX_CENARIO-20151228-20170608</v>
      </c>
      <c r="Q42" s="44">
        <f>IFERROR(VLOOKUP(TAB_JUROS_U[[#This Row],[Chave-CENARIO]],CENARIO[],2,FALSE), 0)</f>
        <v>16.2834</v>
      </c>
      <c r="R42" s="116" t="str">
        <f>"CORRECAO_JURS_U" &amp; TEXT(DT_CALCULO_C, "-AAAAMMDD") &amp; TEXT(TAB_JUROS_U[[#This Row],[DT_EVE]], "-AAAAMMDD")</f>
        <v>CORRECAO_JURS_U-20151228-20170608</v>
      </c>
      <c r="S42" s="44">
        <f>IFERROR(VLOOKUP(TAB_JUROS_U[[#This Row],[Chave-CORC]],CORRECAO_JURS_U[],2, FALSE), 0)</f>
        <v>1.0139865800000001</v>
      </c>
      <c r="T42" s="78">
        <f>MAX(0, (TAB_JUROS_U[[#This Row],[CUPOM_TIR]] -1) * IF(TAB_JUROS_U[[#This Row],[ID_T_EVE]]=1, TAB_JUROS_U[[#This Row],[PU_AMORT]], TAB_JUROS_U[[#This Row],[V_NOML_PCPL]]) * TAB_JUROS_U[[#This Row],[CORRECAO_U]])</f>
        <v>184.22654652128588</v>
      </c>
      <c r="U42" s="78">
        <f>MAX(0, TAB_JUROS_U[[#This Row],[V_FUT_U_JURS-01]]/((((TAB_JUROS_U[[#This Row],[TX_CENARIO]]/100 +1)^(1/252) -1) * PC_IDXR/100 +1)^TAB_JUROS_U[[#This Row],[Q_DIAS_U_PARC_TIR]]))</f>
        <v>147.88888313627047</v>
      </c>
      <c r="V42" s="78">
        <f>+TAB_JUROS_U[[#This Row],[V_FUT_U_JURS CENARIO]]/TAB_JUROS_U[[#This Row],[VAR_DESCAP_U]]</f>
        <v>142.66457738908045</v>
      </c>
      <c r="W42" s="78"/>
      <c r="X42" s="64">
        <f>TAB_JUROS_U[[#This Row],[dt_eve_u]]- DT_CALCULO_C</f>
        <v>528</v>
      </c>
      <c r="Y42" s="48" t="str">
        <f>"CORRECAO_JURS_C" &amp; TEXT(DT_CALCULO_C, "-AAAAMMDD") &amp; TEXT(TAB_JUROS_U[[#This Row],[DT_EVE]], "-AAAAMMDD")</f>
        <v>CORRECAO_JURS_C-20151228-20170608</v>
      </c>
      <c r="Z42" s="44">
        <f>IFERROR(VLOOKUP(TAB_JUROS_C[[#This Row],[Chave-CORC]],CORRECAO_JURS_C[],2, FALSE), 0)</f>
        <v>1</v>
      </c>
      <c r="AA4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181.68538928916186</v>
      </c>
      <c r="AB42" s="63">
        <f>(TIR_C/100 +1)^(TAB_JUROS_C[[#This Row],[DIAS_CORRIDOS]]/360)</f>
        <v>1.0363488507097447</v>
      </c>
      <c r="AC42" s="78">
        <f>IF(TAB_JUROS_C[[#This Row],[DIAS_CORRIDOS]]&lt;0, 0, TAB_JUROS_C[[#This Row],[V_FUT_C_JURS]]/TAB_JUROS_C[[#This Row],[VAR_DESCAP_C]])</f>
        <v>175.31296451454008</v>
      </c>
      <c r="AD42" s="78">
        <f>TAB_JUROS_U[[#This Row],[V_FUT_U_JURS CENARIO]]</f>
        <v>147.88888313627047</v>
      </c>
      <c r="AE42" s="124">
        <f>IF(TAB_JUROS_C[[#This Row],[DIAS_CORRIDOS]]&lt;0, 0, TAB_JUROS_C[[#This Row],[V_FUT_UTEIS]]/TAB_JUROS_C[[#This Row],[VAR_DESCAP_C]])</f>
        <v>142.7018354244216</v>
      </c>
      <c r="AF42" s="64"/>
    </row>
    <row r="43" spans="1:32">
      <c r="A43" s="82">
        <f t="shared" si="1"/>
        <v>19</v>
      </c>
      <c r="B43" s="24">
        <f>VLOOKUP($A43, CAD_JUROS[#Data], MATCH(B$24, CAD_JUROS[#Headers],0), FALSE)</f>
        <v>2</v>
      </c>
      <c r="C43" s="24" t="str">
        <f>VLOOKUP($A43, CAD_JUROS[#Data], MATCH(C$24, CAD_JUROS[#Headers],0), FALSE)</f>
        <v xml:space="preserve">JUROS SOBRE PRINCIPAL                             </v>
      </c>
      <c r="D43" s="36">
        <f>VLOOKUP($A43, CAD_JUROS[#Data], MATCH(D$24, CAD_JUROS[#Headers],0), FALSE)</f>
        <v>42926</v>
      </c>
      <c r="E43" s="48">
        <f>VLOOKUP($A43, CAD_JUROS[#Data], MATCH(E$24, CAD_JUROS[#Headers],0), FALSE)</f>
        <v>0</v>
      </c>
      <c r="F43" s="36">
        <f>VLOOKUP($A43, CAD_JUROS[#Data], MATCH(F$24, CAD_JUROS[#Headers],0), FALSE)</f>
        <v>42930</v>
      </c>
      <c r="G43" s="47">
        <f>WORKDAY(WORKDAY(TAB_JUROS_U[[#This Row],[DT_EVE]], -1, TAB_FERIADOS[FER_DATA]), 1, TAB_FERIADOS[FER_DATA])</f>
        <v>42926</v>
      </c>
      <c r="H43" s="75">
        <f>WORKDAY(WORKDAY(TAB_JUROS_U[[#This Row],[DT_LQDC_EVE]], -1, TAB_FERIADOS[FER_DATA]), 1, TAB_FERIADOS[FER_DATA])</f>
        <v>42930</v>
      </c>
      <c r="I43" s="48">
        <f>PU_EMISSAO - SUMIF(TAB_AMORTIZACAO_U[DT_EVE], "&lt;" &amp; TAB_JUROS_U[[#This Row],[DT_EVE]], TAB_AMORTIZACAO_U[V_PU_AMTC])</f>
        <v>83321.482163000008</v>
      </c>
      <c r="J43" s="48">
        <f>IFERROR(VLOOKUP(TAB_JUROS_U[[#This Row],[DT_EVE]], TAB_AMORTIZACAO_U[[DT_EVE]:[V_PU_AMTC]], 2, FALSE), 0)</f>
        <v>865.12694899999997</v>
      </c>
      <c r="K43" s="48">
        <f>NETWORKDAYS(DT_CALCULO_U, TAB_JUROS_U[[#This Row],[dt_eve_u]], TAB_FERIADOS[FER_DATA]) -1</f>
        <v>384</v>
      </c>
      <c r="L43" s="48">
        <f>NETWORKDAYS(DT_CALCULO_U, TAB_JUROS_U[[#This Row],[dt_lqdc_eve_u]], TAB_FERIADOS[FER_DATA]) -1</f>
        <v>388</v>
      </c>
      <c r="M43" s="48">
        <f>NETWORKDAYS(IF(ISTEXT(H42), DT_B_JURS, H42), TAB_JUROS_U[[#This Row],[dt_lqdc_eve_u]],  TAB_FERIADOS[FER_DATA]) -1</f>
        <v>21</v>
      </c>
      <c r="N43" s="123">
        <f>(TX_EMISSAO/100 +1)^(TAB_JUROS_U[[#This Row],[dias_periodo_u]]/252)</f>
        <v>1.0020598362698427</v>
      </c>
      <c r="O43" s="78">
        <f>(TIR_U/100 +1)^(TAB_JUROS_U[[#This Row],[Q_DIAS_U_PARC_TIR]]/252)</f>
        <v>1.0387549984475946</v>
      </c>
      <c r="P43" s="116" t="str">
        <f>"TX_CENARIO" &amp; TEXT(DT_CALCULO_C, "-AAAAMMDD") &amp; TEXT(TAB_JUROS_U[[#This Row],[DT_EVE]], "-AAAAMMDD")</f>
        <v>TX_CENARIO-20151228-20170710</v>
      </c>
      <c r="Q43" s="44">
        <f>IFERROR(VLOOKUP(TAB_JUROS_U[[#This Row],[Chave-CENARIO]],CENARIO[],2,FALSE), 0)</f>
        <v>16.336500000000001</v>
      </c>
      <c r="R43" s="116" t="str">
        <f>"CORRECAO_JURS_U" &amp; TEXT(DT_CALCULO_C, "-AAAAMMDD") &amp; TEXT(TAB_JUROS_U[[#This Row],[DT_EVE]], "-AAAAMMDD")</f>
        <v>CORRECAO_JURS_U-20151228-20170710</v>
      </c>
      <c r="S43" s="44">
        <f>IFERROR(VLOOKUP(TAB_JUROS_U[[#This Row],[Chave-CORC]],CORRECAO_JURS_U[],2, FALSE), 0)</f>
        <v>1.0133008100000001</v>
      </c>
      <c r="T43" s="78">
        <f>MAX(0, (TAB_JUROS_U[[#This Row],[CUPOM_TIR]] -1) * IF(TAB_JUROS_U[[#This Row],[ID_T_EVE]]=1, TAB_JUROS_U[[#This Row],[PU_AMORT]], TAB_JUROS_U[[#This Row],[V_NOML_PCPL]]) * TAB_JUROS_U[[#This Row],[CORRECAO_U]])</f>
        <v>173.91141056209548</v>
      </c>
      <c r="U43" s="78">
        <f>MAX(0, TAB_JUROS_U[[#This Row],[V_FUT_U_JURS-01]]/((((TAB_JUROS_U[[#This Row],[TX_CENARIO]]/100 +1)^(1/252) -1) * PC_IDXR/100 +1)^TAB_JUROS_U[[#This Row],[Q_DIAS_U_PARC_TIR]]))</f>
        <v>137.76735145511375</v>
      </c>
      <c r="V43" s="78">
        <f>+TAB_JUROS_U[[#This Row],[V_FUT_U_JURS CENARIO]]/TAB_JUROS_U[[#This Row],[VAR_DESCAP_U]]</f>
        <v>132.62737764054586</v>
      </c>
      <c r="W43" s="78"/>
      <c r="X43" s="64">
        <f>TAB_JUROS_U[[#This Row],[dt_eve_u]]- DT_CALCULO_C</f>
        <v>560</v>
      </c>
      <c r="Y43" s="48" t="str">
        <f>"CORRECAO_JURS_C" &amp; TEXT(DT_CALCULO_C, "-AAAAMMDD") &amp; TEXT(TAB_JUROS_U[[#This Row],[DT_EVE]], "-AAAAMMDD")</f>
        <v>CORRECAO_JURS_C-20151228-20170710</v>
      </c>
      <c r="Z43" s="44">
        <f>IFERROR(VLOOKUP(TAB_JUROS_C[[#This Row],[Chave-CORC]],CORRECAO_JURS_C[],2, FALSE), 0)</f>
        <v>1</v>
      </c>
      <c r="AA4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171.6286110164024</v>
      </c>
      <c r="AB43" s="63">
        <f>(TIR_C/100 +1)^(TAB_JUROS_C[[#This Row],[DIAS_CORRIDOS]]/360)</f>
        <v>1.0385938004362878</v>
      </c>
      <c r="AC43" s="78">
        <f>IF(TAB_JUROS_C[[#This Row],[DIAS_CORRIDOS]]&lt;0, 0, TAB_JUROS_C[[#This Row],[V_FUT_C_JURS]]/TAB_JUROS_C[[#This Row],[VAR_DESCAP_C]])</f>
        <v>165.25094887366498</v>
      </c>
      <c r="AD43" s="78">
        <f>TAB_JUROS_U[[#This Row],[V_FUT_U_JURS CENARIO]]</f>
        <v>137.76735145511375</v>
      </c>
      <c r="AE43" s="124">
        <f>IF(TAB_JUROS_C[[#This Row],[DIAS_CORRIDOS]]&lt;0, 0, TAB_JUROS_C[[#This Row],[V_FUT_UTEIS]]/TAB_JUROS_C[[#This Row],[VAR_DESCAP_C]])</f>
        <v>132.64796246351659</v>
      </c>
      <c r="AF43" s="64"/>
    </row>
    <row r="44" spans="1:32">
      <c r="A44" s="82">
        <f t="shared" si="1"/>
        <v>20</v>
      </c>
      <c r="B44" s="24">
        <f>VLOOKUP($A44, CAD_JUROS[#Data], MATCH(B$24, CAD_JUROS[#Headers],0), FALSE)</f>
        <v>2</v>
      </c>
      <c r="C44" s="24" t="str">
        <f>VLOOKUP($A44, CAD_JUROS[#Data], MATCH(C$24, CAD_JUROS[#Headers],0), FALSE)</f>
        <v xml:space="preserve">JUROS SOBRE PRINCIPAL                             </v>
      </c>
      <c r="D44" s="36">
        <f>VLOOKUP($A44, CAD_JUROS[#Data], MATCH(D$24, CAD_JUROS[#Headers],0), FALSE)</f>
        <v>42955</v>
      </c>
      <c r="E44" s="48">
        <f>VLOOKUP($A44, CAD_JUROS[#Data], MATCH(E$24, CAD_JUROS[#Headers],0), FALSE)</f>
        <v>0</v>
      </c>
      <c r="F44" s="36">
        <f>VLOOKUP($A44, CAD_JUROS[#Data], MATCH(F$24, CAD_JUROS[#Headers],0), FALSE)</f>
        <v>42961</v>
      </c>
      <c r="G44" s="47">
        <f>WORKDAY(WORKDAY(TAB_JUROS_U[[#This Row],[DT_EVE]], -1, TAB_FERIADOS[FER_DATA]), 1, TAB_FERIADOS[FER_DATA])</f>
        <v>42955</v>
      </c>
      <c r="H44" s="75">
        <f>WORKDAY(WORKDAY(TAB_JUROS_U[[#This Row],[DT_LQDC_EVE]], -1, TAB_FERIADOS[FER_DATA]), 1, TAB_FERIADOS[FER_DATA])</f>
        <v>42961</v>
      </c>
      <c r="I44" s="48">
        <f>PU_EMISSAO - SUMIF(TAB_AMORTIZACAO_U[DT_EVE], "&lt;" &amp; TAB_JUROS_U[[#This Row],[DT_EVE]], TAB_AMORTIZACAO_U[V_PU_AMTC])</f>
        <v>82456.355213999996</v>
      </c>
      <c r="J44" s="48">
        <f>IFERROR(VLOOKUP(TAB_JUROS_U[[#This Row],[DT_EVE]], TAB_AMORTIZACAO_U[[DT_EVE]:[V_PU_AMTC]], 2, FALSE), 0)</f>
        <v>853.83555799999999</v>
      </c>
      <c r="K44" s="48">
        <f>NETWORKDAYS(DT_CALCULO_U, TAB_JUROS_U[[#This Row],[dt_eve_u]], TAB_FERIADOS[FER_DATA]) -1</f>
        <v>405</v>
      </c>
      <c r="L44" s="48">
        <f>NETWORKDAYS(DT_CALCULO_U, TAB_JUROS_U[[#This Row],[dt_lqdc_eve_u]], TAB_FERIADOS[FER_DATA]) -1</f>
        <v>409</v>
      </c>
      <c r="M44" s="48">
        <f>NETWORKDAYS(IF(ISTEXT(H43), DT_B_JURS, H43), TAB_JUROS_U[[#This Row],[dt_lqdc_eve_u]],  TAB_FERIADOS[FER_DATA]) -1</f>
        <v>21</v>
      </c>
      <c r="N44" s="123">
        <f>(TX_EMISSAO/100 +1)^(TAB_JUROS_U[[#This Row],[dias_periodo_u]]/252)</f>
        <v>1.0020598362698427</v>
      </c>
      <c r="O44" s="78">
        <f>(TIR_U/100 +1)^(TAB_JUROS_U[[#This Row],[Q_DIAS_U_PARC_TIR]]/252)</f>
        <v>1.0408948943520524</v>
      </c>
      <c r="P44" s="116" t="str">
        <f>"TX_CENARIO" &amp; TEXT(DT_CALCULO_C, "-AAAAMMDD") &amp; TEXT(TAB_JUROS_U[[#This Row],[DT_EVE]], "-AAAAMMDD")</f>
        <v>TX_CENARIO-20151228-20170808</v>
      </c>
      <c r="Q44" s="44">
        <f>IFERROR(VLOOKUP(TAB_JUROS_U[[#This Row],[Chave-CENARIO]],CENARIO[],2,FALSE), 0)</f>
        <v>16.381499999999999</v>
      </c>
      <c r="R44" s="116" t="str">
        <f>"CORRECAO_JURS_U" &amp; TEXT(DT_CALCULO_C, "-AAAAMMDD") &amp; TEXT(TAB_JUROS_U[[#This Row],[DT_EVE]], "-AAAAMMDD")</f>
        <v>CORRECAO_JURS_U-20151228-20170808</v>
      </c>
      <c r="S44" s="44">
        <f>IFERROR(VLOOKUP(TAB_JUROS_U[[#This Row],[Chave-CORC]],CORRECAO_JURS_U[],2, FALSE), 0)</f>
        <v>1.01315428</v>
      </c>
      <c r="T44" s="78">
        <f>MAX(0, (TAB_JUROS_U[[#This Row],[CUPOM_TIR]] -1) * IF(TAB_JUROS_U[[#This Row],[ID_T_EVE]]=1, TAB_JUROS_U[[#This Row],[PU_AMORT]], TAB_JUROS_U[[#This Row],[V_NOML_PCPL]]) * TAB_JUROS_U[[#This Row],[CORRECAO_U]])</f>
        <v>172.08080076585108</v>
      </c>
      <c r="U44" s="78">
        <f>MAX(0, TAB_JUROS_U[[#This Row],[V_FUT_U_JURS-01]]/((((TAB_JUROS_U[[#This Row],[TX_CENARIO]]/100 +1)^(1/252) -1) * PC_IDXR/100 +1)^TAB_JUROS_U[[#This Row],[Q_DIAS_U_PARC_TIR]]))</f>
        <v>134.52460364104107</v>
      </c>
      <c r="V44" s="78">
        <f>+TAB_JUROS_U[[#This Row],[V_FUT_U_JURS CENARIO]]/TAB_JUROS_U[[#This Row],[VAR_DESCAP_U]]</f>
        <v>129.23937313073421</v>
      </c>
      <c r="W44" s="78"/>
      <c r="X44" s="64">
        <f>TAB_JUROS_U[[#This Row],[dt_eve_u]]- DT_CALCULO_C</f>
        <v>589</v>
      </c>
      <c r="Y44" s="48" t="str">
        <f>"CORRECAO_JURS_C" &amp; TEXT(DT_CALCULO_C, "-AAAAMMDD") &amp; TEXT(TAB_JUROS_U[[#This Row],[DT_EVE]], "-AAAAMMDD")</f>
        <v>CORRECAO_JURS_C-20151228-20170808</v>
      </c>
      <c r="Z44" s="44">
        <f>IFERROR(VLOOKUP(TAB_JUROS_C[[#This Row],[Chave-CORC]],CORRECAO_JURS_C[],2, FALSE), 0)</f>
        <v>1</v>
      </c>
      <c r="AA4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169.8465911488338</v>
      </c>
      <c r="AB44" s="63">
        <f>(TIR_C/100 +1)^(TAB_JUROS_C[[#This Row],[DIAS_CORRIDOS]]/360)</f>
        <v>1.0406324863820309</v>
      </c>
      <c r="AC44" s="78">
        <f>IF(TAB_JUROS_C[[#This Row],[DIAS_CORRIDOS]]&lt;0, 0, TAB_JUROS_C[[#This Row],[V_FUT_C_JURS]]/TAB_JUROS_C[[#This Row],[VAR_DESCAP_C]])</f>
        <v>163.21476925954886</v>
      </c>
      <c r="AD44" s="78">
        <f>TAB_JUROS_U[[#This Row],[V_FUT_U_JURS CENARIO]]</f>
        <v>134.52460364104107</v>
      </c>
      <c r="AE44" s="124">
        <f>IF(TAB_JUROS_C[[#This Row],[DIAS_CORRIDOS]]&lt;0, 0, TAB_JUROS_C[[#This Row],[V_FUT_UTEIS]]/TAB_JUROS_C[[#This Row],[VAR_DESCAP_C]])</f>
        <v>129.27196238966462</v>
      </c>
      <c r="AF44" s="64"/>
    </row>
    <row r="45" spans="1:32">
      <c r="A45" s="82">
        <f t="shared" si="1"/>
        <v>21</v>
      </c>
      <c r="B45" s="24">
        <f>VLOOKUP($A45, CAD_JUROS[#Data], MATCH(B$24, CAD_JUROS[#Headers],0), FALSE)</f>
        <v>2</v>
      </c>
      <c r="C45" s="24" t="str">
        <f>VLOOKUP($A45, CAD_JUROS[#Data], MATCH(C$24, CAD_JUROS[#Headers],0), FALSE)</f>
        <v xml:space="preserve">JUROS SOBRE PRINCIPAL                             </v>
      </c>
      <c r="D45" s="36">
        <f>VLOOKUP($A45, CAD_JUROS[#Data], MATCH(D$24, CAD_JUROS[#Headers],0), FALSE)</f>
        <v>42989</v>
      </c>
      <c r="E45" s="48">
        <f>VLOOKUP($A45, CAD_JUROS[#Data], MATCH(E$24, CAD_JUROS[#Headers],0), FALSE)</f>
        <v>0</v>
      </c>
      <c r="F45" s="36">
        <f>VLOOKUP($A45, CAD_JUROS[#Data], MATCH(F$24, CAD_JUROS[#Headers],0), FALSE)</f>
        <v>42993</v>
      </c>
      <c r="G45" s="47">
        <f>WORKDAY(WORKDAY(TAB_JUROS_U[[#This Row],[DT_EVE]], -1, TAB_FERIADOS[FER_DATA]), 1, TAB_FERIADOS[FER_DATA])</f>
        <v>42989</v>
      </c>
      <c r="H45" s="75">
        <f>WORKDAY(WORKDAY(TAB_JUROS_U[[#This Row],[DT_LQDC_EVE]], -1, TAB_FERIADOS[FER_DATA]), 1, TAB_FERIADOS[FER_DATA])</f>
        <v>42993</v>
      </c>
      <c r="I45" s="48">
        <f>PU_EMISSAO - SUMIF(TAB_AMORTIZACAO_U[DT_EVE], "&lt;" &amp; TAB_JUROS_U[[#This Row],[DT_EVE]], TAB_AMORTIZACAO_U[V_PU_AMTC])</f>
        <v>81602.519656000004</v>
      </c>
      <c r="J45" s="48">
        <f>IFERROR(VLOOKUP(TAB_JUROS_U[[#This Row],[DT_EVE]], TAB_AMORTIZACAO_U[[DT_EVE]:[V_PU_AMTC]], 2, FALSE), 0)</f>
        <v>825.49108799999999</v>
      </c>
      <c r="K45" s="48">
        <f>NETWORKDAYS(DT_CALCULO_U, TAB_JUROS_U[[#This Row],[dt_eve_u]], TAB_FERIADOS[FER_DATA]) -1</f>
        <v>428</v>
      </c>
      <c r="L45" s="48">
        <f>NETWORKDAYS(DT_CALCULO_U, TAB_JUROS_U[[#This Row],[dt_lqdc_eve_u]], TAB_FERIADOS[FER_DATA]) -1</f>
        <v>432</v>
      </c>
      <c r="M45" s="48">
        <f>NETWORKDAYS(IF(ISTEXT(H44), DT_B_JURS, H44), TAB_JUROS_U[[#This Row],[dt_lqdc_eve_u]],  TAB_FERIADOS[FER_DATA]) -1</f>
        <v>23</v>
      </c>
      <c r="N45" s="123">
        <f>(TX_EMISSAO/100 +1)^(TAB_JUROS_U[[#This Row],[dias_periodo_u]]/252)</f>
        <v>1.0022562323017139</v>
      </c>
      <c r="O45" s="78">
        <f>(TIR_U/100 +1)^(TAB_JUROS_U[[#This Row],[Q_DIAS_U_PARC_TIR]]/252)</f>
        <v>1.0432436482584824</v>
      </c>
      <c r="P45" s="116" t="str">
        <f>"TX_CENARIO" &amp; TEXT(DT_CALCULO_C, "-AAAAMMDD") &amp; TEXT(TAB_JUROS_U[[#This Row],[DT_EVE]], "-AAAAMMDD")</f>
        <v>TX_CENARIO-20151228-20170911</v>
      </c>
      <c r="Q45" s="44">
        <f>IFERROR(VLOOKUP(TAB_JUROS_U[[#This Row],[Chave-CENARIO]],CENARIO[],2,FALSE), 0)</f>
        <v>16.425699999999999</v>
      </c>
      <c r="R45" s="116" t="str">
        <f>"CORRECAO_JURS_U" &amp; TEXT(DT_CALCULO_C, "-AAAAMMDD") &amp; TEXT(TAB_JUROS_U[[#This Row],[DT_EVE]], "-AAAAMMDD")</f>
        <v>CORRECAO_JURS_U-20151228-20170911</v>
      </c>
      <c r="S45" s="44">
        <f>IFERROR(VLOOKUP(TAB_JUROS_U[[#This Row],[Chave-CORC]],CORRECAO_JURS_U[],2, FALSE), 0)</f>
        <v>1.0144160499999999</v>
      </c>
      <c r="T45" s="78">
        <f>MAX(0, (TAB_JUROS_U[[#This Row],[CUPOM_TIR]] -1) * IF(TAB_JUROS_U[[#This Row],[ID_T_EVE]]=1, TAB_JUROS_U[[#This Row],[PU_AMORT]], TAB_JUROS_U[[#This Row],[V_NOML_PCPL]]) * TAB_JUROS_U[[#This Row],[CORRECAO_U]])</f>
        <v>186.76844084946191</v>
      </c>
      <c r="U45" s="78">
        <f>MAX(0, TAB_JUROS_U[[#This Row],[V_FUT_U_JURS-01]]/((((TAB_JUROS_U[[#This Row],[TX_CENARIO]]/100 +1)^(1/252) -1) * PC_IDXR/100 +1)^TAB_JUROS_U[[#This Row],[Q_DIAS_U_PARC_TIR]]))</f>
        <v>143.90533007628321</v>
      </c>
      <c r="V45" s="78">
        <f>+TAB_JUROS_U[[#This Row],[V_FUT_U_JURS CENARIO]]/TAB_JUROS_U[[#This Row],[VAR_DESCAP_U]]</f>
        <v>137.94028874895011</v>
      </c>
      <c r="W45" s="78"/>
      <c r="X45" s="64">
        <f>TAB_JUROS_U[[#This Row],[dt_eve_u]]- DT_CALCULO_C</f>
        <v>623</v>
      </c>
      <c r="Y45" s="48" t="str">
        <f>"CORRECAO_JURS_C" &amp; TEXT(DT_CALCULO_C, "-AAAAMMDD") &amp; TEXT(TAB_JUROS_U[[#This Row],[DT_EVE]], "-AAAAMMDD")</f>
        <v>CORRECAO_JURS_C-20151228-20170911</v>
      </c>
      <c r="Z45" s="44">
        <f>IFERROR(VLOOKUP(TAB_JUROS_C[[#This Row],[Chave-CORC]],CORRECAO_JURS_C[],2, FALSE), 0)</f>
        <v>1</v>
      </c>
      <c r="AA4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184.11424074911071</v>
      </c>
      <c r="AB45" s="63">
        <f>(TIR_C/100 +1)^(TAB_JUROS_C[[#This Row],[DIAS_CORRIDOS]]/360)</f>
        <v>1.0430277667021155</v>
      </c>
      <c r="AC45" s="78">
        <f>IF(TAB_JUROS_C[[#This Row],[DIAS_CORRIDOS]]&lt;0, 0, TAB_JUROS_C[[#This Row],[V_FUT_C_JURS]]/TAB_JUROS_C[[#This Row],[VAR_DESCAP_C]])</f>
        <v>176.51902147461524</v>
      </c>
      <c r="AD45" s="78">
        <f>TAB_JUROS_U[[#This Row],[V_FUT_U_JURS CENARIO]]</f>
        <v>143.90533007628321</v>
      </c>
      <c r="AE45" s="124">
        <f>IF(TAB_JUROS_C[[#This Row],[DIAS_CORRIDOS]]&lt;0, 0, TAB_JUROS_C[[#This Row],[V_FUT_UTEIS]]/TAB_JUROS_C[[#This Row],[VAR_DESCAP_C]])</f>
        <v>137.96883905716959</v>
      </c>
      <c r="AF45" s="64"/>
    </row>
    <row r="46" spans="1:32">
      <c r="A46" s="82">
        <f t="shared" si="1"/>
        <v>22</v>
      </c>
      <c r="B46" s="24">
        <f>VLOOKUP($A46, CAD_JUROS[#Data], MATCH(B$24, CAD_JUROS[#Headers],0), FALSE)</f>
        <v>2</v>
      </c>
      <c r="C46" s="24" t="str">
        <f>VLOOKUP($A46, CAD_JUROS[#Data], MATCH(C$24, CAD_JUROS[#Headers],0), FALSE)</f>
        <v xml:space="preserve">JUROS SOBRE PRINCIPAL                             </v>
      </c>
      <c r="D46" s="36">
        <f>VLOOKUP($A46, CAD_JUROS[#Data], MATCH(D$24, CAD_JUROS[#Headers],0), FALSE)</f>
        <v>43018</v>
      </c>
      <c r="E46" s="48">
        <f>VLOOKUP($A46, CAD_JUROS[#Data], MATCH(E$24, CAD_JUROS[#Headers],0), FALSE)</f>
        <v>0</v>
      </c>
      <c r="F46" s="36">
        <f>VLOOKUP($A46, CAD_JUROS[#Data], MATCH(F$24, CAD_JUROS[#Headers],0), FALSE)</f>
        <v>43024</v>
      </c>
      <c r="G46" s="47">
        <f>WORKDAY(WORKDAY(TAB_JUROS_U[[#This Row],[DT_EVE]], -1, TAB_FERIADOS[FER_DATA]), 1, TAB_FERIADOS[FER_DATA])</f>
        <v>43018</v>
      </c>
      <c r="H46" s="75">
        <f>WORKDAY(WORKDAY(TAB_JUROS_U[[#This Row],[DT_LQDC_EVE]], -1, TAB_FERIADOS[FER_DATA]), 1, TAB_FERIADOS[FER_DATA])</f>
        <v>43024</v>
      </c>
      <c r="I46" s="48">
        <f>PU_EMISSAO - SUMIF(TAB_AMORTIZACAO_U[DT_EVE], "&lt;" &amp; TAB_JUROS_U[[#This Row],[DT_EVE]], TAB_AMORTIZACAO_U[V_PU_AMTC])</f>
        <v>80777.028568000009</v>
      </c>
      <c r="J46" s="48">
        <f>IFERROR(VLOOKUP(TAB_JUROS_U[[#This Row],[DT_EVE]], TAB_AMORTIZACAO_U[[DT_EVE]:[V_PU_AMTC]], 2, FALSE), 0)</f>
        <v>838.95021799999995</v>
      </c>
      <c r="K46" s="48">
        <f>NETWORKDAYS(DT_CALCULO_U, TAB_JUROS_U[[#This Row],[dt_eve_u]], TAB_FERIADOS[FER_DATA]) -1</f>
        <v>449</v>
      </c>
      <c r="L46" s="48">
        <f>NETWORKDAYS(DT_CALCULO_U, TAB_JUROS_U[[#This Row],[dt_lqdc_eve_u]], TAB_FERIADOS[FER_DATA]) -1</f>
        <v>452</v>
      </c>
      <c r="M46" s="48">
        <f>NETWORKDAYS(IF(ISTEXT(H45), DT_B_JURS, H45), TAB_JUROS_U[[#This Row],[dt_lqdc_eve_u]],  TAB_FERIADOS[FER_DATA]) -1</f>
        <v>20</v>
      </c>
      <c r="N46" s="123">
        <f>(TX_EMISSAO/100 +1)^(TAB_JUROS_U[[#This Row],[dias_periodo_u]]/252)</f>
        <v>1.0019616526860928</v>
      </c>
      <c r="O46" s="78">
        <f>(TIR_U/100 +1)^(TAB_JUROS_U[[#This Row],[Q_DIAS_U_PARC_TIR]]/252)</f>
        <v>1.0452903505893354</v>
      </c>
      <c r="P46" s="116" t="str">
        <f>"TX_CENARIO" &amp; TEXT(DT_CALCULO_C, "-AAAAMMDD") &amp; TEXT(TAB_JUROS_U[[#This Row],[DT_EVE]], "-AAAAMMDD")</f>
        <v>TX_CENARIO-20151228-20171010</v>
      </c>
      <c r="Q46" s="44">
        <f>IFERROR(VLOOKUP(TAB_JUROS_U[[#This Row],[Chave-CENARIO]],CENARIO[],2,FALSE), 0)</f>
        <v>16.454999999999998</v>
      </c>
      <c r="R46" s="116" t="str">
        <f>"CORRECAO_JURS_U" &amp; TEXT(DT_CALCULO_C, "-AAAAMMDD") &amp; TEXT(TAB_JUROS_U[[#This Row],[DT_EVE]], "-AAAAMMDD")</f>
        <v>CORRECAO_JURS_U-20151228-20171010</v>
      </c>
      <c r="S46" s="44">
        <f>IFERROR(VLOOKUP(TAB_JUROS_U[[#This Row],[Chave-CORC]],CORRECAO_JURS_U[],2, FALSE), 0)</f>
        <v>1.0131537399999999</v>
      </c>
      <c r="T46" s="78">
        <f>MAX(0, (TAB_JUROS_U[[#This Row],[CUPOM_TIR]] -1) * IF(TAB_JUROS_U[[#This Row],[ID_T_EVE]]=1, TAB_JUROS_U[[#This Row],[PU_AMORT]], TAB_JUROS_U[[#This Row],[V_NOML_PCPL]]) * TAB_JUROS_U[[#This Row],[CORRECAO_U]])</f>
        <v>160.54077033933612</v>
      </c>
      <c r="U46" s="78">
        <f>MAX(0, TAB_JUROS_U[[#This Row],[V_FUT_U_JURS-01]]/((((TAB_JUROS_U[[#This Row],[TX_CENARIO]]/100 +1)^(1/252) -1) * PC_IDXR/100 +1)^TAB_JUROS_U[[#This Row],[Q_DIAS_U_PARC_TIR]]))</f>
        <v>122.15767062649142</v>
      </c>
      <c r="V46" s="78">
        <f>+TAB_JUROS_U[[#This Row],[V_FUT_U_JURS CENARIO]]/TAB_JUROS_U[[#This Row],[VAR_DESCAP_U]]</f>
        <v>116.86482187233322</v>
      </c>
      <c r="W46" s="78"/>
      <c r="X46" s="64">
        <f>TAB_JUROS_U[[#This Row],[dt_eve_u]]- DT_CALCULO_C</f>
        <v>652</v>
      </c>
      <c r="Y46" s="48" t="str">
        <f>"CORRECAO_JURS_C" &amp; TEXT(DT_CALCULO_C, "-AAAAMMDD") &amp; TEXT(TAB_JUROS_U[[#This Row],[DT_EVE]], "-AAAAMMDD")</f>
        <v>CORRECAO_JURS_C-20151228-20171010</v>
      </c>
      <c r="Z46" s="44">
        <f>IFERROR(VLOOKUP(TAB_JUROS_C[[#This Row],[Chave-CORC]],CORRECAO_JURS_C[],2, FALSE), 0)</f>
        <v>1</v>
      </c>
      <c r="AA4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158.45647506501444</v>
      </c>
      <c r="AB46" s="63">
        <f>(TIR_C/100 +1)^(TAB_JUROS_C[[#This Row],[DIAS_CORRIDOS]]/360)</f>
        <v>1.0450751562090643</v>
      </c>
      <c r="AC46" s="78">
        <f>IF(TAB_JUROS_C[[#This Row],[DIAS_CORRIDOS]]&lt;0, 0, TAB_JUROS_C[[#This Row],[V_FUT_C_JURS]]/TAB_JUROS_C[[#This Row],[VAR_DESCAP_C]])</f>
        <v>151.62208586012514</v>
      </c>
      <c r="AD46" s="78">
        <f>TAB_JUROS_U[[#This Row],[V_FUT_U_JURS CENARIO]]</f>
        <v>122.15767062649142</v>
      </c>
      <c r="AE46" s="124">
        <f>IF(TAB_JUROS_C[[#This Row],[DIAS_CORRIDOS]]&lt;0, 0, TAB_JUROS_C[[#This Row],[V_FUT_UTEIS]]/TAB_JUROS_C[[#This Row],[VAR_DESCAP_C]])</f>
        <v>116.88888583822973</v>
      </c>
      <c r="AF46" s="64"/>
    </row>
    <row r="47" spans="1:32">
      <c r="A47" s="82">
        <f t="shared" si="1"/>
        <v>23</v>
      </c>
      <c r="B47" s="24">
        <f>VLOOKUP($A47, CAD_JUROS[#Data], MATCH(B$24, CAD_JUROS[#Headers],0), FALSE)</f>
        <v>2</v>
      </c>
      <c r="C47" s="24" t="str">
        <f>VLOOKUP($A47, CAD_JUROS[#Data], MATCH(C$24, CAD_JUROS[#Headers],0), FALSE)</f>
        <v xml:space="preserve">JUROS SOBRE PRINCIPAL                             </v>
      </c>
      <c r="D47" s="36">
        <f>VLOOKUP($A47, CAD_JUROS[#Data], MATCH(D$24, CAD_JUROS[#Headers],0), FALSE)</f>
        <v>43049</v>
      </c>
      <c r="E47" s="48">
        <f>VLOOKUP($A47, CAD_JUROS[#Data], MATCH(E$24, CAD_JUROS[#Headers],0), FALSE)</f>
        <v>0</v>
      </c>
      <c r="F47" s="36">
        <f>VLOOKUP($A47, CAD_JUROS[#Data], MATCH(F$24, CAD_JUROS[#Headers],0), FALSE)</f>
        <v>43055</v>
      </c>
      <c r="G47" s="47">
        <f>WORKDAY(WORKDAY(TAB_JUROS_U[[#This Row],[DT_EVE]], -1, TAB_FERIADOS[FER_DATA]), 1, TAB_FERIADOS[FER_DATA])</f>
        <v>43049</v>
      </c>
      <c r="H47" s="75">
        <f>WORKDAY(WORKDAY(TAB_JUROS_U[[#This Row],[DT_LQDC_EVE]], -1, TAB_FERIADOS[FER_DATA]), 1, TAB_FERIADOS[FER_DATA])</f>
        <v>43055</v>
      </c>
      <c r="I47" s="48">
        <f>PU_EMISSAO - SUMIF(TAB_AMORTIZACAO_U[DT_EVE], "&lt;" &amp; TAB_JUROS_U[[#This Row],[DT_EVE]], TAB_AMORTIZACAO_U[V_PU_AMTC])</f>
        <v>79938.078349999996</v>
      </c>
      <c r="J47" s="48">
        <f>IFERROR(VLOOKUP(TAB_JUROS_U[[#This Row],[DT_EVE]], TAB_AMORTIZACAO_U[[DT_EVE]:[V_PU_AMTC]], 2, FALSE), 0)</f>
        <v>820.24462100000005</v>
      </c>
      <c r="K47" s="48">
        <f>NETWORKDAYS(DT_CALCULO_U, TAB_JUROS_U[[#This Row],[dt_eve_u]], TAB_FERIADOS[FER_DATA]) -1</f>
        <v>470</v>
      </c>
      <c r="L47" s="48">
        <f>NETWORKDAYS(DT_CALCULO_U, TAB_JUROS_U[[#This Row],[dt_lqdc_eve_u]], TAB_FERIADOS[FER_DATA]) -1</f>
        <v>473</v>
      </c>
      <c r="M47" s="48">
        <f>NETWORKDAYS(IF(ISTEXT(H46), DT_B_JURS, H46), TAB_JUROS_U[[#This Row],[dt_lqdc_eve_u]],  TAB_FERIADOS[FER_DATA]) -1</f>
        <v>21</v>
      </c>
      <c r="N47" s="123">
        <f>(TX_EMISSAO/100 +1)^(TAB_JUROS_U[[#This Row],[dias_periodo_u]]/252)</f>
        <v>1.0020598362698427</v>
      </c>
      <c r="O47" s="78">
        <f>(TIR_U/100 +1)^(TAB_JUROS_U[[#This Row],[Q_DIAS_U_PARC_TIR]]/252)</f>
        <v>1.0474437097005198</v>
      </c>
      <c r="P47" s="116" t="str">
        <f>"TX_CENARIO" &amp; TEXT(DT_CALCULO_C, "-AAAAMMDD") &amp; TEXT(TAB_JUROS_U[[#This Row],[DT_EVE]], "-AAAAMMDD")</f>
        <v>TX_CENARIO-20151228-20171110</v>
      </c>
      <c r="Q47" s="44">
        <f>IFERROR(VLOOKUP(TAB_JUROS_U[[#This Row],[Chave-CENARIO]],CENARIO[],2,FALSE), 0)</f>
        <v>16.476400000000002</v>
      </c>
      <c r="R47" s="116" t="str">
        <f>"CORRECAO_JURS_U" &amp; TEXT(DT_CALCULO_C, "-AAAAMMDD") &amp; TEXT(TAB_JUROS_U[[#This Row],[DT_EVE]], "-AAAAMMDD")</f>
        <v>CORRECAO_JURS_U-20151228-20171110</v>
      </c>
      <c r="S47" s="44">
        <f>IFERROR(VLOOKUP(TAB_JUROS_U[[#This Row],[Chave-CORC]],CORRECAO_JURS_U[],2, FALSE), 0)</f>
        <v>1.01315238</v>
      </c>
      <c r="T47" s="78">
        <f>MAX(0, (TAB_JUROS_U[[#This Row],[CUPOM_TIR]] -1) * IF(TAB_JUROS_U[[#This Row],[ID_T_EVE]]=1, TAB_JUROS_U[[#This Row],[PU_AMORT]], TAB_JUROS_U[[#This Row],[V_NOML_PCPL]]) * TAB_JUROS_U[[#This Row],[CORRECAO_U]])</f>
        <v>166.82501550973939</v>
      </c>
      <c r="U47" s="78">
        <f>MAX(0, TAB_JUROS_U[[#This Row],[V_FUT_U_JURS-01]]/((((TAB_JUROS_U[[#This Row],[TX_CENARIO]]/100 +1)^(1/252) -1) * PC_IDXR/100 +1)^TAB_JUROS_U[[#This Row],[Q_DIAS_U_PARC_TIR]]))</f>
        <v>125.29496334802913</v>
      </c>
      <c r="V47" s="78">
        <f>+TAB_JUROS_U[[#This Row],[V_FUT_U_JURS CENARIO]]/TAB_JUROS_U[[#This Row],[VAR_DESCAP_U]]</f>
        <v>119.61975826257324</v>
      </c>
      <c r="W47" s="78"/>
      <c r="X47" s="64">
        <f>TAB_JUROS_U[[#This Row],[dt_eve_u]]- DT_CALCULO_C</f>
        <v>683</v>
      </c>
      <c r="Y47" s="48" t="str">
        <f>"CORRECAO_JURS_C" &amp; TEXT(DT_CALCULO_C, "-AAAAMMDD") &amp; TEXT(TAB_JUROS_U[[#This Row],[DT_EVE]], "-AAAAMMDD")</f>
        <v>CORRECAO_JURS_C-20151228-20171110</v>
      </c>
      <c r="Z47" s="44">
        <f>IFERROR(VLOOKUP(TAB_JUROS_C[[#This Row],[Chave-CORC]],CORRECAO_JURS_C[],2, FALSE), 0)</f>
        <v>1</v>
      </c>
      <c r="AA4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164.65935312686074</v>
      </c>
      <c r="AB47" s="63">
        <f>(TIR_C/100 +1)^(TAB_JUROS_C[[#This Row],[DIAS_CORRIDOS]]/360)</f>
        <v>1.0472681893767806</v>
      </c>
      <c r="AC47" s="78">
        <f>IF(TAB_JUROS_C[[#This Row],[DIAS_CORRIDOS]]&lt;0, 0, TAB_JUROS_C[[#This Row],[V_FUT_C_JURS]]/TAB_JUROS_C[[#This Row],[VAR_DESCAP_C]])</f>
        <v>157.2274941577744</v>
      </c>
      <c r="AD47" s="78">
        <f>TAB_JUROS_U[[#This Row],[V_FUT_U_JURS CENARIO]]</f>
        <v>125.29496334802913</v>
      </c>
      <c r="AE47" s="124">
        <f>IF(TAB_JUROS_C[[#This Row],[DIAS_CORRIDOS]]&lt;0, 0, TAB_JUROS_C[[#This Row],[V_FUT_UTEIS]]/TAB_JUROS_C[[#This Row],[VAR_DESCAP_C]])</f>
        <v>119.639806325628</v>
      </c>
      <c r="AF47" s="64"/>
    </row>
    <row r="48" spans="1:32">
      <c r="A48" s="82">
        <f t="shared" si="1"/>
        <v>24</v>
      </c>
      <c r="B48" s="24">
        <f>VLOOKUP($A48, CAD_JUROS[#Data], MATCH(B$24, CAD_JUROS[#Headers],0), FALSE)</f>
        <v>2</v>
      </c>
      <c r="C48" s="24" t="str">
        <f>VLOOKUP($A48, CAD_JUROS[#Data], MATCH(C$24, CAD_JUROS[#Headers],0), FALSE)</f>
        <v xml:space="preserve">JUROS SOBRE PRINCIPAL                             </v>
      </c>
      <c r="D48" s="36">
        <f>VLOOKUP($A48, CAD_JUROS[#Data], MATCH(D$24, CAD_JUROS[#Headers],0), FALSE)</f>
        <v>43077</v>
      </c>
      <c r="E48" s="48">
        <f>VLOOKUP($A48, CAD_JUROS[#Data], MATCH(E$24, CAD_JUROS[#Headers],0), FALSE)</f>
        <v>0</v>
      </c>
      <c r="F48" s="36">
        <f>VLOOKUP($A48, CAD_JUROS[#Data], MATCH(F$24, CAD_JUROS[#Headers],0), FALSE)</f>
        <v>43083</v>
      </c>
      <c r="G48" s="47">
        <f>WORKDAY(WORKDAY(TAB_JUROS_U[[#This Row],[DT_EVE]], -1, TAB_FERIADOS[FER_DATA]), 1, TAB_FERIADOS[FER_DATA])</f>
        <v>43077</v>
      </c>
      <c r="H48" s="75">
        <f>WORKDAY(WORKDAY(TAB_JUROS_U[[#This Row],[DT_LQDC_EVE]], -1, TAB_FERIADOS[FER_DATA]), 1, TAB_FERIADOS[FER_DATA])</f>
        <v>43083</v>
      </c>
      <c r="I48" s="48">
        <f>PU_EMISSAO - SUMIF(TAB_AMORTIZACAO_U[DT_EVE], "&lt;" &amp; TAB_JUROS_U[[#This Row],[DT_EVE]], TAB_AMORTIZACAO_U[V_PU_AMTC])</f>
        <v>79117.833729000005</v>
      </c>
      <c r="J48" s="48">
        <f>IFERROR(VLOOKUP(TAB_JUROS_U[[#This Row],[DT_EVE]], TAB_AMORTIZACAO_U[[DT_EVE]:[V_PU_AMTC]], 2, FALSE), 0)</f>
        <v>818.07839999999999</v>
      </c>
      <c r="K48" s="48">
        <f>NETWORKDAYS(DT_CALCULO_U, TAB_JUROS_U[[#This Row],[dt_eve_u]], TAB_FERIADOS[FER_DATA]) -1</f>
        <v>489</v>
      </c>
      <c r="L48" s="48">
        <f>NETWORKDAYS(DT_CALCULO_U, TAB_JUROS_U[[#This Row],[dt_lqdc_eve_u]], TAB_FERIADOS[FER_DATA]) -1</f>
        <v>493</v>
      </c>
      <c r="M48" s="48">
        <f>NETWORKDAYS(IF(ISTEXT(H47), DT_B_JURS, H47), TAB_JUROS_U[[#This Row],[dt_lqdc_eve_u]],  TAB_FERIADOS[FER_DATA]) -1</f>
        <v>20</v>
      </c>
      <c r="N48" s="123">
        <f>(TX_EMISSAO/100 +1)^(TAB_JUROS_U[[#This Row],[dias_periodo_u]]/252)</f>
        <v>1.0019616526860928</v>
      </c>
      <c r="O48" s="78">
        <f>(TIR_U/100 +1)^(TAB_JUROS_U[[#This Row],[Q_DIAS_U_PARC_TIR]]/252)</f>
        <v>1.0494986519814147</v>
      </c>
      <c r="P48" s="116" t="str">
        <f>"TX_CENARIO" &amp; TEXT(DT_CALCULO_C, "-AAAAMMDD") &amp; TEXT(TAB_JUROS_U[[#This Row],[DT_EVE]], "-AAAAMMDD")</f>
        <v>TX_CENARIO-20151228-20171208</v>
      </c>
      <c r="Q48" s="44">
        <f>IFERROR(VLOOKUP(TAB_JUROS_U[[#This Row],[Chave-CENARIO]],CENARIO[],2,FALSE), 0)</f>
        <v>16.495100000000001</v>
      </c>
      <c r="R48" s="116" t="str">
        <f>"CORRECAO_JURS_U" &amp; TEXT(DT_CALCULO_C, "-AAAAMMDD") &amp; TEXT(TAB_JUROS_U[[#This Row],[DT_EVE]], "-AAAAMMDD")</f>
        <v>CORRECAO_JURS_U-20151228-20171208</v>
      </c>
      <c r="S48" s="44">
        <f>IFERROR(VLOOKUP(TAB_JUROS_U[[#This Row],[Chave-CORC]],CORRECAO_JURS_U[],2, FALSE), 0)</f>
        <v>1.01189236</v>
      </c>
      <c r="T48" s="78">
        <f>MAX(0, (TAB_JUROS_U[[#This Row],[CUPOM_TIR]] -1) * IF(TAB_JUROS_U[[#This Row],[ID_T_EVE]]=1, TAB_JUROS_U[[#This Row],[PU_AMORT]], TAB_JUROS_U[[#This Row],[V_NOML_PCPL]]) * TAB_JUROS_U[[#This Row],[CORRECAO_U]])</f>
        <v>157.04742567278913</v>
      </c>
      <c r="U48" s="78">
        <f>MAX(0, TAB_JUROS_U[[#This Row],[V_FUT_U_JURS-01]]/((((TAB_JUROS_U[[#This Row],[TX_CENARIO]]/100 +1)^(1/252) -1) * PC_IDXR/100 +1)^TAB_JUROS_U[[#This Row],[Q_DIAS_U_PARC_TIR]]))</f>
        <v>116.49569769279675</v>
      </c>
      <c r="V48" s="78">
        <f>+TAB_JUROS_U[[#This Row],[V_FUT_U_JURS CENARIO]]/TAB_JUROS_U[[#This Row],[VAR_DESCAP_U]]</f>
        <v>111.00128377759913</v>
      </c>
      <c r="W48" s="78"/>
      <c r="X48" s="64">
        <f>TAB_JUROS_U[[#This Row],[dt_eve_u]]- DT_CALCULO_C</f>
        <v>711</v>
      </c>
      <c r="Y48" s="48" t="str">
        <f>"CORRECAO_JURS_C" &amp; TEXT(DT_CALCULO_C, "-AAAAMMDD") &amp; TEXT(TAB_JUROS_U[[#This Row],[DT_EVE]], "-AAAAMMDD")</f>
        <v>CORRECAO_JURS_C-20151228-20171208</v>
      </c>
      <c r="Z48" s="44">
        <f>IFERROR(VLOOKUP(TAB_JUROS_C[[#This Row],[Chave-CORC]],CORRECAO_JURS_C[],2, FALSE), 0)</f>
        <v>1</v>
      </c>
      <c r="AA4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155.20171105233874</v>
      </c>
      <c r="AB48" s="63">
        <f>(TIR_C/100 +1)^(TAB_JUROS_C[[#This Row],[DIAS_CORRIDOS]]/360)</f>
        <v>1.0492529487437916</v>
      </c>
      <c r="AC48" s="78">
        <f>IF(TAB_JUROS_C[[#This Row],[DIAS_CORRIDOS]]&lt;0, 0, TAB_JUROS_C[[#This Row],[V_FUT_C_JURS]]/TAB_JUROS_C[[#This Row],[VAR_DESCAP_C]])</f>
        <v>147.9163925516269</v>
      </c>
      <c r="AD48" s="78">
        <f>TAB_JUROS_U[[#This Row],[V_FUT_U_JURS CENARIO]]</f>
        <v>116.49569769279675</v>
      </c>
      <c r="AE48" s="124">
        <f>IF(TAB_JUROS_C[[#This Row],[DIAS_CORRIDOS]]&lt;0, 0, TAB_JUROS_C[[#This Row],[V_FUT_UTEIS]]/TAB_JUROS_C[[#This Row],[VAR_DESCAP_C]])</f>
        <v>111.02727691379867</v>
      </c>
      <c r="AF48" s="64"/>
    </row>
    <row r="49" spans="1:32">
      <c r="A49" s="82">
        <f t="shared" si="1"/>
        <v>25</v>
      </c>
      <c r="B49" s="24">
        <f>VLOOKUP($A49, CAD_JUROS[#Data], MATCH(B$24, CAD_JUROS[#Headers],0), FALSE)</f>
        <v>2</v>
      </c>
      <c r="C49" s="24" t="str">
        <f>VLOOKUP($A49, CAD_JUROS[#Data], MATCH(C$24, CAD_JUROS[#Headers],0), FALSE)</f>
        <v xml:space="preserve">JUROS SOBRE PRINCIPAL                             </v>
      </c>
      <c r="D49" s="36">
        <f>VLOOKUP($A49, CAD_JUROS[#Data], MATCH(D$24, CAD_JUROS[#Headers],0), FALSE)</f>
        <v>43109</v>
      </c>
      <c r="E49" s="48">
        <f>VLOOKUP($A49, CAD_JUROS[#Data], MATCH(E$24, CAD_JUROS[#Headers],0), FALSE)</f>
        <v>0</v>
      </c>
      <c r="F49" s="36">
        <f>VLOOKUP($A49, CAD_JUROS[#Data], MATCH(F$24, CAD_JUROS[#Headers],0), FALSE)</f>
        <v>43115</v>
      </c>
      <c r="G49" s="47">
        <f>WORKDAY(WORKDAY(TAB_JUROS_U[[#This Row],[DT_EVE]], -1, TAB_FERIADOS[FER_DATA]), 1, TAB_FERIADOS[FER_DATA])</f>
        <v>43109</v>
      </c>
      <c r="H49" s="75">
        <f>WORKDAY(WORKDAY(TAB_JUROS_U[[#This Row],[DT_LQDC_EVE]], -1, TAB_FERIADOS[FER_DATA]), 1, TAB_FERIADOS[FER_DATA])</f>
        <v>43115</v>
      </c>
      <c r="I49" s="48">
        <f>PU_EMISSAO - SUMIF(TAB_AMORTIZACAO_U[DT_EVE], "&lt;" &amp; TAB_JUROS_U[[#This Row],[DT_EVE]], TAB_AMORTIZACAO_U[V_PU_AMTC])</f>
        <v>78299.755329000007</v>
      </c>
      <c r="J49" s="48">
        <f>IFERROR(VLOOKUP(TAB_JUROS_U[[#This Row],[DT_EVE]], TAB_AMORTIZACAO_U[[DT_EVE]:[V_PU_AMTC]], 2, FALSE), 0)</f>
        <v>900.91698399999996</v>
      </c>
      <c r="K49" s="48">
        <f>NETWORKDAYS(DT_CALCULO_U, TAB_JUROS_U[[#This Row],[dt_eve_u]], TAB_FERIADOS[FER_DATA]) -1</f>
        <v>509</v>
      </c>
      <c r="L49" s="48">
        <f>NETWORKDAYS(DT_CALCULO_U, TAB_JUROS_U[[#This Row],[dt_lqdc_eve_u]], TAB_FERIADOS[FER_DATA]) -1</f>
        <v>513</v>
      </c>
      <c r="M49" s="48">
        <f>NETWORKDAYS(IF(ISTEXT(H48), DT_B_JURS, H48), TAB_JUROS_U[[#This Row],[dt_lqdc_eve_u]],  TAB_FERIADOS[FER_DATA]) -1</f>
        <v>20</v>
      </c>
      <c r="N49" s="123">
        <f>(TX_EMISSAO/100 +1)^(TAB_JUROS_U[[#This Row],[dias_periodo_u]]/252)</f>
        <v>1.0019616526860928</v>
      </c>
      <c r="O49" s="78">
        <f>(TIR_U/100 +1)^(TAB_JUROS_U[[#This Row],[Q_DIAS_U_PARC_TIR]]/252)</f>
        <v>1.0515576257799357</v>
      </c>
      <c r="P49" s="116" t="str">
        <f>"TX_CENARIO" &amp; TEXT(DT_CALCULO_C, "-AAAAMMDD") &amp; TEXT(TAB_JUROS_U[[#This Row],[DT_EVE]], "-AAAAMMDD")</f>
        <v>TX_CENARIO-20151228-20180109</v>
      </c>
      <c r="Q49" s="44">
        <f>IFERROR(VLOOKUP(TAB_JUROS_U[[#This Row],[Chave-CENARIO]],CENARIO[],2,FALSE), 0)</f>
        <v>16.518799999999999</v>
      </c>
      <c r="R49" s="116" t="str">
        <f>"CORRECAO_JURS_U" &amp; TEXT(DT_CALCULO_C, "-AAAAMMDD") &amp; TEXT(TAB_JUROS_U[[#This Row],[DT_EVE]], "-AAAAMMDD")</f>
        <v>CORRECAO_JURS_U-20151228-20180109</v>
      </c>
      <c r="S49" s="44">
        <f>IFERROR(VLOOKUP(TAB_JUROS_U[[#This Row],[Chave-CORC]],CORRECAO_JURS_U[],2, FALSE), 0)</f>
        <v>1.0125591599999999</v>
      </c>
      <c r="T49" s="78">
        <f>MAX(0, (TAB_JUROS_U[[#This Row],[CUPOM_TIR]] -1) * IF(TAB_JUROS_U[[#This Row],[ID_T_EVE]]=1, TAB_JUROS_U[[#This Row],[PU_AMORT]], TAB_JUROS_U[[#This Row],[V_NOML_PCPL]]) * TAB_JUROS_U[[#This Row],[CORRECAO_U]])</f>
        <v>155.52597372266789</v>
      </c>
      <c r="U49" s="78">
        <f>MAX(0, TAB_JUROS_U[[#This Row],[V_FUT_U_JURS-01]]/((((TAB_JUROS_U[[#This Row],[TX_CENARIO]]/100 +1)^(1/252) -1) * PC_IDXR/100 +1)^TAB_JUROS_U[[#This Row],[Q_DIAS_U_PARC_TIR]]))</f>
        <v>113.9304038099183</v>
      </c>
      <c r="V49" s="78">
        <f>+TAB_JUROS_U[[#This Row],[V_FUT_U_JURS CENARIO]]/TAB_JUROS_U[[#This Row],[VAR_DESCAP_U]]</f>
        <v>108.34442261346982</v>
      </c>
      <c r="W49" s="78"/>
      <c r="X49" s="64">
        <f>TAB_JUROS_U[[#This Row],[dt_eve_u]]- DT_CALCULO_C</f>
        <v>743</v>
      </c>
      <c r="Y49" s="48" t="str">
        <f>"CORRECAO_JURS_C" &amp; TEXT(DT_CALCULO_C, "-AAAAMMDD") &amp; TEXT(TAB_JUROS_U[[#This Row],[DT_EVE]], "-AAAAMMDD")</f>
        <v>CORRECAO_JURS_C-20151228-20180109</v>
      </c>
      <c r="Z49" s="44">
        <f>IFERROR(VLOOKUP(TAB_JUROS_C[[#This Row],[Chave-CORC]],CORRECAO_JURS_C[],2, FALSE), 0)</f>
        <v>1</v>
      </c>
      <c r="AA4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153.59692536154421</v>
      </c>
      <c r="AB49" s="63">
        <f>(TIR_C/100 +1)^(TAB_JUROS_C[[#This Row],[DIAS_CORRIDOS]]/360)</f>
        <v>1.0515258514625467</v>
      </c>
      <c r="AC49" s="78">
        <f>IF(TAB_JUROS_C[[#This Row],[DIAS_CORRIDOS]]&lt;0, 0, TAB_JUROS_C[[#This Row],[V_FUT_C_JURS]]/TAB_JUROS_C[[#This Row],[VAR_DESCAP_C]])</f>
        <v>146.07051757016649</v>
      </c>
      <c r="AD49" s="78">
        <f>TAB_JUROS_U[[#This Row],[V_FUT_U_JURS CENARIO]]</f>
        <v>113.9304038099183</v>
      </c>
      <c r="AE49" s="124">
        <f>IF(TAB_JUROS_C[[#This Row],[DIAS_CORRIDOS]]&lt;0, 0, TAB_JUROS_C[[#This Row],[V_FUT_UTEIS]]/TAB_JUROS_C[[#This Row],[VAR_DESCAP_C]])</f>
        <v>108.34769649405645</v>
      </c>
      <c r="AF49" s="64"/>
    </row>
    <row r="50" spans="1:32">
      <c r="A50" s="82">
        <f t="shared" si="1"/>
        <v>26</v>
      </c>
      <c r="B50" s="24">
        <f>VLOOKUP($A50, CAD_JUROS[#Data], MATCH(B$24, CAD_JUROS[#Headers],0), FALSE)</f>
        <v>2</v>
      </c>
      <c r="C50" s="24" t="str">
        <f>VLOOKUP($A50, CAD_JUROS[#Data], MATCH(C$24, CAD_JUROS[#Headers],0), FALSE)</f>
        <v xml:space="preserve">JUROS SOBRE PRINCIPAL                             </v>
      </c>
      <c r="D50" s="36">
        <f>VLOOKUP($A50, CAD_JUROS[#Data], MATCH(D$24, CAD_JUROS[#Headers],0), FALSE)</f>
        <v>43143</v>
      </c>
      <c r="E50" s="48">
        <f>VLOOKUP($A50, CAD_JUROS[#Data], MATCH(E$24, CAD_JUROS[#Headers],0), FALSE)</f>
        <v>0</v>
      </c>
      <c r="F50" s="36">
        <f>VLOOKUP($A50, CAD_JUROS[#Data], MATCH(F$24, CAD_JUROS[#Headers],0), FALSE)</f>
        <v>43147</v>
      </c>
      <c r="G50" s="47">
        <f>WORKDAY(WORKDAY(TAB_JUROS_U[[#This Row],[DT_EVE]], -1, TAB_FERIADOS[FER_DATA]), 1, TAB_FERIADOS[FER_DATA])</f>
        <v>43145</v>
      </c>
      <c r="H50" s="75">
        <f>WORKDAY(WORKDAY(TAB_JUROS_U[[#This Row],[DT_LQDC_EVE]], -1, TAB_FERIADOS[FER_DATA]), 1, TAB_FERIADOS[FER_DATA])</f>
        <v>43147</v>
      </c>
      <c r="I50" s="48">
        <f>PU_EMISSAO - SUMIF(TAB_AMORTIZACAO_U[DT_EVE], "&lt;" &amp; TAB_JUROS_U[[#This Row],[DT_EVE]], TAB_AMORTIZACAO_U[V_PU_AMTC])</f>
        <v>77398.838344999996</v>
      </c>
      <c r="J50" s="48">
        <f>IFERROR(VLOOKUP(TAB_JUROS_U[[#This Row],[DT_EVE]], TAB_AMORTIZACAO_U[[DT_EVE]:[V_PU_AMTC]], 2, FALSE), 0)</f>
        <v>873.678087</v>
      </c>
      <c r="K50" s="48">
        <f>NETWORKDAYS(DT_CALCULO_U, TAB_JUROS_U[[#This Row],[dt_eve_u]], TAB_FERIADOS[FER_DATA]) -1</f>
        <v>533</v>
      </c>
      <c r="L50" s="48">
        <f>NETWORKDAYS(DT_CALCULO_U, TAB_JUROS_U[[#This Row],[dt_lqdc_eve_u]], TAB_FERIADOS[FER_DATA]) -1</f>
        <v>535</v>
      </c>
      <c r="M50" s="48">
        <f>NETWORKDAYS(IF(ISTEXT(H49), DT_B_JURS, H49), TAB_JUROS_U[[#This Row],[dt_lqdc_eve_u]],  TAB_FERIADOS[FER_DATA]) -1</f>
        <v>22</v>
      </c>
      <c r="N50" s="123">
        <f>(TX_EMISSAO/100 +1)^(TAB_JUROS_U[[#This Row],[dias_periodo_u]]/252)</f>
        <v>1.0021580294747356</v>
      </c>
      <c r="O50" s="78">
        <f>(TIR_U/100 +1)^(TAB_JUROS_U[[#This Row],[Q_DIAS_U_PARC_TIR]]/252)</f>
        <v>1.0538271628013669</v>
      </c>
      <c r="P50" s="116" t="str">
        <f>"TX_CENARIO" &amp; TEXT(DT_CALCULO_C, "-AAAAMMDD") &amp; TEXT(TAB_JUROS_U[[#This Row],[DT_EVE]], "-AAAAMMDD")</f>
        <v>TX_CENARIO-20151228-20180212</v>
      </c>
      <c r="Q50" s="44">
        <f>IFERROR(VLOOKUP(TAB_JUROS_U[[#This Row],[Chave-CENARIO]],CENARIO[],2,FALSE), 0)</f>
        <v>16.551200000000001</v>
      </c>
      <c r="R50" s="116" t="str">
        <f>"CORRECAO_JURS_U" &amp; TEXT(DT_CALCULO_C, "-AAAAMMDD") &amp; TEXT(TAB_JUROS_U[[#This Row],[DT_EVE]], "-AAAAMMDD")</f>
        <v>CORRECAO_JURS_U-20151228-20180212</v>
      </c>
      <c r="S50" s="44">
        <f>IFERROR(VLOOKUP(TAB_JUROS_U[[#This Row],[Chave-CORC]],CORRECAO_JURS_U[],2, FALSE), 0)</f>
        <v>1.01522336</v>
      </c>
      <c r="T50" s="78">
        <f>MAX(0, (TAB_JUROS_U[[#This Row],[CUPOM_TIR]] -1) * IF(TAB_JUROS_U[[#This Row],[ID_T_EVE]]=1, TAB_JUROS_U[[#This Row],[PU_AMORT]], TAB_JUROS_U[[#This Row],[V_NOML_PCPL]]) * TAB_JUROS_U[[#This Row],[CORRECAO_U]])</f>
        <v>169.57171666742673</v>
      </c>
      <c r="U50" s="78">
        <f>MAX(0, TAB_JUROS_U[[#This Row],[V_FUT_U_JURS-01]]/((((TAB_JUROS_U[[#This Row],[TX_CENARIO]]/100 +1)^(1/252) -1) * PC_IDXR/100 +1)^TAB_JUROS_U[[#This Row],[Q_DIAS_U_PARC_TIR]]))</f>
        <v>122.50034226945877</v>
      </c>
      <c r="V50" s="78">
        <f>+TAB_JUROS_U[[#This Row],[V_FUT_U_JURS CENARIO]]/TAB_JUROS_U[[#This Row],[VAR_DESCAP_U]]</f>
        <v>116.24329547913592</v>
      </c>
      <c r="W50" s="78"/>
      <c r="X50" s="64">
        <f>TAB_JUROS_U[[#This Row],[dt_eve_u]]- DT_CALCULO_C</f>
        <v>779</v>
      </c>
      <c r="Y50" s="48" t="str">
        <f>"CORRECAO_JURS_C" &amp; TEXT(DT_CALCULO_C, "-AAAAMMDD") &amp; TEXT(TAB_JUROS_U[[#This Row],[DT_EVE]], "-AAAAMMDD")</f>
        <v>CORRECAO_JURS_C-20151228-20180212</v>
      </c>
      <c r="Z50" s="44">
        <f>IFERROR(VLOOKUP(TAB_JUROS_C[[#This Row],[Chave-CORC]],CORRECAO_JURS_C[],2, FALSE), 0)</f>
        <v>1</v>
      </c>
      <c r="AA5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167.02897445880947</v>
      </c>
      <c r="AB50" s="63">
        <f>(TIR_C/100 +1)^(TAB_JUROS_C[[#This Row],[DIAS_CORRIDOS]]/360)</f>
        <v>1.0540887527755682</v>
      </c>
      <c r="AC50" s="78">
        <f>IF(TAB_JUROS_C[[#This Row],[DIAS_CORRIDOS]]&lt;0, 0, TAB_JUROS_C[[#This Row],[V_FUT_C_JURS]]/TAB_JUROS_C[[#This Row],[VAR_DESCAP_C]])</f>
        <v>158.45816969301495</v>
      </c>
      <c r="AD50" s="78">
        <f>TAB_JUROS_U[[#This Row],[V_FUT_U_JURS CENARIO]]</f>
        <v>122.50034226945877</v>
      </c>
      <c r="AE50" s="124">
        <f>IF(TAB_JUROS_C[[#This Row],[DIAS_CORRIDOS]]&lt;0, 0, TAB_JUROS_C[[#This Row],[V_FUT_UTEIS]]/TAB_JUROS_C[[#This Row],[VAR_DESCAP_C]])</f>
        <v>116.21444773687001</v>
      </c>
      <c r="AF50" s="64"/>
    </row>
    <row r="51" spans="1:32">
      <c r="A51" s="82">
        <f t="shared" si="1"/>
        <v>27</v>
      </c>
      <c r="B51" s="24">
        <f>VLOOKUP($A51, CAD_JUROS[#Data], MATCH(B$24, CAD_JUROS[#Headers],0), FALSE)</f>
        <v>2</v>
      </c>
      <c r="C51" s="24" t="str">
        <f>VLOOKUP($A51, CAD_JUROS[#Data], MATCH(C$24, CAD_JUROS[#Headers],0), FALSE)</f>
        <v xml:space="preserve">JUROS SOBRE PRINCIPAL                             </v>
      </c>
      <c r="D51" s="36">
        <f>VLOOKUP($A51, CAD_JUROS[#Data], MATCH(D$24, CAD_JUROS[#Headers],0), FALSE)</f>
        <v>43167</v>
      </c>
      <c r="E51" s="48">
        <f>VLOOKUP($A51, CAD_JUROS[#Data], MATCH(E$24, CAD_JUROS[#Headers],0), FALSE)</f>
        <v>0</v>
      </c>
      <c r="F51" s="36">
        <f>VLOOKUP($A51, CAD_JUROS[#Data], MATCH(F$24, CAD_JUROS[#Headers],0), FALSE)</f>
        <v>43173</v>
      </c>
      <c r="G51" s="47">
        <f>WORKDAY(WORKDAY(TAB_JUROS_U[[#This Row],[DT_EVE]], -1, TAB_FERIADOS[FER_DATA]), 1, TAB_FERIADOS[FER_DATA])</f>
        <v>43167</v>
      </c>
      <c r="H51" s="75">
        <f>WORKDAY(WORKDAY(TAB_JUROS_U[[#This Row],[DT_LQDC_EVE]], -1, TAB_FERIADOS[FER_DATA]), 1, TAB_FERIADOS[FER_DATA])</f>
        <v>43173</v>
      </c>
      <c r="I51" s="48">
        <f>PU_EMISSAO - SUMIF(TAB_AMORTIZACAO_U[DT_EVE], "&lt;" &amp; TAB_JUROS_U[[#This Row],[DT_EVE]], TAB_AMORTIZACAO_U[V_PU_AMTC])</f>
        <v>76525.160258000004</v>
      </c>
      <c r="J51" s="48">
        <f>IFERROR(VLOOKUP(TAB_JUROS_U[[#This Row],[DT_EVE]], TAB_AMORTIZACAO_U[[DT_EVE]:[V_PU_AMTC]], 2, FALSE), 0)</f>
        <v>894.42607299999997</v>
      </c>
      <c r="K51" s="48">
        <f>NETWORKDAYS(DT_CALCULO_U, TAB_JUROS_U[[#This Row],[dt_eve_u]], TAB_FERIADOS[FER_DATA]) -1</f>
        <v>549</v>
      </c>
      <c r="L51" s="48">
        <f>NETWORKDAYS(DT_CALCULO_U, TAB_JUROS_U[[#This Row],[dt_lqdc_eve_u]], TAB_FERIADOS[FER_DATA]) -1</f>
        <v>553</v>
      </c>
      <c r="M51" s="48">
        <f>NETWORKDAYS(IF(ISTEXT(H50), DT_B_JURS, H50), TAB_JUROS_U[[#This Row],[dt_lqdc_eve_u]],  TAB_FERIADOS[FER_DATA]) -1</f>
        <v>18</v>
      </c>
      <c r="N51" s="123">
        <f>(TX_EMISSAO/100 +1)^(TAB_JUROS_U[[#This Row],[dias_periodo_u]]/252)</f>
        <v>1.0017653143782506</v>
      </c>
      <c r="O51" s="78">
        <f>(TIR_U/100 +1)^(TAB_JUROS_U[[#This Row],[Q_DIAS_U_PARC_TIR]]/252)</f>
        <v>1.0556876995825319</v>
      </c>
      <c r="P51" s="116" t="str">
        <f>"TX_CENARIO" &amp; TEXT(DT_CALCULO_C, "-AAAAMMDD") &amp; TEXT(TAB_JUROS_U[[#This Row],[DT_EVE]], "-AAAAMMDD")</f>
        <v>TX_CENARIO-20151228-20180308</v>
      </c>
      <c r="Q51" s="44">
        <f>IFERROR(VLOOKUP(TAB_JUROS_U[[#This Row],[Chave-CENARIO]],CENARIO[],2,FALSE), 0)</f>
        <v>16.575800000000001</v>
      </c>
      <c r="R51" s="116" t="str">
        <f>"CORRECAO_JURS_U" &amp; TEXT(DT_CALCULO_C, "-AAAAMMDD") &amp; TEXT(TAB_JUROS_U[[#This Row],[DT_EVE]], "-AAAAMMDD")</f>
        <v>CORRECAO_JURS_U-20151228-20180308</v>
      </c>
      <c r="S51" s="44">
        <f>IFERROR(VLOOKUP(TAB_JUROS_U[[#This Row],[Chave-CORC]],CORRECAO_JURS_U[],2, FALSE), 0)</f>
        <v>1.0101233300000001</v>
      </c>
      <c r="T51" s="78">
        <f>MAX(0, (TAB_JUROS_U[[#This Row],[CUPOM_TIR]] -1) * IF(TAB_JUROS_U[[#This Row],[ID_T_EVE]]=1, TAB_JUROS_U[[#This Row],[PU_AMORT]], TAB_JUROS_U[[#This Row],[V_NOML_PCPL]]) * TAB_JUROS_U[[#This Row],[CORRECAO_U]])</f>
        <v>136.45853612718943</v>
      </c>
      <c r="U51" s="78">
        <f>MAX(0, TAB_JUROS_U[[#This Row],[V_FUT_U_JURS-01]]/((((TAB_JUROS_U[[#This Row],[TX_CENARIO]]/100 +1)^(1/252) -1) * PC_IDXR/100 +1)^TAB_JUROS_U[[#This Row],[Q_DIAS_U_PARC_TIR]]))</f>
        <v>97.461314563451253</v>
      </c>
      <c r="V51" s="78">
        <f>+TAB_JUROS_U[[#This Row],[V_FUT_U_JURS CENARIO]]/TAB_JUROS_U[[#This Row],[VAR_DESCAP_U]]</f>
        <v>92.320214209175674</v>
      </c>
      <c r="W51" s="78"/>
      <c r="X51" s="64">
        <f>TAB_JUROS_U[[#This Row],[dt_eve_u]]- DT_CALCULO_C</f>
        <v>801</v>
      </c>
      <c r="Y51" s="48" t="str">
        <f>"CORRECAO_JURS_C" &amp; TEXT(DT_CALCULO_C, "-AAAAMMDD") &amp; TEXT(TAB_JUROS_U[[#This Row],[DT_EVE]], "-AAAAMMDD")</f>
        <v>CORRECAO_JURS_C-20151228-20180308</v>
      </c>
      <c r="Z51" s="44">
        <f>IFERROR(VLOOKUP(TAB_JUROS_C[[#This Row],[Chave-CORC]],CORRECAO_JURS_C[],2, FALSE), 0)</f>
        <v>1</v>
      </c>
      <c r="AA5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135.09096570137572</v>
      </c>
      <c r="AB51" s="63">
        <f>(TIR_C/100 +1)^(TAB_JUROS_C[[#This Row],[DIAS_CORRIDOS]]/360)</f>
        <v>1.0556580443756329</v>
      </c>
      <c r="AC51" s="78">
        <f>IF(TAB_JUROS_C[[#This Row],[DIAS_CORRIDOS]]&lt;0, 0, TAB_JUROS_C[[#This Row],[V_FUT_C_JURS]]/TAB_JUROS_C[[#This Row],[VAR_DESCAP_C]])</f>
        <v>127.96848981648697</v>
      </c>
      <c r="AD51" s="78">
        <f>TAB_JUROS_U[[#This Row],[V_FUT_U_JURS CENARIO]]</f>
        <v>97.461314563451253</v>
      </c>
      <c r="AE51" s="124">
        <f>IF(TAB_JUROS_C[[#This Row],[DIAS_CORRIDOS]]&lt;0, 0, TAB_JUROS_C[[#This Row],[V_FUT_UTEIS]]/TAB_JUROS_C[[#This Row],[VAR_DESCAP_C]])</f>
        <v>92.322807638996935</v>
      </c>
      <c r="AF51" s="64"/>
    </row>
    <row r="52" spans="1:32">
      <c r="A52" s="82">
        <f t="shared" si="1"/>
        <v>28</v>
      </c>
      <c r="B52" s="24">
        <f>VLOOKUP($A52, CAD_JUROS[#Data], MATCH(B$24, CAD_JUROS[#Headers],0), FALSE)</f>
        <v>2</v>
      </c>
      <c r="C52" s="24" t="str">
        <f>VLOOKUP($A52, CAD_JUROS[#Data], MATCH(C$24, CAD_JUROS[#Headers],0), FALSE)</f>
        <v xml:space="preserve">JUROS SOBRE PRINCIPAL                             </v>
      </c>
      <c r="D52" s="36">
        <f>VLOOKUP($A52, CAD_JUROS[#Data], MATCH(D$24, CAD_JUROS[#Headers],0), FALSE)</f>
        <v>43199</v>
      </c>
      <c r="E52" s="48">
        <f>VLOOKUP($A52, CAD_JUROS[#Data], MATCH(E$24, CAD_JUROS[#Headers],0), FALSE)</f>
        <v>0</v>
      </c>
      <c r="F52" s="36">
        <f>VLOOKUP($A52, CAD_JUROS[#Data], MATCH(F$24, CAD_JUROS[#Headers],0), FALSE)</f>
        <v>43203</v>
      </c>
      <c r="G52" s="47">
        <f>WORKDAY(WORKDAY(TAB_JUROS_U[[#This Row],[DT_EVE]], -1, TAB_FERIADOS[FER_DATA]), 1, TAB_FERIADOS[FER_DATA])</f>
        <v>43199</v>
      </c>
      <c r="H52" s="75">
        <f>WORKDAY(WORKDAY(TAB_JUROS_U[[#This Row],[DT_LQDC_EVE]], -1, TAB_FERIADOS[FER_DATA]), 1, TAB_FERIADOS[FER_DATA])</f>
        <v>43203</v>
      </c>
      <c r="I52" s="48">
        <f>PU_EMISSAO - SUMIF(TAB_AMORTIZACAO_U[DT_EVE], "&lt;" &amp; TAB_JUROS_U[[#This Row],[DT_EVE]], TAB_AMORTIZACAO_U[V_PU_AMTC])</f>
        <v>75630.734185000008</v>
      </c>
      <c r="J52" s="48">
        <f>IFERROR(VLOOKUP(TAB_JUROS_U[[#This Row],[DT_EVE]], TAB_AMORTIZACAO_U[[DT_EVE]:[V_PU_AMTC]], 2, FALSE), 0)</f>
        <v>860.82901600000002</v>
      </c>
      <c r="K52" s="48">
        <f>NETWORKDAYS(DT_CALCULO_U, TAB_JUROS_U[[#This Row],[dt_eve_u]], TAB_FERIADOS[FER_DATA]) -1</f>
        <v>570</v>
      </c>
      <c r="L52" s="48">
        <f>NETWORKDAYS(DT_CALCULO_U, TAB_JUROS_U[[#This Row],[dt_lqdc_eve_u]], TAB_FERIADOS[FER_DATA]) -1</f>
        <v>574</v>
      </c>
      <c r="M52" s="48">
        <f>NETWORKDAYS(IF(ISTEXT(H51), DT_B_JURS, H51), TAB_JUROS_U[[#This Row],[dt_lqdc_eve_u]],  TAB_FERIADOS[FER_DATA]) -1</f>
        <v>21</v>
      </c>
      <c r="N52" s="123">
        <f>(TX_EMISSAO/100 +1)^(TAB_JUROS_U[[#This Row],[dias_periodo_u]]/252)</f>
        <v>1.0020598362698427</v>
      </c>
      <c r="O52" s="78">
        <f>(TIR_U/100 +1)^(TAB_JUROS_U[[#This Row],[Q_DIAS_U_PARC_TIR]]/252)</f>
        <v>1.0578624778392907</v>
      </c>
      <c r="P52" s="116" t="str">
        <f>"TX_CENARIO" &amp; TEXT(DT_CALCULO_C, "-AAAAMMDD") &amp; TEXT(TAB_JUROS_U[[#This Row],[DT_EVE]], "-AAAAMMDD")</f>
        <v>TX_CENARIO-20151228-20180409</v>
      </c>
      <c r="Q52" s="44">
        <f>IFERROR(VLOOKUP(TAB_JUROS_U[[#This Row],[Chave-CENARIO]],CENARIO[],2,FALSE), 0)</f>
        <v>16.602699999999999</v>
      </c>
      <c r="R52" s="116" t="str">
        <f>"CORRECAO_JURS_U" &amp; TEXT(DT_CALCULO_C, "-AAAAMMDD") &amp; TEXT(TAB_JUROS_U[[#This Row],[DT_EVE]], "-AAAAMMDD")</f>
        <v>CORRECAO_JURS_U-20151228-20180409</v>
      </c>
      <c r="S52" s="44">
        <f>IFERROR(VLOOKUP(TAB_JUROS_U[[#This Row],[Chave-CORC]],CORRECAO_JURS_U[],2, FALSE), 0)</f>
        <v>1.01330783</v>
      </c>
      <c r="T52" s="78">
        <f>MAX(0, (TAB_JUROS_U[[#This Row],[CUPOM_TIR]] -1) * IF(TAB_JUROS_U[[#This Row],[ID_T_EVE]]=1, TAB_JUROS_U[[#This Row],[PU_AMORT]], TAB_JUROS_U[[#This Row],[V_NOML_PCPL]]) * TAB_JUROS_U[[#This Row],[CORRECAO_U]])</f>
        <v>157.86011536163039</v>
      </c>
      <c r="U52" s="78">
        <f>MAX(0, TAB_JUROS_U[[#This Row],[V_FUT_U_JURS-01]]/((((TAB_JUROS_U[[#This Row],[TX_CENARIO]]/100 +1)^(1/252) -1) * PC_IDXR/100 +1)^TAB_JUROS_U[[#This Row],[Q_DIAS_U_PARC_TIR]]))</f>
        <v>111.25640780504429</v>
      </c>
      <c r="V52" s="78">
        <f>+TAB_JUROS_U[[#This Row],[V_FUT_U_JURS CENARIO]]/TAB_JUROS_U[[#This Row],[VAR_DESCAP_U]]</f>
        <v>105.17095571088612</v>
      </c>
      <c r="W52" s="78"/>
      <c r="X52" s="64">
        <f>TAB_JUROS_U[[#This Row],[dt_eve_u]]- DT_CALCULO_C</f>
        <v>833</v>
      </c>
      <c r="Y52" s="48" t="str">
        <f>"CORRECAO_JURS_C" &amp; TEXT(DT_CALCULO_C, "-AAAAMMDD") &amp; TEXT(TAB_JUROS_U[[#This Row],[DT_EVE]], "-AAAAMMDD")</f>
        <v>CORRECAO_JURS_C-20151228-20180409</v>
      </c>
      <c r="Z52" s="44">
        <f>IFERROR(VLOOKUP(TAB_JUROS_C[[#This Row],[Chave-CORC]],CORRECAO_JURS_C[],2, FALSE), 0)</f>
        <v>1</v>
      </c>
      <c r="AA5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155.78692938909828</v>
      </c>
      <c r="AB52" s="63">
        <f>(TIR_C/100 +1)^(TAB_JUROS_C[[#This Row],[DIAS_CORRIDOS]]/360)</f>
        <v>1.0579448218795797</v>
      </c>
      <c r="AC52" s="78">
        <f>IF(TAB_JUROS_C[[#This Row],[DIAS_CORRIDOS]]&lt;0, 0, TAB_JUROS_C[[#This Row],[V_FUT_C_JURS]]/TAB_JUROS_C[[#This Row],[VAR_DESCAP_C]])</f>
        <v>147.25430491953452</v>
      </c>
      <c r="AD52" s="78">
        <f>TAB_JUROS_U[[#This Row],[V_FUT_U_JURS CENARIO]]</f>
        <v>111.25640780504429</v>
      </c>
      <c r="AE52" s="124">
        <f>IF(TAB_JUROS_C[[#This Row],[DIAS_CORRIDOS]]&lt;0, 0, TAB_JUROS_C[[#This Row],[V_FUT_UTEIS]]/TAB_JUROS_C[[#This Row],[VAR_DESCAP_C]])</f>
        <v>105.16276983839523</v>
      </c>
      <c r="AF52" s="64"/>
    </row>
    <row r="53" spans="1:32">
      <c r="A53" s="82">
        <f t="shared" si="1"/>
        <v>29</v>
      </c>
      <c r="B53" s="24">
        <f>VLOOKUP($A53, CAD_JUROS[#Data], MATCH(B$24, CAD_JUROS[#Headers],0), FALSE)</f>
        <v>2</v>
      </c>
      <c r="C53" s="24" t="str">
        <f>VLOOKUP($A53, CAD_JUROS[#Data], MATCH(C$24, CAD_JUROS[#Headers],0), FALSE)</f>
        <v xml:space="preserve">JUROS SOBRE PRINCIPAL                             </v>
      </c>
      <c r="D53" s="36">
        <f>VLOOKUP($A53, CAD_JUROS[#Data], MATCH(D$24, CAD_JUROS[#Headers],0), FALSE)</f>
        <v>43229</v>
      </c>
      <c r="E53" s="48">
        <f>VLOOKUP($A53, CAD_JUROS[#Data], MATCH(E$24, CAD_JUROS[#Headers],0), FALSE)</f>
        <v>0</v>
      </c>
      <c r="F53" s="36">
        <f>VLOOKUP($A53, CAD_JUROS[#Data], MATCH(F$24, CAD_JUROS[#Headers],0), FALSE)</f>
        <v>43235</v>
      </c>
      <c r="G53" s="47">
        <f>WORKDAY(WORKDAY(TAB_JUROS_U[[#This Row],[DT_EVE]], -1, TAB_FERIADOS[FER_DATA]), 1, TAB_FERIADOS[FER_DATA])</f>
        <v>43229</v>
      </c>
      <c r="H53" s="75">
        <f>WORKDAY(WORKDAY(TAB_JUROS_U[[#This Row],[DT_LQDC_EVE]], -1, TAB_FERIADOS[FER_DATA]), 1, TAB_FERIADOS[FER_DATA])</f>
        <v>43235</v>
      </c>
      <c r="I53" s="48">
        <f>PU_EMISSAO - SUMIF(TAB_AMORTIZACAO_U[DT_EVE], "&lt;" &amp; TAB_JUROS_U[[#This Row],[DT_EVE]], TAB_AMORTIZACAO_U[V_PU_AMTC])</f>
        <v>74769.905169000005</v>
      </c>
      <c r="J53" s="48">
        <f>IFERROR(VLOOKUP(TAB_JUROS_U[[#This Row],[DT_EVE]], TAB_AMORTIZACAO_U[[DT_EVE]:[V_PU_AMTC]], 2, FALSE), 0)</f>
        <v>849.75997199999995</v>
      </c>
      <c r="K53" s="48">
        <f>NETWORKDAYS(DT_CALCULO_U, TAB_JUROS_U[[#This Row],[dt_eve_u]], TAB_FERIADOS[FER_DATA]) -1</f>
        <v>591</v>
      </c>
      <c r="L53" s="48">
        <f>NETWORKDAYS(DT_CALCULO_U, TAB_JUROS_U[[#This Row],[dt_lqdc_eve_u]], TAB_FERIADOS[FER_DATA]) -1</f>
        <v>595</v>
      </c>
      <c r="M53" s="48">
        <f>NETWORKDAYS(IF(ISTEXT(H52), DT_B_JURS, H52), TAB_JUROS_U[[#This Row],[dt_lqdc_eve_u]],  TAB_FERIADOS[FER_DATA]) -1</f>
        <v>21</v>
      </c>
      <c r="N53" s="123">
        <f>(TX_EMISSAO/100 +1)^(TAB_JUROS_U[[#This Row],[dias_periodo_u]]/252)</f>
        <v>1.0020598362698427</v>
      </c>
      <c r="O53" s="78">
        <f>(TIR_U/100 +1)^(TAB_JUROS_U[[#This Row],[Q_DIAS_U_PARC_TIR]]/252)</f>
        <v>1.0600417362661487</v>
      </c>
      <c r="P53" s="116" t="str">
        <f>"TX_CENARIO" &amp; TEXT(DT_CALCULO_C, "-AAAAMMDD") &amp; TEXT(TAB_JUROS_U[[#This Row],[DT_EVE]], "-AAAAMMDD")</f>
        <v>TX_CENARIO-20151228-20180509</v>
      </c>
      <c r="Q53" s="44">
        <f>IFERROR(VLOOKUP(TAB_JUROS_U[[#This Row],[Chave-CENARIO]],CENARIO[],2,FALSE), 0)</f>
        <v>16.6279</v>
      </c>
      <c r="R53" s="116" t="str">
        <f>"CORRECAO_JURS_U" &amp; TEXT(DT_CALCULO_C, "-AAAAMMDD") &amp; TEXT(TAB_JUROS_U[[#This Row],[DT_EVE]], "-AAAAMMDD")</f>
        <v>CORRECAO_JURS_U-20151228-20180509</v>
      </c>
      <c r="S53" s="44">
        <f>IFERROR(VLOOKUP(TAB_JUROS_U[[#This Row],[Chave-CORC]],CORRECAO_JURS_U[],2, FALSE), 0)</f>
        <v>1.01330779</v>
      </c>
      <c r="T53" s="78">
        <f>MAX(0, (TAB_JUROS_U[[#This Row],[CUPOM_TIR]] -1) * IF(TAB_JUROS_U[[#This Row],[ID_T_EVE]]=1, TAB_JUROS_U[[#This Row],[PU_AMORT]], TAB_JUROS_U[[#This Row],[V_NOML_PCPL]]) * TAB_JUROS_U[[#This Row],[CORRECAO_U]])</f>
        <v>156.06334536906425</v>
      </c>
      <c r="U53" s="78">
        <f>MAX(0, TAB_JUROS_U[[#This Row],[V_FUT_U_JURS-01]]/((((TAB_JUROS_U[[#This Row],[TX_CENARIO]]/100 +1)^(1/252) -1) * PC_IDXR/100 +1)^TAB_JUROS_U[[#This Row],[Q_DIAS_U_PARC_TIR]]))</f>
        <v>108.53576997443497</v>
      </c>
      <c r="V53" s="78">
        <f>+TAB_JUROS_U[[#This Row],[V_FUT_U_JURS CENARIO]]/TAB_JUROS_U[[#This Row],[VAR_DESCAP_U]]</f>
        <v>102.38820440857103</v>
      </c>
      <c r="W53" s="78"/>
      <c r="X53" s="64">
        <f>TAB_JUROS_U[[#This Row],[dt_eve_u]]- DT_CALCULO_C</f>
        <v>863</v>
      </c>
      <c r="Y53" s="48" t="str">
        <f>"CORRECAO_JURS_C" &amp; TEXT(DT_CALCULO_C, "-AAAAMMDD") &amp; TEXT(TAB_JUROS_U[[#This Row],[DT_EVE]], "-AAAAMMDD")</f>
        <v>CORRECAO_JURS_C-20151228-20180509</v>
      </c>
      <c r="Z53" s="44">
        <f>IFERROR(VLOOKUP(TAB_JUROS_C[[#This Row],[Chave-CORC]],CORRECAO_JURS_C[],2, FALSE), 0)</f>
        <v>1</v>
      </c>
      <c r="AA5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154.01376255980844</v>
      </c>
      <c r="AB53" s="63">
        <f>(TIR_C/100 +1)^(TAB_JUROS_C[[#This Row],[DIAS_CORRIDOS]]/360)</f>
        <v>1.0600931744991782</v>
      </c>
      <c r="AC53" s="78">
        <f>IF(TAB_JUROS_C[[#This Row],[DIAS_CORRIDOS]]&lt;0, 0, TAB_JUROS_C[[#This Row],[V_FUT_C_JURS]]/TAB_JUROS_C[[#This Row],[VAR_DESCAP_C]])</f>
        <v>145.28323195040801</v>
      </c>
      <c r="AD53" s="78">
        <f>TAB_JUROS_U[[#This Row],[V_FUT_U_JURS CENARIO]]</f>
        <v>108.53576997443497</v>
      </c>
      <c r="AE53" s="124">
        <f>IF(TAB_JUROS_C[[#This Row],[DIAS_CORRIDOS]]&lt;0, 0, TAB_JUROS_C[[#This Row],[V_FUT_UTEIS]]/TAB_JUROS_C[[#This Row],[VAR_DESCAP_C]])</f>
        <v>102.38323629025413</v>
      </c>
      <c r="AF53" s="64"/>
    </row>
    <row r="54" spans="1:32">
      <c r="A54" s="82">
        <f t="shared" si="1"/>
        <v>30</v>
      </c>
      <c r="B54" s="24">
        <f>VLOOKUP($A54, CAD_JUROS[#Data], MATCH(B$24, CAD_JUROS[#Headers],0), FALSE)</f>
        <v>2</v>
      </c>
      <c r="C54" s="24" t="str">
        <f>VLOOKUP($A54, CAD_JUROS[#Data], MATCH(C$24, CAD_JUROS[#Headers],0), FALSE)</f>
        <v xml:space="preserve">JUROS SOBRE PRINCIPAL                             </v>
      </c>
      <c r="D54" s="36">
        <f>VLOOKUP($A54, CAD_JUROS[#Data], MATCH(D$24, CAD_JUROS[#Headers],0), FALSE)</f>
        <v>43259</v>
      </c>
      <c r="E54" s="48">
        <f>VLOOKUP($A54, CAD_JUROS[#Data], MATCH(E$24, CAD_JUROS[#Headers],0), FALSE)</f>
        <v>0</v>
      </c>
      <c r="F54" s="36">
        <f>VLOOKUP($A54, CAD_JUROS[#Data], MATCH(F$24, CAD_JUROS[#Headers],0), FALSE)</f>
        <v>43265</v>
      </c>
      <c r="G54" s="47">
        <f>WORKDAY(WORKDAY(TAB_JUROS_U[[#This Row],[DT_EVE]], -1, TAB_FERIADOS[FER_DATA]), 1, TAB_FERIADOS[FER_DATA])</f>
        <v>43259</v>
      </c>
      <c r="H54" s="75">
        <f>WORKDAY(WORKDAY(TAB_JUROS_U[[#This Row],[DT_LQDC_EVE]], -1, TAB_FERIADOS[FER_DATA]), 1, TAB_FERIADOS[FER_DATA])</f>
        <v>43265</v>
      </c>
      <c r="I54" s="48">
        <f>PU_EMISSAO - SUMIF(TAB_AMORTIZACAO_U[DT_EVE], "&lt;" &amp; TAB_JUROS_U[[#This Row],[DT_EVE]], TAB_AMORTIZACAO_U[V_PU_AMTC])</f>
        <v>73920.145197000005</v>
      </c>
      <c r="J54" s="48">
        <f>IFERROR(VLOOKUP(TAB_JUROS_U[[#This Row],[DT_EVE]], TAB_AMORTIZACAO_U[[DT_EVE]:[V_PU_AMTC]], 2, FALSE), 0)</f>
        <v>838.84580700000004</v>
      </c>
      <c r="K54" s="48">
        <f>NETWORKDAYS(DT_CALCULO_U, TAB_JUROS_U[[#This Row],[dt_eve_u]], TAB_FERIADOS[FER_DATA]) -1</f>
        <v>612</v>
      </c>
      <c r="L54" s="48">
        <f>NETWORKDAYS(DT_CALCULO_U, TAB_JUROS_U[[#This Row],[dt_lqdc_eve_u]], TAB_FERIADOS[FER_DATA]) -1</f>
        <v>616</v>
      </c>
      <c r="M54" s="48">
        <f>NETWORKDAYS(IF(ISTEXT(H53), DT_B_JURS, H53), TAB_JUROS_U[[#This Row],[dt_lqdc_eve_u]],  TAB_FERIADOS[FER_DATA]) -1</f>
        <v>21</v>
      </c>
      <c r="N54" s="123">
        <f>(TX_EMISSAO/100 +1)^(TAB_JUROS_U[[#This Row],[dias_periodo_u]]/252)</f>
        <v>1.0020598362698427</v>
      </c>
      <c r="O54" s="78">
        <f>(TIR_U/100 +1)^(TAB_JUROS_U[[#This Row],[Q_DIAS_U_PARC_TIR]]/252)</f>
        <v>1.0622254840925183</v>
      </c>
      <c r="P54" s="116" t="str">
        <f>"TX_CENARIO" &amp; TEXT(DT_CALCULO_C, "-AAAAMMDD") &amp; TEXT(TAB_JUROS_U[[#This Row],[DT_EVE]], "-AAAAMMDD")</f>
        <v>TX_CENARIO-20151228-20180608</v>
      </c>
      <c r="Q54" s="44">
        <f>IFERROR(VLOOKUP(TAB_JUROS_U[[#This Row],[Chave-CENARIO]],CENARIO[],2,FALSE), 0)</f>
        <v>16.651399999999999</v>
      </c>
      <c r="R54" s="116" t="str">
        <f>"CORRECAO_JURS_U" &amp; TEXT(DT_CALCULO_C, "-AAAAMMDD") &amp; TEXT(TAB_JUROS_U[[#This Row],[DT_EVE]], "-AAAAMMDD")</f>
        <v>CORRECAO_JURS_U-20151228-20180608</v>
      </c>
      <c r="S54" s="44">
        <f>IFERROR(VLOOKUP(TAB_JUROS_U[[#This Row],[Chave-CORC]],CORRECAO_JURS_U[],2, FALSE), 0)</f>
        <v>1.01330779</v>
      </c>
      <c r="T54" s="78">
        <f>MAX(0, (TAB_JUROS_U[[#This Row],[CUPOM_TIR]] -1) * IF(TAB_JUROS_U[[#This Row],[ID_T_EVE]]=1, TAB_JUROS_U[[#This Row],[PU_AMORT]], TAB_JUROS_U[[#This Row],[V_NOML_PCPL]]) * TAB_JUROS_U[[#This Row],[CORRECAO_U]])</f>
        <v>154.28968544945764</v>
      </c>
      <c r="U54" s="78">
        <f>MAX(0, TAB_JUROS_U[[#This Row],[V_FUT_U_JURS-01]]/((((TAB_JUROS_U[[#This Row],[TX_CENARIO]]/100 +1)^(1/252) -1) * PC_IDXR/100 +1)^TAB_JUROS_U[[#This Row],[Q_DIAS_U_PARC_TIR]]))</f>
        <v>105.88345740188176</v>
      </c>
      <c r="V54" s="78">
        <f>+TAB_JUROS_U[[#This Row],[V_FUT_U_JURS CENARIO]]/TAB_JUROS_U[[#This Row],[VAR_DESCAP_U]]</f>
        <v>99.680773044472986</v>
      </c>
      <c r="W54" s="78"/>
      <c r="X54" s="64">
        <f>TAB_JUROS_U[[#This Row],[dt_eve_u]]- DT_CALCULO_C</f>
        <v>893</v>
      </c>
      <c r="Y54" s="48" t="str">
        <f>"CORRECAO_JURS_C" &amp; TEXT(DT_CALCULO_C, "-AAAAMMDD") &amp; TEXT(TAB_JUROS_U[[#This Row],[DT_EVE]], "-AAAAMMDD")</f>
        <v>CORRECAO_JURS_C-20151228-20180608</v>
      </c>
      <c r="Z54" s="44">
        <f>IFERROR(VLOOKUP(TAB_JUROS_C[[#This Row],[Chave-CORC]],CORRECAO_JURS_C[],2, FALSE), 0)</f>
        <v>1</v>
      </c>
      <c r="AA5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152.2633961488223</v>
      </c>
      <c r="AB54" s="63">
        <f>(TIR_C/100 +1)^(TAB_JUROS_C[[#This Row],[DIAS_CORRIDOS]]/360)</f>
        <v>1.0622458897460922</v>
      </c>
      <c r="AC54" s="78">
        <f>IF(TAB_JUROS_C[[#This Row],[DIAS_CORRIDOS]]&lt;0, 0, TAB_JUROS_C[[#This Row],[V_FUT_C_JURS]]/TAB_JUROS_C[[#This Row],[VAR_DESCAP_C]])</f>
        <v>143.34100759403051</v>
      </c>
      <c r="AD54" s="78">
        <f>TAB_JUROS_U[[#This Row],[V_FUT_U_JURS CENARIO]]</f>
        <v>105.88345740188176</v>
      </c>
      <c r="AE54" s="124">
        <f>IF(TAB_JUROS_C[[#This Row],[DIAS_CORRIDOS]]&lt;0, 0, TAB_JUROS_C[[#This Row],[V_FUT_UTEIS]]/TAB_JUROS_C[[#This Row],[VAR_DESCAP_C]])</f>
        <v>99.678858185265369</v>
      </c>
      <c r="AF54" s="64"/>
    </row>
    <row r="55" spans="1:32">
      <c r="A55" s="82">
        <f t="shared" si="1"/>
        <v>31</v>
      </c>
      <c r="B55" s="24">
        <f>VLOOKUP($A55, CAD_JUROS[#Data], MATCH(B$24, CAD_JUROS[#Headers],0), FALSE)</f>
        <v>2</v>
      </c>
      <c r="C55" s="24" t="str">
        <f>VLOOKUP($A55, CAD_JUROS[#Data], MATCH(C$24, CAD_JUROS[#Headers],0), FALSE)</f>
        <v xml:space="preserve">JUROS SOBRE PRINCIPAL                             </v>
      </c>
      <c r="D55" s="36">
        <f>VLOOKUP($A55, CAD_JUROS[#Data], MATCH(D$24, CAD_JUROS[#Headers],0), FALSE)</f>
        <v>43290</v>
      </c>
      <c r="E55" s="48">
        <f>VLOOKUP($A55, CAD_JUROS[#Data], MATCH(E$24, CAD_JUROS[#Headers],0), FALSE)</f>
        <v>0</v>
      </c>
      <c r="F55" s="36">
        <f>VLOOKUP($A55, CAD_JUROS[#Data], MATCH(F$24, CAD_JUROS[#Headers],0), FALSE)</f>
        <v>43294</v>
      </c>
      <c r="G55" s="47">
        <f>WORKDAY(WORKDAY(TAB_JUROS_U[[#This Row],[DT_EVE]], -1, TAB_FERIADOS[FER_DATA]), 1, TAB_FERIADOS[FER_DATA])</f>
        <v>43290</v>
      </c>
      <c r="H55" s="75">
        <f>WORKDAY(WORKDAY(TAB_JUROS_U[[#This Row],[DT_LQDC_EVE]], -1, TAB_FERIADOS[FER_DATA]), 1, TAB_FERIADOS[FER_DATA])</f>
        <v>43294</v>
      </c>
      <c r="I55" s="48">
        <f>PU_EMISSAO - SUMIF(TAB_AMORTIZACAO_U[DT_EVE], "&lt;" &amp; TAB_JUROS_U[[#This Row],[DT_EVE]], TAB_AMORTIZACAO_U[V_PU_AMTC])</f>
        <v>73081.29939</v>
      </c>
      <c r="J55" s="48">
        <f>IFERROR(VLOOKUP(TAB_JUROS_U[[#This Row],[DT_EVE]], TAB_AMORTIZACAO_U[[DT_EVE]:[V_PU_AMTC]], 2, FALSE), 0)</f>
        <v>828.084203</v>
      </c>
      <c r="K55" s="48">
        <f>NETWORKDAYS(DT_CALCULO_U, TAB_JUROS_U[[#This Row],[dt_eve_u]], TAB_FERIADOS[FER_DATA]) -1</f>
        <v>633</v>
      </c>
      <c r="L55" s="48">
        <f>NETWORKDAYS(DT_CALCULO_U, TAB_JUROS_U[[#This Row],[dt_lqdc_eve_u]], TAB_FERIADOS[FER_DATA]) -1</f>
        <v>637</v>
      </c>
      <c r="M55" s="48">
        <f>NETWORKDAYS(IF(ISTEXT(H54), DT_B_JURS, H54), TAB_JUROS_U[[#This Row],[dt_lqdc_eve_u]],  TAB_FERIADOS[FER_DATA]) -1</f>
        <v>21</v>
      </c>
      <c r="N55" s="123">
        <f>(TX_EMISSAO/100 +1)^(TAB_JUROS_U[[#This Row],[dias_periodo_u]]/252)</f>
        <v>1.0020598362698427</v>
      </c>
      <c r="O55" s="78">
        <f>(TIR_U/100 +1)^(TAB_JUROS_U[[#This Row],[Q_DIAS_U_PARC_TIR]]/252)</f>
        <v>1.064413730566824</v>
      </c>
      <c r="P55" s="116" t="str">
        <f>"TX_CENARIO" &amp; TEXT(DT_CALCULO_C, "-AAAAMMDD") &amp; TEXT(TAB_JUROS_U[[#This Row],[DT_EVE]], "-AAAAMMDD")</f>
        <v>TX_CENARIO-20151228-20180709</v>
      </c>
      <c r="Q55" s="44">
        <f>IFERROR(VLOOKUP(TAB_JUROS_U[[#This Row],[Chave-CENARIO]],CENARIO[],2,FALSE), 0)</f>
        <v>16.662500000000001</v>
      </c>
      <c r="R55" s="116" t="str">
        <f>"CORRECAO_JURS_U" &amp; TEXT(DT_CALCULO_C, "-AAAAMMDD") &amp; TEXT(TAB_JUROS_U[[#This Row],[DT_EVE]], "-AAAAMMDD")</f>
        <v>CORRECAO_JURS_U-20151228-20180709</v>
      </c>
      <c r="S55" s="44">
        <f>IFERROR(VLOOKUP(TAB_JUROS_U[[#This Row],[Chave-CORC]],CORRECAO_JURS_U[],2, FALSE), 0)</f>
        <v>1.0132958000000001</v>
      </c>
      <c r="T55" s="78">
        <f>MAX(0, (TAB_JUROS_U[[#This Row],[CUPOM_TIR]] -1) * IF(TAB_JUROS_U[[#This Row],[ID_T_EVE]]=1, TAB_JUROS_U[[#This Row],[PU_AMORT]], TAB_JUROS_U[[#This Row],[V_NOML_PCPL]]) * TAB_JUROS_U[[#This Row],[CORRECAO_U]])</f>
        <v>152.53700117965053</v>
      </c>
      <c r="U55" s="78">
        <f>MAX(0, TAB_JUROS_U[[#This Row],[V_FUT_U_JURS-01]]/((((TAB_JUROS_U[[#This Row],[TX_CENARIO]]/100 +1)^(1/252) -1) * PC_IDXR/100 +1)^TAB_JUROS_U[[#This Row],[Q_DIAS_U_PARC_TIR]]))</f>
        <v>103.32081060738798</v>
      </c>
      <c r="V55" s="78">
        <f>+TAB_JUROS_U[[#This Row],[V_FUT_U_JURS CENARIO]]/TAB_JUROS_U[[#This Row],[VAR_DESCAP_U]]</f>
        <v>97.068280538214552</v>
      </c>
      <c r="W55" s="78"/>
      <c r="X55" s="64">
        <f>TAB_JUROS_U[[#This Row],[dt_eve_u]]- DT_CALCULO_C</f>
        <v>924</v>
      </c>
      <c r="Y55" s="48" t="str">
        <f>"CORRECAO_JURS_C" &amp; TEXT(DT_CALCULO_C, "-AAAAMMDD") &amp; TEXT(TAB_JUROS_U[[#This Row],[DT_EVE]], "-AAAAMMDD")</f>
        <v>CORRECAO_JURS_C-20151228-20180709</v>
      </c>
      <c r="Z55" s="44">
        <f>IFERROR(VLOOKUP(TAB_JUROS_C[[#This Row],[Chave-CORC]],CORRECAO_JURS_C[],2, FALSE), 0)</f>
        <v>1</v>
      </c>
      <c r="AA5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150.53551113075818</v>
      </c>
      <c r="AB55" s="63">
        <f>(TIR_C/100 +1)^(TAB_JUROS_C[[#This Row],[DIAS_CORRIDOS]]/360)</f>
        <v>1.0644749547608361</v>
      </c>
      <c r="AC55" s="78">
        <f>IF(TAB_JUROS_C[[#This Row],[DIAS_CORRIDOS]]&lt;0, 0, TAB_JUROS_C[[#This Row],[V_FUT_C_JURS]]/TAB_JUROS_C[[#This Row],[VAR_DESCAP_C]])</f>
        <v>141.41761669214677</v>
      </c>
      <c r="AD55" s="78">
        <f>TAB_JUROS_U[[#This Row],[V_FUT_U_JURS CENARIO]]</f>
        <v>103.32081060738798</v>
      </c>
      <c r="AE55" s="124">
        <f>IF(TAB_JUROS_C[[#This Row],[DIAS_CORRIDOS]]&lt;0, 0, TAB_JUROS_C[[#This Row],[V_FUT_UTEIS]]/TAB_JUROS_C[[#This Row],[VAR_DESCAP_C]])</f>
        <v>97.062697572440186</v>
      </c>
      <c r="AF55" s="64"/>
    </row>
    <row r="56" spans="1:32">
      <c r="A56" s="82">
        <f t="shared" si="1"/>
        <v>32</v>
      </c>
      <c r="B56" s="24">
        <f>VLOOKUP($A56, CAD_JUROS[#Data], MATCH(B$24, CAD_JUROS[#Headers],0), FALSE)</f>
        <v>2</v>
      </c>
      <c r="C56" s="24" t="str">
        <f>VLOOKUP($A56, CAD_JUROS[#Data], MATCH(C$24, CAD_JUROS[#Headers],0), FALSE)</f>
        <v xml:space="preserve">JUROS SOBRE PRINCIPAL                             </v>
      </c>
      <c r="D56" s="36">
        <f>VLOOKUP($A56, CAD_JUROS[#Data], MATCH(D$24, CAD_JUROS[#Headers],0), FALSE)</f>
        <v>43320</v>
      </c>
      <c r="E56" s="48">
        <f>VLOOKUP($A56, CAD_JUROS[#Data], MATCH(E$24, CAD_JUROS[#Headers],0), FALSE)</f>
        <v>0</v>
      </c>
      <c r="F56" s="36">
        <f>VLOOKUP($A56, CAD_JUROS[#Data], MATCH(F$24, CAD_JUROS[#Headers],0), FALSE)</f>
        <v>43326</v>
      </c>
      <c r="G56" s="47">
        <f>WORKDAY(WORKDAY(TAB_JUROS_U[[#This Row],[DT_EVE]], -1, TAB_FERIADOS[FER_DATA]), 1, TAB_FERIADOS[FER_DATA])</f>
        <v>43320</v>
      </c>
      <c r="H56" s="75">
        <f>WORKDAY(WORKDAY(TAB_JUROS_U[[#This Row],[DT_LQDC_EVE]], -1, TAB_FERIADOS[FER_DATA]), 1, TAB_FERIADOS[FER_DATA])</f>
        <v>43326</v>
      </c>
      <c r="I56" s="48">
        <f>PU_EMISSAO - SUMIF(TAB_AMORTIZACAO_U[DT_EVE], "&lt;" &amp; TAB_JUROS_U[[#This Row],[DT_EVE]], TAB_AMORTIZACAO_U[V_PU_AMTC])</f>
        <v>72253.215187000009</v>
      </c>
      <c r="J56" s="48">
        <f>IFERROR(VLOOKUP(TAB_JUROS_U[[#This Row],[DT_EVE]], TAB_AMORTIZACAO_U[[DT_EVE]:[V_PU_AMTC]], 2, FALSE), 0)</f>
        <v>810.10304799999994</v>
      </c>
      <c r="K56" s="48">
        <f>NETWORKDAYS(DT_CALCULO_U, TAB_JUROS_U[[#This Row],[dt_eve_u]], TAB_FERIADOS[FER_DATA]) -1</f>
        <v>655</v>
      </c>
      <c r="L56" s="48">
        <f>NETWORKDAYS(DT_CALCULO_U, TAB_JUROS_U[[#This Row],[dt_lqdc_eve_u]], TAB_FERIADOS[FER_DATA]) -1</f>
        <v>659</v>
      </c>
      <c r="M56" s="48">
        <f>NETWORKDAYS(IF(ISTEXT(H55), DT_B_JURS, H55), TAB_JUROS_U[[#This Row],[dt_lqdc_eve_u]],  TAB_FERIADOS[FER_DATA]) -1</f>
        <v>22</v>
      </c>
      <c r="N56" s="123">
        <f>(TX_EMISSAO/100 +1)^(TAB_JUROS_U[[#This Row],[dias_periodo_u]]/252)</f>
        <v>1.0021580294747356</v>
      </c>
      <c r="O56" s="78">
        <f>(TIR_U/100 +1)^(TAB_JUROS_U[[#This Row],[Q_DIAS_U_PARC_TIR]]/252)</f>
        <v>1.0667110144326029</v>
      </c>
      <c r="P56" s="116" t="str">
        <f>"TX_CENARIO" &amp; TEXT(DT_CALCULO_C, "-AAAAMMDD") &amp; TEXT(TAB_JUROS_U[[#This Row],[DT_EVE]], "-AAAAMMDD")</f>
        <v>TX_CENARIO-20151228-20180808</v>
      </c>
      <c r="Q56" s="44">
        <f>IFERROR(VLOOKUP(TAB_JUROS_U[[#This Row],[Chave-CENARIO]],CENARIO[],2,FALSE), 0)</f>
        <v>16.658799999999999</v>
      </c>
      <c r="R56" s="116" t="str">
        <f>"CORRECAO_JURS_U" &amp; TEXT(DT_CALCULO_C, "-AAAAMMDD") &amp; TEXT(TAB_JUROS_U[[#This Row],[DT_EVE]], "-AAAAMMDD")</f>
        <v>CORRECAO_JURS_U-20151228-20180808</v>
      </c>
      <c r="S56" s="44">
        <f>IFERROR(VLOOKUP(TAB_JUROS_U[[#This Row],[Chave-CORC]],CORRECAO_JURS_U[],2, FALSE), 0)</f>
        <v>1.0138931099999999</v>
      </c>
      <c r="T56" s="78">
        <f>MAX(0, (TAB_JUROS_U[[#This Row],[CUPOM_TIR]] -1) * IF(TAB_JUROS_U[[#This Row],[ID_T_EVE]]=1, TAB_JUROS_U[[#This Row],[PU_AMORT]], TAB_JUROS_U[[#This Row],[V_NOML_PCPL]]) * TAB_JUROS_U[[#This Row],[CORRECAO_U]])</f>
        <v>158.09084519313922</v>
      </c>
      <c r="U56" s="78">
        <f>MAX(0, TAB_JUROS_U[[#This Row],[V_FUT_U_JURS-01]]/((((TAB_JUROS_U[[#This Row],[TX_CENARIO]]/100 +1)^(1/252) -1) * PC_IDXR/100 +1)^TAB_JUROS_U[[#This Row],[Q_DIAS_U_PARC_TIR]]))</f>
        <v>105.66037199967053</v>
      </c>
      <c r="V56" s="78">
        <f>+TAB_JUROS_U[[#This Row],[V_FUT_U_JURS CENARIO]]/TAB_JUROS_U[[#This Row],[VAR_DESCAP_U]]</f>
        <v>99.052480540732603</v>
      </c>
      <c r="W56" s="78"/>
      <c r="X56" s="64">
        <f>TAB_JUROS_U[[#This Row],[dt_eve_u]]- DT_CALCULO_C</f>
        <v>954</v>
      </c>
      <c r="Y56" s="48" t="str">
        <f>"CORRECAO_JURS_C" &amp; TEXT(DT_CALCULO_C, "-AAAAMMDD") &amp; TEXT(TAB_JUROS_U[[#This Row],[DT_EVE]], "-AAAAMMDD")</f>
        <v>CORRECAO_JURS_C-20151228-20180808</v>
      </c>
      <c r="Z56" s="44">
        <f>IFERROR(VLOOKUP(TAB_JUROS_C[[#This Row],[Chave-CORC]],CORRECAO_JURS_C[],2, FALSE), 0)</f>
        <v>1</v>
      </c>
      <c r="AA5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155.9245680179632</v>
      </c>
      <c r="AB56" s="63">
        <f>(TIR_C/100 +1)^(TAB_JUROS_C[[#This Row],[DIAS_CORRIDOS]]/360)</f>
        <v>1.0666365680229479</v>
      </c>
      <c r="AC56" s="78">
        <f>IF(TAB_JUROS_C[[#This Row],[DIAS_CORRIDOS]]&lt;0, 0, TAB_JUROS_C[[#This Row],[V_FUT_C_JURS]]/TAB_JUROS_C[[#This Row],[VAR_DESCAP_C]])</f>
        <v>146.18340744399509</v>
      </c>
      <c r="AD56" s="78">
        <f>TAB_JUROS_U[[#This Row],[V_FUT_U_JURS CENARIO]]</f>
        <v>105.66037199967053</v>
      </c>
      <c r="AE56" s="124">
        <f>IF(TAB_JUROS_C[[#This Row],[DIAS_CORRIDOS]]&lt;0, 0, TAB_JUROS_C[[#This Row],[V_FUT_UTEIS]]/TAB_JUROS_C[[#This Row],[VAR_DESCAP_C]])</f>
        <v>99.059393956008947</v>
      </c>
      <c r="AF56" s="64"/>
    </row>
    <row r="57" spans="1:32">
      <c r="A57" s="82">
        <f t="shared" si="1"/>
        <v>33</v>
      </c>
      <c r="B57" s="24">
        <f>VLOOKUP($A57, CAD_JUROS[#Data], MATCH(B$24, CAD_JUROS[#Headers],0), FALSE)</f>
        <v>2</v>
      </c>
      <c r="C57" s="24" t="str">
        <f>VLOOKUP($A57, CAD_JUROS[#Data], MATCH(C$24, CAD_JUROS[#Headers],0), FALSE)</f>
        <v xml:space="preserve">JUROS SOBRE PRINCIPAL                             </v>
      </c>
      <c r="D57" s="36">
        <f>VLOOKUP($A57, CAD_JUROS[#Data], MATCH(D$24, CAD_JUROS[#Headers],0), FALSE)</f>
        <v>43354</v>
      </c>
      <c r="E57" s="48">
        <f>VLOOKUP($A57, CAD_JUROS[#Data], MATCH(E$24, CAD_JUROS[#Headers],0), FALSE)</f>
        <v>0</v>
      </c>
      <c r="F57" s="36">
        <f>VLOOKUP($A57, CAD_JUROS[#Data], MATCH(F$24, CAD_JUROS[#Headers],0), FALSE)</f>
        <v>43360</v>
      </c>
      <c r="G57" s="47">
        <f>WORKDAY(WORKDAY(TAB_JUROS_U[[#This Row],[DT_EVE]], -1, TAB_FERIADOS[FER_DATA]), 1, TAB_FERIADOS[FER_DATA])</f>
        <v>43354</v>
      </c>
      <c r="H57" s="75">
        <f>WORKDAY(WORKDAY(TAB_JUROS_U[[#This Row],[DT_LQDC_EVE]], -1, TAB_FERIADOS[FER_DATA]), 1, TAB_FERIADOS[FER_DATA])</f>
        <v>43360</v>
      </c>
      <c r="I57" s="48">
        <f>PU_EMISSAO - SUMIF(TAB_AMORTIZACAO_U[DT_EVE], "&lt;" &amp; TAB_JUROS_U[[#This Row],[DT_EVE]], TAB_AMORTIZACAO_U[V_PU_AMTC])</f>
        <v>71443.112139000004</v>
      </c>
      <c r="J57" s="48">
        <f>IFERROR(VLOOKUP(TAB_JUROS_U[[#This Row],[DT_EVE]], TAB_AMORTIZACAO_U[[DT_EVE]:[V_PU_AMTC]], 2, FALSE), 0)</f>
        <v>791.73256800000001</v>
      </c>
      <c r="K57" s="48">
        <f>NETWORKDAYS(DT_CALCULO_U, TAB_JUROS_U[[#This Row],[dt_eve_u]], TAB_FERIADOS[FER_DATA]) -1</f>
        <v>678</v>
      </c>
      <c r="L57" s="48">
        <f>NETWORKDAYS(DT_CALCULO_U, TAB_JUROS_U[[#This Row],[dt_lqdc_eve_u]], TAB_FERIADOS[FER_DATA]) -1</f>
        <v>682</v>
      </c>
      <c r="M57" s="48">
        <f>NETWORKDAYS(IF(ISTEXT(H56), DT_B_JURS, H56), TAB_JUROS_U[[#This Row],[dt_lqdc_eve_u]],  TAB_FERIADOS[FER_DATA]) -1</f>
        <v>23</v>
      </c>
      <c r="N57" s="123">
        <f>(TX_EMISSAO/100 +1)^(TAB_JUROS_U[[#This Row],[dias_periodo_u]]/252)</f>
        <v>1.0022562323017139</v>
      </c>
      <c r="O57" s="78">
        <f>(TIR_U/100 +1)^(TAB_JUROS_U[[#This Row],[Q_DIAS_U_PARC_TIR]]/252)</f>
        <v>1.0691180217834653</v>
      </c>
      <c r="P57" s="116" t="str">
        <f>"TX_CENARIO" &amp; TEXT(DT_CALCULO_C, "-AAAAMMDD") &amp; TEXT(TAB_JUROS_U[[#This Row],[DT_EVE]], "-AAAAMMDD")</f>
        <v>TX_CENARIO-20151228-20180911</v>
      </c>
      <c r="Q57" s="44">
        <f>IFERROR(VLOOKUP(TAB_JUROS_U[[#This Row],[Chave-CENARIO]],CENARIO[],2,FALSE), 0)</f>
        <v>16.655200000000001</v>
      </c>
      <c r="R57" s="116" t="str">
        <f>"CORRECAO_JURS_U" &amp; TEXT(DT_CALCULO_C, "-AAAAMMDD") &amp; TEXT(TAB_JUROS_U[[#This Row],[DT_EVE]], "-AAAAMMDD")</f>
        <v>CORRECAO_JURS_U-20151228-20180911</v>
      </c>
      <c r="S57" s="44">
        <f>IFERROR(VLOOKUP(TAB_JUROS_U[[#This Row],[Chave-CORC]],CORRECAO_JURS_U[],2, FALSE), 0)</f>
        <v>1.01452918</v>
      </c>
      <c r="T57" s="78">
        <f>MAX(0, (TAB_JUROS_U[[#This Row],[CUPOM_TIR]] -1) * IF(TAB_JUROS_U[[#This Row],[ID_T_EVE]]=1, TAB_JUROS_U[[#This Row],[PU_AMORT]], TAB_JUROS_U[[#This Row],[V_NOML_PCPL]]) * TAB_JUROS_U[[#This Row],[CORRECAO_U]])</f>
        <v>163.53424866452278</v>
      </c>
      <c r="U57" s="78">
        <f>MAX(0, TAB_JUROS_U[[#This Row],[V_FUT_U_JURS-01]]/((((TAB_JUROS_U[[#This Row],[TX_CENARIO]]/100 +1)^(1/252) -1) * PC_IDXR/100 +1)^TAB_JUROS_U[[#This Row],[Q_DIAS_U_PARC_TIR]]))</f>
        <v>107.78116040655489</v>
      </c>
      <c r="V57" s="78">
        <f>+TAB_JUROS_U[[#This Row],[V_FUT_U_JURS CENARIO]]/TAB_JUROS_U[[#This Row],[VAR_DESCAP_U]]</f>
        <v>100.81315459144363</v>
      </c>
      <c r="W57" s="78"/>
      <c r="X57" s="64">
        <f>TAB_JUROS_U[[#This Row],[dt_eve_u]]- DT_CALCULO_C</f>
        <v>988</v>
      </c>
      <c r="Y57" s="48" t="str">
        <f>"CORRECAO_JURS_C" &amp; TEXT(DT_CALCULO_C, "-AAAAMMDD") &amp; TEXT(TAB_JUROS_U[[#This Row],[DT_EVE]], "-AAAAMMDD")</f>
        <v>CORRECAO_JURS_C-20151228-20180911</v>
      </c>
      <c r="Z57" s="44">
        <f>IFERROR(VLOOKUP(TAB_JUROS_C[[#This Row],[Chave-CORC]],CORRECAO_JURS_C[],2, FALSE), 0)</f>
        <v>1</v>
      </c>
      <c r="AA5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161.1922573429803</v>
      </c>
      <c r="AB57" s="63">
        <f>(TIR_C/100 +1)^(TAB_JUROS_C[[#This Row],[DIAS_CORRIDOS]]/360)</f>
        <v>1.0690917033502627</v>
      </c>
      <c r="AC57" s="78">
        <f>IF(TAB_JUROS_C[[#This Row],[DIAS_CORRIDOS]]&lt;0, 0, TAB_JUROS_C[[#This Row],[V_FUT_C_JURS]]/TAB_JUROS_C[[#This Row],[VAR_DESCAP_C]])</f>
        <v>150.77495862875426</v>
      </c>
      <c r="AD57" s="78">
        <f>TAB_JUROS_U[[#This Row],[V_FUT_U_JURS CENARIO]]</f>
        <v>107.78116040655489</v>
      </c>
      <c r="AE57" s="124">
        <f>IF(TAB_JUROS_C[[#This Row],[DIAS_CORRIDOS]]&lt;0, 0, TAB_JUROS_C[[#This Row],[V_FUT_UTEIS]]/TAB_JUROS_C[[#This Row],[VAR_DESCAP_C]])</f>
        <v>100.81563636570748</v>
      </c>
      <c r="AF57" s="64"/>
    </row>
    <row r="58" spans="1:32">
      <c r="A58" s="82">
        <f t="shared" si="1"/>
        <v>34</v>
      </c>
      <c r="B58" s="24">
        <f>VLOOKUP($A58, CAD_JUROS[#Data], MATCH(B$24, CAD_JUROS[#Headers],0), FALSE)</f>
        <v>2</v>
      </c>
      <c r="C58" s="24" t="str">
        <f>VLOOKUP($A58, CAD_JUROS[#Data], MATCH(C$24, CAD_JUROS[#Headers],0), FALSE)</f>
        <v xml:space="preserve">JUROS SOBRE PRINCIPAL                             </v>
      </c>
      <c r="D58" s="36">
        <f>VLOOKUP($A58, CAD_JUROS[#Data], MATCH(D$24, CAD_JUROS[#Headers],0), FALSE)</f>
        <v>43382</v>
      </c>
      <c r="E58" s="48">
        <f>VLOOKUP($A58, CAD_JUROS[#Data], MATCH(E$24, CAD_JUROS[#Headers],0), FALSE)</f>
        <v>0</v>
      </c>
      <c r="F58" s="36">
        <f>VLOOKUP($A58, CAD_JUROS[#Data], MATCH(F$24, CAD_JUROS[#Headers],0), FALSE)</f>
        <v>43388</v>
      </c>
      <c r="G58" s="47">
        <f>WORKDAY(WORKDAY(TAB_JUROS_U[[#This Row],[DT_EVE]], -1, TAB_FERIADOS[FER_DATA]), 1, TAB_FERIADOS[FER_DATA])</f>
        <v>43382</v>
      </c>
      <c r="H58" s="75">
        <f>WORKDAY(WORKDAY(TAB_JUROS_U[[#This Row],[DT_LQDC_EVE]], -1, TAB_FERIADOS[FER_DATA]), 1, TAB_FERIADOS[FER_DATA])</f>
        <v>43388</v>
      </c>
      <c r="I58" s="48">
        <f>PU_EMISSAO - SUMIF(TAB_AMORTIZACAO_U[DT_EVE], "&lt;" &amp; TAB_JUROS_U[[#This Row],[DT_EVE]], TAB_AMORTIZACAO_U[V_PU_AMTC])</f>
        <v>70651.379570999998</v>
      </c>
      <c r="J58" s="48">
        <f>IFERROR(VLOOKUP(TAB_JUROS_U[[#This Row],[DT_EVE]], TAB_AMORTIZACAO_U[[DT_EVE]:[V_PU_AMTC]], 2, FALSE), 0)</f>
        <v>810.72457999999995</v>
      </c>
      <c r="K58" s="48">
        <f>NETWORKDAYS(DT_CALCULO_U, TAB_JUROS_U[[#This Row],[dt_eve_u]], TAB_FERIADOS[FER_DATA]) -1</f>
        <v>698</v>
      </c>
      <c r="L58" s="48">
        <f>NETWORKDAYS(DT_CALCULO_U, TAB_JUROS_U[[#This Row],[dt_lqdc_eve_u]], TAB_FERIADOS[FER_DATA]) -1</f>
        <v>701</v>
      </c>
      <c r="M58" s="48">
        <f>NETWORKDAYS(IF(ISTEXT(H57), DT_B_JURS, H57), TAB_JUROS_U[[#This Row],[dt_lqdc_eve_u]],  TAB_FERIADOS[FER_DATA]) -1</f>
        <v>19</v>
      </c>
      <c r="N58" s="123">
        <f>(TX_EMISSAO/100 +1)^(TAB_JUROS_U[[#This Row],[dias_periodo_u]]/252)</f>
        <v>1.0018634787225431</v>
      </c>
      <c r="O58" s="78">
        <f>(TIR_U/100 +1)^(TAB_JUROS_U[[#This Row],[Q_DIAS_U_PARC_TIR]]/252)</f>
        <v>1.0711105152409333</v>
      </c>
      <c r="P58" s="116" t="str">
        <f>"TX_CENARIO" &amp; TEXT(DT_CALCULO_C, "-AAAAMMDD") &amp; TEXT(TAB_JUROS_U[[#This Row],[DT_EVE]], "-AAAAMMDD")</f>
        <v>TX_CENARIO-20151228-20181009</v>
      </c>
      <c r="Q58" s="44">
        <f>IFERROR(VLOOKUP(TAB_JUROS_U[[#This Row],[Chave-CENARIO]],CENARIO[],2,FALSE), 0)</f>
        <v>16.653600000000001</v>
      </c>
      <c r="R58" s="116" t="str">
        <f>"CORRECAO_JURS_U" &amp; TEXT(DT_CALCULO_C, "-AAAAMMDD") &amp; TEXT(TAB_JUROS_U[[#This Row],[DT_EVE]], "-AAAAMMDD")</f>
        <v>CORRECAO_JURS_U-20151228-20181009</v>
      </c>
      <c r="S58" s="44">
        <f>IFERROR(VLOOKUP(TAB_JUROS_U[[#This Row],[Chave-CORC]],CORRECAO_JURS_U[],2, FALSE), 0)</f>
        <v>1.01262126</v>
      </c>
      <c r="T58" s="78">
        <f>MAX(0, (TAB_JUROS_U[[#This Row],[CUPOM_TIR]] -1) * IF(TAB_JUROS_U[[#This Row],[ID_T_EVE]]=1, TAB_JUROS_U[[#This Row],[PU_AMORT]], TAB_JUROS_U[[#This Row],[V_NOML_PCPL]]) * TAB_JUROS_U[[#This Row],[CORRECAO_U]])</f>
        <v>133.31902410009388</v>
      </c>
      <c r="U58" s="78">
        <f>MAX(0, TAB_JUROS_U[[#This Row],[V_FUT_U_JURS-01]]/((((TAB_JUROS_U[[#This Row],[TX_CENARIO]]/100 +1)^(1/252) -1) * PC_IDXR/100 +1)^TAB_JUROS_U[[#This Row],[Q_DIAS_U_PARC_TIR]]))</f>
        <v>86.855729843985259</v>
      </c>
      <c r="V58" s="78">
        <f>+TAB_JUROS_U[[#This Row],[V_FUT_U_JURS CENARIO]]/TAB_JUROS_U[[#This Row],[VAR_DESCAP_U]]</f>
        <v>81.089419446552739</v>
      </c>
      <c r="W58" s="78"/>
      <c r="X58" s="64">
        <f>TAB_JUROS_U[[#This Row],[dt_eve_u]]- DT_CALCULO_C</f>
        <v>1016</v>
      </c>
      <c r="Y58" s="48" t="str">
        <f>"CORRECAO_JURS_C" &amp; TEXT(DT_CALCULO_C, "-AAAAMMDD") &amp; TEXT(TAB_JUROS_U[[#This Row],[DT_EVE]], "-AAAAMMDD")</f>
        <v>CORRECAO_JURS_C-20151228-20181009</v>
      </c>
      <c r="Z58" s="44">
        <f>IFERROR(VLOOKUP(TAB_JUROS_C[[#This Row],[Chave-CORC]],CORRECAO_JURS_C[],2, FALSE), 0)</f>
        <v>1</v>
      </c>
      <c r="AA5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131.65734254887548</v>
      </c>
      <c r="AB58" s="63">
        <f>(TIR_C/100 +1)^(TAB_JUROS_C[[#This Row],[DIAS_CORRIDOS]]/360)</f>
        <v>1.0711178221553042</v>
      </c>
      <c r="AC58" s="78">
        <f>IF(TAB_JUROS_C[[#This Row],[DIAS_CORRIDOS]]&lt;0, 0, TAB_JUROS_C[[#This Row],[V_FUT_C_JURS]]/TAB_JUROS_C[[#This Row],[VAR_DESCAP_C]])</f>
        <v>122.91583598520886</v>
      </c>
      <c r="AD58" s="78">
        <f>TAB_JUROS_U[[#This Row],[V_FUT_U_JURS CENARIO]]</f>
        <v>86.855729843985259</v>
      </c>
      <c r="AE58" s="124">
        <f>IF(TAB_JUROS_C[[#This Row],[DIAS_CORRIDOS]]&lt;0, 0, TAB_JUROS_C[[#This Row],[V_FUT_UTEIS]]/TAB_JUROS_C[[#This Row],[VAR_DESCAP_C]])</f>
        <v>81.088866273566509</v>
      </c>
      <c r="AF58" s="64"/>
    </row>
    <row r="59" spans="1:32">
      <c r="A59" s="82">
        <f t="shared" si="1"/>
        <v>35</v>
      </c>
      <c r="B59" s="24">
        <f>VLOOKUP($A59, CAD_JUROS[#Data], MATCH(B$24, CAD_JUROS[#Headers],0), FALSE)</f>
        <v>2</v>
      </c>
      <c r="C59" s="24" t="str">
        <f>VLOOKUP($A59, CAD_JUROS[#Data], MATCH(C$24, CAD_JUROS[#Headers],0), FALSE)</f>
        <v xml:space="preserve">JUROS SOBRE PRINCIPAL                             </v>
      </c>
      <c r="D59" s="36">
        <f>VLOOKUP($A59, CAD_JUROS[#Data], MATCH(D$24, CAD_JUROS[#Headers],0), FALSE)</f>
        <v>43416</v>
      </c>
      <c r="E59" s="48">
        <f>VLOOKUP($A59, CAD_JUROS[#Data], MATCH(E$24, CAD_JUROS[#Headers],0), FALSE)</f>
        <v>0</v>
      </c>
      <c r="F59" s="36">
        <f>VLOOKUP($A59, CAD_JUROS[#Data], MATCH(F$24, CAD_JUROS[#Headers],0), FALSE)</f>
        <v>43420</v>
      </c>
      <c r="G59" s="47">
        <f>WORKDAY(WORKDAY(TAB_JUROS_U[[#This Row],[DT_EVE]], -1, TAB_FERIADOS[FER_DATA]), 1, TAB_FERIADOS[FER_DATA])</f>
        <v>43416</v>
      </c>
      <c r="H59" s="75">
        <f>WORKDAY(WORKDAY(TAB_JUROS_U[[#This Row],[DT_LQDC_EVE]], -1, TAB_FERIADOS[FER_DATA]), 1, TAB_FERIADOS[FER_DATA])</f>
        <v>43420</v>
      </c>
      <c r="I59" s="48">
        <f>PU_EMISSAO - SUMIF(TAB_AMORTIZACAO_U[DT_EVE], "&lt;" &amp; TAB_JUROS_U[[#This Row],[DT_EVE]], TAB_AMORTIZACAO_U[V_PU_AMTC])</f>
        <v>69840.654991000003</v>
      </c>
      <c r="J59" s="48">
        <f>IFERROR(VLOOKUP(TAB_JUROS_U[[#This Row],[DT_EVE]], TAB_AMORTIZACAO_U[[DT_EVE]:[V_PU_AMTC]], 2, FALSE), 0)</f>
        <v>779.70107199999995</v>
      </c>
      <c r="K59" s="48">
        <f>NETWORKDAYS(DT_CALCULO_U, TAB_JUROS_U[[#This Row],[dt_eve_u]], TAB_FERIADOS[FER_DATA]) -1</f>
        <v>720</v>
      </c>
      <c r="L59" s="48">
        <f>NETWORKDAYS(DT_CALCULO_U, TAB_JUROS_U[[#This Row],[dt_lqdc_eve_u]], TAB_FERIADOS[FER_DATA]) -1</f>
        <v>723</v>
      </c>
      <c r="M59" s="48">
        <f>NETWORKDAYS(IF(ISTEXT(H58), DT_B_JURS, H58), TAB_JUROS_U[[#This Row],[dt_lqdc_eve_u]],  TAB_FERIADOS[FER_DATA]) -1</f>
        <v>22</v>
      </c>
      <c r="N59" s="123">
        <f>(TX_EMISSAO/100 +1)^(TAB_JUROS_U[[#This Row],[dias_periodo_u]]/252)</f>
        <v>1.0021580294747356</v>
      </c>
      <c r="O59" s="78">
        <f>(TIR_U/100 +1)^(TAB_JUROS_U[[#This Row],[Q_DIAS_U_PARC_TIR]]/252)</f>
        <v>1.0734222525235957</v>
      </c>
      <c r="P59" s="116" t="str">
        <f>"TX_CENARIO" &amp; TEXT(DT_CALCULO_C, "-AAAAMMDD") &amp; TEXT(TAB_JUROS_U[[#This Row],[DT_EVE]], "-AAAAMMDD")</f>
        <v>TX_CENARIO-20151228-20181112</v>
      </c>
      <c r="Q59" s="44">
        <f>IFERROR(VLOOKUP(TAB_JUROS_U[[#This Row],[Chave-CENARIO]],CENARIO[],2,FALSE), 0)</f>
        <v>16.653500000000001</v>
      </c>
      <c r="R59" s="116" t="str">
        <f>"CORRECAO_JURS_U" &amp; TEXT(DT_CALCULO_C, "-AAAAMMDD") &amp; TEXT(TAB_JUROS_U[[#This Row],[DT_EVE]], "-AAAAMMDD")</f>
        <v>CORRECAO_JURS_U-20151228-20181112</v>
      </c>
      <c r="S59" s="44">
        <f>IFERROR(VLOOKUP(TAB_JUROS_U[[#This Row],[Chave-CORC]],CORRECAO_JURS_U[],2, FALSE), 0)</f>
        <v>1.0138897899999999</v>
      </c>
      <c r="T59" s="78">
        <f>MAX(0, (TAB_JUROS_U[[#This Row],[CUPOM_TIR]] -1) * IF(TAB_JUROS_U[[#This Row],[ID_T_EVE]]=1, TAB_JUROS_U[[#This Row],[PU_AMORT]], TAB_JUROS_U[[#This Row],[V_NOML_PCPL]]) * TAB_JUROS_U[[#This Row],[CORRECAO_U]])</f>
        <v>152.81163604155614</v>
      </c>
      <c r="U59" s="78">
        <f>MAX(0, TAB_JUROS_U[[#This Row],[V_FUT_U_JURS-01]]/((((TAB_JUROS_U[[#This Row],[TX_CENARIO]]/100 +1)^(1/252) -1) * PC_IDXR/100 +1)^TAB_JUROS_U[[#This Row],[Q_DIAS_U_PARC_TIR]]))</f>
        <v>98.225336946653087</v>
      </c>
      <c r="V59" s="78">
        <f>+TAB_JUROS_U[[#This Row],[V_FUT_U_JURS CENARIO]]/TAB_JUROS_U[[#This Row],[VAR_DESCAP_U]]</f>
        <v>91.506708302093756</v>
      </c>
      <c r="W59" s="78"/>
      <c r="X59" s="64">
        <f>TAB_JUROS_U[[#This Row],[dt_eve_u]]- DT_CALCULO_C</f>
        <v>1050</v>
      </c>
      <c r="Y59" s="48" t="str">
        <f>"CORRECAO_JURS_C" &amp; TEXT(DT_CALCULO_C, "-AAAAMMDD") &amp; TEXT(TAB_JUROS_U[[#This Row],[DT_EVE]], "-AAAAMMDD")</f>
        <v>CORRECAO_JURS_C-20151228-20181112</v>
      </c>
      <c r="Z59" s="44">
        <f>IFERROR(VLOOKUP(TAB_JUROS_C[[#This Row],[Chave-CORC]],CORRECAO_JURS_C[],2, FALSE), 0)</f>
        <v>1</v>
      </c>
      <c r="AA5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150.71819200542117</v>
      </c>
      <c r="AB59" s="63">
        <f>(TIR_C/100 +1)^(TAB_JUROS_C[[#This Row],[DIAS_CORRIDOS]]/360)</f>
        <v>1.0735832722286729</v>
      </c>
      <c r="AC59" s="78">
        <f>IF(TAB_JUROS_C[[#This Row],[DIAS_CORRIDOS]]&lt;0, 0, TAB_JUROS_C[[#This Row],[V_FUT_C_JURS]]/TAB_JUROS_C[[#This Row],[VAR_DESCAP_C]])</f>
        <v>140.3879847089479</v>
      </c>
      <c r="AD59" s="78">
        <f>TAB_JUROS_U[[#This Row],[V_FUT_U_JURS CENARIO]]</f>
        <v>98.225336946653087</v>
      </c>
      <c r="AE59" s="124">
        <f>IF(TAB_JUROS_C[[#This Row],[DIAS_CORRIDOS]]&lt;0, 0, TAB_JUROS_C[[#This Row],[V_FUT_UTEIS]]/TAB_JUROS_C[[#This Row],[VAR_DESCAP_C]])</f>
        <v>91.492983811814753</v>
      </c>
      <c r="AF59" s="64"/>
    </row>
    <row r="60" spans="1:32">
      <c r="A60" s="82">
        <f t="shared" si="1"/>
        <v>36</v>
      </c>
      <c r="B60" s="24">
        <f>VLOOKUP($A60, CAD_JUROS[#Data], MATCH(B$24, CAD_JUROS[#Headers],0), FALSE)</f>
        <v>2</v>
      </c>
      <c r="C60" s="24" t="str">
        <f>VLOOKUP($A60, CAD_JUROS[#Data], MATCH(C$24, CAD_JUROS[#Headers],0), FALSE)</f>
        <v xml:space="preserve">JUROS SOBRE PRINCIPAL                             </v>
      </c>
      <c r="D60" s="36">
        <f>VLOOKUP($A60, CAD_JUROS[#Data], MATCH(D$24, CAD_JUROS[#Headers],0), FALSE)</f>
        <v>43444</v>
      </c>
      <c r="E60" s="48">
        <f>VLOOKUP($A60, CAD_JUROS[#Data], MATCH(E$24, CAD_JUROS[#Headers],0), FALSE)</f>
        <v>0</v>
      </c>
      <c r="F60" s="36">
        <f>VLOOKUP($A60, CAD_JUROS[#Data], MATCH(F$24, CAD_JUROS[#Headers],0), FALSE)</f>
        <v>43448</v>
      </c>
      <c r="G60" s="47">
        <f>WORKDAY(WORKDAY(TAB_JUROS_U[[#This Row],[DT_EVE]], -1, TAB_FERIADOS[FER_DATA]), 1, TAB_FERIADOS[FER_DATA])</f>
        <v>43444</v>
      </c>
      <c r="H60" s="75">
        <f>WORKDAY(WORKDAY(TAB_JUROS_U[[#This Row],[DT_LQDC_EVE]], -1, TAB_FERIADOS[FER_DATA]), 1, TAB_FERIADOS[FER_DATA])</f>
        <v>43448</v>
      </c>
      <c r="I60" s="48">
        <f>PU_EMISSAO - SUMIF(TAB_AMORTIZACAO_U[DT_EVE], "&lt;" &amp; TAB_JUROS_U[[#This Row],[DT_EVE]], TAB_AMORTIZACAO_U[V_PU_AMTC])</f>
        <v>69060.953919000007</v>
      </c>
      <c r="J60" s="48">
        <f>IFERROR(VLOOKUP(TAB_JUROS_U[[#This Row],[DT_EVE]], TAB_AMORTIZACAO_U[[DT_EVE]:[V_PU_AMTC]], 2, FALSE), 0)</f>
        <v>784.25619200000006</v>
      </c>
      <c r="K60" s="48">
        <f>NETWORKDAYS(DT_CALCULO_U, TAB_JUROS_U[[#This Row],[dt_eve_u]], TAB_FERIADOS[FER_DATA]) -1</f>
        <v>739</v>
      </c>
      <c r="L60" s="48">
        <f>NETWORKDAYS(DT_CALCULO_U, TAB_JUROS_U[[#This Row],[dt_lqdc_eve_u]], TAB_FERIADOS[FER_DATA]) -1</f>
        <v>743</v>
      </c>
      <c r="M60" s="48">
        <f>NETWORKDAYS(IF(ISTEXT(H59), DT_B_JURS, H59), TAB_JUROS_U[[#This Row],[dt_lqdc_eve_u]],  TAB_FERIADOS[FER_DATA]) -1</f>
        <v>20</v>
      </c>
      <c r="N60" s="123">
        <f>(TX_EMISSAO/100 +1)^(TAB_JUROS_U[[#This Row],[dias_periodo_u]]/252)</f>
        <v>1.0019616526860928</v>
      </c>
      <c r="O60" s="78">
        <f>(TIR_U/100 +1)^(TAB_JUROS_U[[#This Row],[Q_DIAS_U_PARC_TIR]]/252)</f>
        <v>1.0755281611767633</v>
      </c>
      <c r="P60" s="116" t="str">
        <f>"TX_CENARIO" &amp; TEXT(DT_CALCULO_C, "-AAAAMMDD") &amp; TEXT(TAB_JUROS_U[[#This Row],[DT_EVE]], "-AAAAMMDD")</f>
        <v>TX_CENARIO-20151228-20181210</v>
      </c>
      <c r="Q60" s="44">
        <f>IFERROR(VLOOKUP(TAB_JUROS_U[[#This Row],[Chave-CENARIO]],CENARIO[],2,FALSE), 0)</f>
        <v>16.653400000000001</v>
      </c>
      <c r="R60" s="116" t="str">
        <f>"CORRECAO_JURS_U" &amp; TEXT(DT_CALCULO_C, "-AAAAMMDD") &amp; TEXT(TAB_JUROS_U[[#This Row],[DT_EVE]], "-AAAAMMDD")</f>
        <v>CORRECAO_JURS_U-20151228-20181210</v>
      </c>
      <c r="S60" s="44">
        <f>IFERROR(VLOOKUP(TAB_JUROS_U[[#This Row],[Chave-CORC]],CORRECAO_JURS_U[],2, FALSE), 0)</f>
        <v>1.01198443</v>
      </c>
      <c r="T60" s="78">
        <f>MAX(0, (TAB_JUROS_U[[#This Row],[CUPOM_TIR]] -1) * IF(TAB_JUROS_U[[#This Row],[ID_T_EVE]]=1, TAB_JUROS_U[[#This Row],[PU_AMORT]], TAB_JUROS_U[[#This Row],[V_NOML_PCPL]]) * TAB_JUROS_U[[#This Row],[CORRECAO_U]])</f>
        <v>137.09717970440988</v>
      </c>
      <c r="U60" s="78">
        <f>MAX(0, TAB_JUROS_U[[#This Row],[V_FUT_U_JURS-01]]/((((TAB_JUROS_U[[#This Row],[TX_CENARIO]]/100 +1)^(1/252) -1) * PC_IDXR/100 +1)^TAB_JUROS_U[[#This Row],[Q_DIAS_U_PARC_TIR]]))</f>
        <v>87.053727812853552</v>
      </c>
      <c r="V60" s="78">
        <f>+TAB_JUROS_U[[#This Row],[V_FUT_U_JURS CENARIO]]/TAB_JUROS_U[[#This Row],[VAR_DESCAP_U]]</f>
        <v>80.940444848608891</v>
      </c>
      <c r="W60" s="78"/>
      <c r="X60" s="64">
        <f>TAB_JUROS_U[[#This Row],[dt_eve_u]]- DT_CALCULO_C</f>
        <v>1078</v>
      </c>
      <c r="Y60" s="48" t="str">
        <f>"CORRECAO_JURS_C" &amp; TEXT(DT_CALCULO_C, "-AAAAMMDD") &amp; TEXT(TAB_JUROS_U[[#This Row],[DT_EVE]], "-AAAAMMDD")</f>
        <v>CORRECAO_JURS_C-20151228-20181210</v>
      </c>
      <c r="Z60" s="44">
        <f>IFERROR(VLOOKUP(TAB_JUROS_C[[#This Row],[Chave-CORC]],CORRECAO_JURS_C[],2, FALSE), 0)</f>
        <v>1</v>
      </c>
      <c r="AA6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135.47360575933948</v>
      </c>
      <c r="AB60" s="63">
        <f>(TIR_C/100 +1)^(TAB_JUROS_C[[#This Row],[DIAS_CORRIDOS]]/360)</f>
        <v>1.0756179033550992</v>
      </c>
      <c r="AC60" s="78">
        <f>IF(TAB_JUROS_C[[#This Row],[DIAS_CORRIDOS]]&lt;0, 0, TAB_JUROS_C[[#This Row],[V_FUT_C_JURS]]/TAB_JUROS_C[[#This Row],[VAR_DESCAP_C]])</f>
        <v>125.94956381514866</v>
      </c>
      <c r="AD60" s="78">
        <f>TAB_JUROS_U[[#This Row],[V_FUT_U_JURS CENARIO]]</f>
        <v>87.053727812853552</v>
      </c>
      <c r="AE60" s="124">
        <f>IF(TAB_JUROS_C[[#This Row],[DIAS_CORRIDOS]]&lt;0, 0, TAB_JUROS_C[[#This Row],[V_FUT_UTEIS]]/TAB_JUROS_C[[#This Row],[VAR_DESCAP_C]])</f>
        <v>80.933691733200973</v>
      </c>
      <c r="AF60" s="64"/>
    </row>
    <row r="61" spans="1:32">
      <c r="A61" s="82">
        <f t="shared" si="1"/>
        <v>37</v>
      </c>
      <c r="B61" s="24">
        <f>VLOOKUP($A61, CAD_JUROS[#Data], MATCH(B$24, CAD_JUROS[#Headers],0), FALSE)</f>
        <v>2</v>
      </c>
      <c r="C61" s="24" t="str">
        <f>VLOOKUP($A61, CAD_JUROS[#Data], MATCH(C$24, CAD_JUROS[#Headers],0), FALSE)</f>
        <v xml:space="preserve">JUROS SOBRE PRINCIPAL                             </v>
      </c>
      <c r="D61" s="36">
        <f>VLOOKUP($A61, CAD_JUROS[#Data], MATCH(D$24, CAD_JUROS[#Headers],0), FALSE)</f>
        <v>43474</v>
      </c>
      <c r="E61" s="48">
        <f>VLOOKUP($A61, CAD_JUROS[#Data], MATCH(E$24, CAD_JUROS[#Headers],0), FALSE)</f>
        <v>0</v>
      </c>
      <c r="F61" s="36">
        <f>VLOOKUP($A61, CAD_JUROS[#Data], MATCH(F$24, CAD_JUROS[#Headers],0), FALSE)</f>
        <v>43480</v>
      </c>
      <c r="G61" s="47">
        <f>WORKDAY(WORKDAY(TAB_JUROS_U[[#This Row],[DT_EVE]], -1, TAB_FERIADOS[FER_DATA]), 1, TAB_FERIADOS[FER_DATA])</f>
        <v>43474</v>
      </c>
      <c r="H61" s="75">
        <f>WORKDAY(WORKDAY(TAB_JUROS_U[[#This Row],[DT_LQDC_EVE]], -1, TAB_FERIADOS[FER_DATA]), 1, TAB_FERIADOS[FER_DATA])</f>
        <v>43480</v>
      </c>
      <c r="I61" s="48">
        <f>PU_EMISSAO - SUMIF(TAB_AMORTIZACAO_U[DT_EVE], "&lt;" &amp; TAB_JUROS_U[[#This Row],[DT_EVE]], TAB_AMORTIZACAO_U[V_PU_AMTC])</f>
        <v>68276.697727000006</v>
      </c>
      <c r="J61" s="48">
        <f>IFERROR(VLOOKUP(TAB_JUROS_U[[#This Row],[DT_EVE]], TAB_AMORTIZACAO_U[[DT_EVE]:[V_PU_AMTC]], 2, FALSE), 0)</f>
        <v>843.08066299999996</v>
      </c>
      <c r="K61" s="48">
        <f>NETWORKDAYS(DT_CALCULO_U, TAB_JUROS_U[[#This Row],[dt_eve_u]], TAB_FERIADOS[FER_DATA]) -1</f>
        <v>759</v>
      </c>
      <c r="L61" s="48">
        <f>NETWORKDAYS(DT_CALCULO_U, TAB_JUROS_U[[#This Row],[dt_lqdc_eve_u]], TAB_FERIADOS[FER_DATA]) -1</f>
        <v>763</v>
      </c>
      <c r="M61" s="48">
        <f>NETWORKDAYS(IF(ISTEXT(H60), DT_B_JURS, H60), TAB_JUROS_U[[#This Row],[dt_lqdc_eve_u]],  TAB_FERIADOS[FER_DATA]) -1</f>
        <v>20</v>
      </c>
      <c r="N61" s="123">
        <f>(TX_EMISSAO/100 +1)^(TAB_JUROS_U[[#This Row],[dias_periodo_u]]/252)</f>
        <v>1.0019616526860928</v>
      </c>
      <c r="O61" s="78">
        <f>(TIR_U/100 +1)^(TAB_JUROS_U[[#This Row],[Q_DIAS_U_PARC_TIR]]/252)</f>
        <v>1.0776382013366563</v>
      </c>
      <c r="P61" s="116" t="str">
        <f>"TX_CENARIO" &amp; TEXT(DT_CALCULO_C, "-AAAAMMDD") &amp; TEXT(TAB_JUROS_U[[#This Row],[DT_EVE]], "-AAAAMMDD")</f>
        <v>TX_CENARIO-20151228-20190109</v>
      </c>
      <c r="Q61" s="44">
        <f>IFERROR(VLOOKUP(TAB_JUROS_U[[#This Row],[Chave-CENARIO]],CENARIO[],2,FALSE), 0)</f>
        <v>16.655100000000001</v>
      </c>
      <c r="R61" s="116" t="str">
        <f>"CORRECAO_JURS_U" &amp; TEXT(DT_CALCULO_C, "-AAAAMMDD") &amp; TEXT(TAB_JUROS_U[[#This Row],[DT_EVE]], "-AAAAMMDD")</f>
        <v>CORRECAO_JURS_U-20151228-20190109</v>
      </c>
      <c r="S61" s="44">
        <f>IFERROR(VLOOKUP(TAB_JUROS_U[[#This Row],[Chave-CORC]],CORRECAO_JURS_U[],2, FALSE), 0)</f>
        <v>1.01251695</v>
      </c>
      <c r="T61" s="78">
        <f>MAX(0, (TAB_JUROS_U[[#This Row],[CUPOM_TIR]] -1) * IF(TAB_JUROS_U[[#This Row],[ID_T_EVE]]=1, TAB_JUROS_U[[#This Row],[PU_AMORT]], TAB_JUROS_U[[#This Row],[V_NOML_PCPL]]) * TAB_JUROS_U[[#This Row],[CORRECAO_U]])</f>
        <v>135.61162728847825</v>
      </c>
      <c r="U61" s="78">
        <f>MAX(0, TAB_JUROS_U[[#This Row],[V_FUT_U_JURS-01]]/((((TAB_JUROS_U[[#This Row],[TX_CENARIO]]/100 +1)^(1/252) -1) * PC_IDXR/100 +1)^TAB_JUROS_U[[#This Row],[Q_DIAS_U_PARC_TIR]]))</f>
        <v>85.060376270617368</v>
      </c>
      <c r="V61" s="78">
        <f>+TAB_JUROS_U[[#This Row],[V_FUT_U_JURS CENARIO]]/TAB_JUROS_U[[#This Row],[VAR_DESCAP_U]]</f>
        <v>78.932220633151388</v>
      </c>
      <c r="W61" s="78"/>
      <c r="X61" s="64">
        <f>TAB_JUROS_U[[#This Row],[dt_eve_u]]- DT_CALCULO_C</f>
        <v>1108</v>
      </c>
      <c r="Y61" s="48" t="str">
        <f>"CORRECAO_JURS_C" &amp; TEXT(DT_CALCULO_C, "-AAAAMMDD") &amp; TEXT(TAB_JUROS_U[[#This Row],[DT_EVE]], "-AAAAMMDD")</f>
        <v>CORRECAO_JURS_C-20151228-20190109</v>
      </c>
      <c r="Z61" s="44">
        <f>IFERROR(VLOOKUP(TAB_JUROS_C[[#This Row],[Chave-CORC]],CORRECAO_JURS_C[],2, FALSE), 0)</f>
        <v>1</v>
      </c>
      <c r="AA6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133.93516749371776</v>
      </c>
      <c r="AB61" s="63">
        <f>(TIR_C/100 +1)^(TAB_JUROS_C[[#This Row],[DIAS_CORRIDOS]]/360)</f>
        <v>1.0778021444351347</v>
      </c>
      <c r="AC61" s="78">
        <f>IF(TAB_JUROS_C[[#This Row],[DIAS_CORRIDOS]]&lt;0, 0, TAB_JUROS_C[[#This Row],[V_FUT_C_JURS]]/TAB_JUROS_C[[#This Row],[VAR_DESCAP_C]])</f>
        <v>124.26693357890083</v>
      </c>
      <c r="AD61" s="78">
        <f>TAB_JUROS_U[[#This Row],[V_FUT_U_JURS CENARIO]]</f>
        <v>85.060376270617368</v>
      </c>
      <c r="AE61" s="124">
        <f>IF(TAB_JUROS_C[[#This Row],[DIAS_CORRIDOS]]&lt;0, 0, TAB_JUROS_C[[#This Row],[V_FUT_UTEIS]]/TAB_JUROS_C[[#This Row],[VAR_DESCAP_C]])</f>
        <v>78.92021435455267</v>
      </c>
      <c r="AF61" s="64"/>
    </row>
    <row r="62" spans="1:32">
      <c r="A62" s="82">
        <f t="shared" si="1"/>
        <v>38</v>
      </c>
      <c r="B62" s="24">
        <f>VLOOKUP($A62, CAD_JUROS[#Data], MATCH(B$24, CAD_JUROS[#Headers],0), FALSE)</f>
        <v>2</v>
      </c>
      <c r="C62" s="24" t="str">
        <f>VLOOKUP($A62, CAD_JUROS[#Data], MATCH(C$24, CAD_JUROS[#Headers],0), FALSE)</f>
        <v xml:space="preserve">JUROS SOBRE PRINCIPAL                             </v>
      </c>
      <c r="D62" s="36">
        <f>VLOOKUP($A62, CAD_JUROS[#Data], MATCH(D$24, CAD_JUROS[#Headers],0), FALSE)</f>
        <v>43504</v>
      </c>
      <c r="E62" s="48">
        <f>VLOOKUP($A62, CAD_JUROS[#Data], MATCH(E$24, CAD_JUROS[#Headers],0), FALSE)</f>
        <v>0</v>
      </c>
      <c r="F62" s="36">
        <f>VLOOKUP($A62, CAD_JUROS[#Data], MATCH(F$24, CAD_JUROS[#Headers],0), FALSE)</f>
        <v>43510</v>
      </c>
      <c r="G62" s="47">
        <f>WORKDAY(WORKDAY(TAB_JUROS_U[[#This Row],[DT_EVE]], -1, TAB_FERIADOS[FER_DATA]), 1, TAB_FERIADOS[FER_DATA])</f>
        <v>43504</v>
      </c>
      <c r="H62" s="75">
        <f>WORKDAY(WORKDAY(TAB_JUROS_U[[#This Row],[DT_LQDC_EVE]], -1, TAB_FERIADOS[FER_DATA]), 1, TAB_FERIADOS[FER_DATA])</f>
        <v>43510</v>
      </c>
      <c r="I62" s="48">
        <f>PU_EMISSAO - SUMIF(TAB_AMORTIZACAO_U[DT_EVE], "&lt;" &amp; TAB_JUROS_U[[#This Row],[DT_EVE]], TAB_AMORTIZACAO_U[V_PU_AMTC])</f>
        <v>67433.617064000005</v>
      </c>
      <c r="J62" s="48">
        <f>IFERROR(VLOOKUP(TAB_JUROS_U[[#This Row],[DT_EVE]], TAB_AMORTIZACAO_U[[DT_EVE]:[V_PU_AMTC]], 2, FALSE), 0)</f>
        <v>819.45331399999998</v>
      </c>
      <c r="K62" s="48">
        <f>NETWORKDAYS(DT_CALCULO_U, TAB_JUROS_U[[#This Row],[dt_eve_u]], TAB_FERIADOS[FER_DATA]) -1</f>
        <v>781</v>
      </c>
      <c r="L62" s="48">
        <f>NETWORKDAYS(DT_CALCULO_U, TAB_JUROS_U[[#This Row],[dt_lqdc_eve_u]], TAB_FERIADOS[FER_DATA]) -1</f>
        <v>785</v>
      </c>
      <c r="M62" s="48">
        <f>NETWORKDAYS(IF(ISTEXT(H61), DT_B_JURS, H61), TAB_JUROS_U[[#This Row],[dt_lqdc_eve_u]],  TAB_FERIADOS[FER_DATA]) -1</f>
        <v>22</v>
      </c>
      <c r="N62" s="123">
        <f>(TX_EMISSAO/100 +1)^(TAB_JUROS_U[[#This Row],[dias_periodo_u]]/252)</f>
        <v>1.0021580294747356</v>
      </c>
      <c r="O62" s="78">
        <f>(TIR_U/100 +1)^(TAB_JUROS_U[[#This Row],[Q_DIAS_U_PARC_TIR]]/252)</f>
        <v>1.0799640270771413</v>
      </c>
      <c r="P62" s="116" t="str">
        <f>"TX_CENARIO" &amp; TEXT(DT_CALCULO_C, "-AAAAMMDD") &amp; TEXT(TAB_JUROS_U[[#This Row],[DT_EVE]], "-AAAAMMDD")</f>
        <v>TX_CENARIO-20151228-20190208</v>
      </c>
      <c r="Q62" s="44">
        <f>IFERROR(VLOOKUP(TAB_JUROS_U[[#This Row],[Chave-CENARIO]],CENARIO[],2,FALSE), 0)</f>
        <v>16.658999999999999</v>
      </c>
      <c r="R62" s="116" t="str">
        <f>"CORRECAO_JURS_U" &amp; TEXT(DT_CALCULO_C, "-AAAAMMDD") &amp; TEXT(TAB_JUROS_U[[#This Row],[DT_EVE]], "-AAAAMMDD")</f>
        <v>CORRECAO_JURS_U-20151228-20190208</v>
      </c>
      <c r="S62" s="44">
        <f>IFERROR(VLOOKUP(TAB_JUROS_U[[#This Row],[Chave-CORC]],CORRECAO_JURS_U[],2, FALSE), 0)</f>
        <v>1.01343962</v>
      </c>
      <c r="T62" s="78">
        <f>MAX(0, (TAB_JUROS_U[[#This Row],[CUPOM_TIR]] -1) * IF(TAB_JUROS_U[[#This Row],[ID_T_EVE]]=1, TAB_JUROS_U[[#This Row],[PU_AMORT]], TAB_JUROS_U[[#This Row],[V_NOML_PCPL]]) * TAB_JUROS_U[[#This Row],[CORRECAO_U]])</f>
        <v>147.47951688750123</v>
      </c>
      <c r="U62" s="78">
        <f>MAX(0, TAB_JUROS_U[[#This Row],[V_FUT_U_JURS-01]]/((((TAB_JUROS_U[[#This Row],[TX_CENARIO]]/100 +1)^(1/252) -1) * PC_IDXR/100 +1)^TAB_JUROS_U[[#This Row],[Q_DIAS_U_PARC_TIR]]))</f>
        <v>91.259072089192969</v>
      </c>
      <c r="V62" s="78">
        <f>+TAB_JUROS_U[[#This Row],[V_FUT_U_JURS CENARIO]]/TAB_JUROS_U[[#This Row],[VAR_DESCAP_U]]</f>
        <v>84.501955436590094</v>
      </c>
      <c r="W62" s="78"/>
      <c r="X62" s="64">
        <f>TAB_JUROS_U[[#This Row],[dt_eve_u]]- DT_CALCULO_C</f>
        <v>1138</v>
      </c>
      <c r="Y62" s="48" t="str">
        <f>"CORRECAO_JURS_C" &amp; TEXT(DT_CALCULO_C, "-AAAAMMDD") &amp; TEXT(TAB_JUROS_U[[#This Row],[DT_EVE]], "-AAAAMMDD")</f>
        <v>CORRECAO_JURS_C-20151228-20190208</v>
      </c>
      <c r="Z62" s="44">
        <f>IFERROR(VLOOKUP(TAB_JUROS_C[[#This Row],[Chave-CORC]],CORRECAO_JURS_C[],2, FALSE), 0)</f>
        <v>1</v>
      </c>
      <c r="AA6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145.52373321214858</v>
      </c>
      <c r="AB62" s="63">
        <f>(TIR_C/100 +1)^(TAB_JUROS_C[[#This Row],[DIAS_CORRIDOS]]/360)</f>
        <v>1.0799908210206415</v>
      </c>
      <c r="AC62" s="78">
        <f>IF(TAB_JUROS_C[[#This Row],[DIAS_CORRIDOS]]&lt;0, 0, TAB_JUROS_C[[#This Row],[V_FUT_C_JURS]]/TAB_JUROS_C[[#This Row],[VAR_DESCAP_C]])</f>
        <v>134.7453426267289</v>
      </c>
      <c r="AD62" s="78">
        <f>TAB_JUROS_U[[#This Row],[V_FUT_U_JURS CENARIO]]</f>
        <v>91.259072089192969</v>
      </c>
      <c r="AE62" s="124">
        <f>IF(TAB_JUROS_C[[#This Row],[DIAS_CORRIDOS]]&lt;0, 0, TAB_JUROS_C[[#This Row],[V_FUT_UTEIS]]/TAB_JUROS_C[[#This Row],[VAR_DESCAP_C]])</f>
        <v>84.49985899227265</v>
      </c>
      <c r="AF62" s="64"/>
    </row>
    <row r="63" spans="1:32">
      <c r="A63" s="82">
        <f t="shared" si="1"/>
        <v>39</v>
      </c>
      <c r="B63" s="24">
        <f>VLOOKUP($A63, CAD_JUROS[#Data], MATCH(B$24, CAD_JUROS[#Headers],0), FALSE)</f>
        <v>2</v>
      </c>
      <c r="C63" s="24" t="str">
        <f>VLOOKUP($A63, CAD_JUROS[#Data], MATCH(C$24, CAD_JUROS[#Headers],0), FALSE)</f>
        <v xml:space="preserve">JUROS SOBRE PRINCIPAL                             </v>
      </c>
      <c r="D63" s="36">
        <f>VLOOKUP($A63, CAD_JUROS[#Data], MATCH(D$24, CAD_JUROS[#Headers],0), FALSE)</f>
        <v>43536</v>
      </c>
      <c r="E63" s="48">
        <f>VLOOKUP($A63, CAD_JUROS[#Data], MATCH(E$24, CAD_JUROS[#Headers],0), FALSE)</f>
        <v>0</v>
      </c>
      <c r="F63" s="36">
        <f>VLOOKUP($A63, CAD_JUROS[#Data], MATCH(F$24, CAD_JUROS[#Headers],0), FALSE)</f>
        <v>43542</v>
      </c>
      <c r="G63" s="47">
        <f>WORKDAY(WORKDAY(TAB_JUROS_U[[#This Row],[DT_EVE]], -1, TAB_FERIADOS[FER_DATA]), 1, TAB_FERIADOS[FER_DATA])</f>
        <v>43536</v>
      </c>
      <c r="H63" s="75">
        <f>WORKDAY(WORKDAY(TAB_JUROS_U[[#This Row],[DT_LQDC_EVE]], -1, TAB_FERIADOS[FER_DATA]), 1, TAB_FERIADOS[FER_DATA])</f>
        <v>43542</v>
      </c>
      <c r="I63" s="48">
        <f>PU_EMISSAO - SUMIF(TAB_AMORTIZACAO_U[DT_EVE], "&lt;" &amp; TAB_JUROS_U[[#This Row],[DT_EVE]], TAB_AMORTIZACAO_U[V_PU_AMTC])</f>
        <v>66614.163750000007</v>
      </c>
      <c r="J63" s="48">
        <f>IFERROR(VLOOKUP(TAB_JUROS_U[[#This Row],[DT_EVE]], TAB_AMORTIZACAO_U[[DT_EVE]:[V_PU_AMTC]], 2, FALSE), 0)</f>
        <v>823.817363</v>
      </c>
      <c r="K63" s="48">
        <f>NETWORKDAYS(DT_CALCULO_U, TAB_JUROS_U[[#This Row],[dt_eve_u]], TAB_FERIADOS[FER_DATA]) -1</f>
        <v>801</v>
      </c>
      <c r="L63" s="48">
        <f>NETWORKDAYS(DT_CALCULO_U, TAB_JUROS_U[[#This Row],[dt_lqdc_eve_u]], TAB_FERIADOS[FER_DATA]) -1</f>
        <v>805</v>
      </c>
      <c r="M63" s="48">
        <f>NETWORKDAYS(IF(ISTEXT(H62), DT_B_JURS, H62), TAB_JUROS_U[[#This Row],[dt_lqdc_eve_u]],  TAB_FERIADOS[FER_DATA]) -1</f>
        <v>20</v>
      </c>
      <c r="N63" s="123">
        <f>(TX_EMISSAO/100 +1)^(TAB_JUROS_U[[#This Row],[dias_periodo_u]]/252)</f>
        <v>1.0019616526860928</v>
      </c>
      <c r="O63" s="78">
        <f>(TIR_U/100 +1)^(TAB_JUROS_U[[#This Row],[Q_DIAS_U_PARC_TIR]]/252)</f>
        <v>1.0820827698033932</v>
      </c>
      <c r="P63" s="116" t="str">
        <f>"TX_CENARIO" &amp; TEXT(DT_CALCULO_C, "-AAAAMMDD") &amp; TEXT(TAB_JUROS_U[[#This Row],[DT_EVE]], "-AAAAMMDD")</f>
        <v>TX_CENARIO-20151228-20190312</v>
      </c>
      <c r="Q63" s="44">
        <f>IFERROR(VLOOKUP(TAB_JUROS_U[[#This Row],[Chave-CENARIO]],CENARIO[],2,FALSE), 0)</f>
        <v>16.662500000000001</v>
      </c>
      <c r="R63" s="116" t="str">
        <f>"CORRECAO_JURS_U" &amp; TEXT(DT_CALCULO_C, "-AAAAMMDD") &amp; TEXT(TAB_JUROS_U[[#This Row],[DT_EVE]], "-AAAAMMDD")</f>
        <v>CORRECAO_JURS_U-20151228-20190312</v>
      </c>
      <c r="S63" s="44">
        <f>IFERROR(VLOOKUP(TAB_JUROS_U[[#This Row],[Chave-CORC]],CORRECAO_JURS_U[],2, FALSE), 0)</f>
        <v>1.01221041</v>
      </c>
      <c r="T63" s="78">
        <f>MAX(0, (TAB_JUROS_U[[#This Row],[CUPOM_TIR]] -1) * IF(TAB_JUROS_U[[#This Row],[ID_T_EVE]]=1, TAB_JUROS_U[[#This Row],[PU_AMORT]], TAB_JUROS_U[[#This Row],[V_NOML_PCPL]]) * TAB_JUROS_U[[#This Row],[CORRECAO_U]])</f>
        <v>132.26943457650205</v>
      </c>
      <c r="U63" s="78">
        <f>MAX(0, TAB_JUROS_U[[#This Row],[V_FUT_U_JURS-01]]/((((TAB_JUROS_U[[#This Row],[TX_CENARIO]]/100 +1)^(1/252) -1) * PC_IDXR/100 +1)^TAB_JUROS_U[[#This Row],[Q_DIAS_U_PARC_TIR]]))</f>
        <v>80.844642554878988</v>
      </c>
      <c r="V63" s="78">
        <f>+TAB_JUROS_U[[#This Row],[V_FUT_U_JURS CENARIO]]/TAB_JUROS_U[[#This Row],[VAR_DESCAP_U]]</f>
        <v>74.71206899410096</v>
      </c>
      <c r="W63" s="78"/>
      <c r="X63" s="64">
        <f>TAB_JUROS_U[[#This Row],[dt_eve_u]]- DT_CALCULO_C</f>
        <v>1170</v>
      </c>
      <c r="Y63" s="48" t="str">
        <f>"CORRECAO_JURS_C" &amp; TEXT(DT_CALCULO_C, "-AAAAMMDD") &amp; TEXT(TAB_JUROS_U[[#This Row],[DT_EVE]], "-AAAAMMDD")</f>
        <v>CORRECAO_JURS_C-20151228-20190312</v>
      </c>
      <c r="Z63" s="44">
        <f>IFERROR(VLOOKUP(TAB_JUROS_C[[#This Row],[Chave-CORC]],CORRECAO_JURS_C[],2, FALSE), 0)</f>
        <v>1</v>
      </c>
      <c r="AA6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130.67385325201511</v>
      </c>
      <c r="AB63" s="63">
        <f>(TIR_C/100 +1)^(TAB_JUROS_C[[#This Row],[DIAS_CORRIDOS]]/360)</f>
        <v>1.0823303084400167</v>
      </c>
      <c r="AC63" s="78">
        <f>IF(TAB_JUROS_C[[#This Row],[DIAS_CORRIDOS]]&lt;0, 0, TAB_JUROS_C[[#This Row],[V_FUT_C_JURS]]/TAB_JUROS_C[[#This Row],[VAR_DESCAP_C]])</f>
        <v>120.73380208705217</v>
      </c>
      <c r="AD63" s="78">
        <f>TAB_JUROS_U[[#This Row],[V_FUT_U_JURS CENARIO]]</f>
        <v>80.844642554878988</v>
      </c>
      <c r="AE63" s="124">
        <f>IF(TAB_JUROS_C[[#This Row],[DIAS_CORRIDOS]]&lt;0, 0, TAB_JUROS_C[[#This Row],[V_FUT_UTEIS]]/TAB_JUROS_C[[#This Row],[VAR_DESCAP_C]])</f>
        <v>74.694981674681102</v>
      </c>
      <c r="AF63" s="64"/>
    </row>
    <row r="64" spans="1:32">
      <c r="A64" s="82">
        <f t="shared" si="1"/>
        <v>40</v>
      </c>
      <c r="B64" s="24">
        <f>VLOOKUP($A64, CAD_JUROS[#Data], MATCH(B$24, CAD_JUROS[#Headers],0), FALSE)</f>
        <v>2</v>
      </c>
      <c r="C64" s="24" t="str">
        <f>VLOOKUP($A64, CAD_JUROS[#Data], MATCH(C$24, CAD_JUROS[#Headers],0), FALSE)</f>
        <v xml:space="preserve">JUROS SOBRE PRINCIPAL                             </v>
      </c>
      <c r="D64" s="36">
        <f>VLOOKUP($A64, CAD_JUROS[#Data], MATCH(D$24, CAD_JUROS[#Headers],0), FALSE)</f>
        <v>43563</v>
      </c>
      <c r="E64" s="48">
        <f>VLOOKUP($A64, CAD_JUROS[#Data], MATCH(E$24, CAD_JUROS[#Headers],0), FALSE)</f>
        <v>0</v>
      </c>
      <c r="F64" s="36">
        <f>VLOOKUP($A64, CAD_JUROS[#Data], MATCH(F$24, CAD_JUROS[#Headers],0), FALSE)</f>
        <v>43567</v>
      </c>
      <c r="G64" s="47">
        <f>WORKDAY(WORKDAY(TAB_JUROS_U[[#This Row],[DT_EVE]], -1, TAB_FERIADOS[FER_DATA]), 1, TAB_FERIADOS[FER_DATA])</f>
        <v>43563</v>
      </c>
      <c r="H64" s="75">
        <f>WORKDAY(WORKDAY(TAB_JUROS_U[[#This Row],[DT_LQDC_EVE]], -1, TAB_FERIADOS[FER_DATA]), 1, TAB_FERIADOS[FER_DATA])</f>
        <v>43567</v>
      </c>
      <c r="I64" s="48">
        <f>PU_EMISSAO - SUMIF(TAB_AMORTIZACAO_U[DT_EVE], "&lt;" &amp; TAB_JUROS_U[[#This Row],[DT_EVE]], TAB_AMORTIZACAO_U[V_PU_AMTC])</f>
        <v>65790.346386999998</v>
      </c>
      <c r="J64" s="48">
        <f>IFERROR(VLOOKUP(TAB_JUROS_U[[#This Row],[DT_EVE]], TAB_AMORTIZACAO_U[[DT_EVE]:[V_PU_AMTC]], 2, FALSE), 0)</f>
        <v>821.52405499999998</v>
      </c>
      <c r="K64" s="48">
        <f>NETWORKDAYS(DT_CALCULO_U, TAB_JUROS_U[[#This Row],[dt_eve_u]], TAB_FERIADOS[FER_DATA]) -1</f>
        <v>820</v>
      </c>
      <c r="L64" s="48">
        <f>NETWORKDAYS(DT_CALCULO_U, TAB_JUROS_U[[#This Row],[dt_lqdc_eve_u]], TAB_FERIADOS[FER_DATA]) -1</f>
        <v>824</v>
      </c>
      <c r="M64" s="48">
        <f>NETWORKDAYS(IF(ISTEXT(H63), DT_B_JURS, H63), TAB_JUROS_U[[#This Row],[dt_lqdc_eve_u]],  TAB_FERIADOS[FER_DATA]) -1</f>
        <v>19</v>
      </c>
      <c r="N64" s="123">
        <f>(TX_EMISSAO/100 +1)^(TAB_JUROS_U[[#This Row],[dias_periodo_u]]/252)</f>
        <v>1.0018634787225431</v>
      </c>
      <c r="O64" s="78">
        <f>(TIR_U/100 +1)^(TAB_JUROS_U[[#This Row],[Q_DIAS_U_PARC_TIR]]/252)</f>
        <v>1.0840994253973897</v>
      </c>
      <c r="P64" s="116" t="str">
        <f>"TX_CENARIO" &amp; TEXT(DT_CALCULO_C, "-AAAAMMDD") &amp; TEXT(TAB_JUROS_U[[#This Row],[DT_EVE]], "-AAAAMMDD")</f>
        <v>TX_CENARIO-20151228-20190408</v>
      </c>
      <c r="Q64" s="44">
        <f>IFERROR(VLOOKUP(TAB_JUROS_U[[#This Row],[Chave-CENARIO]],CENARIO[],2,FALSE), 0)</f>
        <v>16.665500000000002</v>
      </c>
      <c r="R64" s="116" t="str">
        <f>"CORRECAO_JURS_U" &amp; TEXT(DT_CALCULO_C, "-AAAAMMDD") &amp; TEXT(TAB_JUROS_U[[#This Row],[DT_EVE]], "-AAAAMMDD")</f>
        <v>CORRECAO_JURS_U-20151228-20190408</v>
      </c>
      <c r="S64" s="44">
        <f>IFERROR(VLOOKUP(TAB_JUROS_U[[#This Row],[Chave-CORC]],CORRECAO_JURS_U[],2, FALSE), 0)</f>
        <v>1.01159785</v>
      </c>
      <c r="T64" s="78">
        <f>MAX(0, (TAB_JUROS_U[[#This Row],[CUPOM_TIR]] -1) * IF(TAB_JUROS_U[[#This Row],[ID_T_EVE]]=1, TAB_JUROS_U[[#This Row],[PU_AMORT]], TAB_JUROS_U[[#This Row],[V_NOML_PCPL]]) * TAB_JUROS_U[[#This Row],[CORRECAO_U]])</f>
        <v>124.02079441669224</v>
      </c>
      <c r="U64" s="78">
        <f>MAX(0, TAB_JUROS_U[[#This Row],[V_FUT_U_JURS-01]]/((((TAB_JUROS_U[[#This Row],[TX_CENARIO]]/100 +1)^(1/252) -1) * PC_IDXR/100 +1)^TAB_JUROS_U[[#This Row],[Q_DIAS_U_PARC_TIR]]))</f>
        <v>74.920960089565597</v>
      </c>
      <c r="V64" s="78">
        <f>+TAB_JUROS_U[[#This Row],[V_FUT_U_JURS CENARIO]]/TAB_JUROS_U[[#This Row],[VAR_DESCAP_U]]</f>
        <v>69.108938105102695</v>
      </c>
      <c r="W64" s="78"/>
      <c r="X64" s="64">
        <f>TAB_JUROS_U[[#This Row],[dt_eve_u]]- DT_CALCULO_C</f>
        <v>1197</v>
      </c>
      <c r="Y64" s="48" t="str">
        <f>"CORRECAO_JURS_C" &amp; TEXT(DT_CALCULO_C, "-AAAAMMDD") &amp; TEXT(TAB_JUROS_U[[#This Row],[DT_EVE]], "-AAAAMMDD")</f>
        <v>CORRECAO_JURS_C-20151228-20190408</v>
      </c>
      <c r="Z64" s="44">
        <f>IFERROR(VLOOKUP(TAB_JUROS_C[[#This Row],[Chave-CORC]],CORRECAO_JURS_C[],2, FALSE), 0)</f>
        <v>1</v>
      </c>
      <c r="AA6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122.59891064091549</v>
      </c>
      <c r="AB64" s="63">
        <f>(TIR_C/100 +1)^(TAB_JUROS_C[[#This Row],[DIAS_CORRIDOS]]/360)</f>
        <v>1.0843081924200355</v>
      </c>
      <c r="AC64" s="78">
        <f>IF(TAB_JUROS_C[[#This Row],[DIAS_CORRIDOS]]&lt;0, 0, TAB_JUROS_C[[#This Row],[V_FUT_C_JURS]]/TAB_JUROS_C[[#This Row],[VAR_DESCAP_C]])</f>
        <v>113.06648008191343</v>
      </c>
      <c r="AD64" s="78">
        <f>TAB_JUROS_U[[#This Row],[V_FUT_U_JURS CENARIO]]</f>
        <v>74.920960089565597</v>
      </c>
      <c r="AE64" s="124">
        <f>IF(TAB_JUROS_C[[#This Row],[DIAS_CORRIDOS]]&lt;0, 0, TAB_JUROS_C[[#This Row],[V_FUT_UTEIS]]/TAB_JUROS_C[[#This Row],[VAR_DESCAP_C]])</f>
        <v>69.095632231968764</v>
      </c>
      <c r="AF64" s="64"/>
    </row>
    <row r="65" spans="1:32">
      <c r="A65" s="82">
        <f t="shared" si="1"/>
        <v>41</v>
      </c>
      <c r="B65" s="24">
        <f>VLOOKUP($A65, CAD_JUROS[#Data], MATCH(B$24, CAD_JUROS[#Headers],0), FALSE)</f>
        <v>2</v>
      </c>
      <c r="C65" s="24" t="str">
        <f>VLOOKUP($A65, CAD_JUROS[#Data], MATCH(C$24, CAD_JUROS[#Headers],0), FALSE)</f>
        <v xml:space="preserve">JUROS SOBRE PRINCIPAL                             </v>
      </c>
      <c r="D65" s="36">
        <f>VLOOKUP($A65, CAD_JUROS[#Data], MATCH(D$24, CAD_JUROS[#Headers],0), FALSE)</f>
        <v>43594</v>
      </c>
      <c r="E65" s="48">
        <f>VLOOKUP($A65, CAD_JUROS[#Data], MATCH(E$24, CAD_JUROS[#Headers],0), FALSE)</f>
        <v>0</v>
      </c>
      <c r="F65" s="36">
        <f>VLOOKUP($A65, CAD_JUROS[#Data], MATCH(F$24, CAD_JUROS[#Headers],0), FALSE)</f>
        <v>43600</v>
      </c>
      <c r="G65" s="47">
        <f>WORKDAY(WORKDAY(TAB_JUROS_U[[#This Row],[DT_EVE]], -1, TAB_FERIADOS[FER_DATA]), 1, TAB_FERIADOS[FER_DATA])</f>
        <v>43594</v>
      </c>
      <c r="H65" s="75">
        <f>WORKDAY(WORKDAY(TAB_JUROS_U[[#This Row],[DT_LQDC_EVE]], -1, TAB_FERIADOS[FER_DATA]), 1, TAB_FERIADOS[FER_DATA])</f>
        <v>43600</v>
      </c>
      <c r="I65" s="48">
        <f>PU_EMISSAO - SUMIF(TAB_AMORTIZACAO_U[DT_EVE], "&lt;" &amp; TAB_JUROS_U[[#This Row],[DT_EVE]], TAB_AMORTIZACAO_U[V_PU_AMTC])</f>
        <v>64968.822332000003</v>
      </c>
      <c r="J65" s="48">
        <f>IFERROR(VLOOKUP(TAB_JUROS_U[[#This Row],[DT_EVE]], TAB_AMORTIZACAO_U[[DT_EVE]:[V_PU_AMTC]], 2, FALSE), 0)</f>
        <v>798.46682599999997</v>
      </c>
      <c r="K65" s="48">
        <f>NETWORKDAYS(DT_CALCULO_U, TAB_JUROS_U[[#This Row],[dt_eve_u]], TAB_FERIADOS[FER_DATA]) -1</f>
        <v>841</v>
      </c>
      <c r="L65" s="48">
        <f>NETWORKDAYS(DT_CALCULO_U, TAB_JUROS_U[[#This Row],[dt_lqdc_eve_u]], TAB_FERIADOS[FER_DATA]) -1</f>
        <v>845</v>
      </c>
      <c r="M65" s="48">
        <f>NETWORKDAYS(IF(ISTEXT(H64), DT_B_JURS, H64), TAB_JUROS_U[[#This Row],[dt_lqdc_eve_u]],  TAB_FERIADOS[FER_DATA]) -1</f>
        <v>21</v>
      </c>
      <c r="N65" s="123">
        <f>(TX_EMISSAO/100 +1)^(TAB_JUROS_U[[#This Row],[dias_periodo_u]]/252)</f>
        <v>1.0020598362698427</v>
      </c>
      <c r="O65" s="78">
        <f>(TIR_U/100 +1)^(TAB_JUROS_U[[#This Row],[Q_DIAS_U_PARC_TIR]]/252)</f>
        <v>1.0863327334670501</v>
      </c>
      <c r="P65" s="116" t="str">
        <f>"TX_CENARIO" &amp; TEXT(DT_CALCULO_C, "-AAAAMMDD") &amp; TEXT(TAB_JUROS_U[[#This Row],[DT_EVE]], "-AAAAMMDD")</f>
        <v>TX_CENARIO-20151228-20190509</v>
      </c>
      <c r="Q65" s="44">
        <f>IFERROR(VLOOKUP(TAB_JUROS_U[[#This Row],[Chave-CENARIO]],CENARIO[],2,FALSE), 0)</f>
        <v>16.668500000000002</v>
      </c>
      <c r="R65" s="116" t="str">
        <f>"CORRECAO_JURS_U" &amp; TEXT(DT_CALCULO_C, "-AAAAMMDD") &amp; TEXT(TAB_JUROS_U[[#This Row],[DT_EVE]], "-AAAAMMDD")</f>
        <v>CORRECAO_JURS_U-20151228-20190509</v>
      </c>
      <c r="S65" s="44">
        <f>IFERROR(VLOOKUP(TAB_JUROS_U[[#This Row],[Chave-CORC]],CORRECAO_JURS_U[],2, FALSE), 0)</f>
        <v>1.0128310899999999</v>
      </c>
      <c r="T65" s="78">
        <f>MAX(0, (TAB_JUROS_U[[#This Row],[CUPOM_TIR]] -1) * IF(TAB_JUROS_U[[#This Row],[ID_T_EVE]]=1, TAB_JUROS_U[[#This Row],[PU_AMORT]], TAB_JUROS_U[[#This Row],[V_NOML_PCPL]]) * TAB_JUROS_U[[#This Row],[CORRECAO_U]])</f>
        <v>135.54225902102084</v>
      </c>
      <c r="U65" s="78">
        <f>MAX(0, TAB_JUROS_U[[#This Row],[V_FUT_U_JURS-01]]/((((TAB_JUROS_U[[#This Row],[TX_CENARIO]]/100 +1)^(1/252) -1) * PC_IDXR/100 +1)^TAB_JUROS_U[[#This Row],[Q_DIAS_U_PARC_TIR]]))</f>
        <v>80.829066067807901</v>
      </c>
      <c r="V65" s="78">
        <f>+TAB_JUROS_U[[#This Row],[V_FUT_U_JURS CENARIO]]/TAB_JUROS_U[[#This Row],[VAR_DESCAP_U]]</f>
        <v>74.405440964519698</v>
      </c>
      <c r="W65" s="78"/>
      <c r="X65" s="64">
        <f>TAB_JUROS_U[[#This Row],[dt_eve_u]]- DT_CALCULO_C</f>
        <v>1228</v>
      </c>
      <c r="Y65" s="48" t="str">
        <f>"CORRECAO_JURS_C" &amp; TEXT(DT_CALCULO_C, "-AAAAMMDD") &amp; TEXT(TAB_JUROS_U[[#This Row],[DT_EVE]], "-AAAAMMDD")</f>
        <v>CORRECAO_JURS_C-20151228-20190509</v>
      </c>
      <c r="Z65" s="44">
        <f>IFERROR(VLOOKUP(TAB_JUROS_C[[#This Row],[Chave-CORC]],CORRECAO_JURS_C[],2, FALSE), 0)</f>
        <v>1</v>
      </c>
      <c r="AA6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133.82513664842264</v>
      </c>
      <c r="AB65" s="63">
        <f>(TIR_C/100 +1)^(TAB_JUROS_C[[#This Row],[DIAS_CORRIDOS]]/360)</f>
        <v>1.0865835539726241</v>
      </c>
      <c r="AC65" s="78">
        <f>IF(TAB_JUROS_C[[#This Row],[DIAS_CORRIDOS]]&lt;0, 0, TAB_JUROS_C[[#This Row],[V_FUT_C_JURS]]/TAB_JUROS_C[[#This Row],[VAR_DESCAP_C]])</f>
        <v>123.16138612548363</v>
      </c>
      <c r="AD65" s="78">
        <f>TAB_JUROS_U[[#This Row],[V_FUT_U_JURS CENARIO]]</f>
        <v>80.829066067807901</v>
      </c>
      <c r="AE65" s="124">
        <f>IF(TAB_JUROS_C[[#This Row],[DIAS_CORRIDOS]]&lt;0, 0, TAB_JUROS_C[[#This Row],[V_FUT_UTEIS]]/TAB_JUROS_C[[#This Row],[VAR_DESCAP_C]])</f>
        <v>74.388265653654784</v>
      </c>
      <c r="AF65" s="64"/>
    </row>
    <row r="66" spans="1:32">
      <c r="A66" s="82">
        <f t="shared" si="1"/>
        <v>42</v>
      </c>
      <c r="B66" s="24">
        <f>VLOOKUP($A66, CAD_JUROS[#Data], MATCH(B$24, CAD_JUROS[#Headers],0), FALSE)</f>
        <v>2</v>
      </c>
      <c r="C66" s="24" t="str">
        <f>VLOOKUP($A66, CAD_JUROS[#Data], MATCH(C$24, CAD_JUROS[#Headers],0), FALSE)</f>
        <v xml:space="preserve">JUROS SOBRE PRINCIPAL                             </v>
      </c>
      <c r="D66" s="36">
        <f>VLOOKUP($A66, CAD_JUROS[#Data], MATCH(D$24, CAD_JUROS[#Headers],0), FALSE)</f>
        <v>43626</v>
      </c>
      <c r="E66" s="48">
        <f>VLOOKUP($A66, CAD_JUROS[#Data], MATCH(E$24, CAD_JUROS[#Headers],0), FALSE)</f>
        <v>0</v>
      </c>
      <c r="F66" s="36">
        <f>VLOOKUP($A66, CAD_JUROS[#Data], MATCH(F$24, CAD_JUROS[#Headers],0), FALSE)</f>
        <v>43630</v>
      </c>
      <c r="G66" s="47">
        <f>WORKDAY(WORKDAY(TAB_JUROS_U[[#This Row],[DT_EVE]], -1, TAB_FERIADOS[FER_DATA]), 1, TAB_FERIADOS[FER_DATA])</f>
        <v>43626</v>
      </c>
      <c r="H66" s="75">
        <f>WORKDAY(WORKDAY(TAB_JUROS_U[[#This Row],[DT_LQDC_EVE]], -1, TAB_FERIADOS[FER_DATA]), 1, TAB_FERIADOS[FER_DATA])</f>
        <v>43630</v>
      </c>
      <c r="I66" s="48">
        <f>PU_EMISSAO - SUMIF(TAB_AMORTIZACAO_U[DT_EVE], "&lt;" &amp; TAB_JUROS_U[[#This Row],[DT_EVE]], TAB_AMORTIZACAO_U[V_PU_AMTC])</f>
        <v>64170.355506</v>
      </c>
      <c r="J66" s="48">
        <f>IFERROR(VLOOKUP(TAB_JUROS_U[[#This Row],[DT_EVE]], TAB_AMORTIZACAO_U[[DT_EVE]:[V_PU_AMTC]], 2, FALSE), 0)</f>
        <v>781.59492999999998</v>
      </c>
      <c r="K66" s="48">
        <f>NETWORKDAYS(DT_CALCULO_U, TAB_JUROS_U[[#This Row],[dt_eve_u]], TAB_FERIADOS[FER_DATA]) -1</f>
        <v>863</v>
      </c>
      <c r="L66" s="48">
        <f>NETWORKDAYS(DT_CALCULO_U, TAB_JUROS_U[[#This Row],[dt_lqdc_eve_u]], TAB_FERIADOS[FER_DATA]) -1</f>
        <v>867</v>
      </c>
      <c r="M66" s="48">
        <f>NETWORKDAYS(IF(ISTEXT(H65), DT_B_JURS, H65), TAB_JUROS_U[[#This Row],[dt_lqdc_eve_u]],  TAB_FERIADOS[FER_DATA]) -1</f>
        <v>22</v>
      </c>
      <c r="N66" s="123">
        <f>(TX_EMISSAO/100 +1)^(TAB_JUROS_U[[#This Row],[dias_periodo_u]]/252)</f>
        <v>1.0021580294747356</v>
      </c>
      <c r="O66" s="78">
        <f>(TIR_U/100 +1)^(TAB_JUROS_U[[#This Row],[Q_DIAS_U_PARC_TIR]]/252)</f>
        <v>1.088677324287137</v>
      </c>
      <c r="P66" s="116" t="str">
        <f>"TX_CENARIO" &amp; TEXT(DT_CALCULO_C, "-AAAAMMDD") &amp; TEXT(TAB_JUROS_U[[#This Row],[DT_EVE]], "-AAAAMMDD")</f>
        <v>TX_CENARIO-20151228-20190610</v>
      </c>
      <c r="Q66" s="44">
        <f>IFERROR(VLOOKUP(TAB_JUROS_U[[#This Row],[Chave-CENARIO]],CENARIO[],2,FALSE), 0)</f>
        <v>16.671600000000002</v>
      </c>
      <c r="R66" s="116" t="str">
        <f>"CORRECAO_JURS_U" &amp; TEXT(DT_CALCULO_C, "-AAAAMMDD") &amp; TEXT(TAB_JUROS_U[[#This Row],[DT_EVE]], "-AAAAMMDD")</f>
        <v>CORRECAO_JURS_U-20151228-20190610</v>
      </c>
      <c r="S66" s="44">
        <f>IFERROR(VLOOKUP(TAB_JUROS_U[[#This Row],[Chave-CORC]],CORRECAO_JURS_U[],2, FALSE), 0)</f>
        <v>1.0134461800000001</v>
      </c>
      <c r="T66" s="78">
        <f>MAX(0, (TAB_JUROS_U[[#This Row],[CUPOM_TIR]] -1) * IF(TAB_JUROS_U[[#This Row],[ID_T_EVE]]=1, TAB_JUROS_U[[#This Row],[PU_AMORT]], TAB_JUROS_U[[#This Row],[V_NOML_PCPL]]) * TAB_JUROS_U[[#This Row],[CORRECAO_U]])</f>
        <v>140.34356601179638</v>
      </c>
      <c r="U66" s="78">
        <f>MAX(0, TAB_JUROS_U[[#This Row],[V_FUT_U_JURS-01]]/((((TAB_JUROS_U[[#This Row],[TX_CENARIO]]/100 +1)^(1/252) -1) * PC_IDXR/100 +1)^TAB_JUROS_U[[#This Row],[Q_DIAS_U_PARC_TIR]]))</f>
        <v>82.565856515658808</v>
      </c>
      <c r="V66" s="78">
        <f>+TAB_JUROS_U[[#This Row],[V_FUT_U_JURS CENARIO]]/TAB_JUROS_U[[#This Row],[VAR_DESCAP_U]]</f>
        <v>75.840521956055909</v>
      </c>
      <c r="W66" s="78"/>
      <c r="X66" s="64">
        <f>TAB_JUROS_U[[#This Row],[dt_eve_u]]- DT_CALCULO_C</f>
        <v>1260</v>
      </c>
      <c r="Y66" s="48" t="str">
        <f>"CORRECAO_JURS_C" &amp; TEXT(DT_CALCULO_C, "-AAAAMMDD") &amp; TEXT(TAB_JUROS_U[[#This Row],[DT_EVE]], "-AAAAMMDD")</f>
        <v>CORRECAO_JURS_C-20151228-20190610</v>
      </c>
      <c r="Z66" s="44">
        <f>IFERROR(VLOOKUP(TAB_JUROS_C[[#This Row],[Chave-CORC]],CORRECAO_JURS_C[],2, FALSE), 0)</f>
        <v>1</v>
      </c>
      <c r="AA6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138.48151858621281</v>
      </c>
      <c r="AB66" s="63">
        <f>(TIR_C/100 +1)^(TAB_JUROS_C[[#This Row],[DIAS_CORRIDOS]]/360)</f>
        <v>1.0889373226391175</v>
      </c>
      <c r="AC66" s="78">
        <f>IF(TAB_JUROS_C[[#This Row],[DIAS_CORRIDOS]]&lt;0, 0, TAB_JUROS_C[[#This Row],[V_FUT_C_JURS]]/TAB_JUROS_C[[#This Row],[VAR_DESCAP_C]])</f>
        <v>127.17124825016829</v>
      </c>
      <c r="AD66" s="78">
        <f>TAB_JUROS_U[[#This Row],[V_FUT_U_JURS CENARIO]]</f>
        <v>82.565856515658808</v>
      </c>
      <c r="AE66" s="124">
        <f>IF(TAB_JUROS_C[[#This Row],[DIAS_CORRIDOS]]&lt;0, 0, TAB_JUROS_C[[#This Row],[V_FUT_UTEIS]]/TAB_JUROS_C[[#This Row],[VAR_DESCAP_C]])</f>
        <v>75.822414016956046</v>
      </c>
      <c r="AF66" s="64"/>
    </row>
    <row r="67" spans="1:32">
      <c r="A67" s="82">
        <f t="shared" si="1"/>
        <v>43</v>
      </c>
      <c r="B67" s="24">
        <f>VLOOKUP($A67, CAD_JUROS[#Data], MATCH(B$24, CAD_JUROS[#Headers],0), FALSE)</f>
        <v>2</v>
      </c>
      <c r="C67" s="24" t="str">
        <f>VLOOKUP($A67, CAD_JUROS[#Data], MATCH(C$24, CAD_JUROS[#Headers],0), FALSE)</f>
        <v xml:space="preserve">JUROS SOBRE PRINCIPAL                             </v>
      </c>
      <c r="D67" s="36">
        <f>VLOOKUP($A67, CAD_JUROS[#Data], MATCH(D$24, CAD_JUROS[#Headers],0), FALSE)</f>
        <v>43654</v>
      </c>
      <c r="E67" s="48">
        <f>VLOOKUP($A67, CAD_JUROS[#Data], MATCH(E$24, CAD_JUROS[#Headers],0), FALSE)</f>
        <v>0</v>
      </c>
      <c r="F67" s="36">
        <f>VLOOKUP($A67, CAD_JUROS[#Data], MATCH(F$24, CAD_JUROS[#Headers],0), FALSE)</f>
        <v>43658</v>
      </c>
      <c r="G67" s="47">
        <f>WORKDAY(WORKDAY(TAB_JUROS_U[[#This Row],[DT_EVE]], -1, TAB_FERIADOS[FER_DATA]), 1, TAB_FERIADOS[FER_DATA])</f>
        <v>43654</v>
      </c>
      <c r="H67" s="75">
        <f>WORKDAY(WORKDAY(TAB_JUROS_U[[#This Row],[DT_LQDC_EVE]], -1, TAB_FERIADOS[FER_DATA]), 1, TAB_FERIADOS[FER_DATA])</f>
        <v>43658</v>
      </c>
      <c r="I67" s="48">
        <f>PU_EMISSAO - SUMIF(TAB_AMORTIZACAO_U[DT_EVE], "&lt;" &amp; TAB_JUROS_U[[#This Row],[DT_EVE]], TAB_AMORTIZACAO_U[V_PU_AMTC])</f>
        <v>63388.760576000001</v>
      </c>
      <c r="J67" s="48">
        <f>IFERROR(VLOOKUP(TAB_JUROS_U[[#This Row],[DT_EVE]], TAB_AMORTIZACAO_U[[DT_EVE]:[V_PU_AMTC]], 2, FALSE), 0)</f>
        <v>791.78900799999997</v>
      </c>
      <c r="K67" s="48">
        <f>NETWORKDAYS(DT_CALCULO_U, TAB_JUROS_U[[#This Row],[dt_eve_u]], TAB_FERIADOS[FER_DATA]) -1</f>
        <v>882</v>
      </c>
      <c r="L67" s="48">
        <f>NETWORKDAYS(DT_CALCULO_U, TAB_JUROS_U[[#This Row],[dt_lqdc_eve_u]], TAB_FERIADOS[FER_DATA]) -1</f>
        <v>886</v>
      </c>
      <c r="M67" s="48">
        <f>NETWORKDAYS(IF(ISTEXT(H66), DT_B_JURS, H66), TAB_JUROS_U[[#This Row],[dt_lqdc_eve_u]],  TAB_FERIADOS[FER_DATA]) -1</f>
        <v>19</v>
      </c>
      <c r="N67" s="123">
        <f>(TX_EMISSAO/100 +1)^(TAB_JUROS_U[[#This Row],[dias_periodo_u]]/252)</f>
        <v>1.0018634787225431</v>
      </c>
      <c r="O67" s="78">
        <f>(TIR_U/100 +1)^(TAB_JUROS_U[[#This Row],[Q_DIAS_U_PARC_TIR]]/252)</f>
        <v>1.0907062700178594</v>
      </c>
      <c r="P67" s="116" t="str">
        <f>"TX_CENARIO" &amp; TEXT(DT_CALCULO_C, "-AAAAMMDD") &amp; TEXT(TAB_JUROS_U[[#This Row],[DT_EVE]], "-AAAAMMDD")</f>
        <v>TX_CENARIO-20151228-20190708</v>
      </c>
      <c r="Q67" s="44">
        <f>IFERROR(VLOOKUP(TAB_JUROS_U[[#This Row],[Chave-CENARIO]],CENARIO[],2,FALSE), 0)</f>
        <v>16.667400000000001</v>
      </c>
      <c r="R67" s="116" t="str">
        <f>"CORRECAO_JURS_U" &amp; TEXT(DT_CALCULO_C, "-AAAAMMDD") &amp; TEXT(TAB_JUROS_U[[#This Row],[DT_EVE]], "-AAAAMMDD")</f>
        <v>CORRECAO_JURS_U-20151228-20190708</v>
      </c>
      <c r="S67" s="44">
        <f>IFERROR(VLOOKUP(TAB_JUROS_U[[#This Row],[Chave-CORC]],CORRECAO_JURS_U[],2, FALSE), 0)</f>
        <v>1.0115682800000001</v>
      </c>
      <c r="T67" s="78">
        <f>MAX(0, (TAB_JUROS_U[[#This Row],[CUPOM_TIR]] -1) * IF(TAB_JUROS_U[[#This Row],[ID_T_EVE]]=1, TAB_JUROS_U[[#This Row],[PU_AMORT]], TAB_JUROS_U[[#This Row],[V_NOML_PCPL]]) * TAB_JUROS_U[[#This Row],[CORRECAO_U]])</f>
        <v>119.49009353730317</v>
      </c>
      <c r="U67" s="78">
        <f>MAX(0, TAB_JUROS_U[[#This Row],[V_FUT_U_JURS-01]]/((((TAB_JUROS_U[[#This Row],[TX_CENARIO]]/100 +1)^(1/252) -1) * PC_IDXR/100 +1)^TAB_JUROS_U[[#This Row],[Q_DIAS_U_PARC_TIR]]))</f>
        <v>69.493773135125352</v>
      </c>
      <c r="V67" s="78">
        <f>+TAB_JUROS_U[[#This Row],[V_FUT_U_JURS CENARIO]]/TAB_JUROS_U[[#This Row],[VAR_DESCAP_U]]</f>
        <v>63.714471114195987</v>
      </c>
      <c r="W67" s="78"/>
      <c r="X67" s="64">
        <f>TAB_JUROS_U[[#This Row],[dt_eve_u]]- DT_CALCULO_C</f>
        <v>1288</v>
      </c>
      <c r="Y67" s="48" t="str">
        <f>"CORRECAO_JURS_C" &amp; TEXT(DT_CALCULO_C, "-AAAAMMDD") &amp; TEXT(TAB_JUROS_U[[#This Row],[DT_EVE]], "-AAAAMMDD")</f>
        <v>CORRECAO_JURS_C-20151228-20190708</v>
      </c>
      <c r="Z67" s="44">
        <f>IFERROR(VLOOKUP(TAB_JUROS_C[[#This Row],[Chave-CORC]],CORRECAO_JURS_C[],2, FALSE), 0)</f>
        <v>1</v>
      </c>
      <c r="AA6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118.12360658175557</v>
      </c>
      <c r="AB67" s="63">
        <f>(TIR_C/100 +1)^(TAB_JUROS_C[[#This Row],[DIAS_CORRIDOS]]/360)</f>
        <v>1.0910010524201987</v>
      </c>
      <c r="AC67" s="78">
        <f>IF(TAB_JUROS_C[[#This Row],[DIAS_CORRIDOS]]&lt;0, 0, TAB_JUROS_C[[#This Row],[V_FUT_C_JURS]]/TAB_JUROS_C[[#This Row],[VAR_DESCAP_C]])</f>
        <v>108.27084567857987</v>
      </c>
      <c r="AD67" s="78">
        <f>TAB_JUROS_U[[#This Row],[V_FUT_U_JURS CENARIO]]</f>
        <v>69.493773135125352</v>
      </c>
      <c r="AE67" s="124">
        <f>IF(TAB_JUROS_C[[#This Row],[DIAS_CORRIDOS]]&lt;0, 0, TAB_JUROS_C[[#This Row],[V_FUT_UTEIS]]/TAB_JUROS_C[[#This Row],[VAR_DESCAP_C]])</f>
        <v>63.697255819291222</v>
      </c>
      <c r="AF67" s="64"/>
    </row>
    <row r="68" spans="1:32">
      <c r="A68" s="82">
        <f t="shared" si="1"/>
        <v>44</v>
      </c>
      <c r="B68" s="24">
        <f>VLOOKUP($A68, CAD_JUROS[#Data], MATCH(B$24, CAD_JUROS[#Headers],0), FALSE)</f>
        <v>2</v>
      </c>
      <c r="C68" s="24" t="str">
        <f>VLOOKUP($A68, CAD_JUROS[#Data], MATCH(C$24, CAD_JUROS[#Headers],0), FALSE)</f>
        <v xml:space="preserve">JUROS SOBRE PRINCIPAL                             </v>
      </c>
      <c r="D68" s="36">
        <f>VLOOKUP($A68, CAD_JUROS[#Data], MATCH(D$24, CAD_JUROS[#Headers],0), FALSE)</f>
        <v>43685</v>
      </c>
      <c r="E68" s="48">
        <f>VLOOKUP($A68, CAD_JUROS[#Data], MATCH(E$24, CAD_JUROS[#Headers],0), FALSE)</f>
        <v>0</v>
      </c>
      <c r="F68" s="36">
        <f>VLOOKUP($A68, CAD_JUROS[#Data], MATCH(F$24, CAD_JUROS[#Headers],0), FALSE)</f>
        <v>43691</v>
      </c>
      <c r="G68" s="47">
        <f>WORKDAY(WORKDAY(TAB_JUROS_U[[#This Row],[DT_EVE]], -1, TAB_FERIADOS[FER_DATA]), 1, TAB_FERIADOS[FER_DATA])</f>
        <v>43685</v>
      </c>
      <c r="H68" s="75">
        <f>WORKDAY(WORKDAY(TAB_JUROS_U[[#This Row],[DT_LQDC_EVE]], -1, TAB_FERIADOS[FER_DATA]), 1, TAB_FERIADOS[FER_DATA])</f>
        <v>43691</v>
      </c>
      <c r="I68" s="48">
        <f>PU_EMISSAO - SUMIF(TAB_AMORTIZACAO_U[DT_EVE], "&lt;" &amp; TAB_JUROS_U[[#This Row],[DT_EVE]], TAB_AMORTIZACAO_U[V_PU_AMTC])</f>
        <v>62596.971568000001</v>
      </c>
      <c r="J68" s="48">
        <f>IFERROR(VLOOKUP(TAB_JUROS_U[[#This Row],[DT_EVE]], TAB_AMORTIZACAO_U[[DT_EVE]:[V_PU_AMTC]], 2, FALSE), 0)</f>
        <v>757.17296799999997</v>
      </c>
      <c r="K68" s="48">
        <f>NETWORKDAYS(DT_CALCULO_U, TAB_JUROS_U[[#This Row],[dt_eve_u]], TAB_FERIADOS[FER_DATA]) -1</f>
        <v>905</v>
      </c>
      <c r="L68" s="48">
        <f>NETWORKDAYS(DT_CALCULO_U, TAB_JUROS_U[[#This Row],[dt_lqdc_eve_u]], TAB_FERIADOS[FER_DATA]) -1</f>
        <v>909</v>
      </c>
      <c r="M68" s="48">
        <f>NETWORKDAYS(IF(ISTEXT(H67), DT_B_JURS, H67), TAB_JUROS_U[[#This Row],[dt_lqdc_eve_u]],  TAB_FERIADOS[FER_DATA]) -1</f>
        <v>23</v>
      </c>
      <c r="N68" s="123">
        <f>(TX_EMISSAO/100 +1)^(TAB_JUROS_U[[#This Row],[dias_periodo_u]]/252)</f>
        <v>1.0022562323017139</v>
      </c>
      <c r="O68" s="78">
        <f>(TIR_U/100 +1)^(TAB_JUROS_U[[#This Row],[Q_DIAS_U_PARC_TIR]]/252)</f>
        <v>1.0931674220768928</v>
      </c>
      <c r="P68" s="116" t="str">
        <f>"TX_CENARIO" &amp; TEXT(DT_CALCULO_C, "-AAAAMMDD") &amp; TEXT(TAB_JUROS_U[[#This Row],[DT_EVE]], "-AAAAMMDD")</f>
        <v>TX_CENARIO-20151228-20190808</v>
      </c>
      <c r="Q68" s="44">
        <f>IFERROR(VLOOKUP(TAB_JUROS_U[[#This Row],[Chave-CENARIO]],CENARIO[],2,FALSE), 0)</f>
        <v>16.653700000000001</v>
      </c>
      <c r="R68" s="116" t="str">
        <f>"CORRECAO_JURS_U" &amp; TEXT(DT_CALCULO_C, "-AAAAMMDD") &amp; TEXT(TAB_JUROS_U[[#This Row],[DT_EVE]], "-AAAAMMDD")</f>
        <v>CORRECAO_JURS_U-20151228-20190808</v>
      </c>
      <c r="S68" s="44">
        <f>IFERROR(VLOOKUP(TAB_JUROS_U[[#This Row],[Chave-CORC]],CORRECAO_JURS_U[],2, FALSE), 0)</f>
        <v>1.0139060799999999</v>
      </c>
      <c r="T68" s="78">
        <f>MAX(0, (TAB_JUROS_U[[#This Row],[CUPOM_TIR]] -1) * IF(TAB_JUROS_U[[#This Row],[ID_T_EVE]]=1, TAB_JUROS_U[[#This Row],[PU_AMORT]], TAB_JUROS_U[[#This Row],[V_NOML_PCPL]]) * TAB_JUROS_U[[#This Row],[CORRECAO_U]])</f>
        <v>143.19731093816094</v>
      </c>
      <c r="U68" s="78">
        <f>MAX(0, TAB_JUROS_U[[#This Row],[V_FUT_U_JURS-01]]/((((TAB_JUROS_U[[#This Row],[TX_CENARIO]]/100 +1)^(1/252) -1) * PC_IDXR/100 +1)^TAB_JUROS_U[[#This Row],[Q_DIAS_U_PARC_TIR]]))</f>
        <v>82.152796292589443</v>
      </c>
      <c r="V68" s="78">
        <f>+TAB_JUROS_U[[#This Row],[V_FUT_U_JURS CENARIO]]/TAB_JUROS_U[[#This Row],[VAR_DESCAP_U]]</f>
        <v>75.151156751916872</v>
      </c>
      <c r="W68" s="78"/>
      <c r="X68" s="64">
        <f>TAB_JUROS_U[[#This Row],[dt_eve_u]]- DT_CALCULO_C</f>
        <v>1319</v>
      </c>
      <c r="Y68" s="48" t="str">
        <f>"CORRECAO_JURS_C" &amp; TEXT(DT_CALCULO_C, "-AAAAMMDD") &amp; TEXT(TAB_JUROS_U[[#This Row],[DT_EVE]], "-AAAAMMDD")</f>
        <v>CORRECAO_JURS_C-20151228-20190808</v>
      </c>
      <c r="Z68" s="44">
        <f>IFERROR(VLOOKUP(TAB_JUROS_C[[#This Row],[Chave-CORC]],CORRECAO_JURS_C[],2, FALSE), 0)</f>
        <v>1</v>
      </c>
      <c r="AA6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141.23330924118824</v>
      </c>
      <c r="AB68" s="63">
        <f>(TIR_C/100 +1)^(TAB_JUROS_C[[#This Row],[DIAS_CORRIDOS]]/360)</f>
        <v>1.0932904585741541</v>
      </c>
      <c r="AC68" s="78">
        <f>IF(TAB_JUROS_C[[#This Row],[DIAS_CORRIDOS]]&lt;0, 0, TAB_JUROS_C[[#This Row],[V_FUT_C_JURS]]/TAB_JUROS_C[[#This Row],[VAR_DESCAP_C]])</f>
        <v>129.1818730636154</v>
      </c>
      <c r="AD68" s="78">
        <f>TAB_JUROS_U[[#This Row],[V_FUT_U_JURS CENARIO]]</f>
        <v>82.152796292589443</v>
      </c>
      <c r="AE68" s="124">
        <f>IF(TAB_JUROS_C[[#This Row],[DIAS_CORRIDOS]]&lt;0, 0, TAB_JUROS_C[[#This Row],[V_FUT_UTEIS]]/TAB_JUROS_C[[#This Row],[VAR_DESCAP_C]])</f>
        <v>75.142699406460892</v>
      </c>
      <c r="AF68" s="64"/>
    </row>
    <row r="69" spans="1:32">
      <c r="A69" s="82">
        <f t="shared" si="1"/>
        <v>45</v>
      </c>
      <c r="B69" s="24">
        <f>VLOOKUP($A69, CAD_JUROS[#Data], MATCH(B$24, CAD_JUROS[#Headers],0), FALSE)</f>
        <v>2</v>
      </c>
      <c r="C69" s="24" t="str">
        <f>VLOOKUP($A69, CAD_JUROS[#Data], MATCH(C$24, CAD_JUROS[#Headers],0), FALSE)</f>
        <v xml:space="preserve">JUROS SOBRE PRINCIPAL                             </v>
      </c>
      <c r="D69" s="36">
        <f>VLOOKUP($A69, CAD_JUROS[#Data], MATCH(D$24, CAD_JUROS[#Headers],0), FALSE)</f>
        <v>43717</v>
      </c>
      <c r="E69" s="48">
        <f>VLOOKUP($A69, CAD_JUROS[#Data], MATCH(E$24, CAD_JUROS[#Headers],0), FALSE)</f>
        <v>0</v>
      </c>
      <c r="F69" s="36">
        <f>VLOOKUP($A69, CAD_JUROS[#Data], MATCH(F$24, CAD_JUROS[#Headers],0), FALSE)</f>
        <v>43721</v>
      </c>
      <c r="G69" s="47">
        <f>WORKDAY(WORKDAY(TAB_JUROS_U[[#This Row],[DT_EVE]], -1, TAB_FERIADOS[FER_DATA]), 1, TAB_FERIADOS[FER_DATA])</f>
        <v>43717</v>
      </c>
      <c r="H69" s="75">
        <f>WORKDAY(WORKDAY(TAB_JUROS_U[[#This Row],[DT_LQDC_EVE]], -1, TAB_FERIADOS[FER_DATA]), 1, TAB_FERIADOS[FER_DATA])</f>
        <v>43721</v>
      </c>
      <c r="I69" s="48">
        <f>PU_EMISSAO - SUMIF(TAB_AMORTIZACAO_U[DT_EVE], "&lt;" &amp; TAB_JUROS_U[[#This Row],[DT_EVE]], TAB_AMORTIZACAO_U[V_PU_AMTC])</f>
        <v>61839.798600000002</v>
      </c>
      <c r="J69" s="48">
        <f>IFERROR(VLOOKUP(TAB_JUROS_U[[#This Row],[DT_EVE]], TAB_AMORTIZACAO_U[[DT_EVE]:[V_PU_AMTC]], 2, FALSE), 0)</f>
        <v>753.88898400000005</v>
      </c>
      <c r="K69" s="48">
        <f>NETWORKDAYS(DT_CALCULO_U, TAB_JUROS_U[[#This Row],[dt_eve_u]], TAB_FERIADOS[FER_DATA]) -1</f>
        <v>927</v>
      </c>
      <c r="L69" s="48">
        <f>NETWORKDAYS(DT_CALCULO_U, TAB_JUROS_U[[#This Row],[dt_lqdc_eve_u]], TAB_FERIADOS[FER_DATA]) -1</f>
        <v>931</v>
      </c>
      <c r="M69" s="48">
        <f>NETWORKDAYS(IF(ISTEXT(H68), DT_B_JURS, H68), TAB_JUROS_U[[#This Row],[dt_lqdc_eve_u]],  TAB_FERIADOS[FER_DATA]) -1</f>
        <v>22</v>
      </c>
      <c r="N69" s="123">
        <f>(TX_EMISSAO/100 +1)^(TAB_JUROS_U[[#This Row],[dias_periodo_u]]/252)</f>
        <v>1.0021580294747356</v>
      </c>
      <c r="O69" s="78">
        <f>(TIR_U/100 +1)^(TAB_JUROS_U[[#This Row],[Q_DIAS_U_PARC_TIR]]/252)</f>
        <v>1.0955267639467081</v>
      </c>
      <c r="P69" s="116" t="str">
        <f>"TX_CENARIO" &amp; TEXT(DT_CALCULO_C, "-AAAAMMDD") &amp; TEXT(TAB_JUROS_U[[#This Row],[DT_EVE]], "-AAAAMMDD")</f>
        <v>TX_CENARIO-20151228-20190909</v>
      </c>
      <c r="Q69" s="44">
        <f>IFERROR(VLOOKUP(TAB_JUROS_U[[#This Row],[Chave-CENARIO]],CENARIO[],2,FALSE), 0)</f>
        <v>16.641200000000001</v>
      </c>
      <c r="R69" s="116" t="str">
        <f>"CORRECAO_JURS_U" &amp; TEXT(DT_CALCULO_C, "-AAAAMMDD") &amp; TEXT(TAB_JUROS_U[[#This Row],[DT_EVE]], "-AAAAMMDD")</f>
        <v>CORRECAO_JURS_U-20151228-20190909</v>
      </c>
      <c r="S69" s="44">
        <f>IFERROR(VLOOKUP(TAB_JUROS_U[[#This Row],[Chave-CORC]],CORRECAO_JURS_U[],2, FALSE), 0)</f>
        <v>1.01329746</v>
      </c>
      <c r="T69" s="78">
        <f>MAX(0, (TAB_JUROS_U[[#This Row],[CUPOM_TIR]] -1) * IF(TAB_JUROS_U[[#This Row],[ID_T_EVE]]=1, TAB_JUROS_U[[#This Row],[PU_AMORT]], TAB_JUROS_U[[#This Row],[V_NOML_PCPL]]) * TAB_JUROS_U[[#This Row],[CORRECAO_U]])</f>
        <v>135.22668215976543</v>
      </c>
      <c r="U69" s="78">
        <f>MAX(0, TAB_JUROS_U[[#This Row],[V_FUT_U_JURS-01]]/((((TAB_JUROS_U[[#This Row],[TX_CENARIO]]/100 +1)^(1/252) -1) * PC_IDXR/100 +1)^TAB_JUROS_U[[#This Row],[Q_DIAS_U_PARC_TIR]]))</f>
        <v>76.574024015796724</v>
      </c>
      <c r="V69" s="78">
        <f>+TAB_JUROS_U[[#This Row],[V_FUT_U_JURS CENARIO]]/TAB_JUROS_U[[#This Row],[VAR_DESCAP_U]]</f>
        <v>69.896990685954307</v>
      </c>
      <c r="W69" s="78"/>
      <c r="X69" s="64">
        <f>TAB_JUROS_U[[#This Row],[dt_eve_u]]- DT_CALCULO_C</f>
        <v>1351</v>
      </c>
      <c r="Y69" s="48" t="str">
        <f>"CORRECAO_JURS_C" &amp; TEXT(DT_CALCULO_C, "-AAAAMMDD") &amp; TEXT(TAB_JUROS_U[[#This Row],[DT_EVE]], "-AAAAMMDD")</f>
        <v>CORRECAO_JURS_C-20151228-20190909</v>
      </c>
      <c r="Z69" s="44">
        <f>IFERROR(VLOOKUP(TAB_JUROS_C[[#This Row],[Chave-CORC]],CORRECAO_JURS_C[],2, FALSE), 0)</f>
        <v>1</v>
      </c>
      <c r="AA6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133.45210809051611</v>
      </c>
      <c r="AB69" s="63">
        <f>(TIR_C/100 +1)^(TAB_JUROS_C[[#This Row],[DIAS_CORRIDOS]]/360)</f>
        <v>1.0956587558075881</v>
      </c>
      <c r="AC69" s="78">
        <f>IF(TAB_JUROS_C[[#This Row],[DIAS_CORRIDOS]]&lt;0, 0, TAB_JUROS_C[[#This Row],[V_FUT_C_JURS]]/TAB_JUROS_C[[#This Row],[VAR_DESCAP_C]])</f>
        <v>121.80079553341518</v>
      </c>
      <c r="AD69" s="78">
        <f>TAB_JUROS_U[[#This Row],[V_FUT_U_JURS CENARIO]]</f>
        <v>76.574024015796724</v>
      </c>
      <c r="AE69" s="124">
        <f>IF(TAB_JUROS_C[[#This Row],[DIAS_CORRIDOS]]&lt;0, 0, TAB_JUROS_C[[#This Row],[V_FUT_UTEIS]]/TAB_JUROS_C[[#This Row],[VAR_DESCAP_C]])</f>
        <v>69.888570332608296</v>
      </c>
      <c r="AF69" s="64"/>
    </row>
    <row r="70" spans="1:32">
      <c r="A70" s="82">
        <f t="shared" si="1"/>
        <v>46</v>
      </c>
      <c r="B70" s="24">
        <f>VLOOKUP($A70, CAD_JUROS[#Data], MATCH(B$24, CAD_JUROS[#Headers],0), FALSE)</f>
        <v>2</v>
      </c>
      <c r="C70" s="24" t="str">
        <f>VLOOKUP($A70, CAD_JUROS[#Data], MATCH(C$24, CAD_JUROS[#Headers],0), FALSE)</f>
        <v xml:space="preserve">JUROS SOBRE PRINCIPAL                             </v>
      </c>
      <c r="D70" s="36">
        <f>VLOOKUP($A70, CAD_JUROS[#Data], MATCH(D$24, CAD_JUROS[#Headers],0), FALSE)</f>
        <v>43746</v>
      </c>
      <c r="E70" s="48">
        <f>VLOOKUP($A70, CAD_JUROS[#Data], MATCH(E$24, CAD_JUROS[#Headers],0), FALSE)</f>
        <v>0</v>
      </c>
      <c r="F70" s="36">
        <f>VLOOKUP($A70, CAD_JUROS[#Data], MATCH(F$24, CAD_JUROS[#Headers],0), FALSE)</f>
        <v>43752</v>
      </c>
      <c r="G70" s="47">
        <f>WORKDAY(WORKDAY(TAB_JUROS_U[[#This Row],[DT_EVE]], -1, TAB_FERIADOS[FER_DATA]), 1, TAB_FERIADOS[FER_DATA])</f>
        <v>43746</v>
      </c>
      <c r="H70" s="75">
        <f>WORKDAY(WORKDAY(TAB_JUROS_U[[#This Row],[DT_LQDC_EVE]], -1, TAB_FERIADOS[FER_DATA]), 1, TAB_FERIADOS[FER_DATA])</f>
        <v>43752</v>
      </c>
      <c r="I70" s="48">
        <f>PU_EMISSAO - SUMIF(TAB_AMORTIZACAO_U[DT_EVE], "&lt;" &amp; TAB_JUROS_U[[#This Row],[DT_EVE]], TAB_AMORTIZACAO_U[V_PU_AMTC])</f>
        <v>61085.909616000004</v>
      </c>
      <c r="J70" s="48">
        <f>IFERROR(VLOOKUP(TAB_JUROS_U[[#This Row],[DT_EVE]], TAB_AMORTIZACAO_U[[DT_EVE]:[V_PU_AMTC]], 2, FALSE), 0)</f>
        <v>750.92908599999998</v>
      </c>
      <c r="K70" s="48">
        <f>NETWORKDAYS(DT_CALCULO_U, TAB_JUROS_U[[#This Row],[dt_eve_u]], TAB_FERIADOS[FER_DATA]) -1</f>
        <v>948</v>
      </c>
      <c r="L70" s="48">
        <f>NETWORKDAYS(DT_CALCULO_U, TAB_JUROS_U[[#This Row],[dt_lqdc_eve_u]], TAB_FERIADOS[FER_DATA]) -1</f>
        <v>952</v>
      </c>
      <c r="M70" s="48">
        <f>NETWORKDAYS(IF(ISTEXT(H69), DT_B_JURS, H69), TAB_JUROS_U[[#This Row],[dt_lqdc_eve_u]],  TAB_FERIADOS[FER_DATA]) -1</f>
        <v>21</v>
      </c>
      <c r="N70" s="123">
        <f>(TX_EMISSAO/100 +1)^(TAB_JUROS_U[[#This Row],[dias_periodo_u]]/252)</f>
        <v>1.0020598362698427</v>
      </c>
      <c r="O70" s="78">
        <f>(TIR_U/100 +1)^(TAB_JUROS_U[[#This Row],[Q_DIAS_U_PARC_TIR]]/252)</f>
        <v>1.0977836130005245</v>
      </c>
      <c r="P70" s="116" t="str">
        <f>"TX_CENARIO" &amp; TEXT(DT_CALCULO_C, "-AAAAMMDD") &amp; TEXT(TAB_JUROS_U[[#This Row],[DT_EVE]], "-AAAAMMDD")</f>
        <v>TX_CENARIO-20151228-20191008</v>
      </c>
      <c r="Q70" s="44">
        <f>IFERROR(VLOOKUP(TAB_JUROS_U[[#This Row],[Chave-CENARIO]],CENARIO[],2,FALSE), 0)</f>
        <v>16.629899999999999</v>
      </c>
      <c r="R70" s="116" t="str">
        <f>"CORRECAO_JURS_U" &amp; TEXT(DT_CALCULO_C, "-AAAAMMDD") &amp; TEXT(TAB_JUROS_U[[#This Row],[DT_EVE]], "-AAAAMMDD")</f>
        <v>CORRECAO_JURS_U-20151228-20191008</v>
      </c>
      <c r="S70" s="44">
        <f>IFERROR(VLOOKUP(TAB_JUROS_U[[#This Row],[Chave-CORC]],CORRECAO_JURS_U[],2, FALSE), 0)</f>
        <v>1.01269078</v>
      </c>
      <c r="T70" s="78">
        <f>MAX(0, (TAB_JUROS_U[[#This Row],[CUPOM_TIR]] -1) * IF(TAB_JUROS_U[[#This Row],[ID_T_EVE]]=1, TAB_JUROS_U[[#This Row],[PU_AMORT]], TAB_JUROS_U[[#This Row],[V_NOML_PCPL]]) * TAB_JUROS_U[[#This Row],[CORRECAO_U]])</f>
        <v>127.42381462567138</v>
      </c>
      <c r="U70" s="78">
        <f>MAX(0, TAB_JUROS_U[[#This Row],[V_FUT_U_JURS-01]]/((((TAB_JUROS_U[[#This Row],[TX_CENARIO]]/100 +1)^(1/252) -1) * PC_IDXR/100 +1)^TAB_JUROS_U[[#This Row],[Q_DIAS_U_PARC_TIR]]))</f>
        <v>71.2619388767028</v>
      </c>
      <c r="V70" s="78">
        <f>+TAB_JUROS_U[[#This Row],[V_FUT_U_JURS CENARIO]]/TAB_JUROS_U[[#This Row],[VAR_DESCAP_U]]</f>
        <v>64.914376597338361</v>
      </c>
      <c r="W70" s="78"/>
      <c r="X70" s="64">
        <f>TAB_JUROS_U[[#This Row],[dt_eve_u]]- DT_CALCULO_C</f>
        <v>1380</v>
      </c>
      <c r="Y70" s="48" t="str">
        <f>"CORRECAO_JURS_C" &amp; TEXT(DT_CALCULO_C, "-AAAAMMDD") &amp; TEXT(TAB_JUROS_U[[#This Row],[DT_EVE]], "-AAAAMMDD")</f>
        <v>CORRECAO_JURS_C-20151228-20191008</v>
      </c>
      <c r="Z70" s="44">
        <f>IFERROR(VLOOKUP(TAB_JUROS_C[[#This Row],[Chave-CORC]],CORRECAO_JURS_C[],2, FALSE), 0)</f>
        <v>1</v>
      </c>
      <c r="AA7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125.82697220337226</v>
      </c>
      <c r="AB70" s="63">
        <f>(TIR_C/100 +1)^(TAB_JUROS_C[[#This Row],[DIAS_CORRIDOS]]/360)</f>
        <v>1.0978094562121705</v>
      </c>
      <c r="AC70" s="78">
        <f>IF(TAB_JUROS_C[[#This Row],[DIAS_CORRIDOS]]&lt;0, 0, TAB_JUROS_C[[#This Row],[V_FUT_C_JURS]]/TAB_JUROS_C[[#This Row],[VAR_DESCAP_C]])</f>
        <v>114.61640405022531</v>
      </c>
      <c r="AD70" s="78">
        <f>TAB_JUROS_U[[#This Row],[V_FUT_U_JURS CENARIO]]</f>
        <v>71.2619388767028</v>
      </c>
      <c r="AE70" s="124">
        <f>IF(TAB_JUROS_C[[#This Row],[DIAS_CORRIDOS]]&lt;0, 0, TAB_JUROS_C[[#This Row],[V_FUT_UTEIS]]/TAB_JUROS_C[[#This Row],[VAR_DESCAP_C]])</f>
        <v>64.912848466965841</v>
      </c>
      <c r="AF70" s="64"/>
    </row>
    <row r="71" spans="1:32">
      <c r="A71" s="82">
        <f t="shared" si="1"/>
        <v>47</v>
      </c>
      <c r="B71" s="24">
        <f>VLOOKUP($A71, CAD_JUROS[#Data], MATCH(B$24, CAD_JUROS[#Headers],0), FALSE)</f>
        <v>2</v>
      </c>
      <c r="C71" s="24" t="str">
        <f>VLOOKUP($A71, CAD_JUROS[#Data], MATCH(C$24, CAD_JUROS[#Headers],0), FALSE)</f>
        <v xml:space="preserve">JUROS SOBRE PRINCIPAL                             </v>
      </c>
      <c r="D71" s="36">
        <f>VLOOKUP($A71, CAD_JUROS[#Data], MATCH(D$24, CAD_JUROS[#Headers],0), FALSE)</f>
        <v>43777</v>
      </c>
      <c r="E71" s="48">
        <f>VLOOKUP($A71, CAD_JUROS[#Data], MATCH(E$24, CAD_JUROS[#Headers],0), FALSE)</f>
        <v>0</v>
      </c>
      <c r="F71" s="36">
        <f>VLOOKUP($A71, CAD_JUROS[#Data], MATCH(F$24, CAD_JUROS[#Headers],0), FALSE)</f>
        <v>43783</v>
      </c>
      <c r="G71" s="47">
        <f>WORKDAY(WORKDAY(TAB_JUROS_U[[#This Row],[DT_EVE]], -1, TAB_FERIADOS[FER_DATA]), 1, TAB_FERIADOS[FER_DATA])</f>
        <v>43777</v>
      </c>
      <c r="H71" s="75">
        <f>WORKDAY(WORKDAY(TAB_JUROS_U[[#This Row],[DT_LQDC_EVE]], -1, TAB_FERIADOS[FER_DATA]), 1, TAB_FERIADOS[FER_DATA])</f>
        <v>43783</v>
      </c>
      <c r="I71" s="48">
        <f>PU_EMISSAO - SUMIF(TAB_AMORTIZACAO_U[DT_EVE], "&lt;" &amp; TAB_JUROS_U[[#This Row],[DT_EVE]], TAB_AMORTIZACAO_U[V_PU_AMTC])</f>
        <v>60334.980530000008</v>
      </c>
      <c r="J71" s="48">
        <f>IFERROR(VLOOKUP(TAB_JUROS_U[[#This Row],[DT_EVE]], TAB_AMORTIZACAO_U[[DT_EVE]:[V_PU_AMTC]], 2, FALSE), 0)</f>
        <v>729.02756899999997</v>
      </c>
      <c r="K71" s="48">
        <f>NETWORKDAYS(DT_CALCULO_U, TAB_JUROS_U[[#This Row],[dt_eve_u]], TAB_FERIADOS[FER_DATA]) -1</f>
        <v>971</v>
      </c>
      <c r="L71" s="48">
        <f>NETWORKDAYS(DT_CALCULO_U, TAB_JUROS_U[[#This Row],[dt_lqdc_eve_u]], TAB_FERIADOS[FER_DATA]) -1</f>
        <v>975</v>
      </c>
      <c r="M71" s="48">
        <f>NETWORKDAYS(IF(ISTEXT(H70), DT_B_JURS, H70), TAB_JUROS_U[[#This Row],[dt_lqdc_eve_u]],  TAB_FERIADOS[FER_DATA]) -1</f>
        <v>23</v>
      </c>
      <c r="N71" s="123">
        <f>(TX_EMISSAO/100 +1)^(TAB_JUROS_U[[#This Row],[dias_periodo_u]]/252)</f>
        <v>1.0022562323017139</v>
      </c>
      <c r="O71" s="78">
        <f>(TIR_U/100 +1)^(TAB_JUROS_U[[#This Row],[Q_DIAS_U_PARC_TIR]]/252)</f>
        <v>1.1002607349111424</v>
      </c>
      <c r="P71" s="116" t="str">
        <f>"TX_CENARIO" &amp; TEXT(DT_CALCULO_C, "-AAAAMMDD") &amp; TEXT(TAB_JUROS_U[[#This Row],[DT_EVE]], "-AAAAMMDD")</f>
        <v>TX_CENARIO-20151228-20191108</v>
      </c>
      <c r="Q71" s="44">
        <f>IFERROR(VLOOKUP(TAB_JUROS_U[[#This Row],[Chave-CENARIO]],CENARIO[],2,FALSE), 0)</f>
        <v>16.617999999999999</v>
      </c>
      <c r="R71" s="116" t="str">
        <f>"CORRECAO_JURS_U" &amp; TEXT(DT_CALCULO_C, "-AAAAMMDD") &amp; TEXT(TAB_JUROS_U[[#This Row],[DT_EVE]], "-AAAAMMDD")</f>
        <v>CORRECAO_JURS_U-20151228-20191108</v>
      </c>
      <c r="S71" s="44">
        <f>IFERROR(VLOOKUP(TAB_JUROS_U[[#This Row],[Chave-CORC]],CORRECAO_JURS_U[],2, FALSE), 0)</f>
        <v>1.0139132799999999</v>
      </c>
      <c r="T71" s="78">
        <f>MAX(0, (TAB_JUROS_U[[#This Row],[CUPOM_TIR]] -1) * IF(TAB_JUROS_U[[#This Row],[ID_T_EVE]]=1, TAB_JUROS_U[[#This Row],[PU_AMORT]], TAB_JUROS_U[[#This Row],[V_NOML_PCPL]]) * TAB_JUROS_U[[#This Row],[CORRECAO_U]])</f>
        <v>138.02374307263759</v>
      </c>
      <c r="U71" s="78">
        <f>MAX(0, TAB_JUROS_U[[#This Row],[V_FUT_U_JURS-01]]/((((TAB_JUROS_U[[#This Row],[TX_CENARIO]]/100 +1)^(1/252) -1) * PC_IDXR/100 +1)^TAB_JUROS_U[[#This Row],[Q_DIAS_U_PARC_TIR]]))</f>
        <v>76.143801931813343</v>
      </c>
      <c r="V71" s="78">
        <f>+TAB_JUROS_U[[#This Row],[V_FUT_U_JURS CENARIO]]/TAB_JUROS_U[[#This Row],[VAR_DESCAP_U]]</f>
        <v>69.205234282910908</v>
      </c>
      <c r="W71" s="78"/>
      <c r="X71" s="64">
        <f>TAB_JUROS_U[[#This Row],[dt_eve_u]]- DT_CALCULO_C</f>
        <v>1411</v>
      </c>
      <c r="Y71" s="48" t="str">
        <f>"CORRECAO_JURS_C" &amp; TEXT(DT_CALCULO_C, "-AAAAMMDD") &amp; TEXT(TAB_JUROS_U[[#This Row],[DT_EVE]], "-AAAAMMDD")</f>
        <v>CORRECAO_JURS_C-20151228-20191108</v>
      </c>
      <c r="Z71" s="44">
        <f>IFERROR(VLOOKUP(TAB_JUROS_C[[#This Row],[Chave-CORC]],CORRECAO_JURS_C[],2, FALSE), 0)</f>
        <v>1</v>
      </c>
      <c r="AA7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136.1297319950653</v>
      </c>
      <c r="AB71" s="63">
        <f>(TIR_C/100 +1)^(TAB_JUROS_C[[#This Row],[DIAS_CORRIDOS]]/360)</f>
        <v>1.1001131494298326</v>
      </c>
      <c r="AC71" s="78">
        <f>IF(TAB_JUROS_C[[#This Row],[DIAS_CORRIDOS]]&lt;0, 0, TAB_JUROS_C[[#This Row],[V_FUT_C_JURS]]/TAB_JUROS_C[[#This Row],[VAR_DESCAP_C]])</f>
        <v>123.74157336962904</v>
      </c>
      <c r="AD71" s="78">
        <f>TAB_JUROS_U[[#This Row],[V_FUT_U_JURS CENARIO]]</f>
        <v>76.143801931813343</v>
      </c>
      <c r="AE71" s="124">
        <f>IF(TAB_JUROS_C[[#This Row],[DIAS_CORRIDOS]]&lt;0, 0, TAB_JUROS_C[[#This Row],[V_FUT_UTEIS]]/TAB_JUROS_C[[#This Row],[VAR_DESCAP_C]])</f>
        <v>69.214518498644622</v>
      </c>
      <c r="AF71" s="64"/>
    </row>
    <row r="72" spans="1:32">
      <c r="A72" s="82">
        <f t="shared" si="1"/>
        <v>48</v>
      </c>
      <c r="B72" s="24">
        <f>VLOOKUP($A72, CAD_JUROS[#Data], MATCH(B$24, CAD_JUROS[#Headers],0), FALSE)</f>
        <v>2</v>
      </c>
      <c r="C72" s="24" t="str">
        <f>VLOOKUP($A72, CAD_JUROS[#Data], MATCH(C$24, CAD_JUROS[#Headers],0), FALSE)</f>
        <v xml:space="preserve">JUROS SOBRE PRINCIPAL                             </v>
      </c>
      <c r="D72" s="36">
        <f>VLOOKUP($A72, CAD_JUROS[#Data], MATCH(D$24, CAD_JUROS[#Headers],0), FALSE)</f>
        <v>43808</v>
      </c>
      <c r="E72" s="48">
        <f>VLOOKUP($A72, CAD_JUROS[#Data], MATCH(E$24, CAD_JUROS[#Headers],0), FALSE)</f>
        <v>0</v>
      </c>
      <c r="F72" s="36">
        <f>VLOOKUP($A72, CAD_JUROS[#Data], MATCH(F$24, CAD_JUROS[#Headers],0), FALSE)</f>
        <v>43812</v>
      </c>
      <c r="G72" s="47">
        <f>WORKDAY(WORKDAY(TAB_JUROS_U[[#This Row],[DT_EVE]], -1, TAB_FERIADOS[FER_DATA]), 1, TAB_FERIADOS[FER_DATA])</f>
        <v>43808</v>
      </c>
      <c r="H72" s="75">
        <f>WORKDAY(WORKDAY(TAB_JUROS_U[[#This Row],[DT_LQDC_EVE]], -1, TAB_FERIADOS[FER_DATA]), 1, TAB_FERIADOS[FER_DATA])</f>
        <v>43812</v>
      </c>
      <c r="I72" s="48">
        <f>PU_EMISSAO - SUMIF(TAB_AMORTIZACAO_U[DT_EVE], "&lt;" &amp; TAB_JUROS_U[[#This Row],[DT_EVE]], TAB_AMORTIZACAO_U[V_PU_AMTC])</f>
        <v>59605.95296100001</v>
      </c>
      <c r="J72" s="48">
        <f>IFERROR(VLOOKUP(TAB_JUROS_U[[#This Row],[DT_EVE]], TAB_AMORTIZACAO_U[[DT_EVE]:[V_PU_AMTC]], 2, FALSE), 0)</f>
        <v>738.10051499999997</v>
      </c>
      <c r="K72" s="48">
        <f>NETWORKDAYS(DT_CALCULO_U, TAB_JUROS_U[[#This Row],[dt_eve_u]], TAB_FERIADOS[FER_DATA]) -1</f>
        <v>991</v>
      </c>
      <c r="L72" s="48">
        <f>NETWORKDAYS(DT_CALCULO_U, TAB_JUROS_U[[#This Row],[dt_lqdc_eve_u]], TAB_FERIADOS[FER_DATA]) -1</f>
        <v>995</v>
      </c>
      <c r="M72" s="48">
        <f>NETWORKDAYS(IF(ISTEXT(H71), DT_B_JURS, H71), TAB_JUROS_U[[#This Row],[dt_lqdc_eve_u]],  TAB_FERIADOS[FER_DATA]) -1</f>
        <v>20</v>
      </c>
      <c r="N72" s="123">
        <f>(TX_EMISSAO/100 +1)^(TAB_JUROS_U[[#This Row],[dias_periodo_u]]/252)</f>
        <v>1.0019616526860928</v>
      </c>
      <c r="O72" s="78">
        <f>(TIR_U/100 +1)^(TAB_JUROS_U[[#This Row],[Q_DIAS_U_PARC_TIR]]/252)</f>
        <v>1.1024192970211999</v>
      </c>
      <c r="P72" s="116" t="str">
        <f>"TX_CENARIO" &amp; TEXT(DT_CALCULO_C, "-AAAAMMDD") &amp; TEXT(TAB_JUROS_U[[#This Row],[DT_EVE]], "-AAAAMMDD")</f>
        <v>TX_CENARIO-20151228-20191209</v>
      </c>
      <c r="Q72" s="44">
        <f>IFERROR(VLOOKUP(TAB_JUROS_U[[#This Row],[Chave-CENARIO]],CENARIO[],2,FALSE), 0)</f>
        <v>16.6082</v>
      </c>
      <c r="R72" s="116" t="str">
        <f>"CORRECAO_JURS_U" &amp; TEXT(DT_CALCULO_C, "-AAAAMMDD") &amp; TEXT(TAB_JUROS_U[[#This Row],[DT_EVE]], "-AAAAMMDD")</f>
        <v>CORRECAO_JURS_U-20151228-20191209</v>
      </c>
      <c r="S72" s="44">
        <f>IFERROR(VLOOKUP(TAB_JUROS_U[[#This Row],[Chave-CORC]],CORRECAO_JURS_U[],2, FALSE), 0)</f>
        <v>1.0120875899999999</v>
      </c>
      <c r="T72" s="78">
        <f>MAX(0, (TAB_JUROS_U[[#This Row],[CUPOM_TIR]] -1) * IF(TAB_JUROS_U[[#This Row],[ID_T_EVE]]=1, TAB_JUROS_U[[#This Row],[PU_AMORT]], TAB_JUROS_U[[#This Row],[V_NOML_PCPL]]) * TAB_JUROS_U[[#This Row],[CORRECAO_U]])</f>
        <v>118.33953342977297</v>
      </c>
      <c r="U72" s="78">
        <f>MAX(0, TAB_JUROS_U[[#This Row],[V_FUT_U_JURS-01]]/((((TAB_JUROS_U[[#This Row],[TX_CENARIO]]/100 +1)^(1/252) -1) * PC_IDXR/100 +1)^TAB_JUROS_U[[#This Row],[Q_DIAS_U_PARC_TIR]]))</f>
        <v>64.514280843053712</v>
      </c>
      <c r="V72" s="78">
        <f>+TAB_JUROS_U[[#This Row],[V_FUT_U_JURS CENARIO]]/TAB_JUROS_U[[#This Row],[VAR_DESCAP_U]]</f>
        <v>58.52063821576327</v>
      </c>
      <c r="W72" s="78"/>
      <c r="X72" s="64">
        <f>TAB_JUROS_U[[#This Row],[dt_eve_u]]- DT_CALCULO_C</f>
        <v>1442</v>
      </c>
      <c r="Y72" s="48" t="str">
        <f>"CORRECAO_JURS_C" &amp; TEXT(DT_CALCULO_C, "-AAAAMMDD") &amp; TEXT(TAB_JUROS_U[[#This Row],[DT_EVE]], "-AAAAMMDD")</f>
        <v>CORRECAO_JURS_C-20151228-20191209</v>
      </c>
      <c r="Z72" s="44">
        <f>IFERROR(VLOOKUP(TAB_JUROS_C[[#This Row],[Chave-CORC]],CORRECAO_JURS_C[],2, FALSE), 0)</f>
        <v>1</v>
      </c>
      <c r="AA7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116.92617773306851</v>
      </c>
      <c r="AB72" s="63">
        <f>(TIR_C/100 +1)^(TAB_JUROS_C[[#This Row],[DIAS_CORRIDOS]]/360)</f>
        <v>1.1024216768219601</v>
      </c>
      <c r="AC72" s="78">
        <f>IF(TAB_JUROS_C[[#This Row],[DIAS_CORRIDOS]]&lt;0, 0, TAB_JUROS_C[[#This Row],[V_FUT_C_JURS]]/TAB_JUROS_C[[#This Row],[VAR_DESCAP_C]])</f>
        <v>106.06302487641665</v>
      </c>
      <c r="AD72" s="78">
        <f>TAB_JUROS_U[[#This Row],[V_FUT_U_JURS CENARIO]]</f>
        <v>64.514280843053712</v>
      </c>
      <c r="AE72" s="124">
        <f>IF(TAB_JUROS_C[[#This Row],[DIAS_CORRIDOS]]&lt;0, 0, TAB_JUROS_C[[#This Row],[V_FUT_UTEIS]]/TAB_JUROS_C[[#This Row],[VAR_DESCAP_C]])</f>
        <v>58.520511887097712</v>
      </c>
      <c r="AF72" s="64"/>
    </row>
    <row r="73" spans="1:32">
      <c r="A73" s="82">
        <f t="shared" si="1"/>
        <v>49</v>
      </c>
      <c r="B73" s="24">
        <f>VLOOKUP($A73, CAD_JUROS[#Data], MATCH(B$24, CAD_JUROS[#Headers],0), FALSE)</f>
        <v>2</v>
      </c>
      <c r="C73" s="24" t="str">
        <f>VLOOKUP($A73, CAD_JUROS[#Data], MATCH(C$24, CAD_JUROS[#Headers],0), FALSE)</f>
        <v xml:space="preserve">JUROS SOBRE PRINCIPAL                             </v>
      </c>
      <c r="D73" s="36">
        <f>VLOOKUP($A73, CAD_JUROS[#Data], MATCH(D$24, CAD_JUROS[#Headers],0), FALSE)</f>
        <v>43839</v>
      </c>
      <c r="E73" s="48">
        <f>VLOOKUP($A73, CAD_JUROS[#Data], MATCH(E$24, CAD_JUROS[#Headers],0), FALSE)</f>
        <v>0</v>
      </c>
      <c r="F73" s="36">
        <f>VLOOKUP($A73, CAD_JUROS[#Data], MATCH(F$24, CAD_JUROS[#Headers],0), FALSE)</f>
        <v>43845</v>
      </c>
      <c r="G73" s="47">
        <f>WORKDAY(WORKDAY(TAB_JUROS_U[[#This Row],[DT_EVE]], -1, TAB_FERIADOS[FER_DATA]), 1, TAB_FERIADOS[FER_DATA])</f>
        <v>43839</v>
      </c>
      <c r="H73" s="75">
        <f>WORKDAY(WORKDAY(TAB_JUROS_U[[#This Row],[DT_LQDC_EVE]], -1, TAB_FERIADOS[FER_DATA]), 1, TAB_FERIADOS[FER_DATA])</f>
        <v>43845</v>
      </c>
      <c r="I73" s="48">
        <f>PU_EMISSAO - SUMIF(TAB_AMORTIZACAO_U[DT_EVE], "&lt;" &amp; TAB_JUROS_U[[#This Row],[DT_EVE]], TAB_AMORTIZACAO_U[V_PU_AMTC])</f>
        <v>58867.852446000012</v>
      </c>
      <c r="J73" s="48">
        <f>IFERROR(VLOOKUP(TAB_JUROS_U[[#This Row],[DT_EVE]], TAB_AMORTIZACAO_U[[DT_EVE]:[V_PU_AMTC]], 2, FALSE), 0)</f>
        <v>782.11828700000001</v>
      </c>
      <c r="K73" s="48">
        <f>NETWORKDAYS(DT_CALCULO_U, TAB_JUROS_U[[#This Row],[dt_eve_u]], TAB_FERIADOS[FER_DATA]) -1</f>
        <v>1012</v>
      </c>
      <c r="L73" s="48">
        <f>NETWORKDAYS(DT_CALCULO_U, TAB_JUROS_U[[#This Row],[dt_lqdc_eve_u]], TAB_FERIADOS[FER_DATA]) -1</f>
        <v>1016</v>
      </c>
      <c r="M73" s="48">
        <f>NETWORKDAYS(IF(ISTEXT(H72), DT_B_JURS, H72), TAB_JUROS_U[[#This Row],[dt_lqdc_eve_u]],  TAB_FERIADOS[FER_DATA]) -1</f>
        <v>21</v>
      </c>
      <c r="N73" s="123">
        <f>(TX_EMISSAO/100 +1)^(TAB_JUROS_U[[#This Row],[dias_periodo_u]]/252)</f>
        <v>1.0020598362698427</v>
      </c>
      <c r="O73" s="78">
        <f>(TIR_U/100 +1)^(TAB_JUROS_U[[#This Row],[Q_DIAS_U_PARC_TIR]]/252)</f>
        <v>1.1046903450953045</v>
      </c>
      <c r="P73" s="116" t="str">
        <f>"TX_CENARIO" &amp; TEXT(DT_CALCULO_C, "-AAAAMMDD") &amp; TEXT(TAB_JUROS_U[[#This Row],[DT_EVE]], "-AAAAMMDD")</f>
        <v>TX_CENARIO-20151228-20200109</v>
      </c>
      <c r="Q73" s="44">
        <f>IFERROR(VLOOKUP(TAB_JUROS_U[[#This Row],[Chave-CENARIO]],CENARIO[],2,FALSE), 0)</f>
        <v>16.5974</v>
      </c>
      <c r="R73" s="116" t="str">
        <f>"CORRECAO_JURS_U" &amp; TEXT(DT_CALCULO_C, "-AAAAMMDD") &amp; TEXT(TAB_JUROS_U[[#This Row],[DT_EVE]], "-AAAAMMDD")</f>
        <v>CORRECAO_JURS_U-20151228-20200109</v>
      </c>
      <c r="S73" s="44">
        <f>IFERROR(VLOOKUP(TAB_JUROS_U[[#This Row],[Chave-CORC]],CORRECAO_JURS_U[],2, FALSE), 0)</f>
        <v>1.0126463999999999</v>
      </c>
      <c r="T73" s="78">
        <f>MAX(0, (TAB_JUROS_U[[#This Row],[CUPOM_TIR]] -1) * IF(TAB_JUROS_U[[#This Row],[ID_T_EVE]]=1, TAB_JUROS_U[[#This Row],[PU_AMORT]], TAB_JUROS_U[[#This Row],[V_NOML_PCPL]]) * TAB_JUROS_U[[#This Row],[CORRECAO_U]])</f>
        <v>122.79161650731585</v>
      </c>
      <c r="U73" s="78">
        <f>MAX(0, TAB_JUROS_U[[#This Row],[V_FUT_U_JURS-01]]/((((TAB_JUROS_U[[#This Row],[TX_CENARIO]]/100 +1)^(1/252) -1) * PC_IDXR/100 +1)^TAB_JUROS_U[[#This Row],[Q_DIAS_U_PARC_TIR]]))</f>
        <v>66.114412788364589</v>
      </c>
      <c r="V73" s="78">
        <f>+TAB_JUROS_U[[#This Row],[V_FUT_U_JURS CENARIO]]/TAB_JUROS_U[[#This Row],[VAR_DESCAP_U]]</f>
        <v>59.848819247769136</v>
      </c>
      <c r="W73" s="78"/>
      <c r="X73" s="64">
        <f>TAB_JUROS_U[[#This Row],[dt_eve_u]]- DT_CALCULO_C</f>
        <v>1473</v>
      </c>
      <c r="Y73" s="48" t="str">
        <f>"CORRECAO_JURS_C" &amp; TEXT(DT_CALCULO_C, "-AAAAMMDD") &amp; TEXT(TAB_JUROS_U[[#This Row],[DT_EVE]], "-AAAAMMDD")</f>
        <v>CORRECAO_JURS_C-20151228-20200109</v>
      </c>
      <c r="Z73" s="44">
        <f>IFERROR(VLOOKUP(TAB_JUROS_C[[#This Row],[Chave-CORC]],CORRECAO_JURS_C[],2, FALSE), 0)</f>
        <v>1</v>
      </c>
      <c r="AA7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121.25813759602153</v>
      </c>
      <c r="AB73" s="63">
        <f>(TIR_C/100 +1)^(TAB_JUROS_C[[#This Row],[DIAS_CORRIDOS]]/360)</f>
        <v>1.1047350485328042</v>
      </c>
      <c r="AC73" s="78">
        <f>IF(TAB_JUROS_C[[#This Row],[DIAS_CORRIDOS]]&lt;0, 0, TAB_JUROS_C[[#This Row],[V_FUT_C_JURS]]/TAB_JUROS_C[[#This Row],[VAR_DESCAP_C]])</f>
        <v>109.76218936573447</v>
      </c>
      <c r="AD73" s="78">
        <f>TAB_JUROS_U[[#This Row],[V_FUT_U_JURS CENARIO]]</f>
        <v>66.114412788364589</v>
      </c>
      <c r="AE73" s="124">
        <f>IF(TAB_JUROS_C[[#This Row],[DIAS_CORRIDOS]]&lt;0, 0, TAB_JUROS_C[[#This Row],[V_FUT_UTEIS]]/TAB_JUROS_C[[#This Row],[VAR_DESCAP_C]])</f>
        <v>59.846397447216845</v>
      </c>
      <c r="AF73" s="64"/>
    </row>
    <row r="74" spans="1:32">
      <c r="A74" s="82">
        <f t="shared" si="1"/>
        <v>50</v>
      </c>
      <c r="B74" s="24">
        <f>VLOOKUP($A74, CAD_JUROS[#Data], MATCH(B$24, CAD_JUROS[#Headers],0), FALSE)</f>
        <v>2</v>
      </c>
      <c r="C74" s="24" t="str">
        <f>VLOOKUP($A74, CAD_JUROS[#Data], MATCH(C$24, CAD_JUROS[#Headers],0), FALSE)</f>
        <v xml:space="preserve">JUROS SOBRE PRINCIPAL                             </v>
      </c>
      <c r="D74" s="36">
        <f>VLOOKUP($A74, CAD_JUROS[#Data], MATCH(D$24, CAD_JUROS[#Headers],0), FALSE)</f>
        <v>43871</v>
      </c>
      <c r="E74" s="48">
        <f>VLOOKUP($A74, CAD_JUROS[#Data], MATCH(E$24, CAD_JUROS[#Headers],0), FALSE)</f>
        <v>0</v>
      </c>
      <c r="F74" s="36">
        <f>VLOOKUP($A74, CAD_JUROS[#Data], MATCH(F$24, CAD_JUROS[#Headers],0), FALSE)</f>
        <v>43875</v>
      </c>
      <c r="G74" s="47">
        <f>WORKDAY(WORKDAY(TAB_JUROS_U[[#This Row],[DT_EVE]], -1, TAB_FERIADOS[FER_DATA]), 1, TAB_FERIADOS[FER_DATA])</f>
        <v>43871</v>
      </c>
      <c r="H74" s="75">
        <f>WORKDAY(WORKDAY(TAB_JUROS_U[[#This Row],[DT_LQDC_EVE]], -1, TAB_FERIADOS[FER_DATA]), 1, TAB_FERIADOS[FER_DATA])</f>
        <v>43875</v>
      </c>
      <c r="I74" s="48">
        <f>PU_EMISSAO - SUMIF(TAB_AMORTIZACAO_U[DT_EVE], "&lt;" &amp; TAB_JUROS_U[[#This Row],[DT_EVE]], TAB_AMORTIZACAO_U[V_PU_AMTC])</f>
        <v>58085.734159000014</v>
      </c>
      <c r="J74" s="48">
        <f>IFERROR(VLOOKUP(TAB_JUROS_U[[#This Row],[DT_EVE]], TAB_AMORTIZACAO_U[[DT_EVE]:[V_PU_AMTC]], 2, FALSE), 0)</f>
        <v>766.96403299999997</v>
      </c>
      <c r="K74" s="48">
        <f>NETWORKDAYS(DT_CALCULO_U, TAB_JUROS_U[[#This Row],[dt_eve_u]], TAB_FERIADOS[FER_DATA]) -1</f>
        <v>1034</v>
      </c>
      <c r="L74" s="48">
        <f>NETWORKDAYS(DT_CALCULO_U, TAB_JUROS_U[[#This Row],[dt_lqdc_eve_u]], TAB_FERIADOS[FER_DATA]) -1</f>
        <v>1038</v>
      </c>
      <c r="M74" s="48">
        <f>NETWORKDAYS(IF(ISTEXT(H73), DT_B_JURS, H73), TAB_JUROS_U[[#This Row],[dt_lqdc_eve_u]],  TAB_FERIADOS[FER_DATA]) -1</f>
        <v>22</v>
      </c>
      <c r="N74" s="123">
        <f>(TX_EMISSAO/100 +1)^(TAB_JUROS_U[[#This Row],[dias_periodo_u]]/252)</f>
        <v>1.0021580294747356</v>
      </c>
      <c r="O74" s="78">
        <f>(TIR_U/100 +1)^(TAB_JUROS_U[[#This Row],[Q_DIAS_U_PARC_TIR]]/252)</f>
        <v>1.1070745564537186</v>
      </c>
      <c r="P74" s="116" t="str">
        <f>"TX_CENARIO" &amp; TEXT(DT_CALCULO_C, "-AAAAMMDD") &amp; TEXT(TAB_JUROS_U[[#This Row],[DT_EVE]], "-AAAAMMDD")</f>
        <v>TX_CENARIO-20151228-20200210</v>
      </c>
      <c r="Q74" s="44">
        <f>IFERROR(VLOOKUP(TAB_JUROS_U[[#This Row],[Chave-CENARIO]],CENARIO[],2,FALSE), 0)</f>
        <v>16.5854</v>
      </c>
      <c r="R74" s="116" t="str">
        <f>"CORRECAO_JURS_U" &amp; TEXT(DT_CALCULO_C, "-AAAAMMDD") &amp; TEXT(TAB_JUROS_U[[#This Row],[DT_EVE]], "-AAAAMMDD")</f>
        <v>CORRECAO_JURS_U-20151228-20200210</v>
      </c>
      <c r="S74" s="44">
        <f>IFERROR(VLOOKUP(TAB_JUROS_U[[#This Row],[Chave-CORC]],CORRECAO_JURS_U[],2, FALSE), 0)</f>
        <v>1.0130869499999999</v>
      </c>
      <c r="T74" s="78">
        <f>MAX(0, (TAB_JUROS_U[[#This Row],[CUPOM_TIR]] -1) * IF(TAB_JUROS_U[[#This Row],[ID_T_EVE]]=1, TAB_JUROS_U[[#This Row],[PU_AMORT]], TAB_JUROS_U[[#This Row],[V_NOML_PCPL]]) * TAB_JUROS_U[[#This Row],[CORRECAO_U]])</f>
        <v>126.99118506533775</v>
      </c>
      <c r="U74" s="78">
        <f>MAX(0, TAB_JUROS_U[[#This Row],[V_FUT_U_JURS-01]]/((((TAB_JUROS_U[[#This Row],[TX_CENARIO]]/100 +1)^(1/252) -1) * PC_IDXR/100 +1)^TAB_JUROS_U[[#This Row],[Q_DIAS_U_PARC_TIR]]))</f>
        <v>67.493675355544994</v>
      </c>
      <c r="V74" s="78">
        <f>+TAB_JUROS_U[[#This Row],[V_FUT_U_JURS CENARIO]]/TAB_JUROS_U[[#This Row],[VAR_DESCAP_U]]</f>
        <v>60.965790390619077</v>
      </c>
      <c r="W74" s="78"/>
      <c r="X74" s="64">
        <f>TAB_JUROS_U[[#This Row],[dt_eve_u]]- DT_CALCULO_C</f>
        <v>1505</v>
      </c>
      <c r="Y74" s="48" t="str">
        <f>"CORRECAO_JURS_C" &amp; TEXT(DT_CALCULO_C, "-AAAAMMDD") &amp; TEXT(TAB_JUROS_U[[#This Row],[DT_EVE]], "-AAAAMMDD")</f>
        <v>CORRECAO_JURS_C-20151228-20200210</v>
      </c>
      <c r="Z74" s="44">
        <f>IFERROR(VLOOKUP(TAB_JUROS_C[[#This Row],[Chave-CORC]],CORRECAO_JURS_C[],2, FALSE), 0)</f>
        <v>1</v>
      </c>
      <c r="AA7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125.35072637678114</v>
      </c>
      <c r="AB74" s="63">
        <f>(TIR_C/100 +1)^(TAB_JUROS_C[[#This Row],[DIAS_CORRIDOS]]/360)</f>
        <v>1.1071281371567823</v>
      </c>
      <c r="AC74" s="78">
        <f>IF(TAB_JUROS_C[[#This Row],[DIAS_CORRIDOS]]&lt;0, 0, TAB_JUROS_C[[#This Row],[V_FUT_C_JURS]]/TAB_JUROS_C[[#This Row],[VAR_DESCAP_C]])</f>
        <v>113.22151625438276</v>
      </c>
      <c r="AD74" s="78">
        <f>TAB_JUROS_U[[#This Row],[V_FUT_U_JURS CENARIO]]</f>
        <v>67.493675355544994</v>
      </c>
      <c r="AE74" s="124">
        <f>IF(TAB_JUROS_C[[#This Row],[DIAS_CORRIDOS]]&lt;0, 0, TAB_JUROS_C[[#This Row],[V_FUT_UTEIS]]/TAB_JUROS_C[[#This Row],[VAR_DESCAP_C]])</f>
        <v>60.962839883083113</v>
      </c>
      <c r="AF74" s="64"/>
    </row>
    <row r="75" spans="1:32">
      <c r="A75" s="82">
        <f t="shared" si="1"/>
        <v>51</v>
      </c>
      <c r="B75" s="24">
        <f>VLOOKUP($A75, CAD_JUROS[#Data], MATCH(B$24, CAD_JUROS[#Headers],0), FALSE)</f>
        <v>2</v>
      </c>
      <c r="C75" s="24" t="str">
        <f>VLOOKUP($A75, CAD_JUROS[#Data], MATCH(C$24, CAD_JUROS[#Headers],0), FALSE)</f>
        <v xml:space="preserve">JUROS SOBRE PRINCIPAL                             </v>
      </c>
      <c r="D75" s="36">
        <f>VLOOKUP($A75, CAD_JUROS[#Data], MATCH(D$24, CAD_JUROS[#Headers],0), FALSE)</f>
        <v>43899</v>
      </c>
      <c r="E75" s="48">
        <f>VLOOKUP($A75, CAD_JUROS[#Data], MATCH(E$24, CAD_JUROS[#Headers],0), FALSE)</f>
        <v>0</v>
      </c>
      <c r="F75" s="36">
        <f>VLOOKUP($A75, CAD_JUROS[#Data], MATCH(F$24, CAD_JUROS[#Headers],0), FALSE)</f>
        <v>43903</v>
      </c>
      <c r="G75" s="47">
        <f>WORKDAY(WORKDAY(TAB_JUROS_U[[#This Row],[DT_EVE]], -1, TAB_FERIADOS[FER_DATA]), 1, TAB_FERIADOS[FER_DATA])</f>
        <v>43899</v>
      </c>
      <c r="H75" s="75">
        <f>WORKDAY(WORKDAY(TAB_JUROS_U[[#This Row],[DT_LQDC_EVE]], -1, TAB_FERIADOS[FER_DATA]), 1, TAB_FERIADOS[FER_DATA])</f>
        <v>43903</v>
      </c>
      <c r="I75" s="48">
        <f>PU_EMISSAO - SUMIF(TAB_AMORTIZACAO_U[DT_EVE], "&lt;" &amp; TAB_JUROS_U[[#This Row],[DT_EVE]], TAB_AMORTIZACAO_U[V_PU_AMTC])</f>
        <v>57318.770126000018</v>
      </c>
      <c r="J75" s="48">
        <f>IFERROR(VLOOKUP(TAB_JUROS_U[[#This Row],[DT_EVE]], TAB_AMORTIZACAO_U[[DT_EVE]:[V_PU_AMTC]], 2, FALSE), 0)</f>
        <v>782.34389299999998</v>
      </c>
      <c r="K75" s="48">
        <f>NETWORKDAYS(DT_CALCULO_U, TAB_JUROS_U[[#This Row],[dt_eve_u]], TAB_FERIADOS[FER_DATA]) -1</f>
        <v>1052</v>
      </c>
      <c r="L75" s="48">
        <f>NETWORKDAYS(DT_CALCULO_U, TAB_JUROS_U[[#This Row],[dt_lqdc_eve_u]], TAB_FERIADOS[FER_DATA]) -1</f>
        <v>1056</v>
      </c>
      <c r="M75" s="48">
        <f>NETWORKDAYS(IF(ISTEXT(H74), DT_B_JURS, H74), TAB_JUROS_U[[#This Row],[dt_lqdc_eve_u]],  TAB_FERIADOS[FER_DATA]) -1</f>
        <v>18</v>
      </c>
      <c r="N75" s="123">
        <f>(TX_EMISSAO/100 +1)^(TAB_JUROS_U[[#This Row],[dias_periodo_u]]/252)</f>
        <v>1.0017653143782506</v>
      </c>
      <c r="O75" s="78">
        <f>(TIR_U/100 +1)^(TAB_JUROS_U[[#This Row],[Q_DIAS_U_PARC_TIR]]/252)</f>
        <v>1.1090291017572376</v>
      </c>
      <c r="P75" s="116" t="str">
        <f>"TX_CENARIO" &amp; TEXT(DT_CALCULO_C, "-AAAAMMDD") &amp; TEXT(TAB_JUROS_U[[#This Row],[DT_EVE]], "-AAAAMMDD")</f>
        <v>TX_CENARIO-20151228-20200309</v>
      </c>
      <c r="Q75" s="44">
        <f>IFERROR(VLOOKUP(TAB_JUROS_U[[#This Row],[Chave-CENARIO]],CENARIO[],2,FALSE), 0)</f>
        <v>16.575900000000001</v>
      </c>
      <c r="R75" s="116" t="str">
        <f>"CORRECAO_JURS_U" &amp; TEXT(DT_CALCULO_C, "-AAAAMMDD") &amp; TEXT(TAB_JUROS_U[[#This Row],[DT_EVE]], "-AAAAMMDD")</f>
        <v>CORRECAO_JURS_U-20151228-20200309</v>
      </c>
      <c r="S75" s="44">
        <f>IFERROR(VLOOKUP(TAB_JUROS_U[[#This Row],[Chave-CORC]],CORRECAO_JURS_U[],2, FALSE), 0)</f>
        <v>1.01069483</v>
      </c>
      <c r="T75" s="78">
        <f>MAX(0, (TAB_JUROS_U[[#This Row],[CUPOM_TIR]] -1) * IF(TAB_JUROS_U[[#This Row],[ID_T_EVE]]=1, TAB_JUROS_U[[#This Row],[PU_AMORT]], TAB_JUROS_U[[#This Row],[V_NOML_PCPL]]) * TAB_JUROS_U[[#This Row],[CORRECAO_U]])</f>
        <v>102.26781236206452</v>
      </c>
      <c r="U75" s="78">
        <f>MAX(0, TAB_JUROS_U[[#This Row],[V_FUT_U_JURS-01]]/((((TAB_JUROS_U[[#This Row],[TX_CENARIO]]/100 +1)^(1/252) -1) * PC_IDXR/100 +1)^TAB_JUROS_U[[#This Row],[Q_DIAS_U_PARC_TIR]]))</f>
        <v>53.779464285413646</v>
      </c>
      <c r="V75" s="78">
        <f>+TAB_JUROS_U[[#This Row],[V_FUT_U_JURS CENARIO]]/TAB_JUROS_U[[#This Row],[VAR_DESCAP_U]]</f>
        <v>48.492383292919008</v>
      </c>
      <c r="W75" s="78"/>
      <c r="X75" s="64">
        <f>TAB_JUROS_U[[#This Row],[dt_eve_u]]- DT_CALCULO_C</f>
        <v>1533</v>
      </c>
      <c r="Y75" s="48" t="str">
        <f>"CORRECAO_JURS_C" &amp; TEXT(DT_CALCULO_C, "-AAAAMMDD") &amp; TEXT(TAB_JUROS_U[[#This Row],[DT_EVE]], "-AAAAMMDD")</f>
        <v>CORRECAO_JURS_C-20151228-20200309</v>
      </c>
      <c r="Z75" s="44">
        <f>IFERROR(VLOOKUP(TAB_JUROS_C[[#This Row],[Chave-CORC]],CORRECAO_JURS_C[],2, FALSE), 0)</f>
        <v>1</v>
      </c>
      <c r="AA7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101.18564904706648</v>
      </c>
      <c r="AB75" s="63">
        <f>(TIR_C/100 +1)^(TAB_JUROS_C[[#This Row],[DIAS_CORRIDOS]]/360)</f>
        <v>1.1092263417647261</v>
      </c>
      <c r="AC75" s="78">
        <f>IF(TAB_JUROS_C[[#This Row],[DIAS_CORRIDOS]]&lt;0, 0, TAB_JUROS_C[[#This Row],[V_FUT_C_JURS]]/TAB_JUROS_C[[#This Row],[VAR_DESCAP_C]])</f>
        <v>91.22182302854884</v>
      </c>
      <c r="AD75" s="78">
        <f>TAB_JUROS_U[[#This Row],[V_FUT_U_JURS CENARIO]]</f>
        <v>53.779464285413646</v>
      </c>
      <c r="AE75" s="124">
        <f>IF(TAB_JUROS_C[[#This Row],[DIAS_CORRIDOS]]&lt;0, 0, TAB_JUROS_C[[#This Row],[V_FUT_UTEIS]]/TAB_JUROS_C[[#This Row],[VAR_DESCAP_C]])</f>
        <v>48.483760491887601</v>
      </c>
      <c r="AF75" s="64"/>
    </row>
    <row r="76" spans="1:32">
      <c r="A76" s="82">
        <f t="shared" si="1"/>
        <v>52</v>
      </c>
      <c r="B76" s="24">
        <f>VLOOKUP($A76, CAD_JUROS[#Data], MATCH(B$24, CAD_JUROS[#Headers],0), FALSE)</f>
        <v>2</v>
      </c>
      <c r="C76" s="24" t="str">
        <f>VLOOKUP($A76, CAD_JUROS[#Data], MATCH(C$24, CAD_JUROS[#Headers],0), FALSE)</f>
        <v xml:space="preserve">JUROS SOBRE PRINCIPAL                             </v>
      </c>
      <c r="D76" s="36">
        <f>VLOOKUP($A76, CAD_JUROS[#Data], MATCH(D$24, CAD_JUROS[#Headers],0), FALSE)</f>
        <v>43930</v>
      </c>
      <c r="E76" s="48">
        <f>VLOOKUP($A76, CAD_JUROS[#Data], MATCH(E$24, CAD_JUROS[#Headers],0), FALSE)</f>
        <v>0</v>
      </c>
      <c r="F76" s="36">
        <f>VLOOKUP($A76, CAD_JUROS[#Data], MATCH(F$24, CAD_JUROS[#Headers],0), FALSE)</f>
        <v>43936</v>
      </c>
      <c r="G76" s="47">
        <f>WORKDAY(WORKDAY(TAB_JUROS_U[[#This Row],[DT_EVE]], -1, TAB_FERIADOS[FER_DATA]), 1, TAB_FERIADOS[FER_DATA])</f>
        <v>43930</v>
      </c>
      <c r="H76" s="75">
        <f>WORKDAY(WORKDAY(TAB_JUROS_U[[#This Row],[DT_LQDC_EVE]], -1, TAB_FERIADOS[FER_DATA]), 1, TAB_FERIADOS[FER_DATA])</f>
        <v>43936</v>
      </c>
      <c r="I76" s="48">
        <f>PU_EMISSAO - SUMIF(TAB_AMORTIZACAO_U[DT_EVE], "&lt;" &amp; TAB_JUROS_U[[#This Row],[DT_EVE]], TAB_AMORTIZACAO_U[V_PU_AMTC])</f>
        <v>56536.42623300002</v>
      </c>
      <c r="J76" s="48">
        <f>IFERROR(VLOOKUP(TAB_JUROS_U[[#This Row],[DT_EVE]], TAB_AMORTIZACAO_U[[DT_EVE]:[V_PU_AMTC]], 2, FALSE), 0)</f>
        <v>750.74720300000001</v>
      </c>
      <c r="K76" s="48">
        <f>NETWORKDAYS(DT_CALCULO_U, TAB_JUROS_U[[#This Row],[dt_eve_u]], TAB_FERIADOS[FER_DATA]) -1</f>
        <v>1075</v>
      </c>
      <c r="L76" s="48">
        <f>NETWORKDAYS(DT_CALCULO_U, TAB_JUROS_U[[#This Row],[dt_lqdc_eve_u]], TAB_FERIADOS[FER_DATA]) -1</f>
        <v>1078</v>
      </c>
      <c r="M76" s="48">
        <f>NETWORKDAYS(IF(ISTEXT(H75), DT_B_JURS, H75), TAB_JUROS_U[[#This Row],[dt_lqdc_eve_u]],  TAB_FERIADOS[FER_DATA]) -1</f>
        <v>22</v>
      </c>
      <c r="N76" s="123">
        <f>(TX_EMISSAO/100 +1)^(TAB_JUROS_U[[#This Row],[dias_periodo_u]]/252)</f>
        <v>1.0021580294747356</v>
      </c>
      <c r="O76" s="78">
        <f>(TIR_U/100 +1)^(TAB_JUROS_U[[#This Row],[Q_DIAS_U_PARC_TIR]]/252)</f>
        <v>1.1114226772899296</v>
      </c>
      <c r="P76" s="116" t="str">
        <f>"TX_CENARIO" &amp; TEXT(DT_CALCULO_C, "-AAAAMMDD") &amp; TEXT(TAB_JUROS_U[[#This Row],[DT_EVE]], "-AAAAMMDD")</f>
        <v>TX_CENARIO-20151228-20200409</v>
      </c>
      <c r="Q76" s="44">
        <f>IFERROR(VLOOKUP(TAB_JUROS_U[[#This Row],[Chave-CENARIO]],CENARIO[],2,FALSE), 0)</f>
        <v>16.564800000000002</v>
      </c>
      <c r="R76" s="116" t="str">
        <f>"CORRECAO_JURS_U" &amp; TEXT(DT_CALCULO_C, "-AAAAMMDD") &amp; TEXT(TAB_JUROS_U[[#This Row],[DT_EVE]], "-AAAAMMDD")</f>
        <v>CORRECAO_JURS_U-20151228-20200409</v>
      </c>
      <c r="S76" s="44">
        <f>IFERROR(VLOOKUP(TAB_JUROS_U[[#This Row],[Chave-CORC]],CORRECAO_JURS_U[],2, FALSE), 0)</f>
        <v>1.0136860700000001</v>
      </c>
      <c r="T76" s="78">
        <f>MAX(0, (TAB_JUROS_U[[#This Row],[CUPOM_TIR]] -1) * IF(TAB_JUROS_U[[#This Row],[ID_T_EVE]]=1, TAB_JUROS_U[[#This Row],[PU_AMORT]], TAB_JUROS_U[[#This Row],[V_NOML_PCPL]]) * TAB_JUROS_U[[#This Row],[CORRECAO_U]])</f>
        <v>123.67707430233824</v>
      </c>
      <c r="U76" s="78">
        <f>MAX(0, TAB_JUROS_U[[#This Row],[V_FUT_U_JURS-01]]/((((TAB_JUROS_U[[#This Row],[TX_CENARIO]]/100 +1)^(1/252) -1) * PC_IDXR/100 +1)^TAB_JUROS_U[[#This Row],[Q_DIAS_U_PARC_TIR]]))</f>
        <v>64.199043978635288</v>
      </c>
      <c r="V76" s="78">
        <f>+TAB_JUROS_U[[#This Row],[V_FUT_U_JURS CENARIO]]/TAB_JUROS_U[[#This Row],[VAR_DESCAP_U]]</f>
        <v>57.76294229948315</v>
      </c>
      <c r="W76" s="78"/>
      <c r="X76" s="64">
        <f>TAB_JUROS_U[[#This Row],[dt_eve_u]]- DT_CALCULO_C</f>
        <v>1564</v>
      </c>
      <c r="Y76" s="48" t="str">
        <f>"CORRECAO_JURS_C" &amp; TEXT(DT_CALCULO_C, "-AAAAMMDD") &amp; TEXT(TAB_JUROS_U[[#This Row],[DT_EVE]], "-AAAAMMDD")</f>
        <v>CORRECAO_JURS_C-20151228-20200409</v>
      </c>
      <c r="Z76" s="44">
        <f>IFERROR(VLOOKUP(TAB_JUROS_C[[#This Row],[Chave-CORC]],CORRECAO_JURS_C[],2, FALSE), 0)</f>
        <v>1</v>
      </c>
      <c r="AA7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122.0072742070316</v>
      </c>
      <c r="AB76" s="63">
        <f>(TIR_C/100 +1)^(TAB_JUROS_C[[#This Row],[DIAS_CORRIDOS]]/360)</f>
        <v>1.1115539926935059</v>
      </c>
      <c r="AC76" s="78">
        <f>IF(TAB_JUROS_C[[#This Row],[DIAS_CORRIDOS]]&lt;0, 0, TAB_JUROS_C[[#This Row],[V_FUT_C_JURS]]/TAB_JUROS_C[[#This Row],[VAR_DESCAP_C]])</f>
        <v>109.76279605760298</v>
      </c>
      <c r="AD76" s="78">
        <f>TAB_JUROS_U[[#This Row],[V_FUT_U_JURS CENARIO]]</f>
        <v>64.199043978635288</v>
      </c>
      <c r="AE76" s="124">
        <f>IF(TAB_JUROS_C[[#This Row],[DIAS_CORRIDOS]]&lt;0, 0, TAB_JUROS_C[[#This Row],[V_FUT_UTEIS]]/TAB_JUROS_C[[#This Row],[VAR_DESCAP_C]])</f>
        <v>57.756118371784034</v>
      </c>
      <c r="AF76" s="64"/>
    </row>
    <row r="77" spans="1:32">
      <c r="A77" s="82">
        <f t="shared" si="1"/>
        <v>53</v>
      </c>
      <c r="B77" s="24">
        <f>VLOOKUP($A77, CAD_JUROS[#Data], MATCH(B$24, CAD_JUROS[#Headers],0), FALSE)</f>
        <v>2</v>
      </c>
      <c r="C77" s="24" t="str">
        <f>VLOOKUP($A77, CAD_JUROS[#Data], MATCH(C$24, CAD_JUROS[#Headers],0), FALSE)</f>
        <v xml:space="preserve">JUROS SOBRE PRINCIPAL                             </v>
      </c>
      <c r="D77" s="36">
        <f>VLOOKUP($A77, CAD_JUROS[#Data], MATCH(D$24, CAD_JUROS[#Headers],0), FALSE)</f>
        <v>43962</v>
      </c>
      <c r="E77" s="48">
        <f>VLOOKUP($A77, CAD_JUROS[#Data], MATCH(E$24, CAD_JUROS[#Headers],0), FALSE)</f>
        <v>0</v>
      </c>
      <c r="F77" s="36">
        <f>VLOOKUP($A77, CAD_JUROS[#Data], MATCH(F$24, CAD_JUROS[#Headers],0), FALSE)</f>
        <v>43966</v>
      </c>
      <c r="G77" s="47">
        <f>WORKDAY(WORKDAY(TAB_JUROS_U[[#This Row],[DT_EVE]], -1, TAB_FERIADOS[FER_DATA]), 1, TAB_FERIADOS[FER_DATA])</f>
        <v>43962</v>
      </c>
      <c r="H77" s="75">
        <f>WORKDAY(WORKDAY(TAB_JUROS_U[[#This Row],[DT_LQDC_EVE]], -1, TAB_FERIADOS[FER_DATA]), 1, TAB_FERIADOS[FER_DATA])</f>
        <v>43966</v>
      </c>
      <c r="I77" s="48">
        <f>PU_EMISSAO - SUMIF(TAB_AMORTIZACAO_U[DT_EVE], "&lt;" &amp; TAB_JUROS_U[[#This Row],[DT_EVE]], TAB_AMORTIZACAO_U[V_PU_AMTC])</f>
        <v>55785.679030000021</v>
      </c>
      <c r="J77" s="48">
        <f>IFERROR(VLOOKUP(TAB_JUROS_U[[#This Row],[DT_EVE]], TAB_AMORTIZACAO_U[[DT_EVE]:[V_PU_AMTC]], 2, FALSE), 0)</f>
        <v>753.77609500000005</v>
      </c>
      <c r="K77" s="48">
        <f>NETWORKDAYS(DT_CALCULO_U, TAB_JUROS_U[[#This Row],[dt_eve_u]], TAB_FERIADOS[FER_DATA]) -1</f>
        <v>1094</v>
      </c>
      <c r="L77" s="48">
        <f>NETWORKDAYS(DT_CALCULO_U, TAB_JUROS_U[[#This Row],[dt_lqdc_eve_u]], TAB_FERIADOS[FER_DATA]) -1</f>
        <v>1098</v>
      </c>
      <c r="M77" s="48">
        <f>NETWORKDAYS(IF(ISTEXT(H76), DT_B_JURS, H76), TAB_JUROS_U[[#This Row],[dt_lqdc_eve_u]],  TAB_FERIADOS[FER_DATA]) -1</f>
        <v>20</v>
      </c>
      <c r="N77" s="123">
        <f>(TX_EMISSAO/100 +1)^(TAB_JUROS_U[[#This Row],[dias_periodo_u]]/252)</f>
        <v>1.0019616526860928</v>
      </c>
      <c r="O77" s="78">
        <f>(TIR_U/100 +1)^(TAB_JUROS_U[[#This Row],[Q_DIAS_U_PARC_TIR]]/252)</f>
        <v>1.1136031376147728</v>
      </c>
      <c r="P77" s="116" t="str">
        <f>"TX_CENARIO" &amp; TEXT(DT_CALCULO_C, "-AAAAMMDD") &amp; TEXT(TAB_JUROS_U[[#This Row],[DT_EVE]], "-AAAAMMDD")</f>
        <v>TX_CENARIO-20151228-20200511</v>
      </c>
      <c r="Q77" s="44">
        <f>IFERROR(VLOOKUP(TAB_JUROS_U[[#This Row],[Chave-CENARIO]],CENARIO[],2,FALSE), 0)</f>
        <v>16.555</v>
      </c>
      <c r="R77" s="116" t="str">
        <f>"CORRECAO_JURS_U" &amp; TEXT(DT_CALCULO_C, "-AAAAMMDD") &amp; TEXT(TAB_JUROS_U[[#This Row],[DT_EVE]], "-AAAAMMDD")</f>
        <v>CORRECAO_JURS_U-20151228-20200511</v>
      </c>
      <c r="S77" s="44">
        <f>IFERROR(VLOOKUP(TAB_JUROS_U[[#This Row],[Chave-CORC]],CORRECAO_JURS_U[],2, FALSE), 0)</f>
        <v>1.01129297</v>
      </c>
      <c r="T77" s="78">
        <f>MAX(0, (TAB_JUROS_U[[#This Row],[CUPOM_TIR]] -1) * IF(TAB_JUROS_U[[#This Row],[ID_T_EVE]]=1, TAB_JUROS_U[[#This Row],[PU_AMORT]], TAB_JUROS_U[[#This Row],[V_NOML_PCPL]]) * TAB_JUROS_U[[#This Row],[CORRECAO_U]])</f>
        <v>110.6679408432546</v>
      </c>
      <c r="U77" s="78">
        <f>MAX(0, TAB_JUROS_U[[#This Row],[V_FUT_U_JURS-01]]/((((TAB_JUROS_U[[#This Row],[TX_CENARIO]]/100 +1)^(1/252) -1) * PC_IDXR/100 +1)^TAB_JUROS_U[[#This Row],[Q_DIAS_U_PARC_TIR]]))</f>
        <v>56.772387137069174</v>
      </c>
      <c r="V77" s="78">
        <f>+TAB_JUROS_U[[#This Row],[V_FUT_U_JURS CENARIO]]/TAB_JUROS_U[[#This Row],[VAR_DESCAP_U]]</f>
        <v>50.980807452347861</v>
      </c>
      <c r="W77" s="78"/>
      <c r="X77" s="64">
        <f>TAB_JUROS_U[[#This Row],[dt_eve_u]]- DT_CALCULO_C</f>
        <v>1596</v>
      </c>
      <c r="Y77" s="48" t="str">
        <f>"CORRECAO_JURS_C" &amp; TEXT(DT_CALCULO_C, "-AAAAMMDD") &amp; TEXT(TAB_JUROS_U[[#This Row],[DT_EVE]], "-AAAAMMDD")</f>
        <v>CORRECAO_JURS_C-20151228-20200511</v>
      </c>
      <c r="Z77" s="44">
        <f>IFERROR(VLOOKUP(TAB_JUROS_C[[#This Row],[Chave-CORC]],CORRECAO_JURS_C[],2, FALSE), 0)</f>
        <v>1</v>
      </c>
      <c r="AA7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109.43212711471197</v>
      </c>
      <c r="AB77" s="63">
        <f>(TIR_C/100 +1)^(TAB_JUROS_C[[#This Row],[DIAS_CORRIDOS]]/360)</f>
        <v>1.1139618525856902</v>
      </c>
      <c r="AC77" s="78">
        <f>IF(TAB_JUROS_C[[#This Row],[DIAS_CORRIDOS]]&lt;0, 0, TAB_JUROS_C[[#This Row],[V_FUT_C_JURS]]/TAB_JUROS_C[[#This Row],[VAR_DESCAP_C]])</f>
        <v>98.236871272298828</v>
      </c>
      <c r="AD77" s="78">
        <f>TAB_JUROS_U[[#This Row],[V_FUT_U_JURS CENARIO]]</f>
        <v>56.772387137069174</v>
      </c>
      <c r="AE77" s="124">
        <f>IF(TAB_JUROS_C[[#This Row],[DIAS_CORRIDOS]]&lt;0, 0, TAB_JUROS_C[[#This Row],[V_FUT_UTEIS]]/TAB_JUROS_C[[#This Row],[VAR_DESCAP_C]])</f>
        <v>50.964390751165354</v>
      </c>
      <c r="AF77" s="64"/>
    </row>
    <row r="78" spans="1:32">
      <c r="A78" s="82">
        <f t="shared" si="1"/>
        <v>54</v>
      </c>
      <c r="B78" s="24">
        <f>VLOOKUP($A78, CAD_JUROS[#Data], MATCH(B$24, CAD_JUROS[#Headers],0), FALSE)</f>
        <v>2</v>
      </c>
      <c r="C78" s="24" t="str">
        <f>VLOOKUP($A78, CAD_JUROS[#Data], MATCH(C$24, CAD_JUROS[#Headers],0), FALSE)</f>
        <v xml:space="preserve">JUROS SOBRE PRINCIPAL                             </v>
      </c>
      <c r="D78" s="36">
        <f>VLOOKUP($A78, CAD_JUROS[#Data], MATCH(D$24, CAD_JUROS[#Headers],0), FALSE)</f>
        <v>43991</v>
      </c>
      <c r="E78" s="48">
        <f>VLOOKUP($A78, CAD_JUROS[#Data], MATCH(E$24, CAD_JUROS[#Headers],0), FALSE)</f>
        <v>0</v>
      </c>
      <c r="F78" s="36">
        <f>VLOOKUP($A78, CAD_JUROS[#Data], MATCH(F$24, CAD_JUROS[#Headers],0), FALSE)</f>
        <v>43997</v>
      </c>
      <c r="G78" s="47">
        <f>WORKDAY(WORKDAY(TAB_JUROS_U[[#This Row],[DT_EVE]], -1, TAB_FERIADOS[FER_DATA]), 1, TAB_FERIADOS[FER_DATA])</f>
        <v>43991</v>
      </c>
      <c r="H78" s="75">
        <f>WORKDAY(WORKDAY(TAB_JUROS_U[[#This Row],[DT_LQDC_EVE]], -1, TAB_FERIADOS[FER_DATA]), 1, TAB_FERIADOS[FER_DATA])</f>
        <v>43997</v>
      </c>
      <c r="I78" s="48">
        <f>PU_EMISSAO - SUMIF(TAB_AMORTIZACAO_U[DT_EVE], "&lt;" &amp; TAB_JUROS_U[[#This Row],[DT_EVE]], TAB_AMORTIZACAO_U[V_PU_AMTC])</f>
        <v>55031.90293500002</v>
      </c>
      <c r="J78" s="48">
        <f>IFERROR(VLOOKUP(TAB_JUROS_U[[#This Row],[DT_EVE]], TAB_AMORTIZACAO_U[[DT_EVE]:[V_PU_AMTC]], 2, FALSE), 0)</f>
        <v>745.73731599999996</v>
      </c>
      <c r="K78" s="48">
        <f>NETWORKDAYS(DT_CALCULO_U, TAB_JUROS_U[[#This Row],[dt_eve_u]], TAB_FERIADOS[FER_DATA]) -1</f>
        <v>1115</v>
      </c>
      <c r="L78" s="48">
        <f>NETWORKDAYS(DT_CALCULO_U, TAB_JUROS_U[[#This Row],[dt_lqdc_eve_u]], TAB_FERIADOS[FER_DATA]) -1</f>
        <v>1118</v>
      </c>
      <c r="M78" s="48">
        <f>NETWORKDAYS(IF(ISTEXT(H77), DT_B_JURS, H77), TAB_JUROS_U[[#This Row],[dt_lqdc_eve_u]],  TAB_FERIADOS[FER_DATA]) -1</f>
        <v>20</v>
      </c>
      <c r="N78" s="123">
        <f>(TX_EMISSAO/100 +1)^(TAB_JUROS_U[[#This Row],[dias_periodo_u]]/252)</f>
        <v>1.0019616526860928</v>
      </c>
      <c r="O78" s="78">
        <f>(TIR_U/100 +1)^(TAB_JUROS_U[[#This Row],[Q_DIAS_U_PARC_TIR]]/252)</f>
        <v>1.1157878757065947</v>
      </c>
      <c r="P78" s="116" t="str">
        <f>"TX_CENARIO" &amp; TEXT(DT_CALCULO_C, "-AAAAMMDD") &amp; TEXT(TAB_JUROS_U[[#This Row],[DT_EVE]], "-AAAAMMDD")</f>
        <v>TX_CENARIO-20151228-20200609</v>
      </c>
      <c r="Q78" s="44">
        <f>IFERROR(VLOOKUP(TAB_JUROS_U[[#This Row],[Chave-CENARIO]],CENARIO[],2,FALSE), 0)</f>
        <v>16.5456</v>
      </c>
      <c r="R78" s="116" t="str">
        <f>"CORRECAO_JURS_U" &amp; TEXT(DT_CALCULO_C, "-AAAAMMDD") &amp; TEXT(TAB_JUROS_U[[#This Row],[DT_EVE]], "-AAAAMMDD")</f>
        <v>CORRECAO_JURS_U-20151228-20200609</v>
      </c>
      <c r="S78" s="44">
        <f>IFERROR(VLOOKUP(TAB_JUROS_U[[#This Row],[Chave-CORC]],CORRECAO_JURS_U[],2, FALSE), 0)</f>
        <v>1.0124891</v>
      </c>
      <c r="T78" s="78">
        <f>MAX(0, (TAB_JUROS_U[[#This Row],[CUPOM_TIR]] -1) * IF(TAB_JUROS_U[[#This Row],[ID_T_EVE]]=1, TAB_JUROS_U[[#This Row],[PU_AMORT]], TAB_JUROS_U[[#This Row],[V_NOML_PCPL]]) * TAB_JUROS_U[[#This Row],[CORRECAO_U]])</f>
        <v>109.30172202297386</v>
      </c>
      <c r="U78" s="78">
        <f>MAX(0, TAB_JUROS_U[[#This Row],[V_FUT_U_JURS-01]]/((((TAB_JUROS_U[[#This Row],[TX_CENARIO]]/100 +1)^(1/252) -1) * PC_IDXR/100 +1)^TAB_JUROS_U[[#This Row],[Q_DIAS_U_PARC_TIR]]))</f>
        <v>55.413744222751838</v>
      </c>
      <c r="V78" s="78">
        <f>+TAB_JUROS_U[[#This Row],[V_FUT_U_JURS CENARIO]]/TAB_JUROS_U[[#This Row],[VAR_DESCAP_U]]</f>
        <v>49.663332457040717</v>
      </c>
      <c r="W78" s="78"/>
      <c r="X78" s="64">
        <f>TAB_JUROS_U[[#This Row],[dt_eve_u]]- DT_CALCULO_C</f>
        <v>1625</v>
      </c>
      <c r="Y78" s="48" t="str">
        <f>"CORRECAO_JURS_C" &amp; TEXT(DT_CALCULO_C, "-AAAAMMDD") &amp; TEXT(TAB_JUROS_U[[#This Row],[DT_EVE]], "-AAAAMMDD")</f>
        <v>CORRECAO_JURS_C-20151228-20200609</v>
      </c>
      <c r="Z78" s="44">
        <f>IFERROR(VLOOKUP(TAB_JUROS_C[[#This Row],[Chave-CORC]],CORRECAO_JURS_C[],2, FALSE), 0)</f>
        <v>1</v>
      </c>
      <c r="AA7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107.95348021324266</v>
      </c>
      <c r="AB78" s="63">
        <f>(TIR_C/100 +1)^(TAB_JUROS_C[[#This Row],[DIAS_CORRIDOS]]/360)</f>
        <v>1.1161484806707089</v>
      </c>
      <c r="AC78" s="78">
        <f>IF(TAB_JUROS_C[[#This Row],[DIAS_CORRIDOS]]&lt;0, 0, TAB_JUROS_C[[#This Row],[V_FUT_C_JURS]]/TAB_JUROS_C[[#This Row],[VAR_DESCAP_C]])</f>
        <v>96.71964087463698</v>
      </c>
      <c r="AD78" s="78">
        <f>TAB_JUROS_U[[#This Row],[V_FUT_U_JURS CENARIO]]</f>
        <v>55.413744222751838</v>
      </c>
      <c r="AE78" s="124">
        <f>IF(TAB_JUROS_C[[#This Row],[DIAS_CORRIDOS]]&lt;0, 0, TAB_JUROS_C[[#This Row],[V_FUT_UTEIS]]/TAB_JUROS_C[[#This Row],[VAR_DESCAP_C]])</f>
        <v>49.647287240361571</v>
      </c>
      <c r="AF78" s="64"/>
    </row>
    <row r="79" spans="1:32">
      <c r="A79" s="82">
        <f t="shared" si="1"/>
        <v>55</v>
      </c>
      <c r="B79" s="24">
        <f>VLOOKUP($A79, CAD_JUROS[#Data], MATCH(B$24, CAD_JUROS[#Headers],0), FALSE)</f>
        <v>2</v>
      </c>
      <c r="C79" s="24" t="str">
        <f>VLOOKUP($A79, CAD_JUROS[#Data], MATCH(C$24, CAD_JUROS[#Headers],0), FALSE)</f>
        <v xml:space="preserve">JUROS SOBRE PRINCIPAL                             </v>
      </c>
      <c r="D79" s="36">
        <f>VLOOKUP($A79, CAD_JUROS[#Data], MATCH(D$24, CAD_JUROS[#Headers],0), FALSE)</f>
        <v>44020</v>
      </c>
      <c r="E79" s="48">
        <f>VLOOKUP($A79, CAD_JUROS[#Data], MATCH(E$24, CAD_JUROS[#Headers],0), FALSE)</f>
        <v>0</v>
      </c>
      <c r="F79" s="36">
        <f>VLOOKUP($A79, CAD_JUROS[#Data], MATCH(F$24, CAD_JUROS[#Headers],0), FALSE)</f>
        <v>44026</v>
      </c>
      <c r="G79" s="47">
        <f>WORKDAY(WORKDAY(TAB_JUROS_U[[#This Row],[DT_EVE]], -1, TAB_FERIADOS[FER_DATA]), 1, TAB_FERIADOS[FER_DATA])</f>
        <v>44020</v>
      </c>
      <c r="H79" s="75">
        <f>WORKDAY(WORKDAY(TAB_JUROS_U[[#This Row],[DT_LQDC_EVE]], -1, TAB_FERIADOS[FER_DATA]), 1, TAB_FERIADOS[FER_DATA])</f>
        <v>44026</v>
      </c>
      <c r="I79" s="48">
        <f>PU_EMISSAO - SUMIF(TAB_AMORTIZACAO_U[DT_EVE], "&lt;" &amp; TAB_JUROS_U[[#This Row],[DT_EVE]], TAB_AMORTIZACAO_U[V_PU_AMTC])</f>
        <v>54286.165619000021</v>
      </c>
      <c r="J79" s="48">
        <f>IFERROR(VLOOKUP(TAB_JUROS_U[[#This Row],[DT_EVE]], TAB_AMORTIZACAO_U[[DT_EVE]:[V_PU_AMTC]], 2, FALSE), 0)</f>
        <v>732.04894300000001</v>
      </c>
      <c r="K79" s="48">
        <f>NETWORKDAYS(DT_CALCULO_U, TAB_JUROS_U[[#This Row],[dt_eve_u]], TAB_FERIADOS[FER_DATA]) -1</f>
        <v>1135</v>
      </c>
      <c r="L79" s="48">
        <f>NETWORKDAYS(DT_CALCULO_U, TAB_JUROS_U[[#This Row],[dt_lqdc_eve_u]], TAB_FERIADOS[FER_DATA]) -1</f>
        <v>1139</v>
      </c>
      <c r="M79" s="48">
        <f>NETWORKDAYS(IF(ISTEXT(H78), DT_B_JURS, H78), TAB_JUROS_U[[#This Row],[dt_lqdc_eve_u]],  TAB_FERIADOS[FER_DATA]) -1</f>
        <v>21</v>
      </c>
      <c r="N79" s="123">
        <f>(TX_EMISSAO/100 +1)^(TAB_JUROS_U[[#This Row],[dias_periodo_u]]/252)</f>
        <v>1.0020598362698427</v>
      </c>
      <c r="O79" s="78">
        <f>(TIR_U/100 +1)^(TAB_JUROS_U[[#This Row],[Q_DIAS_U_PARC_TIR]]/252)</f>
        <v>1.1180864638328003</v>
      </c>
      <c r="P79" s="116" t="str">
        <f>"TX_CENARIO" &amp; TEXT(DT_CALCULO_C, "-AAAAMMDD") &amp; TEXT(TAB_JUROS_U[[#This Row],[DT_EVE]], "-AAAAMMDD")</f>
        <v>TX_CENARIO-20151228-20200708</v>
      </c>
      <c r="Q79" s="44">
        <f>IFERROR(VLOOKUP(TAB_JUROS_U[[#This Row],[Chave-CENARIO]],CENARIO[],2,FALSE), 0)</f>
        <v>16.536100000000001</v>
      </c>
      <c r="R79" s="116" t="str">
        <f>"CORRECAO_JURS_U" &amp; TEXT(DT_CALCULO_C, "-AAAAMMDD") &amp; TEXT(TAB_JUROS_U[[#This Row],[DT_EVE]], "-AAAAMMDD")</f>
        <v>CORRECAO_JURS_U-20151228-20200708</v>
      </c>
      <c r="S79" s="44">
        <f>IFERROR(VLOOKUP(TAB_JUROS_U[[#This Row],[Chave-CORC]],CORRECAO_JURS_U[],2, FALSE), 0)</f>
        <v>1.01188985</v>
      </c>
      <c r="T79" s="78">
        <f>MAX(0, (TAB_JUROS_U[[#This Row],[CUPOM_TIR]] -1) * IF(TAB_JUROS_U[[#This Row],[ID_T_EVE]]=1, TAB_JUROS_U[[#This Row],[PU_AMORT]], TAB_JUROS_U[[#This Row],[V_NOML_PCPL]]) * TAB_JUROS_U[[#This Row],[CORRECAO_U]])</f>
        <v>113.1501432069086</v>
      </c>
      <c r="U79" s="78">
        <f>MAX(0, TAB_JUROS_U[[#This Row],[V_FUT_U_JURS-01]]/((((TAB_JUROS_U[[#This Row],[TX_CENARIO]]/100 +1)^(1/252) -1) * PC_IDXR/100 +1)^TAB_JUROS_U[[#This Row],[Q_DIAS_U_PARC_TIR]]))</f>
        <v>56.658397652353081</v>
      </c>
      <c r="V79" s="78">
        <f>+TAB_JUROS_U[[#This Row],[V_FUT_U_JURS CENARIO]]/TAB_JUROS_U[[#This Row],[VAR_DESCAP_U]]</f>
        <v>50.674433047090204</v>
      </c>
      <c r="W79" s="78"/>
      <c r="X79" s="64">
        <f>TAB_JUROS_U[[#This Row],[dt_eve_u]]- DT_CALCULO_C</f>
        <v>1654</v>
      </c>
      <c r="Y79" s="48" t="str">
        <f>"CORRECAO_JURS_C" &amp; TEXT(DT_CALCULO_C, "-AAAAMMDD") &amp; TEXT(TAB_JUROS_U[[#This Row],[DT_EVE]], "-AAAAMMDD")</f>
        <v>CORRECAO_JURS_C-20151228-20200708</v>
      </c>
      <c r="Z79" s="44">
        <f>IFERROR(VLOOKUP(TAB_JUROS_C[[#This Row],[Chave-CORC]],CORRECAO_JURS_C[],2, FALSE), 0)</f>
        <v>1</v>
      </c>
      <c r="AA7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111.82061289270625</v>
      </c>
      <c r="AB79" s="63">
        <f>(TIR_C/100 +1)^(TAB_JUROS_C[[#This Row],[DIAS_CORRIDOS]]/360)</f>
        <v>1.1183394009515251</v>
      </c>
      <c r="AC79" s="78">
        <f>IF(TAB_JUROS_C[[#This Row],[DIAS_CORRIDOS]]&lt;0, 0, TAB_JUROS_C[[#This Row],[V_FUT_C_JURS]]/TAB_JUROS_C[[#This Row],[VAR_DESCAP_C]])</f>
        <v>99.988083043095045</v>
      </c>
      <c r="AD79" s="78">
        <f>TAB_JUROS_U[[#This Row],[V_FUT_U_JURS CENARIO]]</f>
        <v>56.658397652353081</v>
      </c>
      <c r="AE79" s="124">
        <f>IF(TAB_JUROS_C[[#This Row],[DIAS_CORRIDOS]]&lt;0, 0, TAB_JUROS_C[[#This Row],[V_FUT_UTEIS]]/TAB_JUROS_C[[#This Row],[VAR_DESCAP_C]])</f>
        <v>50.662971906512453</v>
      </c>
      <c r="AF79" s="64"/>
    </row>
    <row r="80" spans="1:32">
      <c r="A80" s="82">
        <f t="shared" si="1"/>
        <v>56</v>
      </c>
      <c r="B80" s="24">
        <f>VLOOKUP($A80, CAD_JUROS[#Data], MATCH(B$24, CAD_JUROS[#Headers],0), FALSE)</f>
        <v>2</v>
      </c>
      <c r="C80" s="24" t="str">
        <f>VLOOKUP($A80, CAD_JUROS[#Data], MATCH(C$24, CAD_JUROS[#Headers],0), FALSE)</f>
        <v xml:space="preserve">JUROS SOBRE PRINCIPAL                             </v>
      </c>
      <c r="D80" s="36">
        <f>VLOOKUP($A80, CAD_JUROS[#Data], MATCH(D$24, CAD_JUROS[#Headers],0), FALSE)</f>
        <v>44053</v>
      </c>
      <c r="E80" s="48">
        <f>VLOOKUP($A80, CAD_JUROS[#Data], MATCH(E$24, CAD_JUROS[#Headers],0), FALSE)</f>
        <v>0</v>
      </c>
      <c r="F80" s="36">
        <f>VLOOKUP($A80, CAD_JUROS[#Data], MATCH(F$24, CAD_JUROS[#Headers],0), FALSE)</f>
        <v>44057</v>
      </c>
      <c r="G80" s="47">
        <f>WORKDAY(WORKDAY(TAB_JUROS_U[[#This Row],[DT_EVE]], -1, TAB_FERIADOS[FER_DATA]), 1, TAB_FERIADOS[FER_DATA])</f>
        <v>44053</v>
      </c>
      <c r="H80" s="75">
        <f>WORKDAY(WORKDAY(TAB_JUROS_U[[#This Row],[DT_LQDC_EVE]], -1, TAB_FERIADOS[FER_DATA]), 1, TAB_FERIADOS[FER_DATA])</f>
        <v>44057</v>
      </c>
      <c r="I80" s="48">
        <f>PU_EMISSAO - SUMIF(TAB_AMORTIZACAO_U[DT_EVE], "&lt;" &amp; TAB_JUROS_U[[#This Row],[DT_EVE]], TAB_AMORTIZACAO_U[V_PU_AMTC])</f>
        <v>53554.11667600002</v>
      </c>
      <c r="J80" s="48">
        <f>IFERROR(VLOOKUP(TAB_JUROS_U[[#This Row],[DT_EVE]], TAB_AMORTIZACAO_U[[DT_EVE]:[V_PU_AMTC]], 2, FALSE), 0)</f>
        <v>712.37685999999997</v>
      </c>
      <c r="K80" s="48">
        <f>NETWORKDAYS(DT_CALCULO_U, TAB_JUROS_U[[#This Row],[dt_eve_u]], TAB_FERIADOS[FER_DATA]) -1</f>
        <v>1158</v>
      </c>
      <c r="L80" s="48">
        <f>NETWORKDAYS(DT_CALCULO_U, TAB_JUROS_U[[#This Row],[dt_lqdc_eve_u]], TAB_FERIADOS[FER_DATA]) -1</f>
        <v>1162</v>
      </c>
      <c r="M80" s="48">
        <f>NETWORKDAYS(IF(ISTEXT(H79), DT_B_JURS, H79), TAB_JUROS_U[[#This Row],[dt_lqdc_eve_u]],  TAB_FERIADOS[FER_DATA]) -1</f>
        <v>23</v>
      </c>
      <c r="N80" s="123">
        <f>(TX_EMISSAO/100 +1)^(TAB_JUROS_U[[#This Row],[dias_periodo_u]]/252)</f>
        <v>1.0022562323017139</v>
      </c>
      <c r="O80" s="78">
        <f>(TIR_U/100 +1)^(TAB_JUROS_U[[#This Row],[Q_DIAS_U_PARC_TIR]]/252)</f>
        <v>1.1206093986304471</v>
      </c>
      <c r="P80" s="116" t="str">
        <f>"TX_CENARIO" &amp; TEXT(DT_CALCULO_C, "-AAAAMMDD") &amp; TEXT(TAB_JUROS_U[[#This Row],[DT_EVE]], "-AAAAMMDD")</f>
        <v>TX_CENARIO-20151228-20200810</v>
      </c>
      <c r="Q80" s="44">
        <f>IFERROR(VLOOKUP(TAB_JUROS_U[[#This Row],[Chave-CENARIO]],CENARIO[],2,FALSE), 0)</f>
        <v>16.5259</v>
      </c>
      <c r="R80" s="116" t="str">
        <f>"CORRECAO_JURS_U" &amp; TEXT(DT_CALCULO_C, "-AAAAMMDD") &amp; TEXT(TAB_JUROS_U[[#This Row],[DT_EVE]], "-AAAAMMDD")</f>
        <v>CORRECAO_JURS_U-20151228-20200810</v>
      </c>
      <c r="S80" s="44">
        <f>IFERROR(VLOOKUP(TAB_JUROS_U[[#This Row],[Chave-CORC]],CORRECAO_JURS_U[],2, FALSE), 0)</f>
        <v>1.01368196</v>
      </c>
      <c r="T80" s="78">
        <f>MAX(0, (TAB_JUROS_U[[#This Row],[CUPOM_TIR]] -1) * IF(TAB_JUROS_U[[#This Row],[ID_T_EVE]]=1, TAB_JUROS_U[[#This Row],[PU_AMORT]], TAB_JUROS_U[[#This Row],[V_NOML_PCPL]]) * TAB_JUROS_U[[#This Row],[CORRECAO_U]])</f>
        <v>122.48372638412019</v>
      </c>
      <c r="U80" s="78">
        <f>MAX(0, TAB_JUROS_U[[#This Row],[V_FUT_U_JURS-01]]/((((TAB_JUROS_U[[#This Row],[TX_CENARIO]]/100 +1)^(1/252) -1) * PC_IDXR/100 +1)^TAB_JUROS_U[[#This Row],[Q_DIAS_U_PARC_TIR]]))</f>
        <v>60.505801733698711</v>
      </c>
      <c r="V80" s="78">
        <f>+TAB_JUROS_U[[#This Row],[V_FUT_U_JURS CENARIO]]/TAB_JUROS_U[[#This Row],[VAR_DESCAP_U]]</f>
        <v>53.993658992728321</v>
      </c>
      <c r="W80" s="78"/>
      <c r="X80" s="64">
        <f>TAB_JUROS_U[[#This Row],[dt_eve_u]]- DT_CALCULO_C</f>
        <v>1687</v>
      </c>
      <c r="Y80" s="48" t="str">
        <f>"CORRECAO_JURS_C" &amp; TEXT(DT_CALCULO_C, "-AAAAMMDD") &amp; TEXT(TAB_JUROS_U[[#This Row],[DT_EVE]], "-AAAAMMDD")</f>
        <v>CORRECAO_JURS_C-20151228-20200810</v>
      </c>
      <c r="Z80" s="44">
        <f>IFERROR(VLOOKUP(TAB_JUROS_C[[#This Row],[Chave-CORC]],CORRECAO_JURS_C[],2, FALSE), 0)</f>
        <v>1</v>
      </c>
      <c r="AA8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120.83052793414632</v>
      </c>
      <c r="AB80" s="63">
        <f>(TIR_C/100 +1)^(TAB_JUROS_C[[#This Row],[DIAS_CORRIDOS]]/360)</f>
        <v>1.1208377489194057</v>
      </c>
      <c r="AC80" s="78">
        <f>IF(TAB_JUROS_C[[#This Row],[DIAS_CORRIDOS]]&lt;0, 0, TAB_JUROS_C[[#This Row],[V_FUT_C_JURS]]/TAB_JUROS_C[[#This Row],[VAR_DESCAP_C]])</f>
        <v>107.80376379242978</v>
      </c>
      <c r="AD80" s="78">
        <f>TAB_JUROS_U[[#This Row],[V_FUT_U_JURS CENARIO]]</f>
        <v>60.505801733698711</v>
      </c>
      <c r="AE80" s="124">
        <f>IF(TAB_JUROS_C[[#This Row],[DIAS_CORRIDOS]]&lt;0, 0, TAB_JUROS_C[[#This Row],[V_FUT_UTEIS]]/TAB_JUROS_C[[#This Row],[VAR_DESCAP_C]])</f>
        <v>53.982658767544244</v>
      </c>
      <c r="AF80" s="64"/>
    </row>
    <row r="81" spans="1:32">
      <c r="A81" s="82">
        <f t="shared" si="1"/>
        <v>57</v>
      </c>
      <c r="B81" s="24">
        <f>VLOOKUP($A81, CAD_JUROS[#Data], MATCH(B$24, CAD_JUROS[#Headers],0), FALSE)</f>
        <v>2</v>
      </c>
      <c r="C81" s="24" t="str">
        <f>VLOOKUP($A81, CAD_JUROS[#Data], MATCH(C$24, CAD_JUROS[#Headers],0), FALSE)</f>
        <v xml:space="preserve">JUROS SOBRE PRINCIPAL                             </v>
      </c>
      <c r="D81" s="36">
        <f>VLOOKUP($A81, CAD_JUROS[#Data], MATCH(D$24, CAD_JUROS[#Headers],0), FALSE)</f>
        <v>44083</v>
      </c>
      <c r="E81" s="48">
        <f>VLOOKUP($A81, CAD_JUROS[#Data], MATCH(E$24, CAD_JUROS[#Headers],0), FALSE)</f>
        <v>0</v>
      </c>
      <c r="F81" s="36">
        <f>VLOOKUP($A81, CAD_JUROS[#Data], MATCH(F$24, CAD_JUROS[#Headers],0), FALSE)</f>
        <v>44089</v>
      </c>
      <c r="G81" s="47">
        <f>WORKDAY(WORKDAY(TAB_JUROS_U[[#This Row],[DT_EVE]], -1, TAB_FERIADOS[FER_DATA]), 1, TAB_FERIADOS[FER_DATA])</f>
        <v>44083</v>
      </c>
      <c r="H81" s="75">
        <f>WORKDAY(WORKDAY(TAB_JUROS_U[[#This Row],[DT_LQDC_EVE]], -1, TAB_FERIADOS[FER_DATA]), 1, TAB_FERIADOS[FER_DATA])</f>
        <v>44089</v>
      </c>
      <c r="I81" s="48">
        <f>PU_EMISSAO - SUMIF(TAB_AMORTIZACAO_U[DT_EVE], "&lt;" &amp; TAB_JUROS_U[[#This Row],[DT_EVE]], TAB_AMORTIZACAO_U[V_PU_AMTC])</f>
        <v>52841.739816000023</v>
      </c>
      <c r="J81" s="48">
        <f>IFERROR(VLOOKUP(TAB_JUROS_U[[#This Row],[DT_EVE]], TAB_AMORTIZACAO_U[[DT_EVE]:[V_PU_AMTC]], 2, FALSE), 0)</f>
        <v>714.68453099999999</v>
      </c>
      <c r="K81" s="48">
        <f>NETWORKDAYS(DT_CALCULO_U, TAB_JUROS_U[[#This Row],[dt_eve_u]], TAB_FERIADOS[FER_DATA]) -1</f>
        <v>1179</v>
      </c>
      <c r="L81" s="48">
        <f>NETWORKDAYS(DT_CALCULO_U, TAB_JUROS_U[[#This Row],[dt_lqdc_eve_u]], TAB_FERIADOS[FER_DATA]) -1</f>
        <v>1183</v>
      </c>
      <c r="M81" s="48">
        <f>NETWORKDAYS(IF(ISTEXT(H80), DT_B_JURS, H80), TAB_JUROS_U[[#This Row],[dt_lqdc_eve_u]],  TAB_FERIADOS[FER_DATA]) -1</f>
        <v>21</v>
      </c>
      <c r="N81" s="123">
        <f>(TX_EMISSAO/100 +1)^(TAB_JUROS_U[[#This Row],[dias_periodo_u]]/252)</f>
        <v>1.0020598362698427</v>
      </c>
      <c r="O81" s="78">
        <f>(TIR_U/100 +1)^(TAB_JUROS_U[[#This Row],[Q_DIAS_U_PARC_TIR]]/252)</f>
        <v>1.1229179193751944</v>
      </c>
      <c r="P81" s="116" t="str">
        <f>"TX_CENARIO" &amp; TEXT(DT_CALCULO_C, "-AAAAMMDD") &amp; TEXT(TAB_JUROS_U[[#This Row],[DT_EVE]], "-AAAAMMDD")</f>
        <v>TX_CENARIO-20151228-20200909</v>
      </c>
      <c r="Q81" s="44">
        <f>IFERROR(VLOOKUP(TAB_JUROS_U[[#This Row],[Chave-CENARIO]],CENARIO[],2,FALSE), 0)</f>
        <v>16.516999999999999</v>
      </c>
      <c r="R81" s="116" t="str">
        <f>"CORRECAO_JURS_U" &amp; TEXT(DT_CALCULO_C, "-AAAAMMDD") &amp; TEXT(TAB_JUROS_U[[#This Row],[DT_EVE]], "-AAAAMMDD")</f>
        <v>CORRECAO_JURS_U-20151228-20200909</v>
      </c>
      <c r="S81" s="44">
        <f>IFERROR(VLOOKUP(TAB_JUROS_U[[#This Row],[Chave-CORC]],CORRECAO_JURS_U[],2, FALSE), 0)</f>
        <v>1.01248483</v>
      </c>
      <c r="T81" s="78">
        <f>MAX(0, (TAB_JUROS_U[[#This Row],[CUPOM_TIR]] -1) * IF(TAB_JUROS_U[[#This Row],[ID_T_EVE]]=1, TAB_JUROS_U[[#This Row],[PU_AMORT]], TAB_JUROS_U[[#This Row],[V_NOML_PCPL]]) * TAB_JUROS_U[[#This Row],[CORRECAO_U]])</f>
        <v>110.20424770383251</v>
      </c>
      <c r="U81" s="78">
        <f>MAX(0, TAB_JUROS_U[[#This Row],[V_FUT_U_JURS-01]]/((((TAB_JUROS_U[[#This Row],[TX_CENARIO]]/100 +1)^(1/252) -1) * PC_IDXR/100 +1)^TAB_JUROS_U[[#This Row],[Q_DIAS_U_PARC_TIR]]))</f>
        <v>53.769683607990366</v>
      </c>
      <c r="V81" s="78">
        <f>+TAB_JUROS_U[[#This Row],[V_FUT_U_JURS CENARIO]]/TAB_JUROS_U[[#This Row],[VAR_DESCAP_U]]</f>
        <v>47.883894878005414</v>
      </c>
      <c r="W81" s="78"/>
      <c r="X81" s="64">
        <f>TAB_JUROS_U[[#This Row],[dt_eve_u]]- DT_CALCULO_C</f>
        <v>1717</v>
      </c>
      <c r="Y81" s="48" t="str">
        <f>"CORRECAO_JURS_C" &amp; TEXT(DT_CALCULO_C, "-AAAAMMDD") &amp; TEXT(TAB_JUROS_U[[#This Row],[DT_EVE]], "-AAAAMMDD")</f>
        <v>CORRECAO_JURS_C-20151228-20200909</v>
      </c>
      <c r="Z81" s="44">
        <f>IFERROR(VLOOKUP(TAB_JUROS_C[[#This Row],[Chave-CORC]],CORRECAO_JURS_C[],2, FALSE), 0)</f>
        <v>1</v>
      </c>
      <c r="AA8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108.84533223459013</v>
      </c>
      <c r="AB81" s="63">
        <f>(TIR_C/100 +1)^(TAB_JUROS_C[[#This Row],[DIAS_CORRIDOS]]/360)</f>
        <v>1.1231138172589226</v>
      </c>
      <c r="AC81" s="78">
        <f>IF(TAB_JUROS_C[[#This Row],[DIAS_CORRIDOS]]&lt;0, 0, TAB_JUROS_C[[#This Row],[V_FUT_C_JURS]]/TAB_JUROS_C[[#This Row],[VAR_DESCAP_C]])</f>
        <v>96.913892930494455</v>
      </c>
      <c r="AD81" s="78">
        <f>TAB_JUROS_U[[#This Row],[V_FUT_U_JURS CENARIO]]</f>
        <v>53.769683607990366</v>
      </c>
      <c r="AE81" s="124">
        <f>IF(TAB_JUROS_C[[#This Row],[DIAS_CORRIDOS]]&lt;0, 0, TAB_JUROS_C[[#This Row],[V_FUT_UTEIS]]/TAB_JUROS_C[[#This Row],[VAR_DESCAP_C]])</f>
        <v>47.875542782672674</v>
      </c>
      <c r="AF81" s="64"/>
    </row>
    <row r="82" spans="1:32">
      <c r="A82" s="82">
        <f t="shared" si="1"/>
        <v>58</v>
      </c>
      <c r="B82" s="24">
        <f>VLOOKUP($A82, CAD_JUROS[#Data], MATCH(B$24, CAD_JUROS[#Headers],0), FALSE)</f>
        <v>2</v>
      </c>
      <c r="C82" s="24" t="str">
        <f>VLOOKUP($A82, CAD_JUROS[#Data], MATCH(C$24, CAD_JUROS[#Headers],0), FALSE)</f>
        <v xml:space="preserve">JUROS SOBRE PRINCIPAL                             </v>
      </c>
      <c r="D82" s="36">
        <f>VLOOKUP($A82, CAD_JUROS[#Data], MATCH(D$24, CAD_JUROS[#Headers],0), FALSE)</f>
        <v>44113</v>
      </c>
      <c r="E82" s="48">
        <f>VLOOKUP($A82, CAD_JUROS[#Data], MATCH(E$24, CAD_JUROS[#Headers],0), FALSE)</f>
        <v>0</v>
      </c>
      <c r="F82" s="36">
        <f>VLOOKUP($A82, CAD_JUROS[#Data], MATCH(F$24, CAD_JUROS[#Headers],0), FALSE)</f>
        <v>44119</v>
      </c>
      <c r="G82" s="47">
        <f>WORKDAY(WORKDAY(TAB_JUROS_U[[#This Row],[DT_EVE]], -1, TAB_FERIADOS[FER_DATA]), 1, TAB_FERIADOS[FER_DATA])</f>
        <v>44113</v>
      </c>
      <c r="H82" s="75">
        <f>WORKDAY(WORKDAY(TAB_JUROS_U[[#This Row],[DT_LQDC_EVE]], -1, TAB_FERIADOS[FER_DATA]), 1, TAB_FERIADOS[FER_DATA])</f>
        <v>44119</v>
      </c>
      <c r="I82" s="48">
        <f>PU_EMISSAO - SUMIF(TAB_AMORTIZACAO_U[DT_EVE], "&lt;" &amp; TAB_JUROS_U[[#This Row],[DT_EVE]], TAB_AMORTIZACAO_U[V_PU_AMTC])</f>
        <v>52127.055285000024</v>
      </c>
      <c r="J82" s="48">
        <f>IFERROR(VLOOKUP(TAB_JUROS_U[[#This Row],[DT_EVE]], TAB_AMORTIZACAO_U[[DT_EVE]:[V_PU_AMTC]], 2, FALSE), 0)</f>
        <v>706.63436100000001</v>
      </c>
      <c r="K82" s="48">
        <f>NETWORKDAYS(DT_CALCULO_U, TAB_JUROS_U[[#This Row],[dt_eve_u]], TAB_FERIADOS[FER_DATA]) -1</f>
        <v>1201</v>
      </c>
      <c r="L82" s="48">
        <f>NETWORKDAYS(DT_CALCULO_U, TAB_JUROS_U[[#This Row],[dt_lqdc_eve_u]], TAB_FERIADOS[FER_DATA]) -1</f>
        <v>1204</v>
      </c>
      <c r="M82" s="48">
        <f>NETWORKDAYS(IF(ISTEXT(H81), DT_B_JURS, H81), TAB_JUROS_U[[#This Row],[dt_lqdc_eve_u]],  TAB_FERIADOS[FER_DATA]) -1</f>
        <v>21</v>
      </c>
      <c r="N82" s="123">
        <f>(TX_EMISSAO/100 +1)^(TAB_JUROS_U[[#This Row],[dias_periodo_u]]/252)</f>
        <v>1.0020598362698427</v>
      </c>
      <c r="O82" s="78">
        <f>(TIR_U/100 +1)^(TAB_JUROS_U[[#This Row],[Q_DIAS_U_PARC_TIR]]/252)</f>
        <v>1.12523119580737</v>
      </c>
      <c r="P82" s="116" t="str">
        <f>"TX_CENARIO" &amp; TEXT(DT_CALCULO_C, "-AAAAMMDD") &amp; TEXT(TAB_JUROS_U[[#This Row],[DT_EVE]], "-AAAAMMDD")</f>
        <v>TX_CENARIO-20151228-20201009</v>
      </c>
      <c r="Q82" s="44">
        <f>IFERROR(VLOOKUP(TAB_JUROS_U[[#This Row],[Chave-CENARIO]],CENARIO[],2,FALSE), 0)</f>
        <v>16.5075</v>
      </c>
      <c r="R82" s="116" t="str">
        <f>"CORRECAO_JURS_U" &amp; TEXT(DT_CALCULO_C, "-AAAAMMDD") &amp; TEXT(TAB_JUROS_U[[#This Row],[DT_EVE]], "-AAAAMMDD")</f>
        <v>CORRECAO_JURS_U-20151228-20201009</v>
      </c>
      <c r="S82" s="44">
        <f>IFERROR(VLOOKUP(TAB_JUROS_U[[#This Row],[Chave-CORC]],CORRECAO_JURS_U[],2, FALSE), 0)</f>
        <v>1.01308529</v>
      </c>
      <c r="T82" s="78">
        <f>MAX(0, (TAB_JUROS_U[[#This Row],[CUPOM_TIR]] -1) * IF(TAB_JUROS_U[[#This Row],[ID_T_EVE]]=1, TAB_JUROS_U[[#This Row],[PU_AMORT]], TAB_JUROS_U[[#This Row],[V_NOML_PCPL]]) * TAB_JUROS_U[[#This Row],[CORRECAO_U]])</f>
        <v>108.77820856480324</v>
      </c>
      <c r="U82" s="78">
        <f>MAX(0, TAB_JUROS_U[[#This Row],[V_FUT_U_JURS-01]]/((((TAB_JUROS_U[[#This Row],[TX_CENARIO]]/100 +1)^(1/252) -1) * PC_IDXR/100 +1)^TAB_JUROS_U[[#This Row],[Q_DIAS_U_PARC_TIR]]))</f>
        <v>52.422507802832989</v>
      </c>
      <c r="V82" s="78">
        <f>+TAB_JUROS_U[[#This Row],[V_FUT_U_JURS CENARIO]]/TAB_JUROS_U[[#This Row],[VAR_DESCAP_U]]</f>
        <v>46.588210492350477</v>
      </c>
      <c r="W82" s="78"/>
      <c r="X82" s="64">
        <f>TAB_JUROS_U[[#This Row],[dt_eve_u]]- DT_CALCULO_C</f>
        <v>1747</v>
      </c>
      <c r="Y82" s="48" t="str">
        <f>"CORRECAO_JURS_C" &amp; TEXT(DT_CALCULO_C, "-AAAAMMDD") &amp; TEXT(TAB_JUROS_U[[#This Row],[DT_EVE]], "-AAAAMMDD")</f>
        <v>CORRECAO_JURS_C-20151228-20201009</v>
      </c>
      <c r="Z82" s="44">
        <f>IFERROR(VLOOKUP(TAB_JUROS_C[[#This Row],[Chave-CORC]],CORRECAO_JURS_C[],2, FALSE), 0)</f>
        <v>1</v>
      </c>
      <c r="AA8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107.37319911614078</v>
      </c>
      <c r="AB82" s="63">
        <f>(TIR_C/100 +1)^(TAB_JUROS_C[[#This Row],[DIAS_CORRIDOS]]/360)</f>
        <v>1.1253945075761442</v>
      </c>
      <c r="AC82" s="78">
        <f>IF(TAB_JUROS_C[[#This Row],[DIAS_CORRIDOS]]&lt;0, 0, TAB_JUROS_C[[#This Row],[V_FUT_C_JURS]]/TAB_JUROS_C[[#This Row],[VAR_DESCAP_C]])</f>
        <v>95.409386124870451</v>
      </c>
      <c r="AD82" s="78">
        <f>TAB_JUROS_U[[#This Row],[V_FUT_U_JURS CENARIO]]</f>
        <v>52.422507802832989</v>
      </c>
      <c r="AE82" s="124">
        <f>IF(TAB_JUROS_C[[#This Row],[DIAS_CORRIDOS]]&lt;0, 0, TAB_JUROS_C[[#This Row],[V_FUT_UTEIS]]/TAB_JUROS_C[[#This Row],[VAR_DESCAP_C]])</f>
        <v>46.58144983819026</v>
      </c>
      <c r="AF82" s="64"/>
    </row>
    <row r="83" spans="1:32">
      <c r="A83" s="82">
        <f t="shared" si="1"/>
        <v>59</v>
      </c>
      <c r="B83" s="24">
        <f>VLOOKUP($A83, CAD_JUROS[#Data], MATCH(B$24, CAD_JUROS[#Headers],0), FALSE)</f>
        <v>2</v>
      </c>
      <c r="C83" s="24" t="str">
        <f>VLOOKUP($A83, CAD_JUROS[#Data], MATCH(C$24, CAD_JUROS[#Headers],0), FALSE)</f>
        <v xml:space="preserve">JUROS SOBRE PRINCIPAL                             </v>
      </c>
      <c r="D83" s="36">
        <f>VLOOKUP($A83, CAD_JUROS[#Data], MATCH(D$24, CAD_JUROS[#Headers],0), FALSE)</f>
        <v>44145</v>
      </c>
      <c r="E83" s="48">
        <f>VLOOKUP($A83, CAD_JUROS[#Data], MATCH(E$24, CAD_JUROS[#Headers],0), FALSE)</f>
        <v>0</v>
      </c>
      <c r="F83" s="36">
        <f>VLOOKUP($A83, CAD_JUROS[#Data], MATCH(F$24, CAD_JUROS[#Headers],0), FALSE)</f>
        <v>44151</v>
      </c>
      <c r="G83" s="47">
        <f>WORKDAY(WORKDAY(TAB_JUROS_U[[#This Row],[DT_EVE]], -1, TAB_FERIADOS[FER_DATA]), 1, TAB_FERIADOS[FER_DATA])</f>
        <v>44145</v>
      </c>
      <c r="H83" s="75">
        <f>WORKDAY(WORKDAY(TAB_JUROS_U[[#This Row],[DT_LQDC_EVE]], -1, TAB_FERIADOS[FER_DATA]), 1, TAB_FERIADOS[FER_DATA])</f>
        <v>44151</v>
      </c>
      <c r="I83" s="48">
        <f>PU_EMISSAO - SUMIF(TAB_AMORTIZACAO_U[DT_EVE], "&lt;" &amp; TAB_JUROS_U[[#This Row],[DT_EVE]], TAB_AMORTIZACAO_U[V_PU_AMTC])</f>
        <v>51420.420924000027</v>
      </c>
      <c r="J83" s="48">
        <f>IFERROR(VLOOKUP(TAB_JUROS_U[[#This Row],[DT_EVE]], TAB_AMORTIZACAO_U[[DT_EVE]:[V_PU_AMTC]], 2, FALSE), 0)</f>
        <v>697.82653200000004</v>
      </c>
      <c r="K83" s="48">
        <f>NETWORKDAYS(DT_CALCULO_U, TAB_JUROS_U[[#This Row],[dt_eve_u]], TAB_FERIADOS[FER_DATA]) -1</f>
        <v>1221</v>
      </c>
      <c r="L83" s="48">
        <f>NETWORKDAYS(DT_CALCULO_U, TAB_JUROS_U[[#This Row],[dt_lqdc_eve_u]], TAB_FERIADOS[FER_DATA]) -1</f>
        <v>1225</v>
      </c>
      <c r="M83" s="48">
        <f>NETWORKDAYS(IF(ISTEXT(H82), DT_B_JURS, H82), TAB_JUROS_U[[#This Row],[dt_lqdc_eve_u]],  TAB_FERIADOS[FER_DATA]) -1</f>
        <v>21</v>
      </c>
      <c r="N83" s="123">
        <f>(TX_EMISSAO/100 +1)^(TAB_JUROS_U[[#This Row],[dias_periodo_u]]/252)</f>
        <v>1.0020598362698427</v>
      </c>
      <c r="O83" s="78">
        <f>(TIR_U/100 +1)^(TAB_JUROS_U[[#This Row],[Q_DIAS_U_PARC_TIR]]/252)</f>
        <v>1.1275492377239671</v>
      </c>
      <c r="P83" s="116" t="str">
        <f>"TX_CENARIO" &amp; TEXT(DT_CALCULO_C, "-AAAAMMDD") &amp; TEXT(TAB_JUROS_U[[#This Row],[DT_EVE]], "-AAAAMMDD")</f>
        <v>TX_CENARIO-20151228-20201110</v>
      </c>
      <c r="Q83" s="44">
        <f>IFERROR(VLOOKUP(TAB_JUROS_U[[#This Row],[Chave-CENARIO]],CENARIO[],2,FALSE), 0)</f>
        <v>16.497299999999999</v>
      </c>
      <c r="R83" s="116" t="str">
        <f>"CORRECAO_JURS_U" &amp; TEXT(DT_CALCULO_C, "-AAAAMMDD") &amp; TEXT(TAB_JUROS_U[[#This Row],[DT_EVE]], "-AAAAMMDD")</f>
        <v>CORRECAO_JURS_U-20151228-20201110</v>
      </c>
      <c r="S83" s="44">
        <f>IFERROR(VLOOKUP(TAB_JUROS_U[[#This Row],[Chave-CORC]],CORRECAO_JURS_U[],2, FALSE), 0)</f>
        <v>1.01189368</v>
      </c>
      <c r="T83" s="78">
        <f>MAX(0, (TAB_JUROS_U[[#This Row],[CUPOM_TIR]] -1) * IF(TAB_JUROS_U[[#This Row],[ID_T_EVE]]=1, TAB_JUROS_U[[#This Row],[PU_AMORT]], TAB_JUROS_U[[#This Row],[V_NOML_PCPL]]) * TAB_JUROS_U[[#This Row],[CORRECAO_U]])</f>
        <v>107.17739864185533</v>
      </c>
      <c r="U83" s="78">
        <f>MAX(0, TAB_JUROS_U[[#This Row],[V_FUT_U_JURS-01]]/((((TAB_JUROS_U[[#This Row],[TX_CENARIO]]/100 +1)^(1/252) -1) * PC_IDXR/100 +1)^TAB_JUROS_U[[#This Row],[Q_DIAS_U_PARC_TIR]]))</f>
        <v>51.019294366490641</v>
      </c>
      <c r="V83" s="78">
        <f>+TAB_JUROS_U[[#This Row],[V_FUT_U_JURS CENARIO]]/TAB_JUROS_U[[#This Row],[VAR_DESCAP_U]]</f>
        <v>45.247952514673742</v>
      </c>
      <c r="W83" s="78"/>
      <c r="X83" s="64">
        <f>TAB_JUROS_U[[#This Row],[dt_eve_u]]- DT_CALCULO_C</f>
        <v>1779</v>
      </c>
      <c r="Y83" s="48" t="str">
        <f>"CORRECAO_JURS_C" &amp; TEXT(DT_CALCULO_C, "-AAAAMMDD") &amp; TEXT(TAB_JUROS_U[[#This Row],[DT_EVE]], "-AAAAMMDD")</f>
        <v>CORRECAO_JURS_C-20151228-20201110</v>
      </c>
      <c r="Z83" s="44">
        <f>IFERROR(VLOOKUP(TAB_JUROS_C[[#This Row],[Chave-CORC]],CORRECAO_JURS_C[],2, FALSE), 0)</f>
        <v>1</v>
      </c>
      <c r="AA8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105.91764802983583</v>
      </c>
      <c r="AB83" s="63">
        <f>(TIR_C/100 +1)^(TAB_JUROS_C[[#This Row],[DIAS_CORRIDOS]]/360)</f>
        <v>1.1278323489365181</v>
      </c>
      <c r="AC83" s="78">
        <f>IF(TAB_JUROS_C[[#This Row],[DIAS_CORRIDOS]]&lt;0, 0, TAB_JUROS_C[[#This Row],[V_FUT_C_JURS]]/TAB_JUROS_C[[#This Row],[VAR_DESCAP_C]])</f>
        <v>93.912582069232329</v>
      </c>
      <c r="AD83" s="78">
        <f>TAB_JUROS_U[[#This Row],[V_FUT_U_JURS CENARIO]]</f>
        <v>51.019294366490641</v>
      </c>
      <c r="AE83" s="124">
        <f>IF(TAB_JUROS_C[[#This Row],[DIAS_CORRIDOS]]&lt;0, 0, TAB_JUROS_C[[#This Row],[V_FUT_UTEIS]]/TAB_JUROS_C[[#This Row],[VAR_DESCAP_C]])</f>
        <v>45.236594263853966</v>
      </c>
      <c r="AF83" s="64"/>
    </row>
    <row r="84" spans="1:32">
      <c r="A84" s="82">
        <f t="shared" si="1"/>
        <v>60</v>
      </c>
      <c r="B84" s="24">
        <f>VLOOKUP($A84, CAD_JUROS[#Data], MATCH(B$24, CAD_JUROS[#Headers],0), FALSE)</f>
        <v>2</v>
      </c>
      <c r="C84" s="24" t="str">
        <f>VLOOKUP($A84, CAD_JUROS[#Data], MATCH(C$24, CAD_JUROS[#Headers],0), FALSE)</f>
        <v xml:space="preserve">JUROS SOBRE PRINCIPAL                             </v>
      </c>
      <c r="D84" s="36">
        <f>VLOOKUP($A84, CAD_JUROS[#Data], MATCH(D$24, CAD_JUROS[#Headers],0), FALSE)</f>
        <v>44173</v>
      </c>
      <c r="E84" s="48">
        <f>VLOOKUP($A84, CAD_JUROS[#Data], MATCH(E$24, CAD_JUROS[#Headers],0), FALSE)</f>
        <v>0</v>
      </c>
      <c r="F84" s="36">
        <f>VLOOKUP($A84, CAD_JUROS[#Data], MATCH(F$24, CAD_JUROS[#Headers],0), FALSE)</f>
        <v>44179</v>
      </c>
      <c r="G84" s="47">
        <f>WORKDAY(WORKDAY(TAB_JUROS_U[[#This Row],[DT_EVE]], -1, TAB_FERIADOS[FER_DATA]), 1, TAB_FERIADOS[FER_DATA])</f>
        <v>44173</v>
      </c>
      <c r="H84" s="75">
        <f>WORKDAY(WORKDAY(TAB_JUROS_U[[#This Row],[DT_LQDC_EVE]], -1, TAB_FERIADOS[FER_DATA]), 1, TAB_FERIADOS[FER_DATA])</f>
        <v>44179</v>
      </c>
      <c r="I84" s="48">
        <f>PU_EMISSAO - SUMIF(TAB_AMORTIZACAO_U[DT_EVE], "&lt;" &amp; TAB_JUROS_U[[#This Row],[DT_EVE]], TAB_AMORTIZACAO_U[V_PU_AMTC])</f>
        <v>50722.594392000028</v>
      </c>
      <c r="J84" s="48">
        <f>IFERROR(VLOOKUP(TAB_JUROS_U[[#This Row],[DT_EVE]], TAB_AMORTIZACAO_U[[DT_EVE]:[V_PU_AMTC]], 2, FALSE), 0)</f>
        <v>697.841453</v>
      </c>
      <c r="K84" s="48">
        <f>NETWORKDAYS(DT_CALCULO_U, TAB_JUROS_U[[#This Row],[dt_eve_u]], TAB_FERIADOS[FER_DATA]) -1</f>
        <v>1241</v>
      </c>
      <c r="L84" s="48">
        <f>NETWORKDAYS(DT_CALCULO_U, TAB_JUROS_U[[#This Row],[dt_lqdc_eve_u]], TAB_FERIADOS[FER_DATA]) -1</f>
        <v>1245</v>
      </c>
      <c r="M84" s="48">
        <f>NETWORKDAYS(IF(ISTEXT(H83), DT_B_JURS, H83), TAB_JUROS_U[[#This Row],[dt_lqdc_eve_u]],  TAB_FERIADOS[FER_DATA]) -1</f>
        <v>20</v>
      </c>
      <c r="N84" s="123">
        <f>(TX_EMISSAO/100 +1)^(TAB_JUROS_U[[#This Row],[dias_periodo_u]]/252)</f>
        <v>1.0019616526860928</v>
      </c>
      <c r="O84" s="78">
        <f>(TIR_U/100 +1)^(TAB_JUROS_U[[#This Row],[Q_DIAS_U_PARC_TIR]]/252)</f>
        <v>1.1297613361698611</v>
      </c>
      <c r="P84" s="116" t="str">
        <f>"TX_CENARIO" &amp; TEXT(DT_CALCULO_C, "-AAAAMMDD") &amp; TEXT(TAB_JUROS_U[[#This Row],[DT_EVE]], "-AAAAMMDD")</f>
        <v>TX_CENARIO-20151228-20201208</v>
      </c>
      <c r="Q84" s="44">
        <f>IFERROR(VLOOKUP(TAB_JUROS_U[[#This Row],[Chave-CENARIO]],CENARIO[],2,FALSE), 0)</f>
        <v>16.4878</v>
      </c>
      <c r="R84" s="116" t="str">
        <f>"CORRECAO_JURS_U" &amp; TEXT(DT_CALCULO_C, "-AAAAMMDD") &amp; TEXT(TAB_JUROS_U[[#This Row],[DT_EVE]], "-AAAAMMDD")</f>
        <v>CORRECAO_JURS_U-20151228-20201208</v>
      </c>
      <c r="S84" s="44">
        <f>IFERROR(VLOOKUP(TAB_JUROS_U[[#This Row],[Chave-CORC]],CORRECAO_JURS_U[],2, FALSE), 0)</f>
        <v>1.01189368</v>
      </c>
      <c r="T84" s="78">
        <f>MAX(0, (TAB_JUROS_U[[#This Row],[CUPOM_TIR]] -1) * IF(TAB_JUROS_U[[#This Row],[ID_T_EVE]]=1, TAB_JUROS_U[[#This Row],[PU_AMORT]], TAB_JUROS_U[[#This Row],[V_NOML_PCPL]]) * TAB_JUROS_U[[#This Row],[CORRECAO_U]])</f>
        <v>100.68353604500892</v>
      </c>
      <c r="U84" s="78">
        <f>MAX(0, TAB_JUROS_U[[#This Row],[V_FUT_U_JURS-01]]/((((TAB_JUROS_U[[#This Row],[TX_CENARIO]]/100 +1)^(1/252) -1) * PC_IDXR/100 +1)^TAB_JUROS_U[[#This Row],[Q_DIAS_U_PARC_TIR]]))</f>
        <v>47.369795314230906</v>
      </c>
      <c r="V84" s="78">
        <f>+TAB_JUROS_U[[#This Row],[V_FUT_U_JURS CENARIO]]/TAB_JUROS_U[[#This Row],[VAR_DESCAP_U]]</f>
        <v>41.929028545820934</v>
      </c>
      <c r="W84" s="78"/>
      <c r="X84" s="64">
        <f>TAB_JUROS_U[[#This Row],[dt_eve_u]]- DT_CALCULO_C</f>
        <v>1807</v>
      </c>
      <c r="Y84" s="48" t="str">
        <f>"CORRECAO_JURS_C" &amp; TEXT(DT_CALCULO_C, "-AAAAMMDD") &amp; TEXT(TAB_JUROS_U[[#This Row],[DT_EVE]], "-AAAAMMDD")</f>
        <v>CORRECAO_JURS_C-20151228-20201208</v>
      </c>
      <c r="Z84" s="44">
        <f>IFERROR(VLOOKUP(TAB_JUROS_C[[#This Row],[Chave-CORC]],CORRECAO_JURS_C[],2, FALSE), 0)</f>
        <v>1</v>
      </c>
      <c r="AA8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99.500113534663953</v>
      </c>
      <c r="AB84" s="63">
        <f>(TIR_C/100 +1)^(TAB_JUROS_C[[#This Row],[DIAS_CORRIDOS]]/360)</f>
        <v>1.1299697917058833</v>
      </c>
      <c r="AC84" s="78">
        <f>IF(TAB_JUROS_C[[#This Row],[DIAS_CORRIDOS]]&lt;0, 0, TAB_JUROS_C[[#This Row],[V_FUT_C_JURS]]/TAB_JUROS_C[[#This Row],[VAR_DESCAP_C]])</f>
        <v>88.05555180767395</v>
      </c>
      <c r="AD84" s="78">
        <f>TAB_JUROS_U[[#This Row],[V_FUT_U_JURS CENARIO]]</f>
        <v>47.369795314230906</v>
      </c>
      <c r="AE84" s="124">
        <f>IF(TAB_JUROS_C[[#This Row],[DIAS_CORRIDOS]]&lt;0, 0, TAB_JUROS_C[[#This Row],[V_FUT_UTEIS]]/TAB_JUROS_C[[#This Row],[VAR_DESCAP_C]])</f>
        <v>41.921293526544694</v>
      </c>
      <c r="AF84" s="64"/>
    </row>
    <row r="85" spans="1:32">
      <c r="A85" s="82">
        <f t="shared" si="1"/>
        <v>61</v>
      </c>
      <c r="B85" s="24">
        <f>VLOOKUP($A85, CAD_JUROS[#Data], MATCH(B$24, CAD_JUROS[#Headers],0), FALSE)</f>
        <v>2</v>
      </c>
      <c r="C85" s="24" t="str">
        <f>VLOOKUP($A85, CAD_JUROS[#Data], MATCH(C$24, CAD_JUROS[#Headers],0), FALSE)</f>
        <v xml:space="preserve">JUROS SOBRE PRINCIPAL                             </v>
      </c>
      <c r="D85" s="36">
        <f>VLOOKUP($A85, CAD_JUROS[#Data], MATCH(D$24, CAD_JUROS[#Headers],0), FALSE)</f>
        <v>44207</v>
      </c>
      <c r="E85" s="48">
        <f>VLOOKUP($A85, CAD_JUROS[#Data], MATCH(E$24, CAD_JUROS[#Headers],0), FALSE)</f>
        <v>0</v>
      </c>
      <c r="F85" s="36">
        <f>VLOOKUP($A85, CAD_JUROS[#Data], MATCH(F$24, CAD_JUROS[#Headers],0), FALSE)</f>
        <v>44211</v>
      </c>
      <c r="G85" s="47">
        <f>WORKDAY(WORKDAY(TAB_JUROS_U[[#This Row],[DT_EVE]], -1, TAB_FERIADOS[FER_DATA]), 1, TAB_FERIADOS[FER_DATA])</f>
        <v>44207</v>
      </c>
      <c r="H85" s="75">
        <f>WORKDAY(WORKDAY(TAB_JUROS_U[[#This Row],[DT_LQDC_EVE]], -1, TAB_FERIADOS[FER_DATA]), 1, TAB_FERIADOS[FER_DATA])</f>
        <v>44211</v>
      </c>
      <c r="I85" s="48">
        <f>PU_EMISSAO - SUMIF(TAB_AMORTIZACAO_U[DT_EVE], "&lt;" &amp; TAB_JUROS_U[[#This Row],[DT_EVE]], TAB_AMORTIZACAO_U[V_PU_AMTC])</f>
        <v>50024.752939000027</v>
      </c>
      <c r="J85" s="48">
        <f>IFERROR(VLOOKUP(TAB_JUROS_U[[#This Row],[DT_EVE]], TAB_AMORTIZACAO_U[[DT_EVE]:[V_PU_AMTC]], 2, FALSE), 0)</f>
        <v>729.61102100000005</v>
      </c>
      <c r="K85" s="48">
        <f>NETWORKDAYS(DT_CALCULO_U, TAB_JUROS_U[[#This Row],[dt_eve_u]], TAB_FERIADOS[FER_DATA]) -1</f>
        <v>1263</v>
      </c>
      <c r="L85" s="48">
        <f>NETWORKDAYS(DT_CALCULO_U, TAB_JUROS_U[[#This Row],[dt_lqdc_eve_u]], TAB_FERIADOS[FER_DATA]) -1</f>
        <v>1267</v>
      </c>
      <c r="M85" s="48">
        <f>NETWORKDAYS(IF(ISTEXT(H84), DT_B_JURS, H84), TAB_JUROS_U[[#This Row],[dt_lqdc_eve_u]],  TAB_FERIADOS[FER_DATA]) -1</f>
        <v>22</v>
      </c>
      <c r="N85" s="123">
        <f>(TX_EMISSAO/100 +1)^(TAB_JUROS_U[[#This Row],[dias_periodo_u]]/252)</f>
        <v>1.0021580294747356</v>
      </c>
      <c r="O85" s="78">
        <f>(TIR_U/100 +1)^(TAB_JUROS_U[[#This Row],[Q_DIAS_U_PARC_TIR]]/252)</f>
        <v>1.1321996572993545</v>
      </c>
      <c r="P85" s="116" t="str">
        <f>"TX_CENARIO" &amp; TEXT(DT_CALCULO_C, "-AAAAMMDD") &amp; TEXT(TAB_JUROS_U[[#This Row],[DT_EVE]], "-AAAAMMDD")</f>
        <v>TX_CENARIO-20151228-20210111</v>
      </c>
      <c r="Q85" s="44">
        <f>IFERROR(VLOOKUP(TAB_JUROS_U[[#This Row],[Chave-CENARIO]],CENARIO[],2,FALSE), 0)</f>
        <v>16.479900000000001</v>
      </c>
      <c r="R85" s="116" t="str">
        <f>"CORRECAO_JURS_U" &amp; TEXT(DT_CALCULO_C, "-AAAAMMDD") &amp; TEXT(TAB_JUROS_U[[#This Row],[DT_EVE]], "-AAAAMMDD")</f>
        <v>CORRECAO_JURS_U-20151228-20210111</v>
      </c>
      <c r="S85" s="44">
        <f>IFERROR(VLOOKUP(TAB_JUROS_U[[#This Row],[Chave-CORC]],CORRECAO_JURS_U[],2, FALSE), 0)</f>
        <v>1.01311759</v>
      </c>
      <c r="T85" s="78">
        <f>MAX(0, (TAB_JUROS_U[[#This Row],[CUPOM_TIR]] -1) * IF(TAB_JUROS_U[[#This Row],[ID_T_EVE]]=1, TAB_JUROS_U[[#This Row],[PU_AMORT]], TAB_JUROS_U[[#This Row],[V_NOML_PCPL]]) * TAB_JUROS_U[[#This Row],[CORRECAO_U]])</f>
        <v>109.37099931141316</v>
      </c>
      <c r="U85" s="78">
        <f>MAX(0, TAB_JUROS_U[[#This Row],[V_FUT_U_JURS-01]]/((((TAB_JUROS_U[[#This Row],[TX_CENARIO]]/100 +1)^(1/252) -1) * PC_IDXR/100 +1)^TAB_JUROS_U[[#This Row],[Q_DIAS_U_PARC_TIR]]))</f>
        <v>50.793358463231179</v>
      </c>
      <c r="V85" s="78">
        <f>+TAB_JUROS_U[[#This Row],[V_FUT_U_JURS CENARIO]]/TAB_JUROS_U[[#This Row],[VAR_DESCAP_U]]</f>
        <v>44.862545343273652</v>
      </c>
      <c r="W85" s="78"/>
      <c r="X85" s="64">
        <f>TAB_JUROS_U[[#This Row],[dt_eve_u]]- DT_CALCULO_C</f>
        <v>1841</v>
      </c>
      <c r="Y85" s="48" t="str">
        <f>"CORRECAO_JURS_C" &amp; TEXT(DT_CALCULO_C, "-AAAAMMDD") &amp; TEXT(TAB_JUROS_U[[#This Row],[DT_EVE]], "-AAAAMMDD")</f>
        <v>CORRECAO_JURS_C-20151228-20210111</v>
      </c>
      <c r="Z85" s="44">
        <f>IFERROR(VLOOKUP(TAB_JUROS_C[[#This Row],[Chave-CORC]],CORRECAO_JURS_C[],2, FALSE), 0)</f>
        <v>1</v>
      </c>
      <c r="AA8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107.95489130873067</v>
      </c>
      <c r="AB85" s="63">
        <f>(TIR_C/100 +1)^(TAB_JUROS_C[[#This Row],[DIAS_CORRIDOS]]/360)</f>
        <v>1.1325707045543503</v>
      </c>
      <c r="AC85" s="78">
        <f>IF(TAB_JUROS_C[[#This Row],[DIAS_CORRIDOS]]&lt;0, 0, TAB_JUROS_C[[#This Row],[V_FUT_C_JURS]]/TAB_JUROS_C[[#This Row],[VAR_DESCAP_C]])</f>
        <v>95.318456388300547</v>
      </c>
      <c r="AD85" s="78">
        <f>TAB_JUROS_U[[#This Row],[V_FUT_U_JURS CENARIO]]</f>
        <v>50.793358463231179</v>
      </c>
      <c r="AE85" s="124">
        <f>IF(TAB_JUROS_C[[#This Row],[DIAS_CORRIDOS]]&lt;0, 0, TAB_JUROS_C[[#This Row],[V_FUT_UTEIS]]/TAB_JUROS_C[[#This Row],[VAR_DESCAP_C]])</f>
        <v>44.84784769637637</v>
      </c>
      <c r="AF85" s="64"/>
    </row>
    <row r="86" spans="1:32">
      <c r="A86" s="82">
        <f t="shared" si="1"/>
        <v>62</v>
      </c>
      <c r="B86" s="24">
        <f>VLOOKUP($A86, CAD_JUROS[#Data], MATCH(B$24, CAD_JUROS[#Headers],0), FALSE)</f>
        <v>2</v>
      </c>
      <c r="C86" s="24" t="str">
        <f>VLOOKUP($A86, CAD_JUROS[#Data], MATCH(C$24, CAD_JUROS[#Headers],0), FALSE)</f>
        <v xml:space="preserve">JUROS SOBRE PRINCIPAL                             </v>
      </c>
      <c r="D86" s="36">
        <f>VLOOKUP($A86, CAD_JUROS[#Data], MATCH(D$24, CAD_JUROS[#Headers],0), FALSE)</f>
        <v>44235</v>
      </c>
      <c r="E86" s="48">
        <f>VLOOKUP($A86, CAD_JUROS[#Data], MATCH(E$24, CAD_JUROS[#Headers],0), FALSE)</f>
        <v>0</v>
      </c>
      <c r="F86" s="36">
        <f>VLOOKUP($A86, CAD_JUROS[#Data], MATCH(F$24, CAD_JUROS[#Headers],0), FALSE)</f>
        <v>44239</v>
      </c>
      <c r="G86" s="47">
        <f>WORKDAY(WORKDAY(TAB_JUROS_U[[#This Row],[DT_EVE]], -1, TAB_FERIADOS[FER_DATA]), 1, TAB_FERIADOS[FER_DATA])</f>
        <v>44235</v>
      </c>
      <c r="H86" s="75">
        <f>WORKDAY(WORKDAY(TAB_JUROS_U[[#This Row],[DT_LQDC_EVE]], -1, TAB_FERIADOS[FER_DATA]), 1, TAB_FERIADOS[FER_DATA])</f>
        <v>44239</v>
      </c>
      <c r="I86" s="48">
        <f>PU_EMISSAO - SUMIF(TAB_AMORTIZACAO_U[DT_EVE], "&lt;" &amp; TAB_JUROS_U[[#This Row],[DT_EVE]], TAB_AMORTIZACAO_U[V_PU_AMTC])</f>
        <v>49295.14191800003</v>
      </c>
      <c r="J86" s="48">
        <f>IFERROR(VLOOKUP(TAB_JUROS_U[[#This Row],[DT_EVE]], TAB_AMORTIZACAO_U[[DT_EVE]:[V_PU_AMTC]], 2, FALSE), 0)</f>
        <v>731.49060999999995</v>
      </c>
      <c r="K86" s="48">
        <f>NETWORKDAYS(DT_CALCULO_U, TAB_JUROS_U[[#This Row],[dt_eve_u]], TAB_FERIADOS[FER_DATA]) -1</f>
        <v>1283</v>
      </c>
      <c r="L86" s="48">
        <f>NETWORKDAYS(DT_CALCULO_U, TAB_JUROS_U[[#This Row],[dt_lqdc_eve_u]], TAB_FERIADOS[FER_DATA]) -1</f>
        <v>1287</v>
      </c>
      <c r="M86" s="48">
        <f>NETWORKDAYS(IF(ISTEXT(H85), DT_B_JURS, H85), TAB_JUROS_U[[#This Row],[dt_lqdc_eve_u]],  TAB_FERIADOS[FER_DATA]) -1</f>
        <v>20</v>
      </c>
      <c r="N86" s="123">
        <f>(TX_EMISSAO/100 +1)^(TAB_JUROS_U[[#This Row],[dias_periodo_u]]/252)</f>
        <v>1.0019616526860928</v>
      </c>
      <c r="O86" s="78">
        <f>(TIR_U/100 +1)^(TAB_JUROS_U[[#This Row],[Q_DIAS_U_PARC_TIR]]/252)</f>
        <v>1.1344208792367743</v>
      </c>
      <c r="P86" s="116" t="str">
        <f>"TX_CENARIO" &amp; TEXT(DT_CALCULO_C, "-AAAAMMDD") &amp; TEXT(TAB_JUROS_U[[#This Row],[DT_EVE]], "-AAAAMMDD")</f>
        <v>TX_CENARIO-20151228-20210208</v>
      </c>
      <c r="Q86" s="44">
        <f>IFERROR(VLOOKUP(TAB_JUROS_U[[#This Row],[Chave-CENARIO]],CENARIO[],2,FALSE), 0)</f>
        <v>16.4755</v>
      </c>
      <c r="R86" s="116" t="str">
        <f>"CORRECAO_JURS_U" &amp; TEXT(DT_CALCULO_C, "-AAAAMMDD") &amp; TEXT(TAB_JUROS_U[[#This Row],[DT_EVE]], "-AAAAMMDD")</f>
        <v>CORRECAO_JURS_U-20151228-20210208</v>
      </c>
      <c r="S86" s="44">
        <f>IFERROR(VLOOKUP(TAB_JUROS_U[[#This Row],[Chave-CORC]],CORRECAO_JURS_U[],2, FALSE), 0)</f>
        <v>1.0120006800000001</v>
      </c>
      <c r="T86" s="78">
        <f>MAX(0, (TAB_JUROS_U[[#This Row],[CUPOM_TIR]] -1) * IF(TAB_JUROS_U[[#This Row],[ID_T_EVE]]=1, TAB_JUROS_U[[#This Row],[PU_AMORT]], TAB_JUROS_U[[#This Row],[V_NOML_PCPL]]) * TAB_JUROS_U[[#This Row],[CORRECAO_U]])</f>
        <v>97.860412681393612</v>
      </c>
      <c r="U86" s="78">
        <f>MAX(0, TAB_JUROS_U[[#This Row],[V_FUT_U_JURS-01]]/((((TAB_JUROS_U[[#This Row],[TX_CENARIO]]/100 +1)^(1/252) -1) * PC_IDXR/100 +1)^TAB_JUROS_U[[#This Row],[Q_DIAS_U_PARC_TIR]]))</f>
        <v>44.909432089680195</v>
      </c>
      <c r="V86" s="78">
        <f>+TAB_JUROS_U[[#This Row],[V_FUT_U_JURS CENARIO]]/TAB_JUROS_U[[#This Row],[VAR_DESCAP_U]]</f>
        <v>39.587980891091107</v>
      </c>
      <c r="W86" s="78"/>
      <c r="X86" s="64">
        <f>TAB_JUROS_U[[#This Row],[dt_eve_u]]- DT_CALCULO_C</f>
        <v>1869</v>
      </c>
      <c r="Y86" s="48" t="str">
        <f>"CORRECAO_JURS_C" &amp; TEXT(DT_CALCULO_C, "-AAAAMMDD") &amp; TEXT(TAB_JUROS_U[[#This Row],[DT_EVE]], "-AAAAMMDD")</f>
        <v>CORRECAO_JURS_C-20151228-20210208</v>
      </c>
      <c r="Z86" s="44">
        <f>IFERROR(VLOOKUP(TAB_JUROS_C[[#This Row],[Chave-CORC]],CORRECAO_JURS_C[],2, FALSE), 0)</f>
        <v>1</v>
      </c>
      <c r="AA8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96.699947554771995</v>
      </c>
      <c r="AB86" s="63">
        <f>(TIR_C/100 +1)^(TAB_JUROS_C[[#This Row],[DIAS_CORRIDOS]]/360)</f>
        <v>1.1347171273498371</v>
      </c>
      <c r="AC86" s="78">
        <f>IF(TAB_JUROS_C[[#This Row],[DIAS_CORRIDOS]]&lt;0, 0, TAB_JUROS_C[[#This Row],[V_FUT_C_JURS]]/TAB_JUROS_C[[#This Row],[VAR_DESCAP_C]])</f>
        <v>85.219430661646371</v>
      </c>
      <c r="AD86" s="78">
        <f>TAB_JUROS_U[[#This Row],[V_FUT_U_JURS CENARIO]]</f>
        <v>44.909432089680195</v>
      </c>
      <c r="AE86" s="124">
        <f>IF(TAB_JUROS_C[[#This Row],[DIAS_CORRIDOS]]&lt;0, 0, TAB_JUROS_C[[#This Row],[V_FUT_UTEIS]]/TAB_JUROS_C[[#This Row],[VAR_DESCAP_C]])</f>
        <v>39.577645394819591</v>
      </c>
      <c r="AF86" s="64"/>
    </row>
    <row r="87" spans="1:32">
      <c r="A87" s="82">
        <f t="shared" si="1"/>
        <v>63</v>
      </c>
      <c r="B87" s="24">
        <f>VLOOKUP($A87, CAD_JUROS[#Data], MATCH(B$24, CAD_JUROS[#Headers],0), FALSE)</f>
        <v>2</v>
      </c>
      <c r="C87" s="24" t="str">
        <f>VLOOKUP($A87, CAD_JUROS[#Data], MATCH(C$24, CAD_JUROS[#Headers],0), FALSE)</f>
        <v xml:space="preserve">JUROS SOBRE PRINCIPAL                             </v>
      </c>
      <c r="D87" s="36">
        <f>VLOOKUP($A87, CAD_JUROS[#Data], MATCH(D$24, CAD_JUROS[#Headers],0), FALSE)</f>
        <v>44263</v>
      </c>
      <c r="E87" s="48">
        <f>VLOOKUP($A87, CAD_JUROS[#Data], MATCH(E$24, CAD_JUROS[#Headers],0), FALSE)</f>
        <v>0</v>
      </c>
      <c r="F87" s="36">
        <f>VLOOKUP($A87, CAD_JUROS[#Data], MATCH(F$24, CAD_JUROS[#Headers],0), FALSE)</f>
        <v>44267</v>
      </c>
      <c r="G87" s="47">
        <f>WORKDAY(WORKDAY(TAB_JUROS_U[[#This Row],[DT_EVE]], -1, TAB_FERIADOS[FER_DATA]), 1, TAB_FERIADOS[FER_DATA])</f>
        <v>44263</v>
      </c>
      <c r="H87" s="75">
        <f>WORKDAY(WORKDAY(TAB_JUROS_U[[#This Row],[DT_LQDC_EVE]], -1, TAB_FERIADOS[FER_DATA]), 1, TAB_FERIADOS[FER_DATA])</f>
        <v>44267</v>
      </c>
      <c r="I87" s="48">
        <f>PU_EMISSAO - SUMIF(TAB_AMORTIZACAO_U[DT_EVE], "&lt;" &amp; TAB_JUROS_U[[#This Row],[DT_EVE]], TAB_AMORTIZACAO_U[V_PU_AMTC])</f>
        <v>48563.65130800003</v>
      </c>
      <c r="J87" s="48">
        <f>IFERROR(VLOOKUP(TAB_JUROS_U[[#This Row],[DT_EVE]], TAB_AMORTIZACAO_U[[DT_EVE]:[V_PU_AMTC]], 2, FALSE), 0)</f>
        <v>733.84533399999998</v>
      </c>
      <c r="K87" s="48">
        <f>NETWORKDAYS(DT_CALCULO_U, TAB_JUROS_U[[#This Row],[dt_eve_u]], TAB_FERIADOS[FER_DATA]) -1</f>
        <v>1301</v>
      </c>
      <c r="L87" s="48">
        <f>NETWORKDAYS(DT_CALCULO_U, TAB_JUROS_U[[#This Row],[dt_lqdc_eve_u]], TAB_FERIADOS[FER_DATA]) -1</f>
        <v>1305</v>
      </c>
      <c r="M87" s="48">
        <f>NETWORKDAYS(IF(ISTEXT(H86), DT_B_JURS, H86), TAB_JUROS_U[[#This Row],[dt_lqdc_eve_u]],  TAB_FERIADOS[FER_DATA]) -1</f>
        <v>18</v>
      </c>
      <c r="N87" s="123">
        <f>(TX_EMISSAO/100 +1)^(TAB_JUROS_U[[#This Row],[dias_periodo_u]]/252)</f>
        <v>1.0017653143782506</v>
      </c>
      <c r="O87" s="78">
        <f>(TIR_U/100 +1)^(TAB_JUROS_U[[#This Row],[Q_DIAS_U_PARC_TIR]]/252)</f>
        <v>1.1364237046009744</v>
      </c>
      <c r="P87" s="116" t="str">
        <f>"TX_CENARIO" &amp; TEXT(DT_CALCULO_C, "-AAAAMMDD") &amp; TEXT(TAB_JUROS_U[[#This Row],[DT_EVE]], "-AAAAMMDD")</f>
        <v>TX_CENARIO-20151228-20210308</v>
      </c>
      <c r="Q87" s="44">
        <f>IFERROR(VLOOKUP(TAB_JUROS_U[[#This Row],[Chave-CENARIO]],CENARIO[],2,FALSE), 0)</f>
        <v>16.471699999999998</v>
      </c>
      <c r="R87" s="116" t="str">
        <f>"CORRECAO_JURS_U" &amp; TEXT(DT_CALCULO_C, "-AAAAMMDD") &amp; TEXT(TAB_JUROS_U[[#This Row],[DT_EVE]], "-AAAAMMDD")</f>
        <v>CORRECAO_JURS_U-20151228-20210308</v>
      </c>
      <c r="S87" s="44">
        <f>IFERROR(VLOOKUP(TAB_JUROS_U[[#This Row],[Chave-CORC]],CORRECAO_JURS_U[],2, FALSE), 0)</f>
        <v>1.0107941600000001</v>
      </c>
      <c r="T87" s="78">
        <f>MAX(0, (TAB_JUROS_U[[#This Row],[CUPOM_TIR]] -1) * IF(TAB_JUROS_U[[#This Row],[ID_T_EVE]]=1, TAB_JUROS_U[[#This Row],[PU_AMORT]], TAB_JUROS_U[[#This Row],[V_NOML_PCPL]]) * TAB_JUROS_U[[#This Row],[CORRECAO_U]])</f>
        <v>86.655496459180569</v>
      </c>
      <c r="U87" s="78">
        <f>MAX(0, TAB_JUROS_U[[#This Row],[V_FUT_U_JURS-01]]/((((TAB_JUROS_U[[#This Row],[TX_CENARIO]]/100 +1)^(1/252) -1) * PC_IDXR/100 +1)^TAB_JUROS_U[[#This Row],[Q_DIAS_U_PARC_TIR]]))</f>
        <v>39.343135510652317</v>
      </c>
      <c r="V87" s="78">
        <f>+TAB_JUROS_U[[#This Row],[V_FUT_U_JURS CENARIO]]/TAB_JUROS_U[[#This Row],[VAR_DESCAP_U]]</f>
        <v>34.62012922765161</v>
      </c>
      <c r="W87" s="78"/>
      <c r="X87" s="64">
        <f>TAB_JUROS_U[[#This Row],[dt_eve_u]]- DT_CALCULO_C</f>
        <v>1897</v>
      </c>
      <c r="Y87" s="48" t="str">
        <f>"CORRECAO_JURS_C" &amp; TEXT(DT_CALCULO_C, "-AAAAMMDD") &amp; TEXT(TAB_JUROS_U[[#This Row],[DT_EVE]], "-AAAAMMDD")</f>
        <v>CORRECAO_JURS_C-20151228-20210308</v>
      </c>
      <c r="Z87" s="44">
        <f>IFERROR(VLOOKUP(TAB_JUROS_C[[#This Row],[Chave-CORC]],CORRECAO_JURS_C[],2, FALSE), 0)</f>
        <v>1</v>
      </c>
      <c r="AA8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85.730111914359057</v>
      </c>
      <c r="AB87" s="63">
        <f>(TIR_C/100 +1)^(TAB_JUROS_C[[#This Row],[DIAS_CORRIDOS]]/360)</f>
        <v>1.1368676179980401</v>
      </c>
      <c r="AC87" s="78">
        <f>IF(TAB_JUROS_C[[#This Row],[DIAS_CORRIDOS]]&lt;0, 0, TAB_JUROS_C[[#This Row],[V_FUT_C_JURS]]/TAB_JUROS_C[[#This Row],[VAR_DESCAP_C]])</f>
        <v>75.409054279622239</v>
      </c>
      <c r="AD87" s="78">
        <f>TAB_JUROS_U[[#This Row],[V_FUT_U_JURS CENARIO]]</f>
        <v>39.343135510652317</v>
      </c>
      <c r="AE87" s="124">
        <f>IF(TAB_JUROS_C[[#This Row],[DIAS_CORRIDOS]]&lt;0, 0, TAB_JUROS_C[[#This Row],[V_FUT_UTEIS]]/TAB_JUROS_C[[#This Row],[VAR_DESCAP_C]])</f>
        <v>34.606611084528346</v>
      </c>
      <c r="AF87" s="64"/>
    </row>
    <row r="88" spans="1:32">
      <c r="A88" s="82">
        <f t="shared" si="1"/>
        <v>64</v>
      </c>
      <c r="B88" s="24">
        <f>VLOOKUP($A88, CAD_JUROS[#Data], MATCH(B$24, CAD_JUROS[#Headers],0), FALSE)</f>
        <v>2</v>
      </c>
      <c r="C88" s="24" t="str">
        <f>VLOOKUP($A88, CAD_JUROS[#Data], MATCH(C$24, CAD_JUROS[#Headers],0), FALSE)</f>
        <v xml:space="preserve">JUROS SOBRE PRINCIPAL                             </v>
      </c>
      <c r="D88" s="36">
        <f>VLOOKUP($A88, CAD_JUROS[#Data], MATCH(D$24, CAD_JUROS[#Headers],0), FALSE)</f>
        <v>44295</v>
      </c>
      <c r="E88" s="48">
        <f>VLOOKUP($A88, CAD_JUROS[#Data], MATCH(E$24, CAD_JUROS[#Headers],0), FALSE)</f>
        <v>0</v>
      </c>
      <c r="F88" s="36">
        <f>VLOOKUP($A88, CAD_JUROS[#Data], MATCH(F$24, CAD_JUROS[#Headers],0), FALSE)</f>
        <v>44301</v>
      </c>
      <c r="G88" s="47">
        <f>WORKDAY(WORKDAY(TAB_JUROS_U[[#This Row],[DT_EVE]], -1, TAB_FERIADOS[FER_DATA]), 1, TAB_FERIADOS[FER_DATA])</f>
        <v>44295</v>
      </c>
      <c r="H88" s="75">
        <f>WORKDAY(WORKDAY(TAB_JUROS_U[[#This Row],[DT_LQDC_EVE]], -1, TAB_FERIADOS[FER_DATA]), 1, TAB_FERIADOS[FER_DATA])</f>
        <v>44301</v>
      </c>
      <c r="I88" s="48">
        <f>PU_EMISSAO - SUMIF(TAB_AMORTIZACAO_U[DT_EVE], "&lt;" &amp; TAB_JUROS_U[[#This Row],[DT_EVE]], TAB_AMORTIZACAO_U[V_PU_AMTC])</f>
        <v>47829.805974000032</v>
      </c>
      <c r="J88" s="48">
        <f>IFERROR(VLOOKUP(TAB_JUROS_U[[#This Row],[DT_EVE]], TAB_AMORTIZACAO_U[[DT_EVE]:[V_PU_AMTC]], 2, FALSE), 0)</f>
        <v>701.13712499999997</v>
      </c>
      <c r="K88" s="48">
        <f>NETWORKDAYS(DT_CALCULO_U, TAB_JUROS_U[[#This Row],[dt_eve_u]], TAB_FERIADOS[FER_DATA]) -1</f>
        <v>1324</v>
      </c>
      <c r="L88" s="48">
        <f>NETWORKDAYS(DT_CALCULO_U, TAB_JUROS_U[[#This Row],[dt_lqdc_eve_u]], TAB_FERIADOS[FER_DATA]) -1</f>
        <v>1328</v>
      </c>
      <c r="M88" s="48">
        <f>NETWORKDAYS(IF(ISTEXT(H87), DT_B_JURS, H87), TAB_JUROS_U[[#This Row],[dt_lqdc_eve_u]],  TAB_FERIADOS[FER_DATA]) -1</f>
        <v>23</v>
      </c>
      <c r="N88" s="123">
        <f>(TX_EMISSAO/100 +1)^(TAB_JUROS_U[[#This Row],[dias_periodo_u]]/252)</f>
        <v>1.0022562323017139</v>
      </c>
      <c r="O88" s="78">
        <f>(TIR_U/100 +1)^(TAB_JUROS_U[[#This Row],[Q_DIAS_U_PARC_TIR]]/252)</f>
        <v>1.1389880169345483</v>
      </c>
      <c r="P88" s="116" t="str">
        <f>"TX_CENARIO" &amp; TEXT(DT_CALCULO_C, "-AAAAMMDD") &amp; TEXT(TAB_JUROS_U[[#This Row],[DT_EVE]], "-AAAAMMDD")</f>
        <v>TX_CENARIO-20151228-20210409</v>
      </c>
      <c r="Q88" s="44">
        <f>IFERROR(VLOOKUP(TAB_JUROS_U[[#This Row],[Chave-CENARIO]],CENARIO[],2,FALSE), 0)</f>
        <v>16.466999999999999</v>
      </c>
      <c r="R88" s="116" t="str">
        <f>"CORRECAO_JURS_U" &amp; TEXT(DT_CALCULO_C, "-AAAAMMDD") &amp; TEXT(TAB_JUROS_U[[#This Row],[DT_EVE]], "-AAAAMMDD")</f>
        <v>CORRECAO_JURS_U-20151228-20210409</v>
      </c>
      <c r="S88" s="44">
        <f>IFERROR(VLOOKUP(TAB_JUROS_U[[#This Row],[Chave-CORC]],CORRECAO_JURS_U[],2, FALSE), 0)</f>
        <v>1.0138132900000001</v>
      </c>
      <c r="T88" s="78">
        <f>MAX(0, (TAB_JUROS_U[[#This Row],[CUPOM_TIR]] -1) * IF(TAB_JUROS_U[[#This Row],[ID_T_EVE]]=1, TAB_JUROS_U[[#This Row],[PU_AMORT]], TAB_JUROS_U[[#This Row],[V_NOML_PCPL]]) * TAB_JUROS_U[[#This Row],[CORRECAO_U]])</f>
        <v>109.40581653011454</v>
      </c>
      <c r="U88" s="78">
        <f>MAX(0, TAB_JUROS_U[[#This Row],[V_FUT_U_JURS-01]]/((((TAB_JUROS_U[[#This Row],[TX_CENARIO]]/100 +1)^(1/252) -1) * PC_IDXR/100 +1)^TAB_JUROS_U[[#This Row],[Q_DIAS_U_PARC_TIR]]))</f>
        <v>48.996120680029961</v>
      </c>
      <c r="V88" s="78">
        <f>+TAB_JUROS_U[[#This Row],[V_FUT_U_JURS CENARIO]]/TAB_JUROS_U[[#This Row],[VAR_DESCAP_U]]</f>
        <v>43.017239823029243</v>
      </c>
      <c r="W88" s="78"/>
      <c r="X88" s="64">
        <f>TAB_JUROS_U[[#This Row],[dt_eve_u]]- DT_CALCULO_C</f>
        <v>1929</v>
      </c>
      <c r="Y88" s="48" t="str">
        <f>"CORRECAO_JURS_C" &amp; TEXT(DT_CALCULO_C, "-AAAAMMDD") &amp; TEXT(TAB_JUROS_U[[#This Row],[DT_EVE]], "-AAAAMMDD")</f>
        <v>CORRECAO_JURS_C-20151228-20210409</v>
      </c>
      <c r="Z88" s="44">
        <f>IFERROR(VLOOKUP(TAB_JUROS_C[[#This Row],[Chave-CORC]],CORRECAO_JURS_C[],2, FALSE), 0)</f>
        <v>1</v>
      </c>
      <c r="AA8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107.91515322324737</v>
      </c>
      <c r="AB88" s="63">
        <f>(TIR_C/100 +1)^(TAB_JUROS_C[[#This Row],[DIAS_CORRIDOS]]/360)</f>
        <v>1.1393303125302843</v>
      </c>
      <c r="AC88" s="78">
        <f>IF(TAB_JUROS_C[[#This Row],[DIAS_CORRIDOS]]&lt;0, 0, TAB_JUROS_C[[#This Row],[V_FUT_C_JURS]]/TAB_JUROS_C[[#This Row],[VAR_DESCAP_C]])</f>
        <v>94.718056771072611</v>
      </c>
      <c r="AD88" s="78">
        <f>TAB_JUROS_U[[#This Row],[V_FUT_U_JURS CENARIO]]</f>
        <v>48.996120680029961</v>
      </c>
      <c r="AE88" s="124">
        <f>IF(TAB_JUROS_C[[#This Row],[DIAS_CORRIDOS]]&lt;0, 0, TAB_JUROS_C[[#This Row],[V_FUT_UTEIS]]/TAB_JUROS_C[[#This Row],[VAR_DESCAP_C]])</f>
        <v>43.004315904855382</v>
      </c>
      <c r="AF88" s="64"/>
    </row>
    <row r="89" spans="1:32">
      <c r="A89" s="82">
        <f t="shared" si="1"/>
        <v>65</v>
      </c>
      <c r="B89" s="24">
        <f>VLOOKUP($A89, CAD_JUROS[#Data], MATCH(B$24, CAD_JUROS[#Headers],0), FALSE)</f>
        <v>2</v>
      </c>
      <c r="C89" s="24" t="str">
        <f>VLOOKUP($A89, CAD_JUROS[#Data], MATCH(C$24, CAD_JUROS[#Headers],0), FALSE)</f>
        <v xml:space="preserve">JUROS SOBRE PRINCIPAL                             </v>
      </c>
      <c r="D89" s="36">
        <f>VLOOKUP($A89, CAD_JUROS[#Data], MATCH(D$24, CAD_JUROS[#Headers],0), FALSE)</f>
        <v>44326</v>
      </c>
      <c r="E89" s="48">
        <f>VLOOKUP($A89, CAD_JUROS[#Data], MATCH(E$24, CAD_JUROS[#Headers],0), FALSE)</f>
        <v>0</v>
      </c>
      <c r="F89" s="36">
        <f>VLOOKUP($A89, CAD_JUROS[#Data], MATCH(F$24, CAD_JUROS[#Headers],0), FALSE)</f>
        <v>44330</v>
      </c>
      <c r="G89" s="47">
        <f>WORKDAY(WORKDAY(TAB_JUROS_U[[#This Row],[DT_EVE]], -1, TAB_FERIADOS[FER_DATA]), 1, TAB_FERIADOS[FER_DATA])</f>
        <v>44326</v>
      </c>
      <c r="H89" s="75">
        <f>WORKDAY(WORKDAY(TAB_JUROS_U[[#This Row],[DT_LQDC_EVE]], -1, TAB_FERIADOS[FER_DATA]), 1, TAB_FERIADOS[FER_DATA])</f>
        <v>44330</v>
      </c>
      <c r="I89" s="48">
        <f>PU_EMISSAO - SUMIF(TAB_AMORTIZACAO_U[DT_EVE], "&lt;" &amp; TAB_JUROS_U[[#This Row],[DT_EVE]], TAB_AMORTIZACAO_U[V_PU_AMTC])</f>
        <v>47128.668849000031</v>
      </c>
      <c r="J89" s="48">
        <f>IFERROR(VLOOKUP(TAB_JUROS_U[[#This Row],[DT_EVE]], TAB_AMORTIZACAO_U[[DT_EVE]:[V_PU_AMTC]], 2, FALSE), 0)</f>
        <v>707.11854700000004</v>
      </c>
      <c r="K89" s="48">
        <f>NETWORKDAYS(DT_CALCULO_U, TAB_JUROS_U[[#This Row],[dt_eve_u]], TAB_FERIADOS[FER_DATA]) -1</f>
        <v>1344</v>
      </c>
      <c r="L89" s="48">
        <f>NETWORKDAYS(DT_CALCULO_U, TAB_JUROS_U[[#This Row],[dt_lqdc_eve_u]], TAB_FERIADOS[FER_DATA]) -1</f>
        <v>1348</v>
      </c>
      <c r="M89" s="48">
        <f>NETWORKDAYS(IF(ISTEXT(H88), DT_B_JURS, H88), TAB_JUROS_U[[#This Row],[dt_lqdc_eve_u]],  TAB_FERIADOS[FER_DATA]) -1</f>
        <v>20</v>
      </c>
      <c r="N89" s="123">
        <f>(TX_EMISSAO/100 +1)^(TAB_JUROS_U[[#This Row],[dias_periodo_u]]/252)</f>
        <v>1.0019616526860928</v>
      </c>
      <c r="O89" s="78">
        <f>(TIR_U/100 +1)^(TAB_JUROS_U[[#This Row],[Q_DIAS_U_PARC_TIR]]/252)</f>
        <v>1.1412225567114884</v>
      </c>
      <c r="P89" s="116" t="str">
        <f>"TX_CENARIO" &amp; TEXT(DT_CALCULO_C, "-AAAAMMDD") &amp; TEXT(TAB_JUROS_U[[#This Row],[DT_EVE]], "-AAAAMMDD")</f>
        <v>TX_CENARIO-20151228-20210510</v>
      </c>
      <c r="Q89" s="44">
        <f>IFERROR(VLOOKUP(TAB_JUROS_U[[#This Row],[Chave-CENARIO]],CENARIO[],2,FALSE), 0)</f>
        <v>16.463000000000001</v>
      </c>
      <c r="R89" s="116" t="str">
        <f>"CORRECAO_JURS_U" &amp; TEXT(DT_CALCULO_C, "-AAAAMMDD") &amp; TEXT(TAB_JUROS_U[[#This Row],[DT_EVE]], "-AAAAMMDD")</f>
        <v>CORRECAO_JURS_U-20151228-20210510</v>
      </c>
      <c r="S89" s="44">
        <f>IFERROR(VLOOKUP(TAB_JUROS_U[[#This Row],[Chave-CORC]],CORRECAO_JURS_U[],2, FALSE), 0)</f>
        <v>1.01200117</v>
      </c>
      <c r="T89" s="78">
        <f>MAX(0, (TAB_JUROS_U[[#This Row],[CUPOM_TIR]] -1) * IF(TAB_JUROS_U[[#This Row],[ID_T_EVE]]=1, TAB_JUROS_U[[#This Row],[PU_AMORT]], TAB_JUROS_U[[#This Row],[V_NOML_PCPL]]) * TAB_JUROS_U[[#This Row],[CORRECAO_U]])</f>
        <v>93.559588964289233</v>
      </c>
      <c r="U89" s="78">
        <f>MAX(0, TAB_JUROS_U[[#This Row],[V_FUT_U_JURS-01]]/((((TAB_JUROS_U[[#This Row],[TX_CENARIO]]/100 +1)^(1/252) -1) * PC_IDXR/100 +1)^TAB_JUROS_U[[#This Row],[Q_DIAS_U_PARC_TIR]]))</f>
        <v>41.403321185982136</v>
      </c>
      <c r="V89" s="78">
        <f>+TAB_JUROS_U[[#This Row],[V_FUT_U_JURS CENARIO]]/TAB_JUROS_U[[#This Row],[VAR_DESCAP_U]]</f>
        <v>36.279795682700723</v>
      </c>
      <c r="W89" s="78"/>
      <c r="X89" s="64">
        <f>TAB_JUROS_U[[#This Row],[dt_eve_u]]- DT_CALCULO_C</f>
        <v>1960</v>
      </c>
      <c r="Y89" s="48" t="str">
        <f>"CORRECAO_JURS_C" &amp; TEXT(DT_CALCULO_C, "-AAAAMMDD") &amp; TEXT(TAB_JUROS_U[[#This Row],[DT_EVE]], "-AAAAMMDD")</f>
        <v>CORRECAO_JURS_C-20151228-20210510</v>
      </c>
      <c r="Z89" s="44">
        <f>IFERROR(VLOOKUP(TAB_JUROS_C[[#This Row],[Chave-CORC]],CORRECAO_JURS_C[],2, FALSE), 0)</f>
        <v>1</v>
      </c>
      <c r="AA8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92.450079839620372</v>
      </c>
      <c r="AB89" s="63">
        <f>(TIR_C/100 +1)^(TAB_JUROS_C[[#This Row],[DIAS_CORRIDOS]]/360)</f>
        <v>1.1417211349984282</v>
      </c>
      <c r="AC89" s="78">
        <f>IF(TAB_JUROS_C[[#This Row],[DIAS_CORRIDOS]]&lt;0, 0, TAB_JUROS_C[[#This Row],[V_FUT_C_JURS]]/TAB_JUROS_C[[#This Row],[VAR_DESCAP_C]])</f>
        <v>80.974308879503795</v>
      </c>
      <c r="AD89" s="78">
        <f>TAB_JUROS_U[[#This Row],[V_FUT_U_JURS CENARIO]]</f>
        <v>41.403321185982136</v>
      </c>
      <c r="AE89" s="124">
        <f>IF(TAB_JUROS_C[[#This Row],[DIAS_CORRIDOS]]&lt;0, 0, TAB_JUROS_C[[#This Row],[V_FUT_UTEIS]]/TAB_JUROS_C[[#This Row],[VAR_DESCAP_C]])</f>
        <v>36.263952656039024</v>
      </c>
      <c r="AF89" s="64"/>
    </row>
    <row r="90" spans="1:32">
      <c r="A90" s="82">
        <f t="shared" si="1"/>
        <v>66</v>
      </c>
      <c r="B90" s="24">
        <f>VLOOKUP($A90, CAD_JUROS[#Data], MATCH(B$24, CAD_JUROS[#Headers],0), FALSE)</f>
        <v>2</v>
      </c>
      <c r="C90" s="24" t="str">
        <f>VLOOKUP($A90, CAD_JUROS[#Data], MATCH(C$24, CAD_JUROS[#Headers],0), FALSE)</f>
        <v xml:space="preserve">JUROS SOBRE PRINCIPAL                             </v>
      </c>
      <c r="D90" s="36">
        <f>VLOOKUP($A90, CAD_JUROS[#Data], MATCH(D$24, CAD_JUROS[#Headers],0), FALSE)</f>
        <v>44356</v>
      </c>
      <c r="E90" s="48">
        <f>VLOOKUP($A90, CAD_JUROS[#Data], MATCH(E$24, CAD_JUROS[#Headers],0), FALSE)</f>
        <v>0</v>
      </c>
      <c r="F90" s="36">
        <f>VLOOKUP($A90, CAD_JUROS[#Data], MATCH(F$24, CAD_JUROS[#Headers],0), FALSE)</f>
        <v>44362</v>
      </c>
      <c r="G90" s="47">
        <f>WORKDAY(WORKDAY(TAB_JUROS_U[[#This Row],[DT_EVE]], -1, TAB_FERIADOS[FER_DATA]), 1, TAB_FERIADOS[FER_DATA])</f>
        <v>44356</v>
      </c>
      <c r="H90" s="75">
        <f>WORKDAY(WORKDAY(TAB_JUROS_U[[#This Row],[DT_LQDC_EVE]], -1, TAB_FERIADOS[FER_DATA]), 1, TAB_FERIADOS[FER_DATA])</f>
        <v>44362</v>
      </c>
      <c r="I90" s="48">
        <f>PU_EMISSAO - SUMIF(TAB_AMORTIZACAO_U[DT_EVE], "&lt;" &amp; TAB_JUROS_U[[#This Row],[DT_EVE]], TAB_AMORTIZACAO_U[V_PU_AMTC])</f>
        <v>46421.550302000032</v>
      </c>
      <c r="J90" s="48">
        <f>IFERROR(VLOOKUP(TAB_JUROS_U[[#This Row],[DT_EVE]], TAB_AMORTIZACAO_U[[DT_EVE]:[V_PU_AMTC]], 2, FALSE), 0)</f>
        <v>694.46639200000004</v>
      </c>
      <c r="K90" s="48">
        <f>NETWORKDAYS(DT_CALCULO_U, TAB_JUROS_U[[#This Row],[dt_eve_u]], TAB_FERIADOS[FER_DATA]) -1</f>
        <v>1365</v>
      </c>
      <c r="L90" s="48">
        <f>NETWORKDAYS(DT_CALCULO_U, TAB_JUROS_U[[#This Row],[dt_lqdc_eve_u]], TAB_FERIADOS[FER_DATA]) -1</f>
        <v>1369</v>
      </c>
      <c r="M90" s="48">
        <f>NETWORKDAYS(IF(ISTEXT(H89), DT_B_JURS, H89), TAB_JUROS_U[[#This Row],[dt_lqdc_eve_u]],  TAB_FERIADOS[FER_DATA]) -1</f>
        <v>21</v>
      </c>
      <c r="N90" s="123">
        <f>(TX_EMISSAO/100 +1)^(TAB_JUROS_U[[#This Row],[dias_periodo_u]]/252)</f>
        <v>1.0020598362698427</v>
      </c>
      <c r="O90" s="78">
        <f>(TIR_U/100 +1)^(TAB_JUROS_U[[#This Row],[Q_DIAS_U_PARC_TIR]]/252)</f>
        <v>1.1435735417645871</v>
      </c>
      <c r="P90" s="116" t="str">
        <f>"TX_CENARIO" &amp; TEXT(DT_CALCULO_C, "-AAAAMMDD") &amp; TEXT(TAB_JUROS_U[[#This Row],[DT_EVE]], "-AAAAMMDD")</f>
        <v>TX_CENARIO-20151228-20210609</v>
      </c>
      <c r="Q90" s="44">
        <f>IFERROR(VLOOKUP(TAB_JUROS_U[[#This Row],[Chave-CENARIO]],CENARIO[],2,FALSE), 0)</f>
        <v>16.4589</v>
      </c>
      <c r="R90" s="116" t="str">
        <f>"CORRECAO_JURS_U" &amp; TEXT(DT_CALCULO_C, "-AAAAMMDD") &amp; TEXT(TAB_JUROS_U[[#This Row],[DT_EVE]], "-AAAAMMDD")</f>
        <v>CORRECAO_JURS_U-20151228-20210609</v>
      </c>
      <c r="S90" s="44">
        <f>IFERROR(VLOOKUP(TAB_JUROS_U[[#This Row],[Chave-CORC]],CORRECAO_JURS_U[],2, FALSE), 0)</f>
        <v>1.012605</v>
      </c>
      <c r="T90" s="78">
        <f>MAX(0, (TAB_JUROS_U[[#This Row],[CUPOM_TIR]] -1) * IF(TAB_JUROS_U[[#This Row],[ID_T_EVE]]=1, TAB_JUROS_U[[#This Row],[PU_AMORT]], TAB_JUROS_U[[#This Row],[V_NOML_PCPL]]) * TAB_JUROS_U[[#This Row],[CORRECAO_U]])</f>
        <v>96.826093110335279</v>
      </c>
      <c r="U90" s="78">
        <f>MAX(0, TAB_JUROS_U[[#This Row],[V_FUT_U_JURS-01]]/((((TAB_JUROS_U[[#This Row],[TX_CENARIO]]/100 +1)^(1/252) -1) * PC_IDXR/100 +1)^TAB_JUROS_U[[#This Row],[Q_DIAS_U_PARC_TIR]]))</f>
        <v>42.316201693997719</v>
      </c>
      <c r="V90" s="78">
        <f>+TAB_JUROS_U[[#This Row],[V_FUT_U_JURS CENARIO]]/TAB_JUROS_U[[#This Row],[VAR_DESCAP_U]]</f>
        <v>37.003480885629664</v>
      </c>
      <c r="W90" s="78"/>
      <c r="X90" s="64">
        <f>TAB_JUROS_U[[#This Row],[dt_eve_u]]- DT_CALCULO_C</f>
        <v>1990</v>
      </c>
      <c r="Y90" s="48" t="str">
        <f>"CORRECAO_JURS_C" &amp; TEXT(DT_CALCULO_C, "-AAAAMMDD") &amp; TEXT(TAB_JUROS_U[[#This Row],[DT_EVE]], "-AAAAMMDD")</f>
        <v>CORRECAO_JURS_C-20151228-20210609</v>
      </c>
      <c r="Z90" s="44">
        <f>IFERROR(VLOOKUP(TAB_JUROS_C[[#This Row],[Chave-CORC]],CORRECAO_JURS_C[],2, FALSE), 0)</f>
        <v>1</v>
      </c>
      <c r="AA9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95.620793014388909</v>
      </c>
      <c r="AB90" s="63">
        <f>(TIR_C/100 +1)^(TAB_JUROS_C[[#This Row],[DIAS_CORRIDOS]]/360)</f>
        <v>1.1440396109156004</v>
      </c>
      <c r="AC90" s="78">
        <f>IF(TAB_JUROS_C[[#This Row],[DIAS_CORRIDOS]]&lt;0, 0, TAB_JUROS_C[[#This Row],[V_FUT_C_JURS]]/TAB_JUROS_C[[#This Row],[VAR_DESCAP_C]])</f>
        <v>83.581715267587157</v>
      </c>
      <c r="AD90" s="78">
        <f>TAB_JUROS_U[[#This Row],[V_FUT_U_JURS CENARIO]]</f>
        <v>42.316201693997719</v>
      </c>
      <c r="AE90" s="124">
        <f>IF(TAB_JUROS_C[[#This Row],[DIAS_CORRIDOS]]&lt;0, 0, TAB_JUROS_C[[#This Row],[V_FUT_UTEIS]]/TAB_JUROS_C[[#This Row],[VAR_DESCAP_C]])</f>
        <v>36.988406074621068</v>
      </c>
      <c r="AF90" s="64"/>
    </row>
    <row r="91" spans="1:32">
      <c r="A91" s="82">
        <f t="shared" ref="A91:A129" si="2">+A90+1</f>
        <v>67</v>
      </c>
      <c r="B91" s="24">
        <f>VLOOKUP($A91, CAD_JUROS[#Data], MATCH(B$24, CAD_JUROS[#Headers],0), FALSE)</f>
        <v>2</v>
      </c>
      <c r="C91" s="24" t="str">
        <f>VLOOKUP($A91, CAD_JUROS[#Data], MATCH(C$24, CAD_JUROS[#Headers],0), FALSE)</f>
        <v xml:space="preserve">JUROS SOBRE PRINCIPAL                             </v>
      </c>
      <c r="D91" s="36">
        <f>VLOOKUP($A91, CAD_JUROS[#Data], MATCH(D$24, CAD_JUROS[#Headers],0), FALSE)</f>
        <v>44385</v>
      </c>
      <c r="E91" s="48">
        <f>VLOOKUP($A91, CAD_JUROS[#Data], MATCH(E$24, CAD_JUROS[#Headers],0), FALSE)</f>
        <v>0</v>
      </c>
      <c r="F91" s="36">
        <f>VLOOKUP($A91, CAD_JUROS[#Data], MATCH(F$24, CAD_JUROS[#Headers],0), FALSE)</f>
        <v>44391</v>
      </c>
      <c r="G91" s="47">
        <f>WORKDAY(WORKDAY(TAB_JUROS_U[[#This Row],[DT_EVE]], -1, TAB_FERIADOS[FER_DATA]), 1, TAB_FERIADOS[FER_DATA])</f>
        <v>44385</v>
      </c>
      <c r="H91" s="75">
        <f>WORKDAY(WORKDAY(TAB_JUROS_U[[#This Row],[DT_LQDC_EVE]], -1, TAB_FERIADOS[FER_DATA]), 1, TAB_FERIADOS[FER_DATA])</f>
        <v>44391</v>
      </c>
      <c r="I91" s="48">
        <f>PU_EMISSAO - SUMIF(TAB_AMORTIZACAO_U[DT_EVE], "&lt;" &amp; TAB_JUROS_U[[#This Row],[DT_EVE]], TAB_AMORTIZACAO_U[V_PU_AMTC])</f>
        <v>45727.08391000003</v>
      </c>
      <c r="J91" s="48">
        <f>IFERROR(VLOOKUP(TAB_JUROS_U[[#This Row],[DT_EVE]], TAB_AMORTIZACAO_U[[DT_EVE]:[V_PU_AMTC]], 2, FALSE), 0)</f>
        <v>686.40925600000003</v>
      </c>
      <c r="K91" s="48">
        <f>NETWORKDAYS(DT_CALCULO_U, TAB_JUROS_U[[#This Row],[dt_eve_u]], TAB_FERIADOS[FER_DATA]) -1</f>
        <v>1386</v>
      </c>
      <c r="L91" s="48">
        <f>NETWORKDAYS(DT_CALCULO_U, TAB_JUROS_U[[#This Row],[dt_lqdc_eve_u]], TAB_FERIADOS[FER_DATA]) -1</f>
        <v>1390</v>
      </c>
      <c r="M91" s="48">
        <f>NETWORKDAYS(IF(ISTEXT(H90), DT_B_JURS, H90), TAB_JUROS_U[[#This Row],[dt_lqdc_eve_u]],  TAB_FERIADOS[FER_DATA]) -1</f>
        <v>21</v>
      </c>
      <c r="N91" s="123">
        <f>(TX_EMISSAO/100 +1)^(TAB_JUROS_U[[#This Row],[dias_periodo_u]]/252)</f>
        <v>1.0020598362698427</v>
      </c>
      <c r="O91" s="78">
        <f>(TIR_U/100 +1)^(TAB_JUROS_U[[#This Row],[Q_DIAS_U_PARC_TIR]]/252)</f>
        <v>1.1459293699840669</v>
      </c>
      <c r="P91" s="116" t="str">
        <f>"TX_CENARIO" &amp; TEXT(DT_CALCULO_C, "-AAAAMMDD") &amp; TEXT(TAB_JUROS_U[[#This Row],[DT_EVE]], "-AAAAMMDD")</f>
        <v>TX_CENARIO-20151228-20210708</v>
      </c>
      <c r="Q91" s="44">
        <f>IFERROR(VLOOKUP(TAB_JUROS_U[[#This Row],[Chave-CENARIO]],CENARIO[],2,FALSE), 0)</f>
        <v>16.455100000000002</v>
      </c>
      <c r="R91" s="116" t="str">
        <f>"CORRECAO_JURS_U" &amp; TEXT(DT_CALCULO_C, "-AAAAMMDD") &amp; TEXT(TAB_JUROS_U[[#This Row],[DT_EVE]], "-AAAAMMDD")</f>
        <v>CORRECAO_JURS_U-20151228-20210708</v>
      </c>
      <c r="S91" s="44">
        <f>IFERROR(VLOOKUP(TAB_JUROS_U[[#This Row],[Chave-CORC]],CORRECAO_JURS_U[],2, FALSE), 0)</f>
        <v>1.01260682</v>
      </c>
      <c r="T91" s="78">
        <f>MAX(0, (TAB_JUROS_U[[#This Row],[CUPOM_TIR]] -1) * IF(TAB_JUROS_U[[#This Row],[ID_T_EVE]]=1, TAB_JUROS_U[[#This Row],[PU_AMORT]], TAB_JUROS_U[[#This Row],[V_NOML_PCPL]]) * TAB_JUROS_U[[#This Row],[CORRECAO_U]])</f>
        <v>95.377746184841769</v>
      </c>
      <c r="U91" s="78">
        <f>MAX(0, TAB_JUROS_U[[#This Row],[V_FUT_U_JURS-01]]/((((TAB_JUROS_U[[#This Row],[TX_CENARIO]]/100 +1)^(1/252) -1) * PC_IDXR/100 +1)^TAB_JUROS_U[[#This Row],[Q_DIAS_U_PARC_TIR]]))</f>
        <v>41.164713862810956</v>
      </c>
      <c r="V91" s="78">
        <f>+TAB_JUROS_U[[#This Row],[V_FUT_U_JURS CENARIO]]/TAB_JUROS_U[[#This Row],[VAR_DESCAP_U]]</f>
        <v>35.922557655873078</v>
      </c>
      <c r="W91" s="78"/>
      <c r="X91" s="64">
        <f>TAB_JUROS_U[[#This Row],[dt_eve_u]]- DT_CALCULO_C</f>
        <v>2019</v>
      </c>
      <c r="Y91" s="48" t="str">
        <f>"CORRECAO_JURS_C" &amp; TEXT(DT_CALCULO_C, "-AAAAMMDD") &amp; TEXT(TAB_JUROS_U[[#This Row],[DT_EVE]], "-AAAAMMDD")</f>
        <v>CORRECAO_JURS_C-20151228-20210708</v>
      </c>
      <c r="Z91" s="44">
        <f>IFERROR(VLOOKUP(TAB_JUROS_C[[#This Row],[Chave-CORC]],CORRECAO_JURS_C[],2, FALSE), 0)</f>
        <v>1</v>
      </c>
      <c r="AA9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94.190305951960468</v>
      </c>
      <c r="AB91" s="63">
        <f>(TIR_C/100 +1)^(TAB_JUROS_C[[#This Row],[DIAS_CORRIDOS]]/360)</f>
        <v>1.1462852795063114</v>
      </c>
      <c r="AC91" s="78">
        <f>IF(TAB_JUROS_C[[#This Row],[DIAS_CORRIDOS]]&lt;0, 0, TAB_JUROS_C[[#This Row],[V_FUT_C_JURS]]/TAB_JUROS_C[[#This Row],[VAR_DESCAP_C]])</f>
        <v>82.170038851521213</v>
      </c>
      <c r="AD91" s="78">
        <f>TAB_JUROS_U[[#This Row],[V_FUT_U_JURS CENARIO]]</f>
        <v>41.164713862810956</v>
      </c>
      <c r="AE91" s="124">
        <f>IF(TAB_JUROS_C[[#This Row],[DIAS_CORRIDOS]]&lt;0, 0, TAB_JUROS_C[[#This Row],[V_FUT_UTEIS]]/TAB_JUROS_C[[#This Row],[VAR_DESCAP_C]])</f>
        <v>35.911404079567355</v>
      </c>
      <c r="AF91" s="64"/>
    </row>
    <row r="92" spans="1:32">
      <c r="A92" s="82">
        <f t="shared" si="2"/>
        <v>68</v>
      </c>
      <c r="B92" s="24">
        <f>VLOOKUP($A92, CAD_JUROS[#Data], MATCH(B$24, CAD_JUROS[#Headers],0), FALSE)</f>
        <v>2</v>
      </c>
      <c r="C92" s="24" t="str">
        <f>VLOOKUP($A92, CAD_JUROS[#Data], MATCH(C$24, CAD_JUROS[#Headers],0), FALSE)</f>
        <v xml:space="preserve">JUROS SOBRE PRINCIPAL                             </v>
      </c>
      <c r="D92" s="36">
        <f>VLOOKUP($A92, CAD_JUROS[#Data], MATCH(D$24, CAD_JUROS[#Headers],0), FALSE)</f>
        <v>44417</v>
      </c>
      <c r="E92" s="48">
        <f>VLOOKUP($A92, CAD_JUROS[#Data], MATCH(E$24, CAD_JUROS[#Headers],0), FALSE)</f>
        <v>0</v>
      </c>
      <c r="F92" s="36">
        <f>VLOOKUP($A92, CAD_JUROS[#Data], MATCH(F$24, CAD_JUROS[#Headers],0), FALSE)</f>
        <v>44421</v>
      </c>
      <c r="G92" s="47">
        <f>WORKDAY(WORKDAY(TAB_JUROS_U[[#This Row],[DT_EVE]], -1, TAB_FERIADOS[FER_DATA]), 1, TAB_FERIADOS[FER_DATA])</f>
        <v>44417</v>
      </c>
      <c r="H92" s="75">
        <f>WORKDAY(WORKDAY(TAB_JUROS_U[[#This Row],[DT_LQDC_EVE]], -1, TAB_FERIADOS[FER_DATA]), 1, TAB_FERIADOS[FER_DATA])</f>
        <v>44421</v>
      </c>
      <c r="I92" s="48">
        <f>PU_EMISSAO - SUMIF(TAB_AMORTIZACAO_U[DT_EVE], "&lt;" &amp; TAB_JUROS_U[[#This Row],[DT_EVE]], TAB_AMORTIZACAO_U[V_PU_AMTC])</f>
        <v>45040.674654000031</v>
      </c>
      <c r="J92" s="48">
        <f>IFERROR(VLOOKUP(TAB_JUROS_U[[#This Row],[DT_EVE]], TAB_AMORTIZACAO_U[[DT_EVE]:[V_PU_AMTC]], 2, FALSE), 0)</f>
        <v>673.76345200000003</v>
      </c>
      <c r="K92" s="48">
        <f>NETWORKDAYS(DT_CALCULO_U, TAB_JUROS_U[[#This Row],[dt_eve_u]], TAB_FERIADOS[FER_DATA]) -1</f>
        <v>1408</v>
      </c>
      <c r="L92" s="48">
        <f>NETWORKDAYS(DT_CALCULO_U, TAB_JUROS_U[[#This Row],[dt_lqdc_eve_u]], TAB_FERIADOS[FER_DATA]) -1</f>
        <v>1412</v>
      </c>
      <c r="M92" s="48">
        <f>NETWORKDAYS(IF(ISTEXT(H91), DT_B_JURS, H91), TAB_JUROS_U[[#This Row],[dt_lqdc_eve_u]],  TAB_FERIADOS[FER_DATA]) -1</f>
        <v>22</v>
      </c>
      <c r="N92" s="123">
        <f>(TX_EMISSAO/100 +1)^(TAB_JUROS_U[[#This Row],[dias_periodo_u]]/252)</f>
        <v>1.0021580294747356</v>
      </c>
      <c r="O92" s="78">
        <f>(TIR_U/100 +1)^(TAB_JUROS_U[[#This Row],[Q_DIAS_U_PARC_TIR]]/252)</f>
        <v>1.1484025859689686</v>
      </c>
      <c r="P92" s="116" t="str">
        <f>"TX_CENARIO" &amp; TEXT(DT_CALCULO_C, "-AAAAMMDD") &amp; TEXT(TAB_JUROS_U[[#This Row],[DT_EVE]], "-AAAAMMDD")</f>
        <v>TX_CENARIO-20151228-20210809</v>
      </c>
      <c r="Q92" s="44">
        <f>IFERROR(VLOOKUP(TAB_JUROS_U[[#This Row],[Chave-CENARIO]],CENARIO[],2,FALSE), 0)</f>
        <v>16.4513</v>
      </c>
      <c r="R92" s="116" t="str">
        <f>"CORRECAO_JURS_U" &amp; TEXT(DT_CALCULO_C, "-AAAAMMDD") &amp; TEXT(TAB_JUROS_U[[#This Row],[DT_EVE]], "-AAAAMMDD")</f>
        <v>CORRECAO_JURS_U-20151228-20210809</v>
      </c>
      <c r="S92" s="44">
        <f>IFERROR(VLOOKUP(TAB_JUROS_U[[#This Row],[Chave-CORC]],CORRECAO_JURS_U[],2, FALSE), 0)</f>
        <v>1.01321719</v>
      </c>
      <c r="T92" s="78">
        <f>MAX(0, (TAB_JUROS_U[[#This Row],[CUPOM_TIR]] -1) * IF(TAB_JUROS_U[[#This Row],[ID_T_EVE]]=1, TAB_JUROS_U[[#This Row],[PU_AMORT]], TAB_JUROS_U[[#This Row],[V_NOML_PCPL]]) * TAB_JUROS_U[[#This Row],[CORRECAO_U]])</f>
        <v>98.483802483641455</v>
      </c>
      <c r="U92" s="78">
        <f>MAX(0, TAB_JUROS_U[[#This Row],[V_FUT_U_JURS-01]]/((((TAB_JUROS_U[[#This Row],[TX_CENARIO]]/100 +1)^(1/252) -1) * PC_IDXR/100 +1)^TAB_JUROS_U[[#This Row],[Q_DIAS_U_PARC_TIR]]))</f>
        <v>41.951405549027292</v>
      </c>
      <c r="V92" s="78">
        <f>+TAB_JUROS_U[[#This Row],[V_FUT_U_JURS CENARIO]]/TAB_JUROS_U[[#This Row],[VAR_DESCAP_U]]</f>
        <v>36.53022560344607</v>
      </c>
      <c r="W92" s="78"/>
      <c r="X92" s="64">
        <f>TAB_JUROS_U[[#This Row],[dt_eve_u]]- DT_CALCULO_C</f>
        <v>2051</v>
      </c>
      <c r="Y92" s="48" t="str">
        <f>"CORRECAO_JURS_C" &amp; TEXT(DT_CALCULO_C, "-AAAAMMDD") &amp; TEXT(TAB_JUROS_U[[#This Row],[DT_EVE]], "-AAAAMMDD")</f>
        <v>CORRECAO_JURS_C-20151228-20210809</v>
      </c>
      <c r="Z92" s="44">
        <f>IFERROR(VLOOKUP(TAB_JUROS_C[[#This Row],[Chave-CORC]],CORRECAO_JURS_C[],2, FALSE), 0)</f>
        <v>1</v>
      </c>
      <c r="AA9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97.199103465310785</v>
      </c>
      <c r="AB92" s="63">
        <f>(TIR_C/100 +1)^(TAB_JUROS_C[[#This Row],[DIAS_CORRIDOS]]/360)</f>
        <v>1.1487683746754775</v>
      </c>
      <c r="AC92" s="78">
        <f>IF(TAB_JUROS_C[[#This Row],[DIAS_CORRIDOS]]&lt;0, 0, TAB_JUROS_C[[#This Row],[V_FUT_C_JURS]]/TAB_JUROS_C[[#This Row],[VAR_DESCAP_C]])</f>
        <v>84.611576718212788</v>
      </c>
      <c r="AD92" s="78">
        <f>TAB_JUROS_U[[#This Row],[V_FUT_U_JURS CENARIO]]</f>
        <v>41.951405549027292</v>
      </c>
      <c r="AE92" s="124">
        <f>IF(TAB_JUROS_C[[#This Row],[DIAS_CORRIDOS]]&lt;0, 0, TAB_JUROS_C[[#This Row],[V_FUT_UTEIS]]/TAB_JUROS_C[[#This Row],[VAR_DESCAP_C]])</f>
        <v>36.518593716403792</v>
      </c>
      <c r="AF92" s="64"/>
    </row>
    <row r="93" spans="1:32">
      <c r="A93" s="82">
        <f t="shared" si="2"/>
        <v>69</v>
      </c>
      <c r="B93" s="24">
        <f>VLOOKUP($A93, CAD_JUROS[#Data], MATCH(B$24, CAD_JUROS[#Headers],0), FALSE)</f>
        <v>2</v>
      </c>
      <c r="C93" s="24" t="str">
        <f>VLOOKUP($A93, CAD_JUROS[#Data], MATCH(C$24, CAD_JUROS[#Headers],0), FALSE)</f>
        <v xml:space="preserve">JUROS SOBRE PRINCIPAL                             </v>
      </c>
      <c r="D93" s="36">
        <f>VLOOKUP($A93, CAD_JUROS[#Data], MATCH(D$24, CAD_JUROS[#Headers],0), FALSE)</f>
        <v>44448</v>
      </c>
      <c r="E93" s="48">
        <f>VLOOKUP($A93, CAD_JUROS[#Data], MATCH(E$24, CAD_JUROS[#Headers],0), FALSE)</f>
        <v>0</v>
      </c>
      <c r="F93" s="36">
        <f>VLOOKUP($A93, CAD_JUROS[#Data], MATCH(F$24, CAD_JUROS[#Headers],0), FALSE)</f>
        <v>44454</v>
      </c>
      <c r="G93" s="47">
        <f>WORKDAY(WORKDAY(TAB_JUROS_U[[#This Row],[DT_EVE]], -1, TAB_FERIADOS[FER_DATA]), 1, TAB_FERIADOS[FER_DATA])</f>
        <v>44448</v>
      </c>
      <c r="H93" s="75">
        <f>WORKDAY(WORKDAY(TAB_JUROS_U[[#This Row],[DT_LQDC_EVE]], -1, TAB_FERIADOS[FER_DATA]), 1, TAB_FERIADOS[FER_DATA])</f>
        <v>44454</v>
      </c>
      <c r="I93" s="48">
        <f>PU_EMISSAO - SUMIF(TAB_AMORTIZACAO_U[DT_EVE], "&lt;" &amp; TAB_JUROS_U[[#This Row],[DT_EVE]], TAB_AMORTIZACAO_U[V_PU_AMTC])</f>
        <v>44366.911202000032</v>
      </c>
      <c r="J93" s="48">
        <f>IFERROR(VLOOKUP(TAB_JUROS_U[[#This Row],[DT_EVE]], TAB_AMORTIZACAO_U[[DT_EVE]:[V_PU_AMTC]], 2, FALSE), 0)</f>
        <v>665.41493400000002</v>
      </c>
      <c r="K93" s="48">
        <f>NETWORKDAYS(DT_CALCULO_U, TAB_JUROS_U[[#This Row],[dt_eve_u]], TAB_FERIADOS[FER_DATA]) -1</f>
        <v>1430</v>
      </c>
      <c r="L93" s="48">
        <f>NETWORKDAYS(DT_CALCULO_U, TAB_JUROS_U[[#This Row],[dt_lqdc_eve_u]], TAB_FERIADOS[FER_DATA]) -1</f>
        <v>1434</v>
      </c>
      <c r="M93" s="48">
        <f>NETWORKDAYS(IF(ISTEXT(H92), DT_B_JURS, H92), TAB_JUROS_U[[#This Row],[dt_lqdc_eve_u]],  TAB_FERIADOS[FER_DATA]) -1</f>
        <v>22</v>
      </c>
      <c r="N93" s="123">
        <f>(TX_EMISSAO/100 +1)^(TAB_JUROS_U[[#This Row],[dias_periodo_u]]/252)</f>
        <v>1.0021580294747356</v>
      </c>
      <c r="O93" s="78">
        <f>(TIR_U/100 +1)^(TAB_JUROS_U[[#This Row],[Q_DIAS_U_PARC_TIR]]/252)</f>
        <v>1.1508811398023173</v>
      </c>
      <c r="P93" s="116" t="str">
        <f>"TX_CENARIO" &amp; TEXT(DT_CALCULO_C, "-AAAAMMDD") &amp; TEXT(TAB_JUROS_U[[#This Row],[DT_EVE]], "-AAAAMMDD")</f>
        <v>TX_CENARIO-20151228-20210909</v>
      </c>
      <c r="Q93" s="44">
        <f>IFERROR(VLOOKUP(TAB_JUROS_U[[#This Row],[Chave-CENARIO]],CENARIO[],2,FALSE), 0)</f>
        <v>16.447600000000001</v>
      </c>
      <c r="R93" s="116" t="str">
        <f>"CORRECAO_JURS_U" &amp; TEXT(DT_CALCULO_C, "-AAAAMMDD") &amp; TEXT(TAB_JUROS_U[[#This Row],[DT_EVE]], "-AAAAMMDD")</f>
        <v>CORRECAO_JURS_U-20151228-20210909</v>
      </c>
      <c r="S93" s="44">
        <f>IFERROR(VLOOKUP(TAB_JUROS_U[[#This Row],[Chave-CORC]],CORRECAO_JURS_U[],2, FALSE), 0)</f>
        <v>1.01321719</v>
      </c>
      <c r="T93" s="78">
        <f>MAX(0, (TAB_JUROS_U[[#This Row],[CUPOM_TIR]] -1) * IF(TAB_JUROS_U[[#This Row],[ID_T_EVE]]=1, TAB_JUROS_U[[#This Row],[PU_AMORT]], TAB_JUROS_U[[#This Row],[V_NOML_PCPL]]) * TAB_JUROS_U[[#This Row],[CORRECAO_U]])</f>
        <v>97.010583282614874</v>
      </c>
      <c r="U93" s="78">
        <f>MAX(0, TAB_JUROS_U[[#This Row],[V_FUT_U_JURS-01]]/((((TAB_JUROS_U[[#This Row],[TX_CENARIO]]/100 +1)^(1/252) -1) * PC_IDXR/100 +1)^TAB_JUROS_U[[#This Row],[Q_DIAS_U_PARC_TIR]]))</f>
        <v>40.785410759446307</v>
      </c>
      <c r="V93" s="78">
        <f>+TAB_JUROS_U[[#This Row],[V_FUT_U_JURS CENARIO]]/TAB_JUROS_U[[#This Row],[VAR_DESCAP_U]]</f>
        <v>35.438421352922568</v>
      </c>
      <c r="W93" s="78"/>
      <c r="X93" s="64">
        <f>TAB_JUROS_U[[#This Row],[dt_eve_u]]- DT_CALCULO_C</f>
        <v>2082</v>
      </c>
      <c r="Y93" s="48" t="str">
        <f>"CORRECAO_JURS_C" &amp; TEXT(DT_CALCULO_C, "-AAAAMMDD") &amp; TEXT(TAB_JUROS_U[[#This Row],[DT_EVE]], "-AAAAMMDD")</f>
        <v>CORRECAO_JURS_C-20151228-20210909</v>
      </c>
      <c r="Z93" s="44">
        <f>IFERROR(VLOOKUP(TAB_JUROS_C[[#This Row],[Chave-CORC]],CORRECAO_JURS_C[],2, FALSE), 0)</f>
        <v>1</v>
      </c>
      <c r="AA9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95.745102076895151</v>
      </c>
      <c r="AB93" s="63">
        <f>(TIR_C/100 +1)^(TAB_JUROS_C[[#This Row],[DIAS_CORRIDOS]]/360)</f>
        <v>1.1511790024018369</v>
      </c>
      <c r="AC93" s="78">
        <f>IF(TAB_JUROS_C[[#This Row],[DIAS_CORRIDOS]]&lt;0, 0, TAB_JUROS_C[[#This Row],[V_FUT_C_JURS]]/TAB_JUROS_C[[#This Row],[VAR_DESCAP_C]])</f>
        <v>83.171341622051088</v>
      </c>
      <c r="AD93" s="78">
        <f>TAB_JUROS_U[[#This Row],[V_FUT_U_JURS CENARIO]]</f>
        <v>40.785410759446307</v>
      </c>
      <c r="AE93" s="124">
        <f>IF(TAB_JUROS_C[[#This Row],[DIAS_CORRIDOS]]&lt;0, 0, TAB_JUROS_C[[#This Row],[V_FUT_UTEIS]]/TAB_JUROS_C[[#This Row],[VAR_DESCAP_C]])</f>
        <v>35.429251814314732</v>
      </c>
      <c r="AF93" s="64"/>
    </row>
    <row r="94" spans="1:32">
      <c r="A94" s="82">
        <f t="shared" si="2"/>
        <v>70</v>
      </c>
      <c r="B94" s="24">
        <f>VLOOKUP($A94, CAD_JUROS[#Data], MATCH(B$24, CAD_JUROS[#Headers],0), FALSE)</f>
        <v>2</v>
      </c>
      <c r="C94" s="24" t="str">
        <f>VLOOKUP($A94, CAD_JUROS[#Data], MATCH(C$24, CAD_JUROS[#Headers],0), FALSE)</f>
        <v xml:space="preserve">JUROS SOBRE PRINCIPAL                             </v>
      </c>
      <c r="D94" s="36">
        <f>VLOOKUP($A94, CAD_JUROS[#Data], MATCH(D$24, CAD_JUROS[#Headers],0), FALSE)</f>
        <v>44480</v>
      </c>
      <c r="E94" s="48">
        <f>VLOOKUP($A94, CAD_JUROS[#Data], MATCH(E$24, CAD_JUROS[#Headers],0), FALSE)</f>
        <v>0</v>
      </c>
      <c r="F94" s="36">
        <f>VLOOKUP($A94, CAD_JUROS[#Data], MATCH(F$24, CAD_JUROS[#Headers],0), FALSE)</f>
        <v>44484</v>
      </c>
      <c r="G94" s="47">
        <f>WORKDAY(WORKDAY(TAB_JUROS_U[[#This Row],[DT_EVE]], -1, TAB_FERIADOS[FER_DATA]), 1, TAB_FERIADOS[FER_DATA])</f>
        <v>44480</v>
      </c>
      <c r="H94" s="75">
        <f>WORKDAY(WORKDAY(TAB_JUROS_U[[#This Row],[DT_LQDC_EVE]], -1, TAB_FERIADOS[FER_DATA]), 1, TAB_FERIADOS[FER_DATA])</f>
        <v>44484</v>
      </c>
      <c r="I94" s="48">
        <f>PU_EMISSAO - SUMIF(TAB_AMORTIZACAO_U[DT_EVE], "&lt;" &amp; TAB_JUROS_U[[#This Row],[DT_EVE]], TAB_AMORTIZACAO_U[V_PU_AMTC])</f>
        <v>43701.496268000032</v>
      </c>
      <c r="J94" s="48">
        <f>IFERROR(VLOOKUP(TAB_JUROS_U[[#This Row],[DT_EVE]], TAB_AMORTIZACAO_U[[DT_EVE]:[V_PU_AMTC]], 2, FALSE), 0)</f>
        <v>662.29617499999995</v>
      </c>
      <c r="K94" s="48">
        <f>NETWORKDAYS(DT_CALCULO_U, TAB_JUROS_U[[#This Row],[dt_eve_u]], TAB_FERIADOS[FER_DATA]) -1</f>
        <v>1452</v>
      </c>
      <c r="L94" s="48">
        <f>NETWORKDAYS(DT_CALCULO_U, TAB_JUROS_U[[#This Row],[dt_lqdc_eve_u]], TAB_FERIADOS[FER_DATA]) -1</f>
        <v>1455</v>
      </c>
      <c r="M94" s="48">
        <f>NETWORKDAYS(IF(ISTEXT(H93), DT_B_JURS, H93), TAB_JUROS_U[[#This Row],[dt_lqdc_eve_u]],  TAB_FERIADOS[FER_DATA]) -1</f>
        <v>21</v>
      </c>
      <c r="N94" s="123">
        <f>(TX_EMISSAO/100 +1)^(TAB_JUROS_U[[#This Row],[dias_periodo_u]]/252)</f>
        <v>1.0020598362698427</v>
      </c>
      <c r="O94" s="78">
        <f>(TIR_U/100 +1)^(TAB_JUROS_U[[#This Row],[Q_DIAS_U_PARC_TIR]]/252)</f>
        <v>1.153252022100127</v>
      </c>
      <c r="P94" s="116" t="str">
        <f>"TX_CENARIO" &amp; TEXT(DT_CALCULO_C, "-AAAAMMDD") &amp; TEXT(TAB_JUROS_U[[#This Row],[DT_EVE]], "-AAAAMMDD")</f>
        <v>TX_CENARIO-20151228-20211011</v>
      </c>
      <c r="Q94" s="44">
        <f>IFERROR(VLOOKUP(TAB_JUROS_U[[#This Row],[Chave-CENARIO]],CENARIO[],2,FALSE), 0)</f>
        <v>16.443999999999999</v>
      </c>
      <c r="R94" s="116" t="str">
        <f>"CORRECAO_JURS_U" &amp; TEXT(DT_CALCULO_C, "-AAAAMMDD") &amp; TEXT(TAB_JUROS_U[[#This Row],[DT_EVE]], "-AAAAMMDD")</f>
        <v>CORRECAO_JURS_U-20151228-20211011</v>
      </c>
      <c r="S94" s="44">
        <f>IFERROR(VLOOKUP(TAB_JUROS_U[[#This Row],[Chave-CORC]],CORRECAO_JURS_U[],2, FALSE), 0)</f>
        <v>1.0132110299999999</v>
      </c>
      <c r="T94" s="78">
        <f>MAX(0, (TAB_JUROS_U[[#This Row],[CUPOM_TIR]] -1) * IF(TAB_JUROS_U[[#This Row],[ID_T_EVE]]=1, TAB_JUROS_U[[#This Row],[PU_AMORT]], TAB_JUROS_U[[#This Row],[V_NOML_PCPL]]) * TAB_JUROS_U[[#This Row],[CORRECAO_U]])</f>
        <v>91.207156594140841</v>
      </c>
      <c r="U94" s="78">
        <f>MAX(0, TAB_JUROS_U[[#This Row],[V_FUT_U_JURS-01]]/((((TAB_JUROS_U[[#This Row],[TX_CENARIO]]/100 +1)^(1/252) -1) * PC_IDXR/100 +1)^TAB_JUROS_U[[#This Row],[Q_DIAS_U_PARC_TIR]]))</f>
        <v>37.868777480934817</v>
      </c>
      <c r="V94" s="78">
        <f>+TAB_JUROS_U[[#This Row],[V_FUT_U_JURS CENARIO]]/TAB_JUROS_U[[#This Row],[VAR_DESCAP_U]]</f>
        <v>32.836515137405925</v>
      </c>
      <c r="W94" s="78"/>
      <c r="X94" s="64">
        <f>TAB_JUROS_U[[#This Row],[dt_eve_u]]- DT_CALCULO_C</f>
        <v>2114</v>
      </c>
      <c r="Y94" s="48" t="str">
        <f>"CORRECAO_JURS_C" &amp; TEXT(DT_CALCULO_C, "-AAAAMMDD") &amp; TEXT(TAB_JUROS_U[[#This Row],[DT_EVE]], "-AAAAMMDD")</f>
        <v>CORRECAO_JURS_C-20151228-20211011</v>
      </c>
      <c r="Z94" s="44">
        <f>IFERROR(VLOOKUP(TAB_JUROS_C[[#This Row],[Chave-CORC]],CORRECAO_JURS_C[],2, FALSE), 0)</f>
        <v>1</v>
      </c>
      <c r="AA9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90.017927059223638</v>
      </c>
      <c r="AB94" s="63">
        <f>(TIR_C/100 +1)^(TAB_JUROS_C[[#This Row],[DIAS_CORRIDOS]]/360)</f>
        <v>1.1536726984047554</v>
      </c>
      <c r="AC94" s="78">
        <f>IF(TAB_JUROS_C[[#This Row],[DIAS_CORRIDOS]]&lt;0, 0, TAB_JUROS_C[[#This Row],[V_FUT_C_JURS]]/TAB_JUROS_C[[#This Row],[VAR_DESCAP_C]])</f>
        <v>78.027266471414478</v>
      </c>
      <c r="AD94" s="78">
        <f>TAB_JUROS_U[[#This Row],[V_FUT_U_JURS CENARIO]]</f>
        <v>37.868777480934817</v>
      </c>
      <c r="AE94" s="124">
        <f>IF(TAB_JUROS_C[[#This Row],[DIAS_CORRIDOS]]&lt;0, 0, TAB_JUROS_C[[#This Row],[V_FUT_UTEIS]]/TAB_JUROS_C[[#This Row],[VAR_DESCAP_C]])</f>
        <v>32.82454159944843</v>
      </c>
      <c r="AF94" s="64"/>
    </row>
    <row r="95" spans="1:32">
      <c r="A95" s="82">
        <f t="shared" si="2"/>
        <v>71</v>
      </c>
      <c r="B95" s="24">
        <f>VLOOKUP($A95, CAD_JUROS[#Data], MATCH(B$24, CAD_JUROS[#Headers],0), FALSE)</f>
        <v>2</v>
      </c>
      <c r="C95" s="24" t="str">
        <f>VLOOKUP($A95, CAD_JUROS[#Data], MATCH(C$24, CAD_JUROS[#Headers],0), FALSE)</f>
        <v xml:space="preserve">JUROS SOBRE PRINCIPAL                             </v>
      </c>
      <c r="D95" s="36">
        <f>VLOOKUP($A95, CAD_JUROS[#Data], MATCH(D$24, CAD_JUROS[#Headers],0), FALSE)</f>
        <v>44510</v>
      </c>
      <c r="E95" s="48">
        <f>VLOOKUP($A95, CAD_JUROS[#Data], MATCH(E$24, CAD_JUROS[#Headers],0), FALSE)</f>
        <v>0</v>
      </c>
      <c r="F95" s="36">
        <f>VLOOKUP($A95, CAD_JUROS[#Data], MATCH(F$24, CAD_JUROS[#Headers],0), FALSE)</f>
        <v>44516</v>
      </c>
      <c r="G95" s="47">
        <f>WORKDAY(WORKDAY(TAB_JUROS_U[[#This Row],[DT_EVE]], -1, TAB_FERIADOS[FER_DATA]), 1, TAB_FERIADOS[FER_DATA])</f>
        <v>44510</v>
      </c>
      <c r="H95" s="75">
        <f>WORKDAY(WORKDAY(TAB_JUROS_U[[#This Row],[DT_LQDC_EVE]], -1, TAB_FERIADOS[FER_DATA]), 1, TAB_FERIADOS[FER_DATA])</f>
        <v>44516</v>
      </c>
      <c r="I95" s="48">
        <f>PU_EMISSAO - SUMIF(TAB_AMORTIZACAO_U[DT_EVE], "&lt;" &amp; TAB_JUROS_U[[#This Row],[DT_EVE]], TAB_AMORTIZACAO_U[V_PU_AMTC])</f>
        <v>43039.200093000029</v>
      </c>
      <c r="J95" s="48">
        <f>IFERROR(VLOOKUP(TAB_JUROS_U[[#This Row],[DT_EVE]], TAB_AMORTIZACAO_U[[DT_EVE]:[V_PU_AMTC]], 2, FALSE), 0)</f>
        <v>659.14534900000001</v>
      </c>
      <c r="K95" s="48">
        <f>NETWORKDAYS(DT_CALCULO_U, TAB_JUROS_U[[#This Row],[dt_eve_u]], TAB_FERIADOS[FER_DATA]) -1</f>
        <v>1472</v>
      </c>
      <c r="L95" s="48">
        <f>NETWORKDAYS(DT_CALCULO_U, TAB_JUROS_U[[#This Row],[dt_lqdc_eve_u]], TAB_FERIADOS[FER_DATA]) -1</f>
        <v>1475</v>
      </c>
      <c r="M95" s="48">
        <f>NETWORKDAYS(IF(ISTEXT(H94), DT_B_JURS, H94), TAB_JUROS_U[[#This Row],[dt_lqdc_eve_u]],  TAB_FERIADOS[FER_DATA]) -1</f>
        <v>20</v>
      </c>
      <c r="N95" s="123">
        <f>(TX_EMISSAO/100 +1)^(TAB_JUROS_U[[#This Row],[dias_periodo_u]]/252)</f>
        <v>1.0019616526860928</v>
      </c>
      <c r="O95" s="78">
        <f>(TIR_U/100 +1)^(TAB_JUROS_U[[#This Row],[Q_DIAS_U_PARC_TIR]]/252)</f>
        <v>1.1555145459176779</v>
      </c>
      <c r="P95" s="116" t="str">
        <f>"TX_CENARIO" &amp; TEXT(DT_CALCULO_C, "-AAAAMMDD") &amp; TEXT(TAB_JUROS_U[[#This Row],[DT_EVE]], "-AAAAMMDD")</f>
        <v>TX_CENARIO-20151228-20211110</v>
      </c>
      <c r="Q95" s="44">
        <f>IFERROR(VLOOKUP(TAB_JUROS_U[[#This Row],[Chave-CENARIO]],CENARIO[],2,FALSE), 0)</f>
        <v>16.4404</v>
      </c>
      <c r="R95" s="116" t="str">
        <f>"CORRECAO_JURS_U" &amp; TEXT(DT_CALCULO_C, "-AAAAMMDD") &amp; TEXT(TAB_JUROS_U[[#This Row],[DT_EVE]], "-AAAAMMDD")</f>
        <v>CORRECAO_JURS_U-20151228-20211110</v>
      </c>
      <c r="S95" s="44">
        <f>IFERROR(VLOOKUP(TAB_JUROS_U[[#This Row],[Chave-CORC]],CORRECAO_JURS_U[],2, FALSE), 0)</f>
        <v>1.01198791</v>
      </c>
      <c r="T95" s="78">
        <f>MAX(0, (TAB_JUROS_U[[#This Row],[CUPOM_TIR]] -1) * IF(TAB_JUROS_U[[#This Row],[ID_T_EVE]]=1, TAB_JUROS_U[[#This Row],[PU_AMORT]], TAB_JUROS_U[[#This Row],[V_NOML_PCPL]]) * TAB_JUROS_U[[#This Row],[CORRECAO_U]])</f>
        <v>85.440077285290656</v>
      </c>
      <c r="U95" s="78">
        <f>MAX(0, TAB_JUROS_U[[#This Row],[V_FUT_U_JURS-01]]/((((TAB_JUROS_U[[#This Row],[TX_CENARIO]]/100 +1)^(1/252) -1) * PC_IDXR/100 +1)^TAB_JUROS_U[[#This Row],[Q_DIAS_U_PARC_TIR]]))</f>
        <v>35.05461493032076</v>
      </c>
      <c r="V95" s="78">
        <f>+TAB_JUROS_U[[#This Row],[V_FUT_U_JURS CENARIO]]/TAB_JUROS_U[[#This Row],[VAR_DESCAP_U]]</f>
        <v>30.336801084993134</v>
      </c>
      <c r="W95" s="78"/>
      <c r="X95" s="64">
        <f>TAB_JUROS_U[[#This Row],[dt_eve_u]]- DT_CALCULO_C</f>
        <v>2144</v>
      </c>
      <c r="Y95" s="48" t="str">
        <f>"CORRECAO_JURS_C" &amp; TEXT(DT_CALCULO_C, "-AAAAMMDD") &amp; TEXT(TAB_JUROS_U[[#This Row],[DT_EVE]], "-AAAAMMDD")</f>
        <v>CORRECAO_JURS_C-20151228-20211110</v>
      </c>
      <c r="Z95" s="44">
        <f>IFERROR(VLOOKUP(TAB_JUROS_C[[#This Row],[Chave-CORC]],CORRECAO_JURS_C[],2, FALSE), 0)</f>
        <v>1</v>
      </c>
      <c r="AA9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84.427962469720271</v>
      </c>
      <c r="AB95" s="63">
        <f>(TIR_C/100 +1)^(TAB_JUROS_C[[#This Row],[DIAS_CORRIDOS]]/360)</f>
        <v>1.156015444181774</v>
      </c>
      <c r="AC95" s="78">
        <f>IF(TAB_JUROS_C[[#This Row],[DIAS_CORRIDOS]]&lt;0, 0, TAB_JUROS_C[[#This Row],[V_FUT_C_JURS]]/TAB_JUROS_C[[#This Row],[VAR_DESCAP_C]])</f>
        <v>73.033593880294788</v>
      </c>
      <c r="AD95" s="78">
        <f>TAB_JUROS_U[[#This Row],[V_FUT_U_JURS CENARIO]]</f>
        <v>35.05461493032076</v>
      </c>
      <c r="AE95" s="124">
        <f>IF(TAB_JUROS_C[[#This Row],[DIAS_CORRIDOS]]&lt;0, 0, TAB_JUROS_C[[#This Row],[V_FUT_UTEIS]]/TAB_JUROS_C[[#This Row],[VAR_DESCAP_C]])</f>
        <v>30.323656233790512</v>
      </c>
      <c r="AF95" s="64"/>
    </row>
    <row r="96" spans="1:32">
      <c r="A96" s="82">
        <f t="shared" si="2"/>
        <v>72</v>
      </c>
      <c r="B96" s="24">
        <f>VLOOKUP($A96, CAD_JUROS[#Data], MATCH(B$24, CAD_JUROS[#Headers],0), FALSE)</f>
        <v>2</v>
      </c>
      <c r="C96" s="24" t="str">
        <f>VLOOKUP($A96, CAD_JUROS[#Data], MATCH(C$24, CAD_JUROS[#Headers],0), FALSE)</f>
        <v xml:space="preserve">JUROS SOBRE PRINCIPAL                             </v>
      </c>
      <c r="D96" s="36">
        <f>VLOOKUP($A96, CAD_JUROS[#Data], MATCH(D$24, CAD_JUROS[#Headers],0), FALSE)</f>
        <v>44538</v>
      </c>
      <c r="E96" s="48">
        <f>VLOOKUP($A96, CAD_JUROS[#Data], MATCH(E$24, CAD_JUROS[#Headers],0), FALSE)</f>
        <v>0</v>
      </c>
      <c r="F96" s="36">
        <f>VLOOKUP($A96, CAD_JUROS[#Data], MATCH(F$24, CAD_JUROS[#Headers],0), FALSE)</f>
        <v>44544</v>
      </c>
      <c r="G96" s="47">
        <f>WORKDAY(WORKDAY(TAB_JUROS_U[[#This Row],[DT_EVE]], -1, TAB_FERIADOS[FER_DATA]), 1, TAB_FERIADOS[FER_DATA])</f>
        <v>44538</v>
      </c>
      <c r="H96" s="75">
        <f>WORKDAY(WORKDAY(TAB_JUROS_U[[#This Row],[DT_LQDC_EVE]], -1, TAB_FERIADOS[FER_DATA]), 1, TAB_FERIADOS[FER_DATA])</f>
        <v>44544</v>
      </c>
      <c r="I96" s="48">
        <f>PU_EMISSAO - SUMIF(TAB_AMORTIZACAO_U[DT_EVE], "&lt;" &amp; TAB_JUROS_U[[#This Row],[DT_EVE]], TAB_AMORTIZACAO_U[V_PU_AMTC])</f>
        <v>42380.05474400003</v>
      </c>
      <c r="J96" s="48">
        <f>IFERROR(VLOOKUP(TAB_JUROS_U[[#This Row],[DT_EVE]], TAB_AMORTIZACAO_U[[DT_EVE]:[V_PU_AMTC]], 2, FALSE), 0)</f>
        <v>651.97476200000006</v>
      </c>
      <c r="K96" s="48">
        <f>NETWORKDAYS(DT_CALCULO_U, TAB_JUROS_U[[#This Row],[dt_eve_u]], TAB_FERIADOS[FER_DATA]) -1</f>
        <v>1491</v>
      </c>
      <c r="L96" s="48">
        <f>NETWORKDAYS(DT_CALCULO_U, TAB_JUROS_U[[#This Row],[dt_lqdc_eve_u]], TAB_FERIADOS[FER_DATA]) -1</f>
        <v>1495</v>
      </c>
      <c r="M96" s="48">
        <f>NETWORKDAYS(IF(ISTEXT(H95), DT_B_JURS, H95), TAB_JUROS_U[[#This Row],[dt_lqdc_eve_u]],  TAB_FERIADOS[FER_DATA]) -1</f>
        <v>20</v>
      </c>
      <c r="N96" s="123">
        <f>(TX_EMISSAO/100 +1)^(TAB_JUROS_U[[#This Row],[dias_periodo_u]]/252)</f>
        <v>1.0019616526860928</v>
      </c>
      <c r="O96" s="78">
        <f>(TIR_U/100 +1)^(TAB_JUROS_U[[#This Row],[Q_DIAS_U_PARC_TIR]]/252)</f>
        <v>1.157781508499633</v>
      </c>
      <c r="P96" s="116" t="str">
        <f>"TX_CENARIO" &amp; TEXT(DT_CALCULO_C, "-AAAAMMDD") &amp; TEXT(TAB_JUROS_U[[#This Row],[DT_EVE]], "-AAAAMMDD")</f>
        <v>TX_CENARIO-20151228-20211208</v>
      </c>
      <c r="Q96" s="44">
        <f>IFERROR(VLOOKUP(TAB_JUROS_U[[#This Row],[Chave-CENARIO]],CENARIO[],2,FALSE), 0)</f>
        <v>16.436900000000001</v>
      </c>
      <c r="R96" s="116" t="str">
        <f>"CORRECAO_JURS_U" &amp; TEXT(DT_CALCULO_C, "-AAAAMMDD") &amp; TEXT(TAB_JUROS_U[[#This Row],[DT_EVE]], "-AAAAMMDD")</f>
        <v>CORRECAO_JURS_U-20151228-20211208</v>
      </c>
      <c r="S96" s="44">
        <f>IFERROR(VLOOKUP(TAB_JUROS_U[[#This Row],[Chave-CORC]],CORRECAO_JURS_U[],2, FALSE), 0)</f>
        <v>1.0113851199999999</v>
      </c>
      <c r="T96" s="78">
        <f>MAX(0, (TAB_JUROS_U[[#This Row],[CUPOM_TIR]] -1) * IF(TAB_JUROS_U[[#This Row],[ID_T_EVE]]=1, TAB_JUROS_U[[#This Row],[PU_AMORT]], TAB_JUROS_U[[#This Row],[V_NOML_PCPL]]) * TAB_JUROS_U[[#This Row],[CORRECAO_U]])</f>
        <v>84.081449587067979</v>
      </c>
      <c r="U96" s="78">
        <f>MAX(0, TAB_JUROS_U[[#This Row],[V_FUT_U_JURS-01]]/((((TAB_JUROS_U[[#This Row],[TX_CENARIO]]/100 +1)^(1/252) -1) * PC_IDXR/100 +1)^TAB_JUROS_U[[#This Row],[Q_DIAS_U_PARC_TIR]]))</f>
        <v>34.089048529776719</v>
      </c>
      <c r="V96" s="78">
        <f>+TAB_JUROS_U[[#This Row],[V_FUT_U_JURS CENARIO]]/TAB_JUROS_U[[#This Row],[VAR_DESCAP_U]]</f>
        <v>29.4434211287004</v>
      </c>
      <c r="W96" s="78"/>
      <c r="X96" s="64">
        <f>TAB_JUROS_U[[#This Row],[dt_eve_u]]- DT_CALCULO_C</f>
        <v>2172</v>
      </c>
      <c r="Y96" s="48" t="str">
        <f>"CORRECAO_JURS_C" &amp; TEXT(DT_CALCULO_C, "-AAAAMMDD") &amp; TEXT(TAB_JUROS_U[[#This Row],[DT_EVE]], "-AAAAMMDD")</f>
        <v>CORRECAO_JURS_C-20151228-20211208</v>
      </c>
      <c r="Z96" s="44">
        <f>IFERROR(VLOOKUP(TAB_JUROS_C[[#This Row],[Chave-CORC]],CORRECAO_JURS_C[],2, FALSE), 0)</f>
        <v>1</v>
      </c>
      <c r="AA9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83.134948225328827</v>
      </c>
      <c r="AB96" s="63">
        <f>(TIR_C/100 +1)^(TAB_JUROS_C[[#This Row],[DIAS_CORRIDOS]]/360)</f>
        <v>1.1582062989260726</v>
      </c>
      <c r="AC96" s="78">
        <f>IF(TAB_JUROS_C[[#This Row],[DIAS_CORRIDOS]]&lt;0, 0, TAB_JUROS_C[[#This Row],[V_FUT_C_JURS]]/TAB_JUROS_C[[#This Row],[VAR_DESCAP_C]])</f>
        <v>71.779050331891924</v>
      </c>
      <c r="AD96" s="78">
        <f>TAB_JUROS_U[[#This Row],[V_FUT_U_JURS CENARIO]]</f>
        <v>34.089048529776719</v>
      </c>
      <c r="AE96" s="124">
        <f>IF(TAB_JUROS_C[[#This Row],[DIAS_CORRIDOS]]&lt;0, 0, TAB_JUROS_C[[#This Row],[V_FUT_UTEIS]]/TAB_JUROS_C[[#This Row],[VAR_DESCAP_C]])</f>
        <v>29.432622289643234</v>
      </c>
      <c r="AF96" s="64"/>
    </row>
    <row r="97" spans="1:32">
      <c r="A97" s="82">
        <f t="shared" si="2"/>
        <v>73</v>
      </c>
      <c r="B97" s="24">
        <f>VLOOKUP($A97, CAD_JUROS[#Data], MATCH(B$24, CAD_JUROS[#Headers],0), FALSE)</f>
        <v>2</v>
      </c>
      <c r="C97" s="24" t="str">
        <f>VLOOKUP($A97, CAD_JUROS[#Data], MATCH(C$24, CAD_JUROS[#Headers],0), FALSE)</f>
        <v xml:space="preserve">JUROS SOBRE PRINCIPAL                             </v>
      </c>
      <c r="D97" s="36">
        <f>VLOOKUP($A97, CAD_JUROS[#Data], MATCH(D$24, CAD_JUROS[#Headers],0), FALSE)</f>
        <v>44571</v>
      </c>
      <c r="E97" s="48">
        <f>VLOOKUP($A97, CAD_JUROS[#Data], MATCH(E$24, CAD_JUROS[#Headers],0), FALSE)</f>
        <v>0</v>
      </c>
      <c r="F97" s="36">
        <f>VLOOKUP($A97, CAD_JUROS[#Data], MATCH(F$24, CAD_JUROS[#Headers],0), FALSE)</f>
        <v>44575</v>
      </c>
      <c r="G97" s="47">
        <f>WORKDAY(WORKDAY(TAB_JUROS_U[[#This Row],[DT_EVE]], -1, TAB_FERIADOS[FER_DATA]), 1, TAB_FERIADOS[FER_DATA])</f>
        <v>44571</v>
      </c>
      <c r="H97" s="75">
        <f>WORKDAY(WORKDAY(TAB_JUROS_U[[#This Row],[DT_LQDC_EVE]], -1, TAB_FERIADOS[FER_DATA]), 1, TAB_FERIADOS[FER_DATA])</f>
        <v>44575</v>
      </c>
      <c r="I97" s="48">
        <f>PU_EMISSAO - SUMIF(TAB_AMORTIZACAO_U[DT_EVE], "&lt;" &amp; TAB_JUROS_U[[#This Row],[DT_EVE]], TAB_AMORTIZACAO_U[V_PU_AMTC])</f>
        <v>41728.079982000032</v>
      </c>
      <c r="J97" s="48">
        <f>IFERROR(VLOOKUP(TAB_JUROS_U[[#This Row],[DT_EVE]], TAB_AMORTIZACAO_U[[DT_EVE]:[V_PU_AMTC]], 2, FALSE), 0)</f>
        <v>686.51037099999996</v>
      </c>
      <c r="K97" s="48">
        <f>NETWORKDAYS(DT_CALCULO_U, TAB_JUROS_U[[#This Row],[dt_eve_u]], TAB_FERIADOS[FER_DATA]) -1</f>
        <v>1514</v>
      </c>
      <c r="L97" s="48">
        <f>NETWORKDAYS(DT_CALCULO_U, TAB_JUROS_U[[#This Row],[dt_lqdc_eve_u]], TAB_FERIADOS[FER_DATA]) -1</f>
        <v>1518</v>
      </c>
      <c r="M97" s="48">
        <f>NETWORKDAYS(IF(ISTEXT(H96), DT_B_JURS, H96), TAB_JUROS_U[[#This Row],[dt_lqdc_eve_u]],  TAB_FERIADOS[FER_DATA]) -1</f>
        <v>23</v>
      </c>
      <c r="N97" s="123">
        <f>(TX_EMISSAO/100 +1)^(TAB_JUROS_U[[#This Row],[dias_periodo_u]]/252)</f>
        <v>1.0022562323017139</v>
      </c>
      <c r="O97" s="78">
        <f>(TIR_U/100 +1)^(TAB_JUROS_U[[#This Row],[Q_DIAS_U_PARC_TIR]]/252)</f>
        <v>1.1603940141960642</v>
      </c>
      <c r="P97" s="116" t="str">
        <f>"TX_CENARIO" &amp; TEXT(DT_CALCULO_C, "-AAAAMMDD") &amp; TEXT(TAB_JUROS_U[[#This Row],[DT_EVE]], "-AAAAMMDD")</f>
        <v>TX_CENARIO-20151228-20220110</v>
      </c>
      <c r="Q97" s="44">
        <f>IFERROR(VLOOKUP(TAB_JUROS_U[[#This Row],[Chave-CENARIO]],CENARIO[],2,FALSE), 0)</f>
        <v>16.433199999999999</v>
      </c>
      <c r="R97" s="116" t="str">
        <f>"CORRECAO_JURS_U" &amp; TEXT(DT_CALCULO_C, "-AAAAMMDD") &amp; TEXT(TAB_JUROS_U[[#This Row],[DT_EVE]], "-AAAAMMDD")</f>
        <v>CORRECAO_JURS_U-20151228-20220110</v>
      </c>
      <c r="S97" s="44">
        <f>IFERROR(VLOOKUP(TAB_JUROS_U[[#This Row],[Chave-CORC]],CORRECAO_JURS_U[],2, FALSE), 0)</f>
        <v>1.0138033900000001</v>
      </c>
      <c r="T97" s="78">
        <f>MAX(0, (TAB_JUROS_U[[#This Row],[CUPOM_TIR]] -1) * IF(TAB_JUROS_U[[#This Row],[ID_T_EVE]]=1, TAB_JUROS_U[[#This Row],[PU_AMORT]], TAB_JUROS_U[[#This Row],[V_NOML_PCPL]]) * TAB_JUROS_U[[#This Row],[CORRECAO_U]])</f>
        <v>95.447806845255542</v>
      </c>
      <c r="U97" s="78">
        <f>MAX(0, TAB_JUROS_U[[#This Row],[V_FUT_U_JURS-01]]/((((TAB_JUROS_U[[#This Row],[TX_CENARIO]]/100 +1)^(1/252) -1) * PC_IDXR/100 +1)^TAB_JUROS_U[[#This Row],[Q_DIAS_U_PARC_TIR]]))</f>
        <v>38.170837986232172</v>
      </c>
      <c r="V97" s="78">
        <f>+TAB_JUROS_U[[#This Row],[V_FUT_U_JURS CENARIO]]/TAB_JUROS_U[[#This Row],[VAR_DESCAP_U]]</f>
        <v>32.894721550832379</v>
      </c>
      <c r="W97" s="78"/>
      <c r="X97" s="64">
        <f>TAB_JUROS_U[[#This Row],[dt_eve_u]]- DT_CALCULO_C</f>
        <v>2205</v>
      </c>
      <c r="Y97" s="48" t="str">
        <f>"CORRECAO_JURS_C" &amp; TEXT(DT_CALCULO_C, "-AAAAMMDD") &amp; TEXT(TAB_JUROS_U[[#This Row],[DT_EVE]], "-AAAAMMDD")</f>
        <v>CORRECAO_JURS_C-20151228-20220110</v>
      </c>
      <c r="Z97" s="44">
        <f>IFERROR(VLOOKUP(TAB_JUROS_C[[#This Row],[Chave-CORC]],CORRECAO_JURS_C[],2, FALSE), 0)</f>
        <v>1</v>
      </c>
      <c r="AA9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94.148241943889673</v>
      </c>
      <c r="AB97" s="63">
        <f>(TIR_C/100 +1)^(TAB_JUROS_C[[#This Row],[DIAS_CORRIDOS]]/360)</f>
        <v>1.1607937087507167</v>
      </c>
      <c r="AC97" s="78">
        <f>IF(TAB_JUROS_C[[#This Row],[DIAS_CORRIDOS]]&lt;0, 0, TAB_JUROS_C[[#This Row],[V_FUT_C_JURS]]/TAB_JUROS_C[[#This Row],[VAR_DESCAP_C]])</f>
        <v>81.106781708194319</v>
      </c>
      <c r="AD97" s="78">
        <f>TAB_JUROS_U[[#This Row],[V_FUT_U_JURS CENARIO]]</f>
        <v>38.170837986232172</v>
      </c>
      <c r="AE97" s="124">
        <f>IF(TAB_JUROS_C[[#This Row],[DIAS_CORRIDOS]]&lt;0, 0, TAB_JUROS_C[[#This Row],[V_FUT_UTEIS]]/TAB_JUROS_C[[#This Row],[VAR_DESCAP_C]])</f>
        <v>32.883394955088832</v>
      </c>
      <c r="AF97" s="64"/>
    </row>
    <row r="98" spans="1:32">
      <c r="A98" s="82">
        <f t="shared" si="2"/>
        <v>74</v>
      </c>
      <c r="B98" s="24">
        <f>VLOOKUP($A98, CAD_JUROS[#Data], MATCH(B$24, CAD_JUROS[#Headers],0), FALSE)</f>
        <v>2</v>
      </c>
      <c r="C98" s="24" t="str">
        <f>VLOOKUP($A98, CAD_JUROS[#Data], MATCH(C$24, CAD_JUROS[#Headers],0), FALSE)</f>
        <v xml:space="preserve">JUROS SOBRE PRINCIPAL                             </v>
      </c>
      <c r="D98" s="36">
        <f>VLOOKUP($A98, CAD_JUROS[#Data], MATCH(D$24, CAD_JUROS[#Headers],0), FALSE)</f>
        <v>44600</v>
      </c>
      <c r="E98" s="48">
        <f>VLOOKUP($A98, CAD_JUROS[#Data], MATCH(E$24, CAD_JUROS[#Headers],0), FALSE)</f>
        <v>0</v>
      </c>
      <c r="F98" s="36">
        <f>VLOOKUP($A98, CAD_JUROS[#Data], MATCH(F$24, CAD_JUROS[#Headers],0), FALSE)</f>
        <v>44606</v>
      </c>
      <c r="G98" s="47">
        <f>WORKDAY(WORKDAY(TAB_JUROS_U[[#This Row],[DT_EVE]], -1, TAB_FERIADOS[FER_DATA]), 1, TAB_FERIADOS[FER_DATA])</f>
        <v>44600</v>
      </c>
      <c r="H98" s="75">
        <f>WORKDAY(WORKDAY(TAB_JUROS_U[[#This Row],[DT_LQDC_EVE]], -1, TAB_FERIADOS[FER_DATA]), 1, TAB_FERIADOS[FER_DATA])</f>
        <v>44606</v>
      </c>
      <c r="I98" s="48">
        <f>PU_EMISSAO - SUMIF(TAB_AMORTIZACAO_U[DT_EVE], "&lt;" &amp; TAB_JUROS_U[[#This Row],[DT_EVE]], TAB_AMORTIZACAO_U[V_PU_AMTC])</f>
        <v>41041.569611000035</v>
      </c>
      <c r="J98" s="48">
        <f>IFERROR(VLOOKUP(TAB_JUROS_U[[#This Row],[DT_EVE]], TAB_AMORTIZACAO_U[[DT_EVE]:[V_PU_AMTC]], 2, FALSE), 0)</f>
        <v>686.58441800000003</v>
      </c>
      <c r="K98" s="48">
        <f>NETWORKDAYS(DT_CALCULO_U, TAB_JUROS_U[[#This Row],[dt_eve_u]], TAB_FERIADOS[FER_DATA]) -1</f>
        <v>1535</v>
      </c>
      <c r="L98" s="48">
        <f>NETWORKDAYS(DT_CALCULO_U, TAB_JUROS_U[[#This Row],[dt_lqdc_eve_u]], TAB_FERIADOS[FER_DATA]) -1</f>
        <v>1539</v>
      </c>
      <c r="M98" s="48">
        <f>NETWORKDAYS(IF(ISTEXT(H97), DT_B_JURS, H97), TAB_JUROS_U[[#This Row],[dt_lqdc_eve_u]],  TAB_FERIADOS[FER_DATA]) -1</f>
        <v>21</v>
      </c>
      <c r="N98" s="123">
        <f>(TX_EMISSAO/100 +1)^(TAB_JUROS_U[[#This Row],[dias_periodo_u]]/252)</f>
        <v>1.0020598362698427</v>
      </c>
      <c r="O98" s="78">
        <f>(TIR_U/100 +1)^(TAB_JUROS_U[[#This Row],[Q_DIAS_U_PARC_TIR]]/252)</f>
        <v>1.1627844935701674</v>
      </c>
      <c r="P98" s="116" t="str">
        <f>"TX_CENARIO" &amp; TEXT(DT_CALCULO_C, "-AAAAMMDD") &amp; TEXT(TAB_JUROS_U[[#This Row],[DT_EVE]], "-AAAAMMDD")</f>
        <v>TX_CENARIO-20151228-20220208</v>
      </c>
      <c r="Q98" s="44">
        <f>IFERROR(VLOOKUP(TAB_JUROS_U[[#This Row],[Chave-CENARIO]],CENARIO[],2,FALSE), 0)</f>
        <v>16.430099999999999</v>
      </c>
      <c r="R98" s="116" t="str">
        <f>"CORRECAO_JURS_U" &amp; TEXT(DT_CALCULO_C, "-AAAAMMDD") &amp; TEXT(TAB_JUROS_U[[#This Row],[DT_EVE]], "-AAAAMMDD")</f>
        <v>CORRECAO_JURS_U-20151228-20220208</v>
      </c>
      <c r="S98" s="44">
        <f>IFERROR(VLOOKUP(TAB_JUROS_U[[#This Row],[Chave-CORC]],CORRECAO_JURS_U[],2, FALSE), 0)</f>
        <v>1.0126117699999999</v>
      </c>
      <c r="T98" s="78">
        <f>MAX(0, (TAB_JUROS_U[[#This Row],[CUPOM_TIR]] -1) * IF(TAB_JUROS_U[[#This Row],[ID_T_EVE]]=1, TAB_JUROS_U[[#This Row],[PU_AMORT]], TAB_JUROS_U[[#This Row],[V_NOML_PCPL]]) * TAB_JUROS_U[[#This Row],[CORRECAO_U]])</f>
        <v>85.605098991093001</v>
      </c>
      <c r="U98" s="78">
        <f>MAX(0, TAB_JUROS_U[[#This Row],[V_FUT_U_JURS-01]]/((((TAB_JUROS_U[[#This Row],[TX_CENARIO]]/100 +1)^(1/252) -1) * PC_IDXR/100 +1)^TAB_JUROS_U[[#This Row],[Q_DIAS_U_PARC_TIR]]))</f>
        <v>33.808786987650208</v>
      </c>
      <c r="V98" s="78">
        <f>+TAB_JUROS_U[[#This Row],[V_FUT_U_JURS CENARIO]]/TAB_JUROS_U[[#This Row],[VAR_DESCAP_U]]</f>
        <v>29.075711943702522</v>
      </c>
      <c r="W98" s="78"/>
      <c r="X98" s="64">
        <f>TAB_JUROS_U[[#This Row],[dt_eve_u]]- DT_CALCULO_C</f>
        <v>2234</v>
      </c>
      <c r="Y98" s="48" t="str">
        <f>"CORRECAO_JURS_C" &amp; TEXT(DT_CALCULO_C, "-AAAAMMDD") &amp; TEXT(TAB_JUROS_U[[#This Row],[DT_EVE]], "-AAAAMMDD")</f>
        <v>CORRECAO_JURS_C-20151228-20220208</v>
      </c>
      <c r="Z98" s="44">
        <f>IFERROR(VLOOKUP(TAB_JUROS_C[[#This Row],[Chave-CORC]],CORRECAO_JURS_C[],2, FALSE), 0)</f>
        <v>1</v>
      </c>
      <c r="AA9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84.538913656013506</v>
      </c>
      <c r="AB98" s="63">
        <f>(TIR_C/100 +1)^(TAB_JUROS_C[[#This Row],[DIAS_CORRIDOS]]/360)</f>
        <v>1.1630722644468348</v>
      </c>
      <c r="AC98" s="78">
        <f>IF(TAB_JUROS_C[[#This Row],[DIAS_CORRIDOS]]&lt;0, 0, TAB_JUROS_C[[#This Row],[V_FUT_C_JURS]]/TAB_JUROS_C[[#This Row],[VAR_DESCAP_C]])</f>
        <v>72.685865049168555</v>
      </c>
      <c r="AD98" s="78">
        <f>TAB_JUROS_U[[#This Row],[V_FUT_U_JURS CENARIO]]</f>
        <v>33.808786987650208</v>
      </c>
      <c r="AE98" s="124">
        <f>IF(TAB_JUROS_C[[#This Row],[DIAS_CORRIDOS]]&lt;0, 0, TAB_JUROS_C[[#This Row],[V_FUT_UTEIS]]/TAB_JUROS_C[[#This Row],[VAR_DESCAP_C]])</f>
        <v>29.068517942631797</v>
      </c>
      <c r="AF98" s="64"/>
    </row>
    <row r="99" spans="1:32">
      <c r="A99" s="82">
        <f t="shared" si="2"/>
        <v>75</v>
      </c>
      <c r="B99" s="24">
        <f>VLOOKUP($A99, CAD_JUROS[#Data], MATCH(B$24, CAD_JUROS[#Headers],0), FALSE)</f>
        <v>2</v>
      </c>
      <c r="C99" s="24" t="str">
        <f>VLOOKUP($A99, CAD_JUROS[#Data], MATCH(C$24, CAD_JUROS[#Headers],0), FALSE)</f>
        <v xml:space="preserve">JUROS SOBRE PRINCIPAL                             </v>
      </c>
      <c r="D99" s="36">
        <f>VLOOKUP($A99, CAD_JUROS[#Data], MATCH(D$24, CAD_JUROS[#Headers],0), FALSE)</f>
        <v>44629</v>
      </c>
      <c r="E99" s="48">
        <f>VLOOKUP($A99, CAD_JUROS[#Data], MATCH(E$24, CAD_JUROS[#Headers],0), FALSE)</f>
        <v>0</v>
      </c>
      <c r="F99" s="36">
        <f>VLOOKUP($A99, CAD_JUROS[#Data], MATCH(F$24, CAD_JUROS[#Headers],0), FALSE)</f>
        <v>44635</v>
      </c>
      <c r="G99" s="47">
        <f>WORKDAY(WORKDAY(TAB_JUROS_U[[#This Row],[DT_EVE]], -1, TAB_FERIADOS[FER_DATA]), 1, TAB_FERIADOS[FER_DATA])</f>
        <v>44629</v>
      </c>
      <c r="H99" s="75">
        <f>WORKDAY(WORKDAY(TAB_JUROS_U[[#This Row],[DT_LQDC_EVE]], -1, TAB_FERIADOS[FER_DATA]), 1, TAB_FERIADOS[FER_DATA])</f>
        <v>44635</v>
      </c>
      <c r="I99" s="48">
        <f>PU_EMISSAO - SUMIF(TAB_AMORTIZACAO_U[DT_EVE], "&lt;" &amp; TAB_JUROS_U[[#This Row],[DT_EVE]], TAB_AMORTIZACAO_U[V_PU_AMTC])</f>
        <v>40354.985193000037</v>
      </c>
      <c r="J99" s="48">
        <f>IFERROR(VLOOKUP(TAB_JUROS_U[[#This Row],[DT_EVE]], TAB_AMORTIZACAO_U[[DT_EVE]:[V_PU_AMTC]], 2, FALSE), 0)</f>
        <v>687.81036700000004</v>
      </c>
      <c r="K99" s="48">
        <f>NETWORKDAYS(DT_CALCULO_U, TAB_JUROS_U[[#This Row],[dt_eve_u]], TAB_FERIADOS[FER_DATA]) -1</f>
        <v>1554</v>
      </c>
      <c r="L99" s="48">
        <f>NETWORKDAYS(DT_CALCULO_U, TAB_JUROS_U[[#This Row],[dt_lqdc_eve_u]], TAB_FERIADOS[FER_DATA]) -1</f>
        <v>1558</v>
      </c>
      <c r="M99" s="48">
        <f>NETWORKDAYS(IF(ISTEXT(H98), DT_B_JURS, H98), TAB_JUROS_U[[#This Row],[dt_lqdc_eve_u]],  TAB_FERIADOS[FER_DATA]) -1</f>
        <v>19</v>
      </c>
      <c r="N99" s="123">
        <f>(TX_EMISSAO/100 +1)^(TAB_JUROS_U[[#This Row],[dias_periodo_u]]/252)</f>
        <v>1.0018634787225431</v>
      </c>
      <c r="O99" s="78">
        <f>(TIR_U/100 +1)^(TAB_JUROS_U[[#This Row],[Q_DIAS_U_PARC_TIR]]/252)</f>
        <v>1.1649515513212085</v>
      </c>
      <c r="P99" s="116" t="str">
        <f>"TX_CENARIO" &amp; TEXT(DT_CALCULO_C, "-AAAAMMDD") &amp; TEXT(TAB_JUROS_U[[#This Row],[DT_EVE]], "-AAAAMMDD")</f>
        <v>TX_CENARIO-20151228-20220309</v>
      </c>
      <c r="Q99" s="44">
        <f>IFERROR(VLOOKUP(TAB_JUROS_U[[#This Row],[Chave-CENARIO]],CENARIO[],2,FALSE), 0)</f>
        <v>16.427399999999999</v>
      </c>
      <c r="R99" s="116" t="str">
        <f>"CORRECAO_JURS_U" &amp; TEXT(DT_CALCULO_C, "-AAAAMMDD") &amp; TEXT(TAB_JUROS_U[[#This Row],[DT_EVE]], "-AAAAMMDD")</f>
        <v>CORRECAO_JURS_U-20151228-20220309</v>
      </c>
      <c r="S99" s="44">
        <f>IFERROR(VLOOKUP(TAB_JUROS_U[[#This Row],[Chave-CORC]],CORRECAO_JURS_U[],2, FALSE), 0)</f>
        <v>1.0114038299999999</v>
      </c>
      <c r="T99" s="78">
        <f>MAX(0, (TAB_JUROS_U[[#This Row],[CUPOM_TIR]] -1) * IF(TAB_JUROS_U[[#This Row],[ID_T_EVE]]=1, TAB_JUROS_U[[#This Row],[PU_AMORT]], TAB_JUROS_U[[#This Row],[V_NOML_PCPL]]) * TAB_JUROS_U[[#This Row],[CORRECAO_U]])</f>
        <v>76.058231755526251</v>
      </c>
      <c r="U99" s="78">
        <f>MAX(0, TAB_JUROS_U[[#This Row],[V_FUT_U_JURS-01]]/((((TAB_JUROS_U[[#This Row],[TX_CENARIO]]/100 +1)^(1/252) -1) * PC_IDXR/100 +1)^TAB_JUROS_U[[#This Row],[Q_DIAS_U_PARC_TIR]]))</f>
        <v>29.700060548811926</v>
      </c>
      <c r="V99" s="78">
        <f>+TAB_JUROS_U[[#This Row],[V_FUT_U_JURS CENARIO]]/TAB_JUROS_U[[#This Row],[VAR_DESCAP_U]]</f>
        <v>25.494674448158936</v>
      </c>
      <c r="W99" s="78"/>
      <c r="X99" s="64">
        <f>TAB_JUROS_U[[#This Row],[dt_eve_u]]- DT_CALCULO_C</f>
        <v>2263</v>
      </c>
      <c r="Y99" s="48" t="str">
        <f>"CORRECAO_JURS_C" &amp; TEXT(DT_CALCULO_C, "-AAAAMMDD") &amp; TEXT(TAB_JUROS_U[[#This Row],[DT_EVE]], "-AAAAMMDD")</f>
        <v>CORRECAO_JURS_C-20151228-20220309</v>
      </c>
      <c r="Z99" s="44">
        <f>IFERROR(VLOOKUP(TAB_JUROS_C[[#This Row],[Chave-CORC]],CORRECAO_JURS_C[],2, FALSE), 0)</f>
        <v>1</v>
      </c>
      <c r="AA9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75.200656255697851</v>
      </c>
      <c r="AB99" s="63">
        <f>(TIR_C/100 +1)^(TAB_JUROS_C[[#This Row],[DIAS_CORRIDOS]]/360)</f>
        <v>1.165355292786129</v>
      </c>
      <c r="AC99" s="78">
        <f>IF(TAB_JUROS_C[[#This Row],[DIAS_CORRIDOS]]&lt;0, 0, TAB_JUROS_C[[#This Row],[V_FUT_C_JURS]]/TAB_JUROS_C[[#This Row],[VAR_DESCAP_C]])</f>
        <v>64.530239594062579</v>
      </c>
      <c r="AD99" s="78">
        <f>TAB_JUROS_U[[#This Row],[V_FUT_U_JURS CENARIO]]</f>
        <v>29.700060548811926</v>
      </c>
      <c r="AE99" s="124">
        <f>IF(TAB_JUROS_C[[#This Row],[DIAS_CORRIDOS]]&lt;0, 0, TAB_JUROS_C[[#This Row],[V_FUT_UTEIS]]/TAB_JUROS_C[[#This Row],[VAR_DESCAP_C]])</f>
        <v>25.485841727980727</v>
      </c>
      <c r="AF99" s="64"/>
    </row>
    <row r="100" spans="1:32">
      <c r="A100" s="82">
        <f t="shared" si="2"/>
        <v>76</v>
      </c>
      <c r="B100" s="24">
        <f>VLOOKUP($A100, CAD_JUROS[#Data], MATCH(B$24, CAD_JUROS[#Headers],0), FALSE)</f>
        <v>2</v>
      </c>
      <c r="C100" s="24" t="str">
        <f>VLOOKUP($A100, CAD_JUROS[#Data], MATCH(C$24, CAD_JUROS[#Headers],0), FALSE)</f>
        <v xml:space="preserve">JUROS SOBRE PRINCIPAL                             </v>
      </c>
      <c r="D100" s="36">
        <f>VLOOKUP($A100, CAD_JUROS[#Data], MATCH(D$24, CAD_JUROS[#Headers],0), FALSE)</f>
        <v>44659</v>
      </c>
      <c r="E100" s="48">
        <f>VLOOKUP($A100, CAD_JUROS[#Data], MATCH(E$24, CAD_JUROS[#Headers],0), FALSE)</f>
        <v>0</v>
      </c>
      <c r="F100" s="36">
        <f>VLOOKUP($A100, CAD_JUROS[#Data], MATCH(F$24, CAD_JUROS[#Headers],0), FALSE)</f>
        <v>44665</v>
      </c>
      <c r="G100" s="47">
        <f>WORKDAY(WORKDAY(TAB_JUROS_U[[#This Row],[DT_EVE]], -1, TAB_FERIADOS[FER_DATA]), 1, TAB_FERIADOS[FER_DATA])</f>
        <v>44659</v>
      </c>
      <c r="H100" s="75">
        <f>WORKDAY(WORKDAY(TAB_JUROS_U[[#This Row],[DT_LQDC_EVE]], -1, TAB_FERIADOS[FER_DATA]), 1, TAB_FERIADOS[FER_DATA])</f>
        <v>44665</v>
      </c>
      <c r="I100" s="48">
        <f>PU_EMISSAO - SUMIF(TAB_AMORTIZACAO_U[DT_EVE], "&lt;" &amp; TAB_JUROS_U[[#This Row],[DT_EVE]], TAB_AMORTIZACAO_U[V_PU_AMTC])</f>
        <v>39667.174826000039</v>
      </c>
      <c r="J100" s="48">
        <f>IFERROR(VLOOKUP(TAB_JUROS_U[[#This Row],[DT_EVE]], TAB_AMORTIZACAO_U[[DT_EVE]:[V_PU_AMTC]], 2, FALSE), 0)</f>
        <v>667.75722099999996</v>
      </c>
      <c r="K100" s="48">
        <f>NETWORKDAYS(DT_CALCULO_U, TAB_JUROS_U[[#This Row],[dt_eve_u]], TAB_FERIADOS[FER_DATA]) -1</f>
        <v>1576</v>
      </c>
      <c r="L100" s="48">
        <f>NETWORKDAYS(DT_CALCULO_U, TAB_JUROS_U[[#This Row],[dt_lqdc_eve_u]], TAB_FERIADOS[FER_DATA]) -1</f>
        <v>1580</v>
      </c>
      <c r="M100" s="48">
        <f>NETWORKDAYS(IF(ISTEXT(H99), DT_B_JURS, H99), TAB_JUROS_U[[#This Row],[dt_lqdc_eve_u]],  TAB_FERIADOS[FER_DATA]) -1</f>
        <v>22</v>
      </c>
      <c r="N100" s="123">
        <f>(TX_EMISSAO/100 +1)^(TAB_JUROS_U[[#This Row],[dias_periodo_u]]/252)</f>
        <v>1.0021580294747356</v>
      </c>
      <c r="O100" s="78">
        <f>(TIR_U/100 +1)^(TAB_JUROS_U[[#This Row],[Q_DIAS_U_PARC_TIR]]/252)</f>
        <v>1.1674658221600858</v>
      </c>
      <c r="P100" s="116" t="str">
        <f>"TX_CENARIO" &amp; TEXT(DT_CALCULO_C, "-AAAAMMDD") &amp; TEXT(TAB_JUROS_U[[#This Row],[DT_EVE]], "-AAAAMMDD")</f>
        <v>TX_CENARIO-20151228-20220408</v>
      </c>
      <c r="Q100" s="44">
        <f>IFERROR(VLOOKUP(TAB_JUROS_U[[#This Row],[Chave-CENARIO]],CENARIO[],2,FALSE), 0)</f>
        <v>16.424399999999999</v>
      </c>
      <c r="R100" s="116" t="str">
        <f>"CORRECAO_JURS_U" &amp; TEXT(DT_CALCULO_C, "-AAAAMMDD") &amp; TEXT(TAB_JUROS_U[[#This Row],[DT_EVE]], "-AAAAMMDD")</f>
        <v>CORRECAO_JURS_U-20151228-20220408</v>
      </c>
      <c r="S100" s="44">
        <f>IFERROR(VLOOKUP(TAB_JUROS_U[[#This Row],[Chave-CORC]],CORRECAO_JURS_U[],2, FALSE), 0)</f>
        <v>1.01321628</v>
      </c>
      <c r="T100" s="78">
        <f>MAX(0, (TAB_JUROS_U[[#This Row],[CUPOM_TIR]] -1) * IF(TAB_JUROS_U[[#This Row],[ID_T_EVE]]=1, TAB_JUROS_U[[#This Row],[PU_AMORT]], TAB_JUROS_U[[#This Row],[V_NOML_PCPL]]) * TAB_JUROS_U[[#This Row],[CORRECAO_U]])</f>
        <v>86.734284778133031</v>
      </c>
      <c r="U100" s="78">
        <f>MAX(0, TAB_JUROS_U[[#This Row],[V_FUT_U_JURS-01]]/((((TAB_JUROS_U[[#This Row],[TX_CENARIO]]/100 +1)^(1/252) -1) * PC_IDXR/100 +1)^TAB_JUROS_U[[#This Row],[Q_DIAS_U_PARC_TIR]]))</f>
        <v>33.427611938533637</v>
      </c>
      <c r="V100" s="78">
        <f>+TAB_JUROS_U[[#This Row],[V_FUT_U_JURS CENARIO]]/TAB_JUROS_U[[#This Row],[VAR_DESCAP_U]]</f>
        <v>28.632625730048961</v>
      </c>
      <c r="W100" s="78"/>
      <c r="X100" s="64">
        <f>TAB_JUROS_U[[#This Row],[dt_eve_u]]- DT_CALCULO_C</f>
        <v>2293</v>
      </c>
      <c r="Y100" s="48" t="str">
        <f>"CORRECAO_JURS_C" &amp; TEXT(DT_CALCULO_C, "-AAAAMMDD") &amp; TEXT(TAB_JUROS_U[[#This Row],[DT_EVE]], "-AAAAMMDD")</f>
        <v>CORRECAO_JURS_C-20151228-20220408</v>
      </c>
      <c r="Z100" s="44">
        <f>IFERROR(VLOOKUP(TAB_JUROS_C[[#This Row],[Chave-CORC]],CORRECAO_JURS_C[],2, FALSE), 0)</f>
        <v>1</v>
      </c>
      <c r="AA10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85.602932453999884</v>
      </c>
      <c r="AB100" s="63">
        <f>(TIR_C/100 +1)^(TAB_JUROS_C[[#This Row],[DIAS_CORRIDOS]]/360)</f>
        <v>1.1677217622316451</v>
      </c>
      <c r="AC100" s="78">
        <f>IF(TAB_JUROS_C[[#This Row],[DIAS_CORRIDOS]]&lt;0, 0, TAB_JUROS_C[[#This Row],[V_FUT_C_JURS]]/TAB_JUROS_C[[#This Row],[VAR_DESCAP_C]])</f>
        <v>73.307645042431375</v>
      </c>
      <c r="AD100" s="78">
        <f>TAB_JUROS_U[[#This Row],[V_FUT_U_JURS CENARIO]]</f>
        <v>33.427611938533637</v>
      </c>
      <c r="AE100" s="124">
        <f>IF(TAB_JUROS_C[[#This Row],[DIAS_CORRIDOS]]&lt;0, 0, TAB_JUROS_C[[#This Row],[V_FUT_UTEIS]]/TAB_JUROS_C[[#This Row],[VAR_DESCAP_C]])</f>
        <v>28.626350060180247</v>
      </c>
      <c r="AF100" s="64"/>
    </row>
    <row r="101" spans="1:32">
      <c r="A101" s="82">
        <f t="shared" si="2"/>
        <v>77</v>
      </c>
      <c r="B101" s="24">
        <f>VLOOKUP($A101, CAD_JUROS[#Data], MATCH(B$24, CAD_JUROS[#Headers],0), FALSE)</f>
        <v>2</v>
      </c>
      <c r="C101" s="24" t="str">
        <f>VLOOKUP($A101, CAD_JUROS[#Data], MATCH(C$24, CAD_JUROS[#Headers],0), FALSE)</f>
        <v xml:space="preserve">JUROS SOBRE PRINCIPAL                             </v>
      </c>
      <c r="D101" s="36">
        <f>VLOOKUP($A101, CAD_JUROS[#Data], MATCH(D$24, CAD_JUROS[#Headers],0), FALSE)</f>
        <v>44690</v>
      </c>
      <c r="E101" s="48">
        <f>VLOOKUP($A101, CAD_JUROS[#Data], MATCH(E$24, CAD_JUROS[#Headers],0), FALSE)</f>
        <v>0</v>
      </c>
      <c r="F101" s="36">
        <f>VLOOKUP($A101, CAD_JUROS[#Data], MATCH(F$24, CAD_JUROS[#Headers],0), FALSE)</f>
        <v>44694</v>
      </c>
      <c r="G101" s="47">
        <f>WORKDAY(WORKDAY(TAB_JUROS_U[[#This Row],[DT_EVE]], -1, TAB_FERIADOS[FER_DATA]), 1, TAB_FERIADOS[FER_DATA])</f>
        <v>44690</v>
      </c>
      <c r="H101" s="75">
        <f>WORKDAY(WORKDAY(TAB_JUROS_U[[#This Row],[DT_LQDC_EVE]], -1, TAB_FERIADOS[FER_DATA]), 1, TAB_FERIADOS[FER_DATA])</f>
        <v>44694</v>
      </c>
      <c r="I101" s="48">
        <f>PU_EMISSAO - SUMIF(TAB_AMORTIZACAO_U[DT_EVE], "&lt;" &amp; TAB_JUROS_U[[#This Row],[DT_EVE]], TAB_AMORTIZACAO_U[V_PU_AMTC])</f>
        <v>38999.417605000039</v>
      </c>
      <c r="J101" s="48">
        <f>IFERROR(VLOOKUP(TAB_JUROS_U[[#This Row],[DT_EVE]], TAB_AMORTIZACAO_U[[DT_EVE]:[V_PU_AMTC]], 2, FALSE), 0)</f>
        <v>672.388958</v>
      </c>
      <c r="K101" s="48">
        <f>NETWORKDAYS(DT_CALCULO_U, TAB_JUROS_U[[#This Row],[dt_eve_u]], TAB_FERIADOS[FER_DATA]) -1</f>
        <v>1595</v>
      </c>
      <c r="L101" s="48">
        <f>NETWORKDAYS(DT_CALCULO_U, TAB_JUROS_U[[#This Row],[dt_lqdc_eve_u]], TAB_FERIADOS[FER_DATA]) -1</f>
        <v>1599</v>
      </c>
      <c r="M101" s="48">
        <f>NETWORKDAYS(IF(ISTEXT(H100), DT_B_JURS, H100), TAB_JUROS_U[[#This Row],[dt_lqdc_eve_u]],  TAB_FERIADOS[FER_DATA]) -1</f>
        <v>19</v>
      </c>
      <c r="N101" s="123">
        <f>(TX_EMISSAO/100 +1)^(TAB_JUROS_U[[#This Row],[dias_periodo_u]]/252)</f>
        <v>1.0018634787225431</v>
      </c>
      <c r="O101" s="78">
        <f>(TIR_U/100 +1)^(TAB_JUROS_U[[#This Row],[Q_DIAS_U_PARC_TIR]]/252)</f>
        <v>1.1696416044077658</v>
      </c>
      <c r="P101" s="116" t="str">
        <f>"TX_CENARIO" &amp; TEXT(DT_CALCULO_C, "-AAAAMMDD") &amp; TEXT(TAB_JUROS_U[[#This Row],[DT_EVE]], "-AAAAMMDD")</f>
        <v>TX_CENARIO-20151228-20220509</v>
      </c>
      <c r="Q101" s="44">
        <f>IFERROR(VLOOKUP(TAB_JUROS_U[[#This Row],[Chave-CENARIO]],CENARIO[],2,FALSE), 0)</f>
        <v>16.421800000000001</v>
      </c>
      <c r="R101" s="116" t="str">
        <f>"CORRECAO_JURS_U" &amp; TEXT(DT_CALCULO_C, "-AAAAMMDD") &amp; TEXT(TAB_JUROS_U[[#This Row],[DT_EVE]], "-AAAAMMDD")</f>
        <v>CORRECAO_JURS_U-20151228-20220509</v>
      </c>
      <c r="S101" s="44">
        <f>IFERROR(VLOOKUP(TAB_JUROS_U[[#This Row],[Chave-CORC]],CORRECAO_JURS_U[],2, FALSE), 0)</f>
        <v>1.0114038299999999</v>
      </c>
      <c r="T101" s="78">
        <f>MAX(0, (TAB_JUROS_U[[#This Row],[CUPOM_TIR]] -1) * IF(TAB_JUROS_U[[#This Row],[ID_T_EVE]]=1, TAB_JUROS_U[[#This Row],[PU_AMORT]], TAB_JUROS_U[[#This Row],[V_NOML_PCPL]]) * TAB_JUROS_U[[#This Row],[CORRECAO_U]])</f>
        <v>73.503353509993715</v>
      </c>
      <c r="U101" s="78">
        <f>MAX(0, TAB_JUROS_U[[#This Row],[V_FUT_U_JURS-01]]/((((TAB_JUROS_U[[#This Row],[TX_CENARIO]]/100 +1)^(1/252) -1) * PC_IDXR/100 +1)^TAB_JUROS_U[[#This Row],[Q_DIAS_U_PARC_TIR]]))</f>
        <v>28.009395543909669</v>
      </c>
      <c r="V101" s="78">
        <f>+TAB_JUROS_U[[#This Row],[V_FUT_U_JURS CENARIO]]/TAB_JUROS_U[[#This Row],[VAR_DESCAP_U]]</f>
        <v>23.946989777344569</v>
      </c>
      <c r="W101" s="78"/>
      <c r="X101" s="64">
        <f>TAB_JUROS_U[[#This Row],[dt_eve_u]]- DT_CALCULO_C</f>
        <v>2324</v>
      </c>
      <c r="Y101" s="48" t="str">
        <f>"CORRECAO_JURS_C" &amp; TEXT(DT_CALCULO_C, "-AAAAMMDD") &amp; TEXT(TAB_JUROS_U[[#This Row],[DT_EVE]], "-AAAAMMDD")</f>
        <v>CORRECAO_JURS_C-20151228-20220509</v>
      </c>
      <c r="Z101" s="44">
        <f>IFERROR(VLOOKUP(TAB_JUROS_C[[#This Row],[Chave-CORC]],CORRECAO_JURS_C[],2, FALSE), 0)</f>
        <v>1</v>
      </c>
      <c r="AA10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72.674584898490764</v>
      </c>
      <c r="AB101" s="63">
        <f>(TIR_C/100 +1)^(TAB_JUROS_C[[#This Row],[DIAS_CORRIDOS]]/360)</f>
        <v>1.1701721626071813</v>
      </c>
      <c r="AC101" s="78">
        <f>IF(TAB_JUROS_C[[#This Row],[DIAS_CORRIDOS]]&lt;0, 0, TAB_JUROS_C[[#This Row],[V_FUT_C_JURS]]/TAB_JUROS_C[[#This Row],[VAR_DESCAP_C]])</f>
        <v>62.105891099451085</v>
      </c>
      <c r="AD101" s="78">
        <f>TAB_JUROS_U[[#This Row],[V_FUT_U_JURS CENARIO]]</f>
        <v>28.009395543909669</v>
      </c>
      <c r="AE101" s="124">
        <f>IF(TAB_JUROS_C[[#This Row],[DIAS_CORRIDOS]]&lt;0, 0, TAB_JUROS_C[[#This Row],[V_FUT_UTEIS]]/TAB_JUROS_C[[#This Row],[VAR_DESCAP_C]])</f>
        <v>23.936132168367287</v>
      </c>
      <c r="AF101" s="64"/>
    </row>
    <row r="102" spans="1:32">
      <c r="A102" s="82">
        <f t="shared" si="2"/>
        <v>78</v>
      </c>
      <c r="B102" s="24">
        <f>VLOOKUP($A102, CAD_JUROS[#Data], MATCH(B$24, CAD_JUROS[#Headers],0), FALSE)</f>
        <v>2</v>
      </c>
      <c r="C102" s="24" t="str">
        <f>VLOOKUP($A102, CAD_JUROS[#Data], MATCH(C$24, CAD_JUROS[#Headers],0), FALSE)</f>
        <v xml:space="preserve">JUROS SOBRE PRINCIPAL                             </v>
      </c>
      <c r="D102" s="36">
        <f>VLOOKUP($A102, CAD_JUROS[#Data], MATCH(D$24, CAD_JUROS[#Headers],0), FALSE)</f>
        <v>44720</v>
      </c>
      <c r="E102" s="48">
        <f>VLOOKUP($A102, CAD_JUROS[#Data], MATCH(E$24, CAD_JUROS[#Headers],0), FALSE)</f>
        <v>0</v>
      </c>
      <c r="F102" s="36">
        <f>VLOOKUP($A102, CAD_JUROS[#Data], MATCH(F$24, CAD_JUROS[#Headers],0), FALSE)</f>
        <v>44726</v>
      </c>
      <c r="G102" s="47">
        <f>WORKDAY(WORKDAY(TAB_JUROS_U[[#This Row],[DT_EVE]], -1, TAB_FERIADOS[FER_DATA]), 1, TAB_FERIADOS[FER_DATA])</f>
        <v>44720</v>
      </c>
      <c r="H102" s="75">
        <f>WORKDAY(WORKDAY(TAB_JUROS_U[[#This Row],[DT_LQDC_EVE]], -1, TAB_FERIADOS[FER_DATA]), 1, TAB_FERIADOS[FER_DATA])</f>
        <v>44726</v>
      </c>
      <c r="I102" s="48">
        <f>PU_EMISSAO - SUMIF(TAB_AMORTIZACAO_U[DT_EVE], "&lt;" &amp; TAB_JUROS_U[[#This Row],[DT_EVE]], TAB_AMORTIZACAO_U[V_PU_AMTC])</f>
        <v>38327.028647000036</v>
      </c>
      <c r="J102" s="48">
        <f>IFERROR(VLOOKUP(TAB_JUROS_U[[#This Row],[DT_EVE]], TAB_AMORTIZACAO_U[[DT_EVE]:[V_PU_AMTC]], 2, FALSE), 0)</f>
        <v>653.09256800000003</v>
      </c>
      <c r="K102" s="48">
        <f>NETWORKDAYS(DT_CALCULO_U, TAB_JUROS_U[[#This Row],[dt_eve_u]], TAB_FERIADOS[FER_DATA]) -1</f>
        <v>1617</v>
      </c>
      <c r="L102" s="48">
        <f>NETWORKDAYS(DT_CALCULO_U, TAB_JUROS_U[[#This Row],[dt_lqdc_eve_u]], TAB_FERIADOS[FER_DATA]) -1</f>
        <v>1621</v>
      </c>
      <c r="M102" s="48">
        <f>NETWORKDAYS(IF(ISTEXT(H101), DT_B_JURS, H101), TAB_JUROS_U[[#This Row],[dt_lqdc_eve_u]],  TAB_FERIADOS[FER_DATA]) -1</f>
        <v>22</v>
      </c>
      <c r="N102" s="123">
        <f>(TX_EMISSAO/100 +1)^(TAB_JUROS_U[[#This Row],[dias_periodo_u]]/252)</f>
        <v>1.0021580294747356</v>
      </c>
      <c r="O102" s="78">
        <f>(TIR_U/100 +1)^(TAB_JUROS_U[[#This Row],[Q_DIAS_U_PARC_TIR]]/252)</f>
        <v>1.1721659976106975</v>
      </c>
      <c r="P102" s="116" t="str">
        <f>"TX_CENARIO" &amp; TEXT(DT_CALCULO_C, "-AAAAMMDD") &amp; TEXT(TAB_JUROS_U[[#This Row],[DT_EVE]], "-AAAAMMDD")</f>
        <v>TX_CENARIO-20151228-20220608</v>
      </c>
      <c r="Q102" s="44">
        <f>IFERROR(VLOOKUP(TAB_JUROS_U[[#This Row],[Chave-CENARIO]],CENARIO[],2,FALSE), 0)</f>
        <v>16.419</v>
      </c>
      <c r="R102" s="116" t="str">
        <f>"CORRECAO_JURS_U" &amp; TEXT(DT_CALCULO_C, "-AAAAMMDD") &amp; TEXT(TAB_JUROS_U[[#This Row],[DT_EVE]], "-AAAAMMDD")</f>
        <v>CORRECAO_JURS_U-20151228-20220608</v>
      </c>
      <c r="S102" s="44">
        <f>IFERROR(VLOOKUP(TAB_JUROS_U[[#This Row],[Chave-CORC]],CORRECAO_JURS_U[],2, FALSE), 0)</f>
        <v>1.01321628</v>
      </c>
      <c r="T102" s="78">
        <f>MAX(0, (TAB_JUROS_U[[#This Row],[CUPOM_TIR]] -1) * IF(TAB_JUROS_U[[#This Row],[ID_T_EVE]]=1, TAB_JUROS_U[[#This Row],[PU_AMORT]], TAB_JUROS_U[[#This Row],[V_NOML_PCPL]]) * TAB_JUROS_U[[#This Row],[CORRECAO_U]])</f>
        <v>83.803987351013888</v>
      </c>
      <c r="U102" s="78">
        <f>MAX(0, TAB_JUROS_U[[#This Row],[V_FUT_U_JURS-01]]/((((TAB_JUROS_U[[#This Row],[TX_CENARIO]]/100 +1)^(1/252) -1) * PC_IDXR/100 +1)^TAB_JUROS_U[[#This Row],[Q_DIAS_U_PARC_TIR]]))</f>
        <v>31.51835582070434</v>
      </c>
      <c r="V102" s="78">
        <f>+TAB_JUROS_U[[#This Row],[V_FUT_U_JURS CENARIO]]/TAB_JUROS_U[[#This Row],[VAR_DESCAP_U]]</f>
        <v>26.88898661533457</v>
      </c>
      <c r="W102" s="78"/>
      <c r="X102" s="64">
        <f>TAB_JUROS_U[[#This Row],[dt_eve_u]]- DT_CALCULO_C</f>
        <v>2354</v>
      </c>
      <c r="Y102" s="48" t="str">
        <f>"CORRECAO_JURS_C" &amp; TEXT(DT_CALCULO_C, "-AAAAMMDD") &amp; TEXT(TAB_JUROS_U[[#This Row],[DT_EVE]], "-AAAAMMDD")</f>
        <v>CORRECAO_JURS_C-20151228-20220608</v>
      </c>
      <c r="Z102" s="44">
        <f>IFERROR(VLOOKUP(TAB_JUROS_C[[#This Row],[Chave-CORC]],CORRECAO_JURS_C[],2, FALSE), 0)</f>
        <v>1</v>
      </c>
      <c r="AA10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82.710857499263525</v>
      </c>
      <c r="AB102" s="63">
        <f>(TIR_C/100 +1)^(TAB_JUROS_C[[#This Row],[DIAS_CORRIDOS]]/360)</f>
        <v>1.1725484135977122</v>
      </c>
      <c r="AC102" s="78">
        <f>IF(TAB_JUROS_C[[#This Row],[DIAS_CORRIDOS]]&lt;0, 0, TAB_JUROS_C[[#This Row],[V_FUT_C_JURS]]/TAB_JUROS_C[[#This Row],[VAR_DESCAP_C]])</f>
        <v>70.539396531596566</v>
      </c>
      <c r="AD102" s="78">
        <f>TAB_JUROS_U[[#This Row],[V_FUT_U_JURS CENARIO]]</f>
        <v>31.51835582070434</v>
      </c>
      <c r="AE102" s="124">
        <f>IF(TAB_JUROS_C[[#This Row],[DIAS_CORRIDOS]]&lt;0, 0, TAB_JUROS_C[[#This Row],[V_FUT_UTEIS]]/TAB_JUROS_C[[#This Row],[VAR_DESCAP_C]])</f>
        <v>26.880217017220684</v>
      </c>
      <c r="AF102" s="64"/>
    </row>
    <row r="103" spans="1:32">
      <c r="A103" s="82">
        <f t="shared" si="2"/>
        <v>79</v>
      </c>
      <c r="B103" s="24">
        <f>VLOOKUP($A103, CAD_JUROS[#Data], MATCH(B$24, CAD_JUROS[#Headers],0), FALSE)</f>
        <v>2</v>
      </c>
      <c r="C103" s="24" t="str">
        <f>VLOOKUP($A103, CAD_JUROS[#Data], MATCH(C$24, CAD_JUROS[#Headers],0), FALSE)</f>
        <v xml:space="preserve">JUROS SOBRE PRINCIPAL                             </v>
      </c>
      <c r="D103" s="36">
        <f>VLOOKUP($A103, CAD_JUROS[#Data], MATCH(D$24, CAD_JUROS[#Headers],0), FALSE)</f>
        <v>44750</v>
      </c>
      <c r="E103" s="48">
        <f>VLOOKUP($A103, CAD_JUROS[#Data], MATCH(E$24, CAD_JUROS[#Headers],0), FALSE)</f>
        <v>0</v>
      </c>
      <c r="F103" s="36">
        <f>VLOOKUP($A103, CAD_JUROS[#Data], MATCH(F$24, CAD_JUROS[#Headers],0), FALSE)</f>
        <v>44756</v>
      </c>
      <c r="G103" s="47">
        <f>WORKDAY(WORKDAY(TAB_JUROS_U[[#This Row],[DT_EVE]], -1, TAB_FERIADOS[FER_DATA]), 1, TAB_FERIADOS[FER_DATA])</f>
        <v>44750</v>
      </c>
      <c r="H103" s="75">
        <f>WORKDAY(WORKDAY(TAB_JUROS_U[[#This Row],[DT_LQDC_EVE]], -1, TAB_FERIADOS[FER_DATA]), 1, TAB_FERIADOS[FER_DATA])</f>
        <v>44756</v>
      </c>
      <c r="I103" s="48">
        <f>PU_EMISSAO - SUMIF(TAB_AMORTIZACAO_U[DT_EVE], "&lt;" &amp; TAB_JUROS_U[[#This Row],[DT_EVE]], TAB_AMORTIZACAO_U[V_PU_AMTC])</f>
        <v>37673.936079000036</v>
      </c>
      <c r="J103" s="48">
        <f>IFERROR(VLOOKUP(TAB_JUROS_U[[#This Row],[DT_EVE]], TAB_AMORTIZACAO_U[[DT_EVE]:[V_PU_AMTC]], 2, FALSE), 0)</f>
        <v>649.46098400000005</v>
      </c>
      <c r="K103" s="48">
        <f>NETWORKDAYS(DT_CALCULO_U, TAB_JUROS_U[[#This Row],[dt_eve_u]], TAB_FERIADOS[FER_DATA]) -1</f>
        <v>1638</v>
      </c>
      <c r="L103" s="48">
        <f>NETWORKDAYS(DT_CALCULO_U, TAB_JUROS_U[[#This Row],[dt_lqdc_eve_u]], TAB_FERIADOS[FER_DATA]) -1</f>
        <v>1642</v>
      </c>
      <c r="M103" s="48">
        <f>NETWORKDAYS(IF(ISTEXT(H102), DT_B_JURS, H102), TAB_JUROS_U[[#This Row],[dt_lqdc_eve_u]],  TAB_FERIADOS[FER_DATA]) -1</f>
        <v>21</v>
      </c>
      <c r="N103" s="123">
        <f>(TX_EMISSAO/100 +1)^(TAB_JUROS_U[[#This Row],[dias_periodo_u]]/252)</f>
        <v>1.0020598362698427</v>
      </c>
      <c r="O103" s="78">
        <f>(TIR_U/100 +1)^(TAB_JUROS_U[[#This Row],[Q_DIAS_U_PARC_TIR]]/252)</f>
        <v>1.174580727957488</v>
      </c>
      <c r="P103" s="116" t="str">
        <f>"TX_CENARIO" &amp; TEXT(DT_CALCULO_C, "-AAAAMMDD") &amp; TEXT(TAB_JUROS_U[[#This Row],[DT_EVE]], "-AAAAMMDD")</f>
        <v>TX_CENARIO-20151228-20220708</v>
      </c>
      <c r="Q103" s="44">
        <f>IFERROR(VLOOKUP(TAB_JUROS_U[[#This Row],[Chave-CENARIO]],CENARIO[],2,FALSE), 0)</f>
        <v>16.4162</v>
      </c>
      <c r="R103" s="116" t="str">
        <f>"CORRECAO_JURS_U" &amp; TEXT(DT_CALCULO_C, "-AAAAMMDD") &amp; TEXT(TAB_JUROS_U[[#This Row],[DT_EVE]], "-AAAAMMDD")</f>
        <v>CORRECAO_JURS_U-20151228-20220708</v>
      </c>
      <c r="S103" s="44">
        <f>IFERROR(VLOOKUP(TAB_JUROS_U[[#This Row],[Chave-CORC]],CORRECAO_JURS_U[],2, FALSE), 0)</f>
        <v>1.0126092099999999</v>
      </c>
      <c r="T103" s="78">
        <f>MAX(0, (TAB_JUROS_U[[#This Row],[CUPOM_TIR]] -1) * IF(TAB_JUROS_U[[#This Row],[ID_T_EVE]]=1, TAB_JUROS_U[[#This Row],[PU_AMORT]], TAB_JUROS_U[[#This Row],[V_NOML_PCPL]]) * TAB_JUROS_U[[#This Row],[CORRECAO_U]])</f>
        <v>78.58064164250743</v>
      </c>
      <c r="U103" s="78">
        <f>MAX(0, TAB_JUROS_U[[#This Row],[V_FUT_U_JURS-01]]/((((TAB_JUROS_U[[#This Row],[TX_CENARIO]]/100 +1)^(1/252) -1) * PC_IDXR/100 +1)^TAB_JUROS_U[[#This Row],[Q_DIAS_U_PARC_TIR]]))</f>
        <v>29.186398920529264</v>
      </c>
      <c r="V103" s="78">
        <f>+TAB_JUROS_U[[#This Row],[V_FUT_U_JURS CENARIO]]/TAB_JUROS_U[[#This Row],[VAR_DESCAP_U]]</f>
        <v>24.848355013692697</v>
      </c>
      <c r="W103" s="78"/>
      <c r="X103" s="64">
        <f>TAB_JUROS_U[[#This Row],[dt_eve_u]]- DT_CALCULO_C</f>
        <v>2384</v>
      </c>
      <c r="Y103" s="48" t="str">
        <f>"CORRECAO_JURS_C" &amp; TEXT(DT_CALCULO_C, "-AAAAMMDD") &amp; TEXT(TAB_JUROS_U[[#This Row],[DT_EVE]], "-AAAAMMDD")</f>
        <v>CORRECAO_JURS_C-20151228-20220708</v>
      </c>
      <c r="Z103" s="44">
        <f>IFERROR(VLOOKUP(TAB_JUROS_C[[#This Row],[Chave-CORC]],CORRECAO_JURS_C[],2, FALSE), 0)</f>
        <v>1</v>
      </c>
      <c r="AA10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77.60213996326128</v>
      </c>
      <c r="AB103" s="63">
        <f>(TIR_C/100 +1)^(TAB_JUROS_C[[#This Row],[DIAS_CORRIDOS]]/360)</f>
        <v>1.1749294900053489</v>
      </c>
      <c r="AC103" s="78">
        <f>IF(TAB_JUROS_C[[#This Row],[DIAS_CORRIDOS]]&lt;0, 0, TAB_JUROS_C[[#This Row],[V_FUT_C_JURS]]/TAB_JUROS_C[[#This Row],[VAR_DESCAP_C]])</f>
        <v>66.04833789890489</v>
      </c>
      <c r="AD103" s="78">
        <f>TAB_JUROS_U[[#This Row],[V_FUT_U_JURS CENARIO]]</f>
        <v>29.186398920529264</v>
      </c>
      <c r="AE103" s="124">
        <f>IF(TAB_JUROS_C[[#This Row],[DIAS_CORRIDOS]]&lt;0, 0, TAB_JUROS_C[[#This Row],[V_FUT_UTEIS]]/TAB_JUROS_C[[#This Row],[VAR_DESCAP_C]])</f>
        <v>24.840979113049919</v>
      </c>
      <c r="AF103" s="64"/>
    </row>
    <row r="104" spans="1:32">
      <c r="A104" s="82">
        <f t="shared" si="2"/>
        <v>80</v>
      </c>
      <c r="B104" s="24">
        <f>VLOOKUP($A104, CAD_JUROS[#Data], MATCH(B$24, CAD_JUROS[#Headers],0), FALSE)</f>
        <v>2</v>
      </c>
      <c r="C104" s="24" t="str">
        <f>VLOOKUP($A104, CAD_JUROS[#Data], MATCH(C$24, CAD_JUROS[#Headers],0), FALSE)</f>
        <v xml:space="preserve">JUROS SOBRE PRINCIPAL                             </v>
      </c>
      <c r="D104" s="36">
        <f>VLOOKUP($A104, CAD_JUROS[#Data], MATCH(D$24, CAD_JUROS[#Headers],0), FALSE)</f>
        <v>44781</v>
      </c>
      <c r="E104" s="48">
        <f>VLOOKUP($A104, CAD_JUROS[#Data], MATCH(E$24, CAD_JUROS[#Headers],0), FALSE)</f>
        <v>0</v>
      </c>
      <c r="F104" s="36">
        <f>VLOOKUP($A104, CAD_JUROS[#Data], MATCH(F$24, CAD_JUROS[#Headers],0), FALSE)</f>
        <v>44785</v>
      </c>
      <c r="G104" s="47">
        <f>WORKDAY(WORKDAY(TAB_JUROS_U[[#This Row],[DT_EVE]], -1, TAB_FERIADOS[FER_DATA]), 1, TAB_FERIADOS[FER_DATA])</f>
        <v>44781</v>
      </c>
      <c r="H104" s="75">
        <f>WORKDAY(WORKDAY(TAB_JUROS_U[[#This Row],[DT_LQDC_EVE]], -1, TAB_FERIADOS[FER_DATA]), 1, TAB_FERIADOS[FER_DATA])</f>
        <v>44785</v>
      </c>
      <c r="I104" s="48">
        <f>PU_EMISSAO - SUMIF(TAB_AMORTIZACAO_U[DT_EVE], "&lt;" &amp; TAB_JUROS_U[[#This Row],[DT_EVE]], TAB_AMORTIZACAO_U[V_PU_AMTC])</f>
        <v>37024.475095000038</v>
      </c>
      <c r="J104" s="48">
        <f>IFERROR(VLOOKUP(TAB_JUROS_U[[#This Row],[DT_EVE]], TAB_AMORTIZACAO_U[[DT_EVE]:[V_PU_AMTC]], 2, FALSE), 0)</f>
        <v>641.93034899999998</v>
      </c>
      <c r="K104" s="48">
        <f>NETWORKDAYS(DT_CALCULO_U, TAB_JUROS_U[[#This Row],[dt_eve_u]], TAB_FERIADOS[FER_DATA]) -1</f>
        <v>1659</v>
      </c>
      <c r="L104" s="48">
        <f>NETWORKDAYS(DT_CALCULO_U, TAB_JUROS_U[[#This Row],[dt_lqdc_eve_u]], TAB_FERIADOS[FER_DATA]) -1</f>
        <v>1663</v>
      </c>
      <c r="M104" s="48">
        <f>NETWORKDAYS(IF(ISTEXT(H103), DT_B_JURS, H103), TAB_JUROS_U[[#This Row],[dt_lqdc_eve_u]],  TAB_FERIADOS[FER_DATA]) -1</f>
        <v>21</v>
      </c>
      <c r="N104" s="123">
        <f>(TX_EMISSAO/100 +1)^(TAB_JUROS_U[[#This Row],[dias_periodo_u]]/252)</f>
        <v>1.0020598362698427</v>
      </c>
      <c r="O104" s="78">
        <f>(TIR_U/100 +1)^(TAB_JUROS_U[[#This Row],[Q_DIAS_U_PARC_TIR]]/252)</f>
        <v>1.1770004327896839</v>
      </c>
      <c r="P104" s="116" t="str">
        <f>"TX_CENARIO" &amp; TEXT(DT_CALCULO_C, "-AAAAMMDD") &amp; TEXT(TAB_JUROS_U[[#This Row],[DT_EVE]], "-AAAAMMDD")</f>
        <v>TX_CENARIO-20151228-20220808</v>
      </c>
      <c r="Q104" s="44">
        <f>IFERROR(VLOOKUP(TAB_JUROS_U[[#This Row],[Chave-CENARIO]],CENARIO[],2,FALSE), 0)</f>
        <v>16.413399999999999</v>
      </c>
      <c r="R104" s="116" t="str">
        <f>"CORRECAO_JURS_U" &amp; TEXT(DT_CALCULO_C, "-AAAAMMDD") &amp; TEXT(TAB_JUROS_U[[#This Row],[DT_EVE]], "-AAAAMMDD")</f>
        <v>CORRECAO_JURS_U-20151228-20220808</v>
      </c>
      <c r="S104" s="44">
        <f>IFERROR(VLOOKUP(TAB_JUROS_U[[#This Row],[Chave-CORC]],CORRECAO_JURS_U[],2, FALSE), 0)</f>
        <v>1.01260101</v>
      </c>
      <c r="T104" s="78">
        <f>MAX(0, (TAB_JUROS_U[[#This Row],[CUPOM_TIR]] -1) * IF(TAB_JUROS_U[[#This Row],[ID_T_EVE]]=1, TAB_JUROS_U[[#This Row],[PU_AMORT]], TAB_JUROS_U[[#This Row],[V_NOML_PCPL]]) * TAB_JUROS_U[[#This Row],[CORRECAO_U]])</f>
        <v>77.225364593644954</v>
      </c>
      <c r="U104" s="78">
        <f>MAX(0, TAB_JUROS_U[[#This Row],[V_FUT_U_JURS-01]]/((((TAB_JUROS_U[[#This Row],[TX_CENARIO]]/100 +1)^(1/252) -1) * PC_IDXR/100 +1)^TAB_JUROS_U[[#This Row],[Q_DIAS_U_PARC_TIR]]))</f>
        <v>28.326487514405443</v>
      </c>
      <c r="V104" s="78">
        <f>+TAB_JUROS_U[[#This Row],[V_FUT_U_JURS CENARIO]]/TAB_JUROS_U[[#This Row],[VAR_DESCAP_U]]</f>
        <v>24.066675529818646</v>
      </c>
      <c r="W104" s="78"/>
      <c r="X104" s="64">
        <f>TAB_JUROS_U[[#This Row],[dt_eve_u]]- DT_CALCULO_C</f>
        <v>2415</v>
      </c>
      <c r="Y104" s="48" t="str">
        <f>"CORRECAO_JURS_C" &amp; TEXT(DT_CALCULO_C, "-AAAAMMDD") &amp; TEXT(TAB_JUROS_U[[#This Row],[DT_EVE]], "-AAAAMMDD")</f>
        <v>CORRECAO_JURS_C-20151228-20220808</v>
      </c>
      <c r="Z104" s="44">
        <f>IFERROR(VLOOKUP(TAB_JUROS_C[[#This Row],[Chave-CORC]],CORRECAO_JURS_C[],2, FALSE), 0)</f>
        <v>1</v>
      </c>
      <c r="AA10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76.264356672570329</v>
      </c>
      <c r="AB104" s="63">
        <f>(TIR_C/100 +1)^(TAB_JUROS_C[[#This Row],[DIAS_CORRIDOS]]/360)</f>
        <v>1.1773950154041695</v>
      </c>
      <c r="AC104" s="78">
        <f>IF(TAB_JUROS_C[[#This Row],[DIAS_CORRIDOS]]&lt;0, 0, TAB_JUROS_C[[#This Row],[V_FUT_C_JURS]]/TAB_JUROS_C[[#This Row],[VAR_DESCAP_C]])</f>
        <v>64.773806305261729</v>
      </c>
      <c r="AD104" s="78">
        <f>TAB_JUROS_U[[#This Row],[V_FUT_U_JURS CENARIO]]</f>
        <v>28.326487514405443</v>
      </c>
      <c r="AE104" s="124">
        <f>IF(TAB_JUROS_C[[#This Row],[DIAS_CORRIDOS]]&lt;0, 0, TAB_JUROS_C[[#This Row],[V_FUT_UTEIS]]/TAB_JUROS_C[[#This Row],[VAR_DESCAP_C]])</f>
        <v>24.058610019409407</v>
      </c>
      <c r="AF104" s="64"/>
    </row>
    <row r="105" spans="1:32">
      <c r="A105" s="82">
        <f t="shared" si="2"/>
        <v>81</v>
      </c>
      <c r="B105" s="24">
        <f>VLOOKUP($A105, CAD_JUROS[#Data], MATCH(B$24, CAD_JUROS[#Headers],0), FALSE)</f>
        <v>2</v>
      </c>
      <c r="C105" s="24" t="str">
        <f>VLOOKUP($A105, CAD_JUROS[#Data], MATCH(C$24, CAD_JUROS[#Headers],0), FALSE)</f>
        <v xml:space="preserve">JUROS SOBRE PRINCIPAL                             </v>
      </c>
      <c r="D105" s="36">
        <f>VLOOKUP($A105, CAD_JUROS[#Data], MATCH(D$24, CAD_JUROS[#Headers],0), FALSE)</f>
        <v>44813</v>
      </c>
      <c r="E105" s="48">
        <f>VLOOKUP($A105, CAD_JUROS[#Data], MATCH(E$24, CAD_JUROS[#Headers],0), FALSE)</f>
        <v>0</v>
      </c>
      <c r="F105" s="36">
        <f>VLOOKUP($A105, CAD_JUROS[#Data], MATCH(F$24, CAD_JUROS[#Headers],0), FALSE)</f>
        <v>44819</v>
      </c>
      <c r="G105" s="47">
        <f>WORKDAY(WORKDAY(TAB_JUROS_U[[#This Row],[DT_EVE]], -1, TAB_FERIADOS[FER_DATA]), 1, TAB_FERIADOS[FER_DATA])</f>
        <v>44813</v>
      </c>
      <c r="H105" s="75">
        <f>WORKDAY(WORKDAY(TAB_JUROS_U[[#This Row],[DT_LQDC_EVE]], -1, TAB_FERIADOS[FER_DATA]), 1, TAB_FERIADOS[FER_DATA])</f>
        <v>44819</v>
      </c>
      <c r="I105" s="48">
        <f>PU_EMISSAO - SUMIF(TAB_AMORTIZACAO_U[DT_EVE], "&lt;" &amp; TAB_JUROS_U[[#This Row],[DT_EVE]], TAB_AMORTIZACAO_U[V_PU_AMTC])</f>
        <v>36382.544746000036</v>
      </c>
      <c r="J105" s="48">
        <f>IFERROR(VLOOKUP(TAB_JUROS_U[[#This Row],[DT_EVE]], TAB_AMORTIZACAO_U[[DT_EVE]:[V_PU_AMTC]], 2, FALSE), 0)</f>
        <v>626.94401100000005</v>
      </c>
      <c r="K105" s="48">
        <f>NETWORKDAYS(DT_CALCULO_U, TAB_JUROS_U[[#This Row],[dt_eve_u]], TAB_FERIADOS[FER_DATA]) -1</f>
        <v>1682</v>
      </c>
      <c r="L105" s="48">
        <f>NETWORKDAYS(DT_CALCULO_U, TAB_JUROS_U[[#This Row],[dt_lqdc_eve_u]], TAB_FERIADOS[FER_DATA]) -1</f>
        <v>1686</v>
      </c>
      <c r="M105" s="48">
        <f>NETWORKDAYS(IF(ISTEXT(H104), DT_B_JURS, H104), TAB_JUROS_U[[#This Row],[dt_lqdc_eve_u]],  TAB_FERIADOS[FER_DATA]) -1</f>
        <v>23</v>
      </c>
      <c r="N105" s="123">
        <f>(TX_EMISSAO/100 +1)^(TAB_JUROS_U[[#This Row],[dias_periodo_u]]/252)</f>
        <v>1.0022562323017139</v>
      </c>
      <c r="O105" s="78">
        <f>(TIR_U/100 +1)^(TAB_JUROS_U[[#This Row],[Q_DIAS_U_PARC_TIR]]/252)</f>
        <v>1.1796563055193754</v>
      </c>
      <c r="P105" s="116" t="str">
        <f>"TX_CENARIO" &amp; TEXT(DT_CALCULO_C, "-AAAAMMDD") &amp; TEXT(TAB_JUROS_U[[#This Row],[DT_EVE]], "-AAAAMMDD")</f>
        <v>TX_CENARIO-20151228-20220909</v>
      </c>
      <c r="Q105" s="44">
        <f>IFERROR(VLOOKUP(TAB_JUROS_U[[#This Row],[Chave-CENARIO]],CENARIO[],2,FALSE), 0)</f>
        <v>16.410399999999999</v>
      </c>
      <c r="R105" s="116" t="str">
        <f>"CORRECAO_JURS_U" &amp; TEXT(DT_CALCULO_C, "-AAAAMMDD") &amp; TEXT(TAB_JUROS_U[[#This Row],[DT_EVE]], "-AAAAMMDD")</f>
        <v>CORRECAO_JURS_U-20151228-20220909</v>
      </c>
      <c r="S105" s="44">
        <f>IFERROR(VLOOKUP(TAB_JUROS_U[[#This Row],[Chave-CORC]],CORRECAO_JURS_U[],2, FALSE), 0)</f>
        <v>1.0138093500000001</v>
      </c>
      <c r="T105" s="78">
        <f>MAX(0, (TAB_JUROS_U[[#This Row],[CUPOM_TIR]] -1) * IF(TAB_JUROS_U[[#This Row],[ID_T_EVE]]=1, TAB_JUROS_U[[#This Row],[PU_AMORT]], TAB_JUROS_U[[#This Row],[V_NOML_PCPL]]) * TAB_JUROS_U[[#This Row],[CORRECAO_U]])</f>
        <v>83.221047315253927</v>
      </c>
      <c r="U105" s="78">
        <f>MAX(0, TAB_JUROS_U[[#This Row],[V_FUT_U_JURS-01]]/((((TAB_JUROS_U[[#This Row],[TX_CENARIO]]/100 +1)^(1/252) -1) * PC_IDXR/100 +1)^TAB_JUROS_U[[#This Row],[Q_DIAS_U_PARC_TIR]]))</f>
        <v>30.110414490946685</v>
      </c>
      <c r="V105" s="78">
        <f>+TAB_JUROS_U[[#This Row],[V_FUT_U_JURS CENARIO]]/TAB_JUROS_U[[#This Row],[VAR_DESCAP_U]]</f>
        <v>25.524734916488889</v>
      </c>
      <c r="W105" s="78"/>
      <c r="X105" s="64">
        <f>TAB_JUROS_U[[#This Row],[dt_eve_u]]- DT_CALCULO_C</f>
        <v>2447</v>
      </c>
      <c r="Y105" s="48" t="str">
        <f>"CORRECAO_JURS_C" &amp; TEXT(DT_CALCULO_C, "-AAAAMMDD") &amp; TEXT(TAB_JUROS_U[[#This Row],[DT_EVE]], "-AAAAMMDD")</f>
        <v>CORRECAO_JURS_C-20151228-20220909</v>
      </c>
      <c r="Z105" s="44">
        <f>IFERROR(VLOOKUP(TAB_JUROS_C[[#This Row],[Chave-CORC]],CORRECAO_JURS_C[],2, FALSE), 0)</f>
        <v>1</v>
      </c>
      <c r="AA10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82.087472674476643</v>
      </c>
      <c r="AB105" s="63">
        <f>(TIR_C/100 +1)^(TAB_JUROS_C[[#This Row],[DIAS_CORRIDOS]]/360)</f>
        <v>1.1799455008088231</v>
      </c>
      <c r="AC105" s="78">
        <f>IF(TAB_JUROS_C[[#This Row],[DIAS_CORRIDOS]]&lt;0, 0, TAB_JUROS_C[[#This Row],[V_FUT_C_JURS]]/TAB_JUROS_C[[#This Row],[VAR_DESCAP_C]])</f>
        <v>69.568867899583267</v>
      </c>
      <c r="AD105" s="78">
        <f>TAB_JUROS_U[[#This Row],[V_FUT_U_JURS CENARIO]]</f>
        <v>30.110414490946685</v>
      </c>
      <c r="AE105" s="124">
        <f>IF(TAB_JUROS_C[[#This Row],[DIAS_CORRIDOS]]&lt;0, 0, TAB_JUROS_C[[#This Row],[V_FUT_UTEIS]]/TAB_JUROS_C[[#This Row],[VAR_DESCAP_C]])</f>
        <v>25.518479006281858</v>
      </c>
      <c r="AF105" s="64"/>
    </row>
    <row r="106" spans="1:32">
      <c r="A106" s="82">
        <f t="shared" si="2"/>
        <v>82</v>
      </c>
      <c r="B106" s="24">
        <f>VLOOKUP($A106, CAD_JUROS[#Data], MATCH(B$24, CAD_JUROS[#Headers],0), FALSE)</f>
        <v>2</v>
      </c>
      <c r="C106" s="24" t="str">
        <f>VLOOKUP($A106, CAD_JUROS[#Data], MATCH(C$24, CAD_JUROS[#Headers],0), FALSE)</f>
        <v xml:space="preserve">JUROS SOBRE PRINCIPAL                             </v>
      </c>
      <c r="D106" s="36">
        <f>VLOOKUP($A106, CAD_JUROS[#Data], MATCH(D$24, CAD_JUROS[#Headers],0), FALSE)</f>
        <v>44845</v>
      </c>
      <c r="E106" s="48">
        <f>VLOOKUP($A106, CAD_JUROS[#Data], MATCH(E$24, CAD_JUROS[#Headers],0), FALSE)</f>
        <v>0</v>
      </c>
      <c r="F106" s="36">
        <f>VLOOKUP($A106, CAD_JUROS[#Data], MATCH(F$24, CAD_JUROS[#Headers],0), FALSE)</f>
        <v>44851</v>
      </c>
      <c r="G106" s="47">
        <f>WORKDAY(WORKDAY(TAB_JUROS_U[[#This Row],[DT_EVE]], -1, TAB_FERIADOS[FER_DATA]), 1, TAB_FERIADOS[FER_DATA])</f>
        <v>44845</v>
      </c>
      <c r="H106" s="75">
        <f>WORKDAY(WORKDAY(TAB_JUROS_U[[#This Row],[DT_LQDC_EVE]], -1, TAB_FERIADOS[FER_DATA]), 1, TAB_FERIADOS[FER_DATA])</f>
        <v>44851</v>
      </c>
      <c r="I106" s="48">
        <f>PU_EMISSAO - SUMIF(TAB_AMORTIZACAO_U[DT_EVE], "&lt;" &amp; TAB_JUROS_U[[#This Row],[DT_EVE]], TAB_AMORTIZACAO_U[V_PU_AMTC])</f>
        <v>35755.600735000036</v>
      </c>
      <c r="J106" s="48">
        <f>IFERROR(VLOOKUP(TAB_JUROS_U[[#This Row],[DT_EVE]], TAB_AMORTIZACAO_U[[DT_EVE]:[V_PU_AMTC]], 2, FALSE), 0)</f>
        <v>626.83143600000005</v>
      </c>
      <c r="K106" s="48">
        <f>NETWORKDAYS(DT_CALCULO_U, TAB_JUROS_U[[#This Row],[dt_eve_u]], TAB_FERIADOS[FER_DATA]) -1</f>
        <v>1704</v>
      </c>
      <c r="L106" s="48">
        <f>NETWORKDAYS(DT_CALCULO_U, TAB_JUROS_U[[#This Row],[dt_lqdc_eve_u]], TAB_FERIADOS[FER_DATA]) -1</f>
        <v>1707</v>
      </c>
      <c r="M106" s="48">
        <f>NETWORKDAYS(IF(ISTEXT(H105), DT_B_JURS, H105), TAB_JUROS_U[[#This Row],[dt_lqdc_eve_u]],  TAB_FERIADOS[FER_DATA]) -1</f>
        <v>21</v>
      </c>
      <c r="N106" s="123">
        <f>(TX_EMISSAO/100 +1)^(TAB_JUROS_U[[#This Row],[dias_periodo_u]]/252)</f>
        <v>1.0020598362698427</v>
      </c>
      <c r="O106" s="78">
        <f>(TIR_U/100 +1)^(TAB_JUROS_U[[#This Row],[Q_DIAS_U_PARC_TIR]]/252)</f>
        <v>1.1820864663374906</v>
      </c>
      <c r="P106" s="116" t="str">
        <f>"TX_CENARIO" &amp; TEXT(DT_CALCULO_C, "-AAAAMMDD") &amp; TEXT(TAB_JUROS_U[[#This Row],[DT_EVE]], "-AAAAMMDD")</f>
        <v>TX_CENARIO-20151228-20221011</v>
      </c>
      <c r="Q106" s="44">
        <f>IFERROR(VLOOKUP(TAB_JUROS_U[[#This Row],[Chave-CENARIO]],CENARIO[],2,FALSE), 0)</f>
        <v>16.407699999999998</v>
      </c>
      <c r="R106" s="116" t="str">
        <f>"CORRECAO_JURS_U" &amp; TEXT(DT_CALCULO_C, "-AAAAMMDD") &amp; TEXT(TAB_JUROS_U[[#This Row],[DT_EVE]], "-AAAAMMDD")</f>
        <v>CORRECAO_JURS_U-20151228-20221011</v>
      </c>
      <c r="S106" s="44">
        <f>IFERROR(VLOOKUP(TAB_JUROS_U[[#This Row],[Chave-CORC]],CORRECAO_JURS_U[],2, FALSE), 0)</f>
        <v>1.0132049999999999</v>
      </c>
      <c r="T106" s="78">
        <f>MAX(0, (TAB_JUROS_U[[#This Row],[CUPOM_TIR]] -1) * IF(TAB_JUROS_U[[#This Row],[ID_T_EVE]]=1, TAB_JUROS_U[[#This Row],[PU_AMORT]], TAB_JUROS_U[[#This Row],[V_NOML_PCPL]]) * TAB_JUROS_U[[#This Row],[CORRECAO_U]])</f>
        <v>74.623240516205442</v>
      </c>
      <c r="U106" s="78">
        <f>MAX(0, TAB_JUROS_U[[#This Row],[V_FUT_U_JURS-01]]/((((TAB_JUROS_U[[#This Row],[TX_CENARIO]]/100 +1)^(1/252) -1) * PC_IDXR/100 +1)^TAB_JUROS_U[[#This Row],[Q_DIAS_U_PARC_TIR]]))</f>
        <v>26.664078495498202</v>
      </c>
      <c r="V106" s="78">
        <f>+TAB_JUROS_U[[#This Row],[V_FUT_U_JURS CENARIO]]/TAB_JUROS_U[[#This Row],[VAR_DESCAP_U]]</f>
        <v>22.556791956270903</v>
      </c>
      <c r="W106" s="78"/>
      <c r="X106" s="64">
        <f>TAB_JUROS_U[[#This Row],[dt_eve_u]]- DT_CALCULO_C</f>
        <v>2479</v>
      </c>
      <c r="Y106" s="48" t="str">
        <f>"CORRECAO_JURS_C" &amp; TEXT(DT_CALCULO_C, "-AAAAMMDD") &amp; TEXT(TAB_JUROS_U[[#This Row],[DT_EVE]], "-AAAAMMDD")</f>
        <v>CORRECAO_JURS_C-20151228-20221011</v>
      </c>
      <c r="Z106" s="44">
        <f>IFERROR(VLOOKUP(TAB_JUROS_C[[#This Row],[Chave-CORC]],CORRECAO_JURS_C[],2, FALSE), 0)</f>
        <v>1</v>
      </c>
      <c r="AA10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73.650683243968842</v>
      </c>
      <c r="AB106" s="63">
        <f>(TIR_C/100 +1)^(TAB_JUROS_C[[#This Row],[DIAS_CORRIDOS]]/360)</f>
        <v>1.1825015111016528</v>
      </c>
      <c r="AC106" s="78">
        <f>IF(TAB_JUROS_C[[#This Row],[DIAS_CORRIDOS]]&lt;0, 0, TAB_JUROS_C[[#This Row],[V_FUT_C_JURS]]/TAB_JUROS_C[[#This Row],[VAR_DESCAP_C]])</f>
        <v>62.283796301751636</v>
      </c>
      <c r="AD106" s="78">
        <f>TAB_JUROS_U[[#This Row],[V_FUT_U_JURS CENARIO]]</f>
        <v>26.664078495498202</v>
      </c>
      <c r="AE106" s="124">
        <f>IF(TAB_JUROS_C[[#This Row],[DIAS_CORRIDOS]]&lt;0, 0, TAB_JUROS_C[[#This Row],[V_FUT_UTEIS]]/TAB_JUROS_C[[#This Row],[VAR_DESCAP_C]])</f>
        <v>22.548874775354133</v>
      </c>
      <c r="AF106" s="64"/>
    </row>
    <row r="107" spans="1:32">
      <c r="A107" s="82">
        <f t="shared" si="2"/>
        <v>83</v>
      </c>
      <c r="B107" s="24">
        <f>VLOOKUP($A107, CAD_JUROS[#Data], MATCH(B$24, CAD_JUROS[#Headers],0), FALSE)</f>
        <v>2</v>
      </c>
      <c r="C107" s="24" t="str">
        <f>VLOOKUP($A107, CAD_JUROS[#Data], MATCH(C$24, CAD_JUROS[#Headers],0), FALSE)</f>
        <v xml:space="preserve">JUROS SOBRE PRINCIPAL                             </v>
      </c>
      <c r="D107" s="36">
        <f>VLOOKUP($A107, CAD_JUROS[#Data], MATCH(D$24, CAD_JUROS[#Headers],0), FALSE)</f>
        <v>44875</v>
      </c>
      <c r="E107" s="48">
        <f>VLOOKUP($A107, CAD_JUROS[#Data], MATCH(E$24, CAD_JUROS[#Headers],0), FALSE)</f>
        <v>0</v>
      </c>
      <c r="F107" s="36">
        <f>VLOOKUP($A107, CAD_JUROS[#Data], MATCH(F$24, CAD_JUROS[#Headers],0), FALSE)</f>
        <v>44881</v>
      </c>
      <c r="G107" s="47">
        <f>WORKDAY(WORKDAY(TAB_JUROS_U[[#This Row],[DT_EVE]], -1, TAB_FERIADOS[FER_DATA]), 1, TAB_FERIADOS[FER_DATA])</f>
        <v>44875</v>
      </c>
      <c r="H107" s="75">
        <f>WORKDAY(WORKDAY(TAB_JUROS_U[[#This Row],[DT_LQDC_EVE]], -1, TAB_FERIADOS[FER_DATA]), 1, TAB_FERIADOS[FER_DATA])</f>
        <v>44881</v>
      </c>
      <c r="I107" s="48">
        <f>PU_EMISSAO - SUMIF(TAB_AMORTIZACAO_U[DT_EVE], "&lt;" &amp; TAB_JUROS_U[[#This Row],[DT_EVE]], TAB_AMORTIZACAO_U[V_PU_AMTC])</f>
        <v>35128.769299000036</v>
      </c>
      <c r="J107" s="48">
        <f>IFERROR(VLOOKUP(TAB_JUROS_U[[#This Row],[DT_EVE]], TAB_AMORTIZACAO_U[[DT_EVE]:[V_PU_AMTC]], 2, FALSE), 0)</f>
        <v>623.46539700000005</v>
      </c>
      <c r="K107" s="48">
        <f>NETWORKDAYS(DT_CALCULO_U, TAB_JUROS_U[[#This Row],[dt_eve_u]], TAB_FERIADOS[FER_DATA]) -1</f>
        <v>1724</v>
      </c>
      <c r="L107" s="48">
        <f>NETWORKDAYS(DT_CALCULO_U, TAB_JUROS_U[[#This Row],[dt_lqdc_eve_u]], TAB_FERIADOS[FER_DATA]) -1</f>
        <v>1727</v>
      </c>
      <c r="M107" s="48">
        <f>NETWORKDAYS(IF(ISTEXT(H106), DT_B_JURS, H106), TAB_JUROS_U[[#This Row],[dt_lqdc_eve_u]],  TAB_FERIADOS[FER_DATA]) -1</f>
        <v>20</v>
      </c>
      <c r="N107" s="123">
        <f>(TX_EMISSAO/100 +1)^(TAB_JUROS_U[[#This Row],[dias_periodo_u]]/252)</f>
        <v>1.0019616526860928</v>
      </c>
      <c r="O107" s="78">
        <f>(TIR_U/100 +1)^(TAB_JUROS_U[[#This Row],[Q_DIAS_U_PARC_TIR]]/252)</f>
        <v>1.1844055594179628</v>
      </c>
      <c r="P107" s="116" t="str">
        <f>"TX_CENARIO" &amp; TEXT(DT_CALCULO_C, "-AAAAMMDD") &amp; TEXT(TAB_JUROS_U[[#This Row],[DT_EVE]], "-AAAAMMDD")</f>
        <v>TX_CENARIO-20151228-20221110</v>
      </c>
      <c r="Q107" s="44">
        <f>IFERROR(VLOOKUP(TAB_JUROS_U[[#This Row],[Chave-CENARIO]],CENARIO[],2,FALSE), 0)</f>
        <v>16.4053</v>
      </c>
      <c r="R107" s="116" t="str">
        <f>"CORRECAO_JURS_U" &amp; TEXT(DT_CALCULO_C, "-AAAAMMDD") &amp; TEXT(TAB_JUROS_U[[#This Row],[DT_EVE]], "-AAAAMMDD")</f>
        <v>CORRECAO_JURS_U-20151228-20221110</v>
      </c>
      <c r="S107" s="44">
        <f>IFERROR(VLOOKUP(TAB_JUROS_U[[#This Row],[Chave-CORC]],CORRECAO_JURS_U[],2, FALSE), 0)</f>
        <v>1.01199737</v>
      </c>
      <c r="T107" s="78">
        <f>MAX(0, (TAB_JUROS_U[[#This Row],[CUPOM_TIR]] -1) * IF(TAB_JUROS_U[[#This Row],[ID_T_EVE]]=1, TAB_JUROS_U[[#This Row],[PU_AMORT]], TAB_JUROS_U[[#This Row],[V_NOML_PCPL]]) * TAB_JUROS_U[[#This Row],[CORRECAO_U]])</f>
        <v>69.737188755903532</v>
      </c>
      <c r="U107" s="78">
        <f>MAX(0, TAB_JUROS_U[[#This Row],[V_FUT_U_JURS-01]]/((((TAB_JUROS_U[[#This Row],[TX_CENARIO]]/100 +1)^(1/252) -1) * PC_IDXR/100 +1)^TAB_JUROS_U[[#This Row],[Q_DIAS_U_PARC_TIR]]))</f>
        <v>24.623037748593273</v>
      </c>
      <c r="V107" s="78">
        <f>+TAB_JUROS_U[[#This Row],[V_FUT_U_JURS CENARIO]]/TAB_JUROS_U[[#This Row],[VAR_DESCAP_U]]</f>
        <v>20.789363535825903</v>
      </c>
      <c r="W107" s="78"/>
      <c r="X107" s="64">
        <f>TAB_JUROS_U[[#This Row],[dt_eve_u]]- DT_CALCULO_C</f>
        <v>2509</v>
      </c>
      <c r="Y107" s="48" t="str">
        <f>"CORRECAO_JURS_C" &amp; TEXT(DT_CALCULO_C, "-AAAAMMDD") &amp; TEXT(TAB_JUROS_U[[#This Row],[DT_EVE]], "-AAAAMMDD")</f>
        <v>CORRECAO_JURS_C-20151228-20221110</v>
      </c>
      <c r="Z107" s="44">
        <f>IFERROR(VLOOKUP(TAB_JUROS_C[[#This Row],[Chave-CORC]],CORRECAO_JURS_C[],2, FALSE), 0)</f>
        <v>1</v>
      </c>
      <c r="AA10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68.910444654518741</v>
      </c>
      <c r="AB107" s="63">
        <f>(TIR_C/100 +1)^(TAB_JUROS_C[[#This Row],[DIAS_CORRIDOS]]/360)</f>
        <v>1.1849027991145202</v>
      </c>
      <c r="AC107" s="78">
        <f>IF(TAB_JUROS_C[[#This Row],[DIAS_CORRIDOS]]&lt;0, 0, TAB_JUROS_C[[#This Row],[V_FUT_C_JURS]]/TAB_JUROS_C[[#This Row],[VAR_DESCAP_C]])</f>
        <v>58.157044363483337</v>
      </c>
      <c r="AD107" s="78">
        <f>TAB_JUROS_U[[#This Row],[V_FUT_U_JURS CENARIO]]</f>
        <v>24.623037748593273</v>
      </c>
      <c r="AE107" s="124">
        <f>IF(TAB_JUROS_C[[#This Row],[DIAS_CORRIDOS]]&lt;0, 0, TAB_JUROS_C[[#This Row],[V_FUT_UTEIS]]/TAB_JUROS_C[[#This Row],[VAR_DESCAP_C]])</f>
        <v>20.780639362987504</v>
      </c>
      <c r="AF107" s="64"/>
    </row>
    <row r="108" spans="1:32">
      <c r="A108" s="82">
        <f t="shared" si="2"/>
        <v>84</v>
      </c>
      <c r="B108" s="24">
        <f>VLOOKUP($A108, CAD_JUROS[#Data], MATCH(B$24, CAD_JUROS[#Headers],0), FALSE)</f>
        <v>2</v>
      </c>
      <c r="C108" s="24" t="str">
        <f>VLOOKUP($A108, CAD_JUROS[#Data], MATCH(C$24, CAD_JUROS[#Headers],0), FALSE)</f>
        <v xml:space="preserve">JUROS SOBRE PRINCIPAL                             </v>
      </c>
      <c r="D108" s="36">
        <f>VLOOKUP($A108, CAD_JUROS[#Data], MATCH(D$24, CAD_JUROS[#Headers],0), FALSE)</f>
        <v>44903</v>
      </c>
      <c r="E108" s="48">
        <f>VLOOKUP($A108, CAD_JUROS[#Data], MATCH(E$24, CAD_JUROS[#Headers],0), FALSE)</f>
        <v>0</v>
      </c>
      <c r="F108" s="36">
        <f>VLOOKUP($A108, CAD_JUROS[#Data], MATCH(F$24, CAD_JUROS[#Headers],0), FALSE)</f>
        <v>44909</v>
      </c>
      <c r="G108" s="47">
        <f>WORKDAY(WORKDAY(TAB_JUROS_U[[#This Row],[DT_EVE]], -1, TAB_FERIADOS[FER_DATA]), 1, TAB_FERIADOS[FER_DATA])</f>
        <v>44903</v>
      </c>
      <c r="H108" s="75">
        <f>WORKDAY(WORKDAY(TAB_JUROS_U[[#This Row],[DT_LQDC_EVE]], -1, TAB_FERIADOS[FER_DATA]), 1, TAB_FERIADOS[FER_DATA])</f>
        <v>44909</v>
      </c>
      <c r="I108" s="48">
        <f>PU_EMISSAO - SUMIF(TAB_AMORTIZACAO_U[DT_EVE], "&lt;" &amp; TAB_JUROS_U[[#This Row],[DT_EVE]], TAB_AMORTIZACAO_U[V_PU_AMTC])</f>
        <v>34505.303902000036</v>
      </c>
      <c r="J108" s="48">
        <f>IFERROR(VLOOKUP(TAB_JUROS_U[[#This Row],[DT_EVE]], TAB_AMORTIZACAO_U[[DT_EVE]:[V_PU_AMTC]], 2, FALSE), 0)</f>
        <v>616.85131699999999</v>
      </c>
      <c r="K108" s="48">
        <f>NETWORKDAYS(DT_CALCULO_U, TAB_JUROS_U[[#This Row],[dt_eve_u]], TAB_FERIADOS[FER_DATA]) -1</f>
        <v>1743</v>
      </c>
      <c r="L108" s="48">
        <f>NETWORKDAYS(DT_CALCULO_U, TAB_JUROS_U[[#This Row],[dt_lqdc_eve_u]], TAB_FERIADOS[FER_DATA]) -1</f>
        <v>1747</v>
      </c>
      <c r="M108" s="48">
        <f>NETWORKDAYS(IF(ISTEXT(H107), DT_B_JURS, H107), TAB_JUROS_U[[#This Row],[dt_lqdc_eve_u]],  TAB_FERIADOS[FER_DATA]) -1</f>
        <v>20</v>
      </c>
      <c r="N108" s="123">
        <f>(TX_EMISSAO/100 +1)^(TAB_JUROS_U[[#This Row],[dias_periodo_u]]/252)</f>
        <v>1.0019616526860928</v>
      </c>
      <c r="O108" s="78">
        <f>(TIR_U/100 +1)^(TAB_JUROS_U[[#This Row],[Q_DIAS_U_PARC_TIR]]/252)</f>
        <v>1.1867292022440494</v>
      </c>
      <c r="P108" s="116" t="str">
        <f>"TX_CENARIO" &amp; TEXT(DT_CALCULO_C, "-AAAAMMDD") &amp; TEXT(TAB_JUROS_U[[#This Row],[DT_EVE]], "-AAAAMMDD")</f>
        <v>TX_CENARIO-20151228-20221208</v>
      </c>
      <c r="Q108" s="44">
        <f>IFERROR(VLOOKUP(TAB_JUROS_U[[#This Row],[Chave-CENARIO]],CENARIO[],2,FALSE), 0)</f>
        <v>16.402799999999999</v>
      </c>
      <c r="R108" s="116" t="str">
        <f>"CORRECAO_JURS_U" &amp; TEXT(DT_CALCULO_C, "-AAAAMMDD") &amp; TEXT(TAB_JUROS_U[[#This Row],[DT_EVE]], "-AAAAMMDD")</f>
        <v>CORRECAO_JURS_U-20151228-20221208</v>
      </c>
      <c r="S108" s="44">
        <f>IFERROR(VLOOKUP(TAB_JUROS_U[[#This Row],[Chave-CORC]],CORRECAO_JURS_U[],2, FALSE), 0)</f>
        <v>1.0113941</v>
      </c>
      <c r="T108" s="78">
        <f>MAX(0, (TAB_JUROS_U[[#This Row],[CUPOM_TIR]] -1) * IF(TAB_JUROS_U[[#This Row],[ID_T_EVE]]=1, TAB_JUROS_U[[#This Row],[PU_AMORT]], TAB_JUROS_U[[#This Row],[V_NOML_PCPL]]) * TAB_JUROS_U[[#This Row],[CORRECAO_U]])</f>
        <v>68.458659339772865</v>
      </c>
      <c r="U108" s="78">
        <f>MAX(0, TAB_JUROS_U[[#This Row],[V_FUT_U_JURS-01]]/((((TAB_JUROS_U[[#This Row],[TX_CENARIO]]/100 +1)^(1/252) -1) * PC_IDXR/100 +1)^TAB_JUROS_U[[#This Row],[Q_DIAS_U_PARC_TIR]]))</f>
        <v>23.885498723134351</v>
      </c>
      <c r="V108" s="78">
        <f>+TAB_JUROS_U[[#This Row],[V_FUT_U_JURS CENARIO]]/TAB_JUROS_U[[#This Row],[VAR_DESCAP_U]]</f>
        <v>20.127168589066478</v>
      </c>
      <c r="W108" s="78"/>
      <c r="X108" s="64">
        <f>TAB_JUROS_U[[#This Row],[dt_eve_u]]- DT_CALCULO_C</f>
        <v>2537</v>
      </c>
      <c r="Y108" s="48" t="str">
        <f>"CORRECAO_JURS_C" &amp; TEXT(DT_CALCULO_C, "-AAAAMMDD") &amp; TEXT(TAB_JUROS_U[[#This Row],[DT_EVE]], "-AAAAMMDD")</f>
        <v>CORRECAO_JURS_C-20151228-20221208</v>
      </c>
      <c r="Z108" s="44">
        <f>IFERROR(VLOOKUP(TAB_JUROS_C[[#This Row],[Chave-CORC]],CORRECAO_JURS_C[],2, FALSE), 0)</f>
        <v>1</v>
      </c>
      <c r="AA10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67.68742208380776</v>
      </c>
      <c r="AB108" s="63">
        <f>(TIR_C/100 +1)^(TAB_JUROS_C[[#This Row],[DIAS_CORRIDOS]]/360)</f>
        <v>1.1871484005310395</v>
      </c>
      <c r="AC108" s="78">
        <f>IF(TAB_JUROS_C[[#This Row],[DIAS_CORRIDOS]]&lt;0, 0, TAB_JUROS_C[[#This Row],[V_FUT_C_JURS]]/TAB_JUROS_C[[#This Row],[VAR_DESCAP_C]])</f>
        <v>57.016816139860509</v>
      </c>
      <c r="AD108" s="78">
        <f>TAB_JUROS_U[[#This Row],[V_FUT_U_JURS CENARIO]]</f>
        <v>23.885498723134351</v>
      </c>
      <c r="AE108" s="124">
        <f>IF(TAB_JUROS_C[[#This Row],[DIAS_CORRIDOS]]&lt;0, 0, TAB_JUROS_C[[#This Row],[V_FUT_UTEIS]]/TAB_JUROS_C[[#This Row],[VAR_DESCAP_C]])</f>
        <v>20.120061411403835</v>
      </c>
      <c r="AF108" s="64"/>
    </row>
    <row r="109" spans="1:32">
      <c r="A109" s="82">
        <f t="shared" si="2"/>
        <v>85</v>
      </c>
      <c r="B109" s="24">
        <f>VLOOKUP($A109, CAD_JUROS[#Data], MATCH(B$24, CAD_JUROS[#Headers],0), FALSE)</f>
        <v>2</v>
      </c>
      <c r="C109" s="24" t="str">
        <f>VLOOKUP($A109, CAD_JUROS[#Data], MATCH(C$24, CAD_JUROS[#Headers],0), FALSE)</f>
        <v xml:space="preserve">JUROS SOBRE PRINCIPAL                             </v>
      </c>
      <c r="D109" s="36">
        <f>VLOOKUP($A109, CAD_JUROS[#Data], MATCH(D$24, CAD_JUROS[#Headers],0), FALSE)</f>
        <v>44935</v>
      </c>
      <c r="E109" s="48">
        <f>VLOOKUP($A109, CAD_JUROS[#Data], MATCH(E$24, CAD_JUROS[#Headers],0), FALSE)</f>
        <v>0</v>
      </c>
      <c r="F109" s="36">
        <f>VLOOKUP($A109, CAD_JUROS[#Data], MATCH(F$24, CAD_JUROS[#Headers],0), FALSE)</f>
        <v>44939</v>
      </c>
      <c r="G109" s="47">
        <f>WORKDAY(WORKDAY(TAB_JUROS_U[[#This Row],[DT_EVE]], -1, TAB_FERIADOS[FER_DATA]), 1, TAB_FERIADOS[FER_DATA])</f>
        <v>44935</v>
      </c>
      <c r="H109" s="75">
        <f>WORKDAY(WORKDAY(TAB_JUROS_U[[#This Row],[DT_LQDC_EVE]], -1, TAB_FERIADOS[FER_DATA]), 1, TAB_FERIADOS[FER_DATA])</f>
        <v>44939</v>
      </c>
      <c r="I109" s="48">
        <f>PU_EMISSAO - SUMIF(TAB_AMORTIZACAO_U[DT_EVE], "&lt;" &amp; TAB_JUROS_U[[#This Row],[DT_EVE]], TAB_AMORTIZACAO_U[V_PU_AMTC])</f>
        <v>33888.452585000035</v>
      </c>
      <c r="J109" s="48">
        <f>IFERROR(VLOOKUP(TAB_JUROS_U[[#This Row],[DT_EVE]], TAB_AMORTIZACAO_U[[DT_EVE]:[V_PU_AMTC]], 2, FALSE), 0)</f>
        <v>652.38660000000004</v>
      </c>
      <c r="K109" s="48">
        <f>NETWORKDAYS(DT_CALCULO_U, TAB_JUROS_U[[#This Row],[dt_eve_u]], TAB_FERIADOS[FER_DATA]) -1</f>
        <v>1765</v>
      </c>
      <c r="L109" s="48">
        <f>NETWORKDAYS(DT_CALCULO_U, TAB_JUROS_U[[#This Row],[dt_lqdc_eve_u]], TAB_FERIADOS[FER_DATA]) -1</f>
        <v>1769</v>
      </c>
      <c r="M109" s="48">
        <f>NETWORKDAYS(IF(ISTEXT(H108), DT_B_JURS, H108), TAB_JUROS_U[[#This Row],[dt_lqdc_eve_u]],  TAB_FERIADOS[FER_DATA]) -1</f>
        <v>22</v>
      </c>
      <c r="N109" s="123">
        <f>(TX_EMISSAO/100 +1)^(TAB_JUROS_U[[#This Row],[dias_periodo_u]]/252)</f>
        <v>1.0021580294747356</v>
      </c>
      <c r="O109" s="78">
        <f>(TIR_U/100 +1)^(TAB_JUROS_U[[#This Row],[Q_DIAS_U_PARC_TIR]]/252)</f>
        <v>1.1892904749626119</v>
      </c>
      <c r="P109" s="116" t="str">
        <f>"TX_CENARIO" &amp; TEXT(DT_CALCULO_C, "-AAAAMMDD") &amp; TEXT(TAB_JUROS_U[[#This Row],[DT_EVE]], "-AAAAMMDD")</f>
        <v>TX_CENARIO-20151228-20230109</v>
      </c>
      <c r="Q109" s="44">
        <f>IFERROR(VLOOKUP(TAB_JUROS_U[[#This Row],[Chave-CENARIO]],CENARIO[],2,FALSE), 0)</f>
        <v>16.400600000000001</v>
      </c>
      <c r="R109" s="116" t="str">
        <f>"CORRECAO_JURS_U" &amp; TEXT(DT_CALCULO_C, "-AAAAMMDD") &amp; TEXT(TAB_JUROS_U[[#This Row],[DT_EVE]], "-AAAAMMDD")</f>
        <v>CORRECAO_JURS_U-20151228-20230109</v>
      </c>
      <c r="S109" s="44">
        <f>IFERROR(VLOOKUP(TAB_JUROS_U[[#This Row],[Chave-CORC]],CORRECAO_JURS_U[],2, FALSE), 0)</f>
        <v>1.01326413</v>
      </c>
      <c r="T109" s="78">
        <f>MAX(0, (TAB_JUROS_U[[#This Row],[CUPOM_TIR]] -1) * IF(TAB_JUROS_U[[#This Row],[ID_T_EVE]]=1, TAB_JUROS_U[[#This Row],[PU_AMORT]], TAB_JUROS_U[[#This Row],[V_NOML_PCPL]]) * TAB_JUROS_U[[#This Row],[CORRECAO_U]])</f>
        <v>74.10231559451509</v>
      </c>
      <c r="U109" s="78">
        <f>MAX(0, TAB_JUROS_U[[#This Row],[V_FUT_U_JURS-01]]/((((TAB_JUROS_U[[#This Row],[TX_CENARIO]]/100 +1)^(1/252) -1) * PC_IDXR/100 +1)^TAB_JUROS_U[[#This Row],[Q_DIAS_U_PARC_TIR]]))</f>
        <v>25.517411159325221</v>
      </c>
      <c r="V109" s="78">
        <f>+TAB_JUROS_U[[#This Row],[V_FUT_U_JURS CENARIO]]/TAB_JUROS_U[[#This Row],[VAR_DESCAP_U]]</f>
        <v>21.455995567548307</v>
      </c>
      <c r="W109" s="78"/>
      <c r="X109" s="64">
        <f>TAB_JUROS_U[[#This Row],[dt_eve_u]]- DT_CALCULO_C</f>
        <v>2569</v>
      </c>
      <c r="Y109" s="48" t="str">
        <f>"CORRECAO_JURS_C" &amp; TEXT(DT_CALCULO_C, "-AAAAMMDD") &amp; TEXT(TAB_JUROS_U[[#This Row],[DT_EVE]], "-AAAAMMDD")</f>
        <v>CORRECAO_JURS_C-20151228-20230109</v>
      </c>
      <c r="Z109" s="44">
        <f>IFERROR(VLOOKUP(TAB_JUROS_C[[#This Row],[Chave-CORC]],CORRECAO_JURS_C[],2, FALSE), 0)</f>
        <v>1</v>
      </c>
      <c r="AA10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73.132279531611459</v>
      </c>
      <c r="AB109" s="63">
        <f>(TIR_C/100 +1)^(TAB_JUROS_C[[#This Row],[DIAS_CORRIDOS]]/360)</f>
        <v>1.1897200138206312</v>
      </c>
      <c r="AC109" s="78">
        <f>IF(TAB_JUROS_C[[#This Row],[DIAS_CORRIDOS]]&lt;0, 0, TAB_JUROS_C[[#This Row],[V_FUT_C_JURS]]/TAB_JUROS_C[[#This Row],[VAR_DESCAP_C]])</f>
        <v>61.470159938519188</v>
      </c>
      <c r="AD109" s="78">
        <f>TAB_JUROS_U[[#This Row],[V_FUT_U_JURS CENARIO]]</f>
        <v>25.517411159325221</v>
      </c>
      <c r="AE109" s="124">
        <f>IF(TAB_JUROS_C[[#This Row],[DIAS_CORRIDOS]]&lt;0, 0, TAB_JUROS_C[[#This Row],[V_FUT_UTEIS]]/TAB_JUROS_C[[#This Row],[VAR_DESCAP_C]])</f>
        <v>21.44824905263161</v>
      </c>
      <c r="AF109" s="64"/>
    </row>
    <row r="110" spans="1:32">
      <c r="A110" s="82">
        <f t="shared" si="2"/>
        <v>86</v>
      </c>
      <c r="B110" s="24">
        <f>VLOOKUP($A110, CAD_JUROS[#Data], MATCH(B$24, CAD_JUROS[#Headers],0), FALSE)</f>
        <v>2</v>
      </c>
      <c r="C110" s="24" t="str">
        <f>VLOOKUP($A110, CAD_JUROS[#Data], MATCH(C$24, CAD_JUROS[#Headers],0), FALSE)</f>
        <v xml:space="preserve">JUROS SOBRE PRINCIPAL                             </v>
      </c>
      <c r="D110" s="36">
        <f>VLOOKUP($A110, CAD_JUROS[#Data], MATCH(D$24, CAD_JUROS[#Headers],0), FALSE)</f>
        <v>44965</v>
      </c>
      <c r="E110" s="48">
        <f>VLOOKUP($A110, CAD_JUROS[#Data], MATCH(E$24, CAD_JUROS[#Headers],0), FALSE)</f>
        <v>0</v>
      </c>
      <c r="F110" s="36">
        <f>VLOOKUP($A110, CAD_JUROS[#Data], MATCH(F$24, CAD_JUROS[#Headers],0), FALSE)</f>
        <v>44971</v>
      </c>
      <c r="G110" s="47">
        <f>WORKDAY(WORKDAY(TAB_JUROS_U[[#This Row],[DT_EVE]], -1, TAB_FERIADOS[FER_DATA]), 1, TAB_FERIADOS[FER_DATA])</f>
        <v>44965</v>
      </c>
      <c r="H110" s="75">
        <f>WORKDAY(WORKDAY(TAB_JUROS_U[[#This Row],[DT_LQDC_EVE]], -1, TAB_FERIADOS[FER_DATA]), 1, TAB_FERIADOS[FER_DATA])</f>
        <v>44971</v>
      </c>
      <c r="I110" s="48">
        <f>PU_EMISSAO - SUMIF(TAB_AMORTIZACAO_U[DT_EVE], "&lt;" &amp; TAB_JUROS_U[[#This Row],[DT_EVE]], TAB_AMORTIZACAO_U[V_PU_AMTC])</f>
        <v>33236.065985000037</v>
      </c>
      <c r="J110" s="48">
        <f>IFERROR(VLOOKUP(TAB_JUROS_U[[#This Row],[DT_EVE]], TAB_AMORTIZACAO_U[[DT_EVE]:[V_PU_AMTC]], 2, FALSE), 0)</f>
        <v>644.54702699999996</v>
      </c>
      <c r="K110" s="48">
        <f>NETWORKDAYS(DT_CALCULO_U, TAB_JUROS_U[[#This Row],[dt_eve_u]], TAB_FERIADOS[FER_DATA]) -1</f>
        <v>1787</v>
      </c>
      <c r="L110" s="48">
        <f>NETWORKDAYS(DT_CALCULO_U, TAB_JUROS_U[[#This Row],[dt_lqdc_eve_u]], TAB_FERIADOS[FER_DATA]) -1</f>
        <v>1791</v>
      </c>
      <c r="M110" s="48">
        <f>NETWORKDAYS(IF(ISTEXT(H109), DT_B_JURS, H109), TAB_JUROS_U[[#This Row],[dt_lqdc_eve_u]],  TAB_FERIADOS[FER_DATA]) -1</f>
        <v>22</v>
      </c>
      <c r="N110" s="123">
        <f>(TX_EMISSAO/100 +1)^(TAB_JUROS_U[[#This Row],[dias_periodo_u]]/252)</f>
        <v>1.0021580294747356</v>
      </c>
      <c r="O110" s="78">
        <f>(TIR_U/100 +1)^(TAB_JUROS_U[[#This Row],[Q_DIAS_U_PARC_TIR]]/252)</f>
        <v>1.1918572755791366</v>
      </c>
      <c r="P110" s="116" t="str">
        <f>"TX_CENARIO" &amp; TEXT(DT_CALCULO_C, "-AAAAMMDD") &amp; TEXT(TAB_JUROS_U[[#This Row],[DT_EVE]], "-AAAAMMDD")</f>
        <v>TX_CENARIO-20151228-20230208</v>
      </c>
      <c r="Q110" s="44">
        <f>IFERROR(VLOOKUP(TAB_JUROS_U[[#This Row],[Chave-CENARIO]],CENARIO[],2,FALSE), 0)</f>
        <v>16.398900000000001</v>
      </c>
      <c r="R110" s="116" t="str">
        <f>"CORRECAO_JURS_U" &amp; TEXT(DT_CALCULO_C, "-AAAAMMDD") &amp; TEXT(TAB_JUROS_U[[#This Row],[DT_EVE]], "-AAAAMMDD")</f>
        <v>CORRECAO_JURS_U-20151228-20230208</v>
      </c>
      <c r="S110" s="44">
        <f>IFERROR(VLOOKUP(TAB_JUROS_U[[#This Row],[Chave-CORC]],CORRECAO_JURS_U[],2, FALSE), 0)</f>
        <v>1.0134652</v>
      </c>
      <c r="T110" s="78">
        <f>MAX(0, (TAB_JUROS_U[[#This Row],[CUPOM_TIR]] -1) * IF(TAB_JUROS_U[[#This Row],[ID_T_EVE]]=1, TAB_JUROS_U[[#This Row],[PU_AMORT]], TAB_JUROS_U[[#This Row],[V_NOML_PCPL]]) * TAB_JUROS_U[[#This Row],[CORRECAO_U]])</f>
        <v>72.690193545688686</v>
      </c>
      <c r="U110" s="78">
        <f>MAX(0, TAB_JUROS_U[[#This Row],[V_FUT_U_JURS-01]]/((((TAB_JUROS_U[[#This Row],[TX_CENARIO]]/100 +1)^(1/252) -1) * PC_IDXR/100 +1)^TAB_JUROS_U[[#This Row],[Q_DIAS_U_PARC_TIR]]))</f>
        <v>24.704026313350468</v>
      </c>
      <c r="V110" s="78">
        <f>+TAB_JUROS_U[[#This Row],[V_FUT_U_JURS CENARIO]]/TAB_JUROS_U[[#This Row],[VAR_DESCAP_U]]</f>
        <v>20.727336082541015</v>
      </c>
      <c r="W110" s="78"/>
      <c r="X110" s="64">
        <f>TAB_JUROS_U[[#This Row],[dt_eve_u]]- DT_CALCULO_C</f>
        <v>2599</v>
      </c>
      <c r="Y110" s="48" t="str">
        <f>"CORRECAO_JURS_C" &amp; TEXT(DT_CALCULO_C, "-AAAAMMDD") &amp; TEXT(TAB_JUROS_U[[#This Row],[DT_EVE]], "-AAAAMMDD")</f>
        <v>CORRECAO_JURS_C-20151228-20230208</v>
      </c>
      <c r="Z110" s="44">
        <f>IFERROR(VLOOKUP(TAB_JUROS_C[[#This Row],[Chave-CORC]],CORRECAO_JURS_C[],2, FALSE), 0)</f>
        <v>1</v>
      </c>
      <c r="AA11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71.724410019888879</v>
      </c>
      <c r="AB110" s="63">
        <f>(TIR_C/100 +1)^(TAB_JUROS_C[[#This Row],[DIAS_CORRIDOS]]/360)</f>
        <v>1.192135960338276</v>
      </c>
      <c r="AC110" s="78">
        <f>IF(TAB_JUROS_C[[#This Row],[DIAS_CORRIDOS]]&lt;0, 0, TAB_JUROS_C[[#This Row],[V_FUT_C_JURS]]/TAB_JUROS_C[[#This Row],[VAR_DESCAP_C]])</f>
        <v>60.16462249787066</v>
      </c>
      <c r="AD110" s="78">
        <f>TAB_JUROS_U[[#This Row],[V_FUT_U_JURS CENARIO]]</f>
        <v>24.704026313350468</v>
      </c>
      <c r="AE110" s="124">
        <f>IF(TAB_JUROS_C[[#This Row],[DIAS_CORRIDOS]]&lt;0, 0, TAB_JUROS_C[[#This Row],[V_FUT_UTEIS]]/TAB_JUROS_C[[#This Row],[VAR_DESCAP_C]])</f>
        <v>20.722490668212497</v>
      </c>
      <c r="AF110" s="64"/>
    </row>
    <row r="111" spans="1:32">
      <c r="A111" s="82">
        <f t="shared" si="2"/>
        <v>87</v>
      </c>
      <c r="B111" s="24">
        <f>VLOOKUP($A111, CAD_JUROS[#Data], MATCH(B$24, CAD_JUROS[#Headers],0), FALSE)</f>
        <v>2</v>
      </c>
      <c r="C111" s="24" t="str">
        <f>VLOOKUP($A111, CAD_JUROS[#Data], MATCH(C$24, CAD_JUROS[#Headers],0), FALSE)</f>
        <v xml:space="preserve">JUROS SOBRE PRINCIPAL                             </v>
      </c>
      <c r="D111" s="36">
        <f>VLOOKUP($A111, CAD_JUROS[#Data], MATCH(D$24, CAD_JUROS[#Headers],0), FALSE)</f>
        <v>44993</v>
      </c>
      <c r="E111" s="48">
        <f>VLOOKUP($A111, CAD_JUROS[#Data], MATCH(E$24, CAD_JUROS[#Headers],0), FALSE)</f>
        <v>0</v>
      </c>
      <c r="F111" s="36">
        <f>VLOOKUP($A111, CAD_JUROS[#Data], MATCH(F$24, CAD_JUROS[#Headers],0), FALSE)</f>
        <v>44999</v>
      </c>
      <c r="G111" s="47">
        <f>WORKDAY(WORKDAY(TAB_JUROS_U[[#This Row],[DT_EVE]], -1, TAB_FERIADOS[FER_DATA]), 1, TAB_FERIADOS[FER_DATA])</f>
        <v>44993</v>
      </c>
      <c r="H111" s="75">
        <f>WORKDAY(WORKDAY(TAB_JUROS_U[[#This Row],[DT_LQDC_EVE]], -1, TAB_FERIADOS[FER_DATA]), 1, TAB_FERIADOS[FER_DATA])</f>
        <v>44999</v>
      </c>
      <c r="I111" s="48">
        <f>PU_EMISSAO - SUMIF(TAB_AMORTIZACAO_U[DT_EVE], "&lt;" &amp; TAB_JUROS_U[[#This Row],[DT_EVE]], TAB_AMORTIZACAO_U[V_PU_AMTC])</f>
        <v>32591.518958000044</v>
      </c>
      <c r="J111" s="48">
        <f>IFERROR(VLOOKUP(TAB_JUROS_U[[#This Row],[DT_EVE]], TAB_AMORTIZACAO_U[[DT_EVE]:[V_PU_AMTC]], 2, FALSE), 0)</f>
        <v>651.27632300000005</v>
      </c>
      <c r="K111" s="48">
        <f>NETWORKDAYS(DT_CALCULO_U, TAB_JUROS_U[[#This Row],[dt_eve_u]], TAB_FERIADOS[FER_DATA]) -1</f>
        <v>1805</v>
      </c>
      <c r="L111" s="48">
        <f>NETWORKDAYS(DT_CALCULO_U, TAB_JUROS_U[[#This Row],[dt_lqdc_eve_u]], TAB_FERIADOS[FER_DATA]) -1</f>
        <v>1809</v>
      </c>
      <c r="M111" s="48">
        <f>NETWORKDAYS(IF(ISTEXT(H110), DT_B_JURS, H110), TAB_JUROS_U[[#This Row],[dt_lqdc_eve_u]],  TAB_FERIADOS[FER_DATA]) -1</f>
        <v>18</v>
      </c>
      <c r="N111" s="123">
        <f>(TX_EMISSAO/100 +1)^(TAB_JUROS_U[[#This Row],[dias_periodo_u]]/252)</f>
        <v>1.0017653143782506</v>
      </c>
      <c r="O111" s="78">
        <f>(TIR_U/100 +1)^(TAB_JUROS_U[[#This Row],[Q_DIAS_U_PARC_TIR]]/252)</f>
        <v>1.1939615051695178</v>
      </c>
      <c r="P111" s="116" t="str">
        <f>"TX_CENARIO" &amp; TEXT(DT_CALCULO_C, "-AAAAMMDD") &amp; TEXT(TAB_JUROS_U[[#This Row],[DT_EVE]], "-AAAAMMDD")</f>
        <v>TX_CENARIO-20151228-20230308</v>
      </c>
      <c r="Q111" s="44">
        <f>IFERROR(VLOOKUP(TAB_JUROS_U[[#This Row],[Chave-CENARIO]],CENARIO[],2,FALSE), 0)</f>
        <v>16.397600000000001</v>
      </c>
      <c r="R111" s="116" t="str">
        <f>"CORRECAO_JURS_U" &amp; TEXT(DT_CALCULO_C, "-AAAAMMDD") &amp; TEXT(TAB_JUROS_U[[#This Row],[DT_EVE]], "-AAAAMMDD")</f>
        <v>CORRECAO_JURS_U-20151228-20230308</v>
      </c>
      <c r="S111" s="44">
        <f>IFERROR(VLOOKUP(TAB_JUROS_U[[#This Row],[Chave-CORC]],CORRECAO_JURS_U[],2, FALSE), 0)</f>
        <v>1.01100357</v>
      </c>
      <c r="T111" s="78">
        <f>MAX(0, (TAB_JUROS_U[[#This Row],[CUPOM_TIR]] -1) * IF(TAB_JUROS_U[[#This Row],[ID_T_EVE]]=1, TAB_JUROS_U[[#This Row],[PU_AMORT]], TAB_JUROS_U[[#This Row],[V_NOML_PCPL]]) * TAB_JUROS_U[[#This Row],[CORRECAO_U]])</f>
        <v>58.167359470233571</v>
      </c>
      <c r="U111" s="78">
        <f>MAX(0, TAB_JUROS_U[[#This Row],[V_FUT_U_JURS-01]]/((((TAB_JUROS_U[[#This Row],[TX_CENARIO]]/100 +1)^(1/252) -1) * PC_IDXR/100 +1)^TAB_JUROS_U[[#This Row],[Q_DIAS_U_PARC_TIR]]))</f>
        <v>19.556694452362194</v>
      </c>
      <c r="V111" s="78">
        <f>+TAB_JUROS_U[[#This Row],[V_FUT_U_JURS CENARIO]]/TAB_JUROS_U[[#This Row],[VAR_DESCAP_U]]</f>
        <v>16.37966916662489</v>
      </c>
      <c r="W111" s="78"/>
      <c r="X111" s="64">
        <f>TAB_JUROS_U[[#This Row],[dt_eve_u]]- DT_CALCULO_C</f>
        <v>2627</v>
      </c>
      <c r="Y111" s="48" t="str">
        <f>"CORRECAO_JURS_C" &amp; TEXT(DT_CALCULO_C, "-AAAAMMDD") &amp; TEXT(TAB_JUROS_U[[#This Row],[DT_EVE]], "-AAAAMMDD")</f>
        <v>CORRECAO_JURS_C-20151228-20230308</v>
      </c>
      <c r="Z111" s="44">
        <f>IFERROR(VLOOKUP(TAB_JUROS_C[[#This Row],[Chave-CORC]],CORRECAO_JURS_C[],2, FALSE), 0)</f>
        <v>1</v>
      </c>
      <c r="AA11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57.534277025583179</v>
      </c>
      <c r="AB111" s="63">
        <f>(TIR_C/100 +1)^(TAB_JUROS_C[[#This Row],[DIAS_CORRIDOS]]/360)</f>
        <v>1.1943952698809825</v>
      </c>
      <c r="AC111" s="78">
        <f>IF(TAB_JUROS_C[[#This Row],[DIAS_CORRIDOS]]&lt;0, 0, TAB_JUROS_C[[#This Row],[V_FUT_C_JURS]]/TAB_JUROS_C[[#This Row],[VAR_DESCAP_C]])</f>
        <v>48.17021506734222</v>
      </c>
      <c r="AD111" s="78">
        <f>TAB_JUROS_U[[#This Row],[V_FUT_U_JURS CENARIO]]</f>
        <v>19.556694452362194</v>
      </c>
      <c r="AE111" s="124">
        <f>IF(TAB_JUROS_C[[#This Row],[DIAS_CORRIDOS]]&lt;0, 0, TAB_JUROS_C[[#This Row],[V_FUT_UTEIS]]/TAB_JUROS_C[[#This Row],[VAR_DESCAP_C]])</f>
        <v>16.373720614542414</v>
      </c>
      <c r="AF111" s="64"/>
    </row>
    <row r="112" spans="1:32">
      <c r="A112" s="82">
        <f t="shared" si="2"/>
        <v>88</v>
      </c>
      <c r="B112" s="24">
        <f>VLOOKUP($A112, CAD_JUROS[#Data], MATCH(B$24, CAD_JUROS[#Headers],0), FALSE)</f>
        <v>2</v>
      </c>
      <c r="C112" s="24" t="str">
        <f>VLOOKUP($A112, CAD_JUROS[#Data], MATCH(C$24, CAD_JUROS[#Headers],0), FALSE)</f>
        <v xml:space="preserve">JUROS SOBRE PRINCIPAL                             </v>
      </c>
      <c r="D112" s="36">
        <f>VLOOKUP($A112, CAD_JUROS[#Data], MATCH(D$24, CAD_JUROS[#Headers],0), FALSE)</f>
        <v>45027</v>
      </c>
      <c r="E112" s="48">
        <f>VLOOKUP($A112, CAD_JUROS[#Data], MATCH(E$24, CAD_JUROS[#Headers],0), FALSE)</f>
        <v>0</v>
      </c>
      <c r="F112" s="36">
        <f>VLOOKUP($A112, CAD_JUROS[#Data], MATCH(F$24, CAD_JUROS[#Headers],0), FALSE)</f>
        <v>45033</v>
      </c>
      <c r="G112" s="47">
        <f>WORKDAY(WORKDAY(TAB_JUROS_U[[#This Row],[DT_EVE]], -1, TAB_FERIADOS[FER_DATA]), 1, TAB_FERIADOS[FER_DATA])</f>
        <v>45027</v>
      </c>
      <c r="H112" s="75">
        <f>WORKDAY(WORKDAY(TAB_JUROS_U[[#This Row],[DT_LQDC_EVE]], -1, TAB_FERIADOS[FER_DATA]), 1, TAB_FERIADOS[FER_DATA])</f>
        <v>45033</v>
      </c>
      <c r="I112" s="48">
        <f>PU_EMISSAO - SUMIF(TAB_AMORTIZACAO_U[DT_EVE], "&lt;" &amp; TAB_JUROS_U[[#This Row],[DT_EVE]], TAB_AMORTIZACAO_U[V_PU_AMTC])</f>
        <v>31940.242635000046</v>
      </c>
      <c r="J112" s="48">
        <f>IFERROR(VLOOKUP(TAB_JUROS_U[[#This Row],[DT_EVE]], TAB_AMORTIZACAO_U[[DT_EVE]:[V_PU_AMTC]], 2, FALSE), 0)</f>
        <v>627.33830499999999</v>
      </c>
      <c r="K112" s="48">
        <f>NETWORKDAYS(DT_CALCULO_U, TAB_JUROS_U[[#This Row],[dt_eve_u]], TAB_FERIADOS[FER_DATA]) -1</f>
        <v>1828</v>
      </c>
      <c r="L112" s="48">
        <f>NETWORKDAYS(DT_CALCULO_U, TAB_JUROS_U[[#This Row],[dt_lqdc_eve_u]], TAB_FERIADOS[FER_DATA]) -1</f>
        <v>1832</v>
      </c>
      <c r="M112" s="48">
        <f>NETWORKDAYS(IF(ISTEXT(H111), DT_B_JURS, H111), TAB_JUROS_U[[#This Row],[dt_lqdc_eve_u]],  TAB_FERIADOS[FER_DATA]) -1</f>
        <v>23</v>
      </c>
      <c r="N112" s="123">
        <f>(TX_EMISSAO/100 +1)^(TAB_JUROS_U[[#This Row],[dias_periodo_u]]/252)</f>
        <v>1.0022562323017139</v>
      </c>
      <c r="O112" s="78">
        <f>(TIR_U/100 +1)^(TAB_JUROS_U[[#This Row],[Q_DIAS_U_PARC_TIR]]/252)</f>
        <v>1.1966556501447794</v>
      </c>
      <c r="P112" s="116" t="str">
        <f>"TX_CENARIO" &amp; TEXT(DT_CALCULO_C, "-AAAAMMDD") &amp; TEXT(TAB_JUROS_U[[#This Row],[DT_EVE]], "-AAAAMMDD")</f>
        <v>TX_CENARIO-20151228-20230411</v>
      </c>
      <c r="Q112" s="44">
        <f>IFERROR(VLOOKUP(TAB_JUROS_U[[#This Row],[Chave-CENARIO]],CENARIO[],2,FALSE), 0)</f>
        <v>16.395900000000001</v>
      </c>
      <c r="R112" s="116" t="str">
        <f>"CORRECAO_JURS_U" &amp; TEXT(DT_CALCULO_C, "-AAAAMMDD") &amp; TEXT(TAB_JUROS_U[[#This Row],[DT_EVE]], "-AAAAMMDD")</f>
        <v>CORRECAO_JURS_U-20151228-20230411</v>
      </c>
      <c r="S112" s="44">
        <f>IFERROR(VLOOKUP(TAB_JUROS_U[[#This Row],[Chave-CORC]],CORRECAO_JURS_U[],2, FALSE), 0)</f>
        <v>1.01408155</v>
      </c>
      <c r="T112" s="78">
        <f>MAX(0, (TAB_JUROS_U[[#This Row],[CUPOM_TIR]] -1) * IF(TAB_JUROS_U[[#This Row],[ID_T_EVE]]=1, TAB_JUROS_U[[#This Row],[PU_AMORT]], TAB_JUROS_U[[#This Row],[V_NOML_PCPL]]) * TAB_JUROS_U[[#This Row],[CORRECAO_U]])</f>
        <v>73.07938852658765</v>
      </c>
      <c r="U112" s="78">
        <f>MAX(0, TAB_JUROS_U[[#This Row],[V_FUT_U_JURS-01]]/((((TAB_JUROS_U[[#This Row],[TX_CENARIO]]/100 +1)^(1/252) -1) * PC_IDXR/100 +1)^TAB_JUROS_U[[#This Row],[Q_DIAS_U_PARC_TIR]]))</f>
        <v>24.234742951806965</v>
      </c>
      <c r="V112" s="78">
        <f>+TAB_JUROS_U[[#This Row],[V_FUT_U_JURS CENARIO]]/TAB_JUROS_U[[#This Row],[VAR_DESCAP_U]]</f>
        <v>20.252060773602569</v>
      </c>
      <c r="W112" s="78"/>
      <c r="X112" s="64">
        <f>TAB_JUROS_U[[#This Row],[dt_eve_u]]- DT_CALCULO_C</f>
        <v>2661</v>
      </c>
      <c r="Y112" s="48" t="str">
        <f>"CORRECAO_JURS_C" &amp; TEXT(DT_CALCULO_C, "-AAAAMMDD") &amp; TEXT(TAB_JUROS_U[[#This Row],[DT_EVE]], "-AAAAMMDD")</f>
        <v>CORRECAO_JURS_C-20151228-20230411</v>
      </c>
      <c r="Z112" s="44">
        <f>IFERROR(VLOOKUP(TAB_JUROS_C[[#This Row],[Chave-CORC]],CORRECAO_JURS_C[],2, FALSE), 0)</f>
        <v>1</v>
      </c>
      <c r="AA11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72.064607157666615</v>
      </c>
      <c r="AB112" s="63">
        <f>(TIR_C/100 +1)^(TAB_JUROS_C[[#This Row],[DIAS_CORRIDOS]]/360)</f>
        <v>1.1971444743520967</v>
      </c>
      <c r="AC112" s="78">
        <f>IF(TAB_JUROS_C[[#This Row],[DIAS_CORRIDOS]]&lt;0, 0, TAB_JUROS_C[[#This Row],[V_FUT_C_JURS]]/TAB_JUROS_C[[#This Row],[VAR_DESCAP_C]])</f>
        <v>60.197084563806307</v>
      </c>
      <c r="AD112" s="78">
        <f>TAB_JUROS_U[[#This Row],[V_FUT_U_JURS CENARIO]]</f>
        <v>24.234742951806965</v>
      </c>
      <c r="AE112" s="124">
        <f>IF(TAB_JUROS_C[[#This Row],[DIAS_CORRIDOS]]&lt;0, 0, TAB_JUROS_C[[#This Row],[V_FUT_UTEIS]]/TAB_JUROS_C[[#This Row],[VAR_DESCAP_C]])</f>
        <v>20.243791347675881</v>
      </c>
      <c r="AF112" s="64"/>
    </row>
    <row r="113" spans="1:32">
      <c r="A113" s="82">
        <f t="shared" si="2"/>
        <v>89</v>
      </c>
      <c r="B113" s="24">
        <f>VLOOKUP($A113, CAD_JUROS[#Data], MATCH(B$24, CAD_JUROS[#Headers],0), FALSE)</f>
        <v>2</v>
      </c>
      <c r="C113" s="24" t="str">
        <f>VLOOKUP($A113, CAD_JUROS[#Data], MATCH(C$24, CAD_JUROS[#Headers],0), FALSE)</f>
        <v xml:space="preserve">JUROS SOBRE PRINCIPAL                             </v>
      </c>
      <c r="D113" s="36">
        <f>VLOOKUP($A113, CAD_JUROS[#Data], MATCH(D$24, CAD_JUROS[#Headers],0), FALSE)</f>
        <v>45055</v>
      </c>
      <c r="E113" s="48">
        <f>VLOOKUP($A113, CAD_JUROS[#Data], MATCH(E$24, CAD_JUROS[#Headers],0), FALSE)</f>
        <v>0</v>
      </c>
      <c r="F113" s="36">
        <f>VLOOKUP($A113, CAD_JUROS[#Data], MATCH(F$24, CAD_JUROS[#Headers],0), FALSE)</f>
        <v>45061</v>
      </c>
      <c r="G113" s="47">
        <f>WORKDAY(WORKDAY(TAB_JUROS_U[[#This Row],[DT_EVE]], -1, TAB_FERIADOS[FER_DATA]), 1, TAB_FERIADOS[FER_DATA])</f>
        <v>45055</v>
      </c>
      <c r="H113" s="75">
        <f>WORKDAY(WORKDAY(TAB_JUROS_U[[#This Row],[DT_LQDC_EVE]], -1, TAB_FERIADOS[FER_DATA]), 1, TAB_FERIADOS[FER_DATA])</f>
        <v>45061</v>
      </c>
      <c r="I113" s="48">
        <f>PU_EMISSAO - SUMIF(TAB_AMORTIZACAO_U[DT_EVE], "&lt;" &amp; TAB_JUROS_U[[#This Row],[DT_EVE]], TAB_AMORTIZACAO_U[V_PU_AMTC])</f>
        <v>31312.904330000049</v>
      </c>
      <c r="J113" s="48">
        <f>IFERROR(VLOOKUP(TAB_JUROS_U[[#This Row],[DT_EVE]], TAB_AMORTIZACAO_U[[DT_EVE]:[V_PU_AMTC]], 2, FALSE), 0)</f>
        <v>636.84184800000003</v>
      </c>
      <c r="K113" s="48">
        <f>NETWORKDAYS(DT_CALCULO_U, TAB_JUROS_U[[#This Row],[dt_eve_u]], TAB_FERIADOS[FER_DATA]) -1</f>
        <v>1846</v>
      </c>
      <c r="L113" s="48">
        <f>NETWORKDAYS(DT_CALCULO_U, TAB_JUROS_U[[#This Row],[dt_lqdc_eve_u]], TAB_FERIADOS[FER_DATA]) -1</f>
        <v>1850</v>
      </c>
      <c r="M113" s="48">
        <f>NETWORKDAYS(IF(ISTEXT(H112), DT_B_JURS, H112), TAB_JUROS_U[[#This Row],[dt_lqdc_eve_u]],  TAB_FERIADOS[FER_DATA]) -1</f>
        <v>18</v>
      </c>
      <c r="N113" s="123">
        <f>(TX_EMISSAO/100 +1)^(TAB_JUROS_U[[#This Row],[dias_periodo_u]]/252)</f>
        <v>1.0017653143782506</v>
      </c>
      <c r="O113" s="78">
        <f>(TIR_U/100 +1)^(TAB_JUROS_U[[#This Row],[Q_DIAS_U_PARC_TIR]]/252)</f>
        <v>1.1987683512878822</v>
      </c>
      <c r="P113" s="116" t="str">
        <f>"TX_CENARIO" &amp; TEXT(DT_CALCULO_C, "-AAAAMMDD") &amp; TEXT(TAB_JUROS_U[[#This Row],[DT_EVE]], "-AAAAMMDD")</f>
        <v>TX_CENARIO-20151228-20230509</v>
      </c>
      <c r="Q113" s="44">
        <f>IFERROR(VLOOKUP(TAB_JUROS_U[[#This Row],[Chave-CENARIO]],CENARIO[],2,FALSE), 0)</f>
        <v>16.394600000000001</v>
      </c>
      <c r="R113" s="116" t="str">
        <f>"CORRECAO_JURS_U" &amp; TEXT(DT_CALCULO_C, "-AAAAMMDD") &amp; TEXT(TAB_JUROS_U[[#This Row],[DT_EVE]], "-AAAAMMDD")</f>
        <v>CORRECAO_JURS_U-20151228-20230509</v>
      </c>
      <c r="S113" s="44">
        <f>IFERROR(VLOOKUP(TAB_JUROS_U[[#This Row],[Chave-CORC]],CORRECAO_JURS_U[],2, FALSE), 0)</f>
        <v>1.01100357</v>
      </c>
      <c r="T113" s="78">
        <f>MAX(0, (TAB_JUROS_U[[#This Row],[CUPOM_TIR]] -1) * IF(TAB_JUROS_U[[#This Row],[ID_T_EVE]]=1, TAB_JUROS_U[[#This Row],[PU_AMORT]], TAB_JUROS_U[[#This Row],[V_NOML_PCPL]]) * TAB_JUROS_U[[#This Row],[CORRECAO_U]])</f>
        <v>55.885365900476415</v>
      </c>
      <c r="U113" s="78">
        <f>MAX(0, TAB_JUROS_U[[#This Row],[V_FUT_U_JURS-01]]/((((TAB_JUROS_U[[#This Row],[TX_CENARIO]]/100 +1)^(1/252) -1) * PC_IDXR/100 +1)^TAB_JUROS_U[[#This Row],[Q_DIAS_U_PARC_TIR]]))</f>
        <v>18.334428890907152</v>
      </c>
      <c r="V113" s="78">
        <f>+TAB_JUROS_U[[#This Row],[V_FUT_U_JURS CENARIO]]/TAB_JUROS_U[[#This Row],[VAR_DESCAP_U]]</f>
        <v>15.294388504008953</v>
      </c>
      <c r="W113" s="78"/>
      <c r="X113" s="64">
        <f>TAB_JUROS_U[[#This Row],[dt_eve_u]]- DT_CALCULO_C</f>
        <v>2689</v>
      </c>
      <c r="Y113" s="48" t="str">
        <f>"CORRECAO_JURS_C" &amp; TEXT(DT_CALCULO_C, "-AAAAMMDD") &amp; TEXT(TAB_JUROS_U[[#This Row],[DT_EVE]], "-AAAAMMDD")</f>
        <v>CORRECAO_JURS_C-20151228-20230509</v>
      </c>
      <c r="Z113" s="44">
        <f>IFERROR(VLOOKUP(TAB_JUROS_C[[#This Row],[Chave-CORC]],CORRECAO_JURS_C[],2, FALSE), 0)</f>
        <v>1</v>
      </c>
      <c r="AA11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55.2771202385333</v>
      </c>
      <c r="AB113" s="63">
        <f>(TIR_C/100 +1)^(TAB_JUROS_C[[#This Row],[DIAS_CORRIDOS]]/360)</f>
        <v>1.1994132759191047</v>
      </c>
      <c r="AC113" s="78">
        <f>IF(TAB_JUROS_C[[#This Row],[DIAS_CORRIDOS]]&lt;0, 0, TAB_JUROS_C[[#This Row],[V_FUT_C_JURS]]/TAB_JUROS_C[[#This Row],[VAR_DESCAP_C]])</f>
        <v>46.086800395113769</v>
      </c>
      <c r="AD113" s="78">
        <f>TAB_JUROS_U[[#This Row],[V_FUT_U_JURS CENARIO]]</f>
        <v>18.334428890907152</v>
      </c>
      <c r="AE113" s="124">
        <f>IF(TAB_JUROS_C[[#This Row],[DIAS_CORRIDOS]]&lt;0, 0, TAB_JUROS_C[[#This Row],[V_FUT_UTEIS]]/TAB_JUROS_C[[#This Row],[VAR_DESCAP_C]])</f>
        <v>15.286164709872471</v>
      </c>
      <c r="AF113" s="64"/>
    </row>
    <row r="114" spans="1:32">
      <c r="A114" s="82">
        <f t="shared" si="2"/>
        <v>90</v>
      </c>
      <c r="B114" s="24">
        <f>VLOOKUP($A114, CAD_JUROS[#Data], MATCH(B$24, CAD_JUROS[#Headers],0), FALSE)</f>
        <v>2</v>
      </c>
      <c r="C114" s="24" t="str">
        <f>VLOOKUP($A114, CAD_JUROS[#Data], MATCH(C$24, CAD_JUROS[#Headers],0), FALSE)</f>
        <v xml:space="preserve">JUROS SOBRE PRINCIPAL                             </v>
      </c>
      <c r="D114" s="36">
        <f>VLOOKUP($A114, CAD_JUROS[#Data], MATCH(D$24, CAD_JUROS[#Headers],0), FALSE)</f>
        <v>45086</v>
      </c>
      <c r="E114" s="48">
        <f>VLOOKUP($A114, CAD_JUROS[#Data], MATCH(E$24, CAD_JUROS[#Headers],0), FALSE)</f>
        <v>0</v>
      </c>
      <c r="F114" s="36">
        <f>VLOOKUP($A114, CAD_JUROS[#Data], MATCH(F$24, CAD_JUROS[#Headers],0), FALSE)</f>
        <v>45092</v>
      </c>
      <c r="G114" s="47">
        <f>WORKDAY(WORKDAY(TAB_JUROS_U[[#This Row],[DT_EVE]], -1, TAB_FERIADOS[FER_DATA]), 1, TAB_FERIADOS[FER_DATA])</f>
        <v>45086</v>
      </c>
      <c r="H114" s="75">
        <f>WORKDAY(WORKDAY(TAB_JUROS_U[[#This Row],[DT_LQDC_EVE]], -1, TAB_FERIADOS[FER_DATA]), 1, TAB_FERIADOS[FER_DATA])</f>
        <v>45092</v>
      </c>
      <c r="I114" s="48">
        <f>PU_EMISSAO - SUMIF(TAB_AMORTIZACAO_U[DT_EVE], "&lt;" &amp; TAB_JUROS_U[[#This Row],[DT_EVE]], TAB_AMORTIZACAO_U[V_PU_AMTC])</f>
        <v>30676.062482000052</v>
      </c>
      <c r="J114" s="48">
        <f>IFERROR(VLOOKUP(TAB_JUROS_U[[#This Row],[DT_EVE]], TAB_AMORTIZACAO_U[[DT_EVE]:[V_PU_AMTC]], 2, FALSE), 0)</f>
        <v>617.11034800000004</v>
      </c>
      <c r="K114" s="48">
        <f>NETWORKDAYS(DT_CALCULO_U, TAB_JUROS_U[[#This Row],[dt_eve_u]], TAB_FERIADOS[FER_DATA]) -1</f>
        <v>1868</v>
      </c>
      <c r="L114" s="48">
        <f>NETWORKDAYS(DT_CALCULO_U, TAB_JUROS_U[[#This Row],[dt_lqdc_eve_u]], TAB_FERIADOS[FER_DATA]) -1</f>
        <v>1872</v>
      </c>
      <c r="M114" s="48">
        <f>NETWORKDAYS(IF(ISTEXT(H113), DT_B_JURS, H113), TAB_JUROS_U[[#This Row],[dt_lqdc_eve_u]],  TAB_FERIADOS[FER_DATA]) -1</f>
        <v>22</v>
      </c>
      <c r="N114" s="123">
        <f>(TX_EMISSAO/100 +1)^(TAB_JUROS_U[[#This Row],[dias_periodo_u]]/252)</f>
        <v>1.0021580294747356</v>
      </c>
      <c r="O114" s="78">
        <f>(TIR_U/100 +1)^(TAB_JUROS_U[[#This Row],[Q_DIAS_U_PARC_TIR]]/252)</f>
        <v>1.2013556076461347</v>
      </c>
      <c r="P114" s="116" t="str">
        <f>"TX_CENARIO" &amp; TEXT(DT_CALCULO_C, "-AAAAMMDD") &amp; TEXT(TAB_JUROS_U[[#This Row],[DT_EVE]], "-AAAAMMDD")</f>
        <v>TX_CENARIO-20151228-20230609</v>
      </c>
      <c r="Q114" s="44">
        <f>IFERROR(VLOOKUP(TAB_JUROS_U[[#This Row],[Chave-CENARIO]],CENARIO[],2,FALSE), 0)</f>
        <v>16.393000000000001</v>
      </c>
      <c r="R114" s="116" t="str">
        <f>"CORRECAO_JURS_U" &amp; TEXT(DT_CALCULO_C, "-AAAAMMDD") &amp; TEXT(TAB_JUROS_U[[#This Row],[DT_EVE]], "-AAAAMMDD")</f>
        <v>CORRECAO_JURS_U-20151228-20230609</v>
      </c>
      <c r="S114" s="44">
        <f>IFERROR(VLOOKUP(TAB_JUROS_U[[#This Row],[Chave-CORC]],CORRECAO_JURS_U[],2, FALSE), 0)</f>
        <v>1.0134652</v>
      </c>
      <c r="T114" s="78">
        <f>MAX(0, (TAB_JUROS_U[[#This Row],[CUPOM_TIR]] -1) * IF(TAB_JUROS_U[[#This Row],[ID_T_EVE]]=1, TAB_JUROS_U[[#This Row],[PU_AMORT]], TAB_JUROS_U[[#This Row],[V_NOML_PCPL]]) * TAB_JUROS_U[[#This Row],[CORRECAO_U]])</f>
        <v>67.091241184879976</v>
      </c>
      <c r="U114" s="78">
        <f>MAX(0, TAB_JUROS_U[[#This Row],[V_FUT_U_JURS-01]]/((((TAB_JUROS_U[[#This Row],[TX_CENARIO]]/100 +1)^(1/252) -1) * PC_IDXR/100 +1)^TAB_JUROS_U[[#This Row],[Q_DIAS_U_PARC_TIR]]))</f>
        <v>21.723181046738375</v>
      </c>
      <c r="V114" s="78">
        <f>+TAB_JUROS_U[[#This Row],[V_FUT_U_JURS CENARIO]]/TAB_JUROS_U[[#This Row],[VAR_DESCAP_U]]</f>
        <v>18.08222387149921</v>
      </c>
      <c r="W114" s="78"/>
      <c r="X114" s="64">
        <f>TAB_JUROS_U[[#This Row],[dt_eve_u]]- DT_CALCULO_C</f>
        <v>2720</v>
      </c>
      <c r="Y114" s="48" t="str">
        <f>"CORRECAO_JURS_C" &amp; TEXT(DT_CALCULO_C, "-AAAAMMDD") &amp; TEXT(TAB_JUROS_U[[#This Row],[DT_EVE]], "-AAAAMMDD")</f>
        <v>CORRECAO_JURS_C-20151228-20230609</v>
      </c>
      <c r="Z114" s="44">
        <f>IFERROR(VLOOKUP(TAB_JUROS_C[[#This Row],[Chave-CORC]],CORRECAO_JURS_C[],2, FALSE), 0)</f>
        <v>1</v>
      </c>
      <c r="AA11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66.199847004988413</v>
      </c>
      <c r="AB114" s="63">
        <f>(TIR_C/100 +1)^(TAB_JUROS_C[[#This Row],[DIAS_CORRIDOS]]/360)</f>
        <v>1.2019301792061672</v>
      </c>
      <c r="AC114" s="78">
        <f>IF(TAB_JUROS_C[[#This Row],[DIAS_CORRIDOS]]&lt;0, 0, TAB_JUROS_C[[#This Row],[V_FUT_C_JURS]]/TAB_JUROS_C[[#This Row],[VAR_DESCAP_C]])</f>
        <v>55.077947247078107</v>
      </c>
      <c r="AD114" s="78">
        <f>TAB_JUROS_U[[#This Row],[V_FUT_U_JURS CENARIO]]</f>
        <v>21.723181046738375</v>
      </c>
      <c r="AE114" s="124">
        <f>IF(TAB_JUROS_C[[#This Row],[DIAS_CORRIDOS]]&lt;0, 0, TAB_JUROS_C[[#This Row],[V_FUT_UTEIS]]/TAB_JUROS_C[[#This Row],[VAR_DESCAP_C]])</f>
        <v>18.073579832304215</v>
      </c>
      <c r="AF114" s="64"/>
    </row>
    <row r="115" spans="1:32">
      <c r="A115" s="82">
        <f t="shared" si="2"/>
        <v>91</v>
      </c>
      <c r="B115" s="24">
        <f>VLOOKUP($A115, CAD_JUROS[#Data], MATCH(B$24, CAD_JUROS[#Headers],0), FALSE)</f>
        <v>2</v>
      </c>
      <c r="C115" s="24" t="str">
        <f>VLOOKUP($A115, CAD_JUROS[#Data], MATCH(C$24, CAD_JUROS[#Headers],0), FALSE)</f>
        <v xml:space="preserve">JUROS SOBRE PRINCIPAL                             </v>
      </c>
      <c r="D115" s="36">
        <f>VLOOKUP($A115, CAD_JUROS[#Data], MATCH(D$24, CAD_JUROS[#Headers],0), FALSE)</f>
        <v>45117</v>
      </c>
      <c r="E115" s="48">
        <f>VLOOKUP($A115, CAD_JUROS[#Data], MATCH(E$24, CAD_JUROS[#Headers],0), FALSE)</f>
        <v>0</v>
      </c>
      <c r="F115" s="36">
        <f>VLOOKUP($A115, CAD_JUROS[#Data], MATCH(F$24, CAD_JUROS[#Headers],0), FALSE)</f>
        <v>45121</v>
      </c>
      <c r="G115" s="47">
        <f>WORKDAY(WORKDAY(TAB_JUROS_U[[#This Row],[DT_EVE]], -1, TAB_FERIADOS[FER_DATA]), 1, TAB_FERIADOS[FER_DATA])</f>
        <v>45117</v>
      </c>
      <c r="H115" s="75">
        <f>WORKDAY(WORKDAY(TAB_JUROS_U[[#This Row],[DT_LQDC_EVE]], -1, TAB_FERIADOS[FER_DATA]), 1, TAB_FERIADOS[FER_DATA])</f>
        <v>45121</v>
      </c>
      <c r="I115" s="48">
        <f>PU_EMISSAO - SUMIF(TAB_AMORTIZACAO_U[DT_EVE], "&lt;" &amp; TAB_JUROS_U[[#This Row],[DT_EVE]], TAB_AMORTIZACAO_U[V_PU_AMTC])</f>
        <v>30058.95213400005</v>
      </c>
      <c r="J115" s="48">
        <f>IFERROR(VLOOKUP(TAB_JUROS_U[[#This Row],[DT_EVE]], TAB_AMORTIZACAO_U[[DT_EVE]:[V_PU_AMTC]], 2, FALSE), 0)</f>
        <v>613.11244599999998</v>
      </c>
      <c r="K115" s="48">
        <f>NETWORKDAYS(DT_CALCULO_U, TAB_JUROS_U[[#This Row],[dt_eve_u]], TAB_FERIADOS[FER_DATA]) -1</f>
        <v>1889</v>
      </c>
      <c r="L115" s="48">
        <f>NETWORKDAYS(DT_CALCULO_U, TAB_JUROS_U[[#This Row],[dt_lqdc_eve_u]], TAB_FERIADOS[FER_DATA]) -1</f>
        <v>1893</v>
      </c>
      <c r="M115" s="48">
        <f>NETWORKDAYS(IF(ISTEXT(H114), DT_B_JURS, H114), TAB_JUROS_U[[#This Row],[dt_lqdc_eve_u]],  TAB_FERIADOS[FER_DATA]) -1</f>
        <v>21</v>
      </c>
      <c r="N115" s="123">
        <f>(TX_EMISSAO/100 +1)^(TAB_JUROS_U[[#This Row],[dias_periodo_u]]/252)</f>
        <v>1.0020598362698427</v>
      </c>
      <c r="O115" s="78">
        <f>(TIR_U/100 +1)^(TAB_JUROS_U[[#This Row],[Q_DIAS_U_PARC_TIR]]/252)</f>
        <v>1.2038304702927081</v>
      </c>
      <c r="P115" s="116" t="str">
        <f>"TX_CENARIO" &amp; TEXT(DT_CALCULO_C, "-AAAAMMDD") &amp; TEXT(TAB_JUROS_U[[#This Row],[DT_EVE]], "-AAAAMMDD")</f>
        <v>TX_CENARIO-20151228-20230710</v>
      </c>
      <c r="Q115" s="44">
        <f>IFERROR(VLOOKUP(TAB_JUROS_U[[#This Row],[Chave-CENARIO]],CENARIO[],2,FALSE), 0)</f>
        <v>16.3916</v>
      </c>
      <c r="R115" s="116" t="str">
        <f>"CORRECAO_JURS_U" &amp; TEXT(DT_CALCULO_C, "-AAAAMMDD") &amp; TEXT(TAB_JUROS_U[[#This Row],[DT_EVE]], "-AAAAMMDD")</f>
        <v>CORRECAO_JURS_U-20151228-20230710</v>
      </c>
      <c r="S115" s="44">
        <f>IFERROR(VLOOKUP(TAB_JUROS_U[[#This Row],[Chave-CORC]],CORRECAO_JURS_U[],2, FALSE), 0)</f>
        <v>1.0128493700000001</v>
      </c>
      <c r="T115" s="78">
        <f>MAX(0, (TAB_JUROS_U[[#This Row],[CUPOM_TIR]] -1) * IF(TAB_JUROS_U[[#This Row],[ID_T_EVE]]=1, TAB_JUROS_U[[#This Row],[PU_AMORT]], TAB_JUROS_U[[#This Row],[V_NOML_PCPL]]) * TAB_JUROS_U[[#This Row],[CORRECAO_U]])</f>
        <v>62.712108111604849</v>
      </c>
      <c r="U115" s="78">
        <f>MAX(0, TAB_JUROS_U[[#This Row],[V_FUT_U_JURS-01]]/((((TAB_JUROS_U[[#This Row],[TX_CENARIO]]/100 +1)^(1/252) -1) * PC_IDXR/100 +1)^TAB_JUROS_U[[#This Row],[Q_DIAS_U_PARC_TIR]]))</f>
        <v>20.051844643175027</v>
      </c>
      <c r="V115" s="78">
        <f>+TAB_JUROS_U[[#This Row],[V_FUT_U_JURS CENARIO]]/TAB_JUROS_U[[#This Row],[VAR_DESCAP_U]]</f>
        <v>16.65670136950386</v>
      </c>
      <c r="W115" s="78"/>
      <c r="X115" s="64">
        <f>TAB_JUROS_U[[#This Row],[dt_eve_u]]- DT_CALCULO_C</f>
        <v>2751</v>
      </c>
      <c r="Y115" s="48" t="str">
        <f>"CORRECAO_JURS_C" &amp; TEXT(DT_CALCULO_C, "-AAAAMMDD") &amp; TEXT(TAB_JUROS_U[[#This Row],[DT_EVE]], "-AAAAMMDD")</f>
        <v>CORRECAO_JURS_C-20151228-20230710</v>
      </c>
      <c r="Z115" s="44">
        <f>IFERROR(VLOOKUP(TAB_JUROS_C[[#This Row],[Chave-CORC]],CORRECAO_JURS_C[],2, FALSE), 0)</f>
        <v>1</v>
      </c>
      <c r="AA11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61.916519839080159</v>
      </c>
      <c r="AB115" s="63">
        <f>(TIR_C/100 +1)^(TAB_JUROS_C[[#This Row],[DIAS_CORRIDOS]]/360)</f>
        <v>1.2044523640773872</v>
      </c>
      <c r="AC115" s="78">
        <f>IF(TAB_JUROS_C[[#This Row],[DIAS_CORRIDOS]]&lt;0, 0, TAB_JUROS_C[[#This Row],[V_FUT_C_JURS]]/TAB_JUROS_C[[#This Row],[VAR_DESCAP_C]])</f>
        <v>51.406366649052437</v>
      </c>
      <c r="AD115" s="78">
        <f>TAB_JUROS_U[[#This Row],[V_FUT_U_JURS CENARIO]]</f>
        <v>20.051844643175027</v>
      </c>
      <c r="AE115" s="124">
        <f>IF(TAB_JUROS_C[[#This Row],[DIAS_CORRIDOS]]&lt;0, 0, TAB_JUROS_C[[#This Row],[V_FUT_UTEIS]]/TAB_JUROS_C[[#This Row],[VAR_DESCAP_C]])</f>
        <v>16.648101030159694</v>
      </c>
      <c r="AF115" s="64"/>
    </row>
    <row r="116" spans="1:32">
      <c r="A116" s="82">
        <f t="shared" si="2"/>
        <v>92</v>
      </c>
      <c r="B116" s="24">
        <f>VLOOKUP($A116, CAD_JUROS[#Data], MATCH(B$24, CAD_JUROS[#Headers],0), FALSE)</f>
        <v>2</v>
      </c>
      <c r="C116" s="24" t="str">
        <f>VLOOKUP($A116, CAD_JUROS[#Data], MATCH(C$24, CAD_JUROS[#Headers],0), FALSE)</f>
        <v xml:space="preserve">JUROS SOBRE PRINCIPAL                             </v>
      </c>
      <c r="D116" s="36">
        <f>VLOOKUP($A116, CAD_JUROS[#Data], MATCH(D$24, CAD_JUROS[#Headers],0), FALSE)</f>
        <v>45146</v>
      </c>
      <c r="E116" s="48">
        <f>VLOOKUP($A116, CAD_JUROS[#Data], MATCH(E$24, CAD_JUROS[#Headers],0), FALSE)</f>
        <v>0</v>
      </c>
      <c r="F116" s="36">
        <f>VLOOKUP($A116, CAD_JUROS[#Data], MATCH(F$24, CAD_JUROS[#Headers],0), FALSE)</f>
        <v>45152</v>
      </c>
      <c r="G116" s="47">
        <f>WORKDAY(WORKDAY(TAB_JUROS_U[[#This Row],[DT_EVE]], -1, TAB_FERIADOS[FER_DATA]), 1, TAB_FERIADOS[FER_DATA])</f>
        <v>45146</v>
      </c>
      <c r="H116" s="75">
        <f>WORKDAY(WORKDAY(TAB_JUROS_U[[#This Row],[DT_LQDC_EVE]], -1, TAB_FERIADOS[FER_DATA]), 1, TAB_FERIADOS[FER_DATA])</f>
        <v>45152</v>
      </c>
      <c r="I116" s="48">
        <f>PU_EMISSAO - SUMIF(TAB_AMORTIZACAO_U[DT_EVE], "&lt;" &amp; TAB_JUROS_U[[#This Row],[DT_EVE]], TAB_AMORTIZACAO_U[V_PU_AMTC])</f>
        <v>29445.839688000051</v>
      </c>
      <c r="J116" s="48">
        <f>IFERROR(VLOOKUP(TAB_JUROS_U[[#This Row],[DT_EVE]], TAB_AMORTIZACAO_U[[DT_EVE]:[V_PU_AMTC]], 2, FALSE), 0)</f>
        <v>606.172055</v>
      </c>
      <c r="K116" s="48">
        <f>NETWORKDAYS(DT_CALCULO_U, TAB_JUROS_U[[#This Row],[dt_eve_u]], TAB_FERIADOS[FER_DATA]) -1</f>
        <v>1910</v>
      </c>
      <c r="L116" s="48">
        <f>NETWORKDAYS(DT_CALCULO_U, TAB_JUROS_U[[#This Row],[dt_lqdc_eve_u]], TAB_FERIADOS[FER_DATA]) -1</f>
        <v>1914</v>
      </c>
      <c r="M116" s="48">
        <f>NETWORKDAYS(IF(ISTEXT(H115), DT_B_JURS, H115), TAB_JUROS_U[[#This Row],[dt_lqdc_eve_u]],  TAB_FERIADOS[FER_DATA]) -1</f>
        <v>21</v>
      </c>
      <c r="N116" s="123">
        <f>(TX_EMISSAO/100 +1)^(TAB_JUROS_U[[#This Row],[dias_periodo_u]]/252)</f>
        <v>1.0020598362698427</v>
      </c>
      <c r="O116" s="78">
        <f>(TIR_U/100 +1)^(TAB_JUROS_U[[#This Row],[Q_DIAS_U_PARC_TIR]]/252)</f>
        <v>1.2063104313007329</v>
      </c>
      <c r="P116" s="116" t="str">
        <f>"TX_CENARIO" &amp; TEXT(DT_CALCULO_C, "-AAAAMMDD") &amp; TEXT(TAB_JUROS_U[[#This Row],[DT_EVE]], "-AAAAMMDD")</f>
        <v>TX_CENARIO-20151228-20230808</v>
      </c>
      <c r="Q116" s="44">
        <f>IFERROR(VLOOKUP(TAB_JUROS_U[[#This Row],[Chave-CENARIO]],CENARIO[],2,FALSE), 0)</f>
        <v>16.3902</v>
      </c>
      <c r="R116" s="116" t="str">
        <f>"CORRECAO_JURS_U" &amp; TEXT(DT_CALCULO_C, "-AAAAMMDD") &amp; TEXT(TAB_JUROS_U[[#This Row],[DT_EVE]], "-AAAAMMDD")</f>
        <v>CORRECAO_JURS_U-20151228-20230808</v>
      </c>
      <c r="S116" s="44">
        <f>IFERROR(VLOOKUP(TAB_JUROS_U[[#This Row],[Chave-CORC]],CORRECAO_JURS_U[],2, FALSE), 0)</f>
        <v>1.01284982</v>
      </c>
      <c r="T116" s="78">
        <f>MAX(0, (TAB_JUROS_U[[#This Row],[CUPOM_TIR]] -1) * IF(TAB_JUROS_U[[#This Row],[ID_T_EVE]]=1, TAB_JUROS_U[[#This Row],[PU_AMORT]], TAB_JUROS_U[[#This Row],[V_NOML_PCPL]]) * TAB_JUROS_U[[#This Row],[CORRECAO_U]])</f>
        <v>61.432996537989141</v>
      </c>
      <c r="U116" s="78">
        <f>MAX(0, TAB_JUROS_U[[#This Row],[V_FUT_U_JURS-01]]/((((TAB_JUROS_U[[#This Row],[TX_CENARIO]]/100 +1)^(1/252) -1) * PC_IDXR/100 +1)^TAB_JUROS_U[[#This Row],[Q_DIAS_U_PARC_TIR]]))</f>
        <v>19.39772675340468</v>
      </c>
      <c r="V116" s="78">
        <f>+TAB_JUROS_U[[#This Row],[V_FUT_U_JURS CENARIO]]/TAB_JUROS_U[[#This Row],[VAR_DESCAP_U]]</f>
        <v>16.080211403368715</v>
      </c>
      <c r="W116" s="78"/>
      <c r="X116" s="64">
        <f>TAB_JUROS_U[[#This Row],[dt_eve_u]]- DT_CALCULO_C</f>
        <v>2780</v>
      </c>
      <c r="Y116" s="48" t="str">
        <f>"CORRECAO_JURS_C" &amp; TEXT(DT_CALCULO_C, "-AAAAMMDD") &amp; TEXT(TAB_JUROS_U[[#This Row],[DT_EVE]], "-AAAAMMDD")</f>
        <v>CORRECAO_JURS_C-20151228-20230808</v>
      </c>
      <c r="Z116" s="44">
        <f>IFERROR(VLOOKUP(TAB_JUROS_C[[#This Row],[Chave-CORC]],CORRECAO_JURS_C[],2, FALSE), 0)</f>
        <v>1</v>
      </c>
      <c r="AA11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60.653608585317357</v>
      </c>
      <c r="AB116" s="63">
        <f>(TIR_C/100 +1)^(TAB_JUROS_C[[#This Row],[DIAS_CORRIDOS]]/360)</f>
        <v>1.2068166186164861</v>
      </c>
      <c r="AC116" s="78">
        <f>IF(TAB_JUROS_C[[#This Row],[DIAS_CORRIDOS]]&lt;0, 0, TAB_JUROS_C[[#This Row],[V_FUT_C_JURS]]/TAB_JUROS_C[[#This Row],[VAR_DESCAP_C]])</f>
        <v>50.259175793296272</v>
      </c>
      <c r="AD116" s="78">
        <f>TAB_JUROS_U[[#This Row],[V_FUT_U_JURS CENARIO]]</f>
        <v>19.39772675340468</v>
      </c>
      <c r="AE116" s="124">
        <f>IF(TAB_JUROS_C[[#This Row],[DIAS_CORRIDOS]]&lt;0, 0, TAB_JUROS_C[[#This Row],[V_FUT_UTEIS]]/TAB_JUROS_C[[#This Row],[VAR_DESCAP_C]])</f>
        <v>16.073466717455833</v>
      </c>
      <c r="AF116" s="64"/>
    </row>
    <row r="117" spans="1:32">
      <c r="A117" s="82">
        <f t="shared" si="2"/>
        <v>93</v>
      </c>
      <c r="B117" s="24">
        <f>VLOOKUP($A117, CAD_JUROS[#Data], MATCH(B$24, CAD_JUROS[#Headers],0), FALSE)</f>
        <v>2</v>
      </c>
      <c r="C117" s="24" t="str">
        <f>VLOOKUP($A117, CAD_JUROS[#Data], MATCH(C$24, CAD_JUROS[#Headers],0), FALSE)</f>
        <v xml:space="preserve">JUROS SOBRE PRINCIPAL                             </v>
      </c>
      <c r="D117" s="36">
        <f>VLOOKUP($A117, CAD_JUROS[#Data], MATCH(D$24, CAD_JUROS[#Headers],0), FALSE)</f>
        <v>45180</v>
      </c>
      <c r="E117" s="48">
        <f>VLOOKUP($A117, CAD_JUROS[#Data], MATCH(E$24, CAD_JUROS[#Headers],0), FALSE)</f>
        <v>0</v>
      </c>
      <c r="F117" s="36">
        <f>VLOOKUP($A117, CAD_JUROS[#Data], MATCH(F$24, CAD_JUROS[#Headers],0), FALSE)</f>
        <v>45184</v>
      </c>
      <c r="G117" s="47">
        <f>WORKDAY(WORKDAY(TAB_JUROS_U[[#This Row],[DT_EVE]], -1, TAB_FERIADOS[FER_DATA]), 1, TAB_FERIADOS[FER_DATA])</f>
        <v>45180</v>
      </c>
      <c r="H117" s="75">
        <f>WORKDAY(WORKDAY(TAB_JUROS_U[[#This Row],[DT_LQDC_EVE]], -1, TAB_FERIADOS[FER_DATA]), 1, TAB_FERIADOS[FER_DATA])</f>
        <v>45184</v>
      </c>
      <c r="I117" s="48">
        <f>PU_EMISSAO - SUMIF(TAB_AMORTIZACAO_U[DT_EVE], "&lt;" &amp; TAB_JUROS_U[[#This Row],[DT_EVE]], TAB_AMORTIZACAO_U[V_PU_AMTC])</f>
        <v>28839.667633000048</v>
      </c>
      <c r="J117" s="48">
        <f>IFERROR(VLOOKUP(TAB_JUROS_U[[#This Row],[DT_EVE]], TAB_AMORTIZACAO_U[[DT_EVE]:[V_PU_AMTC]], 2, FALSE), 0)</f>
        <v>592.91472599999997</v>
      </c>
      <c r="K117" s="48">
        <f>NETWORKDAYS(DT_CALCULO_U, TAB_JUROS_U[[#This Row],[dt_eve_u]], TAB_FERIADOS[FER_DATA]) -1</f>
        <v>1933</v>
      </c>
      <c r="L117" s="48">
        <f>NETWORKDAYS(DT_CALCULO_U, TAB_JUROS_U[[#This Row],[dt_lqdc_eve_u]], TAB_FERIADOS[FER_DATA]) -1</f>
        <v>1937</v>
      </c>
      <c r="M117" s="48">
        <f>NETWORKDAYS(IF(ISTEXT(H116), DT_B_JURS, H116), TAB_JUROS_U[[#This Row],[dt_lqdc_eve_u]],  TAB_FERIADOS[FER_DATA]) -1</f>
        <v>23</v>
      </c>
      <c r="N117" s="123">
        <f>(TX_EMISSAO/100 +1)^(TAB_JUROS_U[[#This Row],[dias_periodo_u]]/252)</f>
        <v>1.0022562323017139</v>
      </c>
      <c r="O117" s="78">
        <f>(TIR_U/100 +1)^(TAB_JUROS_U[[#This Row],[Q_DIAS_U_PARC_TIR]]/252)</f>
        <v>1.209032441326201</v>
      </c>
      <c r="P117" s="116" t="str">
        <f>"TX_CENARIO" &amp; TEXT(DT_CALCULO_C, "-AAAAMMDD") &amp; TEXT(TAB_JUROS_U[[#This Row],[DT_EVE]], "-AAAAMMDD")</f>
        <v>TX_CENARIO-20151228-20230911</v>
      </c>
      <c r="Q117" s="44">
        <f>IFERROR(VLOOKUP(TAB_JUROS_U[[#This Row],[Chave-CENARIO]],CENARIO[],2,FALSE), 0)</f>
        <v>16.3887</v>
      </c>
      <c r="R117" s="116" t="str">
        <f>"CORRECAO_JURS_U" &amp; TEXT(DT_CALCULO_C, "-AAAAMMDD") &amp; TEXT(TAB_JUROS_U[[#This Row],[DT_EVE]], "-AAAAMMDD")</f>
        <v>CORRECAO_JURS_U-20151228-20230911</v>
      </c>
      <c r="S117" s="44">
        <f>IFERROR(VLOOKUP(TAB_JUROS_U[[#This Row],[Chave-CORC]],CORRECAO_JURS_U[],2, FALSE), 0)</f>
        <v>1.0140821900000001</v>
      </c>
      <c r="T117" s="78">
        <f>MAX(0, (TAB_JUROS_U[[#This Row],[CUPOM_TIR]] -1) * IF(TAB_JUROS_U[[#This Row],[ID_T_EVE]]=1, TAB_JUROS_U[[#This Row],[PU_AMORT]], TAB_JUROS_U[[#This Row],[V_NOML_PCPL]]) * TAB_JUROS_U[[#This Row],[CORRECAO_U]])</f>
        <v>65.985303560109486</v>
      </c>
      <c r="U117" s="78">
        <f>MAX(0, TAB_JUROS_U[[#This Row],[V_FUT_U_JURS-01]]/((((TAB_JUROS_U[[#This Row],[TX_CENARIO]]/100 +1)^(1/252) -1) * PC_IDXR/100 +1)^TAB_JUROS_U[[#This Row],[Q_DIAS_U_PARC_TIR]]))</f>
        <v>20.550538103698894</v>
      </c>
      <c r="V117" s="78">
        <f>+TAB_JUROS_U[[#This Row],[V_FUT_U_JURS CENARIO]]/TAB_JUROS_U[[#This Row],[VAR_DESCAP_U]]</f>
        <v>16.997507594714978</v>
      </c>
      <c r="W117" s="78"/>
      <c r="X117" s="64">
        <f>TAB_JUROS_U[[#This Row],[dt_eve_u]]- DT_CALCULO_C</f>
        <v>2814</v>
      </c>
      <c r="Y117" s="48" t="str">
        <f>"CORRECAO_JURS_C" &amp; TEXT(DT_CALCULO_C, "-AAAAMMDD") &amp; TEXT(TAB_JUROS_U[[#This Row],[DT_EVE]], "-AAAAMMDD")</f>
        <v>CORRECAO_JURS_C-20151228-20230911</v>
      </c>
      <c r="Z117" s="44">
        <f>IFERROR(VLOOKUP(TAB_JUROS_C[[#This Row],[Chave-CORC]],CORRECAO_JURS_C[],2, FALSE), 0)</f>
        <v>1</v>
      </c>
      <c r="AA11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65.068989684267578</v>
      </c>
      <c r="AB117" s="63">
        <f>(TIR_C/100 +1)^(TAB_JUROS_C[[#This Row],[DIAS_CORRIDOS]]/360)</f>
        <v>1.2095944139807009</v>
      </c>
      <c r="AC117" s="78">
        <f>IF(TAB_JUROS_C[[#This Row],[DIAS_CORRIDOS]]&lt;0, 0, TAB_JUROS_C[[#This Row],[V_FUT_C_JURS]]/TAB_JUROS_C[[#This Row],[VAR_DESCAP_C]])</f>
        <v>53.794056034145804</v>
      </c>
      <c r="AD117" s="78">
        <f>TAB_JUROS_U[[#This Row],[V_FUT_U_JURS CENARIO]]</f>
        <v>20.550538103698894</v>
      </c>
      <c r="AE117" s="124">
        <f>IF(TAB_JUROS_C[[#This Row],[DIAS_CORRIDOS]]&lt;0, 0, TAB_JUROS_C[[#This Row],[V_FUT_UTEIS]]/TAB_JUROS_C[[#This Row],[VAR_DESCAP_C]])</f>
        <v>16.989610621686268</v>
      </c>
      <c r="AF117" s="64"/>
    </row>
    <row r="118" spans="1:32">
      <c r="A118" s="82">
        <f t="shared" si="2"/>
        <v>94</v>
      </c>
      <c r="B118" s="24">
        <f>VLOOKUP($A118, CAD_JUROS[#Data], MATCH(B$24, CAD_JUROS[#Headers],0), FALSE)</f>
        <v>2</v>
      </c>
      <c r="C118" s="24" t="str">
        <f>VLOOKUP($A118, CAD_JUROS[#Data], MATCH(C$24, CAD_JUROS[#Headers],0), FALSE)</f>
        <v xml:space="preserve">JUROS SOBRE PRINCIPAL                             </v>
      </c>
      <c r="D118" s="36">
        <f>VLOOKUP($A118, CAD_JUROS[#Data], MATCH(D$24, CAD_JUROS[#Headers],0), FALSE)</f>
        <v>45209</v>
      </c>
      <c r="E118" s="48">
        <f>VLOOKUP($A118, CAD_JUROS[#Data], MATCH(E$24, CAD_JUROS[#Headers],0), FALSE)</f>
        <v>0</v>
      </c>
      <c r="F118" s="36">
        <f>VLOOKUP($A118, CAD_JUROS[#Data], MATCH(F$24, CAD_JUROS[#Headers],0), FALSE)</f>
        <v>45215</v>
      </c>
      <c r="G118" s="47">
        <f>WORKDAY(WORKDAY(TAB_JUROS_U[[#This Row],[DT_EVE]], -1, TAB_FERIADOS[FER_DATA]), 1, TAB_FERIADOS[FER_DATA])</f>
        <v>45209</v>
      </c>
      <c r="H118" s="75">
        <f>WORKDAY(WORKDAY(TAB_JUROS_U[[#This Row],[DT_LQDC_EVE]], -1, TAB_FERIADOS[FER_DATA]), 1, TAB_FERIADOS[FER_DATA])</f>
        <v>45215</v>
      </c>
      <c r="I118" s="48">
        <f>PU_EMISSAO - SUMIF(TAB_AMORTIZACAO_U[DT_EVE], "&lt;" &amp; TAB_JUROS_U[[#This Row],[DT_EVE]], TAB_AMORTIZACAO_U[V_PU_AMTC])</f>
        <v>28246.752907000046</v>
      </c>
      <c r="J118" s="48">
        <f>IFERROR(VLOOKUP(TAB_JUROS_U[[#This Row],[DT_EVE]], TAB_AMORTIZACAO_U[[DT_EVE]:[V_PU_AMTC]], 2, FALSE), 0)</f>
        <v>594.96135600000002</v>
      </c>
      <c r="K118" s="48">
        <f>NETWORKDAYS(DT_CALCULO_U, TAB_JUROS_U[[#This Row],[dt_eve_u]], TAB_FERIADOS[FER_DATA]) -1</f>
        <v>1954</v>
      </c>
      <c r="L118" s="48">
        <f>NETWORKDAYS(DT_CALCULO_U, TAB_JUROS_U[[#This Row],[dt_lqdc_eve_u]], TAB_FERIADOS[FER_DATA]) -1</f>
        <v>1957</v>
      </c>
      <c r="M118" s="48">
        <f>NETWORKDAYS(IF(ISTEXT(H117), DT_B_JURS, H117), TAB_JUROS_U[[#This Row],[dt_lqdc_eve_u]],  TAB_FERIADOS[FER_DATA]) -1</f>
        <v>20</v>
      </c>
      <c r="N118" s="123">
        <f>(TX_EMISSAO/100 +1)^(TAB_JUROS_U[[#This Row],[dias_periodo_u]]/252)</f>
        <v>1.0019616526860928</v>
      </c>
      <c r="O118" s="78">
        <f>(TIR_U/100 +1)^(TAB_JUROS_U[[#This Row],[Q_DIAS_U_PARC_TIR]]/252)</f>
        <v>1.2114043987494454</v>
      </c>
      <c r="P118" s="116" t="str">
        <f>"TX_CENARIO" &amp; TEXT(DT_CALCULO_C, "-AAAAMMDD") &amp; TEXT(TAB_JUROS_U[[#This Row],[DT_EVE]], "-AAAAMMDD")</f>
        <v>TX_CENARIO-20151228-20231010</v>
      </c>
      <c r="Q118" s="44">
        <f>IFERROR(VLOOKUP(TAB_JUROS_U[[#This Row],[Chave-CENARIO]],CENARIO[],2,FALSE), 0)</f>
        <v>16.3874</v>
      </c>
      <c r="R118" s="116" t="str">
        <f>"CORRECAO_JURS_U" &amp; TEXT(DT_CALCULO_C, "-AAAAMMDD") &amp; TEXT(TAB_JUROS_U[[#This Row],[DT_EVE]], "-AAAAMMDD")</f>
        <v>CORRECAO_JURS_U-20151228-20231010</v>
      </c>
      <c r="S118" s="44">
        <f>IFERROR(VLOOKUP(TAB_JUROS_U[[#This Row],[Chave-CORC]],CORRECAO_JURS_U[],2, FALSE), 0)</f>
        <v>1.01284982</v>
      </c>
      <c r="T118" s="78">
        <f>MAX(0, (TAB_JUROS_U[[#This Row],[CUPOM_TIR]] -1) * IF(TAB_JUROS_U[[#This Row],[ID_T_EVE]]=1, TAB_JUROS_U[[#This Row],[PU_AMORT]], TAB_JUROS_U[[#This Row],[V_NOML_PCPL]]) * TAB_JUROS_U[[#This Row],[CORRECAO_U]])</f>
        <v>56.122331335027127</v>
      </c>
      <c r="U118" s="78">
        <f>MAX(0, TAB_JUROS_U[[#This Row],[V_FUT_U_JURS-01]]/((((TAB_JUROS_U[[#This Row],[TX_CENARIO]]/100 +1)^(1/252) -1) * PC_IDXR/100 +1)^TAB_JUROS_U[[#This Row],[Q_DIAS_U_PARC_TIR]]))</f>
        <v>17.271033895864058</v>
      </c>
      <c r="V118" s="78">
        <f>+TAB_JUROS_U[[#This Row],[V_FUT_U_JURS CENARIO]]/TAB_JUROS_U[[#This Row],[VAR_DESCAP_U]]</f>
        <v>14.257034161088781</v>
      </c>
      <c r="W118" s="78"/>
      <c r="X118" s="64">
        <f>TAB_JUROS_U[[#This Row],[dt_eve_u]]- DT_CALCULO_C</f>
        <v>2843</v>
      </c>
      <c r="Y118" s="48" t="str">
        <f>"CORRECAO_JURS_C" &amp; TEXT(DT_CALCULO_C, "-AAAAMMDD") &amp; TEXT(TAB_JUROS_U[[#This Row],[DT_EVE]], "-AAAAMMDD")</f>
        <v>CORRECAO_JURS_C-20151228-20231010</v>
      </c>
      <c r="Z118" s="44">
        <f>IFERROR(VLOOKUP(TAB_JUROS_C[[#This Row],[Chave-CORC]],CORRECAO_JURS_C[],2, FALSE), 0)</f>
        <v>1</v>
      </c>
      <c r="AA11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55.410318713417084</v>
      </c>
      <c r="AB118" s="63">
        <f>(TIR_C/100 +1)^(TAB_JUROS_C[[#This Row],[DIAS_CORRIDOS]]/360)</f>
        <v>1.2119687619989499</v>
      </c>
      <c r="AC118" s="78">
        <f>IF(TAB_JUROS_C[[#This Row],[DIAS_CORRIDOS]]&lt;0, 0, TAB_JUROS_C[[#This Row],[V_FUT_C_JURS]]/TAB_JUROS_C[[#This Row],[VAR_DESCAP_C]])</f>
        <v>45.719263112051308</v>
      </c>
      <c r="AD118" s="78">
        <f>TAB_JUROS_U[[#This Row],[V_FUT_U_JURS CENARIO]]</f>
        <v>17.271033895864058</v>
      </c>
      <c r="AE118" s="124">
        <f>IF(TAB_JUROS_C[[#This Row],[DIAS_CORRIDOS]]&lt;0, 0, TAB_JUROS_C[[#This Row],[V_FUT_UTEIS]]/TAB_JUROS_C[[#This Row],[VAR_DESCAP_C]])</f>
        <v>14.250395255549517</v>
      </c>
      <c r="AF118" s="64"/>
    </row>
    <row r="119" spans="1:32">
      <c r="A119" s="82">
        <f t="shared" si="2"/>
        <v>95</v>
      </c>
      <c r="B119" s="24">
        <f>VLOOKUP($A119, CAD_JUROS[#Data], MATCH(B$24, CAD_JUROS[#Headers],0), FALSE)</f>
        <v>2</v>
      </c>
      <c r="C119" s="24" t="str">
        <f>VLOOKUP($A119, CAD_JUROS[#Data], MATCH(C$24, CAD_JUROS[#Headers],0), FALSE)</f>
        <v xml:space="preserve">JUROS SOBRE PRINCIPAL                             </v>
      </c>
      <c r="D119" s="36">
        <f>VLOOKUP($A119, CAD_JUROS[#Data], MATCH(D$24, CAD_JUROS[#Headers],0), FALSE)</f>
        <v>45240</v>
      </c>
      <c r="E119" s="48">
        <f>VLOOKUP($A119, CAD_JUROS[#Data], MATCH(E$24, CAD_JUROS[#Headers],0), FALSE)</f>
        <v>0</v>
      </c>
      <c r="F119" s="36">
        <f>VLOOKUP($A119, CAD_JUROS[#Data], MATCH(F$24, CAD_JUROS[#Headers],0), FALSE)</f>
        <v>45246</v>
      </c>
      <c r="G119" s="47">
        <f>WORKDAY(WORKDAY(TAB_JUROS_U[[#This Row],[DT_EVE]], -1, TAB_FERIADOS[FER_DATA]), 1, TAB_FERIADOS[FER_DATA])</f>
        <v>45240</v>
      </c>
      <c r="H119" s="75">
        <f>WORKDAY(WORKDAY(TAB_JUROS_U[[#This Row],[DT_LQDC_EVE]], -1, TAB_FERIADOS[FER_DATA]), 1, TAB_FERIADOS[FER_DATA])</f>
        <v>45246</v>
      </c>
      <c r="I119" s="48">
        <f>PU_EMISSAO - SUMIF(TAB_AMORTIZACAO_U[DT_EVE], "&lt;" &amp; TAB_JUROS_U[[#This Row],[DT_EVE]], TAB_AMORTIZACAO_U[V_PU_AMTC])</f>
        <v>27651.791551000046</v>
      </c>
      <c r="J119" s="48">
        <f>IFERROR(VLOOKUP(TAB_JUROS_U[[#This Row],[DT_EVE]], TAB_AMORTIZACAO_U[[DT_EVE]:[V_PU_AMTC]], 2, FALSE), 0)</f>
        <v>585.52668600000004</v>
      </c>
      <c r="K119" s="48">
        <f>NETWORKDAYS(DT_CALCULO_U, TAB_JUROS_U[[#This Row],[dt_eve_u]], TAB_FERIADOS[FER_DATA]) -1</f>
        <v>1975</v>
      </c>
      <c r="L119" s="48">
        <f>NETWORKDAYS(DT_CALCULO_U, TAB_JUROS_U[[#This Row],[dt_lqdc_eve_u]], TAB_FERIADOS[FER_DATA]) -1</f>
        <v>1978</v>
      </c>
      <c r="M119" s="48">
        <f>NETWORKDAYS(IF(ISTEXT(H118), DT_B_JURS, H118), TAB_JUROS_U[[#This Row],[dt_lqdc_eve_u]],  TAB_FERIADOS[FER_DATA]) -1</f>
        <v>21</v>
      </c>
      <c r="N119" s="123">
        <f>(TX_EMISSAO/100 +1)^(TAB_JUROS_U[[#This Row],[dias_periodo_u]]/252)</f>
        <v>1.0020598362698427</v>
      </c>
      <c r="O119" s="78">
        <f>(TIR_U/100 +1)^(TAB_JUROS_U[[#This Row],[Q_DIAS_U_PARC_TIR]]/252)</f>
        <v>1.2138999624920028</v>
      </c>
      <c r="P119" s="116" t="str">
        <f>"TX_CENARIO" &amp; TEXT(DT_CALCULO_C, "-AAAAMMDD") &amp; TEXT(TAB_JUROS_U[[#This Row],[DT_EVE]], "-AAAAMMDD")</f>
        <v>TX_CENARIO-20151228-20231110</v>
      </c>
      <c r="Q119" s="44">
        <f>IFERROR(VLOOKUP(TAB_JUROS_U[[#This Row],[Chave-CENARIO]],CENARIO[],2,FALSE), 0)</f>
        <v>16.385999999999999</v>
      </c>
      <c r="R119" s="116" t="str">
        <f>"CORRECAO_JURS_U" &amp; TEXT(DT_CALCULO_C, "-AAAAMMDD") &amp; TEXT(TAB_JUROS_U[[#This Row],[DT_EVE]], "-AAAAMMDD")</f>
        <v>CORRECAO_JURS_U-20151228-20231110</v>
      </c>
      <c r="S119" s="44">
        <f>IFERROR(VLOOKUP(TAB_JUROS_U[[#This Row],[Chave-CORC]],CORRECAO_JURS_U[],2, FALSE), 0)</f>
        <v>1.01284982</v>
      </c>
      <c r="T119" s="78">
        <f>MAX(0, (TAB_JUROS_U[[#This Row],[CUPOM_TIR]] -1) * IF(TAB_JUROS_U[[#This Row],[ID_T_EVE]]=1, TAB_JUROS_U[[#This Row],[PU_AMORT]], TAB_JUROS_U[[#This Row],[V_NOML_PCPL]]) * TAB_JUROS_U[[#This Row],[CORRECAO_U]])</f>
        <v>57.690065307054603</v>
      </c>
      <c r="U119" s="78">
        <f>MAX(0, TAB_JUROS_U[[#This Row],[V_FUT_U_JURS-01]]/((((TAB_JUROS_U[[#This Row],[TX_CENARIO]]/100 +1)^(1/252) -1) * PC_IDXR/100 +1)^TAB_JUROS_U[[#This Row],[Q_DIAS_U_PARC_TIR]]))</f>
        <v>17.532042089817914</v>
      </c>
      <c r="V119" s="78">
        <f>+TAB_JUROS_U[[#This Row],[V_FUT_U_JURS CENARIO]]/TAB_JUROS_U[[#This Row],[VAR_DESCAP_U]]</f>
        <v>14.442740449407843</v>
      </c>
      <c r="W119" s="78"/>
      <c r="X119" s="64">
        <f>TAB_JUROS_U[[#This Row],[dt_eve_u]]- DT_CALCULO_C</f>
        <v>2874</v>
      </c>
      <c r="Y119" s="48" t="str">
        <f>"CORRECAO_JURS_C" &amp; TEXT(DT_CALCULO_C, "-AAAAMMDD") &amp; TEXT(TAB_JUROS_U[[#This Row],[DT_EVE]], "-AAAAMMDD")</f>
        <v>CORRECAO_JURS_C-20151228-20231110</v>
      </c>
      <c r="Z119" s="44">
        <f>IFERROR(VLOOKUP(TAB_JUROS_C[[#This Row],[Chave-CORC]],CORRECAO_JURS_C[],2, FALSE), 0)</f>
        <v>1</v>
      </c>
      <c r="AA11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56.95816316288095</v>
      </c>
      <c r="AB119" s="63">
        <f>(TIR_C/100 +1)^(TAB_JUROS_C[[#This Row],[DIAS_CORRIDOS]]/360)</f>
        <v>1.2145120122881838</v>
      </c>
      <c r="AC119" s="78">
        <f>IF(TAB_JUROS_C[[#This Row],[DIAS_CORRIDOS]]&lt;0, 0, TAB_JUROS_C[[#This Row],[V_FUT_C_JURS]]/TAB_JUROS_C[[#This Row],[VAR_DESCAP_C]])</f>
        <v>46.89798255314885</v>
      </c>
      <c r="AD119" s="78">
        <f>TAB_JUROS_U[[#This Row],[V_FUT_U_JURS CENARIO]]</f>
        <v>17.532042089817914</v>
      </c>
      <c r="AE119" s="124">
        <f>IF(TAB_JUROS_C[[#This Row],[DIAS_CORRIDOS]]&lt;0, 0, TAB_JUROS_C[[#This Row],[V_FUT_UTEIS]]/TAB_JUROS_C[[#This Row],[VAR_DESCAP_C]])</f>
        <v>14.435462072365116</v>
      </c>
      <c r="AF119" s="64"/>
    </row>
    <row r="120" spans="1:32">
      <c r="A120" s="82">
        <f t="shared" si="2"/>
        <v>96</v>
      </c>
      <c r="B120" s="24">
        <f>VLOOKUP($A120, CAD_JUROS[#Data], MATCH(B$24, CAD_JUROS[#Headers],0), FALSE)</f>
        <v>2</v>
      </c>
      <c r="C120" s="24" t="str">
        <f>VLOOKUP($A120, CAD_JUROS[#Data], MATCH(C$24, CAD_JUROS[#Headers],0), FALSE)</f>
        <v xml:space="preserve">JUROS SOBRE PRINCIPAL                             </v>
      </c>
      <c r="D120" s="36">
        <f>VLOOKUP($A120, CAD_JUROS[#Data], MATCH(D$24, CAD_JUROS[#Headers],0), FALSE)</f>
        <v>45268</v>
      </c>
      <c r="E120" s="48">
        <f>VLOOKUP($A120, CAD_JUROS[#Data], MATCH(E$24, CAD_JUROS[#Headers],0), FALSE)</f>
        <v>0</v>
      </c>
      <c r="F120" s="36">
        <f>VLOOKUP($A120, CAD_JUROS[#Data], MATCH(F$24, CAD_JUROS[#Headers],0), FALSE)</f>
        <v>45274</v>
      </c>
      <c r="G120" s="47">
        <f>WORKDAY(WORKDAY(TAB_JUROS_U[[#This Row],[DT_EVE]], -1, TAB_FERIADOS[FER_DATA]), 1, TAB_FERIADOS[FER_DATA])</f>
        <v>45268</v>
      </c>
      <c r="H120" s="75">
        <f>WORKDAY(WORKDAY(TAB_JUROS_U[[#This Row],[DT_LQDC_EVE]], -1, TAB_FERIADOS[FER_DATA]), 1, TAB_FERIADOS[FER_DATA])</f>
        <v>45274</v>
      </c>
      <c r="I120" s="48">
        <f>PU_EMISSAO - SUMIF(TAB_AMORTIZACAO_U[DT_EVE], "&lt;" &amp; TAB_JUROS_U[[#This Row],[DT_EVE]], TAB_AMORTIZACAO_U[V_PU_AMTC])</f>
        <v>27066.264865000048</v>
      </c>
      <c r="J120" s="48">
        <f>IFERROR(VLOOKUP(TAB_JUROS_U[[#This Row],[DT_EVE]], TAB_AMORTIZACAO_U[[DT_EVE]:[V_PU_AMTC]], 2, FALSE), 0)</f>
        <v>581.95176000000004</v>
      </c>
      <c r="K120" s="48">
        <f>NETWORKDAYS(DT_CALCULO_U, TAB_JUROS_U[[#This Row],[dt_eve_u]], TAB_FERIADOS[FER_DATA]) -1</f>
        <v>1994</v>
      </c>
      <c r="L120" s="48">
        <f>NETWORKDAYS(DT_CALCULO_U, TAB_JUROS_U[[#This Row],[dt_lqdc_eve_u]], TAB_FERIADOS[FER_DATA]) -1</f>
        <v>1998</v>
      </c>
      <c r="M120" s="48">
        <f>NETWORKDAYS(IF(ISTEXT(H119), DT_B_JURS, H119), TAB_JUROS_U[[#This Row],[dt_lqdc_eve_u]],  TAB_FERIADOS[FER_DATA]) -1</f>
        <v>20</v>
      </c>
      <c r="N120" s="123">
        <f>(TX_EMISSAO/100 +1)^(TAB_JUROS_U[[#This Row],[dias_periodo_u]]/252)</f>
        <v>1.0019616526860928</v>
      </c>
      <c r="O120" s="78">
        <f>(TIR_U/100 +1)^(TAB_JUROS_U[[#This Row],[Q_DIAS_U_PARC_TIR]]/252)</f>
        <v>1.2162814693306041</v>
      </c>
      <c r="P120" s="116" t="str">
        <f>"TX_CENARIO" &amp; TEXT(DT_CALCULO_C, "-AAAAMMDD") &amp; TEXT(TAB_JUROS_U[[#This Row],[DT_EVE]], "-AAAAMMDD")</f>
        <v>TX_CENARIO-20151228-20231208</v>
      </c>
      <c r="Q120" s="44">
        <f>IFERROR(VLOOKUP(TAB_JUROS_U[[#This Row],[Chave-CENARIO]],CENARIO[],2,FALSE), 0)</f>
        <v>16.384799999999998</v>
      </c>
      <c r="R120" s="116" t="str">
        <f>"CORRECAO_JURS_U" &amp; TEXT(DT_CALCULO_C, "-AAAAMMDD") &amp; TEXT(TAB_JUROS_U[[#This Row],[DT_EVE]], "-AAAAMMDD")</f>
        <v>CORRECAO_JURS_U-20151228-20231208</v>
      </c>
      <c r="S120" s="44">
        <f>IFERROR(VLOOKUP(TAB_JUROS_U[[#This Row],[Chave-CORC]],CORRECAO_JURS_U[],2, FALSE), 0)</f>
        <v>1.01161894</v>
      </c>
      <c r="T120" s="78">
        <f>MAX(0, (TAB_JUROS_U[[#This Row],[CUPOM_TIR]] -1) * IF(TAB_JUROS_U[[#This Row],[ID_T_EVE]]=1, TAB_JUROS_U[[#This Row],[PU_AMORT]], TAB_JUROS_U[[#This Row],[V_NOML_PCPL]]) * TAB_JUROS_U[[#This Row],[CORRECAO_U]])</f>
        <v>53.711514276492132</v>
      </c>
      <c r="U120" s="78">
        <f>MAX(0, TAB_JUROS_U[[#This Row],[V_FUT_U_JURS-01]]/((((TAB_JUROS_U[[#This Row],[TX_CENARIO]]/100 +1)^(1/252) -1) * PC_IDXR/100 +1)^TAB_JUROS_U[[#This Row],[Q_DIAS_U_PARC_TIR]]))</f>
        <v>16.12887795305609</v>
      </c>
      <c r="V120" s="78">
        <f>+TAB_JUROS_U[[#This Row],[V_FUT_U_JURS CENARIO]]/TAB_JUROS_U[[#This Row],[VAR_DESCAP_U]]</f>
        <v>13.260810396077828</v>
      </c>
      <c r="W120" s="78"/>
      <c r="X120" s="64">
        <f>TAB_JUROS_U[[#This Row],[dt_eve_u]]- DT_CALCULO_C</f>
        <v>2902</v>
      </c>
      <c r="Y120" s="48" t="str">
        <f>"CORRECAO_JURS_C" &amp; TEXT(DT_CALCULO_C, "-AAAAMMDD") &amp; TEXT(TAB_JUROS_U[[#This Row],[DT_EVE]], "-AAAAMMDD")</f>
        <v>CORRECAO_JURS_C-20151228-20231208</v>
      </c>
      <c r="Z120" s="44">
        <f>IFERROR(VLOOKUP(TAB_JUROS_C[[#This Row],[Chave-CORC]],CORRECAO_JURS_C[],2, FALSE), 0)</f>
        <v>1</v>
      </c>
      <c r="AA12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53.094611174927323</v>
      </c>
      <c r="AB120" s="63">
        <f>(TIR_C/100 +1)^(TAB_JUROS_C[[#This Row],[DIAS_CORRIDOS]]/360)</f>
        <v>1.2168137284265981</v>
      </c>
      <c r="AC120" s="78">
        <f>IF(TAB_JUROS_C[[#This Row],[DIAS_CORRIDOS]]&lt;0, 0, TAB_JUROS_C[[#This Row],[V_FUT_C_JURS]]/TAB_JUROS_C[[#This Row],[VAR_DESCAP_C]])</f>
        <v>43.634132270665084</v>
      </c>
      <c r="AD120" s="78">
        <f>TAB_JUROS_U[[#This Row],[V_FUT_U_JURS CENARIO]]</f>
        <v>16.12887795305609</v>
      </c>
      <c r="AE120" s="124">
        <f>IF(TAB_JUROS_C[[#This Row],[DIAS_CORRIDOS]]&lt;0, 0, TAB_JUROS_C[[#This Row],[V_FUT_UTEIS]]/TAB_JUROS_C[[#This Row],[VAR_DESCAP_C]])</f>
        <v>13.255009847654783</v>
      </c>
      <c r="AF120" s="64"/>
    </row>
    <row r="121" spans="1:32">
      <c r="A121" s="82">
        <f t="shared" si="2"/>
        <v>97</v>
      </c>
      <c r="B121" s="24">
        <f>VLOOKUP($A121, CAD_JUROS[#Data], MATCH(B$24, CAD_JUROS[#Headers],0), FALSE)</f>
        <v>2</v>
      </c>
      <c r="C121" s="24" t="str">
        <f>VLOOKUP($A121, CAD_JUROS[#Data], MATCH(C$24, CAD_JUROS[#Headers],0), FALSE)</f>
        <v xml:space="preserve">JUROS SOBRE PRINCIPAL                             </v>
      </c>
      <c r="D121" s="36">
        <f>VLOOKUP($A121, CAD_JUROS[#Data], MATCH(D$24, CAD_JUROS[#Headers],0), FALSE)</f>
        <v>45300</v>
      </c>
      <c r="E121" s="48">
        <f>VLOOKUP($A121, CAD_JUROS[#Data], MATCH(E$24, CAD_JUROS[#Headers],0), FALSE)</f>
        <v>0</v>
      </c>
      <c r="F121" s="36">
        <f>VLOOKUP($A121, CAD_JUROS[#Data], MATCH(F$24, CAD_JUROS[#Headers],0), FALSE)</f>
        <v>45306</v>
      </c>
      <c r="G121" s="47">
        <f>WORKDAY(WORKDAY(TAB_JUROS_U[[#This Row],[DT_EVE]], -1, TAB_FERIADOS[FER_DATA]), 1, TAB_FERIADOS[FER_DATA])</f>
        <v>45300</v>
      </c>
      <c r="H121" s="75">
        <f>WORKDAY(WORKDAY(TAB_JUROS_U[[#This Row],[DT_LQDC_EVE]], -1, TAB_FERIADOS[FER_DATA]), 1, TAB_FERIADOS[FER_DATA])</f>
        <v>45306</v>
      </c>
      <c r="I121" s="48">
        <f>PU_EMISSAO - SUMIF(TAB_AMORTIZACAO_U[DT_EVE], "&lt;" &amp; TAB_JUROS_U[[#This Row],[DT_EVE]], TAB_AMORTIZACAO_U[V_PU_AMTC])</f>
        <v>26484.313105000052</v>
      </c>
      <c r="J121" s="48">
        <f>IFERROR(VLOOKUP(TAB_JUROS_U[[#This Row],[DT_EVE]], TAB_AMORTIZACAO_U[[DT_EVE]:[V_PU_AMTC]], 2, FALSE), 0)</f>
        <v>627.51931400000001</v>
      </c>
      <c r="K121" s="48">
        <f>NETWORKDAYS(DT_CALCULO_U, TAB_JUROS_U[[#This Row],[dt_eve_u]], TAB_FERIADOS[FER_DATA]) -1</f>
        <v>2014</v>
      </c>
      <c r="L121" s="48">
        <f>NETWORKDAYS(DT_CALCULO_U, TAB_JUROS_U[[#This Row],[dt_lqdc_eve_u]], TAB_FERIADOS[FER_DATA]) -1</f>
        <v>2018</v>
      </c>
      <c r="M121" s="48">
        <f>NETWORKDAYS(IF(ISTEXT(H120), DT_B_JURS, H120), TAB_JUROS_U[[#This Row],[dt_lqdc_eve_u]],  TAB_FERIADOS[FER_DATA]) -1</f>
        <v>20</v>
      </c>
      <c r="N121" s="123">
        <f>(TX_EMISSAO/100 +1)^(TAB_JUROS_U[[#This Row],[dias_periodo_u]]/252)</f>
        <v>1.0019616526860928</v>
      </c>
      <c r="O121" s="78">
        <f>(TIR_U/100 +1)^(TAB_JUROS_U[[#This Row],[Q_DIAS_U_PARC_TIR]]/252)</f>
        <v>1.2186676483621353</v>
      </c>
      <c r="P121" s="116" t="str">
        <f>"TX_CENARIO" &amp; TEXT(DT_CALCULO_C, "-AAAAMMDD") &amp; TEXT(TAB_JUROS_U[[#This Row],[DT_EVE]], "-AAAAMMDD")</f>
        <v>TX_CENARIO-20151228-20240109</v>
      </c>
      <c r="Q121" s="44">
        <f>IFERROR(VLOOKUP(TAB_JUROS_U[[#This Row],[Chave-CENARIO]],CENARIO[],2,FALSE), 0)</f>
        <v>16.383600000000001</v>
      </c>
      <c r="R121" s="116" t="str">
        <f>"CORRECAO_JURS_U" &amp; TEXT(DT_CALCULO_C, "-AAAAMMDD") &amp; TEXT(TAB_JUROS_U[[#This Row],[DT_EVE]], "-AAAAMMDD")</f>
        <v>CORRECAO_JURS_U-20151228-20240109</v>
      </c>
      <c r="S121" s="44">
        <f>IFERROR(VLOOKUP(TAB_JUROS_U[[#This Row],[Chave-CORC]],CORRECAO_JURS_U[],2, FALSE), 0)</f>
        <v>1.0122341699999999</v>
      </c>
      <c r="T121" s="78">
        <f>MAX(0, (TAB_JUROS_U[[#This Row],[CUPOM_TIR]] -1) * IF(TAB_JUROS_U[[#This Row],[ID_T_EVE]]=1, TAB_JUROS_U[[#This Row],[PU_AMORT]], TAB_JUROS_U[[#This Row],[V_NOML_PCPL]]) * TAB_JUROS_U[[#This Row],[CORRECAO_U]])</f>
        <v>52.588626068664276</v>
      </c>
      <c r="U121" s="78">
        <f>MAX(0, TAB_JUROS_U[[#This Row],[V_FUT_U_JURS-01]]/((((TAB_JUROS_U[[#This Row],[TX_CENARIO]]/100 +1)^(1/252) -1) * PC_IDXR/100 +1)^TAB_JUROS_U[[#This Row],[Q_DIAS_U_PARC_TIR]]))</f>
        <v>15.60395107412775</v>
      </c>
      <c r="V121" s="78">
        <f>+TAB_JUROS_U[[#This Row],[V_FUT_U_JURS CENARIO]]/TAB_JUROS_U[[#This Row],[VAR_DESCAP_U]]</f>
        <v>12.804107087850527</v>
      </c>
      <c r="W121" s="78"/>
      <c r="X121" s="64">
        <f>TAB_JUROS_U[[#This Row],[dt_eve_u]]- DT_CALCULO_C</f>
        <v>2934</v>
      </c>
      <c r="Y121" s="48" t="str">
        <f>"CORRECAO_JURS_C" &amp; TEXT(DT_CALCULO_C, "-AAAAMMDD") &amp; TEXT(TAB_JUROS_U[[#This Row],[DT_EVE]], "-AAAAMMDD")</f>
        <v>CORRECAO_JURS_C-20151228-20240109</v>
      </c>
      <c r="Z121" s="44">
        <f>IFERROR(VLOOKUP(TAB_JUROS_C[[#This Row],[Chave-CORC]],CORRECAO_JURS_C[],2, FALSE), 0)</f>
        <v>1</v>
      </c>
      <c r="AA12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51.953023941746878</v>
      </c>
      <c r="AB121" s="63">
        <f>(TIR_C/100 +1)^(TAB_JUROS_C[[#This Row],[DIAS_CORRIDOS]]/360)</f>
        <v>1.219449603059946</v>
      </c>
      <c r="AC121" s="78">
        <f>IF(TAB_JUROS_C[[#This Row],[DIAS_CORRIDOS]]&lt;0, 0, TAB_JUROS_C[[#This Row],[V_FUT_C_JURS]]/TAB_JUROS_C[[#This Row],[VAR_DESCAP_C]])</f>
        <v>42.603666286316354</v>
      </c>
      <c r="AD121" s="78">
        <f>TAB_JUROS_U[[#This Row],[V_FUT_U_JURS CENARIO]]</f>
        <v>15.60395107412775</v>
      </c>
      <c r="AE121" s="124">
        <f>IF(TAB_JUROS_C[[#This Row],[DIAS_CORRIDOS]]&lt;0, 0, TAB_JUROS_C[[#This Row],[V_FUT_UTEIS]]/TAB_JUROS_C[[#This Row],[VAR_DESCAP_C]])</f>
        <v>12.795896636460414</v>
      </c>
      <c r="AF121" s="64"/>
    </row>
    <row r="122" spans="1:32">
      <c r="A122" s="82">
        <f t="shared" si="2"/>
        <v>98</v>
      </c>
      <c r="B122" s="24">
        <f>VLOOKUP($A122, CAD_JUROS[#Data], MATCH(B$24, CAD_JUROS[#Headers],0), FALSE)</f>
        <v>2</v>
      </c>
      <c r="C122" s="24" t="str">
        <f>VLOOKUP($A122, CAD_JUROS[#Data], MATCH(C$24, CAD_JUROS[#Headers],0), FALSE)</f>
        <v xml:space="preserve">JUROS SOBRE PRINCIPAL                             </v>
      </c>
      <c r="D122" s="36">
        <f>VLOOKUP($A122, CAD_JUROS[#Data], MATCH(D$24, CAD_JUROS[#Headers],0), FALSE)</f>
        <v>45334</v>
      </c>
      <c r="E122" s="48">
        <f>VLOOKUP($A122, CAD_JUROS[#Data], MATCH(E$24, CAD_JUROS[#Headers],0), FALSE)</f>
        <v>0</v>
      </c>
      <c r="F122" s="36">
        <f>VLOOKUP($A122, CAD_JUROS[#Data], MATCH(F$24, CAD_JUROS[#Headers],0), FALSE)</f>
        <v>45338</v>
      </c>
      <c r="G122" s="47">
        <f>WORKDAY(WORKDAY(TAB_JUROS_U[[#This Row],[DT_EVE]], -1, TAB_FERIADOS[FER_DATA]), 1, TAB_FERIADOS[FER_DATA])</f>
        <v>45336</v>
      </c>
      <c r="H122" s="75">
        <f>WORKDAY(WORKDAY(TAB_JUROS_U[[#This Row],[DT_LQDC_EVE]], -1, TAB_FERIADOS[FER_DATA]), 1, TAB_FERIADOS[FER_DATA])</f>
        <v>45338</v>
      </c>
      <c r="I122" s="48">
        <f>PU_EMISSAO - SUMIF(TAB_AMORTIZACAO_U[DT_EVE], "&lt;" &amp; TAB_JUROS_U[[#This Row],[DT_EVE]], TAB_AMORTIZACAO_U[V_PU_AMTC])</f>
        <v>25856.793791000047</v>
      </c>
      <c r="J122" s="48">
        <f>IFERROR(VLOOKUP(TAB_JUROS_U[[#This Row],[DT_EVE]], TAB_AMORTIZACAO_U[[DT_EVE]:[V_PU_AMTC]], 2, FALSE), 0)</f>
        <v>615.02969700000006</v>
      </c>
      <c r="K122" s="48">
        <f>NETWORKDAYS(DT_CALCULO_U, TAB_JUROS_U[[#This Row],[dt_eve_u]], TAB_FERIADOS[FER_DATA]) -1</f>
        <v>2038</v>
      </c>
      <c r="L122" s="48">
        <f>NETWORKDAYS(DT_CALCULO_U, TAB_JUROS_U[[#This Row],[dt_lqdc_eve_u]], TAB_FERIADOS[FER_DATA]) -1</f>
        <v>2040</v>
      </c>
      <c r="M122" s="48">
        <f>NETWORKDAYS(IF(ISTEXT(H121), DT_B_JURS, H121), TAB_JUROS_U[[#This Row],[dt_lqdc_eve_u]],  TAB_FERIADOS[FER_DATA]) -1</f>
        <v>22</v>
      </c>
      <c r="N122" s="123">
        <f>(TX_EMISSAO/100 +1)^(TAB_JUROS_U[[#This Row],[dias_periodo_u]]/252)</f>
        <v>1.0021580294747356</v>
      </c>
      <c r="O122" s="78">
        <f>(TIR_U/100 +1)^(TAB_JUROS_U[[#This Row],[Q_DIAS_U_PARC_TIR]]/252)</f>
        <v>1.2212978526200589</v>
      </c>
      <c r="P122" s="116" t="str">
        <f>"TX_CENARIO" &amp; TEXT(DT_CALCULO_C, "-AAAAMMDD") &amp; TEXT(TAB_JUROS_U[[#This Row],[DT_EVE]], "-AAAAMMDD")</f>
        <v>TX_CENARIO-20151228-20240212</v>
      </c>
      <c r="Q122" s="44">
        <f>IFERROR(VLOOKUP(TAB_JUROS_U[[#This Row],[Chave-CENARIO]],CENARIO[],2,FALSE), 0)</f>
        <v>16.382300000000001</v>
      </c>
      <c r="R122" s="116" t="str">
        <f>"CORRECAO_JURS_U" &amp; TEXT(DT_CALCULO_C, "-AAAAMMDD") &amp; TEXT(TAB_JUROS_U[[#This Row],[DT_EVE]], "-AAAAMMDD")</f>
        <v>CORRECAO_JURS_U-20151228-20240212</v>
      </c>
      <c r="S122" s="44">
        <f>IFERROR(VLOOKUP(TAB_JUROS_U[[#This Row],[Chave-CORC]],CORRECAO_JURS_U[],2, FALSE), 0)</f>
        <v>1.0146988100000001</v>
      </c>
      <c r="T122" s="78">
        <f>MAX(0, (TAB_JUROS_U[[#This Row],[CUPOM_TIR]] -1) * IF(TAB_JUROS_U[[#This Row],[ID_T_EVE]]=1, TAB_JUROS_U[[#This Row],[PU_AMORT]], TAB_JUROS_U[[#This Row],[V_NOML_PCPL]]) * TAB_JUROS_U[[#This Row],[CORRECAO_U]])</f>
        <v>56.619912651379366</v>
      </c>
      <c r="U122" s="78">
        <f>MAX(0, TAB_JUROS_U[[#This Row],[V_FUT_U_JURS-01]]/((((TAB_JUROS_U[[#This Row],[TX_CENARIO]]/100 +1)^(1/252) -1) * PC_IDXR/100 +1)^TAB_JUROS_U[[#This Row],[Q_DIAS_U_PARC_TIR]]))</f>
        <v>16.580543541540575</v>
      </c>
      <c r="V122" s="78">
        <f>+TAB_JUROS_U[[#This Row],[V_FUT_U_JURS CENARIO]]/TAB_JUROS_U[[#This Row],[VAR_DESCAP_U]]</f>
        <v>13.576166948930778</v>
      </c>
      <c r="W122" s="78"/>
      <c r="X122" s="64">
        <f>TAB_JUROS_U[[#This Row],[dt_eve_u]]- DT_CALCULO_C</f>
        <v>2970</v>
      </c>
      <c r="Y122" s="48" t="str">
        <f>"CORRECAO_JURS_C" &amp; TEXT(DT_CALCULO_C, "-AAAAMMDD") &amp; TEXT(TAB_JUROS_U[[#This Row],[DT_EVE]], "-AAAAMMDD")</f>
        <v>CORRECAO_JURS_C-20151228-20240212</v>
      </c>
      <c r="Z122" s="44">
        <f>IFERROR(VLOOKUP(TAB_JUROS_C[[#This Row],[Chave-CORC]],CORRECAO_JURS_C[],2, FALSE), 0)</f>
        <v>1</v>
      </c>
      <c r="AA12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55.799723123139728</v>
      </c>
      <c r="AB122" s="63">
        <f>(TIR_C/100 +1)^(TAB_JUROS_C[[#This Row],[DIAS_CORRIDOS]]/360)</f>
        <v>1.2224217877042882</v>
      </c>
      <c r="AC122" s="78">
        <f>IF(TAB_JUROS_C[[#This Row],[DIAS_CORRIDOS]]&lt;0, 0, TAB_JUROS_C[[#This Row],[V_FUT_C_JURS]]/TAB_JUROS_C[[#This Row],[VAR_DESCAP_C]])</f>
        <v>45.64686565995504</v>
      </c>
      <c r="AD122" s="78">
        <f>TAB_JUROS_U[[#This Row],[V_FUT_U_JURS CENARIO]]</f>
        <v>16.580543541540575</v>
      </c>
      <c r="AE122" s="124">
        <f>IF(TAB_JUROS_C[[#This Row],[DIAS_CORRIDOS]]&lt;0, 0, TAB_JUROS_C[[#This Row],[V_FUT_UTEIS]]/TAB_JUROS_C[[#This Row],[VAR_DESCAP_C]])</f>
        <v>13.563684571328595</v>
      </c>
      <c r="AF122" s="64"/>
    </row>
    <row r="123" spans="1:32">
      <c r="A123" s="82">
        <f t="shared" si="2"/>
        <v>99</v>
      </c>
      <c r="B123" s="24">
        <f>VLOOKUP($A123, CAD_JUROS[#Data], MATCH(B$24, CAD_JUROS[#Headers],0), FALSE)</f>
        <v>2</v>
      </c>
      <c r="C123" s="24" t="str">
        <f>VLOOKUP($A123, CAD_JUROS[#Data], MATCH(C$24, CAD_JUROS[#Headers],0), FALSE)</f>
        <v xml:space="preserve">JUROS SOBRE PRINCIPAL                             </v>
      </c>
      <c r="D123" s="36">
        <f>VLOOKUP($A123, CAD_JUROS[#Data], MATCH(D$24, CAD_JUROS[#Headers],0), FALSE)</f>
        <v>45359</v>
      </c>
      <c r="E123" s="48">
        <f>VLOOKUP($A123, CAD_JUROS[#Data], MATCH(E$24, CAD_JUROS[#Headers],0), FALSE)</f>
        <v>0</v>
      </c>
      <c r="F123" s="36">
        <f>VLOOKUP($A123, CAD_JUROS[#Data], MATCH(F$24, CAD_JUROS[#Headers],0), FALSE)</f>
        <v>45365</v>
      </c>
      <c r="G123" s="47">
        <f>WORKDAY(WORKDAY(TAB_JUROS_U[[#This Row],[DT_EVE]], -1, TAB_FERIADOS[FER_DATA]), 1, TAB_FERIADOS[FER_DATA])</f>
        <v>45359</v>
      </c>
      <c r="H123" s="75">
        <f>WORKDAY(WORKDAY(TAB_JUROS_U[[#This Row],[DT_LQDC_EVE]], -1, TAB_FERIADOS[FER_DATA]), 1, TAB_FERIADOS[FER_DATA])</f>
        <v>45365</v>
      </c>
      <c r="I123" s="48">
        <f>PU_EMISSAO - SUMIF(TAB_AMORTIZACAO_U[DT_EVE], "&lt;" &amp; TAB_JUROS_U[[#This Row],[DT_EVE]], TAB_AMORTIZACAO_U[V_PU_AMTC])</f>
        <v>25241.764094000042</v>
      </c>
      <c r="J123" s="48">
        <f>IFERROR(VLOOKUP(TAB_JUROS_U[[#This Row],[DT_EVE]], TAB_AMORTIZACAO_U[[DT_EVE]:[V_PU_AMTC]], 2, FALSE), 0)</f>
        <v>616.42912000000001</v>
      </c>
      <c r="K123" s="48">
        <f>NETWORKDAYS(DT_CALCULO_U, TAB_JUROS_U[[#This Row],[dt_eve_u]], TAB_FERIADOS[FER_DATA]) -1</f>
        <v>2055</v>
      </c>
      <c r="L123" s="48">
        <f>NETWORKDAYS(DT_CALCULO_U, TAB_JUROS_U[[#This Row],[dt_lqdc_eve_u]], TAB_FERIADOS[FER_DATA]) -1</f>
        <v>2059</v>
      </c>
      <c r="M123" s="48">
        <f>NETWORKDAYS(IF(ISTEXT(H122), DT_B_JURS, H122), TAB_JUROS_U[[#This Row],[dt_lqdc_eve_u]],  TAB_FERIADOS[FER_DATA]) -1</f>
        <v>19</v>
      </c>
      <c r="N123" s="123">
        <f>(TX_EMISSAO/100 +1)^(TAB_JUROS_U[[#This Row],[dias_periodo_u]]/252)</f>
        <v>1.0018634787225431</v>
      </c>
      <c r="O123" s="78">
        <f>(TIR_U/100 +1)^(TAB_JUROS_U[[#This Row],[Q_DIAS_U_PARC_TIR]]/252)</f>
        <v>1.2235739605252514</v>
      </c>
      <c r="P123" s="116" t="str">
        <f>"TX_CENARIO" &amp; TEXT(DT_CALCULO_C, "-AAAAMMDD") &amp; TEXT(TAB_JUROS_U[[#This Row],[DT_EVE]], "-AAAAMMDD")</f>
        <v>TX_CENARIO-20151228-20240308</v>
      </c>
      <c r="Q123" s="44">
        <f>IFERROR(VLOOKUP(TAB_JUROS_U[[#This Row],[Chave-CENARIO]],CENARIO[],2,FALSE), 0)</f>
        <v>16.3812</v>
      </c>
      <c r="R123" s="116" t="str">
        <f>"CORRECAO_JURS_U" &amp; TEXT(DT_CALCULO_C, "-AAAAMMDD") &amp; TEXT(TAB_JUROS_U[[#This Row],[DT_EVE]], "-AAAAMMDD")</f>
        <v>CORRECAO_JURS_U-20151228-20240308</v>
      </c>
      <c r="S123" s="44">
        <f>IFERROR(VLOOKUP(TAB_JUROS_U[[#This Row],[Chave-CORC]],CORRECAO_JURS_U[],2, FALSE), 0)</f>
        <v>1.01038948</v>
      </c>
      <c r="T123" s="78">
        <f>MAX(0, (TAB_JUROS_U[[#This Row],[CUPOM_TIR]] -1) * IF(TAB_JUROS_U[[#This Row],[ID_T_EVE]]=1, TAB_JUROS_U[[#This Row],[PU_AMORT]], TAB_JUROS_U[[#This Row],[V_NOML_PCPL]]) * TAB_JUROS_U[[#This Row],[CORRECAO_U]])</f>
        <v>47.526185373433364</v>
      </c>
      <c r="U123" s="78">
        <f>MAX(0, TAB_JUROS_U[[#This Row],[V_FUT_U_JURS-01]]/((((TAB_JUROS_U[[#This Row],[TX_CENARIO]]/100 +1)^(1/252) -1) * PC_IDXR/100 +1)^TAB_JUROS_U[[#This Row],[Q_DIAS_U_PARC_TIR]]))</f>
        <v>13.760315735885973</v>
      </c>
      <c r="V123" s="78">
        <f>+TAB_JUROS_U[[#This Row],[V_FUT_U_JURS CENARIO]]/TAB_JUROS_U[[#This Row],[VAR_DESCAP_U]]</f>
        <v>11.246002432071204</v>
      </c>
      <c r="W123" s="78"/>
      <c r="X123" s="64">
        <f>TAB_JUROS_U[[#This Row],[dt_eve_u]]- DT_CALCULO_C</f>
        <v>2993</v>
      </c>
      <c r="Y123" s="48" t="str">
        <f>"CORRECAO_JURS_C" &amp; TEXT(DT_CALCULO_C, "-AAAAMMDD") &amp; TEXT(TAB_JUROS_U[[#This Row],[DT_EVE]], "-AAAAMMDD")</f>
        <v>CORRECAO_JURS_C-20151228-20240308</v>
      </c>
      <c r="Z123" s="44">
        <f>IFERROR(VLOOKUP(TAB_JUROS_C[[#This Row],[Chave-CORC]],CORRECAO_JURS_C[],2, FALSE), 0)</f>
        <v>1</v>
      </c>
      <c r="AA12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47.037490308621749</v>
      </c>
      <c r="AB123" s="63">
        <f>(TIR_C/100 +1)^(TAB_JUROS_C[[#This Row],[DIAS_CORRIDOS]]/360)</f>
        <v>1.2243244748984656</v>
      </c>
      <c r="AC123" s="78">
        <f>IF(TAB_JUROS_C[[#This Row],[DIAS_CORRIDOS]]&lt;0, 0, TAB_JUROS_C[[#This Row],[V_FUT_C_JURS]]/TAB_JUROS_C[[#This Row],[VAR_DESCAP_C]])</f>
        <v>38.419137469683115</v>
      </c>
      <c r="AD123" s="78">
        <f>TAB_JUROS_U[[#This Row],[V_FUT_U_JURS CENARIO]]</f>
        <v>13.760315735885973</v>
      </c>
      <c r="AE123" s="124">
        <f>IF(TAB_JUROS_C[[#This Row],[DIAS_CORRIDOS]]&lt;0, 0, TAB_JUROS_C[[#This Row],[V_FUT_UTEIS]]/TAB_JUROS_C[[#This Row],[VAR_DESCAP_C]])</f>
        <v>11.239108600705812</v>
      </c>
      <c r="AF123" s="64"/>
    </row>
    <row r="124" spans="1:32">
      <c r="A124" s="82">
        <f t="shared" si="2"/>
        <v>100</v>
      </c>
      <c r="B124" s="24">
        <f>VLOOKUP($A124, CAD_JUROS[#Data], MATCH(B$24, CAD_JUROS[#Headers],0), FALSE)</f>
        <v>2</v>
      </c>
      <c r="C124" s="24" t="str">
        <f>VLOOKUP($A124, CAD_JUROS[#Data], MATCH(C$24, CAD_JUROS[#Headers],0), FALSE)</f>
        <v xml:space="preserve">JUROS SOBRE PRINCIPAL                             </v>
      </c>
      <c r="D124" s="36">
        <f>VLOOKUP($A124, CAD_JUROS[#Data], MATCH(D$24, CAD_JUROS[#Headers],0), FALSE)</f>
        <v>45390</v>
      </c>
      <c r="E124" s="48">
        <f>VLOOKUP($A124, CAD_JUROS[#Data], MATCH(E$24, CAD_JUROS[#Headers],0), FALSE)</f>
        <v>0</v>
      </c>
      <c r="F124" s="36">
        <f>VLOOKUP($A124, CAD_JUROS[#Data], MATCH(F$24, CAD_JUROS[#Headers],0), FALSE)</f>
        <v>45394</v>
      </c>
      <c r="G124" s="47">
        <f>WORKDAY(WORKDAY(TAB_JUROS_U[[#This Row],[DT_EVE]], -1, TAB_FERIADOS[FER_DATA]), 1, TAB_FERIADOS[FER_DATA])</f>
        <v>45390</v>
      </c>
      <c r="H124" s="75">
        <f>WORKDAY(WORKDAY(TAB_JUROS_U[[#This Row],[DT_LQDC_EVE]], -1, TAB_FERIADOS[FER_DATA]), 1, TAB_FERIADOS[FER_DATA])</f>
        <v>45394</v>
      </c>
      <c r="I124" s="48">
        <f>PU_EMISSAO - SUMIF(TAB_AMORTIZACAO_U[DT_EVE], "&lt;" &amp; TAB_JUROS_U[[#This Row],[DT_EVE]], TAB_AMORTIZACAO_U[V_PU_AMTC])</f>
        <v>24625.334974000041</v>
      </c>
      <c r="J124" s="48">
        <f>IFERROR(VLOOKUP(TAB_JUROS_U[[#This Row],[DT_EVE]], TAB_AMORTIZACAO_U[[DT_EVE]:[V_PU_AMTC]], 2, FALSE), 0)</f>
        <v>607.48238800000001</v>
      </c>
      <c r="K124" s="48">
        <f>NETWORKDAYS(DT_CALCULO_U, TAB_JUROS_U[[#This Row],[dt_eve_u]], TAB_FERIADOS[FER_DATA]) -1</f>
        <v>2075</v>
      </c>
      <c r="L124" s="48">
        <f>NETWORKDAYS(DT_CALCULO_U, TAB_JUROS_U[[#This Row],[dt_lqdc_eve_u]], TAB_FERIADOS[FER_DATA]) -1</f>
        <v>2079</v>
      </c>
      <c r="M124" s="48">
        <f>NETWORKDAYS(IF(ISTEXT(H123), DT_B_JURS, H123), TAB_JUROS_U[[#This Row],[dt_lqdc_eve_u]],  TAB_FERIADOS[FER_DATA]) -1</f>
        <v>20</v>
      </c>
      <c r="N124" s="123">
        <f>(TX_EMISSAO/100 +1)^(TAB_JUROS_U[[#This Row],[dias_periodo_u]]/252)</f>
        <v>1.0019616526860928</v>
      </c>
      <c r="O124" s="78">
        <f>(TIR_U/100 +1)^(TAB_JUROS_U[[#This Row],[Q_DIAS_U_PARC_TIR]]/252)</f>
        <v>1.2259744464339446</v>
      </c>
      <c r="P124" s="116" t="str">
        <f>"TX_CENARIO" &amp; TEXT(DT_CALCULO_C, "-AAAAMMDD") &amp; TEXT(TAB_JUROS_U[[#This Row],[DT_EVE]], "-AAAAMMDD")</f>
        <v>TX_CENARIO-20151228-20240408</v>
      </c>
      <c r="Q124" s="44">
        <f>IFERROR(VLOOKUP(TAB_JUROS_U[[#This Row],[Chave-CENARIO]],CENARIO[],2,FALSE), 0)</f>
        <v>16.38</v>
      </c>
      <c r="R124" s="116" t="str">
        <f>"CORRECAO_JURS_U" &amp; TEXT(DT_CALCULO_C, "-AAAAMMDD") &amp; TEXT(TAB_JUROS_U[[#This Row],[DT_EVE]], "-AAAAMMDD")</f>
        <v>CORRECAO_JURS_U-20151228-20240408</v>
      </c>
      <c r="S124" s="44">
        <f>IFERROR(VLOOKUP(TAB_JUROS_U[[#This Row],[Chave-CORC]],CORRECAO_JURS_U[],2, FALSE), 0)</f>
        <v>1.01223409</v>
      </c>
      <c r="T124" s="78">
        <f>MAX(0, (TAB_JUROS_U[[#This Row],[CUPOM_TIR]] -1) * IF(TAB_JUROS_U[[#This Row],[ID_T_EVE]]=1, TAB_JUROS_U[[#This Row],[PU_AMORT]], TAB_JUROS_U[[#This Row],[V_NOML_PCPL]]) * TAB_JUROS_U[[#This Row],[CORRECAO_U]])</f>
        <v>48.897338786179439</v>
      </c>
      <c r="U124" s="78">
        <f>MAX(0, TAB_JUROS_U[[#This Row],[V_FUT_U_JURS-01]]/((((TAB_JUROS_U[[#This Row],[TX_CENARIO]]/100 +1)^(1/252) -1) * PC_IDXR/100 +1)^TAB_JUROS_U[[#This Row],[Q_DIAS_U_PARC_TIR]]))</f>
        <v>13.989069004014121</v>
      </c>
      <c r="V124" s="78">
        <f>+TAB_JUROS_U[[#This Row],[V_FUT_U_JURS CENARIO]]/TAB_JUROS_U[[#This Row],[VAR_DESCAP_U]]</f>
        <v>11.410571439482162</v>
      </c>
      <c r="W124" s="78"/>
      <c r="X124" s="64">
        <f>TAB_JUROS_U[[#This Row],[dt_eve_u]]- DT_CALCULO_C</f>
        <v>3024</v>
      </c>
      <c r="Y124" s="48" t="str">
        <f>"CORRECAO_JURS_C" &amp; TEXT(DT_CALCULO_C, "-AAAAMMDD") &amp; TEXT(TAB_JUROS_U[[#This Row],[DT_EVE]], "-AAAAMMDD")</f>
        <v>CORRECAO_JURS_C-20151228-20240408</v>
      </c>
      <c r="Z124" s="44">
        <f>IFERROR(VLOOKUP(TAB_JUROS_C[[#This Row],[Chave-CORC]],CORRECAO_JURS_C[],2, FALSE), 0)</f>
        <v>1</v>
      </c>
      <c r="AA12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48.306354497682882</v>
      </c>
      <c r="AB124" s="63">
        <f>(TIR_C/100 +1)^(TAB_JUROS_C[[#This Row],[DIAS_CORRIDOS]]/360)</f>
        <v>1.2268936529767569</v>
      </c>
      <c r="AC124" s="78">
        <f>IF(TAB_JUROS_C[[#This Row],[DIAS_CORRIDOS]]&lt;0, 0, TAB_JUROS_C[[#This Row],[V_FUT_C_JURS]]/TAB_JUROS_C[[#This Row],[VAR_DESCAP_C]])</f>
        <v>39.372894611101252</v>
      </c>
      <c r="AD124" s="78">
        <f>TAB_JUROS_U[[#This Row],[V_FUT_U_JURS CENARIO]]</f>
        <v>13.989069004014121</v>
      </c>
      <c r="AE124" s="124">
        <f>IF(TAB_JUROS_C[[#This Row],[DIAS_CORRIDOS]]&lt;0, 0, TAB_JUROS_C[[#This Row],[V_FUT_UTEIS]]/TAB_JUROS_C[[#This Row],[VAR_DESCAP_C]])</f>
        <v>11.402022473645594</v>
      </c>
      <c r="AF124" s="64"/>
    </row>
    <row r="125" spans="1:32">
      <c r="A125" s="82">
        <f t="shared" si="2"/>
        <v>101</v>
      </c>
      <c r="B125" s="24">
        <f>VLOOKUP($A125, CAD_JUROS[#Data], MATCH(B$24, CAD_JUROS[#Headers],0), FALSE)</f>
        <v>2</v>
      </c>
      <c r="C125" s="24" t="str">
        <f>VLOOKUP($A125, CAD_JUROS[#Data], MATCH(C$24, CAD_JUROS[#Headers],0), FALSE)</f>
        <v xml:space="preserve">JUROS SOBRE PRINCIPAL                             </v>
      </c>
      <c r="D125" s="36">
        <f>VLOOKUP($A125, CAD_JUROS[#Data], MATCH(D$24, CAD_JUROS[#Headers],0), FALSE)</f>
        <v>45421</v>
      </c>
      <c r="E125" s="48">
        <f>VLOOKUP($A125, CAD_JUROS[#Data], MATCH(E$24, CAD_JUROS[#Headers],0), FALSE)</f>
        <v>0</v>
      </c>
      <c r="F125" s="36">
        <f>VLOOKUP($A125, CAD_JUROS[#Data], MATCH(F$24, CAD_JUROS[#Headers],0), FALSE)</f>
        <v>45427</v>
      </c>
      <c r="G125" s="47">
        <f>WORKDAY(WORKDAY(TAB_JUROS_U[[#This Row],[DT_EVE]], -1, TAB_FERIADOS[FER_DATA]), 1, TAB_FERIADOS[FER_DATA])</f>
        <v>45421</v>
      </c>
      <c r="H125" s="75">
        <f>WORKDAY(WORKDAY(TAB_JUROS_U[[#This Row],[DT_LQDC_EVE]], -1, TAB_FERIADOS[FER_DATA]), 1, TAB_FERIADOS[FER_DATA])</f>
        <v>45427</v>
      </c>
      <c r="I125" s="48">
        <f>PU_EMISSAO - SUMIF(TAB_AMORTIZACAO_U[DT_EVE], "&lt;" &amp; TAB_JUROS_U[[#This Row],[DT_EVE]], TAB_AMORTIZACAO_U[V_PU_AMTC])</f>
        <v>24017.852586000037</v>
      </c>
      <c r="J125" s="48">
        <f>IFERROR(VLOOKUP(TAB_JUROS_U[[#This Row],[DT_EVE]], TAB_AMORTIZACAO_U[[DT_EVE]:[V_PU_AMTC]], 2, FALSE), 0)</f>
        <v>595.61872600000004</v>
      </c>
      <c r="K125" s="48">
        <f>NETWORKDAYS(DT_CALCULO_U, TAB_JUROS_U[[#This Row],[dt_eve_u]], TAB_FERIADOS[FER_DATA]) -1</f>
        <v>2097</v>
      </c>
      <c r="L125" s="48">
        <f>NETWORKDAYS(DT_CALCULO_U, TAB_JUROS_U[[#This Row],[dt_lqdc_eve_u]], TAB_FERIADOS[FER_DATA]) -1</f>
        <v>2101</v>
      </c>
      <c r="M125" s="48">
        <f>NETWORKDAYS(IF(ISTEXT(H124), DT_B_JURS, H124), TAB_JUROS_U[[#This Row],[dt_lqdc_eve_u]],  TAB_FERIADOS[FER_DATA]) -1</f>
        <v>22</v>
      </c>
      <c r="N125" s="123">
        <f>(TX_EMISSAO/100 +1)^(TAB_JUROS_U[[#This Row],[dias_periodo_u]]/252)</f>
        <v>1.0021580294747356</v>
      </c>
      <c r="O125" s="78">
        <f>(TIR_U/100 +1)^(TAB_JUROS_U[[#This Row],[Q_DIAS_U_PARC_TIR]]/252)</f>
        <v>1.2286204206775786</v>
      </c>
      <c r="P125" s="116" t="str">
        <f>"TX_CENARIO" &amp; TEXT(DT_CALCULO_C, "-AAAAMMDD") &amp; TEXT(TAB_JUROS_U[[#This Row],[DT_EVE]], "-AAAAMMDD")</f>
        <v>TX_CENARIO-20151228-20240509</v>
      </c>
      <c r="Q125" s="44">
        <f>IFERROR(VLOOKUP(TAB_JUROS_U[[#This Row],[Chave-CENARIO]],CENARIO[],2,FALSE), 0)</f>
        <v>16.378799999999998</v>
      </c>
      <c r="R125" s="116" t="str">
        <f>"CORRECAO_JURS_U" &amp; TEXT(DT_CALCULO_C, "-AAAAMMDD") &amp; TEXT(TAB_JUROS_U[[#This Row],[DT_EVE]], "-AAAAMMDD")</f>
        <v>CORRECAO_JURS_U-20151228-20240509</v>
      </c>
      <c r="S125" s="44">
        <f>IFERROR(VLOOKUP(TAB_JUROS_U[[#This Row],[Chave-CORC]],CORRECAO_JURS_U[],2, FALSE), 0)</f>
        <v>1.0134657</v>
      </c>
      <c r="T125" s="78">
        <f>MAX(0, (TAB_JUROS_U[[#This Row],[CUPOM_TIR]] -1) * IF(TAB_JUROS_U[[#This Row],[ID_T_EVE]]=1, TAB_JUROS_U[[#This Row],[PU_AMORT]], TAB_JUROS_U[[#This Row],[V_NOML_PCPL]]) * TAB_JUROS_U[[#This Row],[CORRECAO_U]])</f>
        <v>52.529177645430465</v>
      </c>
      <c r="U125" s="78">
        <f>MAX(0, TAB_JUROS_U[[#This Row],[V_FUT_U_JURS-01]]/((((TAB_JUROS_U[[#This Row],[TX_CENARIO]]/100 +1)^(1/252) -1) * PC_IDXR/100 +1)^TAB_JUROS_U[[#This Row],[Q_DIAS_U_PARC_TIR]]))</f>
        <v>14.831676384533012</v>
      </c>
      <c r="V125" s="78">
        <f>+TAB_JUROS_U[[#This Row],[V_FUT_U_JURS CENARIO]]/TAB_JUROS_U[[#This Row],[VAR_DESCAP_U]]</f>
        <v>12.071813340326388</v>
      </c>
      <c r="W125" s="78"/>
      <c r="X125" s="64">
        <f>TAB_JUROS_U[[#This Row],[dt_eve_u]]- DT_CALCULO_C</f>
        <v>3055</v>
      </c>
      <c r="Y125" s="48" t="str">
        <f>"CORRECAO_JURS_C" &amp; TEXT(DT_CALCULO_C, "-AAAAMMDD") &amp; TEXT(TAB_JUROS_U[[#This Row],[DT_EVE]], "-AAAAMMDD")</f>
        <v>CORRECAO_JURS_C-20151228-20240509</v>
      </c>
      <c r="Z125" s="44">
        <f>IFERROR(VLOOKUP(TAB_JUROS_C[[#This Row],[Chave-CORC]],CORRECAO_JURS_C[],2, FALSE), 0)</f>
        <v>1</v>
      </c>
      <c r="AA12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51.831233800443826</v>
      </c>
      <c r="AB125" s="63">
        <f>(TIR_C/100 +1)^(TAB_JUROS_C[[#This Row],[DIAS_CORRIDOS]]/360)</f>
        <v>1.2294682223350017</v>
      </c>
      <c r="AC125" s="78">
        <f>IF(TAB_JUROS_C[[#This Row],[DIAS_CORRIDOS]]&lt;0, 0, TAB_JUROS_C[[#This Row],[V_FUT_C_JURS]]/TAB_JUROS_C[[#This Row],[VAR_DESCAP_C]])</f>
        <v>42.157440801524849</v>
      </c>
      <c r="AD125" s="78">
        <f>TAB_JUROS_U[[#This Row],[V_FUT_U_JURS CENARIO]]</f>
        <v>14.831676384533012</v>
      </c>
      <c r="AE125" s="124">
        <f>IF(TAB_JUROS_C[[#This Row],[DIAS_CORRIDOS]]&lt;0, 0, TAB_JUROS_C[[#This Row],[V_FUT_UTEIS]]/TAB_JUROS_C[[#This Row],[VAR_DESCAP_C]])</f>
        <v>12.063489006950292</v>
      </c>
      <c r="AF125" s="64"/>
    </row>
    <row r="126" spans="1:32">
      <c r="A126" s="82">
        <f t="shared" si="2"/>
        <v>102</v>
      </c>
      <c r="B126" s="24">
        <f>VLOOKUP($A126, CAD_JUROS[#Data], MATCH(B$24, CAD_JUROS[#Headers],0), FALSE)</f>
        <v>2</v>
      </c>
      <c r="C126" s="24" t="str">
        <f>VLOOKUP($A126, CAD_JUROS[#Data], MATCH(C$24, CAD_JUROS[#Headers],0), FALSE)</f>
        <v xml:space="preserve">JUROS SOBRE PRINCIPAL                             </v>
      </c>
      <c r="D126" s="36">
        <f>VLOOKUP($A126, CAD_JUROS[#Data], MATCH(D$24, CAD_JUROS[#Headers],0), FALSE)</f>
        <v>45453</v>
      </c>
      <c r="E126" s="48">
        <f>VLOOKUP($A126, CAD_JUROS[#Data], MATCH(E$24, CAD_JUROS[#Headers],0), FALSE)</f>
        <v>0</v>
      </c>
      <c r="F126" s="36">
        <f>VLOOKUP($A126, CAD_JUROS[#Data], MATCH(F$24, CAD_JUROS[#Headers],0), FALSE)</f>
        <v>45457</v>
      </c>
      <c r="G126" s="47">
        <f>WORKDAY(WORKDAY(TAB_JUROS_U[[#This Row],[DT_EVE]], -1, TAB_FERIADOS[FER_DATA]), 1, TAB_FERIADOS[FER_DATA])</f>
        <v>45453</v>
      </c>
      <c r="H126" s="75">
        <f>WORKDAY(WORKDAY(TAB_JUROS_U[[#This Row],[DT_LQDC_EVE]], -1, TAB_FERIADOS[FER_DATA]), 1, TAB_FERIADOS[FER_DATA])</f>
        <v>45457</v>
      </c>
      <c r="I126" s="48">
        <f>PU_EMISSAO - SUMIF(TAB_AMORTIZACAO_U[DT_EVE], "&lt;" &amp; TAB_JUROS_U[[#This Row],[DT_EVE]], TAB_AMORTIZACAO_U[V_PU_AMTC])</f>
        <v>23422.233860000037</v>
      </c>
      <c r="J126" s="48">
        <f>IFERROR(VLOOKUP(TAB_JUROS_U[[#This Row],[DT_EVE]], TAB_AMORTIZACAO_U[[DT_EVE]:[V_PU_AMTC]], 2, FALSE), 0)</f>
        <v>591.341138</v>
      </c>
      <c r="K126" s="48">
        <f>NETWORKDAYS(DT_CALCULO_U, TAB_JUROS_U[[#This Row],[dt_eve_u]], TAB_FERIADOS[FER_DATA]) -1</f>
        <v>2118</v>
      </c>
      <c r="L126" s="48">
        <f>NETWORKDAYS(DT_CALCULO_U, TAB_JUROS_U[[#This Row],[dt_lqdc_eve_u]], TAB_FERIADOS[FER_DATA]) -1</f>
        <v>2122</v>
      </c>
      <c r="M126" s="48">
        <f>NETWORKDAYS(IF(ISTEXT(H125), DT_B_JURS, H125), TAB_JUROS_U[[#This Row],[dt_lqdc_eve_u]],  TAB_FERIADOS[FER_DATA]) -1</f>
        <v>21</v>
      </c>
      <c r="N126" s="123">
        <f>(TX_EMISSAO/100 +1)^(TAB_JUROS_U[[#This Row],[dias_periodo_u]]/252)</f>
        <v>1.0020598362698427</v>
      </c>
      <c r="O126" s="78">
        <f>(TIR_U/100 +1)^(TAB_JUROS_U[[#This Row],[Q_DIAS_U_PARC_TIR]]/252)</f>
        <v>1.2311514504298016</v>
      </c>
      <c r="P126" s="116" t="str">
        <f>"TX_CENARIO" &amp; TEXT(DT_CALCULO_C, "-AAAAMMDD") &amp; TEXT(TAB_JUROS_U[[#This Row],[DT_EVE]], "-AAAAMMDD")</f>
        <v>TX_CENARIO-20151228-20240610</v>
      </c>
      <c r="Q126" s="44">
        <f>IFERROR(VLOOKUP(TAB_JUROS_U[[#This Row],[Chave-CENARIO]],CENARIO[],2,FALSE), 0)</f>
        <v>16.377700000000001</v>
      </c>
      <c r="R126" s="116" t="str">
        <f>"CORRECAO_JURS_U" &amp; TEXT(DT_CALCULO_C, "-AAAAMMDD") &amp; TEXT(TAB_JUROS_U[[#This Row],[DT_EVE]], "-AAAAMMDD")</f>
        <v>CORRECAO_JURS_U-20151228-20240610</v>
      </c>
      <c r="S126" s="44">
        <f>IFERROR(VLOOKUP(TAB_JUROS_U[[#This Row],[Chave-CORC]],CORRECAO_JURS_U[],2, FALSE), 0)</f>
        <v>1.01284971</v>
      </c>
      <c r="T126" s="78">
        <f>MAX(0, (TAB_JUROS_U[[#This Row],[CUPOM_TIR]] -1) * IF(TAB_JUROS_U[[#This Row],[ID_T_EVE]]=1, TAB_JUROS_U[[#This Row],[PU_AMORT]], TAB_JUROS_U[[#This Row],[V_NOML_PCPL]]) * TAB_JUROS_U[[#This Row],[CORRECAO_U]])</f>
        <v>48.865913507944974</v>
      </c>
      <c r="U126" s="78">
        <f>MAX(0, TAB_JUROS_U[[#This Row],[V_FUT_U_JURS-01]]/((((TAB_JUROS_U[[#This Row],[TX_CENARIO]]/100 +1)^(1/252) -1) * PC_IDXR/100 +1)^TAB_JUROS_U[[#This Row],[Q_DIAS_U_PARC_TIR]]))</f>
        <v>13.625132599474062</v>
      </c>
      <c r="V126" s="78">
        <f>+TAB_JUROS_U[[#This Row],[V_FUT_U_JURS CENARIO]]/TAB_JUROS_U[[#This Row],[VAR_DESCAP_U]]</f>
        <v>11.066983346945216</v>
      </c>
      <c r="W126" s="78"/>
      <c r="X126" s="64">
        <f>TAB_JUROS_U[[#This Row],[dt_eve_u]]- DT_CALCULO_C</f>
        <v>3087</v>
      </c>
      <c r="Y126" s="48" t="str">
        <f>"CORRECAO_JURS_C" &amp; TEXT(DT_CALCULO_C, "-AAAAMMDD") &amp; TEXT(TAB_JUROS_U[[#This Row],[DT_EVE]], "-AAAAMMDD")</f>
        <v>CORRECAO_JURS_C-20151228-20240610</v>
      </c>
      <c r="Z126" s="44">
        <f>IFERROR(VLOOKUP(TAB_JUROS_C[[#This Row],[Chave-CORC]],CORRECAO_JURS_C[],2, FALSE), 0)</f>
        <v>1</v>
      </c>
      <c r="AA12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48.245966825566818</v>
      </c>
      <c r="AB126" s="63">
        <f>(TIR_C/100 +1)^(TAB_JUROS_C[[#This Row],[DIAS_CORRIDOS]]/360)</f>
        <v>1.2321315092654925</v>
      </c>
      <c r="AC126" s="78">
        <f>IF(TAB_JUROS_C[[#This Row],[DIAS_CORRIDOS]]&lt;0, 0, TAB_JUROS_C[[#This Row],[V_FUT_C_JURS]]/TAB_JUROS_C[[#This Row],[VAR_DESCAP_C]])</f>
        <v>39.156507615268737</v>
      </c>
      <c r="AD126" s="78">
        <f>TAB_JUROS_U[[#This Row],[V_FUT_U_JURS CENARIO]]</f>
        <v>13.625132599474062</v>
      </c>
      <c r="AE126" s="124">
        <f>IF(TAB_JUROS_C[[#This Row],[DIAS_CORRIDOS]]&lt;0, 0, TAB_JUROS_C[[#This Row],[V_FUT_UTEIS]]/TAB_JUROS_C[[#This Row],[VAR_DESCAP_C]])</f>
        <v>11.058180475878244</v>
      </c>
      <c r="AF126" s="64"/>
    </row>
    <row r="127" spans="1:32">
      <c r="A127" s="82">
        <f t="shared" si="2"/>
        <v>103</v>
      </c>
      <c r="B127" s="24">
        <f>VLOOKUP($A127, CAD_JUROS[#Data], MATCH(B$24, CAD_JUROS[#Headers],0), FALSE)</f>
        <v>2</v>
      </c>
      <c r="C127" s="24" t="str">
        <f>VLOOKUP($A127, CAD_JUROS[#Data], MATCH(C$24, CAD_JUROS[#Headers],0), FALSE)</f>
        <v xml:space="preserve">JUROS SOBRE PRINCIPAL                             </v>
      </c>
      <c r="D127" s="36">
        <f>VLOOKUP($A127, CAD_JUROS[#Data], MATCH(D$24, CAD_JUROS[#Headers],0), FALSE)</f>
        <v>45481</v>
      </c>
      <c r="E127" s="48">
        <f>VLOOKUP($A127, CAD_JUROS[#Data], MATCH(E$24, CAD_JUROS[#Headers],0), FALSE)</f>
        <v>0</v>
      </c>
      <c r="F127" s="36">
        <f>VLOOKUP($A127, CAD_JUROS[#Data], MATCH(F$24, CAD_JUROS[#Headers],0), FALSE)</f>
        <v>45485</v>
      </c>
      <c r="G127" s="47">
        <f>WORKDAY(WORKDAY(TAB_JUROS_U[[#This Row],[DT_EVE]], -1, TAB_FERIADOS[FER_DATA]), 1, TAB_FERIADOS[FER_DATA])</f>
        <v>45481</v>
      </c>
      <c r="H127" s="75">
        <f>WORKDAY(WORKDAY(TAB_JUROS_U[[#This Row],[DT_LQDC_EVE]], -1, TAB_FERIADOS[FER_DATA]), 1, TAB_FERIADOS[FER_DATA])</f>
        <v>45485</v>
      </c>
      <c r="I127" s="48">
        <f>PU_EMISSAO - SUMIF(TAB_AMORTIZACAO_U[DT_EVE], "&lt;" &amp; TAB_JUROS_U[[#This Row],[DT_EVE]], TAB_AMORTIZACAO_U[V_PU_AMTC])</f>
        <v>22830.892722000033</v>
      </c>
      <c r="J127" s="48">
        <f>IFERROR(VLOOKUP(TAB_JUROS_U[[#This Row],[DT_EVE]], TAB_AMORTIZACAO_U[[DT_EVE]:[V_PU_AMTC]], 2, FALSE), 0)</f>
        <v>587.41603799999996</v>
      </c>
      <c r="K127" s="48">
        <f>NETWORKDAYS(DT_CALCULO_U, TAB_JUROS_U[[#This Row],[dt_eve_u]], TAB_FERIADOS[FER_DATA]) -1</f>
        <v>2138</v>
      </c>
      <c r="L127" s="48">
        <f>NETWORKDAYS(DT_CALCULO_U, TAB_JUROS_U[[#This Row],[dt_lqdc_eve_u]], TAB_FERIADOS[FER_DATA]) -1</f>
        <v>2142</v>
      </c>
      <c r="M127" s="48">
        <f>NETWORKDAYS(IF(ISTEXT(H126), DT_B_JURS, H126), TAB_JUROS_U[[#This Row],[dt_lqdc_eve_u]],  TAB_FERIADOS[FER_DATA]) -1</f>
        <v>20</v>
      </c>
      <c r="N127" s="123">
        <f>(TX_EMISSAO/100 +1)^(TAB_JUROS_U[[#This Row],[dias_periodo_u]]/252)</f>
        <v>1.0019616526860928</v>
      </c>
      <c r="O127" s="78">
        <f>(TIR_U/100 +1)^(TAB_JUROS_U[[#This Row],[Q_DIAS_U_PARC_TIR]]/252)</f>
        <v>1.2335668023444135</v>
      </c>
      <c r="P127" s="116" t="str">
        <f>"TX_CENARIO" &amp; TEXT(DT_CALCULO_C, "-AAAAMMDD") &amp; TEXT(TAB_JUROS_U[[#This Row],[DT_EVE]], "-AAAAMMDD")</f>
        <v>TX_CENARIO-20151228-20240708</v>
      </c>
      <c r="Q127" s="44">
        <f>IFERROR(VLOOKUP(TAB_JUROS_U[[#This Row],[Chave-CENARIO]],CENARIO[],2,FALSE), 0)</f>
        <v>16.3766</v>
      </c>
      <c r="R127" s="116" t="str">
        <f>"CORRECAO_JURS_U" &amp; TEXT(DT_CALCULO_C, "-AAAAMMDD") &amp; TEXT(TAB_JUROS_U[[#This Row],[DT_EVE]], "-AAAAMMDD")</f>
        <v>CORRECAO_JURS_U-20151228-20240708</v>
      </c>
      <c r="S127" s="44">
        <f>IFERROR(VLOOKUP(TAB_JUROS_U[[#This Row],[Chave-CORC]],CORRECAO_JURS_U[],2, FALSE), 0)</f>
        <v>1.0122325400000001</v>
      </c>
      <c r="T127" s="78">
        <f>MAX(0, (TAB_JUROS_U[[#This Row],[CUPOM_TIR]] -1) * IF(TAB_JUROS_U[[#This Row],[ID_T_EVE]]=1, TAB_JUROS_U[[#This Row],[PU_AMORT]], TAB_JUROS_U[[#This Row],[V_NOML_PCPL]]) * TAB_JUROS_U[[#This Row],[CORRECAO_U]])</f>
        <v>45.334132020440897</v>
      </c>
      <c r="U127" s="78">
        <f>MAX(0, TAB_JUROS_U[[#This Row],[V_FUT_U_JURS-01]]/((((TAB_JUROS_U[[#This Row],[TX_CENARIO]]/100 +1)^(1/252) -1) * PC_IDXR/100 +1)^TAB_JUROS_U[[#This Row],[Q_DIAS_U_PARC_TIR]]))</f>
        <v>12.490135597314765</v>
      </c>
      <c r="V127" s="78">
        <f>+TAB_JUROS_U[[#This Row],[V_FUT_U_JURS CENARIO]]/TAB_JUROS_U[[#This Row],[VAR_DESCAP_U]]</f>
        <v>10.125220274716426</v>
      </c>
      <c r="W127" s="78"/>
      <c r="X127" s="64">
        <f>TAB_JUROS_U[[#This Row],[dt_eve_u]]- DT_CALCULO_C</f>
        <v>3115</v>
      </c>
      <c r="Y127" s="48" t="str">
        <f>"CORRECAO_JURS_C" &amp; TEXT(DT_CALCULO_C, "-AAAAMMDD") &amp; TEXT(TAB_JUROS_U[[#This Row],[DT_EVE]], "-AAAAMMDD")</f>
        <v>CORRECAO_JURS_C-20151228-20240708</v>
      </c>
      <c r="Z127" s="44">
        <f>IFERROR(VLOOKUP(TAB_JUROS_C[[#This Row],[Chave-CORC]],CORRECAO_JURS_C[],2, FALSE), 0)</f>
        <v>1</v>
      </c>
      <c r="AA12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44.7862820340086</v>
      </c>
      <c r="AB127" s="63">
        <f>(TIR_C/100 +1)^(TAB_JUROS_C[[#This Row],[DIAS_CORRIDOS]]/360)</f>
        <v>1.2344666174824808</v>
      </c>
      <c r="AC127" s="78">
        <f>IF(TAB_JUROS_C[[#This Row],[DIAS_CORRIDOS]]&lt;0, 0, TAB_JUROS_C[[#This Row],[V_FUT_C_JURS]]/TAB_JUROS_C[[#This Row],[VAR_DESCAP_C]])</f>
        <v>36.279864841824448</v>
      </c>
      <c r="AD127" s="78">
        <f>TAB_JUROS_U[[#This Row],[V_FUT_U_JURS CENARIO]]</f>
        <v>12.490135597314765</v>
      </c>
      <c r="AE127" s="124">
        <f>IF(TAB_JUROS_C[[#This Row],[DIAS_CORRIDOS]]&lt;0, 0, TAB_JUROS_C[[#This Row],[V_FUT_UTEIS]]/TAB_JUROS_C[[#This Row],[VAR_DESCAP_C]])</f>
        <v>10.117839899783293</v>
      </c>
      <c r="AF127" s="64"/>
    </row>
    <row r="128" spans="1:32">
      <c r="A128" s="82">
        <f t="shared" si="2"/>
        <v>104</v>
      </c>
      <c r="B128" s="24">
        <f>VLOOKUP($A128, CAD_JUROS[#Data], MATCH(B$24, CAD_JUROS[#Headers],0), FALSE)</f>
        <v>2</v>
      </c>
      <c r="C128" s="24" t="str">
        <f>VLOOKUP($A128, CAD_JUROS[#Data], MATCH(C$24, CAD_JUROS[#Headers],0), FALSE)</f>
        <v xml:space="preserve">JUROS SOBRE PRINCIPAL                             </v>
      </c>
      <c r="D128" s="36">
        <f>VLOOKUP($A128, CAD_JUROS[#Data], MATCH(D$24, CAD_JUROS[#Headers],0), FALSE)</f>
        <v>45512</v>
      </c>
      <c r="E128" s="48">
        <f>VLOOKUP($A128, CAD_JUROS[#Data], MATCH(E$24, CAD_JUROS[#Headers],0), FALSE)</f>
        <v>0</v>
      </c>
      <c r="F128" s="36">
        <f>VLOOKUP($A128, CAD_JUROS[#Data], MATCH(F$24, CAD_JUROS[#Headers],0), FALSE)</f>
        <v>45518</v>
      </c>
      <c r="G128" s="47">
        <f>WORKDAY(WORKDAY(TAB_JUROS_U[[#This Row],[DT_EVE]], -1, TAB_FERIADOS[FER_DATA]), 1, TAB_FERIADOS[FER_DATA])</f>
        <v>45512</v>
      </c>
      <c r="H128" s="75">
        <f>WORKDAY(WORKDAY(TAB_JUROS_U[[#This Row],[DT_LQDC_EVE]], -1, TAB_FERIADOS[FER_DATA]), 1, TAB_FERIADOS[FER_DATA])</f>
        <v>45518</v>
      </c>
      <c r="I128" s="48">
        <f>PU_EMISSAO - SUMIF(TAB_AMORTIZACAO_U[DT_EVE], "&lt;" &amp; TAB_JUROS_U[[#This Row],[DT_EVE]], TAB_AMORTIZACAO_U[V_PU_AMTC])</f>
        <v>22243.476684000037</v>
      </c>
      <c r="J128" s="48">
        <f>IFERROR(VLOOKUP(TAB_JUROS_U[[#This Row],[DT_EVE]], TAB_AMORTIZACAO_U[[DT_EVE]:[V_PU_AMTC]], 2, FALSE), 0)</f>
        <v>573.61477600000001</v>
      </c>
      <c r="K128" s="48">
        <f>NETWORKDAYS(DT_CALCULO_U, TAB_JUROS_U[[#This Row],[dt_eve_u]], TAB_FERIADOS[FER_DATA]) -1</f>
        <v>2161</v>
      </c>
      <c r="L128" s="48">
        <f>NETWORKDAYS(DT_CALCULO_U, TAB_JUROS_U[[#This Row],[dt_lqdc_eve_u]], TAB_FERIADOS[FER_DATA]) -1</f>
        <v>2165</v>
      </c>
      <c r="M128" s="48">
        <f>NETWORKDAYS(IF(ISTEXT(H127), DT_B_JURS, H127), TAB_JUROS_U[[#This Row],[dt_lqdc_eve_u]],  TAB_FERIADOS[FER_DATA]) -1</f>
        <v>23</v>
      </c>
      <c r="N128" s="123">
        <f>(TX_EMISSAO/100 +1)^(TAB_JUROS_U[[#This Row],[dias_periodo_u]]/252)</f>
        <v>1.0022562323017139</v>
      </c>
      <c r="O128" s="78">
        <f>(TIR_U/100 +1)^(TAB_JUROS_U[[#This Row],[Q_DIAS_U_PARC_TIR]]/252)</f>
        <v>1.2363503157054359</v>
      </c>
      <c r="P128" s="116" t="str">
        <f>"TX_CENARIO" &amp; TEXT(DT_CALCULO_C, "-AAAAMMDD") &amp; TEXT(TAB_JUROS_U[[#This Row],[DT_EVE]], "-AAAAMMDD")</f>
        <v>TX_CENARIO-20151228-20240808</v>
      </c>
      <c r="Q128" s="44">
        <f>IFERROR(VLOOKUP(TAB_JUROS_U[[#This Row],[Chave-CENARIO]],CENARIO[],2,FALSE), 0)</f>
        <v>16.375499999999999</v>
      </c>
      <c r="R128" s="116" t="str">
        <f>"CORRECAO_JURS_U" &amp; TEXT(DT_CALCULO_C, "-AAAAMMDD") &amp; TEXT(TAB_JUROS_U[[#This Row],[DT_EVE]], "-AAAAMMDD")</f>
        <v>CORRECAO_JURS_U-20151228-20240808</v>
      </c>
      <c r="S128" s="44">
        <f>IFERROR(VLOOKUP(TAB_JUROS_U[[#This Row],[Chave-CORC]],CORRECAO_JURS_U[],2, FALSE), 0)</f>
        <v>1.01407493</v>
      </c>
      <c r="T128" s="78">
        <f>MAX(0, (TAB_JUROS_U[[#This Row],[CUPOM_TIR]] -1) * IF(TAB_JUROS_U[[#This Row],[ID_T_EVE]]=1, TAB_JUROS_U[[#This Row],[PU_AMORT]], TAB_JUROS_U[[#This Row],[V_NOML_PCPL]]) * TAB_JUROS_U[[#This Row],[CORRECAO_U]])</f>
        <v>50.892821375960168</v>
      </c>
      <c r="U128" s="78">
        <f>MAX(0, TAB_JUROS_U[[#This Row],[V_FUT_U_JURS-01]]/((((TAB_JUROS_U[[#This Row],[TX_CENARIO]]/100 +1)^(1/252) -1) * PC_IDXR/100 +1)^TAB_JUROS_U[[#This Row],[Q_DIAS_U_PARC_TIR]]))</f>
        <v>13.829997270987256</v>
      </c>
      <c r="V128" s="78">
        <f>+TAB_JUROS_U[[#This Row],[V_FUT_U_JURS CENARIO]]/TAB_JUROS_U[[#This Row],[VAR_DESCAP_U]]</f>
        <v>11.186147724721652</v>
      </c>
      <c r="W128" s="78"/>
      <c r="X128" s="64">
        <f>TAB_JUROS_U[[#This Row],[dt_eve_u]]- DT_CALCULO_C</f>
        <v>3146</v>
      </c>
      <c r="Y128" s="48" t="str">
        <f>"CORRECAO_JURS_C" &amp; TEXT(DT_CALCULO_C, "-AAAAMMDD") &amp; TEXT(TAB_JUROS_U[[#This Row],[DT_EVE]], "-AAAAMMDD")</f>
        <v>CORRECAO_JURS_C-20151228-20240808</v>
      </c>
      <c r="Z128" s="44">
        <f>IFERROR(VLOOKUP(TAB_JUROS_C[[#This Row],[Chave-CORC]],CORRECAO_JURS_C[],2, FALSE), 0)</f>
        <v>1</v>
      </c>
      <c r="AA12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50.186450596860887</v>
      </c>
      <c r="AB128" s="63">
        <f>(TIR_C/100 +1)^(TAB_JUROS_C[[#This Row],[DIAS_CORRIDOS]]/360)</f>
        <v>1.2370570782933548</v>
      </c>
      <c r="AC128" s="78">
        <f>IF(TAB_JUROS_C[[#This Row],[DIAS_CORRIDOS]]&lt;0, 0, TAB_JUROS_C[[#This Row],[V_FUT_C_JURS]]/TAB_JUROS_C[[#This Row],[VAR_DESCAP_C]])</f>
        <v>40.569227950336909</v>
      </c>
      <c r="AD128" s="78">
        <f>TAB_JUROS_U[[#This Row],[V_FUT_U_JURS CENARIO]]</f>
        <v>13.829997270987256</v>
      </c>
      <c r="AE128" s="124">
        <f>IF(TAB_JUROS_C[[#This Row],[DIAS_CORRIDOS]]&lt;0, 0, TAB_JUROS_C[[#This Row],[V_FUT_UTEIS]]/TAB_JUROS_C[[#This Row],[VAR_DESCAP_C]])</f>
        <v>11.179756790258324</v>
      </c>
      <c r="AF128" s="64"/>
    </row>
    <row r="129" spans="1:32">
      <c r="A129" s="82">
        <f t="shared" si="2"/>
        <v>105</v>
      </c>
      <c r="B129" s="24">
        <f>VLOOKUP($A129, CAD_JUROS[#Data], MATCH(B$24, CAD_JUROS[#Headers],0), FALSE)</f>
        <v>2</v>
      </c>
      <c r="C129" s="24" t="str">
        <f>VLOOKUP($A129, CAD_JUROS[#Data], MATCH(C$24, CAD_JUROS[#Headers],0), FALSE)</f>
        <v xml:space="preserve">JUROS SOBRE PRINCIPAL                             </v>
      </c>
      <c r="D129" s="36">
        <f>VLOOKUP($A129, CAD_JUROS[#Data], MATCH(D$24, CAD_JUROS[#Headers],0), FALSE)</f>
        <v>45544</v>
      </c>
      <c r="E129" s="48">
        <f>VLOOKUP($A129, CAD_JUROS[#Data], MATCH(E$24, CAD_JUROS[#Headers],0), FALSE)</f>
        <v>0</v>
      </c>
      <c r="F129" s="36">
        <f>VLOOKUP($A129, CAD_JUROS[#Data], MATCH(F$24, CAD_JUROS[#Headers],0), FALSE)</f>
        <v>45548</v>
      </c>
      <c r="G129" s="47">
        <f>WORKDAY(WORKDAY(TAB_JUROS_U[[#This Row],[DT_EVE]], -1, TAB_FERIADOS[FER_DATA]), 1, TAB_FERIADOS[FER_DATA])</f>
        <v>45544</v>
      </c>
      <c r="H129" s="75">
        <f>WORKDAY(WORKDAY(TAB_JUROS_U[[#This Row],[DT_LQDC_EVE]], -1, TAB_FERIADOS[FER_DATA]), 1, TAB_FERIADOS[FER_DATA])</f>
        <v>45548</v>
      </c>
      <c r="I129" s="48">
        <f>PU_EMISSAO - SUMIF(TAB_AMORTIZACAO_U[DT_EVE], "&lt;" &amp; TAB_JUROS_U[[#This Row],[DT_EVE]], TAB_AMORTIZACAO_U[V_PU_AMTC])</f>
        <v>21669.861908000035</v>
      </c>
      <c r="J129" s="48">
        <f>IFERROR(VLOOKUP(TAB_JUROS_U[[#This Row],[DT_EVE]], TAB_AMORTIZACAO_U[[DT_EVE]:[V_PU_AMTC]], 2, FALSE), 0)</f>
        <v>569.11558300000002</v>
      </c>
      <c r="K129" s="48">
        <f>NETWORKDAYS(DT_CALCULO_U, TAB_JUROS_U[[#This Row],[dt_eve_u]], TAB_FERIADOS[FER_DATA]) -1</f>
        <v>2183</v>
      </c>
      <c r="L129" s="48">
        <f>NETWORKDAYS(DT_CALCULO_U, TAB_JUROS_U[[#This Row],[dt_lqdc_eve_u]], TAB_FERIADOS[FER_DATA]) -1</f>
        <v>2187</v>
      </c>
      <c r="M129" s="48">
        <f>NETWORKDAYS(IF(ISTEXT(H128), DT_B_JURS, H128), TAB_JUROS_U[[#This Row],[dt_lqdc_eve_u]],  TAB_FERIADOS[FER_DATA]) -1</f>
        <v>22</v>
      </c>
      <c r="N129" s="123">
        <f>(TX_EMISSAO/100 +1)^(TAB_JUROS_U[[#This Row],[dias_periodo_u]]/252)</f>
        <v>1.0021580294747356</v>
      </c>
      <c r="O129" s="78">
        <f>(TIR_U/100 +1)^(TAB_JUROS_U[[#This Row],[Q_DIAS_U_PARC_TIR]]/252)</f>
        <v>1.2390186837949835</v>
      </c>
      <c r="P129" s="116" t="str">
        <f>"TX_CENARIO" &amp; TEXT(DT_CALCULO_C, "-AAAAMMDD") &amp; TEXT(TAB_JUROS_U[[#This Row],[DT_EVE]], "-AAAAMMDD")</f>
        <v>TX_CENARIO-20151228-20240909</v>
      </c>
      <c r="Q129" s="44">
        <f>IFERROR(VLOOKUP(TAB_JUROS_U[[#This Row],[Chave-CENARIO]],CENARIO[],2,FALSE), 0)</f>
        <v>16.374500000000001</v>
      </c>
      <c r="R129" s="116" t="str">
        <f>"CORRECAO_JURS_U" &amp; TEXT(DT_CALCULO_C, "-AAAAMMDD") &amp; TEXT(TAB_JUROS_U[[#This Row],[DT_EVE]], "-AAAAMMDD")</f>
        <v>CORRECAO_JURS_U-20151228-20240909</v>
      </c>
      <c r="S129" s="44">
        <f>IFERROR(VLOOKUP(TAB_JUROS_U[[#This Row],[Chave-CORC]],CORRECAO_JURS_U[],2, FALSE), 0)</f>
        <v>1.01345888</v>
      </c>
      <c r="T129" s="78">
        <f>MAX(0, (TAB_JUROS_U[[#This Row],[CUPOM_TIR]] -1) * IF(TAB_JUROS_U[[#This Row],[ID_T_EVE]]=1, TAB_JUROS_U[[#This Row],[PU_AMORT]], TAB_JUROS_U[[#This Row],[V_NOML_PCPL]]) * TAB_JUROS_U[[#This Row],[CORRECAO_U]])</f>
        <v>47.393594476579409</v>
      </c>
      <c r="U129" s="78">
        <f>MAX(0, TAB_JUROS_U[[#This Row],[V_FUT_U_JURS-01]]/((((TAB_JUROS_U[[#This Row],[TX_CENARIO]]/100 +1)^(1/252) -1) * PC_IDXR/100 +1)^TAB_JUROS_U[[#This Row],[Q_DIAS_U_PARC_TIR]]))</f>
        <v>12.710650675461455</v>
      </c>
      <c r="V129" s="78">
        <f>+TAB_JUROS_U[[#This Row],[V_FUT_U_JURS CENARIO]]/TAB_JUROS_U[[#This Row],[VAR_DESCAP_U]]</f>
        <v>10.258643264789255</v>
      </c>
      <c r="W129" s="78"/>
      <c r="X129" s="64">
        <f>TAB_JUROS_U[[#This Row],[dt_eve_u]]- DT_CALCULO_C</f>
        <v>3178</v>
      </c>
      <c r="Y129" s="48" t="str">
        <f>"CORRECAO_JURS_C" &amp; TEXT(DT_CALCULO_C, "-AAAAMMDD") &amp; TEXT(TAB_JUROS_U[[#This Row],[DT_EVE]], "-AAAAMMDD")</f>
        <v>CORRECAO_JURS_C-20151228-20240909</v>
      </c>
      <c r="Z129" s="44">
        <f>IFERROR(VLOOKUP(TAB_JUROS_C[[#This Row],[Chave-CORC]],CORRECAO_JURS_C[],2, FALSE), 0)</f>
        <v>1</v>
      </c>
      <c r="AA12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46.76420071091529</v>
      </c>
      <c r="AB129" s="63">
        <f>(TIR_C/100 +1)^(TAB_JUROS_C[[#This Row],[DIAS_CORRIDOS]]/360)</f>
        <v>1.2397368042830454</v>
      </c>
      <c r="AC129" s="78">
        <f>IF(TAB_JUROS_C[[#This Row],[DIAS_CORRIDOS]]&lt;0, 0, TAB_JUROS_C[[#This Row],[V_FUT_C_JURS]]/TAB_JUROS_C[[#This Row],[VAR_DESCAP_C]])</f>
        <v>37.721071560797604</v>
      </c>
      <c r="AD129" s="78">
        <f>TAB_JUROS_U[[#This Row],[V_FUT_U_JURS CENARIO]]</f>
        <v>12.710650675461455</v>
      </c>
      <c r="AE129" s="124">
        <f>IF(TAB_JUROS_C[[#This Row],[DIAS_CORRIDOS]]&lt;0, 0, TAB_JUROS_C[[#This Row],[V_FUT_UTEIS]]/TAB_JUROS_C[[#This Row],[VAR_DESCAP_C]])</f>
        <v>10.252700921315453</v>
      </c>
      <c r="AF129" s="64"/>
    </row>
    <row r="130" spans="1:32">
      <c r="A130" s="82">
        <f t="shared" ref="A130:A168" si="3">+A129+1</f>
        <v>106</v>
      </c>
      <c r="B130" s="24">
        <f>VLOOKUP($A130, CAD_JUROS[#Data], MATCH(B$24, CAD_JUROS[#Headers],0), FALSE)</f>
        <v>2</v>
      </c>
      <c r="C130" s="24" t="str">
        <f>VLOOKUP($A130, CAD_JUROS[#Data], MATCH(C$24, CAD_JUROS[#Headers],0), FALSE)</f>
        <v xml:space="preserve">JUROS SOBRE PRINCIPAL                             </v>
      </c>
      <c r="D130" s="36">
        <f>VLOOKUP($A130, CAD_JUROS[#Data], MATCH(D$24, CAD_JUROS[#Headers],0), FALSE)</f>
        <v>45573</v>
      </c>
      <c r="E130" s="48">
        <f>VLOOKUP($A130, CAD_JUROS[#Data], MATCH(E$24, CAD_JUROS[#Headers],0), FALSE)</f>
        <v>0</v>
      </c>
      <c r="F130" s="36">
        <f>VLOOKUP($A130, CAD_JUROS[#Data], MATCH(F$24, CAD_JUROS[#Headers],0), FALSE)</f>
        <v>45579</v>
      </c>
      <c r="G130" s="47">
        <f>WORKDAY(WORKDAY(TAB_JUROS_U[[#This Row],[DT_EVE]], -1, TAB_FERIADOS[FER_DATA]), 1, TAB_FERIADOS[FER_DATA])</f>
        <v>45573</v>
      </c>
      <c r="H130" s="75">
        <f>WORKDAY(WORKDAY(TAB_JUROS_U[[#This Row],[DT_LQDC_EVE]], -1, TAB_FERIADOS[FER_DATA]), 1, TAB_FERIADOS[FER_DATA])</f>
        <v>45579</v>
      </c>
      <c r="I130" s="48">
        <f>PU_EMISSAO - SUMIF(TAB_AMORTIZACAO_U[DT_EVE], "&lt;" &amp; TAB_JUROS_U[[#This Row],[DT_EVE]], TAB_AMORTIZACAO_U[V_PU_AMTC])</f>
        <v>21100.746325000029</v>
      </c>
      <c r="J130" s="48">
        <f>IFERROR(VLOOKUP(TAB_JUROS_U[[#This Row],[DT_EVE]], TAB_AMORTIZACAO_U[[DT_EVE]:[V_PU_AMTC]], 2, FALSE), 0)</f>
        <v>564.93028100000004</v>
      </c>
      <c r="K130" s="48">
        <f>NETWORKDAYS(DT_CALCULO_U, TAB_JUROS_U[[#This Row],[dt_eve_u]], TAB_FERIADOS[FER_DATA]) -1</f>
        <v>2204</v>
      </c>
      <c r="L130" s="48">
        <f>NETWORKDAYS(DT_CALCULO_U, TAB_JUROS_U[[#This Row],[dt_lqdc_eve_u]], TAB_FERIADOS[FER_DATA]) -1</f>
        <v>2208</v>
      </c>
      <c r="M130" s="48">
        <f>NETWORKDAYS(IF(ISTEXT(H129), DT_B_JURS, H129), TAB_JUROS_U[[#This Row],[dt_lqdc_eve_u]],  TAB_FERIADOS[FER_DATA]) -1</f>
        <v>21</v>
      </c>
      <c r="N130" s="123">
        <f>(TX_EMISSAO/100 +1)^(TAB_JUROS_U[[#This Row],[dias_periodo_u]]/252)</f>
        <v>1.0020598362698427</v>
      </c>
      <c r="O130" s="78">
        <f>(TIR_U/100 +1)^(TAB_JUROS_U[[#This Row],[Q_DIAS_U_PARC_TIR]]/252)</f>
        <v>1.2415711345759299</v>
      </c>
      <c r="P130" s="116" t="str">
        <f>"TX_CENARIO" &amp; TEXT(DT_CALCULO_C, "-AAAAMMDD") &amp; TEXT(TAB_JUROS_U[[#This Row],[DT_EVE]], "-AAAAMMDD")</f>
        <v>TX_CENARIO-20151228-20241008</v>
      </c>
      <c r="Q130" s="44">
        <f>IFERROR(VLOOKUP(TAB_JUROS_U[[#This Row],[Chave-CENARIO]],CENARIO[],2,FALSE), 0)</f>
        <v>16.3735</v>
      </c>
      <c r="R130" s="116" t="str">
        <f>"CORRECAO_JURS_U" &amp; TEXT(DT_CALCULO_C, "-AAAAMMDD") &amp; TEXT(TAB_JUROS_U[[#This Row],[DT_EVE]], "-AAAAMMDD")</f>
        <v>CORRECAO_JURS_U-20151228-20241008</v>
      </c>
      <c r="S130" s="44">
        <f>IFERROR(VLOOKUP(TAB_JUROS_U[[#This Row],[Chave-CORC]],CORRECAO_JURS_U[],2, FALSE), 0)</f>
        <v>1.0128432000000001</v>
      </c>
      <c r="T130" s="78">
        <f>MAX(0, (TAB_JUROS_U[[#This Row],[CUPOM_TIR]] -1) * IF(TAB_JUROS_U[[#This Row],[ID_T_EVE]]=1, TAB_JUROS_U[[#This Row],[PU_AMORT]], TAB_JUROS_U[[#This Row],[V_NOML_PCPL]]) * TAB_JUROS_U[[#This Row],[CORRECAO_U]])</f>
        <v>44.022300506646971</v>
      </c>
      <c r="U130" s="78">
        <f>MAX(0, TAB_JUROS_U[[#This Row],[V_FUT_U_JURS-01]]/((((TAB_JUROS_U[[#This Row],[TX_CENARIO]]/100 +1)^(1/252) -1) * PC_IDXR/100 +1)^TAB_JUROS_U[[#This Row],[Q_DIAS_U_PARC_TIR]]))</f>
        <v>11.659110415275245</v>
      </c>
      <c r="V130" s="78">
        <f>+TAB_JUROS_U[[#This Row],[V_FUT_U_JURS CENARIO]]/TAB_JUROS_U[[#This Row],[VAR_DESCAP_U]]</f>
        <v>9.3906100831327084</v>
      </c>
      <c r="W130" s="78"/>
      <c r="X130" s="64">
        <f>TAB_JUROS_U[[#This Row],[dt_eve_u]]- DT_CALCULO_C</f>
        <v>3207</v>
      </c>
      <c r="Y130" s="48" t="str">
        <f>"CORRECAO_JURS_C" &amp; TEXT(DT_CALCULO_C, "-AAAAMMDD") &amp; TEXT(TAB_JUROS_U[[#This Row],[DT_EVE]], "-AAAAMMDD")</f>
        <v>CORRECAO_JURS_C-20151228-20241008</v>
      </c>
      <c r="Z130" s="44">
        <f>IFERROR(VLOOKUP(TAB_JUROS_C[[#This Row],[Chave-CORC]],CORRECAO_JURS_C[],2, FALSE), 0)</f>
        <v>1</v>
      </c>
      <c r="AA13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43.464082600985982</v>
      </c>
      <c r="AB130" s="63">
        <f>(TIR_C/100 +1)^(TAB_JUROS_C[[#This Row],[DIAS_CORRIDOS]]/360)</f>
        <v>1.2421703196749632</v>
      </c>
      <c r="AC130" s="78">
        <f>IF(TAB_JUROS_C[[#This Row],[DIAS_CORRIDOS]]&lt;0, 0, TAB_JUROS_C[[#This Row],[V_FUT_C_JURS]]/TAB_JUROS_C[[#This Row],[VAR_DESCAP_C]])</f>
        <v>34.990437231151333</v>
      </c>
      <c r="AD130" s="78">
        <f>TAB_JUROS_U[[#This Row],[V_FUT_U_JURS CENARIO]]</f>
        <v>11.659110415275245</v>
      </c>
      <c r="AE130" s="124">
        <f>IF(TAB_JUROS_C[[#This Row],[DIAS_CORRIDOS]]&lt;0, 0, TAB_JUROS_C[[#This Row],[V_FUT_UTEIS]]/TAB_JUROS_C[[#This Row],[VAR_DESCAP_C]])</f>
        <v>9.3860803390682097</v>
      </c>
      <c r="AF130" s="64"/>
    </row>
    <row r="131" spans="1:32">
      <c r="A131" s="82">
        <f t="shared" si="3"/>
        <v>107</v>
      </c>
      <c r="B131" s="24">
        <f>VLOOKUP($A131, CAD_JUROS[#Data], MATCH(B$24, CAD_JUROS[#Headers],0), FALSE)</f>
        <v>2</v>
      </c>
      <c r="C131" s="24" t="str">
        <f>VLOOKUP($A131, CAD_JUROS[#Data], MATCH(C$24, CAD_JUROS[#Headers],0), FALSE)</f>
        <v xml:space="preserve">JUROS SOBRE PRINCIPAL                             </v>
      </c>
      <c r="D131" s="36">
        <f>VLOOKUP($A131, CAD_JUROS[#Data], MATCH(D$24, CAD_JUROS[#Headers],0), FALSE)</f>
        <v>45604</v>
      </c>
      <c r="E131" s="48">
        <f>VLOOKUP($A131, CAD_JUROS[#Data], MATCH(E$24, CAD_JUROS[#Headers],0), FALSE)</f>
        <v>0</v>
      </c>
      <c r="F131" s="36">
        <f>VLOOKUP($A131, CAD_JUROS[#Data], MATCH(F$24, CAD_JUROS[#Headers],0), FALSE)</f>
        <v>45610</v>
      </c>
      <c r="G131" s="47">
        <f>WORKDAY(WORKDAY(TAB_JUROS_U[[#This Row],[DT_EVE]], -1, TAB_FERIADOS[FER_DATA]), 1, TAB_FERIADOS[FER_DATA])</f>
        <v>45604</v>
      </c>
      <c r="H131" s="75">
        <f>WORKDAY(WORKDAY(TAB_JUROS_U[[#This Row],[DT_LQDC_EVE]], -1, TAB_FERIADOS[FER_DATA]), 1, TAB_FERIADOS[FER_DATA])</f>
        <v>45610</v>
      </c>
      <c r="I131" s="48">
        <f>PU_EMISSAO - SUMIF(TAB_AMORTIZACAO_U[DT_EVE], "&lt;" &amp; TAB_JUROS_U[[#This Row],[DT_EVE]], TAB_AMORTIZACAO_U[V_PU_AMTC])</f>
        <v>20535.816044000036</v>
      </c>
      <c r="J131" s="48">
        <f>IFERROR(VLOOKUP(TAB_JUROS_U[[#This Row],[DT_EVE]], TAB_AMORTIZACAO_U[[DT_EVE]:[V_PU_AMTC]], 2, FALSE), 0)</f>
        <v>553.99470899999994</v>
      </c>
      <c r="K131" s="48">
        <f>NETWORKDAYS(DT_CALCULO_U, TAB_JUROS_U[[#This Row],[dt_eve_u]], TAB_FERIADOS[FER_DATA]) -1</f>
        <v>2227</v>
      </c>
      <c r="L131" s="48">
        <f>NETWORKDAYS(DT_CALCULO_U, TAB_JUROS_U[[#This Row],[dt_lqdc_eve_u]], TAB_FERIADOS[FER_DATA]) -1</f>
        <v>2231</v>
      </c>
      <c r="M131" s="48">
        <f>NETWORKDAYS(IF(ISTEXT(H130), DT_B_JURS, H130), TAB_JUROS_U[[#This Row],[dt_lqdc_eve_u]],  TAB_FERIADOS[FER_DATA]) -1</f>
        <v>23</v>
      </c>
      <c r="N131" s="123">
        <f>(TX_EMISSAO/100 +1)^(TAB_JUROS_U[[#This Row],[dias_periodo_u]]/252)</f>
        <v>1.0022562323017139</v>
      </c>
      <c r="O131" s="78">
        <f>(TIR_U/100 +1)^(TAB_JUROS_U[[#This Row],[Q_DIAS_U_PARC_TIR]]/252)</f>
        <v>1.2443727095171357</v>
      </c>
      <c r="P131" s="116" t="str">
        <f>"TX_CENARIO" &amp; TEXT(DT_CALCULO_C, "-AAAAMMDD") &amp; TEXT(TAB_JUROS_U[[#This Row],[DT_EVE]], "-AAAAMMDD")</f>
        <v>TX_CENARIO-20151228-20241108</v>
      </c>
      <c r="Q131" s="44">
        <f>IFERROR(VLOOKUP(TAB_JUROS_U[[#This Row],[Chave-CENARIO]],CENARIO[],2,FALSE), 0)</f>
        <v>16.372399999999999</v>
      </c>
      <c r="R131" s="116" t="str">
        <f>"CORRECAO_JURS_U" &amp; TEXT(DT_CALCULO_C, "-AAAAMMDD") &amp; TEXT(TAB_JUROS_U[[#This Row],[DT_EVE]], "-AAAAMMDD")</f>
        <v>CORRECAO_JURS_U-20151228-20241108</v>
      </c>
      <c r="S131" s="44">
        <f>IFERROR(VLOOKUP(TAB_JUROS_U[[#This Row],[Chave-CORC]],CORRECAO_JURS_U[],2, FALSE), 0)</f>
        <v>1.01407493</v>
      </c>
      <c r="T131" s="78">
        <f>MAX(0, (TAB_JUROS_U[[#This Row],[CUPOM_TIR]] -1) * IF(TAB_JUROS_U[[#This Row],[ID_T_EVE]]=1, TAB_JUROS_U[[#This Row],[PU_AMORT]], TAB_JUROS_U[[#This Row],[V_NOML_PCPL]]) * TAB_JUROS_U[[#This Row],[CORRECAO_U]])</f>
        <v>46.985713276047377</v>
      </c>
      <c r="U131" s="78">
        <f>MAX(0, TAB_JUROS_U[[#This Row],[V_FUT_U_JURS-01]]/((((TAB_JUROS_U[[#This Row],[TX_CENARIO]]/100 +1)^(1/252) -1) * PC_IDXR/100 +1)^TAB_JUROS_U[[#This Row],[Q_DIAS_U_PARC_TIR]]))</f>
        <v>12.273950165996109</v>
      </c>
      <c r="V131" s="78">
        <f>+TAB_JUROS_U[[#This Row],[V_FUT_U_JURS CENARIO]]/TAB_JUROS_U[[#This Row],[VAR_DESCAP_U]]</f>
        <v>9.8635642457627277</v>
      </c>
      <c r="W131" s="78"/>
      <c r="X131" s="64">
        <f>TAB_JUROS_U[[#This Row],[dt_eve_u]]- DT_CALCULO_C</f>
        <v>3238</v>
      </c>
      <c r="Y131" s="48" t="str">
        <f>"CORRECAO_JURS_C" &amp; TEXT(DT_CALCULO_C, "-AAAAMMDD") &amp; TEXT(TAB_JUROS_U[[#This Row],[DT_EVE]], "-AAAAMMDD")</f>
        <v>CORRECAO_JURS_C-20151228-20241108</v>
      </c>
      <c r="Z131" s="44">
        <f>IFERROR(VLOOKUP(TAB_JUROS_C[[#This Row],[Chave-CORC]],CORRECAO_JURS_C[],2, FALSE), 0)</f>
        <v>1</v>
      </c>
      <c r="AA13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46.333571500527455</v>
      </c>
      <c r="AB131" s="63">
        <f>(TIR_C/100 +1)^(TAB_JUROS_C[[#This Row],[DIAS_CORRIDOS]]/360)</f>
        <v>1.2447769462843659</v>
      </c>
      <c r="AC131" s="78">
        <f>IF(TAB_JUROS_C[[#This Row],[DIAS_CORRIDOS]]&lt;0, 0, TAB_JUROS_C[[#This Row],[V_FUT_C_JURS]]/TAB_JUROS_C[[#This Row],[VAR_DESCAP_C]])</f>
        <v>37.222388829446295</v>
      </c>
      <c r="AD131" s="78">
        <f>TAB_JUROS_U[[#This Row],[V_FUT_U_JURS CENARIO]]</f>
        <v>12.273950165996109</v>
      </c>
      <c r="AE131" s="124">
        <f>IF(TAB_JUROS_C[[#This Row],[DIAS_CORRIDOS]]&lt;0, 0, TAB_JUROS_C[[#This Row],[V_FUT_UTEIS]]/TAB_JUROS_C[[#This Row],[VAR_DESCAP_C]])</f>
        <v>9.860361089296843</v>
      </c>
      <c r="AF131" s="64"/>
    </row>
    <row r="132" spans="1:32">
      <c r="A132" s="82">
        <f t="shared" si="3"/>
        <v>108</v>
      </c>
      <c r="B132" s="24">
        <f>VLOOKUP($A132, CAD_JUROS[#Data], MATCH(B$24, CAD_JUROS[#Headers],0), FALSE)</f>
        <v>2</v>
      </c>
      <c r="C132" s="24" t="str">
        <f>VLOOKUP($A132, CAD_JUROS[#Data], MATCH(C$24, CAD_JUROS[#Headers],0), FALSE)</f>
        <v xml:space="preserve">JUROS SOBRE PRINCIPAL                             </v>
      </c>
      <c r="D132" s="36">
        <f>VLOOKUP($A132, CAD_JUROS[#Data], MATCH(D$24, CAD_JUROS[#Headers],0), FALSE)</f>
        <v>45635</v>
      </c>
      <c r="E132" s="48">
        <f>VLOOKUP($A132, CAD_JUROS[#Data], MATCH(E$24, CAD_JUROS[#Headers],0), FALSE)</f>
        <v>0</v>
      </c>
      <c r="F132" s="36">
        <f>VLOOKUP($A132, CAD_JUROS[#Data], MATCH(F$24, CAD_JUROS[#Headers],0), FALSE)</f>
        <v>45639</v>
      </c>
      <c r="G132" s="47">
        <f>WORKDAY(WORKDAY(TAB_JUROS_U[[#This Row],[DT_EVE]], -1, TAB_FERIADOS[FER_DATA]), 1, TAB_FERIADOS[FER_DATA])</f>
        <v>45635</v>
      </c>
      <c r="H132" s="75">
        <f>WORKDAY(WORKDAY(TAB_JUROS_U[[#This Row],[DT_LQDC_EVE]], -1, TAB_FERIADOS[FER_DATA]), 1, TAB_FERIADOS[FER_DATA])</f>
        <v>45639</v>
      </c>
      <c r="I132" s="48">
        <f>PU_EMISSAO - SUMIF(TAB_AMORTIZACAO_U[DT_EVE], "&lt;" &amp; TAB_JUROS_U[[#This Row],[DT_EVE]], TAB_AMORTIZACAO_U[V_PU_AMTC])</f>
        <v>19981.82133500003</v>
      </c>
      <c r="J132" s="48">
        <f>IFERROR(VLOOKUP(TAB_JUROS_U[[#This Row],[DT_EVE]], TAB_AMORTIZACAO_U[[DT_EVE]:[V_PU_AMTC]], 2, FALSE), 0)</f>
        <v>554.17583200000001</v>
      </c>
      <c r="K132" s="48">
        <f>NETWORKDAYS(DT_CALCULO_U, TAB_JUROS_U[[#This Row],[dt_eve_u]], TAB_FERIADOS[FER_DATA]) -1</f>
        <v>2247</v>
      </c>
      <c r="L132" s="48">
        <f>NETWORKDAYS(DT_CALCULO_U, TAB_JUROS_U[[#This Row],[dt_lqdc_eve_u]], TAB_FERIADOS[FER_DATA]) -1</f>
        <v>2251</v>
      </c>
      <c r="M132" s="48">
        <f>NETWORKDAYS(IF(ISTEXT(H131), DT_B_JURS, H131), TAB_JUROS_U[[#This Row],[dt_lqdc_eve_u]],  TAB_FERIADOS[FER_DATA]) -1</f>
        <v>20</v>
      </c>
      <c r="N132" s="123">
        <f>(TX_EMISSAO/100 +1)^(TAB_JUROS_U[[#This Row],[dias_periodo_u]]/252)</f>
        <v>1.0019616526860928</v>
      </c>
      <c r="O132" s="78">
        <f>(TIR_U/100 +1)^(TAB_JUROS_U[[#This Row],[Q_DIAS_U_PARC_TIR]]/252)</f>
        <v>1.2468139997461924</v>
      </c>
      <c r="P132" s="116" t="str">
        <f>"TX_CENARIO" &amp; TEXT(DT_CALCULO_C, "-AAAAMMDD") &amp; TEXT(TAB_JUROS_U[[#This Row],[DT_EVE]], "-AAAAMMDD")</f>
        <v>TX_CENARIO-20151228-20241209</v>
      </c>
      <c r="Q132" s="44">
        <f>IFERROR(VLOOKUP(TAB_JUROS_U[[#This Row],[Chave-CENARIO]],CENARIO[],2,FALSE), 0)</f>
        <v>16.371500000000001</v>
      </c>
      <c r="R132" s="116" t="str">
        <f>"CORRECAO_JURS_U" &amp; TEXT(DT_CALCULO_C, "-AAAAMMDD") &amp; TEXT(TAB_JUROS_U[[#This Row],[DT_EVE]], "-AAAAMMDD")</f>
        <v>CORRECAO_JURS_U-20151228-20241209</v>
      </c>
      <c r="S132" s="44">
        <f>IFERROR(VLOOKUP(TAB_JUROS_U[[#This Row],[Chave-CORC]],CORRECAO_JURS_U[],2, FALSE), 0)</f>
        <v>1.0122278899999999</v>
      </c>
      <c r="T132" s="78">
        <f>MAX(0, (TAB_JUROS_U[[#This Row],[CUPOM_TIR]] -1) * IF(TAB_JUROS_U[[#This Row],[ID_T_EVE]]=1, TAB_JUROS_U[[#This Row],[PU_AMORT]], TAB_JUROS_U[[#This Row],[V_NOML_PCPL]]) * TAB_JUROS_U[[#This Row],[CORRECAO_U]])</f>
        <v>39.67669491077131</v>
      </c>
      <c r="U132" s="78">
        <f>MAX(0, TAB_JUROS_U[[#This Row],[V_FUT_U_JURS-01]]/((((TAB_JUROS_U[[#This Row],[TX_CENARIO]]/100 +1)^(1/252) -1) * PC_IDXR/100 +1)^TAB_JUROS_U[[#This Row],[Q_DIAS_U_PARC_TIR]]))</f>
        <v>10.241364703673412</v>
      </c>
      <c r="V132" s="78">
        <f>+TAB_JUROS_U[[#This Row],[V_FUT_U_JURS CENARIO]]/TAB_JUROS_U[[#This Row],[VAR_DESCAP_U]]</f>
        <v>8.2140276783531423</v>
      </c>
      <c r="W132" s="78"/>
      <c r="X132" s="64">
        <f>TAB_JUROS_U[[#This Row],[dt_eve_u]]- DT_CALCULO_C</f>
        <v>3269</v>
      </c>
      <c r="Y132" s="48" t="str">
        <f>"CORRECAO_JURS_C" &amp; TEXT(DT_CALCULO_C, "-AAAAMMDD") &amp; TEXT(TAB_JUROS_U[[#This Row],[DT_EVE]], "-AAAAMMDD")</f>
        <v>CORRECAO_JURS_C-20151228-20241209</v>
      </c>
      <c r="Z132" s="44">
        <f>IFERROR(VLOOKUP(TAB_JUROS_C[[#This Row],[Chave-CORC]],CORRECAO_JURS_C[],2, FALSE), 0)</f>
        <v>1</v>
      </c>
      <c r="AA13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39.197393494829818</v>
      </c>
      <c r="AB132" s="63">
        <f>(TIR_C/100 +1)^(TAB_JUROS_C[[#This Row],[DIAS_CORRIDOS]]/360)</f>
        <v>1.2473890427574201</v>
      </c>
      <c r="AC132" s="78">
        <f>IF(TAB_JUROS_C[[#This Row],[DIAS_CORRIDOS]]&lt;0, 0, TAB_JUROS_C[[#This Row],[V_FUT_C_JURS]]/TAB_JUROS_C[[#This Row],[VAR_DESCAP_C]])</f>
        <v>31.423551234811143</v>
      </c>
      <c r="AD132" s="78">
        <f>TAB_JUROS_U[[#This Row],[V_FUT_U_JURS CENARIO]]</f>
        <v>10.241364703673412</v>
      </c>
      <c r="AE132" s="124">
        <f>IF(TAB_JUROS_C[[#This Row],[DIAS_CORRIDOS]]&lt;0, 0, TAB_JUROS_C[[#This Row],[V_FUT_UTEIS]]/TAB_JUROS_C[[#This Row],[VAR_DESCAP_C]])</f>
        <v>8.2102410335706715</v>
      </c>
      <c r="AF132" s="64"/>
    </row>
    <row r="133" spans="1:32">
      <c r="A133" s="82">
        <f t="shared" si="3"/>
        <v>109</v>
      </c>
      <c r="B133" s="24">
        <f>VLOOKUP($A133, CAD_JUROS[#Data], MATCH(B$24, CAD_JUROS[#Headers],0), FALSE)</f>
        <v>2</v>
      </c>
      <c r="C133" s="24" t="str">
        <f>VLOOKUP($A133, CAD_JUROS[#Data], MATCH(C$24, CAD_JUROS[#Headers],0), FALSE)</f>
        <v xml:space="preserve">JUROS SOBRE PRINCIPAL                             </v>
      </c>
      <c r="D133" s="36">
        <f>VLOOKUP($A133, CAD_JUROS[#Data], MATCH(D$24, CAD_JUROS[#Headers],0), FALSE)</f>
        <v>45666</v>
      </c>
      <c r="E133" s="48">
        <f>VLOOKUP($A133, CAD_JUROS[#Data], MATCH(E$24, CAD_JUROS[#Headers],0), FALSE)</f>
        <v>0</v>
      </c>
      <c r="F133" s="36">
        <f>VLOOKUP($A133, CAD_JUROS[#Data], MATCH(F$24, CAD_JUROS[#Headers],0), FALSE)</f>
        <v>45672</v>
      </c>
      <c r="G133" s="47">
        <f>WORKDAY(WORKDAY(TAB_JUROS_U[[#This Row],[DT_EVE]], -1, TAB_FERIADOS[FER_DATA]), 1, TAB_FERIADOS[FER_DATA])</f>
        <v>45666</v>
      </c>
      <c r="H133" s="75">
        <f>WORKDAY(WORKDAY(TAB_JUROS_U[[#This Row],[DT_LQDC_EVE]], -1, TAB_FERIADOS[FER_DATA]), 1, TAB_FERIADOS[FER_DATA])</f>
        <v>45672</v>
      </c>
      <c r="I133" s="48">
        <f>PU_EMISSAO - SUMIF(TAB_AMORTIZACAO_U[DT_EVE], "&lt;" &amp; TAB_JUROS_U[[#This Row],[DT_EVE]], TAB_AMORTIZACAO_U[V_PU_AMTC])</f>
        <v>19427.645503000036</v>
      </c>
      <c r="J133" s="48">
        <f>IFERROR(VLOOKUP(TAB_JUROS_U[[#This Row],[DT_EVE]], TAB_AMORTIZACAO_U[[DT_EVE]:[V_PU_AMTC]], 2, FALSE), 0)</f>
        <v>597.30295999999998</v>
      </c>
      <c r="K133" s="48">
        <f>NETWORKDAYS(DT_CALCULO_U, TAB_JUROS_U[[#This Row],[dt_eve_u]], TAB_FERIADOS[FER_DATA]) -1</f>
        <v>2268</v>
      </c>
      <c r="L133" s="48">
        <f>NETWORKDAYS(DT_CALCULO_U, TAB_JUROS_U[[#This Row],[dt_lqdc_eve_u]], TAB_FERIADOS[FER_DATA]) -1</f>
        <v>2272</v>
      </c>
      <c r="M133" s="48">
        <f>NETWORKDAYS(IF(ISTEXT(H132), DT_B_JURS, H132), TAB_JUROS_U[[#This Row],[dt_lqdc_eve_u]],  TAB_FERIADOS[FER_DATA]) -1</f>
        <v>21</v>
      </c>
      <c r="N133" s="123">
        <f>(TX_EMISSAO/100 +1)^(TAB_JUROS_U[[#This Row],[dias_periodo_u]]/252)</f>
        <v>1.0020598362698427</v>
      </c>
      <c r="O133" s="78">
        <f>(TIR_U/100 +1)^(TAB_JUROS_U[[#This Row],[Q_DIAS_U_PARC_TIR]]/252)</f>
        <v>1.2493825093328272</v>
      </c>
      <c r="P133" s="116" t="str">
        <f>"TX_CENARIO" &amp; TEXT(DT_CALCULO_C, "-AAAAMMDD") &amp; TEXT(TAB_JUROS_U[[#This Row],[DT_EVE]], "-AAAAMMDD")</f>
        <v>TX_CENARIO-20151228-20250109</v>
      </c>
      <c r="Q133" s="44">
        <f>IFERROR(VLOOKUP(TAB_JUROS_U[[#This Row],[Chave-CENARIO]],CENARIO[],2,FALSE), 0)</f>
        <v>16.369</v>
      </c>
      <c r="R133" s="116" t="str">
        <f>"CORRECAO_JURS_U" &amp; TEXT(DT_CALCULO_C, "-AAAAMMDD") &amp; TEXT(TAB_JUROS_U[[#This Row],[DT_EVE]], "-AAAAMMDD")</f>
        <v>CORRECAO_JURS_U-20151228-20250109</v>
      </c>
      <c r="S133" s="44">
        <f>IFERROR(VLOOKUP(TAB_JUROS_U[[#This Row],[Chave-CORC]],CORRECAO_JURS_U[],2, FALSE), 0)</f>
        <v>1.01274039</v>
      </c>
      <c r="T133" s="78">
        <f>MAX(0, (TAB_JUROS_U[[#This Row],[CUPOM_TIR]] -1) * IF(TAB_JUROS_U[[#This Row],[ID_T_EVE]]=1, TAB_JUROS_U[[#This Row],[PU_AMORT]], TAB_JUROS_U[[#This Row],[V_NOML_PCPL]]) * TAB_JUROS_U[[#This Row],[CORRECAO_U]])</f>
        <v>40.527610826738368</v>
      </c>
      <c r="U133" s="78">
        <f>MAX(0, TAB_JUROS_U[[#This Row],[V_FUT_U_JURS-01]]/((((TAB_JUROS_U[[#This Row],[TX_CENARIO]]/100 +1)^(1/252) -1) * PC_IDXR/100 +1)^TAB_JUROS_U[[#This Row],[Q_DIAS_U_PARC_TIR]]))</f>
        <v>10.331663311429224</v>
      </c>
      <c r="V133" s="78">
        <f>+TAB_JUROS_U[[#This Row],[V_FUT_U_JURS CENARIO]]/TAB_JUROS_U[[#This Row],[VAR_DESCAP_U]]</f>
        <v>8.269415678747059</v>
      </c>
      <c r="W133" s="78"/>
      <c r="X133" s="64">
        <f>TAB_JUROS_U[[#This Row],[dt_eve_u]]- DT_CALCULO_C</f>
        <v>3300</v>
      </c>
      <c r="Y133" s="48" t="str">
        <f>"CORRECAO_JURS_C" &amp; TEXT(DT_CALCULO_C, "-AAAAMMDD") &amp; TEXT(TAB_JUROS_U[[#This Row],[DT_EVE]], "-AAAAMMDD")</f>
        <v>CORRECAO_JURS_C-20151228-20250109</v>
      </c>
      <c r="Z133" s="44">
        <f>IFERROR(VLOOKUP(TAB_JUROS_C[[#This Row],[Chave-CORC]],CORRECAO_JURS_C[],2, FALSE), 0)</f>
        <v>1</v>
      </c>
      <c r="AA13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40.017768844726696</v>
      </c>
      <c r="AB133" s="63">
        <f>(TIR_C/100 +1)^(TAB_JUROS_C[[#This Row],[DIAS_CORRIDOS]]/360)</f>
        <v>1.2500066205723364</v>
      </c>
      <c r="AC133" s="78">
        <f>IF(TAB_JUROS_C[[#This Row],[DIAS_CORRIDOS]]&lt;0, 0, TAB_JUROS_C[[#This Row],[V_FUT_C_JURS]]/TAB_JUROS_C[[#This Row],[VAR_DESCAP_C]])</f>
        <v>32.014045514738072</v>
      </c>
      <c r="AD133" s="78">
        <f>TAB_JUROS_U[[#This Row],[V_FUT_U_JURS CENARIO]]</f>
        <v>10.331663311429224</v>
      </c>
      <c r="AE133" s="124">
        <f>IF(TAB_JUROS_C[[#This Row],[DIAS_CORRIDOS]]&lt;0, 0, TAB_JUROS_C[[#This Row],[V_FUT_UTEIS]]/TAB_JUROS_C[[#This Row],[VAR_DESCAP_C]])</f>
        <v>8.2652868723996846</v>
      </c>
      <c r="AF133" s="64"/>
    </row>
    <row r="134" spans="1:32">
      <c r="A134" s="82">
        <f t="shared" si="3"/>
        <v>110</v>
      </c>
      <c r="B134" s="24">
        <f>VLOOKUP($A134, CAD_JUROS[#Data], MATCH(B$24, CAD_JUROS[#Headers],0), FALSE)</f>
        <v>2</v>
      </c>
      <c r="C134" s="24" t="str">
        <f>VLOOKUP($A134, CAD_JUROS[#Data], MATCH(C$24, CAD_JUROS[#Headers],0), FALSE)</f>
        <v xml:space="preserve">JUROS SOBRE PRINCIPAL                             </v>
      </c>
      <c r="D134" s="36">
        <f>VLOOKUP($A134, CAD_JUROS[#Data], MATCH(D$24, CAD_JUROS[#Headers],0), FALSE)</f>
        <v>45698</v>
      </c>
      <c r="E134" s="48">
        <f>VLOOKUP($A134, CAD_JUROS[#Data], MATCH(E$24, CAD_JUROS[#Headers],0), FALSE)</f>
        <v>0</v>
      </c>
      <c r="F134" s="36">
        <f>VLOOKUP($A134, CAD_JUROS[#Data], MATCH(F$24, CAD_JUROS[#Headers],0), FALSE)</f>
        <v>45702</v>
      </c>
      <c r="G134" s="47">
        <f>WORKDAY(WORKDAY(TAB_JUROS_U[[#This Row],[DT_EVE]], -1, TAB_FERIADOS[FER_DATA]), 1, TAB_FERIADOS[FER_DATA])</f>
        <v>45698</v>
      </c>
      <c r="H134" s="75">
        <f>WORKDAY(WORKDAY(TAB_JUROS_U[[#This Row],[DT_LQDC_EVE]], -1, TAB_FERIADOS[FER_DATA]), 1, TAB_FERIADOS[FER_DATA])</f>
        <v>45702</v>
      </c>
      <c r="I134" s="48">
        <f>PU_EMISSAO - SUMIF(TAB_AMORTIZACAO_U[DT_EVE], "&lt;" &amp; TAB_JUROS_U[[#This Row],[DT_EVE]], TAB_AMORTIZACAO_U[V_PU_AMTC])</f>
        <v>18830.342543000035</v>
      </c>
      <c r="J134" s="48">
        <f>IFERROR(VLOOKUP(TAB_JUROS_U[[#This Row],[DT_EVE]], TAB_AMORTIZACAO_U[[DT_EVE]:[V_PU_AMTC]], 2, FALSE), 0)</f>
        <v>588.580016</v>
      </c>
      <c r="K134" s="48">
        <f>NETWORKDAYS(DT_CALCULO_U, TAB_JUROS_U[[#This Row],[dt_eve_u]], TAB_FERIADOS[FER_DATA]) -1</f>
        <v>2290</v>
      </c>
      <c r="L134" s="48">
        <f>NETWORKDAYS(DT_CALCULO_U, TAB_JUROS_U[[#This Row],[dt_lqdc_eve_u]], TAB_FERIADOS[FER_DATA]) -1</f>
        <v>2294</v>
      </c>
      <c r="M134" s="48">
        <f>NETWORKDAYS(IF(ISTEXT(H133), DT_B_JURS, H133), TAB_JUROS_U[[#This Row],[dt_lqdc_eve_u]],  TAB_FERIADOS[FER_DATA]) -1</f>
        <v>22</v>
      </c>
      <c r="N134" s="123">
        <f>(TX_EMISSAO/100 +1)^(TAB_JUROS_U[[#This Row],[dias_periodo_u]]/252)</f>
        <v>1.0021580294747356</v>
      </c>
      <c r="O134" s="78">
        <f>(TIR_U/100 +1)^(TAB_JUROS_U[[#This Row],[Q_DIAS_U_PARC_TIR]]/252)</f>
        <v>1.2520790043126022</v>
      </c>
      <c r="P134" s="116" t="str">
        <f>"TX_CENARIO" &amp; TEXT(DT_CALCULO_C, "-AAAAMMDD") &amp; TEXT(TAB_JUROS_U[[#This Row],[DT_EVE]], "-AAAAMMDD")</f>
        <v>TX_CENARIO-20151228-20250210</v>
      </c>
      <c r="Q134" s="44">
        <f>IFERROR(VLOOKUP(TAB_JUROS_U[[#This Row],[Chave-CENARIO]],CENARIO[],2,FALSE), 0)</f>
        <v>16.3643</v>
      </c>
      <c r="R134" s="116" t="str">
        <f>"CORRECAO_JURS_U" &amp; TEXT(DT_CALCULO_C, "-AAAAMMDD") &amp; TEXT(TAB_JUROS_U[[#This Row],[DT_EVE]], "-AAAAMMDD")</f>
        <v>CORRECAO_JURS_U-20151228-20250210</v>
      </c>
      <c r="S134" s="44">
        <f>IFERROR(VLOOKUP(TAB_JUROS_U[[#This Row],[Chave-CORC]],CORRECAO_JURS_U[],2, FALSE), 0)</f>
        <v>1.01300634</v>
      </c>
      <c r="T134" s="78">
        <f>MAX(0, (TAB_JUROS_U[[#This Row],[CUPOM_TIR]] -1) * IF(TAB_JUROS_U[[#This Row],[ID_T_EVE]]=1, TAB_JUROS_U[[#This Row],[PU_AMORT]], TAB_JUROS_U[[#This Row],[V_NOML_PCPL]]) * TAB_JUROS_U[[#This Row],[CORRECAO_U]])</f>
        <v>41.164965507108761</v>
      </c>
      <c r="U134" s="78">
        <f>MAX(0, TAB_JUROS_U[[#This Row],[V_FUT_U_JURS-01]]/((((TAB_JUROS_U[[#This Row],[TX_CENARIO]]/100 +1)^(1/252) -1) * PC_IDXR/100 +1)^TAB_JUROS_U[[#This Row],[Q_DIAS_U_PARC_TIR]]))</f>
        <v>10.359981412737735</v>
      </c>
      <c r="V134" s="78">
        <f>+TAB_JUROS_U[[#This Row],[V_FUT_U_JURS CENARIO]]/TAB_JUROS_U[[#This Row],[VAR_DESCAP_U]]</f>
        <v>8.2742234132625025</v>
      </c>
      <c r="W134" s="78"/>
      <c r="X134" s="64">
        <f>TAB_JUROS_U[[#This Row],[dt_eve_u]]- DT_CALCULO_C</f>
        <v>3332</v>
      </c>
      <c r="Y134" s="48" t="str">
        <f>"CORRECAO_JURS_C" &amp; TEXT(DT_CALCULO_C, "-AAAAMMDD") &amp; TEXT(TAB_JUROS_U[[#This Row],[DT_EVE]], "-AAAAMMDD")</f>
        <v>CORRECAO_JURS_C-20151228-20250210</v>
      </c>
      <c r="Z134" s="44">
        <f>IFERROR(VLOOKUP(TAB_JUROS_C[[#This Row],[Chave-CORC]],CORRECAO_JURS_C[],2, FALSE), 0)</f>
        <v>1</v>
      </c>
      <c r="AA13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40.636434227162646</v>
      </c>
      <c r="AB134" s="63">
        <f>(TIR_C/100 +1)^(TAB_JUROS_C[[#This Row],[DIAS_CORRIDOS]]/360)</f>
        <v>1.2527143979960378</v>
      </c>
      <c r="AC134" s="78">
        <f>IF(TAB_JUROS_C[[#This Row],[DIAS_CORRIDOS]]&lt;0, 0, TAB_JUROS_C[[#This Row],[V_FUT_C_JURS]]/TAB_JUROS_C[[#This Row],[VAR_DESCAP_C]])</f>
        <v>32.438706134589488</v>
      </c>
      <c r="AD134" s="78">
        <f>TAB_JUROS_U[[#This Row],[V_FUT_U_JURS CENARIO]]</f>
        <v>10.359981412737735</v>
      </c>
      <c r="AE134" s="124">
        <f>IF(TAB_JUROS_C[[#This Row],[DIAS_CORRIDOS]]&lt;0, 0, TAB_JUROS_C[[#This Row],[V_FUT_UTEIS]]/TAB_JUROS_C[[#This Row],[VAR_DESCAP_C]])</f>
        <v>8.2700266152528901</v>
      </c>
      <c r="AF134" s="64"/>
    </row>
    <row r="135" spans="1:32">
      <c r="A135" s="82">
        <f t="shared" si="3"/>
        <v>111</v>
      </c>
      <c r="B135" s="24">
        <f>VLOOKUP($A135, CAD_JUROS[#Data], MATCH(B$24, CAD_JUROS[#Headers],0), FALSE)</f>
        <v>2</v>
      </c>
      <c r="C135" s="24" t="str">
        <f>VLOOKUP($A135, CAD_JUROS[#Data], MATCH(C$24, CAD_JUROS[#Headers],0), FALSE)</f>
        <v xml:space="preserve">JUROS SOBRE PRINCIPAL                             </v>
      </c>
      <c r="D135" s="36">
        <f>VLOOKUP($A135, CAD_JUROS[#Data], MATCH(D$24, CAD_JUROS[#Headers],0), FALSE)</f>
        <v>45728</v>
      </c>
      <c r="E135" s="48">
        <f>VLOOKUP($A135, CAD_JUROS[#Data], MATCH(E$24, CAD_JUROS[#Headers],0), FALSE)</f>
        <v>0</v>
      </c>
      <c r="F135" s="36">
        <f>VLOOKUP($A135, CAD_JUROS[#Data], MATCH(F$24, CAD_JUROS[#Headers],0), FALSE)</f>
        <v>45734</v>
      </c>
      <c r="G135" s="47">
        <f>WORKDAY(WORKDAY(TAB_JUROS_U[[#This Row],[DT_EVE]], -1, TAB_FERIADOS[FER_DATA]), 1, TAB_FERIADOS[FER_DATA])</f>
        <v>45728</v>
      </c>
      <c r="H135" s="75">
        <f>WORKDAY(WORKDAY(TAB_JUROS_U[[#This Row],[DT_LQDC_EVE]], -1, TAB_FERIADOS[FER_DATA]), 1, TAB_FERIADOS[FER_DATA])</f>
        <v>45734</v>
      </c>
      <c r="I135" s="48">
        <f>PU_EMISSAO - SUMIF(TAB_AMORTIZACAO_U[DT_EVE], "&lt;" &amp; TAB_JUROS_U[[#This Row],[DT_EVE]], TAB_AMORTIZACAO_U[V_PU_AMTC])</f>
        <v>18241.762527000028</v>
      </c>
      <c r="J135" s="48">
        <f>IFERROR(VLOOKUP(TAB_JUROS_U[[#This Row],[DT_EVE]], TAB_AMORTIZACAO_U[[DT_EVE]:[V_PU_AMTC]], 2, FALSE), 0)</f>
        <v>586.162555</v>
      </c>
      <c r="K135" s="48">
        <f>NETWORKDAYS(DT_CALCULO_U, TAB_JUROS_U[[#This Row],[dt_eve_u]], TAB_FERIADOS[FER_DATA]) -1</f>
        <v>2310</v>
      </c>
      <c r="L135" s="48">
        <f>NETWORKDAYS(DT_CALCULO_U, TAB_JUROS_U[[#This Row],[dt_lqdc_eve_u]], TAB_FERIADOS[FER_DATA]) -1</f>
        <v>2314</v>
      </c>
      <c r="M135" s="48">
        <f>NETWORKDAYS(IF(ISTEXT(H134), DT_B_JURS, H134), TAB_JUROS_U[[#This Row],[dt_lqdc_eve_u]],  TAB_FERIADOS[FER_DATA]) -1</f>
        <v>20</v>
      </c>
      <c r="N135" s="123">
        <f>(TX_EMISSAO/100 +1)^(TAB_JUROS_U[[#This Row],[dias_periodo_u]]/252)</f>
        <v>1.0019616526860928</v>
      </c>
      <c r="O135" s="78">
        <f>(TIR_U/100 +1)^(TAB_JUROS_U[[#This Row],[Q_DIAS_U_PARC_TIR]]/252)</f>
        <v>1.2545354132452773</v>
      </c>
      <c r="P135" s="116" t="str">
        <f>"TX_CENARIO" &amp; TEXT(DT_CALCULO_C, "-AAAAMMDD") &amp; TEXT(TAB_JUROS_U[[#This Row],[DT_EVE]], "-AAAAMMDD")</f>
        <v>TX_CENARIO-20151228-20250312</v>
      </c>
      <c r="Q135" s="44">
        <f>IFERROR(VLOOKUP(TAB_JUROS_U[[#This Row],[Chave-CENARIO]],CENARIO[],2,FALSE), 0)</f>
        <v>16.36</v>
      </c>
      <c r="R135" s="116" t="str">
        <f>"CORRECAO_JURS_U" &amp; TEXT(DT_CALCULO_C, "-AAAAMMDD") &amp; TEXT(TAB_JUROS_U[[#This Row],[DT_EVE]], "-AAAAMMDD")</f>
        <v>CORRECAO_JURS_U-20151228-20250312</v>
      </c>
      <c r="S135" s="44">
        <f>IFERROR(VLOOKUP(TAB_JUROS_U[[#This Row],[Chave-CORC]],CORRECAO_JURS_U[],2, FALSE), 0)</f>
        <v>1.0118169800000001</v>
      </c>
      <c r="T135" s="78">
        <f>MAX(0, (TAB_JUROS_U[[#This Row],[CUPOM_TIR]] -1) * IF(TAB_JUROS_U[[#This Row],[ID_T_EVE]]=1, TAB_JUROS_U[[#This Row],[PU_AMORT]], TAB_JUROS_U[[#This Row],[V_NOML_PCPL]]) * TAB_JUROS_U[[#This Row],[CORRECAO_U]])</f>
        <v>36.206861301548756</v>
      </c>
      <c r="U135" s="78">
        <f>MAX(0, TAB_JUROS_U[[#This Row],[V_FUT_U_JURS-01]]/((((TAB_JUROS_U[[#This Row],[TX_CENARIO]]/100 +1)^(1/252) -1) * PC_IDXR/100 +1)^TAB_JUROS_U[[#This Row],[Q_DIAS_U_PARC_TIR]]))</f>
        <v>9.0062848023209678</v>
      </c>
      <c r="V135" s="78">
        <f>+TAB_JUROS_U[[#This Row],[V_FUT_U_JURS CENARIO]]/TAB_JUROS_U[[#This Row],[VAR_DESCAP_U]]</f>
        <v>7.1789801286064829</v>
      </c>
      <c r="W135" s="78"/>
      <c r="X135" s="64">
        <f>TAB_JUROS_U[[#This Row],[dt_eve_u]]- DT_CALCULO_C</f>
        <v>3362</v>
      </c>
      <c r="Y135" s="48" t="str">
        <f>"CORRECAO_JURS_C" &amp; TEXT(DT_CALCULO_C, "-AAAAMMDD") &amp; TEXT(TAB_JUROS_U[[#This Row],[DT_EVE]], "-AAAAMMDD")</f>
        <v>CORRECAO_JURS_C-20151228-20250312</v>
      </c>
      <c r="Z135" s="44">
        <f>IFERROR(VLOOKUP(TAB_JUROS_C[[#This Row],[Chave-CORC]],CORRECAO_JURS_C[],2, FALSE), 0)</f>
        <v>1</v>
      </c>
      <c r="AA13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35.784002460157126</v>
      </c>
      <c r="AB135" s="63">
        <f>(TIR_C/100 +1)^(TAB_JUROS_C[[#This Row],[DIAS_CORRIDOS]]/360)</f>
        <v>1.2552582662610785</v>
      </c>
      <c r="AC135" s="78">
        <f>IF(TAB_JUROS_C[[#This Row],[DIAS_CORRIDOS]]&lt;0, 0, TAB_JUROS_C[[#This Row],[V_FUT_C_JURS]]/TAB_JUROS_C[[#This Row],[VAR_DESCAP_C]])</f>
        <v>28.507282861194469</v>
      </c>
      <c r="AD135" s="78">
        <f>TAB_JUROS_U[[#This Row],[V_FUT_U_JURS CENARIO]]</f>
        <v>9.0062848023209678</v>
      </c>
      <c r="AE135" s="124">
        <f>IF(TAB_JUROS_C[[#This Row],[DIAS_CORRIDOS]]&lt;0, 0, TAB_JUROS_C[[#This Row],[V_FUT_UTEIS]]/TAB_JUROS_C[[#This Row],[VAR_DESCAP_C]])</f>
        <v>7.1748460411634287</v>
      </c>
      <c r="AF135" s="64"/>
    </row>
    <row r="136" spans="1:32">
      <c r="A136" s="82">
        <f t="shared" si="3"/>
        <v>112</v>
      </c>
      <c r="B136" s="24">
        <f>VLOOKUP($A136, CAD_JUROS[#Data], MATCH(B$24, CAD_JUROS[#Headers],0), FALSE)</f>
        <v>2</v>
      </c>
      <c r="C136" s="24" t="str">
        <f>VLOOKUP($A136, CAD_JUROS[#Data], MATCH(C$24, CAD_JUROS[#Headers],0), FALSE)</f>
        <v xml:space="preserve">JUROS SOBRE PRINCIPAL                             </v>
      </c>
      <c r="D136" s="36">
        <f>VLOOKUP($A136, CAD_JUROS[#Data], MATCH(D$24, CAD_JUROS[#Headers],0), FALSE)</f>
        <v>45755</v>
      </c>
      <c r="E136" s="48">
        <f>VLOOKUP($A136, CAD_JUROS[#Data], MATCH(E$24, CAD_JUROS[#Headers],0), FALSE)</f>
        <v>0</v>
      </c>
      <c r="F136" s="36">
        <f>VLOOKUP($A136, CAD_JUROS[#Data], MATCH(F$24, CAD_JUROS[#Headers],0), FALSE)</f>
        <v>45761</v>
      </c>
      <c r="G136" s="47">
        <f>WORKDAY(WORKDAY(TAB_JUROS_U[[#This Row],[DT_EVE]], -1, TAB_FERIADOS[FER_DATA]), 1, TAB_FERIADOS[FER_DATA])</f>
        <v>45755</v>
      </c>
      <c r="H136" s="75">
        <f>WORKDAY(WORKDAY(TAB_JUROS_U[[#This Row],[DT_LQDC_EVE]], -1, TAB_FERIADOS[FER_DATA]), 1, TAB_FERIADOS[FER_DATA])</f>
        <v>45761</v>
      </c>
      <c r="I136" s="48">
        <f>PU_EMISSAO - SUMIF(TAB_AMORTIZACAO_U[DT_EVE], "&lt;" &amp; TAB_JUROS_U[[#This Row],[DT_EVE]], TAB_AMORTIZACAO_U[V_PU_AMTC])</f>
        <v>17655.599972000025</v>
      </c>
      <c r="J136" s="48">
        <f>IFERROR(VLOOKUP(TAB_JUROS_U[[#This Row],[DT_EVE]], TAB_AMORTIZACAO_U[[DT_EVE]:[V_PU_AMTC]], 2, FALSE), 0)</f>
        <v>582.21106399999996</v>
      </c>
      <c r="K136" s="48">
        <f>NETWORKDAYS(DT_CALCULO_U, TAB_JUROS_U[[#This Row],[dt_eve_u]], TAB_FERIADOS[FER_DATA]) -1</f>
        <v>2329</v>
      </c>
      <c r="L136" s="48">
        <f>NETWORKDAYS(DT_CALCULO_U, TAB_JUROS_U[[#This Row],[dt_lqdc_eve_u]], TAB_FERIADOS[FER_DATA]) -1</f>
        <v>2333</v>
      </c>
      <c r="M136" s="48">
        <f>NETWORKDAYS(IF(ISTEXT(H135), DT_B_JURS, H135), TAB_JUROS_U[[#This Row],[dt_lqdc_eve_u]],  TAB_FERIADOS[FER_DATA]) -1</f>
        <v>19</v>
      </c>
      <c r="N136" s="123">
        <f>(TX_EMISSAO/100 +1)^(TAB_JUROS_U[[#This Row],[dias_periodo_u]]/252)</f>
        <v>1.0018634787225431</v>
      </c>
      <c r="O136" s="78">
        <f>(TIR_U/100 +1)^(TAB_JUROS_U[[#This Row],[Q_DIAS_U_PARC_TIR]]/252)</f>
        <v>1.2568734653144804</v>
      </c>
      <c r="P136" s="116" t="str">
        <f>"TX_CENARIO" &amp; TEXT(DT_CALCULO_C, "-AAAAMMDD") &amp; TEXT(TAB_JUROS_U[[#This Row],[DT_EVE]], "-AAAAMMDD")</f>
        <v>TX_CENARIO-20151228-20250408</v>
      </c>
      <c r="Q136" s="44">
        <f>IFERROR(VLOOKUP(TAB_JUROS_U[[#This Row],[Chave-CENARIO]],CENARIO[],2,FALSE), 0)</f>
        <v>16.356000000000002</v>
      </c>
      <c r="R136" s="116" t="str">
        <f>"CORRECAO_JURS_U" &amp; TEXT(DT_CALCULO_C, "-AAAAMMDD") &amp; TEXT(TAB_JUROS_U[[#This Row],[DT_EVE]], "-AAAAMMDD")</f>
        <v>CORRECAO_JURS_U-20151228-20250408</v>
      </c>
      <c r="S136" s="44">
        <f>IFERROR(VLOOKUP(TAB_JUROS_U[[#This Row],[Chave-CORC]],CORRECAO_JURS_U[],2, FALSE), 0)</f>
        <v>1.0112228299999999</v>
      </c>
      <c r="T136" s="78">
        <f>MAX(0, (TAB_JUROS_U[[#This Row],[CUPOM_TIR]] -1) * IF(TAB_JUROS_U[[#This Row],[ID_T_EVE]]=1, TAB_JUROS_U[[#This Row],[PU_AMORT]], TAB_JUROS_U[[#This Row],[V_NOML_PCPL]]) * TAB_JUROS_U[[#This Row],[CORRECAO_U]])</f>
        <v>33.270075358288544</v>
      </c>
      <c r="U136" s="78">
        <f>MAX(0, TAB_JUROS_U[[#This Row],[V_FUT_U_JURS-01]]/((((TAB_JUROS_U[[#This Row],[TX_CENARIO]]/100 +1)^(1/252) -1) * PC_IDXR/100 +1)^TAB_JUROS_U[[#This Row],[Q_DIAS_U_PARC_TIR]]))</f>
        <v>8.1843729026718872</v>
      </c>
      <c r="V136" s="78">
        <f>+TAB_JUROS_U[[#This Row],[V_FUT_U_JURS CENARIO]]/TAB_JUROS_U[[#This Row],[VAR_DESCAP_U]]</f>
        <v>6.5116920107976721</v>
      </c>
      <c r="W136" s="78"/>
      <c r="X136" s="64">
        <f>TAB_JUROS_U[[#This Row],[dt_eve_u]]- DT_CALCULO_C</f>
        <v>3389</v>
      </c>
      <c r="Y136" s="48" t="str">
        <f>"CORRECAO_JURS_C" &amp; TEXT(DT_CALCULO_C, "-AAAAMMDD") &amp; TEXT(TAB_JUROS_U[[#This Row],[DT_EVE]], "-AAAAMMDD")</f>
        <v>CORRECAO_JURS_C-20151228-20250408</v>
      </c>
      <c r="Z136" s="44">
        <f>IFERROR(VLOOKUP(TAB_JUROS_C[[#This Row],[Chave-CORC]],CORRECAO_JURS_C[],2, FALSE), 0)</f>
        <v>1</v>
      </c>
      <c r="AA13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32.900834881554786</v>
      </c>
      <c r="AB136" s="63">
        <f>(TIR_C/100 +1)^(TAB_JUROS_C[[#This Row],[DIAS_CORRIDOS]]/360)</f>
        <v>1.257552164155523</v>
      </c>
      <c r="AC136" s="78">
        <f>IF(TAB_JUROS_C[[#This Row],[DIAS_CORRIDOS]]&lt;0, 0, TAB_JUROS_C[[#This Row],[V_FUT_C_JURS]]/TAB_JUROS_C[[#This Row],[VAR_DESCAP_C]])</f>
        <v>26.162600502261075</v>
      </c>
      <c r="AD136" s="78">
        <f>TAB_JUROS_U[[#This Row],[V_FUT_U_JURS CENARIO]]</f>
        <v>8.1843729026718872</v>
      </c>
      <c r="AE136" s="124">
        <f>IF(TAB_JUROS_C[[#This Row],[DIAS_CORRIDOS]]&lt;0, 0, TAB_JUROS_C[[#This Row],[V_FUT_UTEIS]]/TAB_JUROS_C[[#This Row],[VAR_DESCAP_C]])</f>
        <v>6.5081776612963758</v>
      </c>
      <c r="AF136" s="64"/>
    </row>
    <row r="137" spans="1:32">
      <c r="A137" s="82">
        <f t="shared" si="3"/>
        <v>113</v>
      </c>
      <c r="B137" s="24">
        <f>VLOOKUP($A137, CAD_JUROS[#Data], MATCH(B$24, CAD_JUROS[#Headers],0), FALSE)</f>
        <v>2</v>
      </c>
      <c r="C137" s="24" t="str">
        <f>VLOOKUP($A137, CAD_JUROS[#Data], MATCH(C$24, CAD_JUROS[#Headers],0), FALSE)</f>
        <v xml:space="preserve">JUROS SOBRE PRINCIPAL                             </v>
      </c>
      <c r="D137" s="36">
        <f>VLOOKUP($A137, CAD_JUROS[#Data], MATCH(D$24, CAD_JUROS[#Headers],0), FALSE)</f>
        <v>45786</v>
      </c>
      <c r="E137" s="48">
        <f>VLOOKUP($A137, CAD_JUROS[#Data], MATCH(E$24, CAD_JUROS[#Headers],0), FALSE)</f>
        <v>0</v>
      </c>
      <c r="F137" s="36">
        <f>VLOOKUP($A137, CAD_JUROS[#Data], MATCH(F$24, CAD_JUROS[#Headers],0), FALSE)</f>
        <v>45792</v>
      </c>
      <c r="G137" s="47">
        <f>WORKDAY(WORKDAY(TAB_JUROS_U[[#This Row],[DT_EVE]], -1, TAB_FERIADOS[FER_DATA]), 1, TAB_FERIADOS[FER_DATA])</f>
        <v>45786</v>
      </c>
      <c r="H137" s="75">
        <f>WORKDAY(WORKDAY(TAB_JUROS_U[[#This Row],[DT_LQDC_EVE]], -1, TAB_FERIADOS[FER_DATA]), 1, TAB_FERIADOS[FER_DATA])</f>
        <v>45792</v>
      </c>
      <c r="I137" s="48">
        <f>PU_EMISSAO - SUMIF(TAB_AMORTIZACAO_U[DT_EVE], "&lt;" &amp; TAB_JUROS_U[[#This Row],[DT_EVE]], TAB_AMORTIZACAO_U[V_PU_AMTC])</f>
        <v>17073.388908000023</v>
      </c>
      <c r="J137" s="48">
        <f>IFERROR(VLOOKUP(TAB_JUROS_U[[#This Row],[DT_EVE]], TAB_AMORTIZACAO_U[[DT_EVE]:[V_PU_AMTC]], 2, FALSE), 0)</f>
        <v>574.50246300000003</v>
      </c>
      <c r="K137" s="48">
        <f>NETWORKDAYS(DT_CALCULO_U, TAB_JUROS_U[[#This Row],[dt_eve_u]], TAB_FERIADOS[FER_DATA]) -1</f>
        <v>2349</v>
      </c>
      <c r="L137" s="48">
        <f>NETWORKDAYS(DT_CALCULO_U, TAB_JUROS_U[[#This Row],[dt_lqdc_eve_u]], TAB_FERIADOS[FER_DATA]) -1</f>
        <v>2353</v>
      </c>
      <c r="M137" s="48">
        <f>NETWORKDAYS(IF(ISTEXT(H136), DT_B_JURS, H136), TAB_JUROS_U[[#This Row],[dt_lqdc_eve_u]],  TAB_FERIADOS[FER_DATA]) -1</f>
        <v>20</v>
      </c>
      <c r="N137" s="123">
        <f>(TX_EMISSAO/100 +1)^(TAB_JUROS_U[[#This Row],[dias_periodo_u]]/252)</f>
        <v>1.0019616526860928</v>
      </c>
      <c r="O137" s="78">
        <f>(TIR_U/100 +1)^(TAB_JUROS_U[[#This Row],[Q_DIAS_U_PARC_TIR]]/252)</f>
        <v>1.2593392803283947</v>
      </c>
      <c r="P137" s="116" t="str">
        <f>"TX_CENARIO" &amp; TEXT(DT_CALCULO_C, "-AAAAMMDD") &amp; TEXT(TAB_JUROS_U[[#This Row],[DT_EVE]], "-AAAAMMDD")</f>
        <v>TX_CENARIO-20151228-20250509</v>
      </c>
      <c r="Q137" s="44">
        <f>IFERROR(VLOOKUP(TAB_JUROS_U[[#This Row],[Chave-CENARIO]],CENARIO[],2,FALSE), 0)</f>
        <v>16.351900000000001</v>
      </c>
      <c r="R137" s="116" t="str">
        <f>"CORRECAO_JURS_U" &amp; TEXT(DT_CALCULO_C, "-AAAAMMDD") &amp; TEXT(TAB_JUROS_U[[#This Row],[DT_EVE]], "-AAAAMMDD")</f>
        <v>CORRECAO_JURS_U-20151228-20250509</v>
      </c>
      <c r="S137" s="44">
        <f>IFERROR(VLOOKUP(TAB_JUROS_U[[#This Row],[Chave-CORC]],CORRECAO_JURS_U[],2, FALSE), 0)</f>
        <v>1.0118169800000001</v>
      </c>
      <c r="T137" s="78">
        <f>MAX(0, (TAB_JUROS_U[[#This Row],[CUPOM_TIR]] -1) * IF(TAB_JUROS_U[[#This Row],[ID_T_EVE]]=1, TAB_JUROS_U[[#This Row],[PU_AMORT]], TAB_JUROS_U[[#This Row],[V_NOML_PCPL]]) * TAB_JUROS_U[[#This Row],[CORRECAO_U]])</f>
        <v>33.887834205953808</v>
      </c>
      <c r="U137" s="78">
        <f>MAX(0, TAB_JUROS_U[[#This Row],[V_FUT_U_JURS-01]]/((((TAB_JUROS_U[[#This Row],[TX_CENARIO]]/100 +1)^(1/252) -1) * PC_IDXR/100 +1)^TAB_JUROS_U[[#This Row],[Q_DIAS_U_PARC_TIR]]))</f>
        <v>8.239426768357113</v>
      </c>
      <c r="V137" s="78">
        <f>+TAB_JUROS_U[[#This Row],[V_FUT_U_JURS CENARIO]]/TAB_JUROS_U[[#This Row],[VAR_DESCAP_U]]</f>
        <v>6.5426584376916592</v>
      </c>
      <c r="W137" s="78"/>
      <c r="X137" s="64">
        <f>TAB_JUROS_U[[#This Row],[dt_eve_u]]- DT_CALCULO_C</f>
        <v>3420</v>
      </c>
      <c r="Y137" s="48" t="str">
        <f>"CORRECAO_JURS_C" &amp; TEXT(DT_CALCULO_C, "-AAAAMMDD") &amp; TEXT(TAB_JUROS_U[[#This Row],[DT_EVE]], "-AAAAMMDD")</f>
        <v>CORRECAO_JURS_C-20151228-20250509</v>
      </c>
      <c r="Z137" s="44">
        <f>IFERROR(VLOOKUP(TAB_JUROS_C[[#This Row],[Chave-CORC]],CORRECAO_JURS_C[],2, FALSE), 0)</f>
        <v>1</v>
      </c>
      <c r="AA13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33.492059212085771</v>
      </c>
      <c r="AB137" s="63">
        <f>(TIR_C/100 +1)^(TAB_JUROS_C[[#This Row],[DIAS_CORRIDOS]]/360)</f>
        <v>1.2601910687259181</v>
      </c>
      <c r="AC137" s="78">
        <f>IF(TAB_JUROS_C[[#This Row],[DIAS_CORRIDOS]]&lt;0, 0, TAB_JUROS_C[[#This Row],[V_FUT_C_JURS]]/TAB_JUROS_C[[#This Row],[VAR_DESCAP_C]])</f>
        <v>26.576969194002466</v>
      </c>
      <c r="AD137" s="78">
        <f>TAB_JUROS_U[[#This Row],[V_FUT_U_JURS CENARIO]]</f>
        <v>8.239426768357113</v>
      </c>
      <c r="AE137" s="124">
        <f>IF(TAB_JUROS_C[[#This Row],[DIAS_CORRIDOS]]&lt;0, 0, TAB_JUROS_C[[#This Row],[V_FUT_UTEIS]]/TAB_JUROS_C[[#This Row],[VAR_DESCAP_C]])</f>
        <v>6.5382361237390461</v>
      </c>
      <c r="AF137" s="64"/>
    </row>
    <row r="138" spans="1:32">
      <c r="A138" s="82">
        <f t="shared" si="3"/>
        <v>114</v>
      </c>
      <c r="B138" s="24">
        <f>VLOOKUP($A138, CAD_JUROS[#Data], MATCH(B$24, CAD_JUROS[#Headers],0), FALSE)</f>
        <v>2</v>
      </c>
      <c r="C138" s="24" t="str">
        <f>VLOOKUP($A138, CAD_JUROS[#Data], MATCH(C$24, CAD_JUROS[#Headers],0), FALSE)</f>
        <v xml:space="preserve">JUROS SOBRE PRINCIPAL                             </v>
      </c>
      <c r="D138" s="36">
        <f>VLOOKUP($A138, CAD_JUROS[#Data], MATCH(D$24, CAD_JUROS[#Headers],0), FALSE)</f>
        <v>45817</v>
      </c>
      <c r="E138" s="48">
        <f>VLOOKUP($A138, CAD_JUROS[#Data], MATCH(E$24, CAD_JUROS[#Headers],0), FALSE)</f>
        <v>0</v>
      </c>
      <c r="F138" s="36">
        <f>VLOOKUP($A138, CAD_JUROS[#Data], MATCH(F$24, CAD_JUROS[#Headers],0), FALSE)</f>
        <v>45821</v>
      </c>
      <c r="G138" s="47">
        <f>WORKDAY(WORKDAY(TAB_JUROS_U[[#This Row],[DT_EVE]], -1, TAB_FERIADOS[FER_DATA]), 1, TAB_FERIADOS[FER_DATA])</f>
        <v>45817</v>
      </c>
      <c r="H138" s="75">
        <f>WORKDAY(WORKDAY(TAB_JUROS_U[[#This Row],[DT_LQDC_EVE]], -1, TAB_FERIADOS[FER_DATA]), 1, TAB_FERIADOS[FER_DATA])</f>
        <v>45821</v>
      </c>
      <c r="I138" s="48">
        <f>PU_EMISSAO - SUMIF(TAB_AMORTIZACAO_U[DT_EVE], "&lt;" &amp; TAB_JUROS_U[[#This Row],[DT_EVE]], TAB_AMORTIZACAO_U[V_PU_AMTC])</f>
        <v>16498.886445000026</v>
      </c>
      <c r="J138" s="48">
        <f>IFERROR(VLOOKUP(TAB_JUROS_U[[#This Row],[DT_EVE]], TAB_AMORTIZACAO_U[[DT_EVE]:[V_PU_AMTC]], 2, FALSE), 0)</f>
        <v>566.63775599999997</v>
      </c>
      <c r="K138" s="48">
        <f>NETWORKDAYS(DT_CALCULO_U, TAB_JUROS_U[[#This Row],[dt_eve_u]], TAB_FERIADOS[FER_DATA]) -1</f>
        <v>2370</v>
      </c>
      <c r="L138" s="48">
        <f>NETWORKDAYS(DT_CALCULO_U, TAB_JUROS_U[[#This Row],[dt_lqdc_eve_u]], TAB_FERIADOS[FER_DATA]) -1</f>
        <v>2374</v>
      </c>
      <c r="M138" s="48">
        <f>NETWORKDAYS(IF(ISTEXT(H137), DT_B_JURS, H137), TAB_JUROS_U[[#This Row],[dt_lqdc_eve_u]],  TAB_FERIADOS[FER_DATA]) -1</f>
        <v>21</v>
      </c>
      <c r="N138" s="123">
        <f>(TX_EMISSAO/100 +1)^(TAB_JUROS_U[[#This Row],[dias_periodo_u]]/252)</f>
        <v>1.0020598362698427</v>
      </c>
      <c r="O138" s="78">
        <f>(TIR_U/100 +1)^(TAB_JUROS_U[[#This Row],[Q_DIAS_U_PARC_TIR]]/252)</f>
        <v>1.2619335927238347</v>
      </c>
      <c r="P138" s="116" t="str">
        <f>"TX_CENARIO" &amp; TEXT(DT_CALCULO_C, "-AAAAMMDD") &amp; TEXT(TAB_JUROS_U[[#This Row],[DT_EVE]], "-AAAAMMDD")</f>
        <v>TX_CENARIO-20151228-20250609</v>
      </c>
      <c r="Q138" s="44">
        <f>IFERROR(VLOOKUP(TAB_JUROS_U[[#This Row],[Chave-CENARIO]],CENARIO[],2,FALSE), 0)</f>
        <v>16.3477</v>
      </c>
      <c r="R138" s="116" t="str">
        <f>"CORRECAO_JURS_U" &amp; TEXT(DT_CALCULO_C, "-AAAAMMDD") &amp; TEXT(TAB_JUROS_U[[#This Row],[DT_EVE]], "-AAAAMMDD")</f>
        <v>CORRECAO_JURS_U-20151228-20250609</v>
      </c>
      <c r="S138" s="44">
        <f>IFERROR(VLOOKUP(TAB_JUROS_U[[#This Row],[Chave-CORC]],CORRECAO_JURS_U[],2, FALSE), 0)</f>
        <v>1.0124114900000001</v>
      </c>
      <c r="T138" s="78">
        <f>MAX(0, (TAB_JUROS_U[[#This Row],[CUPOM_TIR]] -1) * IF(TAB_JUROS_U[[#This Row],[ID_T_EVE]]=1, TAB_JUROS_U[[#This Row],[PU_AMORT]], TAB_JUROS_U[[#This Row],[V_NOML_PCPL]]) * TAB_JUROS_U[[#This Row],[CORRECAO_U]])</f>
        <v>34.406809257553654</v>
      </c>
      <c r="U138" s="78">
        <f>MAX(0, TAB_JUROS_U[[#This Row],[V_FUT_U_JURS-01]]/((((TAB_JUROS_U[[#This Row],[TX_CENARIO]]/100 +1)^(1/252) -1) * PC_IDXR/100 +1)^TAB_JUROS_U[[#This Row],[Q_DIAS_U_PARC_TIR]]))</f>
        <v>8.2635022555841964</v>
      </c>
      <c r="V138" s="78">
        <f>+TAB_JUROS_U[[#This Row],[V_FUT_U_JURS CENARIO]]/TAB_JUROS_U[[#This Row],[VAR_DESCAP_U]]</f>
        <v>6.548286140594568</v>
      </c>
      <c r="W138" s="78"/>
      <c r="X138" s="64">
        <f>TAB_JUROS_U[[#This Row],[dt_eve_u]]- DT_CALCULO_C</f>
        <v>3451</v>
      </c>
      <c r="Y138" s="48" t="str">
        <f>"CORRECAO_JURS_C" &amp; TEXT(DT_CALCULO_C, "-AAAAMMDD") &amp; TEXT(TAB_JUROS_U[[#This Row],[DT_EVE]], "-AAAAMMDD")</f>
        <v>CORRECAO_JURS_C-20151228-20250609</v>
      </c>
      <c r="Z138" s="44">
        <f>IFERROR(VLOOKUP(TAB_JUROS_C[[#This Row],[Chave-CORC]],CORRECAO_JURS_C[],2, FALSE), 0)</f>
        <v>1</v>
      </c>
      <c r="AA13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33.985004711427813</v>
      </c>
      <c r="AB138" s="63">
        <f>(TIR_C/100 +1)^(TAB_JUROS_C[[#This Row],[DIAS_CORRIDOS]]/360)</f>
        <v>1.2628355108935041</v>
      </c>
      <c r="AC138" s="78">
        <f>IF(TAB_JUROS_C[[#This Row],[DIAS_CORRIDOS]]&lt;0, 0, TAB_JUROS_C[[#This Row],[V_FUT_C_JURS]]/TAB_JUROS_C[[#This Row],[VAR_DESCAP_C]])</f>
        <v>26.911663805986997</v>
      </c>
      <c r="AD138" s="78">
        <f>TAB_JUROS_U[[#This Row],[V_FUT_U_JURS CENARIO]]</f>
        <v>8.2635022555841964</v>
      </c>
      <c r="AE138" s="124">
        <f>IF(TAB_JUROS_C[[#This Row],[DIAS_CORRIDOS]]&lt;0, 0, TAB_JUROS_C[[#This Row],[V_FUT_UTEIS]]/TAB_JUROS_C[[#This Row],[VAR_DESCAP_C]])</f>
        <v>6.543609349199766</v>
      </c>
      <c r="AF138" s="64"/>
    </row>
    <row r="139" spans="1:32">
      <c r="A139" s="82">
        <f t="shared" si="3"/>
        <v>115</v>
      </c>
      <c r="B139" s="24">
        <f>VLOOKUP($A139, CAD_JUROS[#Data], MATCH(B$24, CAD_JUROS[#Headers],0), FALSE)</f>
        <v>2</v>
      </c>
      <c r="C139" s="24" t="str">
        <f>VLOOKUP($A139, CAD_JUROS[#Data], MATCH(C$24, CAD_JUROS[#Headers],0), FALSE)</f>
        <v xml:space="preserve">JUROS SOBRE PRINCIPAL                             </v>
      </c>
      <c r="D139" s="36">
        <f>VLOOKUP($A139, CAD_JUROS[#Data], MATCH(D$24, CAD_JUROS[#Headers],0), FALSE)</f>
        <v>45846</v>
      </c>
      <c r="E139" s="48">
        <f>VLOOKUP($A139, CAD_JUROS[#Data], MATCH(E$24, CAD_JUROS[#Headers],0), FALSE)</f>
        <v>0</v>
      </c>
      <c r="F139" s="36">
        <f>VLOOKUP($A139, CAD_JUROS[#Data], MATCH(F$24, CAD_JUROS[#Headers],0), FALSE)</f>
        <v>45852</v>
      </c>
      <c r="G139" s="47">
        <f>WORKDAY(WORKDAY(TAB_JUROS_U[[#This Row],[DT_EVE]], -1, TAB_FERIADOS[FER_DATA]), 1, TAB_FERIADOS[FER_DATA])</f>
        <v>45846</v>
      </c>
      <c r="H139" s="75">
        <f>WORKDAY(WORKDAY(TAB_JUROS_U[[#This Row],[DT_LQDC_EVE]], -1, TAB_FERIADOS[FER_DATA]), 1, TAB_FERIADOS[FER_DATA])</f>
        <v>45852</v>
      </c>
      <c r="I139" s="48">
        <f>PU_EMISSAO - SUMIF(TAB_AMORTIZACAO_U[DT_EVE], "&lt;" &amp; TAB_JUROS_U[[#This Row],[DT_EVE]], TAB_AMORTIZACAO_U[V_PU_AMTC])</f>
        <v>15932.248689000029</v>
      </c>
      <c r="J139" s="48">
        <f>IFERROR(VLOOKUP(TAB_JUROS_U[[#This Row],[DT_EVE]], TAB_AMORTIZACAO_U[[DT_EVE]:[V_PU_AMTC]], 2, FALSE), 0)</f>
        <v>562.42430999999999</v>
      </c>
      <c r="K139" s="48">
        <f>NETWORKDAYS(DT_CALCULO_U, TAB_JUROS_U[[#This Row],[dt_eve_u]], TAB_FERIADOS[FER_DATA]) -1</f>
        <v>2390</v>
      </c>
      <c r="L139" s="48">
        <f>NETWORKDAYS(DT_CALCULO_U, TAB_JUROS_U[[#This Row],[dt_lqdc_eve_u]], TAB_FERIADOS[FER_DATA]) -1</f>
        <v>2394</v>
      </c>
      <c r="M139" s="48">
        <f>NETWORKDAYS(IF(ISTEXT(H138), DT_B_JURS, H138), TAB_JUROS_U[[#This Row],[dt_lqdc_eve_u]],  TAB_FERIADOS[FER_DATA]) -1</f>
        <v>20</v>
      </c>
      <c r="N139" s="123">
        <f>(TX_EMISSAO/100 +1)^(TAB_JUROS_U[[#This Row],[dias_periodo_u]]/252)</f>
        <v>1.0019616526860928</v>
      </c>
      <c r="O139" s="78">
        <f>(TIR_U/100 +1)^(TAB_JUROS_U[[#This Row],[Q_DIAS_U_PARC_TIR]]/252)</f>
        <v>1.2644093350203933</v>
      </c>
      <c r="P139" s="116" t="str">
        <f>"TX_CENARIO" &amp; TEXT(DT_CALCULO_C, "-AAAAMMDD") &amp; TEXT(TAB_JUROS_U[[#This Row],[DT_EVE]], "-AAAAMMDD")</f>
        <v>TX_CENARIO-20151228-20250708</v>
      </c>
      <c r="Q139" s="44">
        <f>IFERROR(VLOOKUP(TAB_JUROS_U[[#This Row],[Chave-CENARIO]],CENARIO[],2,FALSE), 0)</f>
        <v>16.343699999999998</v>
      </c>
      <c r="R139" s="116" t="str">
        <f>"CORRECAO_JURS_U" &amp; TEXT(DT_CALCULO_C, "-AAAAMMDD") &amp; TEXT(TAB_JUROS_U[[#This Row],[DT_EVE]], "-AAAAMMDD")</f>
        <v>CORRECAO_JURS_U-20151228-20250708</v>
      </c>
      <c r="S139" s="44">
        <f>IFERROR(VLOOKUP(TAB_JUROS_U[[#This Row],[Chave-CORC]],CORRECAO_JURS_U[],2, FALSE), 0)</f>
        <v>1.0118169800000001</v>
      </c>
      <c r="T139" s="78">
        <f>MAX(0, (TAB_JUROS_U[[#This Row],[CUPOM_TIR]] -1) * IF(TAB_JUROS_U[[#This Row],[ID_T_EVE]]=1, TAB_JUROS_U[[#This Row],[PU_AMORT]], TAB_JUROS_U[[#This Row],[V_NOML_PCPL]]) * TAB_JUROS_U[[#This Row],[CORRECAO_U]])</f>
        <v>31.622860874906578</v>
      </c>
      <c r="U139" s="78">
        <f>MAX(0, TAB_JUROS_U[[#This Row],[V_FUT_U_JURS-01]]/((((TAB_JUROS_U[[#This Row],[TX_CENARIO]]/100 +1)^(1/252) -1) * PC_IDXR/100 +1)^TAB_JUROS_U[[#This Row],[Q_DIAS_U_PARC_TIR]]))</f>
        <v>7.5066104739287125</v>
      </c>
      <c r="V139" s="78">
        <f>+TAB_JUROS_U[[#This Row],[V_FUT_U_JURS CENARIO]]/TAB_JUROS_U[[#This Row],[VAR_DESCAP_U]]</f>
        <v>5.9368515132068689</v>
      </c>
      <c r="W139" s="78"/>
      <c r="X139" s="64">
        <f>TAB_JUROS_U[[#This Row],[dt_eve_u]]- DT_CALCULO_C</f>
        <v>3480</v>
      </c>
      <c r="Y139" s="48" t="str">
        <f>"CORRECAO_JURS_C" &amp; TEXT(DT_CALCULO_C, "-AAAAMMDD") &amp; TEXT(TAB_JUROS_U[[#This Row],[DT_EVE]], "-AAAAMMDD")</f>
        <v>CORRECAO_JURS_C-20151228-20250708</v>
      </c>
      <c r="Z139" s="44">
        <f>IFERROR(VLOOKUP(TAB_JUROS_C[[#This Row],[Chave-CORC]],CORRECAO_JURS_C[],2, FALSE), 0)</f>
        <v>1</v>
      </c>
      <c r="AA13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31.253538436275871</v>
      </c>
      <c r="AB139" s="63">
        <f>(TIR_C/100 +1)^(TAB_JUROS_C[[#This Row],[DIAS_CORRIDOS]]/360)</f>
        <v>1.2653143674077278</v>
      </c>
      <c r="AC139" s="78">
        <f>IF(TAB_JUROS_C[[#This Row],[DIAS_CORRIDOS]]&lt;0, 0, TAB_JUROS_C[[#This Row],[V_FUT_C_JURS]]/TAB_JUROS_C[[#This Row],[VAR_DESCAP_C]])</f>
        <v>24.700216200267729</v>
      </c>
      <c r="AD139" s="78">
        <f>TAB_JUROS_U[[#This Row],[V_FUT_U_JURS CENARIO]]</f>
        <v>7.5066104739287125</v>
      </c>
      <c r="AE139" s="124">
        <f>IF(TAB_JUROS_C[[#This Row],[DIAS_CORRIDOS]]&lt;0, 0, TAB_JUROS_C[[#This Row],[V_FUT_UTEIS]]/TAB_JUROS_C[[#This Row],[VAR_DESCAP_C]])</f>
        <v>5.9326051037479637</v>
      </c>
      <c r="AF139" s="64"/>
    </row>
    <row r="140" spans="1:32">
      <c r="A140" s="82">
        <f t="shared" si="3"/>
        <v>116</v>
      </c>
      <c r="B140" s="24">
        <f>VLOOKUP($A140, CAD_JUROS[#Data], MATCH(B$24, CAD_JUROS[#Headers],0), FALSE)</f>
        <v>2</v>
      </c>
      <c r="C140" s="24" t="str">
        <f>VLOOKUP($A140, CAD_JUROS[#Data], MATCH(C$24, CAD_JUROS[#Headers],0), FALSE)</f>
        <v xml:space="preserve">JUROS SOBRE PRINCIPAL                             </v>
      </c>
      <c r="D140" s="36">
        <f>VLOOKUP($A140, CAD_JUROS[#Data], MATCH(D$24, CAD_JUROS[#Headers],0), FALSE)</f>
        <v>45877</v>
      </c>
      <c r="E140" s="48">
        <f>VLOOKUP($A140, CAD_JUROS[#Data], MATCH(E$24, CAD_JUROS[#Headers],0), FALSE)</f>
        <v>0</v>
      </c>
      <c r="F140" s="36">
        <f>VLOOKUP($A140, CAD_JUROS[#Data], MATCH(F$24, CAD_JUROS[#Headers],0), FALSE)</f>
        <v>45883</v>
      </c>
      <c r="G140" s="47">
        <f>WORKDAY(WORKDAY(TAB_JUROS_U[[#This Row],[DT_EVE]], -1, TAB_FERIADOS[FER_DATA]), 1, TAB_FERIADOS[FER_DATA])</f>
        <v>45877</v>
      </c>
      <c r="H140" s="75">
        <f>WORKDAY(WORKDAY(TAB_JUROS_U[[#This Row],[DT_LQDC_EVE]], -1, TAB_FERIADOS[FER_DATA]), 1, TAB_FERIADOS[FER_DATA])</f>
        <v>45883</v>
      </c>
      <c r="I140" s="48">
        <f>PU_EMISSAO - SUMIF(TAB_AMORTIZACAO_U[DT_EVE], "&lt;" &amp; TAB_JUROS_U[[#This Row],[DT_EVE]], TAB_AMORTIZACAO_U[V_PU_AMTC])</f>
        <v>15369.824379000027</v>
      </c>
      <c r="J140" s="48">
        <f>IFERROR(VLOOKUP(TAB_JUROS_U[[#This Row],[DT_EVE]], TAB_AMORTIZACAO_U[[DT_EVE]:[V_PU_AMTC]], 2, FALSE), 0)</f>
        <v>551.10042199999998</v>
      </c>
      <c r="K140" s="48">
        <f>NETWORKDAYS(DT_CALCULO_U, TAB_JUROS_U[[#This Row],[dt_eve_u]], TAB_FERIADOS[FER_DATA]) -1</f>
        <v>2413</v>
      </c>
      <c r="L140" s="48">
        <f>NETWORKDAYS(DT_CALCULO_U, TAB_JUROS_U[[#This Row],[dt_lqdc_eve_u]], TAB_FERIADOS[FER_DATA]) -1</f>
        <v>2417</v>
      </c>
      <c r="M140" s="48">
        <f>NETWORKDAYS(IF(ISTEXT(H139), DT_B_JURS, H139), TAB_JUROS_U[[#This Row],[dt_lqdc_eve_u]],  TAB_FERIADOS[FER_DATA]) -1</f>
        <v>23</v>
      </c>
      <c r="N140" s="123">
        <f>(TX_EMISSAO/100 +1)^(TAB_JUROS_U[[#This Row],[dias_periodo_u]]/252)</f>
        <v>1.0022562323017139</v>
      </c>
      <c r="O140" s="78">
        <f>(TIR_U/100 +1)^(TAB_JUROS_U[[#This Row],[Q_DIAS_U_PARC_TIR]]/252)</f>
        <v>1.267262443803105</v>
      </c>
      <c r="P140" s="116" t="str">
        <f>"TX_CENARIO" &amp; TEXT(DT_CALCULO_C, "-AAAAMMDD") &amp; TEXT(TAB_JUROS_U[[#This Row],[DT_EVE]], "-AAAAMMDD")</f>
        <v>TX_CENARIO-20151228-20250808</v>
      </c>
      <c r="Q140" s="44">
        <f>IFERROR(VLOOKUP(TAB_JUROS_U[[#This Row],[Chave-CENARIO]],CENARIO[],2,FALSE), 0)</f>
        <v>16.339200000000002</v>
      </c>
      <c r="R140" s="116" t="str">
        <f>"CORRECAO_JURS_U" &amp; TEXT(DT_CALCULO_C, "-AAAAMMDD") &amp; TEXT(TAB_JUROS_U[[#This Row],[DT_EVE]], "-AAAAMMDD")</f>
        <v>CORRECAO_JURS_U-20151228-20250808</v>
      </c>
      <c r="S140" s="44">
        <f>IFERROR(VLOOKUP(TAB_JUROS_U[[#This Row],[Chave-CORC]],CORRECAO_JURS_U[],2, FALSE), 0)</f>
        <v>1.01360154</v>
      </c>
      <c r="T140" s="78">
        <f>MAX(0, (TAB_JUROS_U[[#This Row],[CUPOM_TIR]] -1) * IF(TAB_JUROS_U[[#This Row],[ID_T_EVE]]=1, TAB_JUROS_U[[#This Row],[PU_AMORT]], TAB_JUROS_U[[#This Row],[V_NOML_PCPL]]) * TAB_JUROS_U[[#This Row],[CORRECAO_U]])</f>
        <v>35.149567001130521</v>
      </c>
      <c r="U140" s="78">
        <f>MAX(0, TAB_JUROS_U[[#This Row],[V_FUT_U_JURS-01]]/((((TAB_JUROS_U[[#This Row],[TX_CENARIO]]/100 +1)^(1/252) -1) * PC_IDXR/100 +1)^TAB_JUROS_U[[#This Row],[Q_DIAS_U_PARC_TIR]]))</f>
        <v>8.2323433793209411</v>
      </c>
      <c r="V140" s="78">
        <f>+TAB_JUROS_U[[#This Row],[V_FUT_U_JURS CENARIO]]/TAB_JUROS_U[[#This Row],[VAR_DESCAP_U]]</f>
        <v>6.4961629846895415</v>
      </c>
      <c r="W140" s="78"/>
      <c r="X140" s="64">
        <f>TAB_JUROS_U[[#This Row],[dt_eve_u]]- DT_CALCULO_C</f>
        <v>3511</v>
      </c>
      <c r="Y140" s="48" t="str">
        <f>"CORRECAO_JURS_C" &amp; TEXT(DT_CALCULO_C, "-AAAAMMDD") &amp; TEXT(TAB_JUROS_U[[#This Row],[DT_EVE]], "-AAAAMMDD")</f>
        <v>CORRECAO_JURS_C-20151228-20250808</v>
      </c>
      <c r="Z140" s="44">
        <f>IFERROR(VLOOKUP(TAB_JUROS_C[[#This Row],[Chave-CORC]],CORRECAO_JURS_C[],2, FALSE), 0)</f>
        <v>1</v>
      </c>
      <c r="AA14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34.677894235569653</v>
      </c>
      <c r="AB140" s="63">
        <f>(TIR_C/100 +1)^(TAB_JUROS_C[[#This Row],[DIAS_CORRIDOS]]/360)</f>
        <v>1.267969560537932</v>
      </c>
      <c r="AC140" s="78">
        <f>IF(TAB_JUROS_C[[#This Row],[DIAS_CORRIDOS]]&lt;0, 0, TAB_JUROS_C[[#This Row],[V_FUT_C_JURS]]/TAB_JUROS_C[[#This Row],[VAR_DESCAP_C]])</f>
        <v>27.34915357183943</v>
      </c>
      <c r="AD140" s="78">
        <f>TAB_JUROS_U[[#This Row],[V_FUT_U_JURS CENARIO]]</f>
        <v>8.2323433793209411</v>
      </c>
      <c r="AE140" s="124">
        <f>IF(TAB_JUROS_C[[#This Row],[DIAS_CORRIDOS]]&lt;0, 0, TAB_JUROS_C[[#This Row],[V_FUT_UTEIS]]/TAB_JUROS_C[[#This Row],[VAR_DESCAP_C]])</f>
        <v>6.4925402277231292</v>
      </c>
      <c r="AF140" s="64"/>
    </row>
    <row r="141" spans="1:32">
      <c r="A141" s="82">
        <f t="shared" si="3"/>
        <v>117</v>
      </c>
      <c r="B141" s="24">
        <f>VLOOKUP($A141, CAD_JUROS[#Data], MATCH(B$24, CAD_JUROS[#Headers],0), FALSE)</f>
        <v>2</v>
      </c>
      <c r="C141" s="24" t="str">
        <f>VLOOKUP($A141, CAD_JUROS[#Data], MATCH(C$24, CAD_JUROS[#Headers],0), FALSE)</f>
        <v xml:space="preserve">JUROS SOBRE PRINCIPAL                             </v>
      </c>
      <c r="D141" s="36">
        <f>VLOOKUP($A141, CAD_JUROS[#Data], MATCH(D$24, CAD_JUROS[#Headers],0), FALSE)</f>
        <v>45908</v>
      </c>
      <c r="E141" s="48">
        <f>VLOOKUP($A141, CAD_JUROS[#Data], MATCH(E$24, CAD_JUROS[#Headers],0), FALSE)</f>
        <v>0</v>
      </c>
      <c r="F141" s="36">
        <f>VLOOKUP($A141, CAD_JUROS[#Data], MATCH(F$24, CAD_JUROS[#Headers],0), FALSE)</f>
        <v>45912</v>
      </c>
      <c r="G141" s="47">
        <f>WORKDAY(WORKDAY(TAB_JUROS_U[[#This Row],[DT_EVE]], -1, TAB_FERIADOS[FER_DATA]), 1, TAB_FERIADOS[FER_DATA])</f>
        <v>45908</v>
      </c>
      <c r="H141" s="75">
        <f>WORKDAY(WORKDAY(TAB_JUROS_U[[#This Row],[DT_LQDC_EVE]], -1, TAB_FERIADOS[FER_DATA]), 1, TAB_FERIADOS[FER_DATA])</f>
        <v>45912</v>
      </c>
      <c r="I141" s="48">
        <f>PU_EMISSAO - SUMIF(TAB_AMORTIZACAO_U[DT_EVE], "&lt;" &amp; TAB_JUROS_U[[#This Row],[DT_EVE]], TAB_AMORTIZACAO_U[V_PU_AMTC])</f>
        <v>14818.723957000024</v>
      </c>
      <c r="J141" s="48">
        <f>IFERROR(VLOOKUP(TAB_JUROS_U[[#This Row],[DT_EVE]], TAB_AMORTIZACAO_U[[DT_EVE]:[V_PU_AMTC]], 2, FALSE), 0)</f>
        <v>548.15941699999996</v>
      </c>
      <c r="K141" s="48">
        <f>NETWORKDAYS(DT_CALCULO_U, TAB_JUROS_U[[#This Row],[dt_eve_u]], TAB_FERIADOS[FER_DATA]) -1</f>
        <v>2434</v>
      </c>
      <c r="L141" s="48">
        <f>NETWORKDAYS(DT_CALCULO_U, TAB_JUROS_U[[#This Row],[dt_lqdc_eve_u]], TAB_FERIADOS[FER_DATA]) -1</f>
        <v>2438</v>
      </c>
      <c r="M141" s="48">
        <f>NETWORKDAYS(IF(ISTEXT(H140), DT_B_JURS, H140), TAB_JUROS_U[[#This Row],[dt_lqdc_eve_u]],  TAB_FERIADOS[FER_DATA]) -1</f>
        <v>21</v>
      </c>
      <c r="N141" s="123">
        <f>(TX_EMISSAO/100 +1)^(TAB_JUROS_U[[#This Row],[dias_periodo_u]]/252)</f>
        <v>1.0020598362698427</v>
      </c>
      <c r="O141" s="78">
        <f>(TIR_U/100 +1)^(TAB_JUROS_U[[#This Row],[Q_DIAS_U_PARC_TIR]]/252)</f>
        <v>1.2698730783775909</v>
      </c>
      <c r="P141" s="116" t="str">
        <f>"TX_CENARIO" &amp; TEXT(DT_CALCULO_C, "-AAAAMMDD") &amp; TEXT(TAB_JUROS_U[[#This Row],[DT_EVE]], "-AAAAMMDD")</f>
        <v>TX_CENARIO-20151228-20250908</v>
      </c>
      <c r="Q141" s="44">
        <f>IFERROR(VLOOKUP(TAB_JUROS_U[[#This Row],[Chave-CENARIO]],CENARIO[],2,FALSE), 0)</f>
        <v>16.3352</v>
      </c>
      <c r="R141" s="116" t="str">
        <f>"CORRECAO_JURS_U" &amp; TEXT(DT_CALCULO_C, "-AAAAMMDD") &amp; TEXT(TAB_JUROS_U[[#This Row],[DT_EVE]], "-AAAAMMDD")</f>
        <v>CORRECAO_JURS_U-20151228-20250908</v>
      </c>
      <c r="S141" s="44">
        <f>IFERROR(VLOOKUP(TAB_JUROS_U[[#This Row],[Chave-CORC]],CORRECAO_JURS_U[],2, FALSE), 0)</f>
        <v>1.0124114799999999</v>
      </c>
      <c r="T141" s="78">
        <f>MAX(0, (TAB_JUROS_U[[#This Row],[CUPOM_TIR]] -1) * IF(TAB_JUROS_U[[#This Row],[ID_T_EVE]]=1, TAB_JUROS_U[[#This Row],[PU_AMORT]], TAB_JUROS_U[[#This Row],[V_NOML_PCPL]]) * TAB_JUROS_U[[#This Row],[CORRECAO_U]])</f>
        <v>30.90299489558646</v>
      </c>
      <c r="U141" s="78">
        <f>MAX(0, TAB_JUROS_U[[#This Row],[V_FUT_U_JURS-01]]/((((TAB_JUROS_U[[#This Row],[TX_CENARIO]]/100 +1)^(1/252) -1) * PC_IDXR/100 +1)^TAB_JUROS_U[[#This Row],[Q_DIAS_U_PARC_TIR]]))</f>
        <v>7.1494290183189166</v>
      </c>
      <c r="V141" s="78">
        <f>+TAB_JUROS_U[[#This Row],[V_FUT_U_JURS CENARIO]]/TAB_JUROS_U[[#This Row],[VAR_DESCAP_U]]</f>
        <v>5.6300343239445123</v>
      </c>
      <c r="W141" s="78"/>
      <c r="X141" s="64">
        <f>TAB_JUROS_U[[#This Row],[dt_eve_u]]- DT_CALCULO_C</f>
        <v>3542</v>
      </c>
      <c r="Y141" s="48" t="str">
        <f>"CORRECAO_JURS_C" &amp; TEXT(DT_CALCULO_C, "-AAAAMMDD") &amp; TEXT(TAB_JUROS_U[[#This Row],[DT_EVE]], "-AAAAMMDD")</f>
        <v>CORRECAO_JURS_C-20151228-20250908</v>
      </c>
      <c r="Z141" s="44">
        <f>IFERROR(VLOOKUP(TAB_JUROS_C[[#This Row],[Chave-CORC]],CORRECAO_JURS_C[],2, FALSE), 0)</f>
        <v>1</v>
      </c>
      <c r="AA14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30.52414507941619</v>
      </c>
      <c r="AB141" s="63">
        <f>(TIR_C/100 +1)^(TAB_JUROS_C[[#This Row],[DIAS_CORRIDOS]]/360)</f>
        <v>1.2706303254459805</v>
      </c>
      <c r="AC141" s="78">
        <f>IF(TAB_JUROS_C[[#This Row],[DIAS_CORRIDOS]]&lt;0, 0, TAB_JUROS_C[[#This Row],[V_FUT_C_JURS]]/TAB_JUROS_C[[#This Row],[VAR_DESCAP_C]])</f>
        <v>24.02283690868347</v>
      </c>
      <c r="AD141" s="78">
        <f>TAB_JUROS_U[[#This Row],[V_FUT_U_JURS CENARIO]]</f>
        <v>7.1494290183189166</v>
      </c>
      <c r="AE141" s="124">
        <f>IF(TAB_JUROS_C[[#This Row],[DIAS_CORRIDOS]]&lt;0, 0, TAB_JUROS_C[[#This Row],[V_FUT_UTEIS]]/TAB_JUROS_C[[#This Row],[VAR_DESCAP_C]])</f>
        <v>5.6266790388538279</v>
      </c>
      <c r="AF141" s="64"/>
    </row>
    <row r="142" spans="1:32">
      <c r="A142" s="82">
        <f t="shared" si="3"/>
        <v>118</v>
      </c>
      <c r="B142" s="24">
        <f>VLOOKUP($A142, CAD_JUROS[#Data], MATCH(B$24, CAD_JUROS[#Headers],0), FALSE)</f>
        <v>2</v>
      </c>
      <c r="C142" s="24" t="str">
        <f>VLOOKUP($A142, CAD_JUROS[#Data], MATCH(C$24, CAD_JUROS[#Headers],0), FALSE)</f>
        <v xml:space="preserve">JUROS SOBRE PRINCIPAL                             </v>
      </c>
      <c r="D142" s="36">
        <f>VLOOKUP($A142, CAD_JUROS[#Data], MATCH(D$24, CAD_JUROS[#Headers],0), FALSE)</f>
        <v>45938</v>
      </c>
      <c r="E142" s="48">
        <f>VLOOKUP($A142, CAD_JUROS[#Data], MATCH(E$24, CAD_JUROS[#Headers],0), FALSE)</f>
        <v>0</v>
      </c>
      <c r="F142" s="36">
        <f>VLOOKUP($A142, CAD_JUROS[#Data], MATCH(F$24, CAD_JUROS[#Headers],0), FALSE)</f>
        <v>45944</v>
      </c>
      <c r="G142" s="47">
        <f>WORKDAY(WORKDAY(TAB_JUROS_U[[#This Row],[DT_EVE]], -1, TAB_FERIADOS[FER_DATA]), 1, TAB_FERIADOS[FER_DATA])</f>
        <v>45938</v>
      </c>
      <c r="H142" s="75">
        <f>WORKDAY(WORKDAY(TAB_JUROS_U[[#This Row],[DT_LQDC_EVE]], -1, TAB_FERIADOS[FER_DATA]), 1, TAB_FERIADOS[FER_DATA])</f>
        <v>45944</v>
      </c>
      <c r="I142" s="48">
        <f>PU_EMISSAO - SUMIF(TAB_AMORTIZACAO_U[DT_EVE], "&lt;" &amp; TAB_JUROS_U[[#This Row],[DT_EVE]], TAB_AMORTIZACAO_U[V_PU_AMTC])</f>
        <v>14270.564540000021</v>
      </c>
      <c r="J142" s="48">
        <f>IFERROR(VLOOKUP(TAB_JUROS_U[[#This Row],[DT_EVE]], TAB_AMORTIZACAO_U[[DT_EVE]:[V_PU_AMTC]], 2, FALSE), 0)</f>
        <v>540.52617299999997</v>
      </c>
      <c r="K142" s="48">
        <f>NETWORKDAYS(DT_CALCULO_U, TAB_JUROS_U[[#This Row],[dt_eve_u]], TAB_FERIADOS[FER_DATA]) -1</f>
        <v>2456</v>
      </c>
      <c r="L142" s="48">
        <f>NETWORKDAYS(DT_CALCULO_U, TAB_JUROS_U[[#This Row],[dt_lqdc_eve_u]], TAB_FERIADOS[FER_DATA]) -1</f>
        <v>2460</v>
      </c>
      <c r="M142" s="48">
        <f>NETWORKDAYS(IF(ISTEXT(H141), DT_B_JURS, H141), TAB_JUROS_U[[#This Row],[dt_lqdc_eve_u]],  TAB_FERIADOS[FER_DATA]) -1</f>
        <v>22</v>
      </c>
      <c r="N142" s="123">
        <f>(TX_EMISSAO/100 +1)^(TAB_JUROS_U[[#This Row],[dias_periodo_u]]/252)</f>
        <v>1.0021580294747356</v>
      </c>
      <c r="O142" s="78">
        <f>(TIR_U/100 +1)^(TAB_JUROS_U[[#This Row],[Q_DIAS_U_PARC_TIR]]/252)</f>
        <v>1.2726137973769509</v>
      </c>
      <c r="P142" s="116" t="str">
        <f>"TX_CENARIO" &amp; TEXT(DT_CALCULO_C, "-AAAAMMDD") &amp; TEXT(TAB_JUROS_U[[#This Row],[DT_EVE]], "-AAAAMMDD")</f>
        <v>TX_CENARIO-20151228-20251008</v>
      </c>
      <c r="Q142" s="44">
        <f>IFERROR(VLOOKUP(TAB_JUROS_U[[#This Row],[Chave-CENARIO]],CENARIO[],2,FALSE), 0)</f>
        <v>16.331099999999999</v>
      </c>
      <c r="R142" s="116" t="str">
        <f>"CORRECAO_JURS_U" &amp; TEXT(DT_CALCULO_C, "-AAAAMMDD") &amp; TEXT(TAB_JUROS_U[[#This Row],[DT_EVE]], "-AAAAMMDD")</f>
        <v>CORRECAO_JURS_U-20151228-20251008</v>
      </c>
      <c r="S142" s="44">
        <f>IFERROR(VLOOKUP(TAB_JUROS_U[[#This Row],[Chave-CORC]],CORRECAO_JURS_U[],2, FALSE), 0)</f>
        <v>1.01300634</v>
      </c>
      <c r="T142" s="78">
        <f>MAX(0, (TAB_JUROS_U[[#This Row],[CUPOM_TIR]] -1) * IF(TAB_JUROS_U[[#This Row],[ID_T_EVE]]=1, TAB_JUROS_U[[#This Row],[PU_AMORT]], TAB_JUROS_U[[#This Row],[V_NOML_PCPL]]) * TAB_JUROS_U[[#This Row],[CORRECAO_U]])</f>
        <v>31.196846032652076</v>
      </c>
      <c r="U142" s="78">
        <f>MAX(0, TAB_JUROS_U[[#This Row],[V_FUT_U_JURS-01]]/((((TAB_JUROS_U[[#This Row],[TX_CENARIO]]/100 +1)^(1/252) -1) * PC_IDXR/100 +1)^TAB_JUROS_U[[#This Row],[Q_DIAS_U_PARC_TIR]]))</f>
        <v>7.1251532206376051</v>
      </c>
      <c r="V142" s="78">
        <f>+TAB_JUROS_U[[#This Row],[V_FUT_U_JURS CENARIO]]/TAB_JUROS_U[[#This Row],[VAR_DESCAP_U]]</f>
        <v>5.5988338609275035</v>
      </c>
      <c r="W142" s="78"/>
      <c r="X142" s="64">
        <f>TAB_JUROS_U[[#This Row],[dt_eve_u]]- DT_CALCULO_C</f>
        <v>3572</v>
      </c>
      <c r="Y142" s="48" t="str">
        <f>"CORRECAO_JURS_C" &amp; TEXT(DT_CALCULO_C, "-AAAAMMDD") &amp; TEXT(TAB_JUROS_U[[#This Row],[DT_EVE]], "-AAAAMMDD")</f>
        <v>CORRECAO_JURS_C-20151228-20251008</v>
      </c>
      <c r="Z142" s="44">
        <f>IFERROR(VLOOKUP(TAB_JUROS_C[[#This Row],[Chave-CORC]],CORRECAO_JURS_C[],2, FALSE), 0)</f>
        <v>1</v>
      </c>
      <c r="AA14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30.796298898437374</v>
      </c>
      <c r="AB142" s="63">
        <f>(TIR_C/100 +1)^(TAB_JUROS_C[[#This Row],[DIAS_CORRIDOS]]/360)</f>
        <v>1.2732105753151215</v>
      </c>
      <c r="AC142" s="78">
        <f>IF(TAB_JUROS_C[[#This Row],[DIAS_CORRIDOS]]&lt;0, 0, TAB_JUROS_C[[#This Row],[V_FUT_C_JURS]]/TAB_JUROS_C[[#This Row],[VAR_DESCAP_C]])</f>
        <v>24.187906930332591</v>
      </c>
      <c r="AD142" s="78">
        <f>TAB_JUROS_U[[#This Row],[V_FUT_U_JURS CENARIO]]</f>
        <v>7.1251532206376051</v>
      </c>
      <c r="AE142" s="124">
        <f>IF(TAB_JUROS_C[[#This Row],[DIAS_CORRIDOS]]&lt;0, 0, TAB_JUROS_C[[#This Row],[V_FUT_UTEIS]]/TAB_JUROS_C[[#This Row],[VAR_DESCAP_C]])</f>
        <v>5.5962095813366295</v>
      </c>
      <c r="AF142" s="64"/>
    </row>
    <row r="143" spans="1:32">
      <c r="A143" s="82">
        <f t="shared" si="3"/>
        <v>119</v>
      </c>
      <c r="B143" s="24">
        <f>VLOOKUP($A143, CAD_JUROS[#Data], MATCH(B$24, CAD_JUROS[#Headers],0), FALSE)</f>
        <v>2</v>
      </c>
      <c r="C143" s="24" t="str">
        <f>VLOOKUP($A143, CAD_JUROS[#Data], MATCH(C$24, CAD_JUROS[#Headers],0), FALSE)</f>
        <v xml:space="preserve">JUROS SOBRE PRINCIPAL                             </v>
      </c>
      <c r="D143" s="36">
        <f>VLOOKUP($A143, CAD_JUROS[#Data], MATCH(D$24, CAD_JUROS[#Headers],0), FALSE)</f>
        <v>45971</v>
      </c>
      <c r="E143" s="48">
        <f>VLOOKUP($A143, CAD_JUROS[#Data], MATCH(E$24, CAD_JUROS[#Headers],0), FALSE)</f>
        <v>0</v>
      </c>
      <c r="F143" s="36">
        <f>VLOOKUP($A143, CAD_JUROS[#Data], MATCH(F$24, CAD_JUROS[#Headers],0), FALSE)</f>
        <v>45975</v>
      </c>
      <c r="G143" s="47">
        <f>WORKDAY(WORKDAY(TAB_JUROS_U[[#This Row],[DT_EVE]], -1, TAB_FERIADOS[FER_DATA]), 1, TAB_FERIADOS[FER_DATA])</f>
        <v>45971</v>
      </c>
      <c r="H143" s="75">
        <f>WORKDAY(WORKDAY(TAB_JUROS_U[[#This Row],[DT_LQDC_EVE]], -1, TAB_FERIADOS[FER_DATA]), 1, TAB_FERIADOS[FER_DATA])</f>
        <v>45975</v>
      </c>
      <c r="I143" s="48">
        <f>PU_EMISSAO - SUMIF(TAB_AMORTIZACAO_U[DT_EVE], "&lt;" &amp; TAB_JUROS_U[[#This Row],[DT_EVE]], TAB_AMORTIZACAO_U[V_PU_AMTC])</f>
        <v>13730.038367000016</v>
      </c>
      <c r="J143" s="48">
        <f>IFERROR(VLOOKUP(TAB_JUROS_U[[#This Row],[DT_EVE]], TAB_AMORTIZACAO_U[[DT_EVE]:[V_PU_AMTC]], 2, FALSE), 0)</f>
        <v>532.75294799999995</v>
      </c>
      <c r="K143" s="48">
        <f>NETWORKDAYS(DT_CALCULO_U, TAB_JUROS_U[[#This Row],[dt_eve_u]], TAB_FERIADOS[FER_DATA]) -1</f>
        <v>2479</v>
      </c>
      <c r="L143" s="48">
        <f>NETWORKDAYS(DT_CALCULO_U, TAB_JUROS_U[[#This Row],[dt_lqdc_eve_u]], TAB_FERIADOS[FER_DATA]) -1</f>
        <v>2483</v>
      </c>
      <c r="M143" s="48">
        <f>NETWORKDAYS(IF(ISTEXT(H142), DT_B_JURS, H142), TAB_JUROS_U[[#This Row],[dt_lqdc_eve_u]],  TAB_FERIADOS[FER_DATA]) -1</f>
        <v>23</v>
      </c>
      <c r="N143" s="123">
        <f>(TX_EMISSAO/100 +1)^(TAB_JUROS_U[[#This Row],[dias_periodo_u]]/252)</f>
        <v>1.0022562323017139</v>
      </c>
      <c r="O143" s="78">
        <f>(TIR_U/100 +1)^(TAB_JUROS_U[[#This Row],[Q_DIAS_U_PARC_TIR]]/252)</f>
        <v>1.2754854193285856</v>
      </c>
      <c r="P143" s="116" t="str">
        <f>"TX_CENARIO" &amp; TEXT(DT_CALCULO_C, "-AAAAMMDD") &amp; TEXT(TAB_JUROS_U[[#This Row],[DT_EVE]], "-AAAAMMDD")</f>
        <v>TX_CENARIO-20151228-20251110</v>
      </c>
      <c r="Q143" s="44">
        <f>IFERROR(VLOOKUP(TAB_JUROS_U[[#This Row],[Chave-CENARIO]],CENARIO[],2,FALSE), 0)</f>
        <v>16.326799999999999</v>
      </c>
      <c r="R143" s="116" t="str">
        <f>"CORRECAO_JURS_U" &amp; TEXT(DT_CALCULO_C, "-AAAAMMDD") &amp; TEXT(TAB_JUROS_U[[#This Row],[DT_EVE]], "-AAAAMMDD")</f>
        <v>CORRECAO_JURS_U-20151228-20251110</v>
      </c>
      <c r="S143" s="44">
        <f>IFERROR(VLOOKUP(TAB_JUROS_U[[#This Row],[Chave-CORC]],CORRECAO_JURS_U[],2, FALSE), 0)</f>
        <v>1.01360154</v>
      </c>
      <c r="T143" s="78">
        <f>MAX(0, (TAB_JUROS_U[[#This Row],[CUPOM_TIR]] -1) * IF(TAB_JUROS_U[[#This Row],[ID_T_EVE]]=1, TAB_JUROS_U[[#This Row],[PU_AMORT]], TAB_JUROS_U[[#This Row],[V_NOML_PCPL]]) * TAB_JUROS_U[[#This Row],[CORRECAO_U]])</f>
        <v>31.399506696273551</v>
      </c>
      <c r="U143" s="78">
        <f>MAX(0, TAB_JUROS_U[[#This Row],[V_FUT_U_JURS-01]]/((((TAB_JUROS_U[[#This Row],[TX_CENARIO]]/100 +1)^(1/252) -1) * PC_IDXR/100 +1)^TAB_JUROS_U[[#This Row],[Q_DIAS_U_PARC_TIR]]))</f>
        <v>7.0756846879746593</v>
      </c>
      <c r="V143" s="78">
        <f>+TAB_JUROS_U[[#This Row],[V_FUT_U_JURS CENARIO]]/TAB_JUROS_U[[#This Row],[VAR_DESCAP_U]]</f>
        <v>5.5474445891347735</v>
      </c>
      <c r="W143" s="78"/>
      <c r="X143" s="64">
        <f>TAB_JUROS_U[[#This Row],[dt_eve_u]]- DT_CALCULO_C</f>
        <v>3605</v>
      </c>
      <c r="Y143" s="48" t="str">
        <f>"CORRECAO_JURS_C" &amp; TEXT(DT_CALCULO_C, "-AAAAMMDD") &amp; TEXT(TAB_JUROS_U[[#This Row],[DT_EVE]], "-AAAAMMDD")</f>
        <v>CORRECAO_JURS_C-20151228-20251110</v>
      </c>
      <c r="Z143" s="44">
        <f>IFERROR(VLOOKUP(TAB_JUROS_C[[#This Row],[Chave-CORC]],CORRECAO_JURS_C[],2, FALSE), 0)</f>
        <v>1</v>
      </c>
      <c r="AA14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30.978156067396611</v>
      </c>
      <c r="AB143" s="63">
        <f>(TIR_C/100 +1)^(TAB_JUROS_C[[#This Row],[DIAS_CORRIDOS]]/360)</f>
        <v>1.2760549024047476</v>
      </c>
      <c r="AC143" s="78">
        <f>IF(TAB_JUROS_C[[#This Row],[DIAS_CORRIDOS]]&lt;0, 0, TAB_JUROS_C[[#This Row],[V_FUT_C_JURS]]/TAB_JUROS_C[[#This Row],[VAR_DESCAP_C]])</f>
        <v>24.276507232578894</v>
      </c>
      <c r="AD143" s="78">
        <f>TAB_JUROS_U[[#This Row],[V_FUT_U_JURS CENARIO]]</f>
        <v>7.0756846879746593</v>
      </c>
      <c r="AE143" s="124">
        <f>IF(TAB_JUROS_C[[#This Row],[DIAS_CORRIDOS]]&lt;0, 0, TAB_JUROS_C[[#This Row],[V_FUT_UTEIS]]/TAB_JUROS_C[[#This Row],[VAR_DESCAP_C]])</f>
        <v>5.5449688525473384</v>
      </c>
      <c r="AF143" s="64"/>
    </row>
    <row r="144" spans="1:32">
      <c r="A144" s="82">
        <f t="shared" si="3"/>
        <v>120</v>
      </c>
      <c r="B144" s="24">
        <f>VLOOKUP($A144, CAD_JUROS[#Data], MATCH(B$24, CAD_JUROS[#Headers],0), FALSE)</f>
        <v>2</v>
      </c>
      <c r="C144" s="24" t="str">
        <f>VLOOKUP($A144, CAD_JUROS[#Data], MATCH(C$24, CAD_JUROS[#Headers],0), FALSE)</f>
        <v xml:space="preserve">JUROS SOBRE PRINCIPAL                             </v>
      </c>
      <c r="D144" s="36">
        <f>VLOOKUP($A144, CAD_JUROS[#Data], MATCH(D$24, CAD_JUROS[#Headers],0), FALSE)</f>
        <v>45999</v>
      </c>
      <c r="E144" s="48">
        <f>VLOOKUP($A144, CAD_JUROS[#Data], MATCH(E$24, CAD_JUROS[#Headers],0), FALSE)</f>
        <v>0</v>
      </c>
      <c r="F144" s="36">
        <f>VLOOKUP($A144, CAD_JUROS[#Data], MATCH(F$24, CAD_JUROS[#Headers],0), FALSE)</f>
        <v>46003</v>
      </c>
      <c r="G144" s="47">
        <f>WORKDAY(WORKDAY(TAB_JUROS_U[[#This Row],[DT_EVE]], -1, TAB_FERIADOS[FER_DATA]), 1, TAB_FERIADOS[FER_DATA])</f>
        <v>45999</v>
      </c>
      <c r="H144" s="75">
        <f>WORKDAY(WORKDAY(TAB_JUROS_U[[#This Row],[DT_LQDC_EVE]], -1, TAB_FERIADOS[FER_DATA]), 1, TAB_FERIADOS[FER_DATA])</f>
        <v>46003</v>
      </c>
      <c r="I144" s="48">
        <f>PU_EMISSAO - SUMIF(TAB_AMORTIZACAO_U[DT_EVE], "&lt;" &amp; TAB_JUROS_U[[#This Row],[DT_EVE]], TAB_AMORTIZACAO_U[V_PU_AMTC])</f>
        <v>13197.285419000022</v>
      </c>
      <c r="J144" s="48">
        <f>IFERROR(VLOOKUP(TAB_JUROS_U[[#This Row],[DT_EVE]], TAB_AMORTIZACAO_U[[DT_EVE]:[V_PU_AMTC]], 2, FALSE), 0)</f>
        <v>531.32271000000003</v>
      </c>
      <c r="K144" s="48">
        <f>NETWORKDAYS(DT_CALCULO_U, TAB_JUROS_U[[#This Row],[dt_eve_u]], TAB_FERIADOS[FER_DATA]) -1</f>
        <v>2499</v>
      </c>
      <c r="L144" s="48">
        <f>NETWORKDAYS(DT_CALCULO_U, TAB_JUROS_U[[#This Row],[dt_lqdc_eve_u]], TAB_FERIADOS[FER_DATA]) -1</f>
        <v>2503</v>
      </c>
      <c r="M144" s="48">
        <f>NETWORKDAYS(IF(ISTEXT(H143), DT_B_JURS, H143), TAB_JUROS_U[[#This Row],[dt_lqdc_eve_u]],  TAB_FERIADOS[FER_DATA]) -1</f>
        <v>20</v>
      </c>
      <c r="N144" s="123">
        <f>(TX_EMISSAO/100 +1)^(TAB_JUROS_U[[#This Row],[dias_periodo_u]]/252)</f>
        <v>1.0019616526860928</v>
      </c>
      <c r="O144" s="78">
        <f>(TIR_U/100 +1)^(TAB_JUROS_U[[#This Row],[Q_DIAS_U_PARC_TIR]]/252)</f>
        <v>1.2779877484681559</v>
      </c>
      <c r="P144" s="116" t="str">
        <f>"TX_CENARIO" &amp; TEXT(DT_CALCULO_C, "-AAAAMMDD") &amp; TEXT(TAB_JUROS_U[[#This Row],[DT_EVE]], "-AAAAMMDD")</f>
        <v>TX_CENARIO-20151228-20251208</v>
      </c>
      <c r="Q144" s="44">
        <f>IFERROR(VLOOKUP(TAB_JUROS_U[[#This Row],[Chave-CENARIO]],CENARIO[],2,FALSE), 0)</f>
        <v>16.3232</v>
      </c>
      <c r="R144" s="116" t="str">
        <f>"CORRECAO_JURS_U" &amp; TEXT(DT_CALCULO_C, "-AAAAMMDD") &amp; TEXT(TAB_JUROS_U[[#This Row],[DT_EVE]], "-AAAAMMDD")</f>
        <v>CORRECAO_JURS_U-20151228-20251208</v>
      </c>
      <c r="S144" s="44">
        <f>IFERROR(VLOOKUP(TAB_JUROS_U[[#This Row],[Chave-CORC]],CORRECAO_JURS_U[],2, FALSE), 0)</f>
        <v>1.0118169800000001</v>
      </c>
      <c r="T144" s="78">
        <f>MAX(0, (TAB_JUROS_U[[#This Row],[CUPOM_TIR]] -1) * IF(TAB_JUROS_U[[#This Row],[ID_T_EVE]]=1, TAB_JUROS_U[[#This Row],[PU_AMORT]], TAB_JUROS_U[[#This Row],[V_NOML_PCPL]]) * TAB_JUROS_U[[#This Row],[CORRECAO_U]])</f>
        <v>26.194414164499491</v>
      </c>
      <c r="U144" s="78">
        <f>MAX(0, TAB_JUROS_U[[#This Row],[V_FUT_U_JURS-01]]/((((TAB_JUROS_U[[#This Row],[TX_CENARIO]]/100 +1)^(1/252) -1) * PC_IDXR/100 +1)^TAB_JUROS_U[[#This Row],[Q_DIAS_U_PARC_TIR]]))</f>
        <v>5.8341172477562013</v>
      </c>
      <c r="V144" s="78">
        <f>+TAB_JUROS_U[[#This Row],[V_FUT_U_JURS CENARIO]]/TAB_JUROS_U[[#This Row],[VAR_DESCAP_U]]</f>
        <v>4.5650807331675862</v>
      </c>
      <c r="W144" s="78"/>
      <c r="X144" s="64">
        <f>TAB_JUROS_U[[#This Row],[dt_eve_u]]- DT_CALCULO_C</f>
        <v>3633</v>
      </c>
      <c r="Y144" s="48" t="str">
        <f>"CORRECAO_JURS_C" &amp; TEXT(DT_CALCULO_C, "-AAAAMMDD") &amp; TEXT(TAB_JUROS_U[[#This Row],[DT_EVE]], "-AAAAMMDD")</f>
        <v>CORRECAO_JURS_C-20151228-20251208</v>
      </c>
      <c r="Z144" s="44">
        <f>IFERROR(VLOOKUP(TAB_JUROS_C[[#This Row],[Chave-CORC]],CORRECAO_JURS_C[],2, FALSE), 0)</f>
        <v>1</v>
      </c>
      <c r="AA14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25.888490391315127</v>
      </c>
      <c r="AB144" s="63">
        <f>(TIR_C/100 +1)^(TAB_JUROS_C[[#This Row],[DIAS_CORRIDOS]]/360)</f>
        <v>1.2784732532589593</v>
      </c>
      <c r="AC144" s="78">
        <f>IF(TAB_JUROS_C[[#This Row],[DIAS_CORRIDOS]]&lt;0, 0, TAB_JUROS_C[[#This Row],[V_FUT_C_JURS]]/TAB_JUROS_C[[#This Row],[VAR_DESCAP_C]])</f>
        <v>20.249536175530238</v>
      </c>
      <c r="AD144" s="78">
        <f>TAB_JUROS_U[[#This Row],[V_FUT_U_JURS CENARIO]]</f>
        <v>5.8341172477562013</v>
      </c>
      <c r="AE144" s="124">
        <f>IF(TAB_JUROS_C[[#This Row],[DIAS_CORRIDOS]]&lt;0, 0, TAB_JUROS_C[[#This Row],[V_FUT_UTEIS]]/TAB_JUROS_C[[#This Row],[VAR_DESCAP_C]])</f>
        <v>4.5633471274306592</v>
      </c>
      <c r="AF144" s="64"/>
    </row>
    <row r="145" spans="1:32">
      <c r="A145" s="82">
        <f t="shared" si="3"/>
        <v>121</v>
      </c>
      <c r="B145" s="24">
        <f>VLOOKUP($A145, CAD_JUROS[#Data], MATCH(B$24, CAD_JUROS[#Headers],0), FALSE)</f>
        <v>2</v>
      </c>
      <c r="C145" s="24" t="str">
        <f>VLOOKUP($A145, CAD_JUROS[#Data], MATCH(C$24, CAD_JUROS[#Headers],0), FALSE)</f>
        <v xml:space="preserve">JUROS SOBRE PRINCIPAL                             </v>
      </c>
      <c r="D145" s="36">
        <f>VLOOKUP($A145, CAD_JUROS[#Data], MATCH(D$24, CAD_JUROS[#Headers],0), FALSE)</f>
        <v>46031</v>
      </c>
      <c r="E145" s="48">
        <f>VLOOKUP($A145, CAD_JUROS[#Data], MATCH(E$24, CAD_JUROS[#Headers],0), FALSE)</f>
        <v>0</v>
      </c>
      <c r="F145" s="36">
        <f>VLOOKUP($A145, CAD_JUROS[#Data], MATCH(F$24, CAD_JUROS[#Headers],0), FALSE)</f>
        <v>46037</v>
      </c>
      <c r="G145" s="47">
        <f>WORKDAY(WORKDAY(TAB_JUROS_U[[#This Row],[DT_EVE]], -1, TAB_FERIADOS[FER_DATA]), 1, TAB_FERIADOS[FER_DATA])</f>
        <v>46031</v>
      </c>
      <c r="H145" s="75">
        <f>WORKDAY(WORKDAY(TAB_JUROS_U[[#This Row],[DT_LQDC_EVE]], -1, TAB_FERIADOS[FER_DATA]), 1, TAB_FERIADOS[FER_DATA])</f>
        <v>46037</v>
      </c>
      <c r="I145" s="48">
        <f>PU_EMISSAO - SUMIF(TAB_AMORTIZACAO_U[DT_EVE], "&lt;" &amp; TAB_JUROS_U[[#This Row],[DT_EVE]], TAB_AMORTIZACAO_U[V_PU_AMTC])</f>
        <v>12665.962709000029</v>
      </c>
      <c r="J145" s="48">
        <f>IFERROR(VLOOKUP(TAB_JUROS_U[[#This Row],[DT_EVE]], TAB_AMORTIZACAO_U[[DT_EVE]:[V_PU_AMTC]], 2, FALSE), 0)</f>
        <v>568.98037599999998</v>
      </c>
      <c r="K145" s="48">
        <f>NETWORKDAYS(DT_CALCULO_U, TAB_JUROS_U[[#This Row],[dt_eve_u]], TAB_FERIADOS[FER_DATA]) -1</f>
        <v>2521</v>
      </c>
      <c r="L145" s="48">
        <f>NETWORKDAYS(DT_CALCULO_U, TAB_JUROS_U[[#This Row],[dt_lqdc_eve_u]], TAB_FERIADOS[FER_DATA]) -1</f>
        <v>2525</v>
      </c>
      <c r="M145" s="48">
        <f>NETWORKDAYS(IF(ISTEXT(H144), DT_B_JURS, H144), TAB_JUROS_U[[#This Row],[dt_lqdc_eve_u]],  TAB_FERIADOS[FER_DATA]) -1</f>
        <v>22</v>
      </c>
      <c r="N145" s="123">
        <f>(TX_EMISSAO/100 +1)^(TAB_JUROS_U[[#This Row],[dias_periodo_u]]/252)</f>
        <v>1.0021580294747356</v>
      </c>
      <c r="O145" s="78">
        <f>(TIR_U/100 +1)^(TAB_JUROS_U[[#This Row],[Q_DIAS_U_PARC_TIR]]/252)</f>
        <v>1.2807459810528257</v>
      </c>
      <c r="P145" s="116" t="str">
        <f>"TX_CENARIO" &amp; TEXT(DT_CALCULO_C, "-AAAAMMDD") &amp; TEXT(TAB_JUROS_U[[#This Row],[DT_EVE]], "-AAAAMMDD")</f>
        <v>TX_CENARIO-20151228-20260109</v>
      </c>
      <c r="Q145" s="44">
        <f>IFERROR(VLOOKUP(TAB_JUROS_U[[#This Row],[Chave-CENARIO]],CENARIO[],2,FALSE), 0)</f>
        <v>16.321300000000001</v>
      </c>
      <c r="R145" s="116" t="str">
        <f>"CORRECAO_JURS_U" &amp; TEXT(DT_CALCULO_C, "-AAAAMMDD") &amp; TEXT(TAB_JUROS_U[[#This Row],[DT_EVE]], "-AAAAMMDD")</f>
        <v>CORRECAO_JURS_U-20151228-20260109</v>
      </c>
      <c r="S145" s="44">
        <f>IFERROR(VLOOKUP(TAB_JUROS_U[[#This Row],[Chave-CORC]],CORRECAO_JURS_U[],2, FALSE), 0)</f>
        <v>1.01314086</v>
      </c>
      <c r="T145" s="78">
        <f>MAX(0, (TAB_JUROS_U[[#This Row],[CUPOM_TIR]] -1) * IF(TAB_JUROS_U[[#This Row],[ID_T_EVE]]=1, TAB_JUROS_U[[#This Row],[PU_AMORT]], TAB_JUROS_U[[#This Row],[V_NOML_PCPL]]) * TAB_JUROS_U[[#This Row],[CORRECAO_U]])</f>
        <v>27.692706822746828</v>
      </c>
      <c r="U145" s="78">
        <f>MAX(0, TAB_JUROS_U[[#This Row],[V_FUT_U_JURS-01]]/((((TAB_JUROS_U[[#This Row],[TX_CENARIO]]/100 +1)^(1/252) -1) * PC_IDXR/100 +1)^TAB_JUROS_U[[#This Row],[Q_DIAS_U_PARC_TIR]]))</f>
        <v>6.0879373308441886</v>
      </c>
      <c r="V145" s="78">
        <f>+TAB_JUROS_U[[#This Row],[V_FUT_U_JURS CENARIO]]/TAB_JUROS_U[[#This Row],[VAR_DESCAP_U]]</f>
        <v>4.7534307512248875</v>
      </c>
      <c r="W145" s="78"/>
      <c r="X145" s="64">
        <f>TAB_JUROS_U[[#This Row],[dt_eve_u]]- DT_CALCULO_C</f>
        <v>3665</v>
      </c>
      <c r="Y145" s="48" t="str">
        <f>"CORRECAO_JURS_C" &amp; TEXT(DT_CALCULO_C, "-AAAAMMDD") &amp; TEXT(TAB_JUROS_U[[#This Row],[DT_EVE]], "-AAAAMMDD")</f>
        <v>CORRECAO_JURS_C-20151228-20260109</v>
      </c>
      <c r="Z145" s="44">
        <f>IFERROR(VLOOKUP(TAB_JUROS_C[[#This Row],[Chave-CORC]],CORRECAO_JURS_C[],2, FALSE), 0)</f>
        <v>1</v>
      </c>
      <c r="AA14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27.333520851924604</v>
      </c>
      <c r="AB145" s="63">
        <f>(TIR_C/100 +1)^(TAB_JUROS_C[[#This Row],[DIAS_CORRIDOS]]/360)</f>
        <v>1.2812426954003104</v>
      </c>
      <c r="AC145" s="78">
        <f>IF(TAB_JUROS_C[[#This Row],[DIAS_CORRIDOS]]&lt;0, 0, TAB_JUROS_C[[#This Row],[V_FUT_C_JURS]]/TAB_JUROS_C[[#This Row],[VAR_DESCAP_C]])</f>
        <v>21.333601315388993</v>
      </c>
      <c r="AD145" s="78">
        <f>TAB_JUROS_U[[#This Row],[V_FUT_U_JURS CENARIO]]</f>
        <v>6.0879373308441886</v>
      </c>
      <c r="AE145" s="124">
        <f>IF(TAB_JUROS_C[[#This Row],[DIAS_CORRIDOS]]&lt;0, 0, TAB_JUROS_C[[#This Row],[V_FUT_UTEIS]]/TAB_JUROS_C[[#This Row],[VAR_DESCAP_C]])</f>
        <v>4.7515879331058963</v>
      </c>
      <c r="AF145" s="64"/>
    </row>
    <row r="146" spans="1:32">
      <c r="A146" s="82">
        <f t="shared" si="3"/>
        <v>122</v>
      </c>
      <c r="B146" s="24">
        <f>VLOOKUP($A146, CAD_JUROS[#Data], MATCH(B$24, CAD_JUROS[#Headers],0), FALSE)</f>
        <v>2</v>
      </c>
      <c r="C146" s="24" t="str">
        <f>VLOOKUP($A146, CAD_JUROS[#Data], MATCH(C$24, CAD_JUROS[#Headers],0), FALSE)</f>
        <v xml:space="preserve">JUROS SOBRE PRINCIPAL                             </v>
      </c>
      <c r="D146" s="36">
        <f>VLOOKUP($A146, CAD_JUROS[#Data], MATCH(D$24, CAD_JUROS[#Headers],0), FALSE)</f>
        <v>46062</v>
      </c>
      <c r="E146" s="48">
        <f>VLOOKUP($A146, CAD_JUROS[#Data], MATCH(E$24, CAD_JUROS[#Headers],0), FALSE)</f>
        <v>0</v>
      </c>
      <c r="F146" s="36">
        <f>VLOOKUP($A146, CAD_JUROS[#Data], MATCH(F$24, CAD_JUROS[#Headers],0), FALSE)</f>
        <v>46066</v>
      </c>
      <c r="G146" s="47">
        <f>WORKDAY(WORKDAY(TAB_JUROS_U[[#This Row],[DT_EVE]], -1, TAB_FERIADOS[FER_DATA]), 1, TAB_FERIADOS[FER_DATA])</f>
        <v>46062</v>
      </c>
      <c r="H146" s="75">
        <f>WORKDAY(WORKDAY(TAB_JUROS_U[[#This Row],[DT_LQDC_EVE]], -1, TAB_FERIADOS[FER_DATA]), 1, TAB_FERIADOS[FER_DATA])</f>
        <v>46066</v>
      </c>
      <c r="I146" s="48">
        <f>PU_EMISSAO - SUMIF(TAB_AMORTIZACAO_U[DT_EVE], "&lt;" &amp; TAB_JUROS_U[[#This Row],[DT_EVE]], TAB_AMORTIZACAO_U[V_PU_AMTC])</f>
        <v>12096.982333000022</v>
      </c>
      <c r="J146" s="48">
        <f>IFERROR(VLOOKUP(TAB_JUROS_U[[#This Row],[DT_EVE]], TAB_AMORTIZACAO_U[[DT_EVE]:[V_PU_AMTC]], 2, FALSE), 0)</f>
        <v>564.166965</v>
      </c>
      <c r="K146" s="48">
        <f>NETWORKDAYS(DT_CALCULO_U, TAB_JUROS_U[[#This Row],[dt_eve_u]], TAB_FERIADOS[FER_DATA]) -1</f>
        <v>2542</v>
      </c>
      <c r="L146" s="48">
        <f>NETWORKDAYS(DT_CALCULO_U, TAB_JUROS_U[[#This Row],[dt_lqdc_eve_u]], TAB_FERIADOS[FER_DATA]) -1</f>
        <v>2546</v>
      </c>
      <c r="M146" s="48">
        <f>NETWORKDAYS(IF(ISTEXT(H145), DT_B_JURS, H145), TAB_JUROS_U[[#This Row],[dt_lqdc_eve_u]],  TAB_FERIADOS[FER_DATA]) -1</f>
        <v>21</v>
      </c>
      <c r="N146" s="123">
        <f>(TX_EMISSAO/100 +1)^(TAB_JUROS_U[[#This Row],[dias_periodo_u]]/252)</f>
        <v>1.0020598362698427</v>
      </c>
      <c r="O146" s="78">
        <f>(TIR_U/100 +1)^(TAB_JUROS_U[[#This Row],[Q_DIAS_U_PARC_TIR]]/252)</f>
        <v>1.2833843925007624</v>
      </c>
      <c r="P146" s="116" t="str">
        <f>"TX_CENARIO" &amp; TEXT(DT_CALCULO_C, "-AAAAMMDD") &amp; TEXT(TAB_JUROS_U[[#This Row],[DT_EVE]], "-AAAAMMDD")</f>
        <v>TX_CENARIO-20151228-20260209</v>
      </c>
      <c r="Q146" s="44">
        <f>IFERROR(VLOOKUP(TAB_JUROS_U[[#This Row],[Chave-CENARIO]],CENARIO[],2,FALSE), 0)</f>
        <v>16.322399999999998</v>
      </c>
      <c r="R146" s="116" t="str">
        <f>"CORRECAO_JURS_U" &amp; TEXT(DT_CALCULO_C, "-AAAAMMDD") &amp; TEXT(TAB_JUROS_U[[#This Row],[DT_EVE]], "-AAAAMMDD")</f>
        <v>CORRECAO_JURS_U-20151228-20260209</v>
      </c>
      <c r="S146" s="44">
        <f>IFERROR(VLOOKUP(TAB_JUROS_U[[#This Row],[Chave-CORC]],CORRECAO_JURS_U[],2, FALSE), 0)</f>
        <v>1.0129762499999999</v>
      </c>
      <c r="T146" s="78">
        <f>MAX(0, (TAB_JUROS_U[[#This Row],[CUPOM_TIR]] -1) * IF(TAB_JUROS_U[[#This Row],[ID_T_EVE]]=1, TAB_JUROS_U[[#This Row],[PU_AMORT]], TAB_JUROS_U[[#This Row],[V_NOML_PCPL]]) * TAB_JUROS_U[[#This Row],[CORRECAO_U]])</f>
        <v>25.24114260588696</v>
      </c>
      <c r="U146" s="78">
        <f>MAX(0, TAB_JUROS_U[[#This Row],[V_FUT_U_JURS-01]]/((((TAB_JUROS_U[[#This Row],[TX_CENARIO]]/100 +1)^(1/252) -1) * PC_IDXR/100 +1)^TAB_JUROS_U[[#This Row],[Q_DIAS_U_PARC_TIR]]))</f>
        <v>5.4789921590263786</v>
      </c>
      <c r="V146" s="78">
        <f>+TAB_JUROS_U[[#This Row],[V_FUT_U_JURS CENARIO]]/TAB_JUROS_U[[#This Row],[VAR_DESCAP_U]]</f>
        <v>4.2691746845621106</v>
      </c>
      <c r="W146" s="78"/>
      <c r="X146" s="64">
        <f>TAB_JUROS_U[[#This Row],[dt_eve_u]]- DT_CALCULO_C</f>
        <v>3696</v>
      </c>
      <c r="Y146" s="48" t="str">
        <f>"CORRECAO_JURS_C" &amp; TEXT(DT_CALCULO_C, "-AAAAMMDD") &amp; TEXT(TAB_JUROS_U[[#This Row],[DT_EVE]], "-AAAAMMDD")</f>
        <v>CORRECAO_JURS_C-20151228-20260209</v>
      </c>
      <c r="Z146" s="44">
        <f>IFERROR(VLOOKUP(TAB_JUROS_C[[#This Row],[Chave-CORC]],CORRECAO_JURS_C[],2, FALSE), 0)</f>
        <v>1</v>
      </c>
      <c r="AA14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24.917802965160302</v>
      </c>
      <c r="AB146" s="63">
        <f>(TIR_C/100 +1)^(TAB_JUROS_C[[#This Row],[DIAS_CORRIDOS]]/360)</f>
        <v>1.2839313132573262</v>
      </c>
      <c r="AC146" s="78">
        <f>IF(TAB_JUROS_C[[#This Row],[DIAS_CORRIDOS]]&lt;0, 0, TAB_JUROS_C[[#This Row],[V_FUT_C_JURS]]/TAB_JUROS_C[[#This Row],[VAR_DESCAP_C]])</f>
        <v>19.407426789789852</v>
      </c>
      <c r="AD146" s="78">
        <f>TAB_JUROS_U[[#This Row],[V_FUT_U_JURS CENARIO]]</f>
        <v>5.4789921590263786</v>
      </c>
      <c r="AE146" s="124">
        <f>IF(TAB_JUROS_C[[#This Row],[DIAS_CORRIDOS]]&lt;0, 0, TAB_JUROS_C[[#This Row],[V_FUT_UTEIS]]/TAB_JUROS_C[[#This Row],[VAR_DESCAP_C]])</f>
        <v>4.2673561291423043</v>
      </c>
      <c r="AF146" s="64"/>
    </row>
    <row r="147" spans="1:32">
      <c r="A147" s="82">
        <f t="shared" si="3"/>
        <v>123</v>
      </c>
      <c r="B147" s="24">
        <f>VLOOKUP($A147, CAD_JUROS[#Data], MATCH(B$24, CAD_JUROS[#Headers],0), FALSE)</f>
        <v>2</v>
      </c>
      <c r="C147" s="24" t="str">
        <f>VLOOKUP($A147, CAD_JUROS[#Data], MATCH(C$24, CAD_JUROS[#Headers],0), FALSE)</f>
        <v xml:space="preserve">JUROS SOBRE PRINCIPAL                             </v>
      </c>
      <c r="D147" s="36">
        <f>VLOOKUP($A147, CAD_JUROS[#Data], MATCH(D$24, CAD_JUROS[#Headers],0), FALSE)</f>
        <v>46090</v>
      </c>
      <c r="E147" s="48">
        <f>VLOOKUP($A147, CAD_JUROS[#Data], MATCH(E$24, CAD_JUROS[#Headers],0), FALSE)</f>
        <v>0</v>
      </c>
      <c r="F147" s="36">
        <f>VLOOKUP($A147, CAD_JUROS[#Data], MATCH(F$24, CAD_JUROS[#Headers],0), FALSE)</f>
        <v>46094</v>
      </c>
      <c r="G147" s="47">
        <f>WORKDAY(WORKDAY(TAB_JUROS_U[[#This Row],[DT_EVE]], -1, TAB_FERIADOS[FER_DATA]), 1, TAB_FERIADOS[FER_DATA])</f>
        <v>46090</v>
      </c>
      <c r="H147" s="75">
        <f>WORKDAY(WORKDAY(TAB_JUROS_U[[#This Row],[DT_LQDC_EVE]], -1, TAB_FERIADOS[FER_DATA]), 1, TAB_FERIADOS[FER_DATA])</f>
        <v>46094</v>
      </c>
      <c r="I147" s="48">
        <f>PU_EMISSAO - SUMIF(TAB_AMORTIZACAO_U[DT_EVE], "&lt;" &amp; TAB_JUROS_U[[#This Row],[DT_EVE]], TAB_AMORTIZACAO_U[V_PU_AMTC])</f>
        <v>11532.815368000025</v>
      </c>
      <c r="J147" s="48">
        <f>IFERROR(VLOOKUP(TAB_JUROS_U[[#This Row],[DT_EVE]], TAB_AMORTIZACAO_U[[DT_EVE]:[V_PU_AMTC]], 2, FALSE), 0)</f>
        <v>562.490003</v>
      </c>
      <c r="K147" s="48">
        <f>NETWORKDAYS(DT_CALCULO_U, TAB_JUROS_U[[#This Row],[dt_eve_u]], TAB_FERIADOS[FER_DATA]) -1</f>
        <v>2560</v>
      </c>
      <c r="L147" s="48">
        <f>NETWORKDAYS(DT_CALCULO_U, TAB_JUROS_U[[#This Row],[dt_lqdc_eve_u]], TAB_FERIADOS[FER_DATA]) -1</f>
        <v>2564</v>
      </c>
      <c r="M147" s="48">
        <f>NETWORKDAYS(IF(ISTEXT(H146), DT_B_JURS, H146), TAB_JUROS_U[[#This Row],[dt_lqdc_eve_u]],  TAB_FERIADOS[FER_DATA]) -1</f>
        <v>18</v>
      </c>
      <c r="N147" s="123">
        <f>(TX_EMISSAO/100 +1)^(TAB_JUROS_U[[#This Row],[dias_periodo_u]]/252)</f>
        <v>1.0017653143782506</v>
      </c>
      <c r="O147" s="78">
        <f>(TIR_U/100 +1)^(TAB_JUROS_U[[#This Row],[Q_DIAS_U_PARC_TIR]]/252)</f>
        <v>1.2856502136438364</v>
      </c>
      <c r="P147" s="116" t="str">
        <f>"TX_CENARIO" &amp; TEXT(DT_CALCULO_C, "-AAAAMMDD") &amp; TEXT(TAB_JUROS_U[[#This Row],[DT_EVE]], "-AAAAMMDD")</f>
        <v>TX_CENARIO-20151228-20260309</v>
      </c>
      <c r="Q147" s="44">
        <f>IFERROR(VLOOKUP(TAB_JUROS_U[[#This Row],[Chave-CENARIO]],CENARIO[],2,FALSE), 0)</f>
        <v>16.3233</v>
      </c>
      <c r="R147" s="116" t="str">
        <f>"CORRECAO_JURS_U" &amp; TEXT(DT_CALCULO_C, "-AAAAMMDD") &amp; TEXT(TAB_JUROS_U[[#This Row],[DT_EVE]], "-AAAAMMDD")</f>
        <v>CORRECAO_JURS_U-20151228-20260309</v>
      </c>
      <c r="S147" s="44">
        <f>IFERROR(VLOOKUP(TAB_JUROS_U[[#This Row],[Chave-CORC]],CORRECAO_JURS_U[],2, FALSE), 0)</f>
        <v>1.0111122400000001</v>
      </c>
      <c r="T147" s="78">
        <f>MAX(0, (TAB_JUROS_U[[#This Row],[CUPOM_TIR]] -1) * IF(TAB_JUROS_U[[#This Row],[ID_T_EVE]]=1, TAB_JUROS_U[[#This Row],[PU_AMORT]], TAB_JUROS_U[[#This Row],[V_NOML_PCPL]]) * TAB_JUROS_U[[#This Row],[CORRECAO_U]])</f>
        <v>20.585279382726025</v>
      </c>
      <c r="U147" s="78">
        <f>MAX(0, TAB_JUROS_U[[#This Row],[V_FUT_U_JURS-01]]/((((TAB_JUROS_U[[#This Row],[TX_CENARIO]]/100 +1)^(1/252) -1) * PC_IDXR/100 +1)^TAB_JUROS_U[[#This Row],[Q_DIAS_U_PARC_TIR]]))</f>
        <v>4.4200176748594737</v>
      </c>
      <c r="V147" s="78">
        <f>+TAB_JUROS_U[[#This Row],[V_FUT_U_JURS CENARIO]]/TAB_JUROS_U[[#This Row],[VAR_DESCAP_U]]</f>
        <v>3.4379628517558438</v>
      </c>
      <c r="W147" s="78"/>
      <c r="X147" s="64">
        <f>TAB_JUROS_U[[#This Row],[dt_eve_u]]- DT_CALCULO_C</f>
        <v>3724</v>
      </c>
      <c r="Y147" s="48" t="str">
        <f>"CORRECAO_JURS_C" &amp; TEXT(DT_CALCULO_C, "-AAAAMMDD") &amp; TEXT(TAB_JUROS_U[[#This Row],[DT_EVE]], "-AAAAMMDD")</f>
        <v>CORRECAO_JURS_C-20151228-20260309</v>
      </c>
      <c r="Z147" s="44">
        <f>IFERROR(VLOOKUP(TAB_JUROS_C[[#This Row],[Chave-CORC]],CORRECAO_JURS_C[],2, FALSE), 0)</f>
        <v>1</v>
      </c>
      <c r="AA14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20.359044790839466</v>
      </c>
      <c r="AB147" s="63">
        <f>(TIR_C/100 +1)^(TAB_JUROS_C[[#This Row],[DIAS_CORRIDOS]]/360)</f>
        <v>1.2863645913101072</v>
      </c>
      <c r="AC147" s="78">
        <f>IF(TAB_JUROS_C[[#This Row],[DIAS_CORRIDOS]]&lt;0, 0, TAB_JUROS_C[[#This Row],[V_FUT_C_JURS]]/TAB_JUROS_C[[#This Row],[VAR_DESCAP_C]])</f>
        <v>15.826807522822634</v>
      </c>
      <c r="AD147" s="78">
        <f>TAB_JUROS_U[[#This Row],[V_FUT_U_JURS CENARIO]]</f>
        <v>4.4200176748594737</v>
      </c>
      <c r="AE147" s="124">
        <f>IF(TAB_JUROS_C[[#This Row],[DIAS_CORRIDOS]]&lt;0, 0, TAB_JUROS_C[[#This Row],[V_FUT_UTEIS]]/TAB_JUROS_C[[#This Row],[VAR_DESCAP_C]])</f>
        <v>3.4360535922073812</v>
      </c>
      <c r="AF147" s="64"/>
    </row>
    <row r="148" spans="1:32">
      <c r="A148" s="82">
        <f t="shared" si="3"/>
        <v>124</v>
      </c>
      <c r="B148" s="24">
        <f>VLOOKUP($A148, CAD_JUROS[#Data], MATCH(B$24, CAD_JUROS[#Headers],0), FALSE)</f>
        <v>2</v>
      </c>
      <c r="C148" s="24" t="str">
        <f>VLOOKUP($A148, CAD_JUROS[#Data], MATCH(C$24, CAD_JUROS[#Headers],0), FALSE)</f>
        <v xml:space="preserve">JUROS SOBRE PRINCIPAL                             </v>
      </c>
      <c r="D148" s="36">
        <f>VLOOKUP($A148, CAD_JUROS[#Data], MATCH(D$24, CAD_JUROS[#Headers],0), FALSE)</f>
        <v>46121</v>
      </c>
      <c r="E148" s="48">
        <f>VLOOKUP($A148, CAD_JUROS[#Data], MATCH(E$24, CAD_JUROS[#Headers],0), FALSE)</f>
        <v>0</v>
      </c>
      <c r="F148" s="36">
        <f>VLOOKUP($A148, CAD_JUROS[#Data], MATCH(F$24, CAD_JUROS[#Headers],0), FALSE)</f>
        <v>46127</v>
      </c>
      <c r="G148" s="47">
        <f>WORKDAY(WORKDAY(TAB_JUROS_U[[#This Row],[DT_EVE]], -1, TAB_FERIADOS[FER_DATA]), 1, TAB_FERIADOS[FER_DATA])</f>
        <v>46121</v>
      </c>
      <c r="H148" s="75">
        <f>WORKDAY(WORKDAY(TAB_JUROS_U[[#This Row],[DT_LQDC_EVE]], -1, TAB_FERIADOS[FER_DATA]), 1, TAB_FERIADOS[FER_DATA])</f>
        <v>46127</v>
      </c>
      <c r="I148" s="48">
        <f>PU_EMISSAO - SUMIF(TAB_AMORTIZACAO_U[DT_EVE], "&lt;" &amp; TAB_JUROS_U[[#This Row],[DT_EVE]], TAB_AMORTIZACAO_U[V_PU_AMTC])</f>
        <v>10970.325365000026</v>
      </c>
      <c r="J148" s="48">
        <f>IFERROR(VLOOKUP(TAB_JUROS_U[[#This Row],[DT_EVE]], TAB_AMORTIZACAO_U[[DT_EVE]:[V_PU_AMTC]], 2, FALSE), 0)</f>
        <v>551.53310699999997</v>
      </c>
      <c r="K148" s="48">
        <f>NETWORKDAYS(DT_CALCULO_U, TAB_JUROS_U[[#This Row],[dt_eve_u]], TAB_FERIADOS[FER_DATA]) -1</f>
        <v>2582</v>
      </c>
      <c r="L148" s="48">
        <f>NETWORKDAYS(DT_CALCULO_U, TAB_JUROS_U[[#This Row],[dt_lqdc_eve_u]], TAB_FERIADOS[FER_DATA]) -1</f>
        <v>2586</v>
      </c>
      <c r="M148" s="48">
        <f>NETWORKDAYS(IF(ISTEXT(H147), DT_B_JURS, H147), TAB_JUROS_U[[#This Row],[dt_lqdc_eve_u]],  TAB_FERIADOS[FER_DATA]) -1</f>
        <v>22</v>
      </c>
      <c r="N148" s="123">
        <f>(TX_EMISSAO/100 +1)^(TAB_JUROS_U[[#This Row],[dias_periodo_u]]/252)</f>
        <v>1.0021580294747356</v>
      </c>
      <c r="O148" s="78">
        <f>(TIR_U/100 +1)^(TAB_JUROS_U[[#This Row],[Q_DIAS_U_PARC_TIR]]/252)</f>
        <v>1.2884249838370643</v>
      </c>
      <c r="P148" s="116" t="str">
        <f>"TX_CENARIO" &amp; TEXT(DT_CALCULO_C, "-AAAAMMDD") &amp; TEXT(TAB_JUROS_U[[#This Row],[DT_EVE]], "-AAAAMMDD")</f>
        <v>TX_CENARIO-20151228-20260409</v>
      </c>
      <c r="Q148" s="44">
        <f>IFERROR(VLOOKUP(TAB_JUROS_U[[#This Row],[Chave-CENARIO]],CENARIO[],2,FALSE), 0)</f>
        <v>16.324400000000001</v>
      </c>
      <c r="R148" s="116" t="str">
        <f>"CORRECAO_JURS_U" &amp; TEXT(DT_CALCULO_C, "-AAAAMMDD") &amp; TEXT(TAB_JUROS_U[[#This Row],[DT_EVE]], "-AAAAMMDD")</f>
        <v>CORRECAO_JURS_U-20151228-20260409</v>
      </c>
      <c r="S148" s="44">
        <f>IFERROR(VLOOKUP(TAB_JUROS_U[[#This Row],[Chave-CORC]],CORRECAO_JURS_U[],2, FALSE), 0)</f>
        <v>1.0135983500000001</v>
      </c>
      <c r="T148" s="78">
        <f>MAX(0, (TAB_JUROS_U[[#This Row],[CUPOM_TIR]] -1) * IF(TAB_JUROS_U[[#This Row],[ID_T_EVE]]=1, TAB_JUROS_U[[#This Row],[PU_AMORT]], TAB_JUROS_U[[#This Row],[V_NOML_PCPL]]) * TAB_JUROS_U[[#This Row],[CORRECAO_U]])</f>
        <v>23.996216705136582</v>
      </c>
      <c r="U148" s="78">
        <f>MAX(0, TAB_JUROS_U[[#This Row],[V_FUT_U_JURS-01]]/((((TAB_JUROS_U[[#This Row],[TX_CENARIO]]/100 +1)^(1/252) -1) * PC_IDXR/100 +1)^TAB_JUROS_U[[#This Row],[Q_DIAS_U_PARC_TIR]]))</f>
        <v>5.0843455994928721</v>
      </c>
      <c r="V148" s="78">
        <f>+TAB_JUROS_U[[#This Row],[V_FUT_U_JURS CENARIO]]/TAB_JUROS_U[[#This Row],[VAR_DESCAP_U]]</f>
        <v>3.9461712270986546</v>
      </c>
      <c r="W148" s="78"/>
      <c r="X148" s="64">
        <f>TAB_JUROS_U[[#This Row],[dt_eve_u]]- DT_CALCULO_C</f>
        <v>3755</v>
      </c>
      <c r="Y148" s="48" t="str">
        <f>"CORRECAO_JURS_C" &amp; TEXT(DT_CALCULO_C, "-AAAAMMDD") &amp; TEXT(TAB_JUROS_U[[#This Row],[DT_EVE]], "-AAAAMMDD")</f>
        <v>CORRECAO_JURS_C-20151228-20260409</v>
      </c>
      <c r="Z148" s="44">
        <f>IFERROR(VLOOKUP(TAB_JUROS_C[[#This Row],[Chave-CORC]],CORRECAO_JURS_C[],2, FALSE), 0)</f>
        <v>1</v>
      </c>
      <c r="AA14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23.674285485110133</v>
      </c>
      <c r="AB148" s="63">
        <f>(TIR_C/100 +1)^(TAB_JUROS_C[[#This Row],[DIAS_CORRIDOS]]/360)</f>
        <v>1.2890639571861002</v>
      </c>
      <c r="AC148" s="78">
        <f>IF(TAB_JUROS_C[[#This Row],[DIAS_CORRIDOS]]&lt;0, 0, TAB_JUROS_C[[#This Row],[V_FUT_C_JURS]]/TAB_JUROS_C[[#This Row],[VAR_DESCAP_C]])</f>
        <v>18.365485554951647</v>
      </c>
      <c r="AD148" s="78">
        <f>TAB_JUROS_U[[#This Row],[V_FUT_U_JURS CENARIO]]</f>
        <v>5.0843455994928721</v>
      </c>
      <c r="AE148" s="124">
        <f>IF(TAB_JUROS_C[[#This Row],[DIAS_CORRIDOS]]&lt;0, 0, TAB_JUROS_C[[#This Row],[V_FUT_UTEIS]]/TAB_JUROS_C[[#This Row],[VAR_DESCAP_C]])</f>
        <v>3.9442151579441398</v>
      </c>
      <c r="AF148" s="64"/>
    </row>
    <row r="149" spans="1:32">
      <c r="A149" s="82">
        <f t="shared" si="3"/>
        <v>125</v>
      </c>
      <c r="B149" s="24">
        <f>VLOOKUP($A149, CAD_JUROS[#Data], MATCH(B$24, CAD_JUROS[#Headers],0), FALSE)</f>
        <v>2</v>
      </c>
      <c r="C149" s="24" t="str">
        <f>VLOOKUP($A149, CAD_JUROS[#Data], MATCH(C$24, CAD_JUROS[#Headers],0), FALSE)</f>
        <v xml:space="preserve">JUROS SOBRE PRINCIPAL                             </v>
      </c>
      <c r="D149" s="36">
        <f>VLOOKUP($A149, CAD_JUROS[#Data], MATCH(D$24, CAD_JUROS[#Headers],0), FALSE)</f>
        <v>46153</v>
      </c>
      <c r="E149" s="48">
        <f>VLOOKUP($A149, CAD_JUROS[#Data], MATCH(E$24, CAD_JUROS[#Headers],0), FALSE)</f>
        <v>0</v>
      </c>
      <c r="F149" s="36">
        <f>VLOOKUP($A149, CAD_JUROS[#Data], MATCH(F$24, CAD_JUROS[#Headers],0), FALSE)</f>
        <v>46157</v>
      </c>
      <c r="G149" s="47">
        <f>WORKDAY(WORKDAY(TAB_JUROS_U[[#This Row],[DT_EVE]], -1, TAB_FERIADOS[FER_DATA]), 1, TAB_FERIADOS[FER_DATA])</f>
        <v>46153</v>
      </c>
      <c r="H149" s="75">
        <f>WORKDAY(WORKDAY(TAB_JUROS_U[[#This Row],[DT_LQDC_EVE]], -1, TAB_FERIADOS[FER_DATA]), 1, TAB_FERIADOS[FER_DATA])</f>
        <v>46157</v>
      </c>
      <c r="I149" s="48">
        <f>PU_EMISSAO - SUMIF(TAB_AMORTIZACAO_U[DT_EVE], "&lt;" &amp; TAB_JUROS_U[[#This Row],[DT_EVE]], TAB_AMORTIZACAO_U[V_PU_AMTC])</f>
        <v>10418.79225800003</v>
      </c>
      <c r="J149" s="48">
        <f>IFERROR(VLOOKUP(TAB_JUROS_U[[#This Row],[DT_EVE]], TAB_AMORTIZACAO_U[[DT_EVE]:[V_PU_AMTC]], 2, FALSE), 0)</f>
        <v>547.94512199999997</v>
      </c>
      <c r="K149" s="48">
        <f>NETWORKDAYS(DT_CALCULO_U, TAB_JUROS_U[[#This Row],[dt_eve_u]], TAB_FERIADOS[FER_DATA]) -1</f>
        <v>2602</v>
      </c>
      <c r="L149" s="48">
        <f>NETWORKDAYS(DT_CALCULO_U, TAB_JUROS_U[[#This Row],[dt_lqdc_eve_u]], TAB_FERIADOS[FER_DATA]) -1</f>
        <v>2606</v>
      </c>
      <c r="M149" s="48">
        <f>NETWORKDAYS(IF(ISTEXT(H148), DT_B_JURS, H148), TAB_JUROS_U[[#This Row],[dt_lqdc_eve_u]],  TAB_FERIADOS[FER_DATA]) -1</f>
        <v>20</v>
      </c>
      <c r="N149" s="123">
        <f>(TX_EMISSAO/100 +1)^(TAB_JUROS_U[[#This Row],[dias_periodo_u]]/252)</f>
        <v>1.0019616526860928</v>
      </c>
      <c r="O149" s="78">
        <f>(TIR_U/100 +1)^(TAB_JUROS_U[[#This Row],[Q_DIAS_U_PARC_TIR]]/252)</f>
        <v>1.2909526986445792</v>
      </c>
      <c r="P149" s="116" t="str">
        <f>"TX_CENARIO" &amp; TEXT(DT_CALCULO_C, "-AAAAMMDD") &amp; TEXT(TAB_JUROS_U[[#This Row],[DT_EVE]], "-AAAAMMDD")</f>
        <v>TX_CENARIO-20151228-20260511</v>
      </c>
      <c r="Q149" s="44">
        <f>IFERROR(VLOOKUP(TAB_JUROS_U[[#This Row],[Chave-CENARIO]],CENARIO[],2,FALSE), 0)</f>
        <v>16.325399999999998</v>
      </c>
      <c r="R149" s="116" t="str">
        <f>"CORRECAO_JURS_U" &amp; TEXT(DT_CALCULO_C, "-AAAAMMDD") &amp; TEXT(TAB_JUROS_U[[#This Row],[DT_EVE]], "-AAAAMMDD")</f>
        <v>CORRECAO_JURS_U-20151228-20260511</v>
      </c>
      <c r="S149" s="44">
        <f>IFERROR(VLOOKUP(TAB_JUROS_U[[#This Row],[Chave-CORC]],CORRECAO_JURS_U[],2, FALSE), 0)</f>
        <v>1.01235454</v>
      </c>
      <c r="T149" s="78">
        <f>MAX(0, (TAB_JUROS_U[[#This Row],[CUPOM_TIR]] -1) * IF(TAB_JUROS_U[[#This Row],[ID_T_EVE]]=1, TAB_JUROS_U[[#This Row],[PU_AMORT]], TAB_JUROS_U[[#This Row],[V_NOML_PCPL]]) * TAB_JUROS_U[[#This Row],[CORRECAO_U]])</f>
        <v>20.690554547465744</v>
      </c>
      <c r="U149" s="78">
        <f>MAX(0, TAB_JUROS_U[[#This Row],[V_FUT_U_JURS-01]]/((((TAB_JUROS_U[[#This Row],[TX_CENARIO]]/100 +1)^(1/252) -1) * PC_IDXR/100 +1)^TAB_JUROS_U[[#This Row],[Q_DIAS_U_PARC_TIR]]))</f>
        <v>4.3312558654926976</v>
      </c>
      <c r="V149" s="78">
        <f>+TAB_JUROS_U[[#This Row],[V_FUT_U_JURS CENARIO]]/TAB_JUROS_U[[#This Row],[VAR_DESCAP_U]]</f>
        <v>3.3550848687486763</v>
      </c>
      <c r="W149" s="78"/>
      <c r="X149" s="64">
        <f>TAB_JUROS_U[[#This Row],[dt_eve_u]]- DT_CALCULO_C</f>
        <v>3787</v>
      </c>
      <c r="Y149" s="48" t="str">
        <f>"CORRECAO_JURS_C" &amp; TEXT(DT_CALCULO_C, "-AAAAMMDD") &amp; TEXT(TAB_JUROS_U[[#This Row],[DT_EVE]], "-AAAAMMDD")</f>
        <v>CORRECAO_JURS_C-20151228-20260511</v>
      </c>
      <c r="Z149" s="44">
        <f>IFERROR(VLOOKUP(TAB_JUROS_C[[#This Row],[Chave-CORC]],CORRECAO_JURS_C[],2, FALSE), 0)</f>
        <v>1</v>
      </c>
      <c r="AA14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20.438051818748939</v>
      </c>
      <c r="AB149" s="63">
        <f>(TIR_C/100 +1)^(TAB_JUROS_C[[#This Row],[DIAS_CORRIDOS]]/360)</f>
        <v>1.2918563410211377</v>
      </c>
      <c r="AC149" s="78">
        <f>IF(TAB_JUROS_C[[#This Row],[DIAS_CORRIDOS]]&lt;0, 0, TAB_JUROS_C[[#This Row],[V_FUT_C_JURS]]/TAB_JUROS_C[[#This Row],[VAR_DESCAP_C]])</f>
        <v>15.820684676590155</v>
      </c>
      <c r="AD149" s="78">
        <f>TAB_JUROS_U[[#This Row],[V_FUT_U_JURS CENARIO]]</f>
        <v>4.3312558654926976</v>
      </c>
      <c r="AE149" s="124">
        <f>IF(TAB_JUROS_C[[#This Row],[DIAS_CORRIDOS]]&lt;0, 0, TAB_JUROS_C[[#This Row],[V_FUT_UTEIS]]/TAB_JUROS_C[[#This Row],[VAR_DESCAP_C]])</f>
        <v>3.3527380157991025</v>
      </c>
      <c r="AF149" s="64"/>
    </row>
    <row r="150" spans="1:32">
      <c r="A150" s="82">
        <f t="shared" si="3"/>
        <v>126</v>
      </c>
      <c r="B150" s="24">
        <f>VLOOKUP($A150, CAD_JUROS[#Data], MATCH(B$24, CAD_JUROS[#Headers],0), FALSE)</f>
        <v>2</v>
      </c>
      <c r="C150" s="24" t="str">
        <f>VLOOKUP($A150, CAD_JUROS[#Data], MATCH(C$24, CAD_JUROS[#Headers],0), FALSE)</f>
        <v xml:space="preserve">JUROS SOBRE PRINCIPAL                             </v>
      </c>
      <c r="D150" s="36">
        <f>VLOOKUP($A150, CAD_JUROS[#Data], MATCH(D$24, CAD_JUROS[#Headers],0), FALSE)</f>
        <v>46182</v>
      </c>
      <c r="E150" s="48">
        <f>VLOOKUP($A150, CAD_JUROS[#Data], MATCH(E$24, CAD_JUROS[#Headers],0), FALSE)</f>
        <v>0</v>
      </c>
      <c r="F150" s="36">
        <f>VLOOKUP($A150, CAD_JUROS[#Data], MATCH(F$24, CAD_JUROS[#Headers],0), FALSE)</f>
        <v>46188</v>
      </c>
      <c r="G150" s="47">
        <f>WORKDAY(WORKDAY(TAB_JUROS_U[[#This Row],[DT_EVE]], -1, TAB_FERIADOS[FER_DATA]), 1, TAB_FERIADOS[FER_DATA])</f>
        <v>46182</v>
      </c>
      <c r="H150" s="75">
        <f>WORKDAY(WORKDAY(TAB_JUROS_U[[#This Row],[DT_LQDC_EVE]], -1, TAB_FERIADOS[FER_DATA]), 1, TAB_FERIADOS[FER_DATA])</f>
        <v>46188</v>
      </c>
      <c r="I150" s="48">
        <f>PU_EMISSAO - SUMIF(TAB_AMORTIZACAO_U[DT_EVE], "&lt;" &amp; TAB_JUROS_U[[#This Row],[DT_EVE]], TAB_AMORTIZACAO_U[V_PU_AMTC])</f>
        <v>9870.8471360000258</v>
      </c>
      <c r="J150" s="48">
        <f>IFERROR(VLOOKUP(TAB_JUROS_U[[#This Row],[DT_EVE]], TAB_AMORTIZACAO_U[[DT_EVE]:[V_PU_AMTC]], 2, FALSE), 0)</f>
        <v>542.40305000000001</v>
      </c>
      <c r="K150" s="48">
        <f>NETWORKDAYS(DT_CALCULO_U, TAB_JUROS_U[[#This Row],[dt_eve_u]], TAB_FERIADOS[FER_DATA]) -1</f>
        <v>2622</v>
      </c>
      <c r="L150" s="48">
        <f>NETWORKDAYS(DT_CALCULO_U, TAB_JUROS_U[[#This Row],[dt_lqdc_eve_u]], TAB_FERIADOS[FER_DATA]) -1</f>
        <v>2626</v>
      </c>
      <c r="M150" s="48">
        <f>NETWORKDAYS(IF(ISTEXT(H149), DT_B_JURS, H149), TAB_JUROS_U[[#This Row],[dt_lqdc_eve_u]],  TAB_FERIADOS[FER_DATA]) -1</f>
        <v>20</v>
      </c>
      <c r="N150" s="123">
        <f>(TX_EMISSAO/100 +1)^(TAB_JUROS_U[[#This Row],[dias_periodo_u]]/252)</f>
        <v>1.0019616526860928</v>
      </c>
      <c r="O150" s="78">
        <f>(TIR_U/100 +1)^(TAB_JUROS_U[[#This Row],[Q_DIAS_U_PARC_TIR]]/252)</f>
        <v>1.2934853724851989</v>
      </c>
      <c r="P150" s="116" t="str">
        <f>"TX_CENARIO" &amp; TEXT(DT_CALCULO_C, "-AAAAMMDD") &amp; TEXT(TAB_JUROS_U[[#This Row],[DT_EVE]], "-AAAAMMDD")</f>
        <v>TX_CENARIO-20151228-20260609</v>
      </c>
      <c r="Q150" s="44">
        <f>IFERROR(VLOOKUP(TAB_JUROS_U[[#This Row],[Chave-CENARIO]],CENARIO[],2,FALSE), 0)</f>
        <v>16.3263</v>
      </c>
      <c r="R150" s="116" t="str">
        <f>"CORRECAO_JURS_U" &amp; TEXT(DT_CALCULO_C, "-AAAAMMDD") &amp; TEXT(TAB_JUROS_U[[#This Row],[DT_EVE]], "-AAAAMMDD")</f>
        <v>CORRECAO_JURS_U-20151228-20260609</v>
      </c>
      <c r="S150" s="44">
        <f>IFERROR(VLOOKUP(TAB_JUROS_U[[#This Row],[Chave-CORC]],CORRECAO_JURS_U[],2, FALSE), 0)</f>
        <v>1.01235454</v>
      </c>
      <c r="T150" s="78">
        <f>MAX(0, (TAB_JUROS_U[[#This Row],[CUPOM_TIR]] -1) * IF(TAB_JUROS_U[[#This Row],[ID_T_EVE]]=1, TAB_JUROS_U[[#This Row],[PU_AMORT]], TAB_JUROS_U[[#This Row],[V_NOML_PCPL]]) * TAB_JUROS_U[[#This Row],[CORRECAO_U]])</f>
        <v>19.602396903564784</v>
      </c>
      <c r="U150" s="78">
        <f>MAX(0, TAB_JUROS_U[[#This Row],[V_FUT_U_JURS-01]]/((((TAB_JUROS_U[[#This Row],[TX_CENARIO]]/100 +1)^(1/252) -1) * PC_IDXR/100 +1)^TAB_JUROS_U[[#This Row],[Q_DIAS_U_PARC_TIR]]))</f>
        <v>4.0541854180389212</v>
      </c>
      <c r="V150" s="78">
        <f>+TAB_JUROS_U[[#This Row],[V_FUT_U_JURS CENARIO]]/TAB_JUROS_U[[#This Row],[VAR_DESCAP_U]]</f>
        <v>3.1343109897327519</v>
      </c>
      <c r="W150" s="78"/>
      <c r="X150" s="64">
        <f>TAB_JUROS_U[[#This Row],[dt_eve_u]]- DT_CALCULO_C</f>
        <v>3816</v>
      </c>
      <c r="Y150" s="48" t="str">
        <f>"CORRECAO_JURS_C" &amp; TEXT(DT_CALCULO_C, "-AAAAMMDD") &amp; TEXT(TAB_JUROS_U[[#This Row],[DT_EVE]], "-AAAAMMDD")</f>
        <v>CORRECAO_JURS_C-20151228-20260609</v>
      </c>
      <c r="Z150" s="44">
        <f>IFERROR(VLOOKUP(TAB_JUROS_C[[#This Row],[Chave-CORC]],CORRECAO_JURS_C[],2, FALSE), 0)</f>
        <v>1</v>
      </c>
      <c r="AA15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19.363173798346164</v>
      </c>
      <c r="AB150" s="63">
        <f>(TIR_C/100 +1)^(TAB_JUROS_C[[#This Row],[DIAS_CORRIDOS]]/360)</f>
        <v>1.2943921633659778</v>
      </c>
      <c r="AC150" s="78">
        <f>IF(TAB_JUROS_C[[#This Row],[DIAS_CORRIDOS]]&lt;0, 0, TAB_JUROS_C[[#This Row],[V_FUT_C_JURS]]/TAB_JUROS_C[[#This Row],[VAR_DESCAP_C]])</f>
        <v>14.959279224924819</v>
      </c>
      <c r="AD150" s="78">
        <f>TAB_JUROS_U[[#This Row],[V_FUT_U_JURS CENARIO]]</f>
        <v>4.0541854180389212</v>
      </c>
      <c r="AE150" s="124">
        <f>IF(TAB_JUROS_C[[#This Row],[DIAS_CORRIDOS]]&lt;0, 0, TAB_JUROS_C[[#This Row],[V_FUT_UTEIS]]/TAB_JUROS_C[[#This Row],[VAR_DESCAP_C]])</f>
        <v>3.1321152373916501</v>
      </c>
      <c r="AF150" s="64"/>
    </row>
    <row r="151" spans="1:32">
      <c r="A151" s="82">
        <f t="shared" si="3"/>
        <v>127</v>
      </c>
      <c r="B151" s="24">
        <f>VLOOKUP($A151, CAD_JUROS[#Data], MATCH(B$24, CAD_JUROS[#Headers],0), FALSE)</f>
        <v>2</v>
      </c>
      <c r="C151" s="24" t="str">
        <f>VLOOKUP($A151, CAD_JUROS[#Data], MATCH(C$24, CAD_JUROS[#Headers],0), FALSE)</f>
        <v xml:space="preserve">JUROS SOBRE PRINCIPAL                             </v>
      </c>
      <c r="D151" s="36">
        <f>VLOOKUP($A151, CAD_JUROS[#Data], MATCH(D$24, CAD_JUROS[#Headers],0), FALSE)</f>
        <v>46211</v>
      </c>
      <c r="E151" s="48">
        <f>VLOOKUP($A151, CAD_JUROS[#Data], MATCH(E$24, CAD_JUROS[#Headers],0), FALSE)</f>
        <v>0</v>
      </c>
      <c r="F151" s="36">
        <f>VLOOKUP($A151, CAD_JUROS[#Data], MATCH(F$24, CAD_JUROS[#Headers],0), FALSE)</f>
        <v>46217</v>
      </c>
      <c r="G151" s="47">
        <f>WORKDAY(WORKDAY(TAB_JUROS_U[[#This Row],[DT_EVE]], -1, TAB_FERIADOS[FER_DATA]), 1, TAB_FERIADOS[FER_DATA])</f>
        <v>46211</v>
      </c>
      <c r="H151" s="75">
        <f>WORKDAY(WORKDAY(TAB_JUROS_U[[#This Row],[DT_LQDC_EVE]], -1, TAB_FERIADOS[FER_DATA]), 1, TAB_FERIADOS[FER_DATA])</f>
        <v>46217</v>
      </c>
      <c r="I151" s="48">
        <f>PU_EMISSAO - SUMIF(TAB_AMORTIZACAO_U[DT_EVE], "&lt;" &amp; TAB_JUROS_U[[#This Row],[DT_EVE]], TAB_AMORTIZACAO_U[V_PU_AMTC])</f>
        <v>9328.4440860000323</v>
      </c>
      <c r="J151" s="48">
        <f>IFERROR(VLOOKUP(TAB_JUROS_U[[#This Row],[DT_EVE]], TAB_AMORTIZACAO_U[[DT_EVE]:[V_PU_AMTC]], 2, FALSE), 0)</f>
        <v>535.75120000000004</v>
      </c>
      <c r="K151" s="48">
        <f>NETWORKDAYS(DT_CALCULO_U, TAB_JUROS_U[[#This Row],[dt_eve_u]], TAB_FERIADOS[FER_DATA]) -1</f>
        <v>2643</v>
      </c>
      <c r="L151" s="48">
        <f>NETWORKDAYS(DT_CALCULO_U, TAB_JUROS_U[[#This Row],[dt_lqdc_eve_u]], TAB_FERIADOS[FER_DATA]) -1</f>
        <v>2647</v>
      </c>
      <c r="M151" s="48">
        <f>NETWORKDAYS(IF(ISTEXT(H150), DT_B_JURS, H150), TAB_JUROS_U[[#This Row],[dt_lqdc_eve_u]],  TAB_FERIADOS[FER_DATA]) -1</f>
        <v>21</v>
      </c>
      <c r="N151" s="123">
        <f>(TX_EMISSAO/100 +1)^(TAB_JUROS_U[[#This Row],[dias_periodo_u]]/252)</f>
        <v>1.0020598362698427</v>
      </c>
      <c r="O151" s="78">
        <f>(TIR_U/100 +1)^(TAB_JUROS_U[[#This Row],[Q_DIAS_U_PARC_TIR]]/252)</f>
        <v>1.2961500278227847</v>
      </c>
      <c r="P151" s="116" t="str">
        <f>"TX_CENARIO" &amp; TEXT(DT_CALCULO_C, "-AAAAMMDD") &amp; TEXT(TAB_JUROS_U[[#This Row],[DT_EVE]], "-AAAAMMDD")</f>
        <v>TX_CENARIO-20151228-20260708</v>
      </c>
      <c r="Q151" s="44">
        <f>IFERROR(VLOOKUP(TAB_JUROS_U[[#This Row],[Chave-CENARIO]],CENARIO[],2,FALSE), 0)</f>
        <v>16.327300000000001</v>
      </c>
      <c r="R151" s="116" t="str">
        <f>"CORRECAO_JURS_U" &amp; TEXT(DT_CALCULO_C, "-AAAAMMDD") &amp; TEXT(TAB_JUROS_U[[#This Row],[DT_EVE]], "-AAAAMMDD")</f>
        <v>CORRECAO_JURS_U-20151228-20260708</v>
      </c>
      <c r="S151" s="44">
        <f>IFERROR(VLOOKUP(TAB_JUROS_U[[#This Row],[Chave-CORC]],CORRECAO_JURS_U[],2, FALSE), 0)</f>
        <v>1.0129762499999999</v>
      </c>
      <c r="T151" s="78">
        <f>MAX(0, (TAB_JUROS_U[[#This Row],[CUPOM_TIR]] -1) * IF(TAB_JUROS_U[[#This Row],[ID_T_EVE]]=1, TAB_JUROS_U[[#This Row],[PU_AMORT]], TAB_JUROS_U[[#This Row],[V_NOML_PCPL]]) * TAB_JUROS_U[[#This Row],[CORRECAO_U]])</f>
        <v>19.464406988794536</v>
      </c>
      <c r="U151" s="78">
        <f>MAX(0, TAB_JUROS_U[[#This Row],[V_FUT_U_JURS-01]]/((((TAB_JUROS_U[[#This Row],[TX_CENARIO]]/100 +1)^(1/252) -1) * PC_IDXR/100 +1)^TAB_JUROS_U[[#This Row],[Q_DIAS_U_PARC_TIR]]))</f>
        <v>3.9748727567126187</v>
      </c>
      <c r="V151" s="78">
        <f>+TAB_JUROS_U[[#This Row],[V_FUT_U_JURS CENARIO]]/TAB_JUROS_U[[#This Row],[VAR_DESCAP_U]]</f>
        <v>3.0666764428416005</v>
      </c>
      <c r="W151" s="78"/>
      <c r="X151" s="64">
        <f>TAB_JUROS_U[[#This Row],[dt_eve_u]]- DT_CALCULO_C</f>
        <v>3845</v>
      </c>
      <c r="Y151" s="48" t="str">
        <f>"CORRECAO_JURS_C" &amp; TEXT(DT_CALCULO_C, "-AAAAMMDD") &amp; TEXT(TAB_JUROS_U[[#This Row],[DT_EVE]], "-AAAAMMDD")</f>
        <v>CORRECAO_JURS_C-20151228-20260708</v>
      </c>
      <c r="Z151" s="44">
        <f>IFERROR(VLOOKUP(TAB_JUROS_C[[#This Row],[Chave-CORC]],CORRECAO_JURS_C[],2, FALSE), 0)</f>
        <v>1</v>
      </c>
      <c r="AA15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19.21506746954288</v>
      </c>
      <c r="AB151" s="63">
        <f>(TIR_C/100 +1)^(TAB_JUROS_C[[#This Row],[DIAS_CORRIDOS]]/360)</f>
        <v>1.2969329633501734</v>
      </c>
      <c r="AC151" s="78">
        <f>IF(TAB_JUROS_C[[#This Row],[DIAS_CORRIDOS]]&lt;0, 0, TAB_JUROS_C[[#This Row],[V_FUT_C_JURS]]/TAB_JUROS_C[[#This Row],[VAR_DESCAP_C]])</f>
        <v>14.815775381255994</v>
      </c>
      <c r="AD151" s="78">
        <f>TAB_JUROS_U[[#This Row],[V_FUT_U_JURS CENARIO]]</f>
        <v>3.9748727567126187</v>
      </c>
      <c r="AE151" s="124">
        <f>IF(TAB_JUROS_C[[#This Row],[DIAS_CORRIDOS]]&lt;0, 0, TAB_JUROS_C[[#This Row],[V_FUT_UTEIS]]/TAB_JUROS_C[[#This Row],[VAR_DESCAP_C]])</f>
        <v>3.0648251444276062</v>
      </c>
      <c r="AF151" s="64"/>
    </row>
    <row r="152" spans="1:32">
      <c r="A152" s="82">
        <f t="shared" si="3"/>
        <v>128</v>
      </c>
      <c r="B152" s="24">
        <f>VLOOKUP($A152, CAD_JUROS[#Data], MATCH(B$24, CAD_JUROS[#Headers],0), FALSE)</f>
        <v>2</v>
      </c>
      <c r="C152" s="24" t="str">
        <f>VLOOKUP($A152, CAD_JUROS[#Data], MATCH(C$24, CAD_JUROS[#Headers],0), FALSE)</f>
        <v xml:space="preserve">JUROS SOBRE PRINCIPAL                             </v>
      </c>
      <c r="D152" s="36">
        <f>VLOOKUP($A152, CAD_JUROS[#Data], MATCH(D$24, CAD_JUROS[#Headers],0), FALSE)</f>
        <v>46244</v>
      </c>
      <c r="E152" s="48">
        <f>VLOOKUP($A152, CAD_JUROS[#Data], MATCH(E$24, CAD_JUROS[#Headers],0), FALSE)</f>
        <v>0</v>
      </c>
      <c r="F152" s="36">
        <f>VLOOKUP($A152, CAD_JUROS[#Data], MATCH(F$24, CAD_JUROS[#Headers],0), FALSE)</f>
        <v>46248</v>
      </c>
      <c r="G152" s="47">
        <f>WORKDAY(WORKDAY(TAB_JUROS_U[[#This Row],[DT_EVE]], -1, TAB_FERIADOS[FER_DATA]), 1, TAB_FERIADOS[FER_DATA])</f>
        <v>46244</v>
      </c>
      <c r="H152" s="75">
        <f>WORKDAY(WORKDAY(TAB_JUROS_U[[#This Row],[DT_LQDC_EVE]], -1, TAB_FERIADOS[FER_DATA]), 1, TAB_FERIADOS[FER_DATA])</f>
        <v>46248</v>
      </c>
      <c r="I152" s="48">
        <f>PU_EMISSAO - SUMIF(TAB_AMORTIZACAO_U[DT_EVE], "&lt;" &amp; TAB_JUROS_U[[#This Row],[DT_EVE]], TAB_AMORTIZACAO_U[V_PU_AMTC])</f>
        <v>8792.6928860000335</v>
      </c>
      <c r="J152" s="48">
        <f>IFERROR(VLOOKUP(TAB_JUROS_U[[#This Row],[DT_EVE]], TAB_AMORTIZACAO_U[[DT_EVE]:[V_PU_AMTC]], 2, FALSE), 0)</f>
        <v>527.75501199999997</v>
      </c>
      <c r="K152" s="48">
        <f>NETWORKDAYS(DT_CALCULO_U, TAB_JUROS_U[[#This Row],[dt_eve_u]], TAB_FERIADOS[FER_DATA]) -1</f>
        <v>2666</v>
      </c>
      <c r="L152" s="48">
        <f>NETWORKDAYS(DT_CALCULO_U, TAB_JUROS_U[[#This Row],[dt_lqdc_eve_u]], TAB_FERIADOS[FER_DATA]) -1</f>
        <v>2670</v>
      </c>
      <c r="M152" s="48">
        <f>NETWORKDAYS(IF(ISTEXT(H151), DT_B_JURS, H151), TAB_JUROS_U[[#This Row],[dt_lqdc_eve_u]],  TAB_FERIADOS[FER_DATA]) -1</f>
        <v>23</v>
      </c>
      <c r="N152" s="123">
        <f>(TX_EMISSAO/100 +1)^(TAB_JUROS_U[[#This Row],[dias_periodo_u]]/252)</f>
        <v>1.0022562323017139</v>
      </c>
      <c r="O152" s="78">
        <f>(TIR_U/100 +1)^(TAB_JUROS_U[[#This Row],[Q_DIAS_U_PARC_TIR]]/252)</f>
        <v>1.2990747587035745</v>
      </c>
      <c r="P152" s="116" t="str">
        <f>"TX_CENARIO" &amp; TEXT(DT_CALCULO_C, "-AAAAMMDD") &amp; TEXT(TAB_JUROS_U[[#This Row],[DT_EVE]], "-AAAAMMDD")</f>
        <v>TX_CENARIO-20151228-20260810</v>
      </c>
      <c r="Q152" s="44">
        <f>IFERROR(VLOOKUP(TAB_JUROS_U[[#This Row],[Chave-CENARIO]],CENARIO[],2,FALSE), 0)</f>
        <v>16.328399999999998</v>
      </c>
      <c r="R152" s="116" t="str">
        <f>"CORRECAO_JURS_U" &amp; TEXT(DT_CALCULO_C, "-AAAAMMDD") &amp; TEXT(TAB_JUROS_U[[#This Row],[DT_EVE]], "-AAAAMMDD")</f>
        <v>CORRECAO_JURS_U-20151228-20260810</v>
      </c>
      <c r="S152" s="44">
        <f>IFERROR(VLOOKUP(TAB_JUROS_U[[#This Row],[Chave-CORC]],CORRECAO_JURS_U[],2, FALSE), 0)</f>
        <v>1.0142208399999999</v>
      </c>
      <c r="T152" s="78">
        <f>MAX(0, (TAB_JUROS_U[[#This Row],[CUPOM_TIR]] -1) * IF(TAB_JUROS_U[[#This Row],[ID_T_EVE]]=1, TAB_JUROS_U[[#This Row],[PU_AMORT]], TAB_JUROS_U[[#This Row],[V_NOML_PCPL]]) * TAB_JUROS_U[[#This Row],[CORRECAO_U]])</f>
        <v>20.120475819277836</v>
      </c>
      <c r="U152" s="78">
        <f>MAX(0, TAB_JUROS_U[[#This Row],[V_FUT_U_JURS-01]]/((((TAB_JUROS_U[[#This Row],[TX_CENARIO]]/100 +1)^(1/252) -1) * PC_IDXR/100 +1)^TAB_JUROS_U[[#This Row],[Q_DIAS_U_PARC_TIR]]))</f>
        <v>4.0521175505055451</v>
      </c>
      <c r="V152" s="78">
        <f>+TAB_JUROS_U[[#This Row],[V_FUT_U_JURS CENARIO]]/TAB_JUROS_U[[#This Row],[VAR_DESCAP_U]]</f>
        <v>3.1192335339879893</v>
      </c>
      <c r="W152" s="78"/>
      <c r="X152" s="64">
        <f>TAB_JUROS_U[[#This Row],[dt_eve_u]]- DT_CALCULO_C</f>
        <v>3878</v>
      </c>
      <c r="Y152" s="48" t="str">
        <f>"CORRECAO_JURS_C" &amp; TEXT(DT_CALCULO_C, "-AAAAMMDD") &amp; TEXT(TAB_JUROS_U[[#This Row],[DT_EVE]], "-AAAAMMDD")</f>
        <v>CORRECAO_JURS_C-20151228-20260810</v>
      </c>
      <c r="Z152" s="44">
        <f>IFERROR(VLOOKUP(TAB_JUROS_C[[#This Row],[Chave-CORC]],CORRECAO_JURS_C[],2, FALSE), 0)</f>
        <v>1</v>
      </c>
      <c r="AA15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19.838357708443297</v>
      </c>
      <c r="AB152" s="63">
        <f>(TIR_C/100 +1)^(TAB_JUROS_C[[#This Row],[DIAS_CORRIDOS]]/360)</f>
        <v>1.2998302857826178</v>
      </c>
      <c r="AC152" s="78">
        <f>IF(TAB_JUROS_C[[#This Row],[DIAS_CORRIDOS]]&lt;0, 0, TAB_JUROS_C[[#This Row],[V_FUT_C_JURS]]/TAB_JUROS_C[[#This Row],[VAR_DESCAP_C]])</f>
        <v>15.262267640193331</v>
      </c>
      <c r="AD152" s="78">
        <f>TAB_JUROS_U[[#This Row],[V_FUT_U_JURS CENARIO]]</f>
        <v>4.0521175505055451</v>
      </c>
      <c r="AE152" s="124">
        <f>IF(TAB_JUROS_C[[#This Row],[DIAS_CORRIDOS]]&lt;0, 0, TAB_JUROS_C[[#This Row],[V_FUT_UTEIS]]/TAB_JUROS_C[[#This Row],[VAR_DESCAP_C]])</f>
        <v>3.1174204777555219</v>
      </c>
      <c r="AF152" s="64"/>
    </row>
    <row r="153" spans="1:32">
      <c r="A153" s="82">
        <f t="shared" si="3"/>
        <v>129</v>
      </c>
      <c r="B153" s="24">
        <f>VLOOKUP($A153, CAD_JUROS[#Data], MATCH(B$24, CAD_JUROS[#Headers],0), FALSE)</f>
        <v>2</v>
      </c>
      <c r="C153" s="24" t="str">
        <f>VLOOKUP($A153, CAD_JUROS[#Data], MATCH(C$24, CAD_JUROS[#Headers],0), FALSE)</f>
        <v xml:space="preserve">JUROS SOBRE PRINCIPAL                             </v>
      </c>
      <c r="D153" s="36">
        <f>VLOOKUP($A153, CAD_JUROS[#Data], MATCH(D$24, CAD_JUROS[#Headers],0), FALSE)</f>
        <v>46274</v>
      </c>
      <c r="E153" s="48">
        <f>VLOOKUP($A153, CAD_JUROS[#Data], MATCH(E$24, CAD_JUROS[#Headers],0), FALSE)</f>
        <v>0</v>
      </c>
      <c r="F153" s="36">
        <f>VLOOKUP($A153, CAD_JUROS[#Data], MATCH(F$24, CAD_JUROS[#Headers],0), FALSE)</f>
        <v>46280</v>
      </c>
      <c r="G153" s="47">
        <f>WORKDAY(WORKDAY(TAB_JUROS_U[[#This Row],[DT_EVE]], -1, TAB_FERIADOS[FER_DATA]), 1, TAB_FERIADOS[FER_DATA])</f>
        <v>46274</v>
      </c>
      <c r="H153" s="75">
        <f>WORKDAY(WORKDAY(TAB_JUROS_U[[#This Row],[DT_LQDC_EVE]], -1, TAB_FERIADOS[FER_DATA]), 1, TAB_FERIADOS[FER_DATA])</f>
        <v>46280</v>
      </c>
      <c r="I153" s="48">
        <f>PU_EMISSAO - SUMIF(TAB_AMORTIZACAO_U[DT_EVE], "&lt;" &amp; TAB_JUROS_U[[#This Row],[DT_EVE]], TAB_AMORTIZACAO_U[V_PU_AMTC])</f>
        <v>8264.9378740000393</v>
      </c>
      <c r="J153" s="48">
        <f>IFERROR(VLOOKUP(TAB_JUROS_U[[#This Row],[DT_EVE]], TAB_AMORTIZACAO_U[[DT_EVE]:[V_PU_AMTC]], 2, FALSE), 0)</f>
        <v>523.91441099999997</v>
      </c>
      <c r="K153" s="48">
        <f>NETWORKDAYS(DT_CALCULO_U, TAB_JUROS_U[[#This Row],[dt_eve_u]], TAB_FERIADOS[FER_DATA]) -1</f>
        <v>2687</v>
      </c>
      <c r="L153" s="48">
        <f>NETWORKDAYS(DT_CALCULO_U, TAB_JUROS_U[[#This Row],[dt_lqdc_eve_u]], TAB_FERIADOS[FER_DATA]) -1</f>
        <v>2691</v>
      </c>
      <c r="M153" s="48">
        <f>NETWORKDAYS(IF(ISTEXT(H152), DT_B_JURS, H152), TAB_JUROS_U[[#This Row],[dt_lqdc_eve_u]],  TAB_FERIADOS[FER_DATA]) -1</f>
        <v>21</v>
      </c>
      <c r="N153" s="123">
        <f>(TX_EMISSAO/100 +1)^(TAB_JUROS_U[[#This Row],[dias_periodo_u]]/252)</f>
        <v>1.0020598362698427</v>
      </c>
      <c r="O153" s="78">
        <f>(TIR_U/100 +1)^(TAB_JUROS_U[[#This Row],[Q_DIAS_U_PARC_TIR]]/252)</f>
        <v>1.3017509285028908</v>
      </c>
      <c r="P153" s="116" t="str">
        <f>"TX_CENARIO" &amp; TEXT(DT_CALCULO_C, "-AAAAMMDD") &amp; TEXT(TAB_JUROS_U[[#This Row],[DT_EVE]], "-AAAAMMDD")</f>
        <v>TX_CENARIO-20151228-20260909</v>
      </c>
      <c r="Q153" s="44">
        <f>IFERROR(VLOOKUP(TAB_JUROS_U[[#This Row],[Chave-CENARIO]],CENARIO[],2,FALSE), 0)</f>
        <v>16.3293</v>
      </c>
      <c r="R153" s="116" t="str">
        <f>"CORRECAO_JURS_U" &amp; TEXT(DT_CALCULO_C, "-AAAAMMDD") &amp; TEXT(TAB_JUROS_U[[#This Row],[DT_EVE]], "-AAAAMMDD")</f>
        <v>CORRECAO_JURS_U-20151228-20260909</v>
      </c>
      <c r="S153" s="44">
        <f>IFERROR(VLOOKUP(TAB_JUROS_U[[#This Row],[Chave-CORC]],CORRECAO_JURS_U[],2, FALSE), 0)</f>
        <v>1.0129762499999999</v>
      </c>
      <c r="T153" s="78">
        <f>MAX(0, (TAB_JUROS_U[[#This Row],[CUPOM_TIR]] -1) * IF(TAB_JUROS_U[[#This Row],[ID_T_EVE]]=1, TAB_JUROS_U[[#This Row],[PU_AMORT]], TAB_JUROS_U[[#This Row],[V_NOML_PCPL]]) * TAB_JUROS_U[[#This Row],[CORRECAO_U]])</f>
        <v>17.245331915326918</v>
      </c>
      <c r="U153" s="78">
        <f>MAX(0, TAB_JUROS_U[[#This Row],[V_FUT_U_JURS-01]]/((((TAB_JUROS_U[[#This Row],[TX_CENARIO]]/100 +1)^(1/252) -1) * PC_IDXR/100 +1)^TAB_JUROS_U[[#This Row],[Q_DIAS_U_PARC_TIR]]))</f>
        <v>3.4293013724494186</v>
      </c>
      <c r="V153" s="78">
        <f>+TAB_JUROS_U[[#This Row],[V_FUT_U_JURS CENARIO]]/TAB_JUROS_U[[#This Row],[VAR_DESCAP_U]]</f>
        <v>2.6343759757431995</v>
      </c>
      <c r="W153" s="78"/>
      <c r="X153" s="64">
        <f>TAB_JUROS_U[[#This Row],[dt_eve_u]]- DT_CALCULO_C</f>
        <v>3908</v>
      </c>
      <c r="Y153" s="48" t="str">
        <f>"CORRECAO_JURS_C" &amp; TEXT(DT_CALCULO_C, "-AAAAMMDD") &amp; TEXT(TAB_JUROS_U[[#This Row],[DT_EVE]], "-AAAAMMDD")</f>
        <v>CORRECAO_JURS_C-20151228-20260909</v>
      </c>
      <c r="Z153" s="44">
        <f>IFERROR(VLOOKUP(TAB_JUROS_C[[#This Row],[Chave-CORC]],CORRECAO_JURS_C[],2, FALSE), 0)</f>
        <v>1</v>
      </c>
      <c r="AA15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17.024418800862232</v>
      </c>
      <c r="AB153" s="63">
        <f>(TIR_C/100 +1)^(TAB_JUROS_C[[#This Row],[DIAS_CORRIDOS]]/360)</f>
        <v>1.3024698315715308</v>
      </c>
      <c r="AC153" s="78">
        <f>IF(TAB_JUROS_C[[#This Row],[DIAS_CORRIDOS]]&lt;0, 0, TAB_JUROS_C[[#This Row],[V_FUT_C_JURS]]/TAB_JUROS_C[[#This Row],[VAR_DESCAP_C]])</f>
        <v>13.070873803135195</v>
      </c>
      <c r="AD153" s="78">
        <f>TAB_JUROS_U[[#This Row],[V_FUT_U_JURS CENARIO]]</f>
        <v>3.4293013724494186</v>
      </c>
      <c r="AE153" s="124">
        <f>IF(TAB_JUROS_C[[#This Row],[DIAS_CORRIDOS]]&lt;0, 0, TAB_JUROS_C[[#This Row],[V_FUT_UTEIS]]/TAB_JUROS_C[[#This Row],[VAR_DESCAP_C]])</f>
        <v>2.6329219221236784</v>
      </c>
      <c r="AF153" s="64"/>
    </row>
    <row r="154" spans="1:32">
      <c r="A154" s="82">
        <f t="shared" si="3"/>
        <v>130</v>
      </c>
      <c r="B154" s="24">
        <f>VLOOKUP($A154, CAD_JUROS[#Data], MATCH(B$24, CAD_JUROS[#Headers],0), FALSE)</f>
        <v>2</v>
      </c>
      <c r="C154" s="24" t="str">
        <f>VLOOKUP($A154, CAD_JUROS[#Data], MATCH(C$24, CAD_JUROS[#Headers],0), FALSE)</f>
        <v xml:space="preserve">JUROS SOBRE PRINCIPAL                             </v>
      </c>
      <c r="D154" s="36">
        <f>VLOOKUP($A154, CAD_JUROS[#Data], MATCH(D$24, CAD_JUROS[#Headers],0), FALSE)</f>
        <v>46304</v>
      </c>
      <c r="E154" s="48">
        <f>VLOOKUP($A154, CAD_JUROS[#Data], MATCH(E$24, CAD_JUROS[#Headers],0), FALSE)</f>
        <v>0</v>
      </c>
      <c r="F154" s="36">
        <f>VLOOKUP($A154, CAD_JUROS[#Data], MATCH(F$24, CAD_JUROS[#Headers],0), FALSE)</f>
        <v>46310</v>
      </c>
      <c r="G154" s="47">
        <f>WORKDAY(WORKDAY(TAB_JUROS_U[[#This Row],[DT_EVE]], -1, TAB_FERIADOS[FER_DATA]), 1, TAB_FERIADOS[FER_DATA])</f>
        <v>46304</v>
      </c>
      <c r="H154" s="75">
        <f>WORKDAY(WORKDAY(TAB_JUROS_U[[#This Row],[DT_LQDC_EVE]], -1, TAB_FERIADOS[FER_DATA]), 1, TAB_FERIADOS[FER_DATA])</f>
        <v>46310</v>
      </c>
      <c r="I154" s="48">
        <f>PU_EMISSAO - SUMIF(TAB_AMORTIZACAO_U[DT_EVE], "&lt;" &amp; TAB_JUROS_U[[#This Row],[DT_EVE]], TAB_AMORTIZACAO_U[V_PU_AMTC])</f>
        <v>7741.0234630000341</v>
      </c>
      <c r="J154" s="48">
        <f>IFERROR(VLOOKUP(TAB_JUROS_U[[#This Row],[DT_EVE]], TAB_AMORTIZACAO_U[[DT_EVE]:[V_PU_AMTC]], 2, FALSE), 0)</f>
        <v>518.424082</v>
      </c>
      <c r="K154" s="48">
        <f>NETWORKDAYS(DT_CALCULO_U, TAB_JUROS_U[[#This Row],[dt_eve_u]], TAB_FERIADOS[FER_DATA]) -1</f>
        <v>2709</v>
      </c>
      <c r="L154" s="48">
        <f>NETWORKDAYS(DT_CALCULO_U, TAB_JUROS_U[[#This Row],[dt_lqdc_eve_u]], TAB_FERIADOS[FER_DATA]) -1</f>
        <v>2712</v>
      </c>
      <c r="M154" s="48">
        <f>NETWORKDAYS(IF(ISTEXT(H153), DT_B_JURS, H153), TAB_JUROS_U[[#This Row],[dt_lqdc_eve_u]],  TAB_FERIADOS[FER_DATA]) -1</f>
        <v>21</v>
      </c>
      <c r="N154" s="123">
        <f>(TX_EMISSAO/100 +1)^(TAB_JUROS_U[[#This Row],[dias_periodo_u]]/252)</f>
        <v>1.0020598362698427</v>
      </c>
      <c r="O154" s="78">
        <f>(TIR_U/100 +1)^(TAB_JUROS_U[[#This Row],[Q_DIAS_U_PARC_TIR]]/252)</f>
        <v>1.3044326113681388</v>
      </c>
      <c r="P154" s="116" t="str">
        <f>"TX_CENARIO" &amp; TEXT(DT_CALCULO_C, "-AAAAMMDD") &amp; TEXT(TAB_JUROS_U[[#This Row],[DT_EVE]], "-AAAAMMDD")</f>
        <v>TX_CENARIO-20151228-20261009</v>
      </c>
      <c r="Q154" s="44">
        <f>IFERROR(VLOOKUP(TAB_JUROS_U[[#This Row],[Chave-CENARIO]],CENARIO[],2,FALSE), 0)</f>
        <v>16.330300000000001</v>
      </c>
      <c r="R154" s="116" t="str">
        <f>"CORRECAO_JURS_U" &amp; TEXT(DT_CALCULO_C, "-AAAAMMDD") &amp; TEXT(TAB_JUROS_U[[#This Row],[DT_EVE]], "-AAAAMMDD")</f>
        <v>CORRECAO_JURS_U-20151228-20261009</v>
      </c>
      <c r="S154" s="44">
        <f>IFERROR(VLOOKUP(TAB_JUROS_U[[#This Row],[Chave-CORC]],CORRECAO_JURS_U[],2, FALSE), 0)</f>
        <v>1.0135983500000001</v>
      </c>
      <c r="T154" s="78">
        <f>MAX(0, (TAB_JUROS_U[[#This Row],[CUPOM_TIR]] -1) * IF(TAB_JUROS_U[[#This Row],[ID_T_EVE]]=1, TAB_JUROS_U[[#This Row],[PU_AMORT]], TAB_JUROS_U[[#This Row],[V_NOML_PCPL]]) * TAB_JUROS_U[[#This Row],[CORRECAO_U]])</f>
        <v>16.162069861312812</v>
      </c>
      <c r="U154" s="78">
        <f>MAX(0, TAB_JUROS_U[[#This Row],[V_FUT_U_JURS-01]]/((((TAB_JUROS_U[[#This Row],[TX_CENARIO]]/100 +1)^(1/252) -1) * PC_IDXR/100 +1)^TAB_JUROS_U[[#This Row],[Q_DIAS_U_PARC_TIR]]))</f>
        <v>3.1733414544991381</v>
      </c>
      <c r="V154" s="78">
        <f>+TAB_JUROS_U[[#This Row],[V_FUT_U_JURS CENARIO]]/TAB_JUROS_U[[#This Row],[VAR_DESCAP_U]]</f>
        <v>2.4327369822277105</v>
      </c>
      <c r="W154" s="78"/>
      <c r="X154" s="64">
        <f>TAB_JUROS_U[[#This Row],[dt_eve_u]]- DT_CALCULO_C</f>
        <v>3938</v>
      </c>
      <c r="Y154" s="48" t="str">
        <f>"CORRECAO_JURS_C" &amp; TEXT(DT_CALCULO_C, "-AAAAMMDD") &amp; TEXT(TAB_JUROS_U[[#This Row],[DT_EVE]], "-AAAAMMDD")</f>
        <v>CORRECAO_JURS_C-20151228-20261009</v>
      </c>
      <c r="Z154" s="44">
        <f>IFERROR(VLOOKUP(TAB_JUROS_C[[#This Row],[Chave-CORC]],CORRECAO_JURS_C[],2, FALSE), 0)</f>
        <v>1</v>
      </c>
      <c r="AA15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15.945240894791127</v>
      </c>
      <c r="AB154" s="63">
        <f>(TIR_C/100 +1)^(TAB_JUROS_C[[#This Row],[DIAS_CORRIDOS]]/360)</f>
        <v>1.3051147374463319</v>
      </c>
      <c r="AC154" s="78">
        <f>IF(TAB_JUROS_C[[#This Row],[DIAS_CORRIDOS]]&lt;0, 0, TAB_JUROS_C[[#This Row],[V_FUT_C_JURS]]/TAB_JUROS_C[[#This Row],[VAR_DESCAP_C]])</f>
        <v>12.217501218314775</v>
      </c>
      <c r="AD154" s="78">
        <f>TAB_JUROS_U[[#This Row],[V_FUT_U_JURS CENARIO]]</f>
        <v>3.1733414544991381</v>
      </c>
      <c r="AE154" s="124">
        <f>IF(TAB_JUROS_C[[#This Row],[DIAS_CORRIDOS]]&lt;0, 0, TAB_JUROS_C[[#This Row],[V_FUT_UTEIS]]/TAB_JUROS_C[[#This Row],[VAR_DESCAP_C]])</f>
        <v>2.4314654975916477</v>
      </c>
      <c r="AF154" s="64"/>
    </row>
    <row r="155" spans="1:32">
      <c r="A155" s="82">
        <f t="shared" si="3"/>
        <v>131</v>
      </c>
      <c r="B155" s="24">
        <f>VLOOKUP($A155, CAD_JUROS[#Data], MATCH(B$24, CAD_JUROS[#Headers],0), FALSE)</f>
        <v>2</v>
      </c>
      <c r="C155" s="24" t="str">
        <f>VLOOKUP($A155, CAD_JUROS[#Data], MATCH(C$24, CAD_JUROS[#Headers],0), FALSE)</f>
        <v xml:space="preserve">JUROS SOBRE PRINCIPAL                             </v>
      </c>
      <c r="D155" s="36">
        <f>VLOOKUP($A155, CAD_JUROS[#Data], MATCH(D$24, CAD_JUROS[#Headers],0), FALSE)</f>
        <v>46336</v>
      </c>
      <c r="E155" s="48">
        <f>VLOOKUP($A155, CAD_JUROS[#Data], MATCH(E$24, CAD_JUROS[#Headers],0), FALSE)</f>
        <v>0</v>
      </c>
      <c r="F155" s="36">
        <f>VLOOKUP($A155, CAD_JUROS[#Data], MATCH(F$24, CAD_JUROS[#Headers],0), FALSE)</f>
        <v>46342</v>
      </c>
      <c r="G155" s="47">
        <f>WORKDAY(WORKDAY(TAB_JUROS_U[[#This Row],[DT_EVE]], -1, TAB_FERIADOS[FER_DATA]), 1, TAB_FERIADOS[FER_DATA])</f>
        <v>46336</v>
      </c>
      <c r="H155" s="75">
        <f>WORKDAY(WORKDAY(TAB_JUROS_U[[#This Row],[DT_LQDC_EVE]], -1, TAB_FERIADOS[FER_DATA]), 1, TAB_FERIADOS[FER_DATA])</f>
        <v>46342</v>
      </c>
      <c r="I155" s="48">
        <f>PU_EMISSAO - SUMIF(TAB_AMORTIZACAO_U[DT_EVE], "&lt;" &amp; TAB_JUROS_U[[#This Row],[DT_EVE]], TAB_AMORTIZACAO_U[V_PU_AMTC])</f>
        <v>7222.5993810000364</v>
      </c>
      <c r="J155" s="48">
        <f>IFERROR(VLOOKUP(TAB_JUROS_U[[#This Row],[DT_EVE]], TAB_AMORTIZACAO_U[[DT_EVE]:[V_PU_AMTC]], 2, FALSE), 0)</f>
        <v>513.00678800000003</v>
      </c>
      <c r="K155" s="48">
        <f>NETWORKDAYS(DT_CALCULO_U, TAB_JUROS_U[[#This Row],[dt_eve_u]], TAB_FERIADOS[FER_DATA]) -1</f>
        <v>2729</v>
      </c>
      <c r="L155" s="48">
        <f>NETWORKDAYS(DT_CALCULO_U, TAB_JUROS_U[[#This Row],[dt_lqdc_eve_u]], TAB_FERIADOS[FER_DATA]) -1</f>
        <v>2733</v>
      </c>
      <c r="M155" s="48">
        <f>NETWORKDAYS(IF(ISTEXT(H154), DT_B_JURS, H154), TAB_JUROS_U[[#This Row],[dt_lqdc_eve_u]],  TAB_FERIADOS[FER_DATA]) -1</f>
        <v>21</v>
      </c>
      <c r="N155" s="123">
        <f>(TX_EMISSAO/100 +1)^(TAB_JUROS_U[[#This Row],[dias_periodo_u]]/252)</f>
        <v>1.0020598362698427</v>
      </c>
      <c r="O155" s="78">
        <f>(TIR_U/100 +1)^(TAB_JUROS_U[[#This Row],[Q_DIAS_U_PARC_TIR]]/252)</f>
        <v>1.3071198186565558</v>
      </c>
      <c r="P155" s="116" t="str">
        <f>"TX_CENARIO" &amp; TEXT(DT_CALCULO_C, "-AAAAMMDD") &amp; TEXT(TAB_JUROS_U[[#This Row],[DT_EVE]], "-AAAAMMDD")</f>
        <v>TX_CENARIO-20151228-20261110</v>
      </c>
      <c r="Q155" s="44">
        <f>IFERROR(VLOOKUP(TAB_JUROS_U[[#This Row],[Chave-CENARIO]],CENARIO[],2,FALSE), 0)</f>
        <v>16.331199999999999</v>
      </c>
      <c r="R155" s="116" t="str">
        <f>"CORRECAO_JURS_U" &amp; TEXT(DT_CALCULO_C, "-AAAAMMDD") &amp; TEXT(TAB_JUROS_U[[#This Row],[DT_EVE]], "-AAAAMMDD")</f>
        <v>CORRECAO_JURS_U-20151228-20261110</v>
      </c>
      <c r="S155" s="44">
        <f>IFERROR(VLOOKUP(TAB_JUROS_U[[#This Row],[Chave-CORC]],CORRECAO_JURS_U[],2, FALSE), 0)</f>
        <v>1.01235454</v>
      </c>
      <c r="T155" s="78">
        <f>MAX(0, (TAB_JUROS_U[[#This Row],[CUPOM_TIR]] -1) * IF(TAB_JUROS_U[[#This Row],[ID_T_EVE]]=1, TAB_JUROS_U[[#This Row],[PU_AMORT]], TAB_JUROS_U[[#This Row],[V_NOML_PCPL]]) * TAB_JUROS_U[[#This Row],[CORRECAO_U]])</f>
        <v>15.061175257066211</v>
      </c>
      <c r="U155" s="78">
        <f>MAX(0, TAB_JUROS_U[[#This Row],[V_FUT_U_JURS-01]]/((((TAB_JUROS_U[[#This Row],[TX_CENARIO]]/100 +1)^(1/252) -1) * PC_IDXR/100 +1)^TAB_JUROS_U[[#This Row],[Q_DIAS_U_PARC_TIR]]))</f>
        <v>2.9198990994188545</v>
      </c>
      <c r="V155" s="78">
        <f>+TAB_JUROS_U[[#This Row],[V_FUT_U_JURS CENARIO]]/TAB_JUROS_U[[#This Row],[VAR_DESCAP_U]]</f>
        <v>2.2338419613436025</v>
      </c>
      <c r="W155" s="78"/>
      <c r="X155" s="64">
        <f>TAB_JUROS_U[[#This Row],[dt_eve_u]]- DT_CALCULO_C</f>
        <v>3970</v>
      </c>
      <c r="Y155" s="48" t="str">
        <f>"CORRECAO_JURS_C" &amp; TEXT(DT_CALCULO_C, "-AAAAMMDD") &amp; TEXT(TAB_JUROS_U[[#This Row],[DT_EVE]], "-AAAAMMDD")</f>
        <v>CORRECAO_JURS_C-20151228-20261110</v>
      </c>
      <c r="Z155" s="44">
        <f>IFERROR(VLOOKUP(TAB_JUROS_C[[#This Row],[Chave-CORC]],CORRECAO_JURS_C[],2, FALSE), 0)</f>
        <v>1</v>
      </c>
      <c r="AA15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14.877372167527604</v>
      </c>
      <c r="AB155" s="63">
        <f>(TIR_C/100 +1)^(TAB_JUROS_C[[#This Row],[DIAS_CORRIDOS]]/360)</f>
        <v>1.3079418906495521</v>
      </c>
      <c r="AC155" s="78">
        <f>IF(TAB_JUROS_C[[#This Row],[DIAS_CORRIDOS]]&lt;0, 0, TAB_JUROS_C[[#This Row],[V_FUT_C_JURS]]/TAB_JUROS_C[[#This Row],[VAR_DESCAP_C]])</f>
        <v>11.374643073890065</v>
      </c>
      <c r="AD155" s="78">
        <f>TAB_JUROS_U[[#This Row],[V_FUT_U_JURS CENARIO]]</f>
        <v>2.9198990994188545</v>
      </c>
      <c r="AE155" s="124">
        <f>IF(TAB_JUROS_C[[#This Row],[DIAS_CORRIDOS]]&lt;0, 0, TAB_JUROS_C[[#This Row],[V_FUT_UTEIS]]/TAB_JUROS_C[[#This Row],[VAR_DESCAP_C]])</f>
        <v>2.2324379395546154</v>
      </c>
      <c r="AF155" s="64"/>
    </row>
    <row r="156" spans="1:32">
      <c r="A156" s="82">
        <f t="shared" si="3"/>
        <v>132</v>
      </c>
      <c r="B156" s="24">
        <f>VLOOKUP($A156, CAD_JUROS[#Data], MATCH(B$24, CAD_JUROS[#Headers],0), FALSE)</f>
        <v>2</v>
      </c>
      <c r="C156" s="24" t="str">
        <f>VLOOKUP($A156, CAD_JUROS[#Data], MATCH(C$24, CAD_JUROS[#Headers],0), FALSE)</f>
        <v xml:space="preserve">JUROS SOBRE PRINCIPAL                             </v>
      </c>
      <c r="D156" s="36">
        <f>VLOOKUP($A156, CAD_JUROS[#Data], MATCH(D$24, CAD_JUROS[#Headers],0), FALSE)</f>
        <v>46364</v>
      </c>
      <c r="E156" s="48">
        <f>VLOOKUP($A156, CAD_JUROS[#Data], MATCH(E$24, CAD_JUROS[#Headers],0), FALSE)</f>
        <v>0</v>
      </c>
      <c r="F156" s="36">
        <f>VLOOKUP($A156, CAD_JUROS[#Data], MATCH(F$24, CAD_JUROS[#Headers],0), FALSE)</f>
        <v>46370</v>
      </c>
      <c r="G156" s="47">
        <f>WORKDAY(WORKDAY(TAB_JUROS_U[[#This Row],[DT_EVE]], -1, TAB_FERIADOS[FER_DATA]), 1, TAB_FERIADOS[FER_DATA])</f>
        <v>46364</v>
      </c>
      <c r="H156" s="75">
        <f>WORKDAY(WORKDAY(TAB_JUROS_U[[#This Row],[DT_LQDC_EVE]], -1, TAB_FERIADOS[FER_DATA]), 1, TAB_FERIADOS[FER_DATA])</f>
        <v>46370</v>
      </c>
      <c r="I156" s="48">
        <f>PU_EMISSAO - SUMIF(TAB_AMORTIZACAO_U[DT_EVE], "&lt;" &amp; TAB_JUROS_U[[#This Row],[DT_EVE]], TAB_AMORTIZACAO_U[V_PU_AMTC])</f>
        <v>6709.5925930000376</v>
      </c>
      <c r="J156" s="48">
        <f>IFERROR(VLOOKUP(TAB_JUROS_U[[#This Row],[DT_EVE]], TAB_AMORTIZACAO_U[[DT_EVE]:[V_PU_AMTC]], 2, FALSE), 0)</f>
        <v>508.60724699999997</v>
      </c>
      <c r="K156" s="48">
        <f>NETWORKDAYS(DT_CALCULO_U, TAB_JUROS_U[[#This Row],[dt_eve_u]], TAB_FERIADOS[FER_DATA]) -1</f>
        <v>2749</v>
      </c>
      <c r="L156" s="48">
        <f>NETWORKDAYS(DT_CALCULO_U, TAB_JUROS_U[[#This Row],[dt_lqdc_eve_u]], TAB_FERIADOS[FER_DATA]) -1</f>
        <v>2753</v>
      </c>
      <c r="M156" s="48">
        <f>NETWORKDAYS(IF(ISTEXT(H155), DT_B_JURS, H155), TAB_JUROS_U[[#This Row],[dt_lqdc_eve_u]],  TAB_FERIADOS[FER_DATA]) -1</f>
        <v>20</v>
      </c>
      <c r="N156" s="123">
        <f>(TX_EMISSAO/100 +1)^(TAB_JUROS_U[[#This Row],[dias_periodo_u]]/252)</f>
        <v>1.0019616526860928</v>
      </c>
      <c r="O156" s="78">
        <f>(TIR_U/100 +1)^(TAB_JUROS_U[[#This Row],[Q_DIAS_U_PARC_TIR]]/252)</f>
        <v>1.3096842101906088</v>
      </c>
      <c r="P156" s="116" t="str">
        <f>"TX_CENARIO" &amp; TEXT(DT_CALCULO_C, "-AAAAMMDD") &amp; TEXT(TAB_JUROS_U[[#This Row],[DT_EVE]], "-AAAAMMDD")</f>
        <v>TX_CENARIO-20151228-20261208</v>
      </c>
      <c r="Q156" s="44">
        <f>IFERROR(VLOOKUP(TAB_JUROS_U[[#This Row],[Chave-CENARIO]],CENARIO[],2,FALSE), 0)</f>
        <v>16.332000000000001</v>
      </c>
      <c r="R156" s="116" t="str">
        <f>"CORRECAO_JURS_U" &amp; TEXT(DT_CALCULO_C, "-AAAAMMDD") &amp; TEXT(TAB_JUROS_U[[#This Row],[DT_EVE]], "-AAAAMMDD")</f>
        <v>CORRECAO_JURS_U-20151228-20261208</v>
      </c>
      <c r="S156" s="44">
        <f>IFERROR(VLOOKUP(TAB_JUROS_U[[#This Row],[Chave-CORC]],CORRECAO_JURS_U[],2, FALSE), 0)</f>
        <v>1.01235454</v>
      </c>
      <c r="T156" s="78">
        <f>MAX(0, (TAB_JUROS_U[[#This Row],[CUPOM_TIR]] -1) * IF(TAB_JUROS_U[[#This Row],[ID_T_EVE]]=1, TAB_JUROS_U[[#This Row],[PU_AMORT]], TAB_JUROS_U[[#This Row],[V_NOML_PCPL]]) * TAB_JUROS_U[[#This Row],[CORRECAO_U]])</f>
        <v>13.32449943323738</v>
      </c>
      <c r="U156" s="78">
        <f>MAX(0, TAB_JUROS_U[[#This Row],[V_FUT_U_JURS-01]]/((((TAB_JUROS_U[[#This Row],[TX_CENARIO]]/100 +1)^(1/252) -1) * PC_IDXR/100 +1)^TAB_JUROS_U[[#This Row],[Q_DIAS_U_PARC_TIR]]))</f>
        <v>2.552191585830093</v>
      </c>
      <c r="V156" s="78">
        <f>+TAB_JUROS_U[[#This Row],[V_FUT_U_JURS CENARIO]]/TAB_JUROS_U[[#This Row],[VAR_DESCAP_U]]</f>
        <v>1.9487076090339763</v>
      </c>
      <c r="W156" s="78"/>
      <c r="X156" s="64">
        <f>TAB_JUROS_U[[#This Row],[dt_eve_u]]- DT_CALCULO_C</f>
        <v>3998</v>
      </c>
      <c r="Y156" s="48" t="str">
        <f>"CORRECAO_JURS_C" &amp; TEXT(DT_CALCULO_C, "-AAAAMMDD") &amp; TEXT(TAB_JUROS_U[[#This Row],[DT_EVE]], "-AAAAMMDD")</f>
        <v>CORRECAO_JURS_C-20151228-20261208</v>
      </c>
      <c r="Z156" s="44">
        <f>IFERROR(VLOOKUP(TAB_JUROS_C[[#This Row],[Chave-CORC]],CORRECAO_JURS_C[],2, FALSE), 0)</f>
        <v>1</v>
      </c>
      <c r="AA15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13.161890332647078</v>
      </c>
      <c r="AB156" s="63">
        <f>(TIR_C/100 +1)^(TAB_JUROS_C[[#This Row],[DIAS_CORRIDOS]]/360)</f>
        <v>1.3104206730142847</v>
      </c>
      <c r="AC156" s="78">
        <f>IF(TAB_JUROS_C[[#This Row],[DIAS_CORRIDOS]]&lt;0, 0, TAB_JUROS_C[[#This Row],[V_FUT_C_JURS]]/TAB_JUROS_C[[#This Row],[VAR_DESCAP_C]])</f>
        <v>10.04401914872996</v>
      </c>
      <c r="AD156" s="78">
        <f>TAB_JUROS_U[[#This Row],[V_FUT_U_JURS CENARIO]]</f>
        <v>2.552191585830093</v>
      </c>
      <c r="AE156" s="124">
        <f>IF(TAB_JUROS_C[[#This Row],[DIAS_CORRIDOS]]&lt;0, 0, TAB_JUROS_C[[#This Row],[V_FUT_UTEIS]]/TAB_JUROS_C[[#This Row],[VAR_DESCAP_C]])</f>
        <v>1.9476124258322594</v>
      </c>
      <c r="AF156" s="64"/>
    </row>
    <row r="157" spans="1:32">
      <c r="A157" s="82">
        <f t="shared" si="3"/>
        <v>133</v>
      </c>
      <c r="B157" s="24">
        <f>VLOOKUP($A157, CAD_JUROS[#Data], MATCH(B$24, CAD_JUROS[#Headers],0), FALSE)</f>
        <v>2</v>
      </c>
      <c r="C157" s="24" t="str">
        <f>VLOOKUP($A157, CAD_JUROS[#Data], MATCH(C$24, CAD_JUROS[#Headers],0), FALSE)</f>
        <v xml:space="preserve">JUROS SOBRE PRINCIPAL                             </v>
      </c>
      <c r="D157" s="36">
        <f>VLOOKUP($A157, CAD_JUROS[#Data], MATCH(D$24, CAD_JUROS[#Headers],0), FALSE)</f>
        <v>46398</v>
      </c>
      <c r="E157" s="48">
        <f>VLOOKUP($A157, CAD_JUROS[#Data], MATCH(E$24, CAD_JUROS[#Headers],0), FALSE)</f>
        <v>0</v>
      </c>
      <c r="F157" s="36">
        <f>VLOOKUP($A157, CAD_JUROS[#Data], MATCH(F$24, CAD_JUROS[#Headers],0), FALSE)</f>
        <v>46402</v>
      </c>
      <c r="G157" s="47">
        <f>WORKDAY(WORKDAY(TAB_JUROS_U[[#This Row],[DT_EVE]], -1, TAB_FERIADOS[FER_DATA]), 1, TAB_FERIADOS[FER_DATA])</f>
        <v>46398</v>
      </c>
      <c r="H157" s="75">
        <f>WORKDAY(WORKDAY(TAB_JUROS_U[[#This Row],[DT_LQDC_EVE]], -1, TAB_FERIADOS[FER_DATA]), 1, TAB_FERIADOS[FER_DATA])</f>
        <v>46402</v>
      </c>
      <c r="I157" s="48">
        <f>PU_EMISSAO - SUMIF(TAB_AMORTIZACAO_U[DT_EVE], "&lt;" &amp; TAB_JUROS_U[[#This Row],[DT_EVE]], TAB_AMORTIZACAO_U[V_PU_AMTC])</f>
        <v>6200.9853460000304</v>
      </c>
      <c r="J157" s="48">
        <f>IFERROR(VLOOKUP(TAB_JUROS_U[[#This Row],[DT_EVE]], TAB_AMORTIZACAO_U[[DT_EVE]:[V_PU_AMTC]], 2, FALSE), 0)</f>
        <v>545.64950399999998</v>
      </c>
      <c r="K157" s="48">
        <f>NETWORKDAYS(DT_CALCULO_U, TAB_JUROS_U[[#This Row],[dt_eve_u]], TAB_FERIADOS[FER_DATA]) -1</f>
        <v>2771</v>
      </c>
      <c r="L157" s="48">
        <f>NETWORKDAYS(DT_CALCULO_U, TAB_JUROS_U[[#This Row],[dt_lqdc_eve_u]], TAB_FERIADOS[FER_DATA]) -1</f>
        <v>2775</v>
      </c>
      <c r="M157" s="48">
        <f>NETWORKDAYS(IF(ISTEXT(H156), DT_B_JURS, H156), TAB_JUROS_U[[#This Row],[dt_lqdc_eve_u]],  TAB_FERIADOS[FER_DATA]) -1</f>
        <v>22</v>
      </c>
      <c r="N157" s="123">
        <f>(TX_EMISSAO/100 +1)^(TAB_JUROS_U[[#This Row],[dias_periodo_u]]/252)</f>
        <v>1.0021580294747356</v>
      </c>
      <c r="O157" s="78">
        <f>(TIR_U/100 +1)^(TAB_JUROS_U[[#This Row],[Q_DIAS_U_PARC_TIR]]/252)</f>
        <v>1.3125108520488777</v>
      </c>
      <c r="P157" s="116" t="str">
        <f>"TX_CENARIO" &amp; TEXT(DT_CALCULO_C, "-AAAAMMDD") &amp; TEXT(TAB_JUROS_U[[#This Row],[DT_EVE]], "-AAAAMMDD")</f>
        <v>TX_CENARIO-20151228-20270111</v>
      </c>
      <c r="Q157" s="44">
        <f>IFERROR(VLOOKUP(TAB_JUROS_U[[#This Row],[Chave-CENARIO]],CENARIO[],2,FALSE), 0)</f>
        <v>16.332999999999998</v>
      </c>
      <c r="R157" s="116" t="str">
        <f>"CORRECAO_JURS_U" &amp; TEXT(DT_CALCULO_C, "-AAAAMMDD") &amp; TEXT(TAB_JUROS_U[[#This Row],[DT_EVE]], "-AAAAMMDD")</f>
        <v>CORRECAO_JURS_U-20151228-20270111</v>
      </c>
      <c r="S157" s="44">
        <f>IFERROR(VLOOKUP(TAB_JUROS_U[[#This Row],[Chave-CORC]],CORRECAO_JURS_U[],2, FALSE), 0)</f>
        <v>1.0135462</v>
      </c>
      <c r="T157" s="78">
        <f>MAX(0, (TAB_JUROS_U[[#This Row],[CUPOM_TIR]] -1) * IF(TAB_JUROS_U[[#This Row],[ID_T_EVE]]=1, TAB_JUROS_U[[#This Row],[PU_AMORT]], TAB_JUROS_U[[#This Row],[V_NOML_PCPL]]) * TAB_JUROS_U[[#This Row],[CORRECAO_U]])</f>
        <v>13.563183166787038</v>
      </c>
      <c r="U157" s="78">
        <f>MAX(0, TAB_JUROS_U[[#This Row],[V_FUT_U_JURS-01]]/((((TAB_JUROS_U[[#This Row],[TX_CENARIO]]/100 +1)^(1/252) -1) * PC_IDXR/100 +1)^TAB_JUROS_U[[#This Row],[Q_DIAS_U_PARC_TIR]]))</f>
        <v>2.5635821729146926</v>
      </c>
      <c r="V157" s="78">
        <f>+TAB_JUROS_U[[#This Row],[V_FUT_U_JURS CENARIO]]/TAB_JUROS_U[[#This Row],[VAR_DESCAP_U]]</f>
        <v>1.953189315663826</v>
      </c>
      <c r="W157" s="78"/>
      <c r="X157" s="64">
        <f>TAB_JUROS_U[[#This Row],[dt_eve_u]]- DT_CALCULO_C</f>
        <v>4032</v>
      </c>
      <c r="Y157" s="48" t="str">
        <f>"CORRECAO_JURS_C" &amp; TEXT(DT_CALCULO_C, "-AAAAMMDD") &amp; TEXT(TAB_JUROS_U[[#This Row],[DT_EVE]], "-AAAAMMDD")</f>
        <v>CORRECAO_JURS_C-20151228-20270111</v>
      </c>
      <c r="Z157" s="44">
        <f>IFERROR(VLOOKUP(TAB_JUROS_C[[#This Row],[Chave-CORC]],CORRECAO_JURS_C[],2, FALSE), 0)</f>
        <v>1</v>
      </c>
      <c r="AA15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13.38190914907188</v>
      </c>
      <c r="AB157" s="63">
        <f>(TIR_C/100 +1)^(TAB_JUROS_C[[#This Row],[DIAS_CORRIDOS]]/360)</f>
        <v>1.3134369394581817</v>
      </c>
      <c r="AC157" s="78">
        <f>IF(TAB_JUROS_C[[#This Row],[DIAS_CORRIDOS]]&lt;0, 0, TAB_JUROS_C[[#This Row],[V_FUT_C_JURS]]/TAB_JUROS_C[[#This Row],[VAR_DESCAP_C]])</f>
        <v>10.188467178783762</v>
      </c>
      <c r="AD157" s="78">
        <f>TAB_JUROS_U[[#This Row],[V_FUT_U_JURS CENARIO]]</f>
        <v>2.5635821729146926</v>
      </c>
      <c r="AE157" s="124">
        <f>IF(TAB_JUROS_C[[#This Row],[DIAS_CORRIDOS]]&lt;0, 0, TAB_JUROS_C[[#This Row],[V_FUT_UTEIS]]/TAB_JUROS_C[[#This Row],[VAR_DESCAP_C]])</f>
        <v>1.9518121471231196</v>
      </c>
      <c r="AF157" s="64"/>
    </row>
    <row r="158" spans="1:32">
      <c r="A158" s="82">
        <f t="shared" si="3"/>
        <v>134</v>
      </c>
      <c r="B158" s="24">
        <f>VLOOKUP($A158, CAD_JUROS[#Data], MATCH(B$24, CAD_JUROS[#Headers],0), FALSE)</f>
        <v>2</v>
      </c>
      <c r="C158" s="24" t="str">
        <f>VLOOKUP($A158, CAD_JUROS[#Data], MATCH(C$24, CAD_JUROS[#Headers],0), FALSE)</f>
        <v xml:space="preserve">JUROS SOBRE PRINCIPAL                             </v>
      </c>
      <c r="D158" s="36">
        <f>VLOOKUP($A158, CAD_JUROS[#Data], MATCH(D$24, CAD_JUROS[#Headers],0), FALSE)</f>
        <v>46428</v>
      </c>
      <c r="E158" s="48">
        <f>VLOOKUP($A158, CAD_JUROS[#Data], MATCH(E$24, CAD_JUROS[#Headers],0), FALSE)</f>
        <v>0</v>
      </c>
      <c r="F158" s="36">
        <f>VLOOKUP($A158, CAD_JUROS[#Data], MATCH(F$24, CAD_JUROS[#Headers],0), FALSE)</f>
        <v>46434</v>
      </c>
      <c r="G158" s="47">
        <f>WORKDAY(WORKDAY(TAB_JUROS_U[[#This Row],[DT_EVE]], -1, TAB_FERIADOS[FER_DATA]), 1, TAB_FERIADOS[FER_DATA])</f>
        <v>46428</v>
      </c>
      <c r="H158" s="75">
        <f>WORKDAY(WORKDAY(TAB_JUROS_U[[#This Row],[DT_LQDC_EVE]], -1, TAB_FERIADOS[FER_DATA]), 1, TAB_FERIADOS[FER_DATA])</f>
        <v>46434</v>
      </c>
      <c r="I158" s="48">
        <f>PU_EMISSAO - SUMIF(TAB_AMORTIZACAO_U[DT_EVE], "&lt;" &amp; TAB_JUROS_U[[#This Row],[DT_EVE]], TAB_AMORTIZACAO_U[V_PU_AMTC])</f>
        <v>5655.3358420000295</v>
      </c>
      <c r="J158" s="48">
        <f>IFERROR(VLOOKUP(TAB_JUROS_U[[#This Row],[DT_EVE]], TAB_AMORTIZACAO_U[[DT_EVE]:[V_PU_AMTC]], 2, FALSE), 0)</f>
        <v>541.47578499999997</v>
      </c>
      <c r="K158" s="48">
        <f>NETWORKDAYS(DT_CALCULO_U, TAB_JUROS_U[[#This Row],[dt_eve_u]], TAB_FERIADOS[FER_DATA]) -1</f>
        <v>2791</v>
      </c>
      <c r="L158" s="48">
        <f>NETWORKDAYS(DT_CALCULO_U, TAB_JUROS_U[[#This Row],[dt_lqdc_eve_u]], TAB_FERIADOS[FER_DATA]) -1</f>
        <v>2795</v>
      </c>
      <c r="M158" s="48">
        <f>NETWORKDAYS(IF(ISTEXT(H157), DT_B_JURS, H157), TAB_JUROS_U[[#This Row],[dt_lqdc_eve_u]],  TAB_FERIADOS[FER_DATA]) -1</f>
        <v>20</v>
      </c>
      <c r="N158" s="123">
        <f>(TX_EMISSAO/100 +1)^(TAB_JUROS_U[[#This Row],[dias_periodo_u]]/252)</f>
        <v>1.0019616526860928</v>
      </c>
      <c r="O158" s="78">
        <f>(TIR_U/100 +1)^(TAB_JUROS_U[[#This Row],[Q_DIAS_U_PARC_TIR]]/252)</f>
        <v>1.3150858200581657</v>
      </c>
      <c r="P158" s="116" t="str">
        <f>"TX_CENARIO" &amp; TEXT(DT_CALCULO_C, "-AAAAMMDD") &amp; TEXT(TAB_JUROS_U[[#This Row],[DT_EVE]], "-AAAAMMDD")</f>
        <v>TX_CENARIO-20151228-20270210</v>
      </c>
      <c r="Q158" s="44">
        <f>IFERROR(VLOOKUP(TAB_JUROS_U[[#This Row],[Chave-CENARIO]],CENARIO[],2,FALSE), 0)</f>
        <v>16.3338</v>
      </c>
      <c r="R158" s="116" t="str">
        <f>"CORRECAO_JURS_U" &amp; TEXT(DT_CALCULO_C, "-AAAAMMDD") &amp; TEXT(TAB_JUROS_U[[#This Row],[DT_EVE]], "-AAAAMMDD")</f>
        <v>CORRECAO_JURS_U-20151228-20270210</v>
      </c>
      <c r="S158" s="44">
        <f>IFERROR(VLOOKUP(TAB_JUROS_U[[#This Row],[Chave-CORC]],CORRECAO_JURS_U[],2, FALSE), 0)</f>
        <v>1.01214618</v>
      </c>
      <c r="T158" s="78">
        <f>MAX(0, (TAB_JUROS_U[[#This Row],[CUPOM_TIR]] -1) * IF(TAB_JUROS_U[[#This Row],[ID_T_EVE]]=1, TAB_JUROS_U[[#This Row],[PU_AMORT]], TAB_JUROS_U[[#This Row],[V_NOML_PCPL]]) * TAB_JUROS_U[[#This Row],[CORRECAO_U]])</f>
        <v>11.228552094536665</v>
      </c>
      <c r="U158" s="78">
        <f>MAX(0, TAB_JUROS_U[[#This Row],[V_FUT_U_JURS-01]]/((((TAB_JUROS_U[[#This Row],[TX_CENARIO]]/100 +1)^(1/252) -1) * PC_IDXR/100 +1)^TAB_JUROS_U[[#This Row],[Q_DIAS_U_PARC_TIR]]))</f>
        <v>2.0968228059862439</v>
      </c>
      <c r="V158" s="78">
        <f>+TAB_JUROS_U[[#This Row],[V_FUT_U_JURS CENARIO]]/TAB_JUROS_U[[#This Row],[VAR_DESCAP_U]]</f>
        <v>1.5944380009309982</v>
      </c>
      <c r="W158" s="78"/>
      <c r="X158" s="64">
        <f>TAB_JUROS_U[[#This Row],[dt_eve_u]]- DT_CALCULO_C</f>
        <v>4062</v>
      </c>
      <c r="Y158" s="48" t="str">
        <f>"CORRECAO_JURS_C" &amp; TEXT(DT_CALCULO_C, "-AAAAMMDD") &amp; TEXT(TAB_JUROS_U[[#This Row],[DT_EVE]], "-AAAAMMDD")</f>
        <v>CORRECAO_JURS_C-20151228-20270210</v>
      </c>
      <c r="Z158" s="44">
        <f>IFERROR(VLOOKUP(TAB_JUROS_C[[#This Row],[Chave-CORC]],CORRECAO_JURS_C[],2, FALSE), 0)</f>
        <v>1</v>
      </c>
      <c r="AA15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11.093804745216412</v>
      </c>
      <c r="AB158" s="63">
        <f>(TIR_C/100 +1)^(TAB_JUROS_C[[#This Row],[DIAS_CORRIDOS]]/360)</f>
        <v>1.3161041160738292</v>
      </c>
      <c r="AC158" s="78">
        <f>IF(TAB_JUROS_C[[#This Row],[DIAS_CORRIDOS]]&lt;0, 0, TAB_JUROS_C[[#This Row],[V_FUT_C_JURS]]/TAB_JUROS_C[[#This Row],[VAR_DESCAP_C]])</f>
        <v>8.4292759286485541</v>
      </c>
      <c r="AD158" s="78">
        <f>TAB_JUROS_U[[#This Row],[V_FUT_U_JURS CENARIO]]</f>
        <v>2.0968228059862439</v>
      </c>
      <c r="AE158" s="124">
        <f>IF(TAB_JUROS_C[[#This Row],[DIAS_CORRIDOS]]&lt;0, 0, TAB_JUROS_C[[#This Row],[V_FUT_UTEIS]]/TAB_JUROS_C[[#This Row],[VAR_DESCAP_C]])</f>
        <v>1.5932043524348487</v>
      </c>
      <c r="AF158" s="64"/>
    </row>
    <row r="159" spans="1:32">
      <c r="A159" s="82">
        <f t="shared" si="3"/>
        <v>135</v>
      </c>
      <c r="B159" s="24">
        <f>VLOOKUP($A159, CAD_JUROS[#Data], MATCH(B$24, CAD_JUROS[#Headers],0), FALSE)</f>
        <v>2</v>
      </c>
      <c r="C159" s="24" t="str">
        <f>VLOOKUP($A159, CAD_JUROS[#Data], MATCH(C$24, CAD_JUROS[#Headers],0), FALSE)</f>
        <v xml:space="preserve">JUROS SOBRE PRINCIPAL                             </v>
      </c>
      <c r="D159" s="36">
        <f>VLOOKUP($A159, CAD_JUROS[#Data], MATCH(D$24, CAD_JUROS[#Headers],0), FALSE)</f>
        <v>46454</v>
      </c>
      <c r="E159" s="48">
        <f>VLOOKUP($A159, CAD_JUROS[#Data], MATCH(E$24, CAD_JUROS[#Headers],0), FALSE)</f>
        <v>0</v>
      </c>
      <c r="F159" s="36">
        <f>VLOOKUP($A159, CAD_JUROS[#Data], MATCH(F$24, CAD_JUROS[#Headers],0), FALSE)</f>
        <v>46458</v>
      </c>
      <c r="G159" s="47">
        <f>WORKDAY(WORKDAY(TAB_JUROS_U[[#This Row],[DT_EVE]], -1, TAB_FERIADOS[FER_DATA]), 1, TAB_FERIADOS[FER_DATA])</f>
        <v>46454</v>
      </c>
      <c r="H159" s="75">
        <f>WORKDAY(WORKDAY(TAB_JUROS_U[[#This Row],[DT_LQDC_EVE]], -1, TAB_FERIADOS[FER_DATA]), 1, TAB_FERIADOS[FER_DATA])</f>
        <v>46458</v>
      </c>
      <c r="I159" s="48">
        <f>PU_EMISSAO - SUMIF(TAB_AMORTIZACAO_U[DT_EVE], "&lt;" &amp; TAB_JUROS_U[[#This Row],[DT_EVE]], TAB_AMORTIZACAO_U[V_PU_AMTC])</f>
        <v>5113.8600570000272</v>
      </c>
      <c r="J159" s="48">
        <f>IFERROR(VLOOKUP(TAB_JUROS_U[[#This Row],[DT_EVE]], TAB_AMORTIZACAO_U[[DT_EVE]:[V_PU_AMTC]], 2, FALSE), 0)</f>
        <v>537.68147399999998</v>
      </c>
      <c r="K159" s="48">
        <f>NETWORKDAYS(DT_CALCULO_U, TAB_JUROS_U[[#This Row],[dt_eve_u]], TAB_FERIADOS[FER_DATA]) -1</f>
        <v>2809</v>
      </c>
      <c r="L159" s="48">
        <f>NETWORKDAYS(DT_CALCULO_U, TAB_JUROS_U[[#This Row],[dt_lqdc_eve_u]], TAB_FERIADOS[FER_DATA]) -1</f>
        <v>2813</v>
      </c>
      <c r="M159" s="48">
        <f>NETWORKDAYS(IF(ISTEXT(H158), DT_B_JURS, H158), TAB_JUROS_U[[#This Row],[dt_lqdc_eve_u]],  TAB_FERIADOS[FER_DATA]) -1</f>
        <v>18</v>
      </c>
      <c r="N159" s="123">
        <f>(TX_EMISSAO/100 +1)^(TAB_JUROS_U[[#This Row],[dias_periodo_u]]/252)</f>
        <v>1.0017653143782506</v>
      </c>
      <c r="O159" s="78">
        <f>(TIR_U/100 +1)^(TAB_JUROS_U[[#This Row],[Q_DIAS_U_PARC_TIR]]/252)</f>
        <v>1.3174076102197541</v>
      </c>
      <c r="P159" s="116" t="str">
        <f>"TX_CENARIO" &amp; TEXT(DT_CALCULO_C, "-AAAAMMDD") &amp; TEXT(TAB_JUROS_U[[#This Row],[DT_EVE]], "-AAAAMMDD")</f>
        <v>TX_CENARIO-20151228-20270308</v>
      </c>
      <c r="Q159" s="44">
        <f>IFERROR(VLOOKUP(TAB_JUROS_U[[#This Row],[Chave-CENARIO]],CENARIO[],2,FALSE), 0)</f>
        <v>16.334599999999998</v>
      </c>
      <c r="R159" s="116" t="str">
        <f>"CORRECAO_JURS_U" &amp; TEXT(DT_CALCULO_C, "-AAAAMMDD") &amp; TEXT(TAB_JUROS_U[[#This Row],[DT_EVE]], "-AAAAMMDD")</f>
        <v>CORRECAO_JURS_U-20151228-20270308</v>
      </c>
      <c r="S159" s="44">
        <f>IFERROR(VLOOKUP(TAB_JUROS_U[[#This Row],[Chave-CORC]],CORRECAO_JURS_U[],2, FALSE), 0)</f>
        <v>1.0109249499999999</v>
      </c>
      <c r="T159" s="78">
        <f>MAX(0, (TAB_JUROS_U[[#This Row],[CUPOM_TIR]] -1) * IF(TAB_JUROS_U[[#This Row],[ID_T_EVE]]=1, TAB_JUROS_U[[#This Row],[PU_AMORT]], TAB_JUROS_U[[#This Row],[V_NOML_PCPL]]) * TAB_JUROS_U[[#This Row],[CORRECAO_U]])</f>
        <v>9.1261964453601347</v>
      </c>
      <c r="U159" s="78">
        <f>MAX(0, TAB_JUROS_U[[#This Row],[V_FUT_U_JURS-01]]/((((TAB_JUROS_U[[#This Row],[TX_CENARIO]]/100 +1)^(1/252) -1) * PC_IDXR/100 +1)^TAB_JUROS_U[[#This Row],[Q_DIAS_U_PARC_TIR]]))</f>
        <v>1.6857810550798304</v>
      </c>
      <c r="V159" s="78">
        <f>+TAB_JUROS_U[[#This Row],[V_FUT_U_JURS CENARIO]]/TAB_JUROS_U[[#This Row],[VAR_DESCAP_U]]</f>
        <v>1.2796199460231057</v>
      </c>
      <c r="W159" s="78"/>
      <c r="X159" s="64">
        <f>TAB_JUROS_U[[#This Row],[dt_eve_u]]- DT_CALCULO_C</f>
        <v>4088</v>
      </c>
      <c r="Y159" s="48" t="str">
        <f>"CORRECAO_JURS_C" &amp; TEXT(DT_CALCULO_C, "-AAAAMMDD") &amp; TEXT(TAB_JUROS_U[[#This Row],[DT_EVE]], "-AAAAMMDD")</f>
        <v>CORRECAO_JURS_C-20151228-20270308</v>
      </c>
      <c r="Z159" s="44">
        <f>IFERROR(VLOOKUP(TAB_JUROS_C[[#This Row],[Chave-CORC]],CORRECAO_JURS_C[],2, FALSE), 0)</f>
        <v>1</v>
      </c>
      <c r="AA159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9.0275706869833758</v>
      </c>
      <c r="AB159" s="63">
        <f>(TIR_C/100 +1)^(TAB_JUROS_C[[#This Row],[DIAS_CORRIDOS]]/360)</f>
        <v>1.3184200498458174</v>
      </c>
      <c r="AC159" s="78">
        <f>IF(TAB_JUROS_C[[#This Row],[DIAS_CORRIDOS]]&lt;0, 0, TAB_JUROS_C[[#This Row],[V_FUT_C_JURS]]/TAB_JUROS_C[[#This Row],[VAR_DESCAP_C]])</f>
        <v>6.847264411701798</v>
      </c>
      <c r="AD159" s="78">
        <f>TAB_JUROS_U[[#This Row],[V_FUT_U_JURS CENARIO]]</f>
        <v>1.6857810550798304</v>
      </c>
      <c r="AE159" s="124">
        <f>IF(TAB_JUROS_C[[#This Row],[DIAS_CORRIDOS]]&lt;0, 0, TAB_JUROS_C[[#This Row],[V_FUT_UTEIS]]/TAB_JUROS_C[[#This Row],[VAR_DESCAP_C]])</f>
        <v>1.278637301728667</v>
      </c>
      <c r="AF159" s="64"/>
    </row>
    <row r="160" spans="1:32">
      <c r="A160" s="82">
        <f t="shared" si="3"/>
        <v>136</v>
      </c>
      <c r="B160" s="24">
        <f>VLOOKUP($A160, CAD_JUROS[#Data], MATCH(B$24, CAD_JUROS[#Headers],0), FALSE)</f>
        <v>2</v>
      </c>
      <c r="C160" s="24" t="str">
        <f>VLOOKUP($A160, CAD_JUROS[#Data], MATCH(C$24, CAD_JUROS[#Headers],0), FALSE)</f>
        <v xml:space="preserve">JUROS SOBRE PRINCIPAL                             </v>
      </c>
      <c r="D160" s="36">
        <f>VLOOKUP($A160, CAD_JUROS[#Data], MATCH(D$24, CAD_JUROS[#Headers],0), FALSE)</f>
        <v>46485</v>
      </c>
      <c r="E160" s="48">
        <f>VLOOKUP($A160, CAD_JUROS[#Data], MATCH(E$24, CAD_JUROS[#Headers],0), FALSE)</f>
        <v>0</v>
      </c>
      <c r="F160" s="36">
        <f>VLOOKUP($A160, CAD_JUROS[#Data], MATCH(F$24, CAD_JUROS[#Headers],0), FALSE)</f>
        <v>46491</v>
      </c>
      <c r="G160" s="47">
        <f>WORKDAY(WORKDAY(TAB_JUROS_U[[#This Row],[DT_EVE]], -1, TAB_FERIADOS[FER_DATA]), 1, TAB_FERIADOS[FER_DATA])</f>
        <v>46485</v>
      </c>
      <c r="H160" s="75">
        <f>WORKDAY(WORKDAY(TAB_JUROS_U[[#This Row],[DT_LQDC_EVE]], -1, TAB_FERIADOS[FER_DATA]), 1, TAB_FERIADOS[FER_DATA])</f>
        <v>46491</v>
      </c>
      <c r="I160" s="48">
        <f>PU_EMISSAO - SUMIF(TAB_AMORTIZACAO_U[DT_EVE], "&lt;" &amp; TAB_JUROS_U[[#This Row],[DT_EVE]], TAB_AMORTIZACAO_U[V_PU_AMTC])</f>
        <v>4576.1785830000299</v>
      </c>
      <c r="J160" s="48">
        <f>IFERROR(VLOOKUP(TAB_JUROS_U[[#This Row],[DT_EVE]], TAB_AMORTIZACAO_U[[DT_EVE]:[V_PU_AMTC]], 2, FALSE), 0)</f>
        <v>529.65606100000002</v>
      </c>
      <c r="K160" s="48">
        <f>NETWORKDAYS(DT_CALCULO_U, TAB_JUROS_U[[#This Row],[dt_eve_u]], TAB_FERIADOS[FER_DATA]) -1</f>
        <v>2831</v>
      </c>
      <c r="L160" s="48">
        <f>NETWORKDAYS(DT_CALCULO_U, TAB_JUROS_U[[#This Row],[dt_lqdc_eve_u]], TAB_FERIADOS[FER_DATA]) -1</f>
        <v>2835</v>
      </c>
      <c r="M160" s="48">
        <f>NETWORKDAYS(IF(ISTEXT(H159), DT_B_JURS, H159), TAB_JUROS_U[[#This Row],[dt_lqdc_eve_u]],  TAB_FERIADOS[FER_DATA]) -1</f>
        <v>22</v>
      </c>
      <c r="N160" s="123">
        <f>(TX_EMISSAO/100 +1)^(TAB_JUROS_U[[#This Row],[dias_periodo_u]]/252)</f>
        <v>1.0021580294747356</v>
      </c>
      <c r="O160" s="78">
        <f>(TIR_U/100 +1)^(TAB_JUROS_U[[#This Row],[Q_DIAS_U_PARC_TIR]]/252)</f>
        <v>1.3202509211999693</v>
      </c>
      <c r="P160" s="116" t="str">
        <f>"TX_CENARIO" &amp; TEXT(DT_CALCULO_C, "-AAAAMMDD") &amp; TEXT(TAB_JUROS_U[[#This Row],[DT_EVE]], "-AAAAMMDD")</f>
        <v>TX_CENARIO-20151228-20270408</v>
      </c>
      <c r="Q160" s="44">
        <f>IFERROR(VLOOKUP(TAB_JUROS_U[[#This Row],[Chave-CENARIO]],CENARIO[],2,FALSE), 0)</f>
        <v>16.3355</v>
      </c>
      <c r="R160" s="116" t="str">
        <f>"CORRECAO_JURS_U" &amp; TEXT(DT_CALCULO_C, "-AAAAMMDD") &amp; TEXT(TAB_JUROS_U[[#This Row],[DT_EVE]], "-AAAAMMDD")</f>
        <v>CORRECAO_JURS_U-20151228-20270408</v>
      </c>
      <c r="S160" s="44">
        <f>IFERROR(VLOOKUP(TAB_JUROS_U[[#This Row],[Chave-CORC]],CORRECAO_JURS_U[],2, FALSE), 0)</f>
        <v>1.01336888</v>
      </c>
      <c r="T160" s="78">
        <f>MAX(0, (TAB_JUROS_U[[#This Row],[CUPOM_TIR]] -1) * IF(TAB_JUROS_U[[#This Row],[ID_T_EVE]]=1, TAB_JUROS_U[[#This Row],[PU_AMORT]], TAB_JUROS_U[[#This Row],[V_NOML_PCPL]]) * TAB_JUROS_U[[#This Row],[CORRECAO_U]])</f>
        <v>10.007553016062989</v>
      </c>
      <c r="U160" s="78">
        <f>MAX(0, TAB_JUROS_U[[#This Row],[V_FUT_U_JURS-01]]/((((TAB_JUROS_U[[#This Row],[TX_CENARIO]]/100 +1)^(1/252) -1) * PC_IDXR/100 +1)^TAB_JUROS_U[[#This Row],[Q_DIAS_U_PARC_TIR]]))</f>
        <v>1.8241685594090382</v>
      </c>
      <c r="V160" s="78">
        <f>+TAB_JUROS_U[[#This Row],[V_FUT_U_JURS CENARIO]]/TAB_JUROS_U[[#This Row],[VAR_DESCAP_U]]</f>
        <v>1.3816832316625545</v>
      </c>
      <c r="W160" s="78"/>
      <c r="X160" s="64">
        <f>TAB_JUROS_U[[#This Row],[dt_eve_u]]- DT_CALCULO_C</f>
        <v>4119</v>
      </c>
      <c r="Y160" s="48" t="str">
        <f>"CORRECAO_JURS_C" &amp; TEXT(DT_CALCULO_C, "-AAAAMMDD") &amp; TEXT(TAB_JUROS_U[[#This Row],[DT_EVE]], "-AAAAMMDD")</f>
        <v>CORRECAO_JURS_C-20151228-20270408</v>
      </c>
      <c r="Z160" s="44">
        <f>IFERROR(VLOOKUP(TAB_JUROS_C[[#This Row],[Chave-CORC]],CORRECAO_JURS_C[],2, FALSE), 0)</f>
        <v>1</v>
      </c>
      <c r="AA160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9.8755282637680644</v>
      </c>
      <c r="AB160" s="63">
        <f>(TIR_C/100 +1)^(TAB_JUROS_C[[#This Row],[DIAS_CORRIDOS]]/360)</f>
        <v>1.3211866823517342</v>
      </c>
      <c r="AC160" s="78">
        <f>IF(TAB_JUROS_C[[#This Row],[DIAS_CORRIDOS]]&lt;0, 0, TAB_JUROS_C[[#This Row],[V_FUT_C_JURS]]/TAB_JUROS_C[[#This Row],[VAR_DESCAP_C]])</f>
        <v>7.4747410004084056</v>
      </c>
      <c r="AD160" s="78">
        <f>TAB_JUROS_U[[#This Row],[V_FUT_U_JURS CENARIO]]</f>
        <v>1.8241685594090382</v>
      </c>
      <c r="AE160" s="124">
        <f>IF(TAB_JUROS_C[[#This Row],[DIAS_CORRIDOS]]&lt;0, 0, TAB_JUROS_C[[#This Row],[V_FUT_UTEIS]]/TAB_JUROS_C[[#This Row],[VAR_DESCAP_C]])</f>
        <v>1.3807046224247341</v>
      </c>
      <c r="AF160" s="64"/>
    </row>
    <row r="161" spans="1:32">
      <c r="A161" s="82">
        <f t="shared" si="3"/>
        <v>137</v>
      </c>
      <c r="B161" s="24">
        <f>VLOOKUP($A161, CAD_JUROS[#Data], MATCH(B$24, CAD_JUROS[#Headers],0), FALSE)</f>
        <v>2</v>
      </c>
      <c r="C161" s="24" t="str">
        <f>VLOOKUP($A161, CAD_JUROS[#Data], MATCH(C$24, CAD_JUROS[#Headers],0), FALSE)</f>
        <v xml:space="preserve">JUROS SOBRE PRINCIPAL                             </v>
      </c>
      <c r="D161" s="36">
        <f>VLOOKUP($A161, CAD_JUROS[#Data], MATCH(D$24, CAD_JUROS[#Headers],0), FALSE)</f>
        <v>46517</v>
      </c>
      <c r="E161" s="48">
        <f>VLOOKUP($A161, CAD_JUROS[#Data], MATCH(E$24, CAD_JUROS[#Headers],0), FALSE)</f>
        <v>0</v>
      </c>
      <c r="F161" s="36">
        <f>VLOOKUP($A161, CAD_JUROS[#Data], MATCH(F$24, CAD_JUROS[#Headers],0), FALSE)</f>
        <v>46521</v>
      </c>
      <c r="G161" s="47">
        <f>WORKDAY(WORKDAY(TAB_JUROS_U[[#This Row],[DT_EVE]], -1, TAB_FERIADOS[FER_DATA]), 1, TAB_FERIADOS[FER_DATA])</f>
        <v>46517</v>
      </c>
      <c r="H161" s="75">
        <f>WORKDAY(WORKDAY(TAB_JUROS_U[[#This Row],[DT_LQDC_EVE]], -1, TAB_FERIADOS[FER_DATA]), 1, TAB_FERIADOS[FER_DATA])</f>
        <v>46521</v>
      </c>
      <c r="I161" s="48">
        <f>PU_EMISSAO - SUMIF(TAB_AMORTIZACAO_U[DT_EVE], "&lt;" &amp; TAB_JUROS_U[[#This Row],[DT_EVE]], TAB_AMORTIZACAO_U[V_PU_AMTC])</f>
        <v>4046.5225220000284</v>
      </c>
      <c r="J161" s="48">
        <f>IFERROR(VLOOKUP(TAB_JUROS_U[[#This Row],[DT_EVE]], TAB_AMORTIZACAO_U[[DT_EVE]:[V_PU_AMTC]], 2, FALSE), 0)</f>
        <v>524.46169099999997</v>
      </c>
      <c r="K161" s="48">
        <f>NETWORKDAYS(DT_CALCULO_U, TAB_JUROS_U[[#This Row],[dt_eve_u]], TAB_FERIADOS[FER_DATA]) -1</f>
        <v>2852</v>
      </c>
      <c r="L161" s="48">
        <f>NETWORKDAYS(DT_CALCULO_U, TAB_JUROS_U[[#This Row],[dt_lqdc_eve_u]], TAB_FERIADOS[FER_DATA]) -1</f>
        <v>2856</v>
      </c>
      <c r="M161" s="48">
        <f>NETWORKDAYS(IF(ISTEXT(H160), DT_B_JURS, H160), TAB_JUROS_U[[#This Row],[dt_lqdc_eve_u]],  TAB_FERIADOS[FER_DATA]) -1</f>
        <v>21</v>
      </c>
      <c r="N161" s="123">
        <f>(TX_EMISSAO/100 +1)^(TAB_JUROS_U[[#This Row],[dias_periodo_u]]/252)</f>
        <v>1.0020598362698427</v>
      </c>
      <c r="O161" s="78">
        <f>(TIR_U/100 +1)^(TAB_JUROS_U[[#This Row],[Q_DIAS_U_PARC_TIR]]/252)</f>
        <v>1.322970715129582</v>
      </c>
      <c r="P161" s="116" t="str">
        <f>"TX_CENARIO" &amp; TEXT(DT_CALCULO_C, "-AAAAMMDD") &amp; TEXT(TAB_JUROS_U[[#This Row],[DT_EVE]], "-AAAAMMDD")</f>
        <v>TX_CENARIO-20151228-20270510</v>
      </c>
      <c r="Q161" s="44">
        <f>IFERROR(VLOOKUP(TAB_JUROS_U[[#This Row],[Chave-CENARIO]],CENARIO[],2,FALSE), 0)</f>
        <v>16.336300000000001</v>
      </c>
      <c r="R161" s="116" t="str">
        <f>"CORRECAO_JURS_U" &amp; TEXT(DT_CALCULO_C, "-AAAAMMDD") &amp; TEXT(TAB_JUROS_U[[#This Row],[DT_EVE]], "-AAAAMMDD")</f>
        <v>CORRECAO_JURS_U-20151228-20270510</v>
      </c>
      <c r="S161" s="44">
        <f>IFERROR(VLOOKUP(TAB_JUROS_U[[#This Row],[Chave-CORC]],CORRECAO_JURS_U[],2, FALSE), 0)</f>
        <v>1.0127573400000001</v>
      </c>
      <c r="T161" s="78">
        <f>MAX(0, (TAB_JUROS_U[[#This Row],[CUPOM_TIR]] -1) * IF(TAB_JUROS_U[[#This Row],[ID_T_EVE]]=1, TAB_JUROS_U[[#This Row],[PU_AMORT]], TAB_JUROS_U[[#This Row],[V_NOML_PCPL]]) * TAB_JUROS_U[[#This Row],[CORRECAO_U]])</f>
        <v>8.44150850441107</v>
      </c>
      <c r="U161" s="78">
        <f>MAX(0, TAB_JUROS_U[[#This Row],[V_FUT_U_JURS-01]]/((((TAB_JUROS_U[[#This Row],[TX_CENARIO]]/100 +1)^(1/252) -1) * PC_IDXR/100 +1)^TAB_JUROS_U[[#This Row],[Q_DIAS_U_PARC_TIR]]))</f>
        <v>1.5193130227523295</v>
      </c>
      <c r="V161" s="78">
        <f>+TAB_JUROS_U[[#This Row],[V_FUT_U_JURS CENARIO]]/TAB_JUROS_U[[#This Row],[VAR_DESCAP_U]]</f>
        <v>1.1484101691574604</v>
      </c>
      <c r="W161" s="78"/>
      <c r="X161" s="64">
        <f>TAB_JUROS_U[[#This Row],[dt_eve_u]]- DT_CALCULO_C</f>
        <v>4151</v>
      </c>
      <c r="Y161" s="48" t="str">
        <f>"CORRECAO_JURS_C" &amp; TEXT(DT_CALCULO_C, "-AAAAMMDD") &amp; TEXT(TAB_JUROS_U[[#This Row],[DT_EVE]], "-AAAAMMDD")</f>
        <v>CORRECAO_JURS_C-20151228-20270510</v>
      </c>
      <c r="Z161" s="44">
        <f>IFERROR(VLOOKUP(TAB_JUROS_C[[#This Row],[Chave-CORC]],CORRECAO_JURS_C[],2, FALSE), 0)</f>
        <v>1</v>
      </c>
      <c r="AA161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8.3351738575511778</v>
      </c>
      <c r="AB161" s="63">
        <f>(TIR_C/100 +1)^(TAB_JUROS_C[[#This Row],[DIAS_CORRIDOS]]/360)</f>
        <v>1.3240486507702129</v>
      </c>
      <c r="AC161" s="78">
        <f>IF(TAB_JUROS_C[[#This Row],[DIAS_CORRIDOS]]&lt;0, 0, TAB_JUROS_C[[#This Row],[V_FUT_C_JURS]]/TAB_JUROS_C[[#This Row],[VAR_DESCAP_C]])</f>
        <v>6.2952172132817932</v>
      </c>
      <c r="AD161" s="78">
        <f>TAB_JUROS_U[[#This Row],[V_FUT_U_JURS CENARIO]]</f>
        <v>1.5193130227523295</v>
      </c>
      <c r="AE161" s="124">
        <f>IF(TAB_JUROS_C[[#This Row],[DIAS_CORRIDOS]]&lt;0, 0, TAB_JUROS_C[[#This Row],[V_FUT_UTEIS]]/TAB_JUROS_C[[#This Row],[VAR_DESCAP_C]])</f>
        <v>1.1474752244704371</v>
      </c>
      <c r="AF161" s="64"/>
    </row>
    <row r="162" spans="1:32">
      <c r="A162" s="82">
        <f t="shared" si="3"/>
        <v>138</v>
      </c>
      <c r="B162" s="24">
        <f>VLOOKUP($A162, CAD_JUROS[#Data], MATCH(B$24, CAD_JUROS[#Headers],0), FALSE)</f>
        <v>2</v>
      </c>
      <c r="C162" s="24" t="str">
        <f>VLOOKUP($A162, CAD_JUROS[#Data], MATCH(C$24, CAD_JUROS[#Headers],0), FALSE)</f>
        <v xml:space="preserve">JUROS SOBRE PRINCIPAL                             </v>
      </c>
      <c r="D162" s="36">
        <f>VLOOKUP($A162, CAD_JUROS[#Data], MATCH(D$24, CAD_JUROS[#Headers],0), FALSE)</f>
        <v>46546</v>
      </c>
      <c r="E162" s="48">
        <f>VLOOKUP($A162, CAD_JUROS[#Data], MATCH(E$24, CAD_JUROS[#Headers],0), FALSE)</f>
        <v>0</v>
      </c>
      <c r="F162" s="36">
        <f>VLOOKUP($A162, CAD_JUROS[#Data], MATCH(F$24, CAD_JUROS[#Headers],0), FALSE)</f>
        <v>46552</v>
      </c>
      <c r="G162" s="47">
        <f>WORKDAY(WORKDAY(TAB_JUROS_U[[#This Row],[DT_EVE]], -1, TAB_FERIADOS[FER_DATA]), 1, TAB_FERIADOS[FER_DATA])</f>
        <v>46546</v>
      </c>
      <c r="H162" s="75">
        <f>WORKDAY(WORKDAY(TAB_JUROS_U[[#This Row],[DT_LQDC_EVE]], -1, TAB_FERIADOS[FER_DATA]), 1, TAB_FERIADOS[FER_DATA])</f>
        <v>46552</v>
      </c>
      <c r="I162" s="48">
        <f>PU_EMISSAO - SUMIF(TAB_AMORTIZACAO_U[DT_EVE], "&lt;" &amp; TAB_JUROS_U[[#This Row],[DT_EVE]], TAB_AMORTIZACAO_U[V_PU_AMTC])</f>
        <v>3522.0608310000243</v>
      </c>
      <c r="J162" s="48">
        <f>IFERROR(VLOOKUP(TAB_JUROS_U[[#This Row],[DT_EVE]], TAB_AMORTIZACAO_U[[DT_EVE]:[V_PU_AMTC]], 2, FALSE), 0)</f>
        <v>519.67655300000001</v>
      </c>
      <c r="K162" s="48">
        <f>NETWORKDAYS(DT_CALCULO_U, TAB_JUROS_U[[#This Row],[dt_eve_u]], TAB_FERIADOS[FER_DATA]) -1</f>
        <v>2872</v>
      </c>
      <c r="L162" s="48">
        <f>NETWORKDAYS(DT_CALCULO_U, TAB_JUROS_U[[#This Row],[dt_lqdc_eve_u]], TAB_FERIADOS[FER_DATA]) -1</f>
        <v>2876</v>
      </c>
      <c r="M162" s="48">
        <f>NETWORKDAYS(IF(ISTEXT(H161), DT_B_JURS, H161), TAB_JUROS_U[[#This Row],[dt_lqdc_eve_u]],  TAB_FERIADOS[FER_DATA]) -1</f>
        <v>20</v>
      </c>
      <c r="N162" s="123">
        <f>(TX_EMISSAO/100 +1)^(TAB_JUROS_U[[#This Row],[dias_periodo_u]]/252)</f>
        <v>1.0019616526860928</v>
      </c>
      <c r="O162" s="78">
        <f>(TIR_U/100 +1)^(TAB_JUROS_U[[#This Row],[Q_DIAS_U_PARC_TIR]]/252)</f>
        <v>1.3255662039694385</v>
      </c>
      <c r="P162" s="116" t="str">
        <f>"TX_CENARIO" &amp; TEXT(DT_CALCULO_C, "-AAAAMMDD") &amp; TEXT(TAB_JUROS_U[[#This Row],[DT_EVE]], "-AAAAMMDD")</f>
        <v>TX_CENARIO-20151228-20270608</v>
      </c>
      <c r="Q162" s="44">
        <f>IFERROR(VLOOKUP(TAB_JUROS_U[[#This Row],[Chave-CENARIO]],CENARIO[],2,FALSE), 0)</f>
        <v>16.3371</v>
      </c>
      <c r="R162" s="116" t="str">
        <f>"CORRECAO_JURS_U" &amp; TEXT(DT_CALCULO_C, "-AAAAMMDD") &amp; TEXT(TAB_JUROS_U[[#This Row],[DT_EVE]], "-AAAAMMDD")</f>
        <v>CORRECAO_JURS_U-20151228-20270608</v>
      </c>
      <c r="S162" s="44">
        <f>IFERROR(VLOOKUP(TAB_JUROS_U[[#This Row],[Chave-CORC]],CORRECAO_JURS_U[],2, FALSE), 0)</f>
        <v>1.01214618</v>
      </c>
      <c r="T162" s="78">
        <f>MAX(0, (TAB_JUROS_U[[#This Row],[CUPOM_TIR]] -1) * IF(TAB_JUROS_U[[#This Row],[ID_T_EVE]]=1, TAB_JUROS_U[[#This Row],[PU_AMORT]], TAB_JUROS_U[[#This Row],[V_NOML_PCPL]]) * TAB_JUROS_U[[#This Row],[CORRECAO_U]])</f>
        <v>6.9929787771940184</v>
      </c>
      <c r="U162" s="78">
        <f>MAX(0, TAB_JUROS_U[[#This Row],[V_FUT_U_JURS-01]]/((((TAB_JUROS_U[[#This Row],[TX_CENARIO]]/100 +1)^(1/252) -1) * PC_IDXR/100 +1)^TAB_JUROS_U[[#This Row],[Q_DIAS_U_PARC_TIR]]))</f>
        <v>1.2434829328374262</v>
      </c>
      <c r="V162" s="78">
        <f>+TAB_JUROS_U[[#This Row],[V_FUT_U_JURS CENARIO]]/TAB_JUROS_U[[#This Row],[VAR_DESCAP_U]]</f>
        <v>0.93807682265418957</v>
      </c>
      <c r="W162" s="78"/>
      <c r="X162" s="64">
        <f>TAB_JUROS_U[[#This Row],[dt_eve_u]]- DT_CALCULO_C</f>
        <v>4180</v>
      </c>
      <c r="Y162" s="48" t="str">
        <f>"CORRECAO_JURS_C" &amp; TEXT(DT_CALCULO_C, "-AAAAMMDD") &amp; TEXT(TAB_JUROS_U[[#This Row],[DT_EVE]], "-AAAAMMDD")</f>
        <v>CORRECAO_JURS_C-20151228-20270608</v>
      </c>
      <c r="Z162" s="44">
        <f>IFERROR(VLOOKUP(TAB_JUROS_C[[#This Row],[Chave-CORC]],CORRECAO_JURS_C[],2, FALSE), 0)</f>
        <v>1</v>
      </c>
      <c r="AA162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6.9090600897135417</v>
      </c>
      <c r="AB162" s="63">
        <f>(TIR_C/100 +1)^(TAB_JUROS_C[[#This Row],[DIAS_CORRIDOS]]/360)</f>
        <v>1.3266476643351612</v>
      </c>
      <c r="AC162" s="78">
        <f>IF(TAB_JUROS_C[[#This Row],[DIAS_CORRIDOS]]&lt;0, 0, TAB_JUROS_C[[#This Row],[V_FUT_C_JURS]]/TAB_JUROS_C[[#This Row],[VAR_DESCAP_C]])</f>
        <v>5.207908833259026</v>
      </c>
      <c r="AD162" s="78">
        <f>TAB_JUROS_U[[#This Row],[V_FUT_U_JURS CENARIO]]</f>
        <v>1.2434829328374262</v>
      </c>
      <c r="AE162" s="124">
        <f>IF(TAB_JUROS_C[[#This Row],[DIAS_CORRIDOS]]&lt;0, 0, TAB_JUROS_C[[#This Row],[V_FUT_UTEIS]]/TAB_JUROS_C[[#This Row],[VAR_DESCAP_C]])</f>
        <v>0.93731211855755814</v>
      </c>
      <c r="AF162" s="64"/>
    </row>
    <row r="163" spans="1:32">
      <c r="A163" s="82">
        <f t="shared" si="3"/>
        <v>139</v>
      </c>
      <c r="B163" s="24">
        <f>VLOOKUP($A163, CAD_JUROS[#Data], MATCH(B$24, CAD_JUROS[#Headers],0), FALSE)</f>
        <v>2</v>
      </c>
      <c r="C163" s="24" t="str">
        <f>VLOOKUP($A163, CAD_JUROS[#Data], MATCH(C$24, CAD_JUROS[#Headers],0), FALSE)</f>
        <v xml:space="preserve">JUROS SOBRE PRINCIPAL                             </v>
      </c>
      <c r="D163" s="36">
        <f>VLOOKUP($A163, CAD_JUROS[#Data], MATCH(D$24, CAD_JUROS[#Headers],0), FALSE)</f>
        <v>46576</v>
      </c>
      <c r="E163" s="48">
        <f>VLOOKUP($A163, CAD_JUROS[#Data], MATCH(E$24, CAD_JUROS[#Headers],0), FALSE)</f>
        <v>0</v>
      </c>
      <c r="F163" s="36">
        <f>VLOOKUP($A163, CAD_JUROS[#Data], MATCH(F$24, CAD_JUROS[#Headers],0), FALSE)</f>
        <v>46582</v>
      </c>
      <c r="G163" s="47">
        <f>WORKDAY(WORKDAY(TAB_JUROS_U[[#This Row],[DT_EVE]], -1, TAB_FERIADOS[FER_DATA]), 1, TAB_FERIADOS[FER_DATA])</f>
        <v>46576</v>
      </c>
      <c r="H163" s="75">
        <f>WORKDAY(WORKDAY(TAB_JUROS_U[[#This Row],[DT_LQDC_EVE]], -1, TAB_FERIADOS[FER_DATA]), 1, TAB_FERIADOS[FER_DATA])</f>
        <v>46582</v>
      </c>
      <c r="I163" s="48">
        <f>PU_EMISSAO - SUMIF(TAB_AMORTIZACAO_U[DT_EVE], "&lt;" &amp; TAB_JUROS_U[[#This Row],[DT_EVE]], TAB_AMORTIZACAO_U[V_PU_AMTC])</f>
        <v>3002.3842780000268</v>
      </c>
      <c r="J163" s="48">
        <f>IFERROR(VLOOKUP(TAB_JUROS_U[[#This Row],[DT_EVE]], TAB_AMORTIZACAO_U[[DT_EVE]:[V_PU_AMTC]], 2, FALSE), 0)</f>
        <v>513.43173000000002</v>
      </c>
      <c r="K163" s="48">
        <f>NETWORKDAYS(DT_CALCULO_U, TAB_JUROS_U[[#This Row],[dt_eve_u]], TAB_FERIADOS[FER_DATA]) -1</f>
        <v>2894</v>
      </c>
      <c r="L163" s="48">
        <f>NETWORKDAYS(DT_CALCULO_U, TAB_JUROS_U[[#This Row],[dt_lqdc_eve_u]], TAB_FERIADOS[FER_DATA]) -1</f>
        <v>2898</v>
      </c>
      <c r="M163" s="48">
        <f>NETWORKDAYS(IF(ISTEXT(H162), DT_B_JURS, H162), TAB_JUROS_U[[#This Row],[dt_lqdc_eve_u]],  TAB_FERIADOS[FER_DATA]) -1</f>
        <v>22</v>
      </c>
      <c r="N163" s="123">
        <f>(TX_EMISSAO/100 +1)^(TAB_JUROS_U[[#This Row],[dias_periodo_u]]/252)</f>
        <v>1.0021580294747356</v>
      </c>
      <c r="O163" s="78">
        <f>(TIR_U/100 +1)^(TAB_JUROS_U[[#This Row],[Q_DIAS_U_PARC_TIR]]/252)</f>
        <v>1.3284271233337344</v>
      </c>
      <c r="P163" s="116" t="str">
        <f>"TX_CENARIO" &amp; TEXT(DT_CALCULO_C, "-AAAAMMDD") &amp; TEXT(TAB_JUROS_U[[#This Row],[DT_EVE]], "-AAAAMMDD")</f>
        <v>TX_CENARIO-20151228-20270708</v>
      </c>
      <c r="Q163" s="44">
        <f>IFERROR(VLOOKUP(TAB_JUROS_U[[#This Row],[Chave-CENARIO]],CENARIO[],2,FALSE), 0)</f>
        <v>16.338000000000001</v>
      </c>
      <c r="R163" s="116" t="str">
        <f>"CORRECAO_JURS_U" &amp; TEXT(DT_CALCULO_C, "-AAAAMMDD") &amp; TEXT(TAB_JUROS_U[[#This Row],[DT_EVE]], "-AAAAMMDD")</f>
        <v>CORRECAO_JURS_U-20151228-20270708</v>
      </c>
      <c r="S163" s="44">
        <f>IFERROR(VLOOKUP(TAB_JUROS_U[[#This Row],[Chave-CORC]],CORRECAO_JURS_U[],2, FALSE), 0)</f>
        <v>1.01336888</v>
      </c>
      <c r="T163" s="78">
        <f>MAX(0, (TAB_JUROS_U[[#This Row],[CUPOM_TIR]] -1) * IF(TAB_JUROS_U[[#This Row],[ID_T_EVE]]=1, TAB_JUROS_U[[#This Row],[PU_AMORT]], TAB_JUROS_U[[#This Row],[V_NOML_PCPL]]) * TAB_JUROS_U[[#This Row],[CORRECAO_U]])</f>
        <v>6.5658538651220013</v>
      </c>
      <c r="U163" s="78">
        <f>MAX(0, TAB_JUROS_U[[#This Row],[V_FUT_U_JURS-01]]/((((TAB_JUROS_U[[#This Row],[TX_CENARIO]]/100 +1)^(1/252) -1) * PC_IDXR/100 +1)^TAB_JUROS_U[[#This Row],[Q_DIAS_U_PARC_TIR]]))</f>
        <v>1.1521071924533073</v>
      </c>
      <c r="V163" s="78">
        <f>+TAB_JUROS_U[[#This Row],[V_FUT_U_JURS CENARIO]]/TAB_JUROS_U[[#This Row],[VAR_DESCAP_U]]</f>
        <v>0.86727165699692577</v>
      </c>
      <c r="W163" s="78"/>
      <c r="X163" s="64">
        <f>TAB_JUROS_U[[#This Row],[dt_eve_u]]- DT_CALCULO_C</f>
        <v>4210</v>
      </c>
      <c r="Y163" s="48" t="str">
        <f>"CORRECAO_JURS_C" &amp; TEXT(DT_CALCULO_C, "-AAAAMMDD") &amp; TEXT(TAB_JUROS_U[[#This Row],[DT_EVE]], "-AAAAMMDD")</f>
        <v>CORRECAO_JURS_C-20151228-20270708</v>
      </c>
      <c r="Z163" s="44">
        <f>IFERROR(VLOOKUP(TAB_JUROS_C[[#This Row],[Chave-CORC]],CORRECAO_JURS_C[],2, FALSE), 0)</f>
        <v>1</v>
      </c>
      <c r="AA163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6.4792337664069581</v>
      </c>
      <c r="AB163" s="63">
        <f>(TIR_C/100 +1)^(TAB_JUROS_C[[#This Row],[DIAS_CORRIDOS]]/360)</f>
        <v>1.3293416677708936</v>
      </c>
      <c r="AC163" s="78">
        <f>IF(TAB_JUROS_C[[#This Row],[DIAS_CORRIDOS]]&lt;0, 0, TAB_JUROS_C[[#This Row],[V_FUT_C_JURS]]/TAB_JUROS_C[[#This Row],[VAR_DESCAP_C]])</f>
        <v>4.8740169088896916</v>
      </c>
      <c r="AD163" s="78">
        <f>TAB_JUROS_U[[#This Row],[V_FUT_U_JURS CENARIO]]</f>
        <v>1.1521071924533073</v>
      </c>
      <c r="AE163" s="124">
        <f>IF(TAB_JUROS_C[[#This Row],[DIAS_CORRIDOS]]&lt;0, 0, TAB_JUROS_C[[#This Row],[V_FUT_UTEIS]]/TAB_JUROS_C[[#This Row],[VAR_DESCAP_C]])</f>
        <v>0.86667500190919167</v>
      </c>
      <c r="AF163" s="64"/>
    </row>
    <row r="164" spans="1:32">
      <c r="A164" s="82">
        <f t="shared" si="3"/>
        <v>140</v>
      </c>
      <c r="B164" s="24">
        <f>VLOOKUP($A164, CAD_JUROS[#Data], MATCH(B$24, CAD_JUROS[#Headers],0), FALSE)</f>
        <v>2</v>
      </c>
      <c r="C164" s="24" t="str">
        <f>VLOOKUP($A164, CAD_JUROS[#Data], MATCH(C$24, CAD_JUROS[#Headers],0), FALSE)</f>
        <v xml:space="preserve">JUROS SOBRE PRINCIPAL                             </v>
      </c>
      <c r="D164" s="36">
        <f>VLOOKUP($A164, CAD_JUROS[#Data], MATCH(D$24, CAD_JUROS[#Headers],0), FALSE)</f>
        <v>46608</v>
      </c>
      <c r="E164" s="48">
        <f>VLOOKUP($A164, CAD_JUROS[#Data], MATCH(E$24, CAD_JUROS[#Headers],0), FALSE)</f>
        <v>0</v>
      </c>
      <c r="F164" s="36">
        <f>VLOOKUP($A164, CAD_JUROS[#Data], MATCH(F$24, CAD_JUROS[#Headers],0), FALSE)</f>
        <v>46612</v>
      </c>
      <c r="G164" s="47">
        <f>WORKDAY(WORKDAY(TAB_JUROS_U[[#This Row],[DT_EVE]], -1, TAB_FERIADOS[FER_DATA]), 1, TAB_FERIADOS[FER_DATA])</f>
        <v>46608</v>
      </c>
      <c r="H164" s="75">
        <f>WORKDAY(WORKDAY(TAB_JUROS_U[[#This Row],[DT_LQDC_EVE]], -1, TAB_FERIADOS[FER_DATA]), 1, TAB_FERIADOS[FER_DATA])</f>
        <v>46612</v>
      </c>
      <c r="I164" s="48">
        <f>PU_EMISSAO - SUMIF(TAB_AMORTIZACAO_U[DT_EVE], "&lt;" &amp; TAB_JUROS_U[[#This Row],[DT_EVE]], TAB_AMORTIZACAO_U[V_PU_AMTC])</f>
        <v>2488.9525480000302</v>
      </c>
      <c r="J164" s="48">
        <f>IFERROR(VLOOKUP(TAB_JUROS_U[[#This Row],[DT_EVE]], TAB_AMORTIZACAO_U[[DT_EVE]:[V_PU_AMTC]], 2, FALSE), 0)</f>
        <v>507.920546</v>
      </c>
      <c r="K164" s="48">
        <f>NETWORKDAYS(DT_CALCULO_U, TAB_JUROS_U[[#This Row],[dt_eve_u]], TAB_FERIADOS[FER_DATA]) -1</f>
        <v>2916</v>
      </c>
      <c r="L164" s="48">
        <f>NETWORKDAYS(DT_CALCULO_U, TAB_JUROS_U[[#This Row],[dt_lqdc_eve_u]], TAB_FERIADOS[FER_DATA]) -1</f>
        <v>2920</v>
      </c>
      <c r="M164" s="48">
        <f>NETWORKDAYS(IF(ISTEXT(H163), DT_B_JURS, H163), TAB_JUROS_U[[#This Row],[dt_lqdc_eve_u]],  TAB_FERIADOS[FER_DATA]) -1</f>
        <v>22</v>
      </c>
      <c r="N164" s="123">
        <f>(TX_EMISSAO/100 +1)^(TAB_JUROS_U[[#This Row],[dias_periodo_u]]/252)</f>
        <v>1.0021580294747356</v>
      </c>
      <c r="O164" s="78">
        <f>(TIR_U/100 +1)^(TAB_JUROS_U[[#This Row],[Q_DIAS_U_PARC_TIR]]/252)</f>
        <v>1.3312942173120059</v>
      </c>
      <c r="P164" s="116" t="str">
        <f>"TX_CENARIO" &amp; TEXT(DT_CALCULO_C, "-AAAAMMDD") &amp; TEXT(TAB_JUROS_U[[#This Row],[DT_EVE]], "-AAAAMMDD")</f>
        <v>TX_CENARIO-20151228-20270809</v>
      </c>
      <c r="Q164" s="44">
        <f>IFERROR(VLOOKUP(TAB_JUROS_U[[#This Row],[Chave-CENARIO]],CENARIO[],2,FALSE), 0)</f>
        <v>16.338799999999999</v>
      </c>
      <c r="R164" s="116" t="str">
        <f>"CORRECAO_JURS_U" &amp; TEXT(DT_CALCULO_C, "-AAAAMMDD") &amp; TEXT(TAB_JUROS_U[[#This Row],[DT_EVE]], "-AAAAMMDD")</f>
        <v>CORRECAO_JURS_U-20151228-20270809</v>
      </c>
      <c r="S164" s="44">
        <f>IFERROR(VLOOKUP(TAB_JUROS_U[[#This Row],[Chave-CORC]],CORRECAO_JURS_U[],2, FALSE), 0)</f>
        <v>1.01336888</v>
      </c>
      <c r="T164" s="78">
        <f>MAX(0, (TAB_JUROS_U[[#This Row],[CUPOM_TIR]] -1) * IF(TAB_JUROS_U[[#This Row],[ID_T_EVE]]=1, TAB_JUROS_U[[#This Row],[PU_AMORT]], TAB_JUROS_U[[#This Row],[V_NOML_PCPL]]) * TAB_JUROS_U[[#This Row],[CORRECAO_U]])</f>
        <v>5.4430403286940958</v>
      </c>
      <c r="U164" s="78">
        <f>MAX(0, TAB_JUROS_U[[#This Row],[V_FUT_U_JURS-01]]/((((TAB_JUROS_U[[#This Row],[TX_CENARIO]]/100 +1)^(1/252) -1) * PC_IDXR/100 +1)^TAB_JUROS_U[[#This Row],[Q_DIAS_U_PARC_TIR]]))</f>
        <v>0.94247757054785586</v>
      </c>
      <c r="V164" s="78">
        <f>+TAB_JUROS_U[[#This Row],[V_FUT_U_JURS CENARIO]]/TAB_JUROS_U[[#This Row],[VAR_DESCAP_U]]</f>
        <v>0.7079408580702744</v>
      </c>
      <c r="W164" s="78"/>
      <c r="X164" s="64">
        <f>TAB_JUROS_U[[#This Row],[dt_eve_u]]- DT_CALCULO_C</f>
        <v>4242</v>
      </c>
      <c r="Y164" s="48" t="str">
        <f>"CORRECAO_JURS_C" &amp; TEXT(DT_CALCULO_C, "-AAAAMMDD") &amp; TEXT(TAB_JUROS_U[[#This Row],[DT_EVE]], "-AAAAMMDD")</f>
        <v>CORRECAO_JURS_C-20151228-20270809</v>
      </c>
      <c r="Z164" s="44">
        <f>IFERROR(VLOOKUP(TAB_JUROS_C[[#This Row],[Chave-CORC]],CORRECAO_JURS_C[],2, FALSE), 0)</f>
        <v>1</v>
      </c>
      <c r="AA164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5.3712329598024517</v>
      </c>
      <c r="AB164" s="63">
        <f>(TIR_C/100 +1)^(TAB_JUROS_C[[#This Row],[DIAS_CORRIDOS]]/360)</f>
        <v>1.3322213016041349</v>
      </c>
      <c r="AC164" s="78">
        <f>IF(TAB_JUROS_C[[#This Row],[DIAS_CORRIDOS]]&lt;0, 0, TAB_JUROS_C[[#This Row],[V_FUT_C_JURS]]/TAB_JUROS_C[[#This Row],[VAR_DESCAP_C]])</f>
        <v>4.0317873264261133</v>
      </c>
      <c r="AD164" s="78">
        <f>TAB_JUROS_U[[#This Row],[V_FUT_U_JURS CENARIO]]</f>
        <v>0.94247757054785586</v>
      </c>
      <c r="AE164" s="124">
        <f>IF(TAB_JUROS_C[[#This Row],[DIAS_CORRIDOS]]&lt;0, 0, TAB_JUROS_C[[#This Row],[V_FUT_UTEIS]]/TAB_JUROS_C[[#This Row],[VAR_DESCAP_C]])</f>
        <v>0.70744820655022822</v>
      </c>
      <c r="AF164" s="64"/>
    </row>
    <row r="165" spans="1:32">
      <c r="A165" s="82">
        <f t="shared" si="3"/>
        <v>141</v>
      </c>
      <c r="B165" s="24">
        <f>VLOOKUP($A165, CAD_JUROS[#Data], MATCH(B$24, CAD_JUROS[#Headers],0), FALSE)</f>
        <v>2</v>
      </c>
      <c r="C165" s="24" t="str">
        <f>VLOOKUP($A165, CAD_JUROS[#Data], MATCH(C$24, CAD_JUROS[#Headers],0), FALSE)</f>
        <v xml:space="preserve">JUROS SOBRE PRINCIPAL                             </v>
      </c>
      <c r="D165" s="36">
        <f>VLOOKUP($A165, CAD_JUROS[#Data], MATCH(D$24, CAD_JUROS[#Headers],0), FALSE)</f>
        <v>46639</v>
      </c>
      <c r="E165" s="48">
        <f>VLOOKUP($A165, CAD_JUROS[#Data], MATCH(E$24, CAD_JUROS[#Headers],0), FALSE)</f>
        <v>0</v>
      </c>
      <c r="F165" s="36">
        <f>VLOOKUP($A165, CAD_JUROS[#Data], MATCH(F$24, CAD_JUROS[#Headers],0), FALSE)</f>
        <v>46645</v>
      </c>
      <c r="G165" s="47">
        <f>WORKDAY(WORKDAY(TAB_JUROS_U[[#This Row],[DT_EVE]], -1, TAB_FERIADOS[FER_DATA]), 1, TAB_FERIADOS[FER_DATA])</f>
        <v>46639</v>
      </c>
      <c r="H165" s="75">
        <f>WORKDAY(WORKDAY(TAB_JUROS_U[[#This Row],[DT_LQDC_EVE]], -1, TAB_FERIADOS[FER_DATA]), 1, TAB_FERIADOS[FER_DATA])</f>
        <v>46645</v>
      </c>
      <c r="I165" s="48">
        <f>PU_EMISSAO - SUMIF(TAB_AMORTIZACAO_U[DT_EVE], "&lt;" &amp; TAB_JUROS_U[[#This Row],[DT_EVE]], TAB_AMORTIZACAO_U[V_PU_AMTC])</f>
        <v>1981.0320020000363</v>
      </c>
      <c r="J165" s="48">
        <f>IFERROR(VLOOKUP(TAB_JUROS_U[[#This Row],[DT_EVE]], TAB_AMORTIZACAO_U[[DT_EVE]:[V_PU_AMTC]], 2, FALSE), 0)</f>
        <v>502.48084299999999</v>
      </c>
      <c r="K165" s="48">
        <f>NETWORKDAYS(DT_CALCULO_U, TAB_JUROS_U[[#This Row],[dt_eve_u]], TAB_FERIADOS[FER_DATA]) -1</f>
        <v>2938</v>
      </c>
      <c r="L165" s="48">
        <f>NETWORKDAYS(DT_CALCULO_U, TAB_JUROS_U[[#This Row],[dt_lqdc_eve_u]], TAB_FERIADOS[FER_DATA]) -1</f>
        <v>2942</v>
      </c>
      <c r="M165" s="48">
        <f>NETWORKDAYS(IF(ISTEXT(H164), DT_B_JURS, H164), TAB_JUROS_U[[#This Row],[dt_lqdc_eve_u]],  TAB_FERIADOS[FER_DATA]) -1</f>
        <v>22</v>
      </c>
      <c r="N165" s="123">
        <f>(TX_EMISSAO/100 +1)^(TAB_JUROS_U[[#This Row],[dias_periodo_u]]/252)</f>
        <v>1.0021580294747356</v>
      </c>
      <c r="O165" s="78">
        <f>(TIR_U/100 +1)^(TAB_JUROS_U[[#This Row],[Q_DIAS_U_PARC_TIR]]/252)</f>
        <v>1.3341674992306893</v>
      </c>
      <c r="P165" s="116" t="str">
        <f>"TX_CENARIO" &amp; TEXT(DT_CALCULO_C, "-AAAAMMDD") &amp; TEXT(TAB_JUROS_U[[#This Row],[DT_EVE]], "-AAAAMMDD")</f>
        <v>TX_CENARIO-20151228-20270909</v>
      </c>
      <c r="Q165" s="44">
        <f>IFERROR(VLOOKUP(TAB_JUROS_U[[#This Row],[Chave-CENARIO]],CENARIO[],2,FALSE), 0)</f>
        <v>16.339700000000001</v>
      </c>
      <c r="R165" s="116" t="str">
        <f>"CORRECAO_JURS_U" &amp; TEXT(DT_CALCULO_C, "-AAAAMMDD") &amp; TEXT(TAB_JUROS_U[[#This Row],[DT_EVE]], "-AAAAMMDD")</f>
        <v>CORRECAO_JURS_U-20151228-20270909</v>
      </c>
      <c r="S165" s="44">
        <f>IFERROR(VLOOKUP(TAB_JUROS_U[[#This Row],[Chave-CORC]],CORRECAO_JURS_U[],2, FALSE), 0)</f>
        <v>1.01336888</v>
      </c>
      <c r="T165" s="78">
        <f>MAX(0, (TAB_JUROS_U[[#This Row],[CUPOM_TIR]] -1) * IF(TAB_JUROS_U[[#This Row],[ID_T_EVE]]=1, TAB_JUROS_U[[#This Row],[PU_AMORT]], TAB_JUROS_U[[#This Row],[V_NOML_PCPL]]) * TAB_JUROS_U[[#This Row],[CORRECAO_U]])</f>
        <v>4.3322790898461392</v>
      </c>
      <c r="U165" s="78">
        <f>MAX(0, TAB_JUROS_U[[#This Row],[V_FUT_U_JURS-01]]/((((TAB_JUROS_U[[#This Row],[TX_CENARIO]]/100 +1)^(1/252) -1) * PC_IDXR/100 +1)^TAB_JUROS_U[[#This Row],[Q_DIAS_U_PARC_TIR]]))</f>
        <v>0.74023363461418734</v>
      </c>
      <c r="V165" s="78">
        <f>+TAB_JUROS_U[[#This Row],[V_FUT_U_JURS CENARIO]]/TAB_JUROS_U[[#This Row],[VAR_DESCAP_U]]</f>
        <v>0.55482811194323245</v>
      </c>
      <c r="W165" s="78"/>
      <c r="X165" s="64">
        <f>TAB_JUROS_U[[#This Row],[dt_eve_u]]- DT_CALCULO_C</f>
        <v>4273</v>
      </c>
      <c r="Y165" s="48" t="str">
        <f>"CORRECAO_JURS_C" &amp; TEXT(DT_CALCULO_C, "-AAAAMMDD") &amp; TEXT(TAB_JUROS_U[[#This Row],[DT_EVE]], "-AAAAMMDD")</f>
        <v>CORRECAO_JURS_C-20151228-20270909</v>
      </c>
      <c r="Z165" s="44">
        <f>IFERROR(VLOOKUP(TAB_JUROS_C[[#This Row],[Chave-CORC]],CORRECAO_JURS_C[],2, FALSE), 0)</f>
        <v>1</v>
      </c>
      <c r="AA165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4.2751254507106422</v>
      </c>
      <c r="AB165" s="63">
        <f>(TIR_C/100 +1)^(TAB_JUROS_C[[#This Row],[DIAS_CORRIDOS]]/360)</f>
        <v>1.3350168952834969</v>
      </c>
      <c r="AC165" s="78">
        <f>IF(TAB_JUROS_C[[#This Row],[DIAS_CORRIDOS]]&lt;0, 0, TAB_JUROS_C[[#This Row],[V_FUT_C_JURS]]/TAB_JUROS_C[[#This Row],[VAR_DESCAP_C]])</f>
        <v>3.2023006344071772</v>
      </c>
      <c r="AD165" s="78">
        <f>TAB_JUROS_U[[#This Row],[V_FUT_U_JURS CENARIO]]</f>
        <v>0.74023363461418734</v>
      </c>
      <c r="AE165" s="124">
        <f>IF(TAB_JUROS_C[[#This Row],[DIAS_CORRIDOS]]&lt;0, 0, TAB_JUROS_C[[#This Row],[V_FUT_UTEIS]]/TAB_JUROS_C[[#This Row],[VAR_DESCAP_C]])</f>
        <v>0.55447510606747441</v>
      </c>
      <c r="AF165" s="64"/>
    </row>
    <row r="166" spans="1:32">
      <c r="A166" s="82">
        <f t="shared" si="3"/>
        <v>142</v>
      </c>
      <c r="B166" s="24">
        <f>VLOOKUP($A166, CAD_JUROS[#Data], MATCH(B$24, CAD_JUROS[#Headers],0), FALSE)</f>
        <v>2</v>
      </c>
      <c r="C166" s="24" t="str">
        <f>VLOOKUP($A166, CAD_JUROS[#Data], MATCH(C$24, CAD_JUROS[#Headers],0), FALSE)</f>
        <v xml:space="preserve">JUROS SOBRE PRINCIPAL                             </v>
      </c>
      <c r="D166" s="36">
        <f>VLOOKUP($A166, CAD_JUROS[#Data], MATCH(D$24, CAD_JUROS[#Headers],0), FALSE)</f>
        <v>46671</v>
      </c>
      <c r="E166" s="48">
        <f>VLOOKUP($A166, CAD_JUROS[#Data], MATCH(E$24, CAD_JUROS[#Headers],0), FALSE)</f>
        <v>0</v>
      </c>
      <c r="F166" s="36">
        <f>VLOOKUP($A166, CAD_JUROS[#Data], MATCH(F$24, CAD_JUROS[#Headers],0), FALSE)</f>
        <v>46675</v>
      </c>
      <c r="G166" s="47">
        <f>WORKDAY(WORKDAY(TAB_JUROS_U[[#This Row],[DT_EVE]], -1, TAB_FERIADOS[FER_DATA]), 1, TAB_FERIADOS[FER_DATA])</f>
        <v>46671</v>
      </c>
      <c r="H166" s="75">
        <f>WORKDAY(WORKDAY(TAB_JUROS_U[[#This Row],[DT_LQDC_EVE]], -1, TAB_FERIADOS[FER_DATA]), 1, TAB_FERIADOS[FER_DATA])</f>
        <v>46675</v>
      </c>
      <c r="I166" s="48">
        <f>PU_EMISSAO - SUMIF(TAB_AMORTIZACAO_U[DT_EVE], "&lt;" &amp; TAB_JUROS_U[[#This Row],[DT_EVE]], TAB_AMORTIZACAO_U[V_PU_AMTC])</f>
        <v>1478.5511590000388</v>
      </c>
      <c r="J166" s="48">
        <f>IFERROR(VLOOKUP(TAB_JUROS_U[[#This Row],[DT_EVE]], TAB_AMORTIZACAO_U[[DT_EVE]:[V_PU_AMTC]], 2, FALSE), 0)</f>
        <v>497.554643</v>
      </c>
      <c r="K166" s="48">
        <f>NETWORKDAYS(DT_CALCULO_U, TAB_JUROS_U[[#This Row],[dt_eve_u]], TAB_FERIADOS[FER_DATA]) -1</f>
        <v>2960</v>
      </c>
      <c r="L166" s="48">
        <f>NETWORKDAYS(DT_CALCULO_U, TAB_JUROS_U[[#This Row],[dt_lqdc_eve_u]], TAB_FERIADOS[FER_DATA]) -1</f>
        <v>2963</v>
      </c>
      <c r="M166" s="48">
        <f>NETWORKDAYS(IF(ISTEXT(H165), DT_B_JURS, H165), TAB_JUROS_U[[#This Row],[dt_lqdc_eve_u]],  TAB_FERIADOS[FER_DATA]) -1</f>
        <v>21</v>
      </c>
      <c r="N166" s="123">
        <f>(TX_EMISSAO/100 +1)^(TAB_JUROS_U[[#This Row],[dias_periodo_u]]/252)</f>
        <v>1.0020598362698427</v>
      </c>
      <c r="O166" s="78">
        <f>(TIR_U/100 +1)^(TAB_JUROS_U[[#This Row],[Q_DIAS_U_PARC_TIR]]/252)</f>
        <v>1.336915962123028</v>
      </c>
      <c r="P166" s="116" t="str">
        <f>"TX_CENARIO" &amp; TEXT(DT_CALCULO_C, "-AAAAMMDD") &amp; TEXT(TAB_JUROS_U[[#This Row],[DT_EVE]], "-AAAAMMDD")</f>
        <v>TX_CENARIO-20151228-20271011</v>
      </c>
      <c r="Q166" s="44">
        <f>IFERROR(VLOOKUP(TAB_JUROS_U[[#This Row],[Chave-CENARIO]],CENARIO[],2,FALSE), 0)</f>
        <v>16.340499999999999</v>
      </c>
      <c r="R166" s="116" t="str">
        <f>"CORRECAO_JURS_U" &amp; TEXT(DT_CALCULO_C, "-AAAAMMDD") &amp; TEXT(TAB_JUROS_U[[#This Row],[DT_EVE]], "-AAAAMMDD")</f>
        <v>CORRECAO_JURS_U-20151228-20271011</v>
      </c>
      <c r="S166" s="44">
        <f>IFERROR(VLOOKUP(TAB_JUROS_U[[#This Row],[Chave-CORC]],CORRECAO_JURS_U[],2, FALSE), 0)</f>
        <v>1.01336888</v>
      </c>
      <c r="T166" s="78">
        <f>MAX(0, (TAB_JUROS_U[[#This Row],[CUPOM_TIR]] -1) * IF(TAB_JUROS_U[[#This Row],[ID_T_EVE]]=1, TAB_JUROS_U[[#This Row],[PU_AMORT]], TAB_JUROS_U[[#This Row],[V_NOML_PCPL]]) * TAB_JUROS_U[[#This Row],[CORRECAO_U]])</f>
        <v>3.0862892081603692</v>
      </c>
      <c r="U166" s="78">
        <f>MAX(0, TAB_JUROS_U[[#This Row],[V_FUT_U_JURS-01]]/((((TAB_JUROS_U[[#This Row],[TX_CENARIO]]/100 +1)^(1/252) -1) * PC_IDXR/100 +1)^TAB_JUROS_U[[#This Row],[Q_DIAS_U_PARC_TIR]]))</f>
        <v>0.52068679807924567</v>
      </c>
      <c r="V166" s="78">
        <f>+TAB_JUROS_U[[#This Row],[V_FUT_U_JURS CENARIO]]/TAB_JUROS_U[[#This Row],[VAR_DESCAP_U]]</f>
        <v>0.3894686074750674</v>
      </c>
      <c r="W166" s="78"/>
      <c r="X166" s="64">
        <f>TAB_JUROS_U[[#This Row],[dt_eve_u]]- DT_CALCULO_C</f>
        <v>4305</v>
      </c>
      <c r="Y166" s="48" t="str">
        <f>"CORRECAO_JURS_C" &amp; TEXT(DT_CALCULO_C, "-AAAAMMDD") &amp; TEXT(TAB_JUROS_U[[#This Row],[DT_EVE]], "-AAAAMMDD")</f>
        <v>CORRECAO_JURS_C-20151228-20271011</v>
      </c>
      <c r="Z166" s="44">
        <f>IFERROR(VLOOKUP(TAB_JUROS_C[[#This Row],[Chave-CORC]],CORRECAO_JURS_C[],2, FALSE), 0)</f>
        <v>1</v>
      </c>
      <c r="AA166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3.0455733041263011</v>
      </c>
      <c r="AB166" s="63">
        <f>(TIR_C/100 +1)^(TAB_JUROS_C[[#This Row],[DIAS_CORRIDOS]]/360)</f>
        <v>1.3379088228539713</v>
      </c>
      <c r="AC166" s="78">
        <f>IF(TAB_JUROS_C[[#This Row],[DIAS_CORRIDOS]]&lt;0, 0, TAB_JUROS_C[[#This Row],[V_FUT_C_JURS]]/TAB_JUROS_C[[#This Row],[VAR_DESCAP_C]])</f>
        <v>2.2763683534350356</v>
      </c>
      <c r="AD166" s="78">
        <f>TAB_JUROS_U[[#This Row],[V_FUT_U_JURS CENARIO]]</f>
        <v>0.52068679807924567</v>
      </c>
      <c r="AE166" s="124">
        <f>IF(TAB_JUROS_C[[#This Row],[DIAS_CORRIDOS]]&lt;0, 0, TAB_JUROS_C[[#This Row],[V_FUT_UTEIS]]/TAB_JUROS_C[[#This Row],[VAR_DESCAP_C]])</f>
        <v>0.38917958323089485</v>
      </c>
      <c r="AF166" s="64"/>
    </row>
    <row r="167" spans="1:32">
      <c r="A167" s="82">
        <f t="shared" si="3"/>
        <v>143</v>
      </c>
      <c r="B167" s="24">
        <f>VLOOKUP($A167, CAD_JUROS[#Data], MATCH(B$24, CAD_JUROS[#Headers],0), FALSE)</f>
        <v>2</v>
      </c>
      <c r="C167" s="24" t="str">
        <f>VLOOKUP($A167, CAD_JUROS[#Data], MATCH(C$24, CAD_JUROS[#Headers],0), FALSE)</f>
        <v xml:space="preserve">JUROS SOBRE PRINCIPAL                             </v>
      </c>
      <c r="D167" s="36">
        <f>VLOOKUP($A167, CAD_JUROS[#Data], MATCH(D$24, CAD_JUROS[#Headers],0), FALSE)</f>
        <v>46701</v>
      </c>
      <c r="E167" s="48">
        <f>VLOOKUP($A167, CAD_JUROS[#Data], MATCH(E$24, CAD_JUROS[#Headers],0), FALSE)</f>
        <v>0</v>
      </c>
      <c r="F167" s="36">
        <f>VLOOKUP($A167, CAD_JUROS[#Data], MATCH(F$24, CAD_JUROS[#Headers],0), FALSE)</f>
        <v>46707</v>
      </c>
      <c r="G167" s="47">
        <f>WORKDAY(WORKDAY(TAB_JUROS_U[[#This Row],[DT_EVE]], -1, TAB_FERIADOS[FER_DATA]), 1, TAB_FERIADOS[FER_DATA])</f>
        <v>46701</v>
      </c>
      <c r="H167" s="75">
        <f>WORKDAY(WORKDAY(TAB_JUROS_U[[#This Row],[DT_LQDC_EVE]], -1, TAB_FERIADOS[FER_DATA]), 1, TAB_FERIADOS[FER_DATA])</f>
        <v>46707</v>
      </c>
      <c r="I167" s="48">
        <f>PU_EMISSAO - SUMIF(TAB_AMORTIZACAO_U[DT_EVE], "&lt;" &amp; TAB_JUROS_U[[#This Row],[DT_EVE]], TAB_AMORTIZACAO_U[V_PU_AMTC])</f>
        <v>980.9965160000429</v>
      </c>
      <c r="J167" s="48">
        <f>IFERROR(VLOOKUP(TAB_JUROS_U[[#This Row],[DT_EVE]], TAB_AMORTIZACAO_U[[DT_EVE]:[V_PU_AMTC]], 2, FALSE), 0)</f>
        <v>492.88306</v>
      </c>
      <c r="K167" s="48">
        <f>NETWORKDAYS(DT_CALCULO_U, TAB_JUROS_U[[#This Row],[dt_eve_u]], TAB_FERIADOS[FER_DATA]) -1</f>
        <v>2980</v>
      </c>
      <c r="L167" s="48">
        <f>NETWORKDAYS(DT_CALCULO_U, TAB_JUROS_U[[#This Row],[dt_lqdc_eve_u]], TAB_FERIADOS[FER_DATA]) -1</f>
        <v>2983</v>
      </c>
      <c r="M167" s="48">
        <f>NETWORKDAYS(IF(ISTEXT(H166), DT_B_JURS, H166), TAB_JUROS_U[[#This Row],[dt_lqdc_eve_u]],  TAB_FERIADOS[FER_DATA]) -1</f>
        <v>20</v>
      </c>
      <c r="N167" s="123">
        <f>(TX_EMISSAO/100 +1)^(TAB_JUROS_U[[#This Row],[dias_periodo_u]]/252)</f>
        <v>1.0019616526860928</v>
      </c>
      <c r="O167" s="78">
        <f>(TIR_U/100 +1)^(TAB_JUROS_U[[#This Row],[Q_DIAS_U_PARC_TIR]]/252)</f>
        <v>1.3395388096432594</v>
      </c>
      <c r="P167" s="116" t="str">
        <f>"TX_CENARIO" &amp; TEXT(DT_CALCULO_C, "-AAAAMMDD") &amp; TEXT(TAB_JUROS_U[[#This Row],[DT_EVE]], "-AAAAMMDD")</f>
        <v>TX_CENARIO-20151228-20271110</v>
      </c>
      <c r="Q167" s="44">
        <f>IFERROR(VLOOKUP(TAB_JUROS_U[[#This Row],[Chave-CENARIO]],CENARIO[],2,FALSE), 0)</f>
        <v>16.341200000000001</v>
      </c>
      <c r="R167" s="116" t="str">
        <f>"CORRECAO_JURS_U" &amp; TEXT(DT_CALCULO_C, "-AAAAMMDD") &amp; TEXT(TAB_JUROS_U[[#This Row],[DT_EVE]], "-AAAAMMDD")</f>
        <v>CORRECAO_JURS_U-20151228-20271110</v>
      </c>
      <c r="S167" s="44">
        <f>IFERROR(VLOOKUP(TAB_JUROS_U[[#This Row],[Chave-CORC]],CORRECAO_JURS_U[],2, FALSE), 0)</f>
        <v>1.01214618</v>
      </c>
      <c r="T167" s="78">
        <f>MAX(0, (TAB_JUROS_U[[#This Row],[CUPOM_TIR]] -1) * IF(TAB_JUROS_U[[#This Row],[ID_T_EVE]]=1, TAB_JUROS_U[[#This Row],[PU_AMORT]], TAB_JUROS_U[[#This Row],[V_NOML_PCPL]]) * TAB_JUROS_U[[#This Row],[CORRECAO_U]])</f>
        <v>1.9477482491242994</v>
      </c>
      <c r="U167" s="78">
        <f>MAX(0, TAB_JUROS_U[[#This Row],[V_FUT_U_JURS-01]]/((((TAB_JUROS_U[[#This Row],[TX_CENARIO]]/100 +1)^(1/252) -1) * PC_IDXR/100 +1)^TAB_JUROS_U[[#This Row],[Q_DIAS_U_PARC_TIR]]))</f>
        <v>0.32465724349426384</v>
      </c>
      <c r="V167" s="78">
        <f>+TAB_JUROS_U[[#This Row],[V_FUT_U_JURS CENARIO]]/TAB_JUROS_U[[#This Row],[VAR_DESCAP_U]]</f>
        <v>0.24236494019962382</v>
      </c>
      <c r="W167" s="78"/>
      <c r="X167" s="64">
        <f>TAB_JUROS_U[[#This Row],[dt_eve_u]]- DT_CALCULO_C</f>
        <v>4335</v>
      </c>
      <c r="Y167" s="48" t="str">
        <f>"CORRECAO_JURS_C" &amp; TEXT(DT_CALCULO_C, "-AAAAMMDD") &amp; TEXT(TAB_JUROS_U[[#This Row],[DT_EVE]], "-AAAAMMDD")</f>
        <v>CORRECAO_JURS_C-20151228-20271110</v>
      </c>
      <c r="Z167" s="44">
        <f>IFERROR(VLOOKUP(TAB_JUROS_C[[#This Row],[Chave-CORC]],CORRECAO_JURS_C[],2, FALSE), 0)</f>
        <v>1</v>
      </c>
      <c r="AA167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1.9243744506591918</v>
      </c>
      <c r="AB167" s="63">
        <f>(TIR_C/100 +1)^(TAB_JUROS_C[[#This Row],[DIAS_CORRIDOS]]/360)</f>
        <v>1.3406256941547408</v>
      </c>
      <c r="AC167" s="78">
        <f>IF(TAB_JUROS_C[[#This Row],[DIAS_CORRIDOS]]&lt;0, 0, TAB_JUROS_C[[#This Row],[V_FUT_C_JURS]]/TAB_JUROS_C[[#This Row],[VAR_DESCAP_C]])</f>
        <v>1.4354300824231945</v>
      </c>
      <c r="AD167" s="78">
        <f>TAB_JUROS_U[[#This Row],[V_FUT_U_JURS CENARIO]]</f>
        <v>0.32465724349426384</v>
      </c>
      <c r="AE167" s="124">
        <f>IF(TAB_JUROS_C[[#This Row],[DIAS_CORRIDOS]]&lt;0, 0, TAB_JUROS_C[[#This Row],[V_FUT_UTEIS]]/TAB_JUROS_C[[#This Row],[VAR_DESCAP_C]])</f>
        <v>0.24216844784476471</v>
      </c>
      <c r="AF167" s="64"/>
    </row>
    <row r="168" spans="1:32">
      <c r="A168" s="82">
        <f t="shared" si="3"/>
        <v>144</v>
      </c>
      <c r="B168" s="24">
        <f>VLOOKUP($A168, CAD_JUROS[#Data], MATCH(B$24, CAD_JUROS[#Headers],0), FALSE)</f>
        <v>2</v>
      </c>
      <c r="C168" s="24" t="str">
        <f>VLOOKUP($A168, CAD_JUROS[#Data], MATCH(C$24, CAD_JUROS[#Headers],0), FALSE)</f>
        <v xml:space="preserve">JUROS SOBRE PRINCIPAL                             </v>
      </c>
      <c r="D168" s="36">
        <f>VLOOKUP($A168, CAD_JUROS[#Data], MATCH(D$24, CAD_JUROS[#Headers],0), FALSE)</f>
        <v>46729</v>
      </c>
      <c r="E168" s="48">
        <f>VLOOKUP($A168, CAD_JUROS[#Data], MATCH(E$24, CAD_JUROS[#Headers],0), FALSE)</f>
        <v>0</v>
      </c>
      <c r="F168" s="36">
        <f>VLOOKUP($A168, CAD_JUROS[#Data], MATCH(F$24, CAD_JUROS[#Headers],0), FALSE)</f>
        <v>46735</v>
      </c>
      <c r="G168" s="47">
        <f>WORKDAY(WORKDAY(TAB_JUROS_U[[#This Row],[DT_EVE]], -1, TAB_FERIADOS[FER_DATA]), 1, TAB_FERIADOS[FER_DATA])</f>
        <v>46729</v>
      </c>
      <c r="H168" s="75">
        <f>WORKDAY(WORKDAY(TAB_JUROS_U[[#This Row],[DT_LQDC_EVE]], -1, TAB_FERIADOS[FER_DATA]), 1, TAB_FERIADOS[FER_DATA])</f>
        <v>46735</v>
      </c>
      <c r="I168" s="48">
        <f>PU_EMISSAO - SUMIF(TAB_AMORTIZACAO_U[DT_EVE], "&lt;" &amp; TAB_JUROS_U[[#This Row],[DT_EVE]], TAB_AMORTIZACAO_U[V_PU_AMTC])</f>
        <v>488.11345600005006</v>
      </c>
      <c r="J168" s="48">
        <f>IFERROR(VLOOKUP(TAB_JUROS_U[[#This Row],[DT_EVE]], TAB_AMORTIZACAO_U[[DT_EVE]:[V_PU_AMTC]], 2, FALSE), 0)</f>
        <v>488.11345599999999</v>
      </c>
      <c r="K168" s="48">
        <f>NETWORKDAYS(DT_CALCULO_U, TAB_JUROS_U[[#This Row],[dt_eve_u]], TAB_FERIADOS[FER_DATA]) -1</f>
        <v>2999</v>
      </c>
      <c r="L168" s="48">
        <f>NETWORKDAYS(DT_CALCULO_U, TAB_JUROS_U[[#This Row],[dt_lqdc_eve_u]], TAB_FERIADOS[FER_DATA]) -1</f>
        <v>3003</v>
      </c>
      <c r="M168" s="48">
        <f>NETWORKDAYS(IF(ISTEXT(H167), DT_B_JURS, H167), TAB_JUROS_U[[#This Row],[dt_lqdc_eve_u]],  TAB_FERIADOS[FER_DATA]) -1</f>
        <v>20</v>
      </c>
      <c r="N168" s="123">
        <f>(TX_EMISSAO/100 +1)^(TAB_JUROS_U[[#This Row],[dias_periodo_u]]/252)</f>
        <v>1.0019616526860928</v>
      </c>
      <c r="O168" s="78">
        <f>(TIR_U/100 +1)^(TAB_JUROS_U[[#This Row],[Q_DIAS_U_PARC_TIR]]/252)</f>
        <v>1.3421668028340559</v>
      </c>
      <c r="P168" s="116" t="str">
        <f>"TX_CENARIO" &amp; TEXT(DT_CALCULO_C, "-AAAAMMDD") &amp; TEXT(TAB_JUROS_U[[#This Row],[DT_EVE]], "-AAAAMMDD")</f>
        <v>TX_CENARIO-20151228-20271208</v>
      </c>
      <c r="Q168" s="44">
        <f>IFERROR(VLOOKUP(TAB_JUROS_U[[#This Row],[Chave-CENARIO]],CENARIO[],2,FALSE), 0)</f>
        <v>16.341899999999999</v>
      </c>
      <c r="R168" s="116" t="str">
        <f>"CORRECAO_JURS_U" &amp; TEXT(DT_CALCULO_C, "-AAAAMMDD") &amp; TEXT(TAB_JUROS_U[[#This Row],[DT_EVE]], "-AAAAMMDD")</f>
        <v>CORRECAO_JURS_U-20151228-20271208</v>
      </c>
      <c r="S168" s="44">
        <f>IFERROR(VLOOKUP(TAB_JUROS_U[[#This Row],[Chave-CORC]],CORRECAO_JURS_U[],2, FALSE), 0)</f>
        <v>1.01153538</v>
      </c>
      <c r="T168" s="78">
        <f>MAX(0, (TAB_JUROS_U[[#This Row],[CUPOM_TIR]] -1) * IF(TAB_JUROS_U[[#This Row],[ID_T_EVE]]=1, TAB_JUROS_U[[#This Row],[PU_AMORT]], TAB_JUROS_U[[#This Row],[V_NOML_PCPL]]) * TAB_JUROS_U[[#This Row],[CORRECAO_U]])</f>
        <v>0.96855430308044888</v>
      </c>
      <c r="U168" s="78">
        <f>MAX(0, TAB_JUROS_U[[#This Row],[V_FUT_U_JURS-01]]/((((TAB_JUROS_U[[#This Row],[TX_CENARIO]]/100 +1)^(1/252) -1) * PC_IDXR/100 +1)^TAB_JUROS_U[[#This Row],[Q_DIAS_U_PARC_TIR]]))</f>
        <v>0.15950274549513985</v>
      </c>
      <c r="V168" s="78">
        <f>+TAB_JUROS_U[[#This Row],[V_FUT_U_JURS CENARIO]]/TAB_JUROS_U[[#This Row],[VAR_DESCAP_U]]</f>
        <v>0.11883973374869755</v>
      </c>
      <c r="W168" s="78"/>
      <c r="X168" s="64">
        <f>TAB_JUROS_U[[#This Row],[dt_eve_u]]- DT_CALCULO_C</f>
        <v>4363</v>
      </c>
      <c r="Y168" s="48" t="str">
        <f>"CORRECAO_JURS_C" &amp; TEXT(DT_CALCULO_C, "-AAAAMMDD") &amp; TEXT(TAB_JUROS_U[[#This Row],[DT_EVE]], "-AAAAMMDD")</f>
        <v>CORRECAO_JURS_C-20151228-20271208</v>
      </c>
      <c r="Z168" s="44">
        <f>IFERROR(VLOOKUP(TAB_JUROS_C[[#This Row],[Chave-CORC]],CORRECAO_JURS_C[],2, FALSE), 0)</f>
        <v>1</v>
      </c>
      <c r="AA168" s="78">
        <f>IF(TAB_JUROS_U[[#This Row],[Q_DIAS_U_PARC]] &lt; 0, 0, (TAB_JUROS_U[[#This Row],[CUPOM_TIR]] -1) * IF(TAB_JUROS_U[[#This Row],[ID_T_EVE]]=1, TAB_JUROS_U[[#This Row],[PU_AMORT]], TAB_JUROS_U[[#This Row],[V_NOML_PCPL]]) * TAB_JUROS_C[[#This Row],[CORRECAO_C]])</f>
        <v>0.95750907208055236</v>
      </c>
      <c r="AB168" s="63">
        <f>(TIR_C/100 +1)^(TAB_JUROS_C[[#This Row],[DIAS_CORRIDOS]]/360)</f>
        <v>1.3431664181365441</v>
      </c>
      <c r="AC168" s="78">
        <f>IF(TAB_JUROS_C[[#This Row],[DIAS_CORRIDOS]]&lt;0, 0, TAB_JUROS_C[[#This Row],[V_FUT_C_JURS]]/TAB_JUROS_C[[#This Row],[VAR_DESCAP_C]])</f>
        <v>0.71287448759250738</v>
      </c>
      <c r="AD168" s="78">
        <f>TAB_JUROS_U[[#This Row],[V_FUT_U_JURS CENARIO]]</f>
        <v>0.15950274549513985</v>
      </c>
      <c r="AE168" s="124">
        <f>IF(TAB_JUROS_C[[#This Row],[DIAS_CORRIDOS]]&lt;0, 0, TAB_JUROS_C[[#This Row],[V_FUT_UTEIS]]/TAB_JUROS_C[[#This Row],[VAR_DESCAP_C]])</f>
        <v>0.11875129048895343</v>
      </c>
      <c r="AF168" s="64"/>
    </row>
    <row r="169" spans="1:32">
      <c r="A169" s="82"/>
      <c r="D169" s="36"/>
      <c r="E169" s="48"/>
      <c r="F169" s="36"/>
      <c r="G169" s="75"/>
      <c r="H169" s="75"/>
      <c r="I169" s="48"/>
      <c r="J169" s="48"/>
      <c r="K169" s="48"/>
      <c r="L169" s="78"/>
      <c r="M169" s="78"/>
      <c r="N169" s="48"/>
      <c r="O169" s="44"/>
      <c r="P169" s="48"/>
      <c r="Q169" s="44"/>
      <c r="R169" s="78"/>
      <c r="S169" s="78"/>
      <c r="T169" s="78"/>
      <c r="U169" s="78"/>
      <c r="V169" s="78"/>
      <c r="W169" s="78"/>
      <c r="X169" s="78"/>
      <c r="Z169" s="64"/>
      <c r="AA169" s="48"/>
      <c r="AB169" s="44"/>
      <c r="AC169" s="78"/>
      <c r="AD169" s="63"/>
      <c r="AE169" s="64"/>
    </row>
    <row r="170" spans="1:32">
      <c r="E170" s="36"/>
      <c r="F170" s="46"/>
      <c r="G170" s="36"/>
      <c r="H170" s="36"/>
      <c r="I170" s="48"/>
      <c r="J170" s="48"/>
      <c r="K170" s="48"/>
      <c r="L170" s="44"/>
      <c r="M170" s="44"/>
      <c r="N170" s="48"/>
      <c r="O170" s="48"/>
      <c r="P170" s="48"/>
      <c r="Q170" s="48"/>
      <c r="R170" s="48"/>
      <c r="W170" s="78"/>
      <c r="X170" s="78"/>
      <c r="Z170" s="64"/>
      <c r="AA170" s="48"/>
      <c r="AB170" s="44"/>
      <c r="AC170" s="78"/>
      <c r="AD170" s="63"/>
      <c r="AE170" s="64"/>
    </row>
    <row r="171" spans="1:32">
      <c r="A171" s="81" t="s">
        <v>226</v>
      </c>
      <c r="B171" s="24" t="s">
        <v>76</v>
      </c>
      <c r="C171" s="24" t="s">
        <v>77</v>
      </c>
      <c r="D171" s="24" t="s">
        <v>78</v>
      </c>
      <c r="E171" s="24" t="s">
        <v>79</v>
      </c>
      <c r="F171" s="24" t="s">
        <v>80</v>
      </c>
      <c r="G171" s="45" t="s">
        <v>85</v>
      </c>
      <c r="H171" s="76" t="s">
        <v>223</v>
      </c>
      <c r="I171" s="24" t="s">
        <v>90</v>
      </c>
      <c r="J171" s="102" t="s">
        <v>240</v>
      </c>
      <c r="K171" s="24" t="s">
        <v>93</v>
      </c>
      <c r="L171" s="121" t="s">
        <v>256</v>
      </c>
      <c r="M171" s="24" t="s">
        <v>86</v>
      </c>
      <c r="N171" s="24" t="s">
        <v>89</v>
      </c>
      <c r="O171" s="24" t="s">
        <v>84</v>
      </c>
      <c r="P171" s="24" t="s">
        <v>99</v>
      </c>
      <c r="Q171" s="24" t="s">
        <v>92</v>
      </c>
      <c r="R171" s="24" t="s">
        <v>100</v>
      </c>
      <c r="S171" s="24" t="s">
        <v>91</v>
      </c>
      <c r="T171" s="24" t="s">
        <v>96</v>
      </c>
      <c r="U171" s="24" t="s">
        <v>95</v>
      </c>
      <c r="V171" s="24" t="s">
        <v>82</v>
      </c>
      <c r="X171" s="24" t="s">
        <v>138</v>
      </c>
      <c r="Y171" s="24" t="s">
        <v>100</v>
      </c>
      <c r="Z171" s="84" t="s">
        <v>232</v>
      </c>
      <c r="AA171" s="24" t="s">
        <v>139</v>
      </c>
      <c r="AB171" s="24" t="s">
        <v>137</v>
      </c>
      <c r="AC171" s="24" t="s">
        <v>129</v>
      </c>
      <c r="AD171" s="114" t="s">
        <v>255</v>
      </c>
      <c r="AE171" s="127" t="s">
        <v>257</v>
      </c>
      <c r="AF171" s="64"/>
    </row>
    <row r="172" spans="1:32">
      <c r="A172" s="82">
        <v>1</v>
      </c>
      <c r="B172" s="24">
        <f>VLOOKUP($A172, CAD_ATUALIZACAO[#Data], MATCH(B$171, CAD_ATUALIZACAO[#Headers],0), FALSE)</f>
        <v>3</v>
      </c>
      <c r="C172" s="24" t="str">
        <f>VLOOKUP($A172, CAD_ATUALIZACAO[#Data], MATCH(C$171, CAD_ATUALIZACAO[#Headers],0), FALSE)</f>
        <v xml:space="preserve">ATUALIZACAO SOBRE PRINCIPAL                       </v>
      </c>
      <c r="D172" s="36">
        <f>VLOOKUP($A172, CAD_ATUALIZACAO[#Data], MATCH(D$171, CAD_ATUALIZACAO[#Headers],0), FALSE)</f>
        <v>42380</v>
      </c>
      <c r="E172" s="48">
        <f>VLOOKUP($A172, CAD_ATUALIZACAO[#Data], MATCH(E$171, CAD_ATUALIZACAO[#Headers],0), FALSE)</f>
        <v>0</v>
      </c>
      <c r="F172" s="36">
        <f>VLOOKUP($A172, CAD_ATUALIZACAO[#Data], MATCH(F$171, CAD_ATUALIZACAO[#Headers],0), FALSE)</f>
        <v>42384</v>
      </c>
      <c r="G172" s="47">
        <f>WORKDAY(WORKDAY(TAB_CORRECAO_U[[#This Row],[DT_EVE]], -1, TAB_FERIADOS[FER_DATA]), 1, TAB_FERIADOS[FER_DATA])</f>
        <v>42380</v>
      </c>
      <c r="H172" s="75">
        <f>WORKDAY(WORKDAY(TAB_CORRECAO_U[[#This Row],[DT_LQDC_EVE]], -1, TAB_FERIADOS[FER_DATA]), 1, TAB_FERIADOS[FER_DATA])</f>
        <v>42384</v>
      </c>
      <c r="I172" s="48">
        <f>PU_EMISSAO - SUMIF(TAB_AMORTIZACAO_U[dt_eve_u], "&lt;" &amp; TAB_CORRECAO_U[[#This Row],[dt_eve_u]], TAB_AMORTIZACAO_U[V_PU_AMTC])</f>
        <v>100000</v>
      </c>
      <c r="J172" s="48">
        <f>IFERROR(VLOOKUP(TAB_CORRECAO_U[[#This Row],[DT_EVE]], TAB_AMORTIZACAO_U[[DT_EVE]:[V_PU_AMTC]], 2, FALSE), 0)</f>
        <v>1007.6</v>
      </c>
      <c r="K172" s="48">
        <f>NETWORKDAYS(DT_CALCULO_U, TAB_CORRECAO_U[[#This Row],[dt_eve_u]], TAB_FERIADOS[FER_DATA]) -1</f>
        <v>9</v>
      </c>
      <c r="L172" s="48">
        <f>NETWORKDAYS(DT_CALCULO_U, TAB_CORRECAO_U[[#This Row],[dt_lqdc_eve_u]], TAB_FERIADOS[FER_DATA]) -1</f>
        <v>13</v>
      </c>
      <c r="M172" s="48">
        <f>NETWORKDAYS(IF(ISTEXT(G171), DT_B_CORC, G171), TAB_CORRECAO_U[[#This Row],[dt_eve_u]], TAB_FERIADOS[FER_DATA]) -1</f>
        <v>20</v>
      </c>
      <c r="N172" s="78">
        <f>(TX_EMISSAO/100 +1)^(TAB_CORRECAO_U[[#This Row],[dias_periodo_u]]/252)</f>
        <v>1.0019616526860928</v>
      </c>
      <c r="O172" s="78">
        <f>(TIR_U/100 +1)^(TAB_CORRECAO_U[[#This Row],[Q_DIAS_U_PARC_TIR]]/252)</f>
        <v>1.0012747742809247</v>
      </c>
      <c r="P172" s="116" t="str">
        <f>"TX_CENARIO" &amp; TEXT(DT_CALCULO_C, "-AAAAMMDD") &amp; TEXT(TAB_CORRECAO_U[[#This Row],[DT_EVE]], "-AAAAMMDD")</f>
        <v>TX_CENARIO-20151228-20160111</v>
      </c>
      <c r="Q172" s="44">
        <f>IFERROR(VLOOKUP(TAB_CORRECAO_U[[#This Row],[Chave-CENARIO]],CENARIO[],2,FALSE), 0)</f>
        <v>14.271121239999999</v>
      </c>
      <c r="R172" s="116" t="str">
        <f>"CORRECAO_CORC_U" &amp; TEXT(DT_CALCULO_C, "-AAAAMMDD") &amp; TEXT(TAB_CORRECAO_U[[#This Row],[DT_EVE]], "-AAAAMMDD")</f>
        <v>CORRECAO_CORC_U-20151228-20160111</v>
      </c>
      <c r="S172" s="44">
        <f>IFERROR(VLOOKUP(TAB_CORRECAO_U[[#This Row],[Chave-CORC]],CORRECAO_CORC_U[],2, FALSE), 0)</f>
        <v>1.01058859</v>
      </c>
      <c r="T172" s="78">
        <f>MAX(0, IF(TAB_CORRECAO_U[[#This Row],[ID_T_EVE]]= 5, TAB_CORRECAO_U[[#This Row],[PU_AMORT]],TAB_CORRECAO_U[[#This Row],[V_NOML_PCPL]]) * (TAB_CORRECAO_U[[#This Row],[CORRECAO_U]] -1))</f>
        <v>1058.8590000000008</v>
      </c>
      <c r="U172" s="78">
        <f>MAX(0, TAB_CORRECAO_U[[#This Row],[V_FUT_U_CORC-01]]/((((TAB_CORRECAO_U[[#This Row],[TX_CENARIO]]/100 +1)^(1/252) -1) * PC_IDXR/100 +1)^TAB_CORRECAO_U[[#This Row],[Q_DIAS_U_PARC_TIR]]))</f>
        <v>1051.5970163435441</v>
      </c>
      <c r="V172" s="78">
        <f>TAB_CORRECAO_U[[#This Row],[V_FUT_U_CORC-02]]/TAB_CORRECAO_U[[#This Row],[VAR_DESCAP_U]]</f>
        <v>1050.2581742346988</v>
      </c>
      <c r="W172" s="78"/>
      <c r="X172" s="101">
        <f>TAB_CORRECAO_U[[#This Row],[dt_eve_u]]- DT_CALCULO_C</f>
        <v>14</v>
      </c>
      <c r="Y172" s="48" t="str">
        <f>"CORRECAO_CORC_C" &amp; TEXT(DT_CALCULO_C, "-AAAAMMDD") &amp; TEXT(TAB_CORRECAO_U[[#This Row],[DT_EVE]], "-AAAAMMDD")</f>
        <v>CORRECAO_CORC_C-20151228-20160111</v>
      </c>
      <c r="Z172" s="44">
        <f>IFERROR(VLOOKUP(TAB_CORRECAO_C[[#This Row],[Chave-CORC]],CORRECAO_CORC_C[],2, FALSE), 0)</f>
        <v>1.00578974</v>
      </c>
      <c r="AA172" s="78">
        <f>IF(TAB_CORRECAO_U[[#This Row],[Q_DIAS_U_PARC]] &lt; 0, 0, IF(TAB_CORRECAO_U[[#This Row],[ID_T_EVE]]=5, TAB_CORRECAO_U[[#This Row],[PU_AMORT]],TAB_CORRECAO_U[[#This Row],[V_NOML_PCPL]]) * (TAB_CORRECAO_C[[#This Row],[CORRECAO_C]] -1))</f>
        <v>578.9739999999988</v>
      </c>
      <c r="AB172" s="44">
        <f>(TIR_C/100 +1)^(TAB_CORRECAO_C[[#This Row],[DIAS_CORRIDOS]]/360)</f>
        <v>1.0009471403357881</v>
      </c>
      <c r="AC172" s="78">
        <f>IF(TAB_CORRECAO_C[[#This Row],[DIAS_CORRIDOS]]&lt;0, 0, TAB_CORRECAO_C[[#This Row],[V_FUT_C_CORC]]/TAB_CORRECAO_C[[#This Row],[VAR_DESCAP_C]])</f>
        <v>578.42614926275746</v>
      </c>
      <c r="AD172" s="113">
        <f>TAB_CORRECAO_U[[#This Row],[V_FUT_U_CORC-02]]</f>
        <v>1051.5970163435441</v>
      </c>
      <c r="AE172" s="126">
        <f>IF(TAB_CORRECAO_C[[#This Row],[DIAS_CORRIDOS]]&lt;0, 0, TAB_CORRECAO_C[[#This Row],[V_FUT_UTEIS]]/TAB_CORRECAO_C[[#This Row],[VAR_DESCAP_C]])</f>
        <v>1050.6019488609202</v>
      </c>
      <c r="AF172" s="64"/>
    </row>
    <row r="173" spans="1:32">
      <c r="A173" s="82">
        <f>+A172+1</f>
        <v>2</v>
      </c>
      <c r="B173" s="24">
        <f>VLOOKUP($A173, CAD_ATUALIZACAO[#Data], MATCH(B$171, CAD_ATUALIZACAO[#Headers],0), FALSE)</f>
        <v>3</v>
      </c>
      <c r="C173" s="24" t="str">
        <f>VLOOKUP($A173, CAD_ATUALIZACAO[#Data], MATCH(C$171, CAD_ATUALIZACAO[#Headers],0), FALSE)</f>
        <v xml:space="preserve">ATUALIZACAO SOBRE PRINCIPAL                       </v>
      </c>
      <c r="D173" s="36">
        <f>VLOOKUP($A173, CAD_ATUALIZACAO[#Data], MATCH(D$171, CAD_ATUALIZACAO[#Headers],0), FALSE)</f>
        <v>42410</v>
      </c>
      <c r="E173" s="48">
        <f>VLOOKUP($A173, CAD_ATUALIZACAO[#Data], MATCH(E$171, CAD_ATUALIZACAO[#Headers],0), FALSE)</f>
        <v>0</v>
      </c>
      <c r="F173" s="36">
        <f>VLOOKUP($A173, CAD_ATUALIZACAO[#Data], MATCH(F$171, CAD_ATUALIZACAO[#Headers],0), FALSE)</f>
        <v>42416</v>
      </c>
      <c r="G173" s="47">
        <f>WORKDAY(WORKDAY(TAB_CORRECAO_U[[#This Row],[DT_EVE]], -1, TAB_FERIADOS[FER_DATA]), 1, TAB_FERIADOS[FER_DATA])</f>
        <v>42410</v>
      </c>
      <c r="H173" s="75">
        <f>WORKDAY(WORKDAY(TAB_CORRECAO_U[[#This Row],[DT_LQDC_EVE]], -1, TAB_FERIADOS[FER_DATA]), 1, TAB_FERIADOS[FER_DATA])</f>
        <v>42416</v>
      </c>
      <c r="I173" s="48">
        <f>PU_EMISSAO - SUMIF(TAB_AMORTIZACAO_U[dt_eve_u], "&lt;" &amp; TAB_CORRECAO_U[[#This Row],[dt_eve_u]], TAB_AMORTIZACAO_U[V_PU_AMTC])</f>
        <v>98992.4</v>
      </c>
      <c r="J173" s="48">
        <f>IFERROR(VLOOKUP(TAB_CORRECAO_U[[#This Row],[DT_EVE]], TAB_AMORTIZACAO_U[[DT_EVE]:[V_PU_AMTC]], 2, FALSE), 0)</f>
        <v>996.75447499999996</v>
      </c>
      <c r="K173" s="48">
        <f>NETWORKDAYS(DT_CALCULO_U, TAB_CORRECAO_U[[#This Row],[dt_eve_u]], TAB_FERIADOS[FER_DATA]) -1</f>
        <v>29</v>
      </c>
      <c r="L173" s="48">
        <f>NETWORKDAYS(DT_CALCULO_U, TAB_CORRECAO_U[[#This Row],[dt_lqdc_eve_u]], TAB_FERIADOS[FER_DATA]) -1</f>
        <v>33</v>
      </c>
      <c r="M173" s="48">
        <f>NETWORKDAYS(IF(ISTEXT(G172), DT_B_CORC, G172), TAB_CORRECAO_U[[#This Row],[dt_eve_u]], TAB_FERIADOS[FER_DATA]) -1</f>
        <v>20</v>
      </c>
      <c r="N173" s="78">
        <f>(TX_EMISSAO/100 +1)^(TAB_CORRECAO_U[[#This Row],[dias_periodo_u]]/252)</f>
        <v>1.0019616526860928</v>
      </c>
      <c r="O173" s="78">
        <f>(TIR_U/100 +1)^(TAB_CORRECAO_U[[#This Row],[Q_DIAS_U_PARC_TIR]]/252)</f>
        <v>1.0032391393817965</v>
      </c>
      <c r="P173" s="116" t="str">
        <f>"TX_CENARIO" &amp; TEXT(DT_CALCULO_C, "-AAAAMMDD") &amp; TEXT(TAB_CORRECAO_U[[#This Row],[DT_EVE]], "-AAAAMMDD")</f>
        <v>TX_CENARIO-20151228-20160210</v>
      </c>
      <c r="Q173" s="44">
        <f>IFERROR(VLOOKUP(TAB_CORRECAO_U[[#This Row],[Chave-CENARIO]],CENARIO[],2,FALSE), 0)</f>
        <v>14.408799999999999</v>
      </c>
      <c r="R173" s="116" t="str">
        <f>"CORRECAO_CORC_U" &amp; TEXT(DT_CALCULO_C, "-AAAAMMDD") &amp; TEXT(TAB_CORRECAO_U[[#This Row],[DT_EVE]], "-AAAAMMDD")</f>
        <v>CORRECAO_CORC_U-20151228-20160210</v>
      </c>
      <c r="S173" s="44">
        <f>IFERROR(VLOOKUP(TAB_CORRECAO_U[[#This Row],[Chave-CORC]],CORRECAO_CORC_U[],2, FALSE), 0)</f>
        <v>1.0107509699999999</v>
      </c>
      <c r="T173" s="78">
        <f>MAX(0, IF(TAB_CORRECAO_U[[#This Row],[ID_T_EVE]]= 5, TAB_CORRECAO_U[[#This Row],[PU_AMORT]],TAB_CORRECAO_U[[#This Row],[V_NOML_PCPL]]) * (TAB_CORRECAO_U[[#This Row],[CORRECAO_U]] -1))</f>
        <v>1064.2643226279915</v>
      </c>
      <c r="U173" s="78">
        <f>MAX(0, TAB_CORRECAO_U[[#This Row],[V_FUT_U_CORC-01]]/((((TAB_CORRECAO_U[[#This Row],[TX_CENARIO]]/100 +1)^(1/252) -1) * PC_IDXR/100 +1)^TAB_CORRECAO_U[[#This Row],[Q_DIAS_U_PARC_TIR]]))</f>
        <v>1045.6686842118129</v>
      </c>
      <c r="V173" s="78">
        <f>TAB_CORRECAO_U[[#This Row],[V_FUT_U_CORC-02]]/TAB_CORRECAO_U[[#This Row],[VAR_DESCAP_U]]</f>
        <v>1042.2925533548878</v>
      </c>
      <c r="W173" s="78"/>
      <c r="X173" s="101">
        <f>TAB_CORRECAO_U[[#This Row],[dt_eve_u]]- DT_CALCULO_C</f>
        <v>44</v>
      </c>
      <c r="Y173" s="48" t="str">
        <f>"CORRECAO_CORC_C" &amp; TEXT(DT_CALCULO_C, "-AAAAMMDD") &amp; TEXT(TAB_CORRECAO_U[[#This Row],[DT_EVE]], "-AAAAMMDD")</f>
        <v>CORRECAO_CORC_C-20151228-20160210</v>
      </c>
      <c r="Z173" s="44">
        <f>IFERROR(VLOOKUP(TAB_CORRECAO_C[[#This Row],[Chave-CORC]],CORRECAO_CORC_C[],2, FALSE), 0)</f>
        <v>1</v>
      </c>
      <c r="AA17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73" s="44">
        <f>(TIR_C/100 +1)^(TAB_CORRECAO_C[[#This Row],[DIAS_CORRIDOS]]/360)</f>
        <v>1.0029797486217285</v>
      </c>
      <c r="AC173" s="78">
        <f>IF(TAB_CORRECAO_C[[#This Row],[DIAS_CORRIDOS]]&lt;0, 0, TAB_CORRECAO_C[[#This Row],[V_FUT_C_CORC]]/TAB_CORRECAO_C[[#This Row],[VAR_DESCAP_C]])</f>
        <v>0</v>
      </c>
      <c r="AD173" s="113">
        <f>TAB_CORRECAO_U[[#This Row],[V_FUT_U_CORC-02]]</f>
        <v>1045.6686842118129</v>
      </c>
      <c r="AE173" s="126">
        <f>IF(TAB_CORRECAO_C[[#This Row],[DIAS_CORRIDOS]]&lt;0, 0, TAB_CORRECAO_C[[#This Row],[V_FUT_UTEIS]]/TAB_CORRECAO_C[[#This Row],[VAR_DESCAP_C]])</f>
        <v>1042.5621111979046</v>
      </c>
      <c r="AF173" s="64"/>
    </row>
    <row r="174" spans="1:32">
      <c r="A174" s="82">
        <f t="shared" ref="A174:A237" si="4">+A173+1</f>
        <v>3</v>
      </c>
      <c r="B174" s="24">
        <f>VLOOKUP($A174, CAD_ATUALIZACAO[#Data], MATCH(B$171, CAD_ATUALIZACAO[#Headers],0), FALSE)</f>
        <v>3</v>
      </c>
      <c r="C174" s="24" t="str">
        <f>VLOOKUP($A174, CAD_ATUALIZACAO[#Data], MATCH(C$171, CAD_ATUALIZACAO[#Headers],0), FALSE)</f>
        <v xml:space="preserve">ATUALIZACAO SOBRE PRINCIPAL                       </v>
      </c>
      <c r="D174" s="36">
        <f>VLOOKUP($A174, CAD_ATUALIZACAO[#Data], MATCH(D$171, CAD_ATUALIZACAO[#Headers],0), FALSE)</f>
        <v>42437</v>
      </c>
      <c r="E174" s="48">
        <f>VLOOKUP($A174, CAD_ATUALIZACAO[#Data], MATCH(E$171, CAD_ATUALIZACAO[#Headers],0), FALSE)</f>
        <v>0</v>
      </c>
      <c r="F174" s="36">
        <f>VLOOKUP($A174, CAD_ATUALIZACAO[#Data], MATCH(F$171, CAD_ATUALIZACAO[#Headers],0), FALSE)</f>
        <v>42443</v>
      </c>
      <c r="G174" s="47">
        <f>WORKDAY(WORKDAY(TAB_CORRECAO_U[[#This Row],[DT_EVE]], -1, TAB_FERIADOS[FER_DATA]), 1, TAB_FERIADOS[FER_DATA])</f>
        <v>42437</v>
      </c>
      <c r="H174" s="75">
        <f>WORKDAY(WORKDAY(TAB_CORRECAO_U[[#This Row],[DT_LQDC_EVE]], -1, TAB_FERIADOS[FER_DATA]), 1, TAB_FERIADOS[FER_DATA])</f>
        <v>42443</v>
      </c>
      <c r="I174" s="48">
        <f>PU_EMISSAO - SUMIF(TAB_AMORTIZACAO_U[dt_eve_u], "&lt;" &amp; TAB_CORRECAO_U[[#This Row],[dt_eve_u]], TAB_AMORTIZACAO_U[V_PU_AMTC])</f>
        <v>97995.645525</v>
      </c>
      <c r="J174" s="48">
        <f>IFERROR(VLOOKUP(TAB_CORRECAO_U[[#This Row],[DT_EVE]], TAB_AMORTIZACAO_U[[DT_EVE]:[V_PU_AMTC]], 2, FALSE), 0)</f>
        <v>996.02774099999999</v>
      </c>
      <c r="K174" s="48">
        <f>NETWORKDAYS(DT_CALCULO_U, TAB_CORRECAO_U[[#This Row],[dt_eve_u]], TAB_FERIADOS[FER_DATA]) -1</f>
        <v>48</v>
      </c>
      <c r="L174" s="48">
        <f>NETWORKDAYS(DT_CALCULO_U, TAB_CORRECAO_U[[#This Row],[dt_lqdc_eve_u]], TAB_FERIADOS[FER_DATA]) -1</f>
        <v>52</v>
      </c>
      <c r="M174" s="48">
        <f>NETWORKDAYS(IF(ISTEXT(G173), DT_B_CORC, G173), TAB_CORRECAO_U[[#This Row],[dt_eve_u]], TAB_FERIADOS[FER_DATA]) -1</f>
        <v>19</v>
      </c>
      <c r="N174" s="78">
        <f>(TX_EMISSAO/100 +1)^(TAB_CORRECAO_U[[#This Row],[dias_periodo_u]]/252)</f>
        <v>1.0018634787225431</v>
      </c>
      <c r="O174" s="78">
        <f>(TIR_U/100 +1)^(TAB_CORRECAO_U[[#This Row],[Q_DIAS_U_PARC_TIR]]/252)</f>
        <v>1.0051088557094283</v>
      </c>
      <c r="P174" s="116" t="str">
        <f>"TX_CENARIO" &amp; TEXT(DT_CALCULO_C, "-AAAAMMDD") &amp; TEXT(TAB_CORRECAO_U[[#This Row],[DT_EVE]], "-AAAAMMDD")</f>
        <v>TX_CENARIO-20151228-20160308</v>
      </c>
      <c r="Q174" s="44">
        <f>IFERROR(VLOOKUP(TAB_CORRECAO_U[[#This Row],[Chave-CENARIO]],CENARIO[],2,FALSE), 0)</f>
        <v>14.592700000000001</v>
      </c>
      <c r="R174" s="116" t="str">
        <f>"CORRECAO_CORC_U" &amp; TEXT(DT_CALCULO_C, "-AAAAMMDD") &amp; TEXT(TAB_CORRECAO_U[[#This Row],[DT_EVE]], "-AAAAMMDD")</f>
        <v>CORRECAO_CORC_U-20151228-20160308</v>
      </c>
      <c r="S174" s="44">
        <f>IFERROR(VLOOKUP(TAB_CORRECAO_U[[#This Row],[Chave-CORC]],CORRECAO_CORC_U[],2, FALSE), 0)</f>
        <v>1.0104201900000001</v>
      </c>
      <c r="T174" s="78">
        <f>MAX(0, IF(TAB_CORRECAO_U[[#This Row],[ID_T_EVE]]= 5, TAB_CORRECAO_U[[#This Row],[PU_AMORT]],TAB_CORRECAO_U[[#This Row],[V_NOML_PCPL]]) * (TAB_CORRECAO_U[[#This Row],[CORRECAO_U]] -1))</f>
        <v>1021.1332455431548</v>
      </c>
      <c r="U174" s="78">
        <f>MAX(0, TAB_CORRECAO_U[[#This Row],[V_FUT_U_CORC-01]]/((((TAB_CORRECAO_U[[#This Row],[TX_CENARIO]]/100 +1)^(1/252) -1) * PC_IDXR/100 +1)^TAB_CORRECAO_U[[#This Row],[Q_DIAS_U_PARC_TIR]]))</f>
        <v>992.83122121938288</v>
      </c>
      <c r="V174" s="78">
        <f>TAB_CORRECAO_U[[#This Row],[V_FUT_U_CORC-02]]/TAB_CORRECAO_U[[#This Row],[VAR_DESCAP_U]]</f>
        <v>987.7847713505821</v>
      </c>
      <c r="W174" s="78"/>
      <c r="X174" s="101">
        <f>TAB_CORRECAO_U[[#This Row],[dt_eve_u]]- DT_CALCULO_C</f>
        <v>71</v>
      </c>
      <c r="Y174" s="48" t="str">
        <f>"CORRECAO_CORC_C" &amp; TEXT(DT_CALCULO_C, "-AAAAMMDD") &amp; TEXT(TAB_CORRECAO_U[[#This Row],[DT_EVE]], "-AAAAMMDD")</f>
        <v>CORRECAO_CORC_C-20151228-20160308</v>
      </c>
      <c r="Z174" s="44">
        <f>IFERROR(VLOOKUP(TAB_CORRECAO_C[[#This Row],[Chave-CORC]],CORRECAO_CORC_C[],2, FALSE), 0)</f>
        <v>1</v>
      </c>
      <c r="AA17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74" s="44">
        <f>(TIR_C/100 +1)^(TAB_CORRECAO_C[[#This Row],[DIAS_CORRIDOS]]/360)</f>
        <v>1.0048126249272449</v>
      </c>
      <c r="AC174" s="78">
        <f>IF(TAB_CORRECAO_C[[#This Row],[DIAS_CORRIDOS]]&lt;0, 0, TAB_CORRECAO_C[[#This Row],[V_FUT_C_CORC]]/TAB_CORRECAO_C[[#This Row],[VAR_DESCAP_C]])</f>
        <v>0</v>
      </c>
      <c r="AD174" s="113">
        <f>TAB_CORRECAO_U[[#This Row],[V_FUT_U_CORC-02]]</f>
        <v>992.83122121938288</v>
      </c>
      <c r="AE174" s="126">
        <f>IF(TAB_CORRECAO_C[[#This Row],[DIAS_CORRIDOS]]&lt;0, 0, TAB_CORRECAO_C[[#This Row],[V_FUT_UTEIS]]/TAB_CORRECAO_C[[#This Row],[VAR_DESCAP_C]])</f>
        <v>988.07598211783068</v>
      </c>
      <c r="AF174" s="64"/>
    </row>
    <row r="175" spans="1:32">
      <c r="A175" s="82">
        <f t="shared" si="4"/>
        <v>4</v>
      </c>
      <c r="B175" s="24">
        <f>VLOOKUP($A175, CAD_ATUALIZACAO[#Data], MATCH(B$171, CAD_ATUALIZACAO[#Headers],0), FALSE)</f>
        <v>3</v>
      </c>
      <c r="C175" s="24" t="str">
        <f>VLOOKUP($A175, CAD_ATUALIZACAO[#Data], MATCH(C$171, CAD_ATUALIZACAO[#Headers],0), FALSE)</f>
        <v xml:space="preserve">ATUALIZACAO SOBRE PRINCIPAL                       </v>
      </c>
      <c r="D175" s="36">
        <f>VLOOKUP($A175, CAD_ATUALIZACAO[#Data], MATCH(D$171, CAD_ATUALIZACAO[#Headers],0), FALSE)</f>
        <v>42468</v>
      </c>
      <c r="E175" s="48">
        <f>VLOOKUP($A175, CAD_ATUALIZACAO[#Data], MATCH(E$171, CAD_ATUALIZACAO[#Headers],0), FALSE)</f>
        <v>0</v>
      </c>
      <c r="F175" s="36">
        <f>VLOOKUP($A175, CAD_ATUALIZACAO[#Data], MATCH(F$171, CAD_ATUALIZACAO[#Headers],0), FALSE)</f>
        <v>42474</v>
      </c>
      <c r="G175" s="47">
        <f>WORKDAY(WORKDAY(TAB_CORRECAO_U[[#This Row],[DT_EVE]], -1, TAB_FERIADOS[FER_DATA]), 1, TAB_FERIADOS[FER_DATA])</f>
        <v>42468</v>
      </c>
      <c r="H175" s="75">
        <f>WORKDAY(WORKDAY(TAB_CORRECAO_U[[#This Row],[DT_LQDC_EVE]], -1, TAB_FERIADOS[FER_DATA]), 1, TAB_FERIADOS[FER_DATA])</f>
        <v>42474</v>
      </c>
      <c r="I175" s="48">
        <f>PU_EMISSAO - SUMIF(TAB_AMORTIZACAO_U[dt_eve_u], "&lt;" &amp; TAB_CORRECAO_U[[#This Row],[dt_eve_u]], TAB_AMORTIZACAO_U[V_PU_AMTC])</f>
        <v>96999.617784000002</v>
      </c>
      <c r="J175" s="48">
        <f>IFERROR(VLOOKUP(TAB_CORRECAO_U[[#This Row],[DT_EVE]], TAB_AMORTIZACAO_U[[DT_EVE]:[V_PU_AMTC]], 2, FALSE), 0)</f>
        <v>954.76723700000002</v>
      </c>
      <c r="K175" s="48">
        <f>NETWORKDAYS(DT_CALCULO_U, TAB_CORRECAO_U[[#This Row],[dt_eve_u]], TAB_FERIADOS[FER_DATA]) -1</f>
        <v>70</v>
      </c>
      <c r="L175" s="48">
        <f>NETWORKDAYS(DT_CALCULO_U, TAB_CORRECAO_U[[#This Row],[dt_lqdc_eve_u]], TAB_FERIADOS[FER_DATA]) -1</f>
        <v>74</v>
      </c>
      <c r="M175" s="48">
        <f>NETWORKDAYS(IF(ISTEXT(G174), DT_B_CORC, G174), TAB_CORRECAO_U[[#This Row],[dt_eve_u]], TAB_FERIADOS[FER_DATA]) -1</f>
        <v>22</v>
      </c>
      <c r="N175" s="78">
        <f>(TX_EMISSAO/100 +1)^(TAB_CORRECAO_U[[#This Row],[dias_periodo_u]]/252)</f>
        <v>1.0021580294747356</v>
      </c>
      <c r="O175" s="78">
        <f>(TIR_U/100 +1)^(TAB_CORRECAO_U[[#This Row],[Q_DIAS_U_PARC_TIR]]/252)</f>
        <v>1.0072781441085392</v>
      </c>
      <c r="P175" s="116" t="str">
        <f>"TX_CENARIO" &amp; TEXT(DT_CALCULO_C, "-AAAAMMDD") &amp; TEXT(TAB_CORRECAO_U[[#This Row],[DT_EVE]], "-AAAAMMDD")</f>
        <v>TX_CENARIO-20151228-20160408</v>
      </c>
      <c r="Q175" s="44">
        <f>IFERROR(VLOOKUP(TAB_CORRECAO_U[[#This Row],[Chave-CENARIO]],CENARIO[],2,FALSE), 0)</f>
        <v>14.805999999999999</v>
      </c>
      <c r="R175" s="116" t="str">
        <f>"CORRECAO_CORC_U" &amp; TEXT(DT_CALCULO_C, "-AAAAMMDD") &amp; TEXT(TAB_CORRECAO_U[[#This Row],[DT_EVE]], "-AAAAMMDD")</f>
        <v>CORRECAO_CORC_U-20151228-20160408</v>
      </c>
      <c r="S175" s="44">
        <f>IFERROR(VLOOKUP(TAB_CORRECAO_U[[#This Row],[Chave-CORC]],CORRECAO_CORC_U[],2, FALSE), 0)</f>
        <v>1.0124769199999999</v>
      </c>
      <c r="T175" s="78">
        <f>MAX(0, IF(TAB_CORRECAO_U[[#This Row],[ID_T_EVE]]= 5, TAB_CORRECAO_U[[#This Row],[PU_AMORT]],TAB_CORRECAO_U[[#This Row],[V_NOML_PCPL]]) * (TAB_CORRECAO_U[[#This Row],[CORRECAO_U]] -1))</f>
        <v>1210.2564711215348</v>
      </c>
      <c r="U175" s="78">
        <f>MAX(0, TAB_CORRECAO_U[[#This Row],[V_FUT_U_CORC-01]]/((((TAB_CORRECAO_U[[#This Row],[TX_CENARIO]]/100 +1)^(1/252) -1) * PC_IDXR/100 +1)^TAB_CORRECAO_U[[#This Row],[Q_DIAS_U_PARC_TIR]]))</f>
        <v>1162.1676043873256</v>
      </c>
      <c r="V175" s="78">
        <f>TAB_CORRECAO_U[[#This Row],[V_FUT_U_CORC-02]]/TAB_CORRECAO_U[[#This Row],[VAR_DESCAP_U]]</f>
        <v>1153.7702978911218</v>
      </c>
      <c r="W175" s="78"/>
      <c r="X175" s="101">
        <f>TAB_CORRECAO_U[[#This Row],[dt_eve_u]]- DT_CALCULO_C</f>
        <v>102</v>
      </c>
      <c r="Y175" s="48" t="str">
        <f>"CORRECAO_CORC_C" &amp; TEXT(DT_CALCULO_C, "-AAAAMMDD") &amp; TEXT(TAB_CORRECAO_U[[#This Row],[DT_EVE]], "-AAAAMMDD")</f>
        <v>CORRECAO_CORC_C-20151228-20160408</v>
      </c>
      <c r="Z175" s="44">
        <f>IFERROR(VLOOKUP(TAB_CORRECAO_C[[#This Row],[Chave-CORC]],CORRECAO_CORC_C[],2, FALSE), 0)</f>
        <v>1</v>
      </c>
      <c r="AA17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75" s="44">
        <f>(TIR_C/100 +1)^(TAB_CORRECAO_C[[#This Row],[DIAS_CORRIDOS]]/360)</f>
        <v>1.0069211693708799</v>
      </c>
      <c r="AC175" s="78">
        <f>IF(TAB_CORRECAO_C[[#This Row],[DIAS_CORRIDOS]]&lt;0, 0, TAB_CORRECAO_C[[#This Row],[V_FUT_C_CORC]]/TAB_CORRECAO_C[[#This Row],[VAR_DESCAP_C]])</f>
        <v>0</v>
      </c>
      <c r="AD175" s="113">
        <f>TAB_CORRECAO_U[[#This Row],[V_FUT_U_CORC-02]]</f>
        <v>1162.1676043873256</v>
      </c>
      <c r="AE175" s="126">
        <f>IF(TAB_CORRECAO_C[[#This Row],[DIAS_CORRIDOS]]&lt;0, 0, TAB_CORRECAO_C[[#This Row],[V_FUT_UTEIS]]/TAB_CORRECAO_C[[#This Row],[VAR_DESCAP_C]])</f>
        <v>1154.1793337341819</v>
      </c>
      <c r="AF175" s="64"/>
    </row>
    <row r="176" spans="1:32">
      <c r="A176" s="82">
        <f t="shared" si="4"/>
        <v>5</v>
      </c>
      <c r="B176" s="24">
        <f>VLOOKUP($A176, CAD_ATUALIZACAO[#Data], MATCH(B$171, CAD_ATUALIZACAO[#Headers],0), FALSE)</f>
        <v>3</v>
      </c>
      <c r="C176" s="24" t="str">
        <f>VLOOKUP($A176, CAD_ATUALIZACAO[#Data], MATCH(C$171, CAD_ATUALIZACAO[#Headers],0), FALSE)</f>
        <v xml:space="preserve">ATUALIZACAO SOBRE PRINCIPAL                       </v>
      </c>
      <c r="D176" s="36">
        <f>VLOOKUP($A176, CAD_ATUALIZACAO[#Data], MATCH(D$171, CAD_ATUALIZACAO[#Headers],0), FALSE)</f>
        <v>42499</v>
      </c>
      <c r="E176" s="48">
        <f>VLOOKUP($A176, CAD_ATUALIZACAO[#Data], MATCH(E$171, CAD_ATUALIZACAO[#Headers],0), FALSE)</f>
        <v>0</v>
      </c>
      <c r="F176" s="36">
        <f>VLOOKUP($A176, CAD_ATUALIZACAO[#Data], MATCH(F$171, CAD_ATUALIZACAO[#Headers],0), FALSE)</f>
        <v>42503</v>
      </c>
      <c r="G176" s="47">
        <f>WORKDAY(WORKDAY(TAB_CORRECAO_U[[#This Row],[DT_EVE]], -1, TAB_FERIADOS[FER_DATA]), 1, TAB_FERIADOS[FER_DATA])</f>
        <v>42499</v>
      </c>
      <c r="H176" s="75">
        <f>WORKDAY(WORKDAY(TAB_CORRECAO_U[[#This Row],[DT_LQDC_EVE]], -1, TAB_FERIADOS[FER_DATA]), 1, TAB_FERIADOS[FER_DATA])</f>
        <v>42503</v>
      </c>
      <c r="I176" s="48">
        <f>PU_EMISSAO - SUMIF(TAB_AMORTIZACAO_U[dt_eve_u], "&lt;" &amp; TAB_CORRECAO_U[[#This Row],[dt_eve_u]], TAB_AMORTIZACAO_U[V_PU_AMTC])</f>
        <v>96044.850546999995</v>
      </c>
      <c r="J176" s="48">
        <f>IFERROR(VLOOKUP(TAB_CORRECAO_U[[#This Row],[DT_EVE]], TAB_AMORTIZACAO_U[[DT_EVE]:[V_PU_AMTC]], 2, FALSE), 0)</f>
        <v>962.46544700000004</v>
      </c>
      <c r="K176" s="48">
        <f>NETWORKDAYS(DT_CALCULO_U, TAB_CORRECAO_U[[#This Row],[dt_eve_u]], TAB_FERIADOS[FER_DATA]) -1</f>
        <v>90</v>
      </c>
      <c r="L176" s="48">
        <f>NETWORKDAYS(DT_CALCULO_U, TAB_CORRECAO_U[[#This Row],[dt_lqdc_eve_u]], TAB_FERIADOS[FER_DATA]) -1</f>
        <v>94</v>
      </c>
      <c r="M176" s="48">
        <f>NETWORKDAYS(IF(ISTEXT(G175), DT_B_CORC, G175), TAB_CORRECAO_U[[#This Row],[dt_eve_u]], TAB_FERIADOS[FER_DATA]) -1</f>
        <v>20</v>
      </c>
      <c r="N176" s="78">
        <f>(TX_EMISSAO/100 +1)^(TAB_CORRECAO_U[[#This Row],[dias_periodo_u]]/252)</f>
        <v>1.0019616526860928</v>
      </c>
      <c r="O176" s="78">
        <f>(TIR_U/100 +1)^(TAB_CORRECAO_U[[#This Row],[Q_DIAS_U_PARC_TIR]]/252)</f>
        <v>1.0092542870055565</v>
      </c>
      <c r="P176" s="116" t="str">
        <f>"TX_CENARIO" &amp; TEXT(DT_CALCULO_C, "-AAAAMMDD") &amp; TEXT(TAB_CORRECAO_U[[#This Row],[DT_EVE]], "-AAAAMMDD")</f>
        <v>TX_CENARIO-20151228-20160509</v>
      </c>
      <c r="Q176" s="44">
        <f>IFERROR(VLOOKUP(TAB_CORRECAO_U[[#This Row],[Chave-CENARIO]],CENARIO[],2,FALSE), 0)</f>
        <v>14.962899999999999</v>
      </c>
      <c r="R176" s="116" t="str">
        <f>"CORRECAO_CORC_U" &amp; TEXT(DT_CALCULO_C, "-AAAAMMDD") &amp; TEXT(TAB_CORRECAO_U[[#This Row],[DT_EVE]], "-AAAAMMDD")</f>
        <v>CORRECAO_CORC_U-20151228-20160509</v>
      </c>
      <c r="S176" s="44">
        <f>IFERROR(VLOOKUP(TAB_CORRECAO_U[[#This Row],[Chave-CORC]],CORRECAO_CORC_U[],2, FALSE), 0)</f>
        <v>1.01145901</v>
      </c>
      <c r="T176" s="78">
        <f>MAX(0, IF(TAB_CORRECAO_U[[#This Row],[ID_T_EVE]]= 5, TAB_CORRECAO_U[[#This Row],[PU_AMORT]],TAB_CORRECAO_U[[#This Row],[V_NOML_PCPL]]) * (TAB_CORRECAO_U[[#This Row],[CORRECAO_U]] -1))</f>
        <v>1100.5789028665829</v>
      </c>
      <c r="U176" s="78">
        <f>MAX(0, TAB_CORRECAO_U[[#This Row],[V_FUT_U_CORC-01]]/((((TAB_CORRECAO_U[[#This Row],[TX_CENARIO]]/100 +1)^(1/252) -1) * PC_IDXR/100 +1)^TAB_CORRECAO_U[[#This Row],[Q_DIAS_U_PARC_TIR]]))</f>
        <v>1044.7976719722246</v>
      </c>
      <c r="V176" s="78">
        <f>TAB_CORRECAO_U[[#This Row],[V_FUT_U_CORC-02]]/TAB_CORRECAO_U[[#This Row],[VAR_DESCAP_U]]</f>
        <v>1035.2174723697483</v>
      </c>
      <c r="W176" s="78"/>
      <c r="X176" s="101">
        <f>TAB_CORRECAO_U[[#This Row],[dt_eve_u]]- DT_CALCULO_C</f>
        <v>133</v>
      </c>
      <c r="Y176" s="48" t="str">
        <f>"CORRECAO_CORC_C" &amp; TEXT(DT_CALCULO_C, "-AAAAMMDD") &amp; TEXT(TAB_CORRECAO_U[[#This Row],[DT_EVE]], "-AAAAMMDD")</f>
        <v>CORRECAO_CORC_C-20151228-20160509</v>
      </c>
      <c r="Z176" s="44">
        <f>IFERROR(VLOOKUP(TAB_CORRECAO_C[[#This Row],[Chave-CORC]],CORRECAO_CORC_C[],2, FALSE), 0)</f>
        <v>1</v>
      </c>
      <c r="AA17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76" s="44">
        <f>(TIR_C/100 +1)^(TAB_CORRECAO_C[[#This Row],[DIAS_CORRIDOS]]/360)</f>
        <v>1.0090341384799306</v>
      </c>
      <c r="AC176" s="78">
        <f>IF(TAB_CORRECAO_C[[#This Row],[DIAS_CORRIDOS]]&lt;0, 0, TAB_CORRECAO_C[[#This Row],[V_FUT_C_CORC]]/TAB_CORRECAO_C[[#This Row],[VAR_DESCAP_C]])</f>
        <v>0</v>
      </c>
      <c r="AD176" s="113">
        <f>TAB_CORRECAO_U[[#This Row],[V_FUT_U_CORC-02]]</f>
        <v>1044.7976719722246</v>
      </c>
      <c r="AE176" s="126">
        <f>IF(TAB_CORRECAO_C[[#This Row],[DIAS_CORRIDOS]]&lt;0, 0, TAB_CORRECAO_C[[#This Row],[V_FUT_UTEIS]]/TAB_CORRECAO_C[[#This Row],[VAR_DESCAP_C]])</f>
        <v>1035.4433335091817</v>
      </c>
      <c r="AF176" s="64"/>
    </row>
    <row r="177" spans="1:32">
      <c r="A177" s="82">
        <f t="shared" si="4"/>
        <v>6</v>
      </c>
      <c r="B177" s="24">
        <f>VLOOKUP($A177, CAD_ATUALIZACAO[#Data], MATCH(B$171, CAD_ATUALIZACAO[#Headers],0), FALSE)</f>
        <v>3</v>
      </c>
      <c r="C177" s="24" t="str">
        <f>VLOOKUP($A177, CAD_ATUALIZACAO[#Data], MATCH(C$171, CAD_ATUALIZACAO[#Headers],0), FALSE)</f>
        <v xml:space="preserve">ATUALIZACAO SOBRE PRINCIPAL                       </v>
      </c>
      <c r="D177" s="36">
        <f>VLOOKUP($A177, CAD_ATUALIZACAO[#Data], MATCH(D$171, CAD_ATUALIZACAO[#Headers],0), FALSE)</f>
        <v>42529</v>
      </c>
      <c r="E177" s="48">
        <f>VLOOKUP($A177, CAD_ATUALIZACAO[#Data], MATCH(E$171, CAD_ATUALIZACAO[#Headers],0), FALSE)</f>
        <v>0</v>
      </c>
      <c r="F177" s="36">
        <f>VLOOKUP($A177, CAD_ATUALIZACAO[#Data], MATCH(F$171, CAD_ATUALIZACAO[#Headers],0), FALSE)</f>
        <v>42535</v>
      </c>
      <c r="G177" s="47">
        <f>WORKDAY(WORKDAY(TAB_CORRECAO_U[[#This Row],[DT_EVE]], -1, TAB_FERIADOS[FER_DATA]), 1, TAB_FERIADOS[FER_DATA])</f>
        <v>42529</v>
      </c>
      <c r="H177" s="75">
        <f>WORKDAY(WORKDAY(TAB_CORRECAO_U[[#This Row],[DT_LQDC_EVE]], -1, TAB_FERIADOS[FER_DATA]), 1, TAB_FERIADOS[FER_DATA])</f>
        <v>42535</v>
      </c>
      <c r="I177" s="48">
        <f>PU_EMISSAO - SUMIF(TAB_AMORTIZACAO_U[dt_eve_u], "&lt;" &amp; TAB_CORRECAO_U[[#This Row],[dt_eve_u]], TAB_AMORTIZACAO_U[V_PU_AMTC])</f>
        <v>95082.3851</v>
      </c>
      <c r="J177" s="48">
        <f>IFERROR(VLOOKUP(TAB_CORRECAO_U[[#This Row],[DT_EVE]], TAB_AMORTIZACAO_U[[DT_EVE]:[V_PU_AMTC]], 2, FALSE), 0)</f>
        <v>940.74511800000005</v>
      </c>
      <c r="K177" s="48">
        <f>NETWORKDAYS(DT_CALCULO_U, TAB_CORRECAO_U[[#This Row],[dt_eve_u]], TAB_FERIADOS[FER_DATA]) -1</f>
        <v>111</v>
      </c>
      <c r="L177" s="48">
        <f>NETWORKDAYS(DT_CALCULO_U, TAB_CORRECAO_U[[#This Row],[dt_lqdc_eve_u]], TAB_FERIADOS[FER_DATA]) -1</f>
        <v>115</v>
      </c>
      <c r="M177" s="48">
        <f>NETWORKDAYS(IF(ISTEXT(G176), DT_B_CORC, G176), TAB_CORRECAO_U[[#This Row],[dt_eve_u]], TAB_FERIADOS[FER_DATA]) -1</f>
        <v>21</v>
      </c>
      <c r="N177" s="78">
        <f>(TX_EMISSAO/100 +1)^(TAB_CORRECAO_U[[#This Row],[dias_periodo_u]]/252)</f>
        <v>1.0020598362698427</v>
      </c>
      <c r="O177" s="78">
        <f>(TIR_U/100 +1)^(TAB_CORRECAO_U[[#This Row],[Q_DIAS_U_PARC_TIR]]/252)</f>
        <v>1.0113334097231823</v>
      </c>
      <c r="P177" s="116" t="str">
        <f>"TX_CENARIO" &amp; TEXT(DT_CALCULO_C, "-AAAAMMDD") &amp; TEXT(TAB_CORRECAO_U[[#This Row],[DT_EVE]], "-AAAAMMDD")</f>
        <v>TX_CENARIO-20151228-20160608</v>
      </c>
      <c r="Q177" s="44">
        <f>IFERROR(VLOOKUP(TAB_CORRECAO_U[[#This Row],[Chave-CENARIO]],CENARIO[],2,FALSE), 0)</f>
        <v>15.119300000000001</v>
      </c>
      <c r="R177" s="116" t="str">
        <f>"CORRECAO_CORC_U" &amp; TEXT(DT_CALCULO_C, "-AAAAMMDD") &amp; TEXT(TAB_CORRECAO_U[[#This Row],[DT_EVE]], "-AAAAMMDD")</f>
        <v>CORRECAO_CORC_U-20151228-20160608</v>
      </c>
      <c r="S177" s="44">
        <f>IFERROR(VLOOKUP(TAB_CORRECAO_U[[#This Row],[Chave-CORC]],CORRECAO_CORC_U[],2, FALSE), 0)</f>
        <v>1.01224172</v>
      </c>
      <c r="T177" s="78">
        <f>MAX(0, IF(TAB_CORRECAO_U[[#This Row],[ID_T_EVE]]= 5, TAB_CORRECAO_U[[#This Row],[PU_AMORT]],TAB_CORRECAO_U[[#This Row],[V_NOML_PCPL]]) * (TAB_CORRECAO_U[[#This Row],[CORRECAO_U]] -1))</f>
        <v>1163.9719353263731</v>
      </c>
      <c r="U177" s="78">
        <f>MAX(0, TAB_CORRECAO_U[[#This Row],[V_FUT_U_CORC-01]]/((((TAB_CORRECAO_U[[#This Row],[TX_CENARIO]]/100 +1)^(1/252) -1) * PC_IDXR/100 +1)^TAB_CORRECAO_U[[#This Row],[Q_DIAS_U_PARC_TIR]]))</f>
        <v>1091.534844155545</v>
      </c>
      <c r="V177" s="78">
        <f>TAB_CORRECAO_U[[#This Row],[V_FUT_U_CORC-02]]/TAB_CORRECAO_U[[#This Row],[VAR_DESCAP_U]]</f>
        <v>1079.3026648395953</v>
      </c>
      <c r="W177" s="78"/>
      <c r="X177" s="101">
        <f>TAB_CORRECAO_U[[#This Row],[dt_eve_u]]- DT_CALCULO_C</f>
        <v>163</v>
      </c>
      <c r="Y177" s="48" t="str">
        <f>"CORRECAO_CORC_C" &amp; TEXT(DT_CALCULO_C, "-AAAAMMDD") &amp; TEXT(TAB_CORRECAO_U[[#This Row],[DT_EVE]], "-AAAAMMDD")</f>
        <v>CORRECAO_CORC_C-20151228-20160608</v>
      </c>
      <c r="Z177" s="44">
        <f>IFERROR(VLOOKUP(TAB_CORRECAO_C[[#This Row],[Chave-CORC]],CORRECAO_CORC_C[],2, FALSE), 0)</f>
        <v>1</v>
      </c>
      <c r="AA17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77" s="44">
        <f>(TIR_C/100 +1)^(TAB_CORRECAO_C[[#This Row],[DIAS_CORRIDOS]]/360)</f>
        <v>1.011083168911231</v>
      </c>
      <c r="AC177" s="78">
        <f>IF(TAB_CORRECAO_C[[#This Row],[DIAS_CORRIDOS]]&lt;0, 0, TAB_CORRECAO_C[[#This Row],[V_FUT_C_CORC]]/TAB_CORRECAO_C[[#This Row],[VAR_DESCAP_C]])</f>
        <v>0</v>
      </c>
      <c r="AD177" s="113">
        <f>TAB_CORRECAO_U[[#This Row],[V_FUT_U_CORC-02]]</f>
        <v>1091.534844155545</v>
      </c>
      <c r="AE177" s="126">
        <f>IF(TAB_CORRECAO_C[[#This Row],[DIAS_CORRIDOS]]&lt;0, 0, TAB_CORRECAO_C[[#This Row],[V_FUT_UTEIS]]/TAB_CORRECAO_C[[#This Row],[VAR_DESCAP_C]])</f>
        <v>1079.5697898234694</v>
      </c>
      <c r="AF177" s="64"/>
    </row>
    <row r="178" spans="1:32">
      <c r="A178" s="82">
        <f t="shared" si="4"/>
        <v>7</v>
      </c>
      <c r="B178" s="24">
        <f>VLOOKUP($A178, CAD_ATUALIZACAO[#Data], MATCH(B$171, CAD_ATUALIZACAO[#Headers],0), FALSE)</f>
        <v>3</v>
      </c>
      <c r="C178" s="24" t="str">
        <f>VLOOKUP($A178, CAD_ATUALIZACAO[#Data], MATCH(C$171, CAD_ATUALIZACAO[#Headers],0), FALSE)</f>
        <v xml:space="preserve">ATUALIZACAO SOBRE PRINCIPAL                       </v>
      </c>
      <c r="D178" s="36">
        <f>VLOOKUP($A178, CAD_ATUALIZACAO[#Data], MATCH(D$171, CAD_ATUALIZACAO[#Headers],0), FALSE)</f>
        <v>42559</v>
      </c>
      <c r="E178" s="48">
        <f>VLOOKUP($A178, CAD_ATUALIZACAO[#Data], MATCH(E$171, CAD_ATUALIZACAO[#Headers],0), FALSE)</f>
        <v>0</v>
      </c>
      <c r="F178" s="36">
        <f>VLOOKUP($A178, CAD_ATUALIZACAO[#Data], MATCH(F$171, CAD_ATUALIZACAO[#Headers],0), FALSE)</f>
        <v>42565</v>
      </c>
      <c r="G178" s="47">
        <f>WORKDAY(WORKDAY(TAB_CORRECAO_U[[#This Row],[DT_EVE]], -1, TAB_FERIADOS[FER_DATA]), 1, TAB_FERIADOS[FER_DATA])</f>
        <v>42559</v>
      </c>
      <c r="H178" s="75">
        <f>WORKDAY(WORKDAY(TAB_CORRECAO_U[[#This Row],[DT_LQDC_EVE]], -1, TAB_FERIADOS[FER_DATA]), 1, TAB_FERIADOS[FER_DATA])</f>
        <v>42565</v>
      </c>
      <c r="I178" s="48">
        <f>PU_EMISSAO - SUMIF(TAB_AMORTIZACAO_U[dt_eve_u], "&lt;" &amp; TAB_CORRECAO_U[[#This Row],[dt_eve_u]], TAB_AMORTIZACAO_U[V_PU_AMTC])</f>
        <v>94141.639981999993</v>
      </c>
      <c r="J178" s="48">
        <f>IFERROR(VLOOKUP(TAB_CORRECAO_U[[#This Row],[DT_EVE]], TAB_AMORTIZACAO_U[[DT_EVE]:[V_PU_AMTC]], 2, FALSE), 0)</f>
        <v>918.63412200000005</v>
      </c>
      <c r="K178" s="48">
        <f>NETWORKDAYS(DT_CALCULO_U, TAB_CORRECAO_U[[#This Row],[dt_eve_u]], TAB_FERIADOS[FER_DATA]) -1</f>
        <v>133</v>
      </c>
      <c r="L178" s="48">
        <f>NETWORKDAYS(DT_CALCULO_U, TAB_CORRECAO_U[[#This Row],[dt_lqdc_eve_u]], TAB_FERIADOS[FER_DATA]) -1</f>
        <v>137</v>
      </c>
      <c r="M178" s="48">
        <f>NETWORKDAYS(IF(ISTEXT(G177), DT_B_CORC, G177), TAB_CORRECAO_U[[#This Row],[dt_eve_u]], TAB_FERIADOS[FER_DATA]) -1</f>
        <v>22</v>
      </c>
      <c r="N178" s="78">
        <f>(TX_EMISSAO/100 +1)^(TAB_CORRECAO_U[[#This Row],[dias_periodo_u]]/252)</f>
        <v>1.0021580294747356</v>
      </c>
      <c r="O178" s="78">
        <f>(TIR_U/100 +1)^(TAB_CORRECAO_U[[#This Row],[Q_DIAS_U_PARC_TIR]]/252)</f>
        <v>1.0135161323416166</v>
      </c>
      <c r="P178" s="116" t="str">
        <f>"TX_CENARIO" &amp; TEXT(DT_CALCULO_C, "-AAAAMMDD") &amp; TEXT(TAB_CORRECAO_U[[#This Row],[DT_EVE]], "-AAAAMMDD")</f>
        <v>TX_CENARIO-20151228-20160708</v>
      </c>
      <c r="Q178" s="44">
        <f>IFERROR(VLOOKUP(TAB_CORRECAO_U[[#This Row],[Chave-CENARIO]],CENARIO[],2,FALSE), 0)</f>
        <v>15.2698</v>
      </c>
      <c r="R178" s="116" t="str">
        <f>"CORRECAO_CORC_U" &amp; TEXT(DT_CALCULO_C, "-AAAAMMDD") &amp; TEXT(TAB_CORRECAO_U[[#This Row],[DT_EVE]], "-AAAAMMDD")</f>
        <v>CORRECAO_CORC_U-20151228-20160708</v>
      </c>
      <c r="S178" s="44">
        <f>IFERROR(VLOOKUP(TAB_CORRECAO_U[[#This Row],[Chave-CORC]],CORRECAO_CORC_U[],2, FALSE), 0)</f>
        <v>1.0129370200000001</v>
      </c>
      <c r="T178" s="78">
        <f>MAX(0, IF(TAB_CORRECAO_U[[#This Row],[ID_T_EVE]]= 5, TAB_CORRECAO_U[[#This Row],[PU_AMORT]],TAB_CORRECAO_U[[#This Row],[V_NOML_PCPL]]) * (TAB_CORRECAO_U[[#This Row],[CORRECAO_U]] -1))</f>
        <v>1217.9122792799408</v>
      </c>
      <c r="U178" s="78">
        <f>MAX(0, TAB_CORRECAO_U[[#This Row],[V_FUT_U_CORC-01]]/((((TAB_CORRECAO_U[[#This Row],[TX_CENARIO]]/100 +1)^(1/252) -1) * PC_IDXR/100 +1)^TAB_CORRECAO_U[[#This Row],[Q_DIAS_U_PARC_TIR]]))</f>
        <v>1127.3643754303955</v>
      </c>
      <c r="V178" s="78">
        <f>TAB_CORRECAO_U[[#This Row],[V_FUT_U_CORC-02]]/TAB_CORRECAO_U[[#This Row],[VAR_DESCAP_U]]</f>
        <v>1112.3299762636684</v>
      </c>
      <c r="W178" s="78"/>
      <c r="X178" s="101">
        <f>TAB_CORRECAO_U[[#This Row],[dt_eve_u]]- DT_CALCULO_C</f>
        <v>193</v>
      </c>
      <c r="Y178" s="48" t="str">
        <f>"CORRECAO_CORC_C" &amp; TEXT(DT_CALCULO_C, "-AAAAMMDD") &amp; TEXT(TAB_CORRECAO_U[[#This Row],[DT_EVE]], "-AAAAMMDD")</f>
        <v>CORRECAO_CORC_C-20151228-20160708</v>
      </c>
      <c r="Z178" s="44">
        <f>IFERROR(VLOOKUP(TAB_CORRECAO_C[[#This Row],[Chave-CORC]],CORRECAO_CORC_C[],2, FALSE), 0)</f>
        <v>1</v>
      </c>
      <c r="AA17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78" s="44">
        <f>(TIR_C/100 +1)^(TAB_CORRECAO_C[[#This Row],[DIAS_CORRIDOS]]/360)</f>
        <v>1.0131363602777743</v>
      </c>
      <c r="AC178" s="78">
        <f>IF(TAB_CORRECAO_C[[#This Row],[DIAS_CORRIDOS]]&lt;0, 0, TAB_CORRECAO_C[[#This Row],[V_FUT_C_CORC]]/TAB_CORRECAO_C[[#This Row],[VAR_DESCAP_C]])</f>
        <v>0</v>
      </c>
      <c r="AD178" s="113">
        <f>TAB_CORRECAO_U[[#This Row],[V_FUT_U_CORC-02]]</f>
        <v>1127.3643754303955</v>
      </c>
      <c r="AE178" s="126">
        <f>IF(TAB_CORRECAO_C[[#This Row],[DIAS_CORRIDOS]]&lt;0, 0, TAB_CORRECAO_C[[#This Row],[V_FUT_UTEIS]]/TAB_CORRECAO_C[[#This Row],[VAR_DESCAP_C]])</f>
        <v>1112.7469308487784</v>
      </c>
      <c r="AF178" s="64"/>
    </row>
    <row r="179" spans="1:32">
      <c r="A179" s="82">
        <f t="shared" si="4"/>
        <v>8</v>
      </c>
      <c r="B179" s="24">
        <f>VLOOKUP($A179, CAD_ATUALIZACAO[#Data], MATCH(B$171, CAD_ATUALIZACAO[#Headers],0), FALSE)</f>
        <v>3</v>
      </c>
      <c r="C179" s="24" t="str">
        <f>VLOOKUP($A179, CAD_ATUALIZACAO[#Data], MATCH(C$171, CAD_ATUALIZACAO[#Headers],0), FALSE)</f>
        <v xml:space="preserve">ATUALIZACAO SOBRE PRINCIPAL                       </v>
      </c>
      <c r="D179" s="36">
        <f>VLOOKUP($A179, CAD_ATUALIZACAO[#Data], MATCH(D$171, CAD_ATUALIZACAO[#Headers],0), FALSE)</f>
        <v>42590</v>
      </c>
      <c r="E179" s="48">
        <f>VLOOKUP($A179, CAD_ATUALIZACAO[#Data], MATCH(E$171, CAD_ATUALIZACAO[#Headers],0), FALSE)</f>
        <v>0</v>
      </c>
      <c r="F179" s="36">
        <f>VLOOKUP($A179, CAD_ATUALIZACAO[#Data], MATCH(F$171, CAD_ATUALIZACAO[#Headers],0), FALSE)</f>
        <v>42594</v>
      </c>
      <c r="G179" s="47">
        <f>WORKDAY(WORKDAY(TAB_CORRECAO_U[[#This Row],[DT_EVE]], -1, TAB_FERIADOS[FER_DATA]), 1, TAB_FERIADOS[FER_DATA])</f>
        <v>42590</v>
      </c>
      <c r="H179" s="75">
        <f>WORKDAY(WORKDAY(TAB_CORRECAO_U[[#This Row],[DT_LQDC_EVE]], -1, TAB_FERIADOS[FER_DATA]), 1, TAB_FERIADOS[FER_DATA])</f>
        <v>42594</v>
      </c>
      <c r="I179" s="48">
        <f>PU_EMISSAO - SUMIF(TAB_AMORTIZACAO_U[dt_eve_u], "&lt;" &amp; TAB_CORRECAO_U[[#This Row],[dt_eve_u]], TAB_AMORTIZACAO_U[V_PU_AMTC])</f>
        <v>93223.005860000005</v>
      </c>
      <c r="J179" s="48">
        <f>IFERROR(VLOOKUP(TAB_CORRECAO_U[[#This Row],[DT_EVE]], TAB_AMORTIZACAO_U[[DT_EVE]:[V_PU_AMTC]], 2, FALSE), 0)</f>
        <v>915.35669399999995</v>
      </c>
      <c r="K179" s="48">
        <f>NETWORKDAYS(DT_CALCULO_U, TAB_CORRECAO_U[[#This Row],[dt_eve_u]], TAB_FERIADOS[FER_DATA]) -1</f>
        <v>154</v>
      </c>
      <c r="L179" s="48">
        <f>NETWORKDAYS(DT_CALCULO_U, TAB_CORRECAO_U[[#This Row],[dt_lqdc_eve_u]], TAB_FERIADOS[FER_DATA]) -1</f>
        <v>158</v>
      </c>
      <c r="M179" s="48">
        <f>NETWORKDAYS(IF(ISTEXT(G178), DT_B_CORC, G178), TAB_CORRECAO_U[[#This Row],[dt_eve_u]], TAB_FERIADOS[FER_DATA]) -1</f>
        <v>21</v>
      </c>
      <c r="N179" s="78">
        <f>(TX_EMISSAO/100 +1)^(TAB_CORRECAO_U[[#This Row],[dias_periodo_u]]/252)</f>
        <v>1.0020598362698427</v>
      </c>
      <c r="O179" s="78">
        <f>(TIR_U/100 +1)^(TAB_CORRECAO_U[[#This Row],[Q_DIAS_U_PARC_TIR]]/252)</f>
        <v>1.0156040347092983</v>
      </c>
      <c r="P179" s="116" t="str">
        <f>"TX_CENARIO" &amp; TEXT(DT_CALCULO_C, "-AAAAMMDD") &amp; TEXT(TAB_CORRECAO_U[[#This Row],[DT_EVE]], "-AAAAMMDD")</f>
        <v>TX_CENARIO-20151228-20160808</v>
      </c>
      <c r="Q179" s="44">
        <f>IFERROR(VLOOKUP(TAB_CORRECAO_U[[#This Row],[Chave-CENARIO]],CENARIO[],2,FALSE), 0)</f>
        <v>15.4056</v>
      </c>
      <c r="R179" s="116" t="str">
        <f>"CORRECAO_CORC_U" &amp; TEXT(DT_CALCULO_C, "-AAAAMMDD") &amp; TEXT(TAB_CORRECAO_U[[#This Row],[DT_EVE]], "-AAAAMMDD")</f>
        <v>CORRECAO_CORC_U-20151228-20160808</v>
      </c>
      <c r="S179" s="44">
        <f>IFERROR(VLOOKUP(TAB_CORRECAO_U[[#This Row],[Chave-CORC]],CORRECAO_CORC_U[],2, FALSE), 0)</f>
        <v>1.0126990300000001</v>
      </c>
      <c r="T179" s="78">
        <f>MAX(0, IF(TAB_CORRECAO_U[[#This Row],[ID_T_EVE]]= 5, TAB_CORRECAO_U[[#This Row],[PU_AMORT]],TAB_CORRECAO_U[[#This Row],[V_NOML_PCPL]]) * (TAB_CORRECAO_U[[#This Row],[CORRECAO_U]] -1))</f>
        <v>1183.8417481063211</v>
      </c>
      <c r="U179" s="78">
        <f>MAX(0, TAB_CORRECAO_U[[#This Row],[V_FUT_U_CORC-01]]/((((TAB_CORRECAO_U[[#This Row],[TX_CENARIO]]/100 +1)^(1/252) -1) * PC_IDXR/100 +1)^TAB_CORRECAO_U[[#This Row],[Q_DIAS_U_PARC_TIR]]))</f>
        <v>1082.1273737677741</v>
      </c>
      <c r="V179" s="78">
        <f>TAB_CORRECAO_U[[#This Row],[V_FUT_U_CORC-02]]/TAB_CORRECAO_U[[#This Row],[VAR_DESCAP_U]]</f>
        <v>1065.5012551988505</v>
      </c>
      <c r="W179" s="78"/>
      <c r="X179" s="101">
        <f>TAB_CORRECAO_U[[#This Row],[dt_eve_u]]- DT_CALCULO_C</f>
        <v>224</v>
      </c>
      <c r="Y179" s="48" t="str">
        <f>"CORRECAO_CORC_C" &amp; TEXT(DT_CALCULO_C, "-AAAAMMDD") &amp; TEXT(TAB_CORRECAO_U[[#This Row],[DT_EVE]], "-AAAAMMDD")</f>
        <v>CORRECAO_CORC_C-20151228-20160808</v>
      </c>
      <c r="Z179" s="44">
        <f>IFERROR(VLOOKUP(TAB_CORRECAO_C[[#This Row],[Chave-CORC]],CORRECAO_CORC_C[],2, FALSE), 0)</f>
        <v>1</v>
      </c>
      <c r="AA17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79" s="44">
        <f>(TIR_C/100 +1)^(TAB_CORRECAO_C[[#This Row],[DIAS_CORRIDOS]]/360)</f>
        <v>1.0152623716256741</v>
      </c>
      <c r="AC179" s="78">
        <f>IF(TAB_CORRECAO_C[[#This Row],[DIAS_CORRIDOS]]&lt;0, 0, TAB_CORRECAO_C[[#This Row],[V_FUT_C_CORC]]/TAB_CORRECAO_C[[#This Row],[VAR_DESCAP_C]])</f>
        <v>0</v>
      </c>
      <c r="AD179" s="113">
        <f>TAB_CORRECAO_U[[#This Row],[V_FUT_U_CORC-02]]</f>
        <v>1082.1273737677741</v>
      </c>
      <c r="AE179" s="126">
        <f>IF(TAB_CORRECAO_C[[#This Row],[DIAS_CORRIDOS]]&lt;0, 0, TAB_CORRECAO_C[[#This Row],[V_FUT_UTEIS]]/TAB_CORRECAO_C[[#This Row],[VAR_DESCAP_C]])</f>
        <v>1065.8598250174814</v>
      </c>
      <c r="AF179" s="64"/>
    </row>
    <row r="180" spans="1:32">
      <c r="A180" s="82">
        <f t="shared" si="4"/>
        <v>9</v>
      </c>
      <c r="B180" s="24">
        <f>VLOOKUP($A180, CAD_ATUALIZACAO[#Data], MATCH(B$171, CAD_ATUALIZACAO[#Headers],0), FALSE)</f>
        <v>3</v>
      </c>
      <c r="C180" s="24" t="str">
        <f>VLOOKUP($A180, CAD_ATUALIZACAO[#Data], MATCH(C$171, CAD_ATUALIZACAO[#Headers],0), FALSE)</f>
        <v xml:space="preserve">ATUALIZACAO SOBRE PRINCIPAL                       </v>
      </c>
      <c r="D180" s="36">
        <f>VLOOKUP($A180, CAD_ATUALIZACAO[#Data], MATCH(D$171, CAD_ATUALIZACAO[#Headers],0), FALSE)</f>
        <v>42622</v>
      </c>
      <c r="E180" s="48">
        <f>VLOOKUP($A180, CAD_ATUALIZACAO[#Data], MATCH(E$171, CAD_ATUALIZACAO[#Headers],0), FALSE)</f>
        <v>0</v>
      </c>
      <c r="F180" s="36">
        <f>VLOOKUP($A180, CAD_ATUALIZACAO[#Data], MATCH(F$171, CAD_ATUALIZACAO[#Headers],0), FALSE)</f>
        <v>42628</v>
      </c>
      <c r="G180" s="47">
        <f>WORKDAY(WORKDAY(TAB_CORRECAO_U[[#This Row],[DT_EVE]], -1, TAB_FERIADOS[FER_DATA]), 1, TAB_FERIADOS[FER_DATA])</f>
        <v>42622</v>
      </c>
      <c r="H180" s="75">
        <f>WORKDAY(WORKDAY(TAB_CORRECAO_U[[#This Row],[DT_LQDC_EVE]], -1, TAB_FERIADOS[FER_DATA]), 1, TAB_FERIADOS[FER_DATA])</f>
        <v>42628</v>
      </c>
      <c r="I180" s="48">
        <f>PU_EMISSAO - SUMIF(TAB_AMORTIZACAO_U[dt_eve_u], "&lt;" &amp; TAB_CORRECAO_U[[#This Row],[dt_eve_u]], TAB_AMORTIZACAO_U[V_PU_AMTC])</f>
        <v>92307.649166000003</v>
      </c>
      <c r="J180" s="48">
        <f>IFERROR(VLOOKUP(TAB_CORRECAO_U[[#This Row],[DT_EVE]], TAB_AMORTIZACAO_U[[DT_EVE]:[V_PU_AMTC]], 2, FALSE), 0)</f>
        <v>883.56881699999997</v>
      </c>
      <c r="K180" s="48">
        <f>NETWORKDAYS(DT_CALCULO_U, TAB_CORRECAO_U[[#This Row],[dt_eve_u]], TAB_FERIADOS[FER_DATA]) -1</f>
        <v>177</v>
      </c>
      <c r="L180" s="48">
        <f>NETWORKDAYS(DT_CALCULO_U, TAB_CORRECAO_U[[#This Row],[dt_lqdc_eve_u]], TAB_FERIADOS[FER_DATA]) -1</f>
        <v>181</v>
      </c>
      <c r="M180" s="48">
        <f>NETWORKDAYS(IF(ISTEXT(G179), DT_B_CORC, G179), TAB_CORRECAO_U[[#This Row],[dt_eve_u]], TAB_FERIADOS[FER_DATA]) -1</f>
        <v>23</v>
      </c>
      <c r="N180" s="78">
        <f>(TX_EMISSAO/100 +1)^(TAB_CORRECAO_U[[#This Row],[dias_periodo_u]]/252)</f>
        <v>1.0022562323017139</v>
      </c>
      <c r="O180" s="78">
        <f>(TIR_U/100 +1)^(TAB_CORRECAO_U[[#This Row],[Q_DIAS_U_PARC_TIR]]/252)</f>
        <v>1.0178957204086447</v>
      </c>
      <c r="P180" s="116" t="str">
        <f>"TX_CENARIO" &amp; TEXT(DT_CALCULO_C, "-AAAAMMDD") &amp; TEXT(TAB_CORRECAO_U[[#This Row],[DT_EVE]], "-AAAAMMDD")</f>
        <v>TX_CENARIO-20151228-20160909</v>
      </c>
      <c r="Q180" s="44">
        <f>IFERROR(VLOOKUP(TAB_CORRECAO_U[[#This Row],[Chave-CENARIO]],CENARIO[],2,FALSE), 0)</f>
        <v>15.546200000000001</v>
      </c>
      <c r="R180" s="116" t="str">
        <f>"CORRECAO_CORC_U" &amp; TEXT(DT_CALCULO_C, "-AAAAMMDD") &amp; TEXT(TAB_CORRECAO_U[[#This Row],[DT_EVE]], "-AAAAMMDD")</f>
        <v>CORRECAO_CORC_U-20151228-20160909</v>
      </c>
      <c r="S180" s="44">
        <f>IFERROR(VLOOKUP(TAB_CORRECAO_U[[#This Row],[Chave-CORC]],CORRECAO_CORC_U[],2, FALSE), 0)</f>
        <v>1.0139181799999999</v>
      </c>
      <c r="T180" s="78">
        <f>MAX(0, IF(TAB_CORRECAO_U[[#This Row],[ID_T_EVE]]= 5, TAB_CORRECAO_U[[#This Row],[PU_AMORT]],TAB_CORRECAO_U[[#This Row],[V_NOML_PCPL]]) * (TAB_CORRECAO_U[[#This Row],[CORRECAO_U]] -1))</f>
        <v>1284.7544764692279</v>
      </c>
      <c r="U180" s="78">
        <f>MAX(0, TAB_CORRECAO_U[[#This Row],[V_FUT_U_CORC-01]]/((((TAB_CORRECAO_U[[#This Row],[TX_CENARIO]]/100 +1)^(1/252) -1) * PC_IDXR/100 +1)^TAB_CORRECAO_U[[#This Row],[Q_DIAS_U_PARC_TIR]]))</f>
        <v>1158.0988557505964</v>
      </c>
      <c r="V180" s="78">
        <f>TAB_CORRECAO_U[[#This Row],[V_FUT_U_CORC-02]]/TAB_CORRECAO_U[[#This Row],[VAR_DESCAP_U]]</f>
        <v>1137.7382108313273</v>
      </c>
      <c r="W180" s="78"/>
      <c r="X180" s="101">
        <f>TAB_CORRECAO_U[[#This Row],[dt_eve_u]]- DT_CALCULO_C</f>
        <v>256</v>
      </c>
      <c r="Y180" s="48" t="str">
        <f>"CORRECAO_CORC_C" &amp; TEXT(DT_CALCULO_C, "-AAAAMMDD") &amp; TEXT(TAB_CORRECAO_U[[#This Row],[DT_EVE]], "-AAAAMMDD")</f>
        <v>CORRECAO_CORC_C-20151228-20160909</v>
      </c>
      <c r="Z180" s="44">
        <f>IFERROR(VLOOKUP(TAB_CORRECAO_C[[#This Row],[Chave-CORC]],CORRECAO_CORC_C[],2, FALSE), 0)</f>
        <v>1</v>
      </c>
      <c r="AA18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0" s="44">
        <f>(TIR_C/100 +1)^(TAB_CORRECAO_C[[#This Row],[DIAS_CORRIDOS]]/360)</f>
        <v>1.0174616436005401</v>
      </c>
      <c r="AC180" s="78">
        <f>IF(TAB_CORRECAO_C[[#This Row],[DIAS_CORRIDOS]]&lt;0, 0, TAB_CORRECAO_C[[#This Row],[V_FUT_C_CORC]]/TAB_CORRECAO_C[[#This Row],[VAR_DESCAP_C]])</f>
        <v>0</v>
      </c>
      <c r="AD180" s="113">
        <f>TAB_CORRECAO_U[[#This Row],[V_FUT_U_CORC-02]]</f>
        <v>1158.0988557505964</v>
      </c>
      <c r="AE180" s="126">
        <f>IF(TAB_CORRECAO_C[[#This Row],[DIAS_CORRIDOS]]&lt;0, 0, TAB_CORRECAO_C[[#This Row],[V_FUT_UTEIS]]/TAB_CORRECAO_C[[#This Row],[VAR_DESCAP_C]])</f>
        <v>1138.2236008940608</v>
      </c>
      <c r="AF180" s="64"/>
    </row>
    <row r="181" spans="1:32">
      <c r="A181" s="82">
        <f t="shared" si="4"/>
        <v>10</v>
      </c>
      <c r="B181" s="24">
        <f>VLOOKUP($A181, CAD_ATUALIZACAO[#Data], MATCH(B$171, CAD_ATUALIZACAO[#Headers],0), FALSE)</f>
        <v>3</v>
      </c>
      <c r="C181" s="24" t="str">
        <f>VLOOKUP($A181, CAD_ATUALIZACAO[#Data], MATCH(C$171, CAD_ATUALIZACAO[#Headers],0), FALSE)</f>
        <v xml:space="preserve">ATUALIZACAO SOBRE PRINCIPAL                       </v>
      </c>
      <c r="D181" s="36">
        <f>VLOOKUP($A181, CAD_ATUALIZACAO[#Data], MATCH(D$171, CAD_ATUALIZACAO[#Headers],0), FALSE)</f>
        <v>42654</v>
      </c>
      <c r="E181" s="48">
        <f>VLOOKUP($A181, CAD_ATUALIZACAO[#Data], MATCH(E$171, CAD_ATUALIZACAO[#Headers],0), FALSE)</f>
        <v>0</v>
      </c>
      <c r="F181" s="36">
        <f>VLOOKUP($A181, CAD_ATUALIZACAO[#Data], MATCH(F$171, CAD_ATUALIZACAO[#Headers],0), FALSE)</f>
        <v>42660</v>
      </c>
      <c r="G181" s="47">
        <f>WORKDAY(WORKDAY(TAB_CORRECAO_U[[#This Row],[DT_EVE]], -1, TAB_FERIADOS[FER_DATA]), 1, TAB_FERIADOS[FER_DATA])</f>
        <v>42654</v>
      </c>
      <c r="H181" s="75">
        <f>WORKDAY(WORKDAY(TAB_CORRECAO_U[[#This Row],[DT_LQDC_EVE]], -1, TAB_FERIADOS[FER_DATA]), 1, TAB_FERIADOS[FER_DATA])</f>
        <v>42660</v>
      </c>
      <c r="I181" s="48">
        <f>PU_EMISSAO - SUMIF(TAB_AMORTIZACAO_U[dt_eve_u], "&lt;" &amp; TAB_CORRECAO_U[[#This Row],[dt_eve_u]], TAB_AMORTIZACAO_U[V_PU_AMTC])</f>
        <v>91424.080348999996</v>
      </c>
      <c r="J181" s="48">
        <f>IFERROR(VLOOKUP(TAB_CORRECAO_U[[#This Row],[DT_EVE]], TAB_AMORTIZACAO_U[[DT_EVE]:[V_PU_AMTC]], 2, FALSE), 0)</f>
        <v>889.64772500000004</v>
      </c>
      <c r="K181" s="48">
        <f>NETWORKDAYS(DT_CALCULO_U, TAB_CORRECAO_U[[#This Row],[dt_eve_u]], TAB_FERIADOS[FER_DATA]) -1</f>
        <v>199</v>
      </c>
      <c r="L181" s="48">
        <f>NETWORKDAYS(DT_CALCULO_U, TAB_CORRECAO_U[[#This Row],[dt_lqdc_eve_u]], TAB_FERIADOS[FER_DATA]) -1</f>
        <v>202</v>
      </c>
      <c r="M181" s="48">
        <f>NETWORKDAYS(IF(ISTEXT(G180), DT_B_CORC, G180), TAB_CORRECAO_U[[#This Row],[dt_eve_u]], TAB_FERIADOS[FER_DATA]) -1</f>
        <v>22</v>
      </c>
      <c r="N181" s="78">
        <f>(TX_EMISSAO/100 +1)^(TAB_CORRECAO_U[[#This Row],[dias_periodo_u]]/252)</f>
        <v>1.0021580294747356</v>
      </c>
      <c r="O181" s="78">
        <f>(TIR_U/100 +1)^(TAB_CORRECAO_U[[#This Row],[Q_DIAS_U_PARC_TIR]]/252)</f>
        <v>1.0199926449832779</v>
      </c>
      <c r="P181" s="116" t="str">
        <f>"TX_CENARIO" &amp; TEXT(DT_CALCULO_C, "-AAAAMMDD") &amp; TEXT(TAB_CORRECAO_U[[#This Row],[DT_EVE]], "-AAAAMMDD")</f>
        <v>TX_CENARIO-20151228-20161011</v>
      </c>
      <c r="Q181" s="44">
        <f>IFERROR(VLOOKUP(TAB_CORRECAO_U[[#This Row],[Chave-CENARIO]],CENARIO[],2,FALSE), 0)</f>
        <v>15.672599999999999</v>
      </c>
      <c r="R181" s="116" t="str">
        <f>"CORRECAO_CORC_U" &amp; TEXT(DT_CALCULO_C, "-AAAAMMDD") &amp; TEXT(TAB_CORRECAO_U[[#This Row],[DT_EVE]], "-AAAAMMDD")</f>
        <v>CORRECAO_CORC_U-20151228-20161011</v>
      </c>
      <c r="S181" s="44">
        <f>IFERROR(VLOOKUP(TAB_CORRECAO_U[[#This Row],[Chave-CORC]],CORRECAO_CORC_U[],2, FALSE), 0)</f>
        <v>1.0133826699999999</v>
      </c>
      <c r="T181" s="78">
        <f>MAX(0, IF(TAB_CORRECAO_U[[#This Row],[ID_T_EVE]]= 5, TAB_CORRECAO_U[[#This Row],[PU_AMORT]],TAB_CORRECAO_U[[#This Row],[V_NOML_PCPL]]) * (TAB_CORRECAO_U[[#This Row],[CORRECAO_U]] -1))</f>
        <v>1223.4982973641454</v>
      </c>
      <c r="U181" s="78">
        <f>MAX(0, TAB_CORRECAO_U[[#This Row],[V_FUT_U_CORC-01]]/((((TAB_CORRECAO_U[[#This Row],[TX_CENARIO]]/100 +1)^(1/252) -1) * PC_IDXR/100 +1)^TAB_CORRECAO_U[[#This Row],[Q_DIAS_U_PARC_TIR]]))</f>
        <v>1088.7260276291827</v>
      </c>
      <c r="V181" s="78">
        <f>TAB_CORRECAO_U[[#This Row],[V_FUT_U_CORC-02]]/TAB_CORRECAO_U[[#This Row],[VAR_DESCAP_U]]</f>
        <v>1067.3861551688265</v>
      </c>
      <c r="W181" s="78"/>
      <c r="X181" s="101">
        <f>TAB_CORRECAO_U[[#This Row],[dt_eve_u]]- DT_CALCULO_C</f>
        <v>288</v>
      </c>
      <c r="Y181" s="48" t="str">
        <f>"CORRECAO_CORC_C" &amp; TEXT(DT_CALCULO_C, "-AAAAMMDD") &amp; TEXT(TAB_CORRECAO_U[[#This Row],[DT_EVE]], "-AAAAMMDD")</f>
        <v>CORRECAO_CORC_C-20151228-20161011</v>
      </c>
      <c r="Z181" s="44">
        <f>IFERROR(VLOOKUP(TAB_CORRECAO_C[[#This Row],[Chave-CORC]],CORRECAO_CORC_C[],2, FALSE), 0)</f>
        <v>1</v>
      </c>
      <c r="AA18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1" s="44">
        <f>(TIR_C/100 +1)^(TAB_CORRECAO_C[[#This Row],[DIAS_CORRIDOS]]/360)</f>
        <v>1.019665679661375</v>
      </c>
      <c r="AC181" s="78">
        <f>IF(TAB_CORRECAO_C[[#This Row],[DIAS_CORRIDOS]]&lt;0, 0, TAB_CORRECAO_C[[#This Row],[V_FUT_C_CORC]]/TAB_CORRECAO_C[[#This Row],[VAR_DESCAP_C]])</f>
        <v>0</v>
      </c>
      <c r="AD181" s="113">
        <f>TAB_CORRECAO_U[[#This Row],[V_FUT_U_CORC-02]]</f>
        <v>1088.7260276291827</v>
      </c>
      <c r="AE181" s="126">
        <f>IF(TAB_CORRECAO_C[[#This Row],[DIAS_CORRIDOS]]&lt;0, 0, TAB_CORRECAO_C[[#This Row],[V_FUT_UTEIS]]/TAB_CORRECAO_C[[#This Row],[VAR_DESCAP_C]])</f>
        <v>1067.7284225068183</v>
      </c>
      <c r="AF181" s="64"/>
    </row>
    <row r="182" spans="1:32">
      <c r="A182" s="82">
        <f t="shared" si="4"/>
        <v>11</v>
      </c>
      <c r="B182" s="24">
        <f>VLOOKUP($A182, CAD_ATUALIZACAO[#Data], MATCH(B$171, CAD_ATUALIZACAO[#Headers],0), FALSE)</f>
        <v>3</v>
      </c>
      <c r="C182" s="24" t="str">
        <f>VLOOKUP($A182, CAD_ATUALIZACAO[#Data], MATCH(C$171, CAD_ATUALIZACAO[#Headers],0), FALSE)</f>
        <v xml:space="preserve">ATUALIZACAO SOBRE PRINCIPAL                       </v>
      </c>
      <c r="D182" s="36">
        <f>VLOOKUP($A182, CAD_ATUALIZACAO[#Data], MATCH(D$171, CAD_ATUALIZACAO[#Headers],0), FALSE)</f>
        <v>42684</v>
      </c>
      <c r="E182" s="48">
        <f>VLOOKUP($A182, CAD_ATUALIZACAO[#Data], MATCH(E$171, CAD_ATUALIZACAO[#Headers],0), FALSE)</f>
        <v>0</v>
      </c>
      <c r="F182" s="36">
        <f>VLOOKUP($A182, CAD_ATUALIZACAO[#Data], MATCH(F$171, CAD_ATUALIZACAO[#Headers],0), FALSE)</f>
        <v>42690</v>
      </c>
      <c r="G182" s="47">
        <f>WORKDAY(WORKDAY(TAB_CORRECAO_U[[#This Row],[DT_EVE]], -1, TAB_FERIADOS[FER_DATA]), 1, TAB_FERIADOS[FER_DATA])</f>
        <v>42684</v>
      </c>
      <c r="H182" s="75">
        <f>WORKDAY(WORKDAY(TAB_CORRECAO_U[[#This Row],[DT_LQDC_EVE]], -1, TAB_FERIADOS[FER_DATA]), 1, TAB_FERIADOS[FER_DATA])</f>
        <v>42690</v>
      </c>
      <c r="I182" s="48">
        <f>PU_EMISSAO - SUMIF(TAB_AMORTIZACAO_U[dt_eve_u], "&lt;" &amp; TAB_CORRECAO_U[[#This Row],[dt_eve_u]], TAB_AMORTIZACAO_U[V_PU_AMTC])</f>
        <v>90534.432623999994</v>
      </c>
      <c r="J182" s="48">
        <f>IFERROR(VLOOKUP(TAB_CORRECAO_U[[#This Row],[DT_EVE]], TAB_AMORTIZACAO_U[[DT_EVE]:[V_PU_AMTC]], 2, FALSE), 0)</f>
        <v>886.96583599999997</v>
      </c>
      <c r="K182" s="48">
        <f>NETWORKDAYS(DT_CALCULO_U, TAB_CORRECAO_U[[#This Row],[dt_eve_u]], TAB_FERIADOS[FER_DATA]) -1</f>
        <v>219</v>
      </c>
      <c r="L182" s="48">
        <f>NETWORKDAYS(DT_CALCULO_U, TAB_CORRECAO_U[[#This Row],[dt_lqdc_eve_u]], TAB_FERIADOS[FER_DATA]) -1</f>
        <v>222</v>
      </c>
      <c r="M182" s="48">
        <f>NETWORKDAYS(IF(ISTEXT(G181), DT_B_CORC, G181), TAB_CORRECAO_U[[#This Row],[dt_eve_u]], TAB_FERIADOS[FER_DATA]) -1</f>
        <v>20</v>
      </c>
      <c r="N182" s="78">
        <f>(TX_EMISSAO/100 +1)^(TAB_CORRECAO_U[[#This Row],[dias_periodo_u]]/252)</f>
        <v>1.0019616526860928</v>
      </c>
      <c r="O182" s="78">
        <f>(TIR_U/100 +1)^(TAB_CORRECAO_U[[#This Row],[Q_DIAS_U_PARC_TIR]]/252)</f>
        <v>1.0219937320039612</v>
      </c>
      <c r="P182" s="116" t="str">
        <f>"TX_CENARIO" &amp; TEXT(DT_CALCULO_C, "-AAAAMMDD") &amp; TEXT(TAB_CORRECAO_U[[#This Row],[DT_EVE]], "-AAAAMMDD")</f>
        <v>TX_CENARIO-20151228-20161110</v>
      </c>
      <c r="Q182" s="44">
        <f>IFERROR(VLOOKUP(TAB_CORRECAO_U[[#This Row],[Chave-CENARIO]],CENARIO[],2,FALSE), 0)</f>
        <v>15.7506</v>
      </c>
      <c r="R182" s="116" t="str">
        <f>"CORRECAO_CORC_U" &amp; TEXT(DT_CALCULO_C, "-AAAAMMDD") &amp; TEXT(TAB_CORRECAO_U[[#This Row],[DT_EVE]], "-AAAAMMDD")</f>
        <v>CORRECAO_CORC_U-20151228-20161110</v>
      </c>
      <c r="S182" s="44">
        <f>IFERROR(VLOOKUP(TAB_CORRECAO_U[[#This Row],[Chave-CORC]],CORRECAO_CORC_U[],2, FALSE), 0)</f>
        <v>1.0123268700000001</v>
      </c>
      <c r="T182" s="78">
        <f>MAX(0, IF(TAB_CORRECAO_U[[#This Row],[ID_T_EVE]]= 5, TAB_CORRECAO_U[[#This Row],[PU_AMORT]],TAB_CORRECAO_U[[#This Row],[V_NOML_PCPL]]) * (TAB_CORRECAO_U[[#This Row],[CORRECAO_U]] -1))</f>
        <v>1116.006181479816</v>
      </c>
      <c r="U182" s="78">
        <f>MAX(0, TAB_CORRECAO_U[[#This Row],[V_FUT_U_CORC-01]]/((((TAB_CORRECAO_U[[#This Row],[TX_CENARIO]]/100 +1)^(1/252) -1) * PC_IDXR/100 +1)^TAB_CORRECAO_U[[#This Row],[Q_DIAS_U_PARC_TIR]]))</f>
        <v>981.08275287511231</v>
      </c>
      <c r="V182" s="78">
        <f>TAB_CORRECAO_U[[#This Row],[V_FUT_U_CORC-02]]/TAB_CORRECAO_U[[#This Row],[VAR_DESCAP_U]]</f>
        <v>959.96944223069829</v>
      </c>
      <c r="W182" s="78"/>
      <c r="X182" s="101">
        <f>TAB_CORRECAO_U[[#This Row],[dt_eve_u]]- DT_CALCULO_C</f>
        <v>318</v>
      </c>
      <c r="Y182" s="48" t="str">
        <f>"CORRECAO_CORC_C" &amp; TEXT(DT_CALCULO_C, "-AAAAMMDD") &amp; TEXT(TAB_CORRECAO_U[[#This Row],[DT_EVE]], "-AAAAMMDD")</f>
        <v>CORRECAO_CORC_C-20151228-20161110</v>
      </c>
      <c r="Z182" s="44">
        <f>IFERROR(VLOOKUP(TAB_CORRECAO_C[[#This Row],[Chave-CORC]],CORRECAO_CORC_C[],2, FALSE), 0)</f>
        <v>1</v>
      </c>
      <c r="AA18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2" s="44">
        <f>(TIR_C/100 +1)^(TAB_CORRECAO_C[[#This Row],[DIAS_CORRIDOS]]/360)</f>
        <v>1.0217362994032659</v>
      </c>
      <c r="AC182" s="78">
        <f>IF(TAB_CORRECAO_C[[#This Row],[DIAS_CORRIDOS]]&lt;0, 0, TAB_CORRECAO_C[[#This Row],[V_FUT_C_CORC]]/TAB_CORRECAO_C[[#This Row],[VAR_DESCAP_C]])</f>
        <v>0</v>
      </c>
      <c r="AD182" s="113">
        <f>TAB_CORRECAO_U[[#This Row],[V_FUT_U_CORC-02]]</f>
        <v>981.08275287511231</v>
      </c>
      <c r="AE182" s="126">
        <f>IF(TAB_CORRECAO_C[[#This Row],[DIAS_CORRIDOS]]&lt;0, 0, TAB_CORRECAO_C[[#This Row],[V_FUT_UTEIS]]/TAB_CORRECAO_C[[#This Row],[VAR_DESCAP_C]])</f>
        <v>960.21131230054482</v>
      </c>
      <c r="AF182" s="64"/>
    </row>
    <row r="183" spans="1:32">
      <c r="A183" s="82">
        <f t="shared" si="4"/>
        <v>12</v>
      </c>
      <c r="B183" s="24">
        <f>VLOOKUP($A183, CAD_ATUALIZACAO[#Data], MATCH(B$171, CAD_ATUALIZACAO[#Headers],0), FALSE)</f>
        <v>3</v>
      </c>
      <c r="C183" s="24" t="str">
        <f>VLOOKUP($A183, CAD_ATUALIZACAO[#Data], MATCH(C$171, CAD_ATUALIZACAO[#Headers],0), FALSE)</f>
        <v xml:space="preserve">ATUALIZACAO SOBRE PRINCIPAL                       </v>
      </c>
      <c r="D183" s="36">
        <f>VLOOKUP($A183, CAD_ATUALIZACAO[#Data], MATCH(D$171, CAD_ATUALIZACAO[#Headers],0), FALSE)</f>
        <v>42712</v>
      </c>
      <c r="E183" s="48">
        <f>VLOOKUP($A183, CAD_ATUALIZACAO[#Data], MATCH(E$171, CAD_ATUALIZACAO[#Headers],0), FALSE)</f>
        <v>0</v>
      </c>
      <c r="F183" s="36">
        <f>VLOOKUP($A183, CAD_ATUALIZACAO[#Data], MATCH(F$171, CAD_ATUALIZACAO[#Headers],0), FALSE)</f>
        <v>42718</v>
      </c>
      <c r="G183" s="47">
        <f>WORKDAY(WORKDAY(TAB_CORRECAO_U[[#This Row],[DT_EVE]], -1, TAB_FERIADOS[FER_DATA]), 1, TAB_FERIADOS[FER_DATA])</f>
        <v>42712</v>
      </c>
      <c r="H183" s="75">
        <f>WORKDAY(WORKDAY(TAB_CORRECAO_U[[#This Row],[DT_LQDC_EVE]], -1, TAB_FERIADOS[FER_DATA]), 1, TAB_FERIADOS[FER_DATA])</f>
        <v>42718</v>
      </c>
      <c r="I183" s="48">
        <f>PU_EMISSAO - SUMIF(TAB_AMORTIZACAO_U[dt_eve_u], "&lt;" &amp; TAB_CORRECAO_U[[#This Row],[dt_eve_u]], TAB_AMORTIZACAO_U[V_PU_AMTC])</f>
        <v>89647.466788000005</v>
      </c>
      <c r="J183" s="48">
        <f>IFERROR(VLOOKUP(TAB_CORRECAO_U[[#This Row],[DT_EVE]], TAB_AMORTIZACAO_U[[DT_EVE]:[V_PU_AMTC]], 2, FALSE), 0)</f>
        <v>875.58680800000002</v>
      </c>
      <c r="K183" s="48">
        <f>NETWORKDAYS(DT_CALCULO_U, TAB_CORRECAO_U[[#This Row],[dt_eve_u]], TAB_FERIADOS[FER_DATA]) -1</f>
        <v>238</v>
      </c>
      <c r="L183" s="48">
        <f>NETWORKDAYS(DT_CALCULO_U, TAB_CORRECAO_U[[#This Row],[dt_lqdc_eve_u]], TAB_FERIADOS[FER_DATA]) -1</f>
        <v>242</v>
      </c>
      <c r="M183" s="48">
        <f>NETWORKDAYS(IF(ISTEXT(G182), DT_B_CORC, G182), TAB_CORRECAO_U[[#This Row],[dt_eve_u]], TAB_FERIADOS[FER_DATA]) -1</f>
        <v>19</v>
      </c>
      <c r="N183" s="78">
        <f>(TX_EMISSAO/100 +1)^(TAB_CORRECAO_U[[#This Row],[dias_periodo_u]]/252)</f>
        <v>1.0018634787225431</v>
      </c>
      <c r="O183" s="78">
        <f>(TIR_U/100 +1)^(TAB_CORRECAO_U[[#This Row],[Q_DIAS_U_PARC_TIR]]/252)</f>
        <v>1.023998744885565</v>
      </c>
      <c r="P183" s="116" t="str">
        <f>"TX_CENARIO" &amp; TEXT(DT_CALCULO_C, "-AAAAMMDD") &amp; TEXT(TAB_CORRECAO_U[[#This Row],[DT_EVE]], "-AAAAMMDD")</f>
        <v>TX_CENARIO-20151228-20161208</v>
      </c>
      <c r="Q183" s="44">
        <f>IFERROR(VLOOKUP(TAB_CORRECAO_U[[#This Row],[Chave-CENARIO]],CENARIO[],2,FALSE), 0)</f>
        <v>15.8056</v>
      </c>
      <c r="R183" s="116" t="str">
        <f>"CORRECAO_CORC_U" &amp; TEXT(DT_CALCULO_C, "-AAAAMMDD") &amp; TEXT(TAB_CORRECAO_U[[#This Row],[DT_EVE]], "-AAAAMMDD")</f>
        <v>CORRECAO_CORC_U-20151228-20161208</v>
      </c>
      <c r="S183" s="44">
        <f>IFERROR(VLOOKUP(TAB_CORRECAO_U[[#This Row],[Chave-CORC]],CORRECAO_CORC_U[],2, FALSE), 0)</f>
        <v>1.01159081</v>
      </c>
      <c r="T183" s="78">
        <f>MAX(0, IF(TAB_CORRECAO_U[[#This Row],[ID_T_EVE]]= 5, TAB_CORRECAO_U[[#This Row],[PU_AMORT]],TAB_CORRECAO_U[[#This Row],[V_NOML_PCPL]]) * (TAB_CORRECAO_U[[#This Row],[CORRECAO_U]] -1))</f>
        <v>1039.086754521014</v>
      </c>
      <c r="U183" s="78">
        <f>MAX(0, TAB_CORRECAO_U[[#This Row],[V_FUT_U_CORC-01]]/((((TAB_CORRECAO_U[[#This Row],[TX_CENARIO]]/100 +1)^(1/252) -1) * PC_IDXR/100 +1)^TAB_CORRECAO_U[[#This Row],[Q_DIAS_U_PARC_TIR]]))</f>
        <v>902.50828749073207</v>
      </c>
      <c r="V183" s="78">
        <f>TAB_CORRECAO_U[[#This Row],[V_FUT_U_CORC-02]]/TAB_CORRECAO_U[[#This Row],[VAR_DESCAP_U]]</f>
        <v>881.35682977969873</v>
      </c>
      <c r="W183" s="78"/>
      <c r="X183" s="101">
        <f>TAB_CORRECAO_U[[#This Row],[dt_eve_u]]- DT_CALCULO_C</f>
        <v>346</v>
      </c>
      <c r="Y183" s="48" t="str">
        <f>"CORRECAO_CORC_C" &amp; TEXT(DT_CALCULO_C, "-AAAAMMDD") &amp; TEXT(TAB_CORRECAO_U[[#This Row],[DT_EVE]], "-AAAAMMDD")</f>
        <v>CORRECAO_CORC_C-20151228-20161208</v>
      </c>
      <c r="Z183" s="44">
        <f>IFERROR(VLOOKUP(TAB_CORRECAO_C[[#This Row],[Chave-CORC]],CORRECAO_CORC_C[],2, FALSE), 0)</f>
        <v>1</v>
      </c>
      <c r="AA18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3" s="44">
        <f>(TIR_C/100 +1)^(TAB_CORRECAO_C[[#This Row],[DIAS_CORRIDOS]]/360)</f>
        <v>1.0236726713005759</v>
      </c>
      <c r="AC183" s="78">
        <f>IF(TAB_CORRECAO_C[[#This Row],[DIAS_CORRIDOS]]&lt;0, 0, TAB_CORRECAO_C[[#This Row],[V_FUT_C_CORC]]/TAB_CORRECAO_C[[#This Row],[VAR_DESCAP_C]])</f>
        <v>0</v>
      </c>
      <c r="AD183" s="113">
        <f>TAB_CORRECAO_U[[#This Row],[V_FUT_U_CORC-02]]</f>
        <v>902.50828749073207</v>
      </c>
      <c r="AE183" s="126">
        <f>IF(TAB_CORRECAO_C[[#This Row],[DIAS_CORRIDOS]]&lt;0, 0, TAB_CORRECAO_C[[#This Row],[V_FUT_UTEIS]]/TAB_CORRECAO_C[[#This Row],[VAR_DESCAP_C]])</f>
        <v>881.63757106467972</v>
      </c>
      <c r="AF183" s="64"/>
    </row>
    <row r="184" spans="1:32">
      <c r="A184" s="82">
        <f t="shared" si="4"/>
        <v>13</v>
      </c>
      <c r="B184" s="24">
        <f>VLOOKUP($A184, CAD_ATUALIZACAO[#Data], MATCH(B$171, CAD_ATUALIZACAO[#Headers],0), FALSE)</f>
        <v>3</v>
      </c>
      <c r="C184" s="24" t="str">
        <f>VLOOKUP($A184, CAD_ATUALIZACAO[#Data], MATCH(C$171, CAD_ATUALIZACAO[#Headers],0), FALSE)</f>
        <v xml:space="preserve">ATUALIZACAO SOBRE PRINCIPAL                       </v>
      </c>
      <c r="D184" s="36">
        <f>VLOOKUP($A184, CAD_ATUALIZACAO[#Data], MATCH(D$171, CAD_ATUALIZACAO[#Headers],0), FALSE)</f>
        <v>42744</v>
      </c>
      <c r="E184" s="48">
        <f>VLOOKUP($A184, CAD_ATUALIZACAO[#Data], MATCH(E$171, CAD_ATUALIZACAO[#Headers],0), FALSE)</f>
        <v>0</v>
      </c>
      <c r="F184" s="36">
        <f>VLOOKUP($A184, CAD_ATUALIZACAO[#Data], MATCH(F$171, CAD_ATUALIZACAO[#Headers],0), FALSE)</f>
        <v>42748</v>
      </c>
      <c r="G184" s="47">
        <f>WORKDAY(WORKDAY(TAB_CORRECAO_U[[#This Row],[DT_EVE]], -1, TAB_FERIADOS[FER_DATA]), 1, TAB_FERIADOS[FER_DATA])</f>
        <v>42744</v>
      </c>
      <c r="H184" s="75">
        <f>WORKDAY(WORKDAY(TAB_CORRECAO_U[[#This Row],[DT_LQDC_EVE]], -1, TAB_FERIADOS[FER_DATA]), 1, TAB_FERIADOS[FER_DATA])</f>
        <v>42748</v>
      </c>
      <c r="I184" s="48">
        <f>PU_EMISSAO - SUMIF(TAB_AMORTIZACAO_U[dt_eve_u], "&lt;" &amp; TAB_CORRECAO_U[[#This Row],[dt_eve_u]], TAB_AMORTIZACAO_U[V_PU_AMTC])</f>
        <v>88771.879979999998</v>
      </c>
      <c r="J184" s="48">
        <f>IFERROR(VLOOKUP(TAB_CORRECAO_U[[#This Row],[DT_EVE]], TAB_AMORTIZACAO_U[[DT_EVE]:[V_PU_AMTC]], 2, FALSE), 0)</f>
        <v>928.64263600000004</v>
      </c>
      <c r="K184" s="48">
        <f>NETWORKDAYS(DT_CALCULO_U, TAB_CORRECAO_U[[#This Row],[dt_eve_u]], TAB_FERIADOS[FER_DATA]) -1</f>
        <v>260</v>
      </c>
      <c r="L184" s="48">
        <f>NETWORKDAYS(DT_CALCULO_U, TAB_CORRECAO_U[[#This Row],[dt_lqdc_eve_u]], TAB_FERIADOS[FER_DATA]) -1</f>
        <v>264</v>
      </c>
      <c r="M184" s="48">
        <f>NETWORKDAYS(IF(ISTEXT(G183), DT_B_CORC, G183), TAB_CORRECAO_U[[#This Row],[dt_eve_u]], TAB_FERIADOS[FER_DATA]) -1</f>
        <v>22</v>
      </c>
      <c r="N184" s="78">
        <f>(TX_EMISSAO/100 +1)^(TAB_CORRECAO_U[[#This Row],[dias_periodo_u]]/252)</f>
        <v>1.0021580294747356</v>
      </c>
      <c r="O184" s="78">
        <f>(TIR_U/100 +1)^(TAB_CORRECAO_U[[#This Row],[Q_DIAS_U_PARC_TIR]]/252)</f>
        <v>1.0262088026174876</v>
      </c>
      <c r="P184" s="116" t="str">
        <f>"TX_CENARIO" &amp; TEXT(DT_CALCULO_C, "-AAAAMMDD") &amp; TEXT(TAB_CORRECAO_U[[#This Row],[DT_EVE]], "-AAAAMMDD")</f>
        <v>TX_CENARIO-20151228-20170109</v>
      </c>
      <c r="Q184" s="44">
        <f>IFERROR(VLOOKUP(TAB_CORRECAO_U[[#This Row],[Chave-CENARIO]],CENARIO[],2,FALSE), 0)</f>
        <v>15.8864</v>
      </c>
      <c r="R184" s="116" t="str">
        <f>"CORRECAO_CORC_U" &amp; TEXT(DT_CALCULO_C, "-AAAAMMDD") &amp; TEXT(TAB_CORRECAO_U[[#This Row],[DT_EVE]], "-AAAAMMDD")</f>
        <v>CORRECAO_CORC_U-20151228-20170109</v>
      </c>
      <c r="S184" s="44">
        <f>IFERROR(VLOOKUP(TAB_CORRECAO_U[[#This Row],[Chave-CORC]],CORRECAO_CORC_U[],2, FALSE), 0)</f>
        <v>1.0132758900000001</v>
      </c>
      <c r="T184" s="78">
        <f>MAX(0, IF(TAB_CORRECAO_U[[#This Row],[ID_T_EVE]]= 5, TAB_CORRECAO_U[[#This Row],[PU_AMORT]],TAB_CORRECAO_U[[#This Row],[V_NOML_PCPL]]) * (TAB_CORRECAO_U[[#This Row],[CORRECAO_U]] -1))</f>
        <v>1178.5257137076883</v>
      </c>
      <c r="U184" s="78">
        <f>MAX(0, TAB_CORRECAO_U[[#This Row],[V_FUT_U_CORC-01]]/((((TAB_CORRECAO_U[[#This Row],[TX_CENARIO]]/100 +1)^(1/252) -1) * PC_IDXR/100 +1)^TAB_CORRECAO_U[[#This Row],[Q_DIAS_U_PARC_TIR]]))</f>
        <v>1009.8512922510751</v>
      </c>
      <c r="V184" s="78">
        <f>TAB_CORRECAO_U[[#This Row],[V_FUT_U_CORC-02]]/TAB_CORRECAO_U[[#This Row],[VAR_DESCAP_U]]</f>
        <v>984.06025135947925</v>
      </c>
      <c r="W184" s="78"/>
      <c r="X184" s="101">
        <f>TAB_CORRECAO_U[[#This Row],[dt_eve_u]]- DT_CALCULO_C</f>
        <v>378</v>
      </c>
      <c r="Y184" s="48" t="str">
        <f>"CORRECAO_CORC_C" &amp; TEXT(DT_CALCULO_C, "-AAAAMMDD") &amp; TEXT(TAB_CORRECAO_U[[#This Row],[DT_EVE]], "-AAAAMMDD")</f>
        <v>CORRECAO_CORC_C-20151228-20170109</v>
      </c>
      <c r="Z184" s="44">
        <f>IFERROR(VLOOKUP(TAB_CORRECAO_C[[#This Row],[Chave-CORC]],CORRECAO_CORC_C[],2, FALSE), 0)</f>
        <v>1</v>
      </c>
      <c r="AA18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4" s="44">
        <f>(TIR_C/100 +1)^(TAB_CORRECAO_C[[#This Row],[DIAS_CORRIDOS]]/360)</f>
        <v>1.0258901617546174</v>
      </c>
      <c r="AC184" s="78">
        <f>IF(TAB_CORRECAO_C[[#This Row],[DIAS_CORRIDOS]]&lt;0, 0, TAB_CORRECAO_C[[#This Row],[V_FUT_C_CORC]]/TAB_CORRECAO_C[[#This Row],[VAR_DESCAP_C]])</f>
        <v>0</v>
      </c>
      <c r="AD184" s="113">
        <f>TAB_CORRECAO_U[[#This Row],[V_FUT_U_CORC-02]]</f>
        <v>1009.8512922510751</v>
      </c>
      <c r="AE184" s="126">
        <f>IF(TAB_CORRECAO_C[[#This Row],[DIAS_CORRIDOS]]&lt;0, 0, TAB_CORRECAO_C[[#This Row],[V_FUT_UTEIS]]/TAB_CORRECAO_C[[#This Row],[VAR_DESCAP_C]])</f>
        <v>984.36589987751654</v>
      </c>
      <c r="AF184" s="64"/>
    </row>
    <row r="185" spans="1:32">
      <c r="A185" s="82">
        <f t="shared" si="4"/>
        <v>14</v>
      </c>
      <c r="B185" s="24">
        <f>VLOOKUP($A185, CAD_ATUALIZACAO[#Data], MATCH(B$171, CAD_ATUALIZACAO[#Headers],0), FALSE)</f>
        <v>3</v>
      </c>
      <c r="C185" s="24" t="str">
        <f>VLOOKUP($A185, CAD_ATUALIZACAO[#Data], MATCH(C$171, CAD_ATUALIZACAO[#Headers],0), FALSE)</f>
        <v xml:space="preserve">ATUALIZACAO SOBRE PRINCIPAL                       </v>
      </c>
      <c r="D185" s="36">
        <f>VLOOKUP($A185, CAD_ATUALIZACAO[#Data], MATCH(D$171, CAD_ATUALIZACAO[#Headers],0), FALSE)</f>
        <v>42774</v>
      </c>
      <c r="E185" s="48">
        <f>VLOOKUP($A185, CAD_ATUALIZACAO[#Data], MATCH(E$171, CAD_ATUALIZACAO[#Headers],0), FALSE)</f>
        <v>0</v>
      </c>
      <c r="F185" s="36">
        <f>VLOOKUP($A185, CAD_ATUALIZACAO[#Data], MATCH(F$171, CAD_ATUALIZACAO[#Headers],0), FALSE)</f>
        <v>42780</v>
      </c>
      <c r="G185" s="47">
        <f>WORKDAY(WORKDAY(TAB_CORRECAO_U[[#This Row],[DT_EVE]], -1, TAB_FERIADOS[FER_DATA]), 1, TAB_FERIADOS[FER_DATA])</f>
        <v>42774</v>
      </c>
      <c r="H185" s="75">
        <f>WORKDAY(WORKDAY(TAB_CORRECAO_U[[#This Row],[DT_LQDC_EVE]], -1, TAB_FERIADOS[FER_DATA]), 1, TAB_FERIADOS[FER_DATA])</f>
        <v>42780</v>
      </c>
      <c r="I185" s="48">
        <f>PU_EMISSAO - SUMIF(TAB_AMORTIZACAO_U[dt_eve_u], "&lt;" &amp; TAB_CORRECAO_U[[#This Row],[dt_eve_u]], TAB_AMORTIZACAO_U[V_PU_AMTC])</f>
        <v>87843.237343999994</v>
      </c>
      <c r="J185" s="48">
        <f>IFERROR(VLOOKUP(TAB_CORRECAO_U[[#This Row],[DT_EVE]], TAB_AMORTIZACAO_U[[DT_EVE]:[V_PU_AMTC]], 2, FALSE), 0)</f>
        <v>915.50221899999997</v>
      </c>
      <c r="K185" s="48">
        <f>NETWORKDAYS(DT_CALCULO_U, TAB_CORRECAO_U[[#This Row],[dt_eve_u]], TAB_FERIADOS[FER_DATA]) -1</f>
        <v>282</v>
      </c>
      <c r="L185" s="48">
        <f>NETWORKDAYS(DT_CALCULO_U, TAB_CORRECAO_U[[#This Row],[dt_lqdc_eve_u]], TAB_FERIADOS[FER_DATA]) -1</f>
        <v>286</v>
      </c>
      <c r="M185" s="48">
        <f>NETWORKDAYS(IF(ISTEXT(G184), DT_B_CORC, G184), TAB_CORRECAO_U[[#This Row],[dt_eve_u]], TAB_FERIADOS[FER_DATA]) -1</f>
        <v>22</v>
      </c>
      <c r="N185" s="78">
        <f>(TX_EMISSAO/100 +1)^(TAB_CORRECAO_U[[#This Row],[dias_periodo_u]]/252)</f>
        <v>1.0021580294747356</v>
      </c>
      <c r="O185" s="78">
        <f>(TIR_U/100 +1)^(TAB_CORRECAO_U[[#This Row],[Q_DIAS_U_PARC_TIR]]/252)</f>
        <v>1.0284236302333605</v>
      </c>
      <c r="P185" s="116" t="str">
        <f>"TX_CENARIO" &amp; TEXT(DT_CALCULO_C, "-AAAAMMDD") &amp; TEXT(TAB_CORRECAO_U[[#This Row],[DT_EVE]], "-AAAAMMDD")</f>
        <v>TX_CENARIO-20151228-20170208</v>
      </c>
      <c r="Q185" s="44">
        <f>IFERROR(VLOOKUP(TAB_CORRECAO_U[[#This Row],[Chave-CENARIO]],CENARIO[],2,FALSE), 0)</f>
        <v>15.9948</v>
      </c>
      <c r="R185" s="116" t="str">
        <f>"CORRECAO_CORC_U" &amp; TEXT(DT_CALCULO_C, "-AAAAMMDD") &amp; TEXT(TAB_CORRECAO_U[[#This Row],[DT_EVE]], "-AAAAMMDD")</f>
        <v>CORRECAO_CORC_U-20151228-20170208</v>
      </c>
      <c r="S185" s="44">
        <f>IFERROR(VLOOKUP(TAB_CORRECAO_U[[#This Row],[Chave-CORC]],CORRECAO_CORC_U[],2, FALSE), 0)</f>
        <v>1.01398418</v>
      </c>
      <c r="T185" s="78">
        <f>MAX(0, IF(TAB_CORRECAO_U[[#This Row],[ID_T_EVE]]= 5, TAB_CORRECAO_U[[#This Row],[PU_AMORT]],TAB_CORRECAO_U[[#This Row],[V_NOML_PCPL]]) * (TAB_CORRECAO_U[[#This Row],[CORRECAO_U]] -1))</f>
        <v>1228.4156428012188</v>
      </c>
      <c r="U185" s="78">
        <f>MAX(0, TAB_CORRECAO_U[[#This Row],[V_FUT_U_CORC-01]]/((((TAB_CORRECAO_U[[#This Row],[TX_CENARIO]]/100 +1)^(1/252) -1) * PC_IDXR/100 +1)^TAB_CORRECAO_U[[#This Row],[Q_DIAS_U_PARC_TIR]]))</f>
        <v>1038.0367557101699</v>
      </c>
      <c r="V185" s="78">
        <f>TAB_CORRECAO_U[[#This Row],[V_FUT_U_CORC-02]]/TAB_CORRECAO_U[[#This Row],[VAR_DESCAP_U]]</f>
        <v>1009.3474373732818</v>
      </c>
      <c r="W185" s="78"/>
      <c r="X185" s="101">
        <f>TAB_CORRECAO_U[[#This Row],[dt_eve_u]]- DT_CALCULO_C</f>
        <v>408</v>
      </c>
      <c r="Y185" s="48" t="str">
        <f>"CORRECAO_CORC_C" &amp; TEXT(DT_CALCULO_C, "-AAAAMMDD") &amp; TEXT(TAB_CORRECAO_U[[#This Row],[DT_EVE]], "-AAAAMMDD")</f>
        <v>CORRECAO_CORC_C-20151228-20170208</v>
      </c>
      <c r="Z185" s="44">
        <f>IFERROR(VLOOKUP(TAB_CORRECAO_C[[#This Row],[Chave-CORC]],CORRECAO_CORC_C[],2, FALSE), 0)</f>
        <v>1</v>
      </c>
      <c r="AA18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5" s="44">
        <f>(TIR_C/100 +1)^(TAB_CORRECAO_C[[#This Row],[DIAS_CORRIDOS]]/360)</f>
        <v>1.027973421458569</v>
      </c>
      <c r="AC185" s="78">
        <f>IF(TAB_CORRECAO_C[[#This Row],[DIAS_CORRIDOS]]&lt;0, 0, TAB_CORRECAO_C[[#This Row],[V_FUT_C_CORC]]/TAB_CORRECAO_C[[#This Row],[VAR_DESCAP_C]])</f>
        <v>0</v>
      </c>
      <c r="AD185" s="113">
        <f>TAB_CORRECAO_U[[#This Row],[V_FUT_U_CORC-02]]</f>
        <v>1038.0367557101699</v>
      </c>
      <c r="AE185" s="126">
        <f>IF(TAB_CORRECAO_C[[#This Row],[DIAS_CORRIDOS]]&lt;0, 0, TAB_CORRECAO_C[[#This Row],[V_FUT_UTEIS]]/TAB_CORRECAO_C[[#This Row],[VAR_DESCAP_C]])</f>
        <v>1009.7894887567446</v>
      </c>
      <c r="AF185" s="64"/>
    </row>
    <row r="186" spans="1:32">
      <c r="A186" s="82">
        <f t="shared" si="4"/>
        <v>15</v>
      </c>
      <c r="B186" s="24">
        <f>VLOOKUP($A186, CAD_ATUALIZACAO[#Data], MATCH(B$171, CAD_ATUALIZACAO[#Headers],0), FALSE)</f>
        <v>3</v>
      </c>
      <c r="C186" s="24" t="str">
        <f>VLOOKUP($A186, CAD_ATUALIZACAO[#Data], MATCH(C$171, CAD_ATUALIZACAO[#Headers],0), FALSE)</f>
        <v xml:space="preserve">ATUALIZACAO SOBRE PRINCIPAL                       </v>
      </c>
      <c r="D186" s="36">
        <f>VLOOKUP($A186, CAD_ATUALIZACAO[#Data], MATCH(D$171, CAD_ATUALIZACAO[#Headers],0), FALSE)</f>
        <v>42802</v>
      </c>
      <c r="E186" s="48">
        <f>VLOOKUP($A186, CAD_ATUALIZACAO[#Data], MATCH(E$171, CAD_ATUALIZACAO[#Headers],0), FALSE)</f>
        <v>0</v>
      </c>
      <c r="F186" s="36">
        <f>VLOOKUP($A186, CAD_ATUALIZACAO[#Data], MATCH(F$171, CAD_ATUALIZACAO[#Headers],0), FALSE)</f>
        <v>42808</v>
      </c>
      <c r="G186" s="47">
        <f>WORKDAY(WORKDAY(TAB_CORRECAO_U[[#This Row],[DT_EVE]], -1, TAB_FERIADOS[FER_DATA]), 1, TAB_FERIADOS[FER_DATA])</f>
        <v>42802</v>
      </c>
      <c r="H186" s="75">
        <f>WORKDAY(WORKDAY(TAB_CORRECAO_U[[#This Row],[DT_LQDC_EVE]], -1, TAB_FERIADOS[FER_DATA]), 1, TAB_FERIADOS[FER_DATA])</f>
        <v>42808</v>
      </c>
      <c r="I186" s="48">
        <f>PU_EMISSAO - SUMIF(TAB_AMORTIZACAO_U[dt_eve_u], "&lt;" &amp; TAB_CORRECAO_U[[#This Row],[dt_eve_u]], TAB_AMORTIZACAO_U[V_PU_AMTC])</f>
        <v>86927.735125000007</v>
      </c>
      <c r="J186" s="48">
        <f>IFERROR(VLOOKUP(TAB_CORRECAO_U[[#This Row],[DT_EVE]], TAB_AMORTIZACAO_U[[DT_EVE]:[V_PU_AMTC]], 2, FALSE), 0)</f>
        <v>939.25417800000002</v>
      </c>
      <c r="K186" s="48">
        <f>NETWORKDAYS(DT_CALCULO_U, TAB_CORRECAO_U[[#This Row],[dt_eve_u]], TAB_FERIADOS[FER_DATA]) -1</f>
        <v>300</v>
      </c>
      <c r="L186" s="48">
        <f>NETWORKDAYS(DT_CALCULO_U, TAB_CORRECAO_U[[#This Row],[dt_lqdc_eve_u]], TAB_FERIADOS[FER_DATA]) -1</f>
        <v>304</v>
      </c>
      <c r="M186" s="48">
        <f>NETWORKDAYS(IF(ISTEXT(G185), DT_B_CORC, G185), TAB_CORRECAO_U[[#This Row],[dt_eve_u]], TAB_FERIADOS[FER_DATA]) -1</f>
        <v>18</v>
      </c>
      <c r="N186" s="78">
        <f>(TX_EMISSAO/100 +1)^(TAB_CORRECAO_U[[#This Row],[dias_periodo_u]]/252)</f>
        <v>1.0017653143782506</v>
      </c>
      <c r="O186" s="78">
        <f>(TIR_U/100 +1)^(TAB_CORRECAO_U[[#This Row],[Q_DIAS_U_PARC_TIR]]/252)</f>
        <v>1.0302393169590489</v>
      </c>
      <c r="P186" s="116" t="str">
        <f>"TX_CENARIO" &amp; TEXT(DT_CALCULO_C, "-AAAAMMDD") &amp; TEXT(TAB_CORRECAO_U[[#This Row],[DT_EVE]], "-AAAAMMDD")</f>
        <v>TX_CENARIO-20151228-20170308</v>
      </c>
      <c r="Q186" s="44">
        <f>IFERROR(VLOOKUP(TAB_CORRECAO_U[[#This Row],[Chave-CENARIO]],CENARIO[],2,FALSE), 0)</f>
        <v>16.071999999999999</v>
      </c>
      <c r="R186" s="116" t="str">
        <f>"CORRECAO_CORC_U" &amp; TEXT(DT_CALCULO_C, "-AAAAMMDD") &amp; TEXT(TAB_CORRECAO_U[[#This Row],[DT_EVE]], "-AAAAMMDD")</f>
        <v>CORRECAO_CORC_U-20151228-20170308</v>
      </c>
      <c r="S186" s="44">
        <f>IFERROR(VLOOKUP(TAB_CORRECAO_U[[#This Row],[Chave-CORC]],CORRECAO_CORC_U[],2, FALSE), 0)</f>
        <v>1.0114307600000001</v>
      </c>
      <c r="T186" s="78">
        <f>MAX(0, IF(TAB_CORRECAO_U[[#This Row],[ID_T_EVE]]= 5, TAB_CORRECAO_U[[#This Row],[PU_AMORT]],TAB_CORRECAO_U[[#This Row],[V_NOML_PCPL]]) * (TAB_CORRECAO_U[[#This Row],[CORRECAO_U]] -1))</f>
        <v>993.65007755745341</v>
      </c>
      <c r="U186" s="78">
        <f>MAX(0, TAB_CORRECAO_U[[#This Row],[V_FUT_U_CORC-01]]/((((TAB_CORRECAO_U[[#This Row],[TX_CENARIO]]/100 +1)^(1/252) -1) * PC_IDXR/100 +1)^TAB_CORRECAO_U[[#This Row],[Q_DIAS_U_PARC_TIR]]))</f>
        <v>830.13656089364861</v>
      </c>
      <c r="V186" s="78">
        <f>TAB_CORRECAO_U[[#This Row],[V_FUT_U_CORC-02]]/TAB_CORRECAO_U[[#This Row],[VAR_DESCAP_U]]</f>
        <v>805.77060807964267</v>
      </c>
      <c r="W186" s="78"/>
      <c r="X186" s="101">
        <f>TAB_CORRECAO_U[[#This Row],[dt_eve_u]]- DT_CALCULO_C</f>
        <v>436</v>
      </c>
      <c r="Y186" s="48" t="str">
        <f>"CORRECAO_CORC_C" &amp; TEXT(DT_CALCULO_C, "-AAAAMMDD") &amp; TEXT(TAB_CORRECAO_U[[#This Row],[DT_EVE]], "-AAAAMMDD")</f>
        <v>CORRECAO_CORC_C-20151228-20170308</v>
      </c>
      <c r="Z186" s="44">
        <f>IFERROR(VLOOKUP(TAB_CORRECAO_C[[#This Row],[Chave-CORC]],CORRECAO_CORC_C[],2, FALSE), 0)</f>
        <v>1</v>
      </c>
      <c r="AA18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6" s="44">
        <f>(TIR_C/100 +1)^(TAB_CORRECAO_C[[#This Row],[DIAS_CORRIDOS]]/360)</f>
        <v>1.0299216138107996</v>
      </c>
      <c r="AC186" s="78">
        <f>IF(TAB_CORRECAO_C[[#This Row],[DIAS_CORRIDOS]]&lt;0, 0, TAB_CORRECAO_C[[#This Row],[V_FUT_C_CORC]]/TAB_CORRECAO_C[[#This Row],[VAR_DESCAP_C]])</f>
        <v>0</v>
      </c>
      <c r="AD186" s="113">
        <f>TAB_CORRECAO_U[[#This Row],[V_FUT_U_CORC-02]]</f>
        <v>830.13656089364861</v>
      </c>
      <c r="AE186" s="126">
        <f>IF(TAB_CORRECAO_C[[#This Row],[DIAS_CORRIDOS]]&lt;0, 0, TAB_CORRECAO_C[[#This Row],[V_FUT_UTEIS]]/TAB_CORRECAO_C[[#This Row],[VAR_DESCAP_C]])</f>
        <v>806.01916666460772</v>
      </c>
      <c r="AF186" s="64"/>
    </row>
    <row r="187" spans="1:32">
      <c r="A187" s="82">
        <f t="shared" si="4"/>
        <v>16</v>
      </c>
      <c r="B187" s="24">
        <f>VLOOKUP($A187, CAD_ATUALIZACAO[#Data], MATCH(B$171, CAD_ATUALIZACAO[#Headers],0), FALSE)</f>
        <v>3</v>
      </c>
      <c r="C187" s="24" t="str">
        <f>VLOOKUP($A187, CAD_ATUALIZACAO[#Data], MATCH(C$171, CAD_ATUALIZACAO[#Headers],0), FALSE)</f>
        <v xml:space="preserve">ATUALIZACAO SOBRE PRINCIPAL                       </v>
      </c>
      <c r="D187" s="36">
        <f>VLOOKUP($A187, CAD_ATUALIZACAO[#Data], MATCH(D$171, CAD_ATUALIZACAO[#Headers],0), FALSE)</f>
        <v>42836</v>
      </c>
      <c r="E187" s="48">
        <f>VLOOKUP($A187, CAD_ATUALIZACAO[#Data], MATCH(E$171, CAD_ATUALIZACAO[#Headers],0), FALSE)</f>
        <v>0</v>
      </c>
      <c r="F187" s="36">
        <f>VLOOKUP($A187, CAD_ATUALIZACAO[#Data], MATCH(F$171, CAD_ATUALIZACAO[#Headers],0), FALSE)</f>
        <v>42842</v>
      </c>
      <c r="G187" s="47">
        <f>WORKDAY(WORKDAY(TAB_CORRECAO_U[[#This Row],[DT_EVE]], -1, TAB_FERIADOS[FER_DATA]), 1, TAB_FERIADOS[FER_DATA])</f>
        <v>42836</v>
      </c>
      <c r="H187" s="75">
        <f>WORKDAY(WORKDAY(TAB_CORRECAO_U[[#This Row],[DT_LQDC_EVE]], -1, TAB_FERIADOS[FER_DATA]), 1, TAB_FERIADOS[FER_DATA])</f>
        <v>42842</v>
      </c>
      <c r="I187" s="48">
        <f>PU_EMISSAO - SUMIF(TAB_AMORTIZACAO_U[dt_eve_u], "&lt;" &amp; TAB_CORRECAO_U[[#This Row],[dt_eve_u]], TAB_AMORTIZACAO_U[V_PU_AMTC])</f>
        <v>85988.480947000004</v>
      </c>
      <c r="J187" s="48">
        <f>IFERROR(VLOOKUP(TAB_CORRECAO_U[[#This Row],[DT_EVE]], TAB_AMORTIZACAO_U[[DT_EVE]:[V_PU_AMTC]], 2, FALSE), 0)</f>
        <v>883.27367600000002</v>
      </c>
      <c r="K187" s="48">
        <f>NETWORKDAYS(DT_CALCULO_U, TAB_CORRECAO_U[[#This Row],[dt_eve_u]], TAB_FERIADOS[FER_DATA]) -1</f>
        <v>324</v>
      </c>
      <c r="L187" s="48">
        <f>NETWORKDAYS(DT_CALCULO_U, TAB_CORRECAO_U[[#This Row],[dt_lqdc_eve_u]], TAB_FERIADOS[FER_DATA]) -1</f>
        <v>327</v>
      </c>
      <c r="M187" s="48">
        <f>NETWORKDAYS(IF(ISTEXT(G186), DT_B_CORC, G186), TAB_CORRECAO_U[[#This Row],[dt_eve_u]], TAB_FERIADOS[FER_DATA]) -1</f>
        <v>24</v>
      </c>
      <c r="N187" s="78">
        <f>(TX_EMISSAO/100 +1)^(TAB_CORRECAO_U[[#This Row],[dias_periodo_u]]/252)</f>
        <v>1.0023544447517205</v>
      </c>
      <c r="O187" s="78">
        <f>(TIR_U/100 +1)^(TAB_CORRECAO_U[[#This Row],[Q_DIAS_U_PARC_TIR]]/252)</f>
        <v>1.0325640268153418</v>
      </c>
      <c r="P187" s="116" t="str">
        <f>"TX_CENARIO" &amp; TEXT(DT_CALCULO_C, "-AAAAMMDD") &amp; TEXT(TAB_CORRECAO_U[[#This Row],[DT_EVE]], "-AAAAMMDD")</f>
        <v>TX_CENARIO-20151228-20170411</v>
      </c>
      <c r="Q187" s="44">
        <f>IFERROR(VLOOKUP(TAB_CORRECAO_U[[#This Row],[Chave-CENARIO]],CENARIO[],2,FALSE), 0)</f>
        <v>16.1586</v>
      </c>
      <c r="R187" s="116" t="str">
        <f>"CORRECAO_CORC_U" &amp; TEXT(DT_CALCULO_C, "-AAAAMMDD") &amp; TEXT(TAB_CORRECAO_U[[#This Row],[DT_EVE]], "-AAAAMMDD")</f>
        <v>CORRECAO_CORC_U-20151228-20170411</v>
      </c>
      <c r="S187" s="44">
        <f>IFERROR(VLOOKUP(TAB_CORRECAO_U[[#This Row],[Chave-CORC]],CORRECAO_CORC_U[],2, FALSE), 0)</f>
        <v>1.01526038</v>
      </c>
      <c r="T187" s="78">
        <f>MAX(0, IF(TAB_CORRECAO_U[[#This Row],[ID_T_EVE]]= 5, TAB_CORRECAO_U[[#This Row],[PU_AMORT]],TAB_CORRECAO_U[[#This Row],[V_NOML_PCPL]]) * (TAB_CORRECAO_U[[#This Row],[CORRECAO_U]] -1))</f>
        <v>1312.2168948739766</v>
      </c>
      <c r="U187" s="78">
        <f>MAX(0, TAB_CORRECAO_U[[#This Row],[V_FUT_U_CORC-01]]/((((TAB_CORRECAO_U[[#This Row],[TX_CENARIO]]/100 +1)^(1/252) -1) * PC_IDXR/100 +1)^TAB_CORRECAO_U[[#This Row],[Q_DIAS_U_PARC_TIR]]))</f>
        <v>1080.4227726288493</v>
      </c>
      <c r="V187" s="78">
        <f>TAB_CORRECAO_U[[#This Row],[V_FUT_U_CORC-02]]/TAB_CORRECAO_U[[#This Row],[VAR_DESCAP_U]]</f>
        <v>1046.3494219928566</v>
      </c>
      <c r="W187" s="78"/>
      <c r="X187" s="101">
        <f>TAB_CORRECAO_U[[#This Row],[dt_eve_u]]- DT_CALCULO_C</f>
        <v>470</v>
      </c>
      <c r="Y187" s="48" t="str">
        <f>"CORRECAO_CORC_C" &amp; TEXT(DT_CALCULO_C, "-AAAAMMDD") &amp; TEXT(TAB_CORRECAO_U[[#This Row],[DT_EVE]], "-AAAAMMDD")</f>
        <v>CORRECAO_CORC_C-20151228-20170411</v>
      </c>
      <c r="Z187" s="44">
        <f>IFERROR(VLOOKUP(TAB_CORRECAO_C[[#This Row],[Chave-CORC]],CORRECAO_CORC_C[],2, FALSE), 0)</f>
        <v>1</v>
      </c>
      <c r="AA18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7" s="44">
        <f>(TIR_C/100 +1)^(TAB_CORRECAO_C[[#This Row],[DIAS_CORRIDOS]]/360)</f>
        <v>1.0322922403336825</v>
      </c>
      <c r="AC187" s="78">
        <f>IF(TAB_CORRECAO_C[[#This Row],[DIAS_CORRIDOS]]&lt;0, 0, TAB_CORRECAO_C[[#This Row],[V_FUT_C_CORC]]/TAB_CORRECAO_C[[#This Row],[VAR_DESCAP_C]])</f>
        <v>0</v>
      </c>
      <c r="AD187" s="113">
        <f>TAB_CORRECAO_U[[#This Row],[V_FUT_U_CORC-02]]</f>
        <v>1080.4227726288493</v>
      </c>
      <c r="AE187" s="126">
        <f>IF(TAB_CORRECAO_C[[#This Row],[DIAS_CORRIDOS]]&lt;0, 0, TAB_CORRECAO_C[[#This Row],[V_FUT_UTEIS]]/TAB_CORRECAO_C[[#This Row],[VAR_DESCAP_C]])</f>
        <v>1046.6249095116796</v>
      </c>
      <c r="AF187" s="64"/>
    </row>
    <row r="188" spans="1:32">
      <c r="A188" s="82">
        <f t="shared" si="4"/>
        <v>17</v>
      </c>
      <c r="B188" s="24">
        <f>VLOOKUP($A188, CAD_ATUALIZACAO[#Data], MATCH(B$171, CAD_ATUALIZACAO[#Headers],0), FALSE)</f>
        <v>3</v>
      </c>
      <c r="C188" s="24" t="str">
        <f>VLOOKUP($A188, CAD_ATUALIZACAO[#Data], MATCH(C$171, CAD_ATUALIZACAO[#Headers],0), FALSE)</f>
        <v xml:space="preserve">ATUALIZACAO SOBRE PRINCIPAL                       </v>
      </c>
      <c r="D188" s="36">
        <f>VLOOKUP($A188, CAD_ATUALIZACAO[#Data], MATCH(D$171, CAD_ATUALIZACAO[#Headers],0), FALSE)</f>
        <v>42864</v>
      </c>
      <c r="E188" s="48">
        <f>VLOOKUP($A188, CAD_ATUALIZACAO[#Data], MATCH(E$171, CAD_ATUALIZACAO[#Headers],0), FALSE)</f>
        <v>0</v>
      </c>
      <c r="F188" s="36">
        <f>VLOOKUP($A188, CAD_ATUALIZACAO[#Data], MATCH(F$171, CAD_ATUALIZACAO[#Headers],0), FALSE)</f>
        <v>42870</v>
      </c>
      <c r="G188" s="47">
        <f>WORKDAY(WORKDAY(TAB_CORRECAO_U[[#This Row],[DT_EVE]], -1, TAB_FERIADOS[FER_DATA]), 1, TAB_FERIADOS[FER_DATA])</f>
        <v>42864</v>
      </c>
      <c r="H188" s="75">
        <f>WORKDAY(WORKDAY(TAB_CORRECAO_U[[#This Row],[DT_LQDC_EVE]], -1, TAB_FERIADOS[FER_DATA]), 1, TAB_FERIADOS[FER_DATA])</f>
        <v>42870</v>
      </c>
      <c r="I188" s="48">
        <f>PU_EMISSAO - SUMIF(TAB_AMORTIZACAO_U[dt_eve_u], "&lt;" &amp; TAB_CORRECAO_U[[#This Row],[dt_eve_u]], TAB_AMORTIZACAO_U[V_PU_AMTC])</f>
        <v>85105.207270999992</v>
      </c>
      <c r="J188" s="48">
        <f>IFERROR(VLOOKUP(TAB_CORRECAO_U[[#This Row],[DT_EVE]], TAB_AMORTIZACAO_U[[DT_EVE]:[V_PU_AMTC]], 2, FALSE), 0)</f>
        <v>914.79587200000003</v>
      </c>
      <c r="K188" s="48">
        <f>NETWORKDAYS(DT_CALCULO_U, TAB_CORRECAO_U[[#This Row],[dt_eve_u]], TAB_FERIADOS[FER_DATA]) -1</f>
        <v>341</v>
      </c>
      <c r="L188" s="48">
        <f>NETWORKDAYS(DT_CALCULO_U, TAB_CORRECAO_U[[#This Row],[dt_lqdc_eve_u]], TAB_FERIADOS[FER_DATA]) -1</f>
        <v>345</v>
      </c>
      <c r="M188" s="48">
        <f>NETWORKDAYS(IF(ISTEXT(G187), DT_B_CORC, G187), TAB_CORRECAO_U[[#This Row],[dt_eve_u]], TAB_FERIADOS[FER_DATA]) -1</f>
        <v>17</v>
      </c>
      <c r="N188" s="78">
        <f>(TX_EMISSAO/100 +1)^(TAB_CORRECAO_U[[#This Row],[dias_periodo_u]]/252)</f>
        <v>1.0016671596522733</v>
      </c>
      <c r="O188" s="78">
        <f>(TIR_U/100 +1)^(TAB_CORRECAO_U[[#This Row],[Q_DIAS_U_PARC_TIR]]/252)</f>
        <v>1.0343870234305468</v>
      </c>
      <c r="P188" s="116" t="str">
        <f>"TX_CENARIO" &amp; TEXT(DT_CALCULO_C, "-AAAAMMDD") &amp; TEXT(TAB_CORRECAO_U[[#This Row],[DT_EVE]], "-AAAAMMDD")</f>
        <v>TX_CENARIO-20151228-20170509</v>
      </c>
      <c r="Q188" s="44">
        <f>IFERROR(VLOOKUP(TAB_CORRECAO_U[[#This Row],[Chave-CENARIO]],CENARIO[],2,FALSE), 0)</f>
        <v>16.218299999999999</v>
      </c>
      <c r="R188" s="116" t="str">
        <f>"CORRECAO_CORC_U" &amp; TEXT(DT_CALCULO_C, "-AAAAMMDD") &amp; TEXT(TAB_CORRECAO_U[[#This Row],[DT_EVE]], "-AAAAMMDD")</f>
        <v>CORRECAO_CORC_U-20151228-20170509</v>
      </c>
      <c r="S188" s="44">
        <f>IFERROR(VLOOKUP(TAB_CORRECAO_U[[#This Row],[Chave-CORC]],CORRECAO_CORC_U[],2, FALSE), 0)</f>
        <v>1.0107907300000001</v>
      </c>
      <c r="T188" s="78">
        <f>MAX(0, IF(TAB_CORRECAO_U[[#This Row],[ID_T_EVE]]= 5, TAB_CORRECAO_U[[#This Row],[PU_AMORT]],TAB_CORRECAO_U[[#This Row],[V_NOML_PCPL]]) * (TAB_CORRECAO_U[[#This Row],[CORRECAO_U]] -1))</f>
        <v>918.34731325540474</v>
      </c>
      <c r="U188" s="78">
        <f>MAX(0, TAB_CORRECAO_U[[#This Row],[V_FUT_U_CORC-01]]/((((TAB_CORRECAO_U[[#This Row],[TX_CENARIO]]/100 +1)^(1/252) -1) * PC_IDXR/100 +1)^TAB_CORRECAO_U[[#This Row],[Q_DIAS_U_PARC_TIR]]))</f>
        <v>747.55480219937488</v>
      </c>
      <c r="V188" s="78">
        <f>TAB_CORRECAO_U[[#This Row],[V_FUT_U_CORC-02]]/TAB_CORRECAO_U[[#This Row],[VAR_DESCAP_U]]</f>
        <v>722.70319064919022</v>
      </c>
      <c r="W188" s="78"/>
      <c r="X188" s="101">
        <f>TAB_CORRECAO_U[[#This Row],[dt_eve_u]]- DT_CALCULO_C</f>
        <v>498</v>
      </c>
      <c r="Y188" s="48" t="str">
        <f>"CORRECAO_CORC_C" &amp; TEXT(DT_CALCULO_C, "-AAAAMMDD") &amp; TEXT(TAB_CORRECAO_U[[#This Row],[DT_EVE]], "-AAAAMMDD")</f>
        <v>CORRECAO_CORC_C-20151228-20170509</v>
      </c>
      <c r="Z188" s="44">
        <f>IFERROR(VLOOKUP(TAB_CORRECAO_C[[#This Row],[Chave-CORC]],CORRECAO_CORC_C[],2, FALSE), 0)</f>
        <v>1</v>
      </c>
      <c r="AA18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8" s="44">
        <f>(TIR_C/100 +1)^(TAB_CORRECAO_C[[#This Row],[DIAS_CORRIDOS]]/360)</f>
        <v>1.0342486176153358</v>
      </c>
      <c r="AC188" s="78">
        <f>IF(TAB_CORRECAO_C[[#This Row],[DIAS_CORRIDOS]]&lt;0, 0, TAB_CORRECAO_C[[#This Row],[V_FUT_C_CORC]]/TAB_CORRECAO_C[[#This Row],[VAR_DESCAP_C]])</f>
        <v>0</v>
      </c>
      <c r="AD188" s="113">
        <f>TAB_CORRECAO_U[[#This Row],[V_FUT_U_CORC-02]]</f>
        <v>747.55480219937488</v>
      </c>
      <c r="AE188" s="126">
        <f>IF(TAB_CORRECAO_C[[#This Row],[DIAS_CORRIDOS]]&lt;0, 0, TAB_CORRECAO_C[[#This Row],[V_FUT_UTEIS]]/TAB_CORRECAO_C[[#This Row],[VAR_DESCAP_C]])</f>
        <v>722.79990465252922</v>
      </c>
      <c r="AF188" s="64"/>
    </row>
    <row r="189" spans="1:32">
      <c r="A189" s="82">
        <f t="shared" si="4"/>
        <v>18</v>
      </c>
      <c r="B189" s="24">
        <f>VLOOKUP($A189, CAD_ATUALIZACAO[#Data], MATCH(B$171, CAD_ATUALIZACAO[#Headers],0), FALSE)</f>
        <v>3</v>
      </c>
      <c r="C189" s="24" t="str">
        <f>VLOOKUP($A189, CAD_ATUALIZACAO[#Data], MATCH(C$171, CAD_ATUALIZACAO[#Headers],0), FALSE)</f>
        <v xml:space="preserve">ATUALIZACAO SOBRE PRINCIPAL                       </v>
      </c>
      <c r="D189" s="36">
        <f>VLOOKUP($A189, CAD_ATUALIZACAO[#Data], MATCH(D$171, CAD_ATUALIZACAO[#Headers],0), FALSE)</f>
        <v>42894</v>
      </c>
      <c r="E189" s="48">
        <f>VLOOKUP($A189, CAD_ATUALIZACAO[#Data], MATCH(E$171, CAD_ATUALIZACAO[#Headers],0), FALSE)</f>
        <v>0</v>
      </c>
      <c r="F189" s="36">
        <f>VLOOKUP($A189, CAD_ATUALIZACAO[#Data], MATCH(F$171, CAD_ATUALIZACAO[#Headers],0), FALSE)</f>
        <v>42900</v>
      </c>
      <c r="G189" s="47">
        <f>WORKDAY(WORKDAY(TAB_CORRECAO_U[[#This Row],[DT_EVE]], -1, TAB_FERIADOS[FER_DATA]), 1, TAB_FERIADOS[FER_DATA])</f>
        <v>42894</v>
      </c>
      <c r="H189" s="75">
        <f>WORKDAY(WORKDAY(TAB_CORRECAO_U[[#This Row],[DT_LQDC_EVE]], -1, TAB_FERIADOS[FER_DATA]), 1, TAB_FERIADOS[FER_DATA])</f>
        <v>42900</v>
      </c>
      <c r="I189" s="48">
        <f>PU_EMISSAO - SUMIF(TAB_AMORTIZACAO_U[dt_eve_u], "&lt;" &amp; TAB_CORRECAO_U[[#This Row],[dt_eve_u]], TAB_AMORTIZACAO_U[V_PU_AMTC])</f>
        <v>84190.411399000004</v>
      </c>
      <c r="J189" s="48">
        <f>IFERROR(VLOOKUP(TAB_CORRECAO_U[[#This Row],[DT_EVE]], TAB_AMORTIZACAO_U[[DT_EVE]:[V_PU_AMTC]], 2, FALSE), 0)</f>
        <v>868.92923599999995</v>
      </c>
      <c r="K189" s="48">
        <f>NETWORKDAYS(DT_CALCULO_U, TAB_CORRECAO_U[[#This Row],[dt_eve_u]], TAB_FERIADOS[FER_DATA]) -1</f>
        <v>363</v>
      </c>
      <c r="L189" s="48">
        <f>NETWORKDAYS(DT_CALCULO_U, TAB_CORRECAO_U[[#This Row],[dt_lqdc_eve_u]], TAB_FERIADOS[FER_DATA]) -1</f>
        <v>367</v>
      </c>
      <c r="M189" s="48">
        <f>NETWORKDAYS(IF(ISTEXT(G188), DT_B_CORC, G188), TAB_CORRECAO_U[[#This Row],[dt_eve_u]], TAB_FERIADOS[FER_DATA]) -1</f>
        <v>22</v>
      </c>
      <c r="N189" s="78">
        <f>(TX_EMISSAO/100 +1)^(TAB_CORRECAO_U[[#This Row],[dias_periodo_u]]/252)</f>
        <v>1.0021580294747356</v>
      </c>
      <c r="O189" s="78">
        <f>(TIR_U/100 +1)^(TAB_CORRECAO_U[[#This Row],[Q_DIAS_U_PARC_TIR]]/252)</f>
        <v>1.0366195017908482</v>
      </c>
      <c r="P189" s="116" t="str">
        <f>"TX_CENARIO" &amp; TEXT(DT_CALCULO_C, "-AAAAMMDD") &amp; TEXT(TAB_CORRECAO_U[[#This Row],[DT_EVE]], "-AAAAMMDD")</f>
        <v>TX_CENARIO-20151228-20170608</v>
      </c>
      <c r="Q189" s="44">
        <f>IFERROR(VLOOKUP(TAB_CORRECAO_U[[#This Row],[Chave-CENARIO]],CENARIO[],2,FALSE), 0)</f>
        <v>16.2834</v>
      </c>
      <c r="R189" s="116" t="str">
        <f>"CORRECAO_CORC_U" &amp; TEXT(DT_CALCULO_C, "-AAAAMMDD") &amp; TEXT(TAB_CORRECAO_U[[#This Row],[DT_EVE]], "-AAAAMMDD")</f>
        <v>CORRECAO_CORC_U-20151228-20170608</v>
      </c>
      <c r="S189" s="44">
        <f>IFERROR(VLOOKUP(TAB_CORRECAO_U[[#This Row],[Chave-CORC]],CORRECAO_CORC_U[],2, FALSE), 0)</f>
        <v>1.0139865800000001</v>
      </c>
      <c r="T189" s="78">
        <f>MAX(0, IF(TAB_CORRECAO_U[[#This Row],[ID_T_EVE]]= 5, TAB_CORRECAO_U[[#This Row],[PU_AMORT]],TAB_CORRECAO_U[[#This Row],[V_NOML_PCPL]]) * (TAB_CORRECAO_U[[#This Row],[CORRECAO_U]] -1))</f>
        <v>1177.5359242650325</v>
      </c>
      <c r="U189" s="78">
        <f>MAX(0, TAB_CORRECAO_U[[#This Row],[V_FUT_U_CORC-01]]/((((TAB_CORRECAO_U[[#This Row],[TX_CENARIO]]/100 +1)^(1/252) -1) * PC_IDXR/100 +1)^TAB_CORRECAO_U[[#This Row],[Q_DIAS_U_PARC_TIR]]))</f>
        <v>945.27350146180277</v>
      </c>
      <c r="V189" s="78">
        <f>TAB_CORRECAO_U[[#This Row],[V_FUT_U_CORC-02]]/TAB_CORRECAO_U[[#This Row],[VAR_DESCAP_U]]</f>
        <v>911.88087801624658</v>
      </c>
      <c r="W189" s="78"/>
      <c r="X189" s="101">
        <f>TAB_CORRECAO_U[[#This Row],[dt_eve_u]]- DT_CALCULO_C</f>
        <v>528</v>
      </c>
      <c r="Y189" s="48" t="str">
        <f>"CORRECAO_CORC_C" &amp; TEXT(DT_CALCULO_C, "-AAAAMMDD") &amp; TEXT(TAB_CORRECAO_U[[#This Row],[DT_EVE]], "-AAAAMMDD")</f>
        <v>CORRECAO_CORC_C-20151228-20170608</v>
      </c>
      <c r="Z189" s="44">
        <f>IFERROR(VLOOKUP(TAB_CORRECAO_C[[#This Row],[Chave-CORC]],CORRECAO_CORC_C[],2, FALSE), 0)</f>
        <v>1</v>
      </c>
      <c r="AA18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89" s="44">
        <f>(TIR_C/100 +1)^(TAB_CORRECAO_C[[#This Row],[DIAS_CORRIDOS]]/360)</f>
        <v>1.0363488507097447</v>
      </c>
      <c r="AC189" s="78">
        <f>IF(TAB_CORRECAO_C[[#This Row],[DIAS_CORRIDOS]]&lt;0, 0, TAB_CORRECAO_C[[#This Row],[V_FUT_C_CORC]]/TAB_CORRECAO_C[[#This Row],[VAR_DESCAP_C]])</f>
        <v>0</v>
      </c>
      <c r="AD189" s="113">
        <f>TAB_CORRECAO_U[[#This Row],[V_FUT_U_CORC-02]]</f>
        <v>945.27350146180277</v>
      </c>
      <c r="AE189" s="126">
        <f>IF(TAB_CORRECAO_C[[#This Row],[DIAS_CORRIDOS]]&lt;0, 0, TAB_CORRECAO_C[[#This Row],[V_FUT_UTEIS]]/TAB_CORRECAO_C[[#This Row],[VAR_DESCAP_C]])</f>
        <v>912.11902325595395</v>
      </c>
      <c r="AF189" s="64"/>
    </row>
    <row r="190" spans="1:32">
      <c r="A190" s="82">
        <f t="shared" si="4"/>
        <v>19</v>
      </c>
      <c r="B190" s="24">
        <f>VLOOKUP($A190, CAD_ATUALIZACAO[#Data], MATCH(B$171, CAD_ATUALIZACAO[#Headers],0), FALSE)</f>
        <v>3</v>
      </c>
      <c r="C190" s="24" t="str">
        <f>VLOOKUP($A190, CAD_ATUALIZACAO[#Data], MATCH(C$171, CAD_ATUALIZACAO[#Headers],0), FALSE)</f>
        <v xml:space="preserve">ATUALIZACAO SOBRE PRINCIPAL                       </v>
      </c>
      <c r="D190" s="36">
        <f>VLOOKUP($A190, CAD_ATUALIZACAO[#Data], MATCH(D$171, CAD_ATUALIZACAO[#Headers],0), FALSE)</f>
        <v>42926</v>
      </c>
      <c r="E190" s="48">
        <f>VLOOKUP($A190, CAD_ATUALIZACAO[#Data], MATCH(E$171, CAD_ATUALIZACAO[#Headers],0), FALSE)</f>
        <v>0</v>
      </c>
      <c r="F190" s="36">
        <f>VLOOKUP($A190, CAD_ATUALIZACAO[#Data], MATCH(F$171, CAD_ATUALIZACAO[#Headers],0), FALSE)</f>
        <v>42930</v>
      </c>
      <c r="G190" s="47">
        <f>WORKDAY(WORKDAY(TAB_CORRECAO_U[[#This Row],[DT_EVE]], -1, TAB_FERIADOS[FER_DATA]), 1, TAB_FERIADOS[FER_DATA])</f>
        <v>42926</v>
      </c>
      <c r="H190" s="75">
        <f>WORKDAY(WORKDAY(TAB_CORRECAO_U[[#This Row],[DT_LQDC_EVE]], -1, TAB_FERIADOS[FER_DATA]), 1, TAB_FERIADOS[FER_DATA])</f>
        <v>42930</v>
      </c>
      <c r="I190" s="48">
        <f>PU_EMISSAO - SUMIF(TAB_AMORTIZACAO_U[dt_eve_u], "&lt;" &amp; TAB_CORRECAO_U[[#This Row],[dt_eve_u]], TAB_AMORTIZACAO_U[V_PU_AMTC])</f>
        <v>83321.482163000008</v>
      </c>
      <c r="J190" s="48">
        <f>IFERROR(VLOOKUP(TAB_CORRECAO_U[[#This Row],[DT_EVE]], TAB_AMORTIZACAO_U[[DT_EVE]:[V_PU_AMTC]], 2, FALSE), 0)</f>
        <v>865.12694899999997</v>
      </c>
      <c r="K190" s="48">
        <f>NETWORKDAYS(DT_CALCULO_U, TAB_CORRECAO_U[[#This Row],[dt_eve_u]], TAB_FERIADOS[FER_DATA]) -1</f>
        <v>384</v>
      </c>
      <c r="L190" s="48">
        <f>NETWORKDAYS(DT_CALCULO_U, TAB_CORRECAO_U[[#This Row],[dt_lqdc_eve_u]], TAB_FERIADOS[FER_DATA]) -1</f>
        <v>388</v>
      </c>
      <c r="M190" s="48">
        <f>NETWORKDAYS(IF(ISTEXT(G189), DT_B_CORC, G189), TAB_CORRECAO_U[[#This Row],[dt_eve_u]], TAB_FERIADOS[FER_DATA]) -1</f>
        <v>21</v>
      </c>
      <c r="N190" s="78">
        <f>(TX_EMISSAO/100 +1)^(TAB_CORRECAO_U[[#This Row],[dias_periodo_u]]/252)</f>
        <v>1.0020598362698427</v>
      </c>
      <c r="O190" s="78">
        <f>(TIR_U/100 +1)^(TAB_CORRECAO_U[[#This Row],[Q_DIAS_U_PARC_TIR]]/252)</f>
        <v>1.0387549984475946</v>
      </c>
      <c r="P190" s="116" t="str">
        <f>"TX_CENARIO" &amp; TEXT(DT_CALCULO_C, "-AAAAMMDD") &amp; TEXT(TAB_CORRECAO_U[[#This Row],[DT_EVE]], "-AAAAMMDD")</f>
        <v>TX_CENARIO-20151228-20170710</v>
      </c>
      <c r="Q190" s="44">
        <f>IFERROR(VLOOKUP(TAB_CORRECAO_U[[#This Row],[Chave-CENARIO]],CENARIO[],2,FALSE), 0)</f>
        <v>16.336500000000001</v>
      </c>
      <c r="R190" s="116" t="str">
        <f>"CORRECAO_CORC_U" &amp; TEXT(DT_CALCULO_C, "-AAAAMMDD") &amp; TEXT(TAB_CORRECAO_U[[#This Row],[DT_EVE]], "-AAAAMMDD")</f>
        <v>CORRECAO_CORC_U-20151228-20170710</v>
      </c>
      <c r="S190" s="44">
        <f>IFERROR(VLOOKUP(TAB_CORRECAO_U[[#This Row],[Chave-CORC]],CORRECAO_CORC_U[],2, FALSE), 0)</f>
        <v>1.0133008100000001</v>
      </c>
      <c r="T190" s="78">
        <f>MAX(0, IF(TAB_CORRECAO_U[[#This Row],[ID_T_EVE]]= 5, TAB_CORRECAO_U[[#This Row],[PU_AMORT]],TAB_CORRECAO_U[[#This Row],[V_NOML_PCPL]]) * (TAB_CORRECAO_U[[#This Row],[CORRECAO_U]] -1))</f>
        <v>1108.2432031684564</v>
      </c>
      <c r="U190" s="78">
        <f>MAX(0, TAB_CORRECAO_U[[#This Row],[V_FUT_U_CORC-01]]/((((TAB_CORRECAO_U[[#This Row],[TX_CENARIO]]/100 +1)^(1/252) -1) * PC_IDXR/100 +1)^TAB_CORRECAO_U[[#This Row],[Q_DIAS_U_PARC_TIR]]))</f>
        <v>877.91669548982884</v>
      </c>
      <c r="V190" s="78">
        <f>TAB_CORRECAO_U[[#This Row],[V_FUT_U_CORC-02]]/TAB_CORRECAO_U[[#This Row],[VAR_DESCAP_U]]</f>
        <v>845.1624269455873</v>
      </c>
      <c r="W190" s="78"/>
      <c r="X190" s="101">
        <f>TAB_CORRECAO_U[[#This Row],[dt_eve_u]]- DT_CALCULO_C</f>
        <v>560</v>
      </c>
      <c r="Y190" s="48" t="str">
        <f>"CORRECAO_CORC_C" &amp; TEXT(DT_CALCULO_C, "-AAAAMMDD") &amp; TEXT(TAB_CORRECAO_U[[#This Row],[DT_EVE]], "-AAAAMMDD")</f>
        <v>CORRECAO_CORC_C-20151228-20170710</v>
      </c>
      <c r="Z190" s="44">
        <f>IFERROR(VLOOKUP(TAB_CORRECAO_C[[#This Row],[Chave-CORC]],CORRECAO_CORC_C[],2, FALSE), 0)</f>
        <v>1</v>
      </c>
      <c r="AA19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0" s="44">
        <f>(TIR_C/100 +1)^(TAB_CORRECAO_C[[#This Row],[DIAS_CORRIDOS]]/360)</f>
        <v>1.0385938004362878</v>
      </c>
      <c r="AC190" s="78">
        <f>IF(TAB_CORRECAO_C[[#This Row],[DIAS_CORRIDOS]]&lt;0, 0, TAB_CORRECAO_C[[#This Row],[V_FUT_C_CORC]]/TAB_CORRECAO_C[[#This Row],[VAR_DESCAP_C]])</f>
        <v>0</v>
      </c>
      <c r="AD190" s="113">
        <f>TAB_CORRECAO_U[[#This Row],[V_FUT_U_CORC-02]]</f>
        <v>877.91669548982884</v>
      </c>
      <c r="AE190" s="126">
        <f>IF(TAB_CORRECAO_C[[#This Row],[DIAS_CORRIDOS]]&lt;0, 0, TAB_CORRECAO_C[[#This Row],[V_FUT_UTEIS]]/TAB_CORRECAO_C[[#This Row],[VAR_DESCAP_C]])</f>
        <v>845.29360287057125</v>
      </c>
      <c r="AF190" s="64"/>
    </row>
    <row r="191" spans="1:32">
      <c r="A191" s="82">
        <f t="shared" si="4"/>
        <v>20</v>
      </c>
      <c r="B191" s="24">
        <f>VLOOKUP($A191, CAD_ATUALIZACAO[#Data], MATCH(B$171, CAD_ATUALIZACAO[#Headers],0), FALSE)</f>
        <v>3</v>
      </c>
      <c r="C191" s="24" t="str">
        <f>VLOOKUP($A191, CAD_ATUALIZACAO[#Data], MATCH(C$171, CAD_ATUALIZACAO[#Headers],0), FALSE)</f>
        <v xml:space="preserve">ATUALIZACAO SOBRE PRINCIPAL                       </v>
      </c>
      <c r="D191" s="36">
        <f>VLOOKUP($A191, CAD_ATUALIZACAO[#Data], MATCH(D$171, CAD_ATUALIZACAO[#Headers],0), FALSE)</f>
        <v>42955</v>
      </c>
      <c r="E191" s="48">
        <f>VLOOKUP($A191, CAD_ATUALIZACAO[#Data], MATCH(E$171, CAD_ATUALIZACAO[#Headers],0), FALSE)</f>
        <v>0</v>
      </c>
      <c r="F191" s="36">
        <f>VLOOKUP($A191, CAD_ATUALIZACAO[#Data], MATCH(F$171, CAD_ATUALIZACAO[#Headers],0), FALSE)</f>
        <v>42961</v>
      </c>
      <c r="G191" s="47">
        <f>WORKDAY(WORKDAY(TAB_CORRECAO_U[[#This Row],[DT_EVE]], -1, TAB_FERIADOS[FER_DATA]), 1, TAB_FERIADOS[FER_DATA])</f>
        <v>42955</v>
      </c>
      <c r="H191" s="75">
        <f>WORKDAY(WORKDAY(TAB_CORRECAO_U[[#This Row],[DT_LQDC_EVE]], -1, TAB_FERIADOS[FER_DATA]), 1, TAB_FERIADOS[FER_DATA])</f>
        <v>42961</v>
      </c>
      <c r="I191" s="48">
        <f>PU_EMISSAO - SUMIF(TAB_AMORTIZACAO_U[dt_eve_u], "&lt;" &amp; TAB_CORRECAO_U[[#This Row],[dt_eve_u]], TAB_AMORTIZACAO_U[V_PU_AMTC])</f>
        <v>82456.355213999996</v>
      </c>
      <c r="J191" s="48">
        <f>IFERROR(VLOOKUP(TAB_CORRECAO_U[[#This Row],[DT_EVE]], TAB_AMORTIZACAO_U[[DT_EVE]:[V_PU_AMTC]], 2, FALSE), 0)</f>
        <v>853.83555799999999</v>
      </c>
      <c r="K191" s="48">
        <f>NETWORKDAYS(DT_CALCULO_U, TAB_CORRECAO_U[[#This Row],[dt_eve_u]], TAB_FERIADOS[FER_DATA]) -1</f>
        <v>405</v>
      </c>
      <c r="L191" s="48">
        <f>NETWORKDAYS(DT_CALCULO_U, TAB_CORRECAO_U[[#This Row],[dt_lqdc_eve_u]], TAB_FERIADOS[FER_DATA]) -1</f>
        <v>409</v>
      </c>
      <c r="M191" s="48">
        <f>NETWORKDAYS(IF(ISTEXT(G190), DT_B_CORC, G190), TAB_CORRECAO_U[[#This Row],[dt_eve_u]], TAB_FERIADOS[FER_DATA]) -1</f>
        <v>21</v>
      </c>
      <c r="N191" s="78">
        <f>(TX_EMISSAO/100 +1)^(TAB_CORRECAO_U[[#This Row],[dias_periodo_u]]/252)</f>
        <v>1.0020598362698427</v>
      </c>
      <c r="O191" s="78">
        <f>(TIR_U/100 +1)^(TAB_CORRECAO_U[[#This Row],[Q_DIAS_U_PARC_TIR]]/252)</f>
        <v>1.0408948943520524</v>
      </c>
      <c r="P191" s="116" t="str">
        <f>"TX_CENARIO" &amp; TEXT(DT_CALCULO_C, "-AAAAMMDD") &amp; TEXT(TAB_CORRECAO_U[[#This Row],[DT_EVE]], "-AAAAMMDD")</f>
        <v>TX_CENARIO-20151228-20170808</v>
      </c>
      <c r="Q191" s="44">
        <f>IFERROR(VLOOKUP(TAB_CORRECAO_U[[#This Row],[Chave-CENARIO]],CENARIO[],2,FALSE), 0)</f>
        <v>16.381499999999999</v>
      </c>
      <c r="R191" s="116" t="str">
        <f>"CORRECAO_CORC_U" &amp; TEXT(DT_CALCULO_C, "-AAAAMMDD") &amp; TEXT(TAB_CORRECAO_U[[#This Row],[DT_EVE]], "-AAAAMMDD")</f>
        <v>CORRECAO_CORC_U-20151228-20170808</v>
      </c>
      <c r="S191" s="44">
        <f>IFERROR(VLOOKUP(TAB_CORRECAO_U[[#This Row],[Chave-CORC]],CORRECAO_CORC_U[],2, FALSE), 0)</f>
        <v>1.01315428</v>
      </c>
      <c r="T191" s="78">
        <f>MAX(0, IF(TAB_CORRECAO_U[[#This Row],[ID_T_EVE]]= 5, TAB_CORRECAO_U[[#This Row],[PU_AMORT]],TAB_CORRECAO_U[[#This Row],[V_NOML_PCPL]]) * (TAB_CORRECAO_U[[#This Row],[CORRECAO_U]] -1))</f>
        <v>1084.6539842644129</v>
      </c>
      <c r="U191" s="78">
        <f>MAX(0, TAB_CORRECAO_U[[#This Row],[V_FUT_U_CORC-01]]/((((TAB_CORRECAO_U[[#This Row],[TX_CENARIO]]/100 +1)^(1/252) -1) * PC_IDXR/100 +1)^TAB_CORRECAO_U[[#This Row],[Q_DIAS_U_PARC_TIR]]))</f>
        <v>847.93101073133823</v>
      </c>
      <c r="V191" s="78">
        <f>TAB_CORRECAO_U[[#This Row],[V_FUT_U_CORC-02]]/TAB_CORRECAO_U[[#This Row],[VAR_DESCAP_U]]</f>
        <v>814.61732143394511</v>
      </c>
      <c r="W191" s="78"/>
      <c r="X191" s="101">
        <f>TAB_CORRECAO_U[[#This Row],[dt_eve_u]]- DT_CALCULO_C</f>
        <v>589</v>
      </c>
      <c r="Y191" s="48" t="str">
        <f>"CORRECAO_CORC_C" &amp; TEXT(DT_CALCULO_C, "-AAAAMMDD") &amp; TEXT(TAB_CORRECAO_U[[#This Row],[DT_EVE]], "-AAAAMMDD")</f>
        <v>CORRECAO_CORC_C-20151228-20170808</v>
      </c>
      <c r="Z191" s="44">
        <f>IFERROR(VLOOKUP(TAB_CORRECAO_C[[#This Row],[Chave-CORC]],CORRECAO_CORC_C[],2, FALSE), 0)</f>
        <v>1</v>
      </c>
      <c r="AA19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1" s="44">
        <f>(TIR_C/100 +1)^(TAB_CORRECAO_C[[#This Row],[DIAS_CORRIDOS]]/360)</f>
        <v>1.0406324863820309</v>
      </c>
      <c r="AC191" s="78">
        <f>IF(TAB_CORRECAO_C[[#This Row],[DIAS_CORRIDOS]]&lt;0, 0, TAB_CORRECAO_C[[#This Row],[V_FUT_C_CORC]]/TAB_CORRECAO_C[[#This Row],[VAR_DESCAP_C]])</f>
        <v>0</v>
      </c>
      <c r="AD191" s="113">
        <f>TAB_CORRECAO_U[[#This Row],[V_FUT_U_CORC-02]]</f>
        <v>847.93101073133823</v>
      </c>
      <c r="AE191" s="126">
        <f>IF(TAB_CORRECAO_C[[#This Row],[DIAS_CORRIDOS]]&lt;0, 0, TAB_CORRECAO_C[[#This Row],[V_FUT_UTEIS]]/TAB_CORRECAO_C[[#This Row],[VAR_DESCAP_C]])</f>
        <v>814.82273696772791</v>
      </c>
      <c r="AF191" s="64"/>
    </row>
    <row r="192" spans="1:32">
      <c r="A192" s="82">
        <f t="shared" si="4"/>
        <v>21</v>
      </c>
      <c r="B192" s="24">
        <f>VLOOKUP($A192, CAD_ATUALIZACAO[#Data], MATCH(B$171, CAD_ATUALIZACAO[#Headers],0), FALSE)</f>
        <v>3</v>
      </c>
      <c r="C192" s="24" t="str">
        <f>VLOOKUP($A192, CAD_ATUALIZACAO[#Data], MATCH(C$171, CAD_ATUALIZACAO[#Headers],0), FALSE)</f>
        <v xml:space="preserve">ATUALIZACAO SOBRE PRINCIPAL                       </v>
      </c>
      <c r="D192" s="36">
        <f>VLOOKUP($A192, CAD_ATUALIZACAO[#Data], MATCH(D$171, CAD_ATUALIZACAO[#Headers],0), FALSE)</f>
        <v>42989</v>
      </c>
      <c r="E192" s="48">
        <f>VLOOKUP($A192, CAD_ATUALIZACAO[#Data], MATCH(E$171, CAD_ATUALIZACAO[#Headers],0), FALSE)</f>
        <v>0</v>
      </c>
      <c r="F192" s="36">
        <f>VLOOKUP($A192, CAD_ATUALIZACAO[#Data], MATCH(F$171, CAD_ATUALIZACAO[#Headers],0), FALSE)</f>
        <v>42993</v>
      </c>
      <c r="G192" s="47">
        <f>WORKDAY(WORKDAY(TAB_CORRECAO_U[[#This Row],[DT_EVE]], -1, TAB_FERIADOS[FER_DATA]), 1, TAB_FERIADOS[FER_DATA])</f>
        <v>42989</v>
      </c>
      <c r="H192" s="75">
        <f>WORKDAY(WORKDAY(TAB_CORRECAO_U[[#This Row],[DT_LQDC_EVE]], -1, TAB_FERIADOS[FER_DATA]), 1, TAB_FERIADOS[FER_DATA])</f>
        <v>42993</v>
      </c>
      <c r="I192" s="48">
        <f>PU_EMISSAO - SUMIF(TAB_AMORTIZACAO_U[dt_eve_u], "&lt;" &amp; TAB_CORRECAO_U[[#This Row],[dt_eve_u]], TAB_AMORTIZACAO_U[V_PU_AMTC])</f>
        <v>81602.519656000004</v>
      </c>
      <c r="J192" s="48">
        <f>IFERROR(VLOOKUP(TAB_CORRECAO_U[[#This Row],[DT_EVE]], TAB_AMORTIZACAO_U[[DT_EVE]:[V_PU_AMTC]], 2, FALSE), 0)</f>
        <v>825.49108799999999</v>
      </c>
      <c r="K192" s="48">
        <f>NETWORKDAYS(DT_CALCULO_U, TAB_CORRECAO_U[[#This Row],[dt_eve_u]], TAB_FERIADOS[FER_DATA]) -1</f>
        <v>428</v>
      </c>
      <c r="L192" s="48">
        <f>NETWORKDAYS(DT_CALCULO_U, TAB_CORRECAO_U[[#This Row],[dt_lqdc_eve_u]], TAB_FERIADOS[FER_DATA]) -1</f>
        <v>432</v>
      </c>
      <c r="M192" s="48">
        <f>NETWORKDAYS(IF(ISTEXT(G191), DT_B_CORC, G191), TAB_CORRECAO_U[[#This Row],[dt_eve_u]], TAB_FERIADOS[FER_DATA]) -1</f>
        <v>23</v>
      </c>
      <c r="N192" s="78">
        <f>(TX_EMISSAO/100 +1)^(TAB_CORRECAO_U[[#This Row],[dias_periodo_u]]/252)</f>
        <v>1.0022562323017139</v>
      </c>
      <c r="O192" s="78">
        <f>(TIR_U/100 +1)^(TAB_CORRECAO_U[[#This Row],[Q_DIAS_U_PARC_TIR]]/252)</f>
        <v>1.0432436482584824</v>
      </c>
      <c r="P192" s="116" t="str">
        <f>"TX_CENARIO" &amp; TEXT(DT_CALCULO_C, "-AAAAMMDD") &amp; TEXT(TAB_CORRECAO_U[[#This Row],[DT_EVE]], "-AAAAMMDD")</f>
        <v>TX_CENARIO-20151228-20170911</v>
      </c>
      <c r="Q192" s="44">
        <f>IFERROR(VLOOKUP(TAB_CORRECAO_U[[#This Row],[Chave-CENARIO]],CENARIO[],2,FALSE), 0)</f>
        <v>16.425699999999999</v>
      </c>
      <c r="R192" s="116" t="str">
        <f>"CORRECAO_CORC_U" &amp; TEXT(DT_CALCULO_C, "-AAAAMMDD") &amp; TEXT(TAB_CORRECAO_U[[#This Row],[DT_EVE]], "-AAAAMMDD")</f>
        <v>CORRECAO_CORC_U-20151228-20170911</v>
      </c>
      <c r="S192" s="44">
        <f>IFERROR(VLOOKUP(TAB_CORRECAO_U[[#This Row],[Chave-CORC]],CORRECAO_CORC_U[],2, FALSE), 0)</f>
        <v>1.0144160499999999</v>
      </c>
      <c r="T192" s="78">
        <f>MAX(0, IF(TAB_CORRECAO_U[[#This Row],[ID_T_EVE]]= 5, TAB_CORRECAO_U[[#This Row],[PU_AMORT]],TAB_CORRECAO_U[[#This Row],[V_NOML_PCPL]]) * (TAB_CORRECAO_U[[#This Row],[CORRECAO_U]] -1))</f>
        <v>1176.386003486871</v>
      </c>
      <c r="U192" s="78">
        <f>MAX(0, TAB_CORRECAO_U[[#This Row],[V_FUT_U_CORC-01]]/((((TAB_CORRECAO_U[[#This Row],[TX_CENARIO]]/100 +1)^(1/252) -1) * PC_IDXR/100 +1)^TAB_CORRECAO_U[[#This Row],[Q_DIAS_U_PARC_TIR]]))</f>
        <v>906.40696768115436</v>
      </c>
      <c r="V192" s="78">
        <f>TAB_CORRECAO_U[[#This Row],[V_FUT_U_CORC-02]]/TAB_CORRECAO_U[[#This Row],[VAR_DESCAP_U]]</f>
        <v>868.83535710401543</v>
      </c>
      <c r="W192" s="78"/>
      <c r="X192" s="101">
        <f>TAB_CORRECAO_U[[#This Row],[dt_eve_u]]- DT_CALCULO_C</f>
        <v>623</v>
      </c>
      <c r="Y192" s="48" t="str">
        <f>"CORRECAO_CORC_C" &amp; TEXT(DT_CALCULO_C, "-AAAAMMDD") &amp; TEXT(TAB_CORRECAO_U[[#This Row],[DT_EVE]], "-AAAAMMDD")</f>
        <v>CORRECAO_CORC_C-20151228-20170911</v>
      </c>
      <c r="Z192" s="44">
        <f>IFERROR(VLOOKUP(TAB_CORRECAO_C[[#This Row],[Chave-CORC]],CORRECAO_CORC_C[],2, FALSE), 0)</f>
        <v>1</v>
      </c>
      <c r="AA19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2" s="44">
        <f>(TIR_C/100 +1)^(TAB_CORRECAO_C[[#This Row],[DIAS_CORRIDOS]]/360)</f>
        <v>1.0430277667021155</v>
      </c>
      <c r="AC192" s="78">
        <f>IF(TAB_CORRECAO_C[[#This Row],[DIAS_CORRIDOS]]&lt;0, 0, TAB_CORRECAO_C[[#This Row],[V_FUT_C_CORC]]/TAB_CORRECAO_C[[#This Row],[VAR_DESCAP_C]])</f>
        <v>0</v>
      </c>
      <c r="AD192" s="113">
        <f>TAB_CORRECAO_U[[#This Row],[V_FUT_U_CORC-02]]</f>
        <v>906.40696768115436</v>
      </c>
      <c r="AE192" s="126">
        <f>IF(TAB_CORRECAO_C[[#This Row],[DIAS_CORRIDOS]]&lt;0, 0, TAB_CORRECAO_C[[#This Row],[V_FUT_UTEIS]]/TAB_CORRECAO_C[[#This Row],[VAR_DESCAP_C]])</f>
        <v>869.01518503871284</v>
      </c>
      <c r="AF192" s="64"/>
    </row>
    <row r="193" spans="1:32">
      <c r="A193" s="82">
        <f t="shared" si="4"/>
        <v>22</v>
      </c>
      <c r="B193" s="24">
        <f>VLOOKUP($A193, CAD_ATUALIZACAO[#Data], MATCH(B$171, CAD_ATUALIZACAO[#Headers],0), FALSE)</f>
        <v>3</v>
      </c>
      <c r="C193" s="24" t="str">
        <f>VLOOKUP($A193, CAD_ATUALIZACAO[#Data], MATCH(C$171, CAD_ATUALIZACAO[#Headers],0), FALSE)</f>
        <v xml:space="preserve">ATUALIZACAO SOBRE PRINCIPAL                       </v>
      </c>
      <c r="D193" s="36">
        <f>VLOOKUP($A193, CAD_ATUALIZACAO[#Data], MATCH(D$171, CAD_ATUALIZACAO[#Headers],0), FALSE)</f>
        <v>43018</v>
      </c>
      <c r="E193" s="48">
        <f>VLOOKUP($A193, CAD_ATUALIZACAO[#Data], MATCH(E$171, CAD_ATUALIZACAO[#Headers],0), FALSE)</f>
        <v>0</v>
      </c>
      <c r="F193" s="36">
        <f>VLOOKUP($A193, CAD_ATUALIZACAO[#Data], MATCH(F$171, CAD_ATUALIZACAO[#Headers],0), FALSE)</f>
        <v>43024</v>
      </c>
      <c r="G193" s="47">
        <f>WORKDAY(WORKDAY(TAB_CORRECAO_U[[#This Row],[DT_EVE]], -1, TAB_FERIADOS[FER_DATA]), 1, TAB_FERIADOS[FER_DATA])</f>
        <v>43018</v>
      </c>
      <c r="H193" s="75">
        <f>WORKDAY(WORKDAY(TAB_CORRECAO_U[[#This Row],[DT_LQDC_EVE]], -1, TAB_FERIADOS[FER_DATA]), 1, TAB_FERIADOS[FER_DATA])</f>
        <v>43024</v>
      </c>
      <c r="I193" s="48">
        <f>PU_EMISSAO - SUMIF(TAB_AMORTIZACAO_U[dt_eve_u], "&lt;" &amp; TAB_CORRECAO_U[[#This Row],[dt_eve_u]], TAB_AMORTIZACAO_U[V_PU_AMTC])</f>
        <v>80777.028568000009</v>
      </c>
      <c r="J193" s="48">
        <f>IFERROR(VLOOKUP(TAB_CORRECAO_U[[#This Row],[DT_EVE]], TAB_AMORTIZACAO_U[[DT_EVE]:[V_PU_AMTC]], 2, FALSE), 0)</f>
        <v>838.95021799999995</v>
      </c>
      <c r="K193" s="48">
        <f>NETWORKDAYS(DT_CALCULO_U, TAB_CORRECAO_U[[#This Row],[dt_eve_u]], TAB_FERIADOS[FER_DATA]) -1</f>
        <v>449</v>
      </c>
      <c r="L193" s="48">
        <f>NETWORKDAYS(DT_CALCULO_U, TAB_CORRECAO_U[[#This Row],[dt_lqdc_eve_u]], TAB_FERIADOS[FER_DATA]) -1</f>
        <v>452</v>
      </c>
      <c r="M193" s="48">
        <f>NETWORKDAYS(IF(ISTEXT(G192), DT_B_CORC, G192), TAB_CORRECAO_U[[#This Row],[dt_eve_u]], TAB_FERIADOS[FER_DATA]) -1</f>
        <v>21</v>
      </c>
      <c r="N193" s="78">
        <f>(TX_EMISSAO/100 +1)^(TAB_CORRECAO_U[[#This Row],[dias_periodo_u]]/252)</f>
        <v>1.0020598362698427</v>
      </c>
      <c r="O193" s="78">
        <f>(TIR_U/100 +1)^(TAB_CORRECAO_U[[#This Row],[Q_DIAS_U_PARC_TIR]]/252)</f>
        <v>1.0452903505893354</v>
      </c>
      <c r="P193" s="116" t="str">
        <f>"TX_CENARIO" &amp; TEXT(DT_CALCULO_C, "-AAAAMMDD") &amp; TEXT(TAB_CORRECAO_U[[#This Row],[DT_EVE]], "-AAAAMMDD")</f>
        <v>TX_CENARIO-20151228-20171010</v>
      </c>
      <c r="Q193" s="44">
        <f>IFERROR(VLOOKUP(TAB_CORRECAO_U[[#This Row],[Chave-CENARIO]],CENARIO[],2,FALSE), 0)</f>
        <v>16.454999999999998</v>
      </c>
      <c r="R193" s="116" t="str">
        <f>"CORRECAO_CORC_U" &amp; TEXT(DT_CALCULO_C, "-AAAAMMDD") &amp; TEXT(TAB_CORRECAO_U[[#This Row],[DT_EVE]], "-AAAAMMDD")</f>
        <v>CORRECAO_CORC_U-20151228-20171010</v>
      </c>
      <c r="S193" s="44">
        <f>IFERROR(VLOOKUP(TAB_CORRECAO_U[[#This Row],[Chave-CORC]],CORRECAO_CORC_U[],2, FALSE), 0)</f>
        <v>1.0131537399999999</v>
      </c>
      <c r="T193" s="78">
        <f>MAX(0, IF(TAB_CORRECAO_U[[#This Row],[ID_T_EVE]]= 5, TAB_CORRECAO_U[[#This Row],[PU_AMORT]],TAB_CORRECAO_U[[#This Row],[V_NOML_PCPL]]) * (TAB_CORRECAO_U[[#This Row],[CORRECAO_U]] -1))</f>
        <v>1062.5200317560375</v>
      </c>
      <c r="U193" s="78">
        <f>MAX(0, TAB_CORRECAO_U[[#This Row],[V_FUT_U_CORC-01]]/((((TAB_CORRECAO_U[[#This Row],[TX_CENARIO]]/100 +1)^(1/252) -1) * PC_IDXR/100 +1)^TAB_CORRECAO_U[[#This Row],[Q_DIAS_U_PARC_TIR]]))</f>
        <v>808.48604251091308</v>
      </c>
      <c r="V193" s="78">
        <f>TAB_CORRECAO_U[[#This Row],[V_FUT_U_CORC-02]]/TAB_CORRECAO_U[[#This Row],[VAR_DESCAP_U]]</f>
        <v>773.45595131064601</v>
      </c>
      <c r="W193" s="78"/>
      <c r="X193" s="101">
        <f>TAB_CORRECAO_U[[#This Row],[dt_eve_u]]- DT_CALCULO_C</f>
        <v>652</v>
      </c>
      <c r="Y193" s="48" t="str">
        <f>"CORRECAO_CORC_C" &amp; TEXT(DT_CALCULO_C, "-AAAAMMDD") &amp; TEXT(TAB_CORRECAO_U[[#This Row],[DT_EVE]], "-AAAAMMDD")</f>
        <v>CORRECAO_CORC_C-20151228-20171010</v>
      </c>
      <c r="Z193" s="44">
        <f>IFERROR(VLOOKUP(TAB_CORRECAO_C[[#This Row],[Chave-CORC]],CORRECAO_CORC_C[],2, FALSE), 0)</f>
        <v>1</v>
      </c>
      <c r="AA19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3" s="44">
        <f>(TIR_C/100 +1)^(TAB_CORRECAO_C[[#This Row],[DIAS_CORRIDOS]]/360)</f>
        <v>1.0450751562090643</v>
      </c>
      <c r="AC193" s="78">
        <f>IF(TAB_CORRECAO_C[[#This Row],[DIAS_CORRIDOS]]&lt;0, 0, TAB_CORRECAO_C[[#This Row],[V_FUT_C_CORC]]/TAB_CORRECAO_C[[#This Row],[VAR_DESCAP_C]])</f>
        <v>0</v>
      </c>
      <c r="AD193" s="113">
        <f>TAB_CORRECAO_U[[#This Row],[V_FUT_U_CORC-02]]</f>
        <v>808.48604251091308</v>
      </c>
      <c r="AE193" s="126">
        <f>IF(TAB_CORRECAO_C[[#This Row],[DIAS_CORRIDOS]]&lt;0, 0, TAB_CORRECAO_C[[#This Row],[V_FUT_UTEIS]]/TAB_CORRECAO_C[[#This Row],[VAR_DESCAP_C]])</f>
        <v>773.61521581245756</v>
      </c>
      <c r="AF193" s="64"/>
    </row>
    <row r="194" spans="1:32">
      <c r="A194" s="82">
        <f t="shared" si="4"/>
        <v>23</v>
      </c>
      <c r="B194" s="24">
        <f>VLOOKUP($A194, CAD_ATUALIZACAO[#Data], MATCH(B$171, CAD_ATUALIZACAO[#Headers],0), FALSE)</f>
        <v>3</v>
      </c>
      <c r="C194" s="24" t="str">
        <f>VLOOKUP($A194, CAD_ATUALIZACAO[#Data], MATCH(C$171, CAD_ATUALIZACAO[#Headers],0), FALSE)</f>
        <v xml:space="preserve">ATUALIZACAO SOBRE PRINCIPAL                       </v>
      </c>
      <c r="D194" s="36">
        <f>VLOOKUP($A194, CAD_ATUALIZACAO[#Data], MATCH(D$171, CAD_ATUALIZACAO[#Headers],0), FALSE)</f>
        <v>43049</v>
      </c>
      <c r="E194" s="48">
        <f>VLOOKUP($A194, CAD_ATUALIZACAO[#Data], MATCH(E$171, CAD_ATUALIZACAO[#Headers],0), FALSE)</f>
        <v>0</v>
      </c>
      <c r="F194" s="36">
        <f>VLOOKUP($A194, CAD_ATUALIZACAO[#Data], MATCH(F$171, CAD_ATUALIZACAO[#Headers],0), FALSE)</f>
        <v>43055</v>
      </c>
      <c r="G194" s="47">
        <f>WORKDAY(WORKDAY(TAB_CORRECAO_U[[#This Row],[DT_EVE]], -1, TAB_FERIADOS[FER_DATA]), 1, TAB_FERIADOS[FER_DATA])</f>
        <v>43049</v>
      </c>
      <c r="H194" s="75">
        <f>WORKDAY(WORKDAY(TAB_CORRECAO_U[[#This Row],[DT_LQDC_EVE]], -1, TAB_FERIADOS[FER_DATA]), 1, TAB_FERIADOS[FER_DATA])</f>
        <v>43055</v>
      </c>
      <c r="I194" s="48">
        <f>PU_EMISSAO - SUMIF(TAB_AMORTIZACAO_U[dt_eve_u], "&lt;" &amp; TAB_CORRECAO_U[[#This Row],[dt_eve_u]], TAB_AMORTIZACAO_U[V_PU_AMTC])</f>
        <v>79938.078349999996</v>
      </c>
      <c r="J194" s="48">
        <f>IFERROR(VLOOKUP(TAB_CORRECAO_U[[#This Row],[DT_EVE]], TAB_AMORTIZACAO_U[[DT_EVE]:[V_PU_AMTC]], 2, FALSE), 0)</f>
        <v>820.24462100000005</v>
      </c>
      <c r="K194" s="48">
        <f>NETWORKDAYS(DT_CALCULO_U, TAB_CORRECAO_U[[#This Row],[dt_eve_u]], TAB_FERIADOS[FER_DATA]) -1</f>
        <v>470</v>
      </c>
      <c r="L194" s="48">
        <f>NETWORKDAYS(DT_CALCULO_U, TAB_CORRECAO_U[[#This Row],[dt_lqdc_eve_u]], TAB_FERIADOS[FER_DATA]) -1</f>
        <v>473</v>
      </c>
      <c r="M194" s="48">
        <f>NETWORKDAYS(IF(ISTEXT(G193), DT_B_CORC, G193), TAB_CORRECAO_U[[#This Row],[dt_eve_u]], TAB_FERIADOS[FER_DATA]) -1</f>
        <v>21</v>
      </c>
      <c r="N194" s="78">
        <f>(TX_EMISSAO/100 +1)^(TAB_CORRECAO_U[[#This Row],[dias_periodo_u]]/252)</f>
        <v>1.0020598362698427</v>
      </c>
      <c r="O194" s="78">
        <f>(TIR_U/100 +1)^(TAB_CORRECAO_U[[#This Row],[Q_DIAS_U_PARC_TIR]]/252)</f>
        <v>1.0474437097005198</v>
      </c>
      <c r="P194" s="116" t="str">
        <f>"TX_CENARIO" &amp; TEXT(DT_CALCULO_C, "-AAAAMMDD") &amp; TEXT(TAB_CORRECAO_U[[#This Row],[DT_EVE]], "-AAAAMMDD")</f>
        <v>TX_CENARIO-20151228-20171110</v>
      </c>
      <c r="Q194" s="44">
        <f>IFERROR(VLOOKUP(TAB_CORRECAO_U[[#This Row],[Chave-CENARIO]],CENARIO[],2,FALSE), 0)</f>
        <v>16.476400000000002</v>
      </c>
      <c r="R194" s="116" t="str">
        <f>"CORRECAO_CORC_U" &amp; TEXT(DT_CALCULO_C, "-AAAAMMDD") &amp; TEXT(TAB_CORRECAO_U[[#This Row],[DT_EVE]], "-AAAAMMDD")</f>
        <v>CORRECAO_CORC_U-20151228-20171110</v>
      </c>
      <c r="S194" s="44">
        <f>IFERROR(VLOOKUP(TAB_CORRECAO_U[[#This Row],[Chave-CORC]],CORRECAO_CORC_U[],2, FALSE), 0)</f>
        <v>1.01315238</v>
      </c>
      <c r="T194" s="78">
        <f>MAX(0, IF(TAB_CORRECAO_U[[#This Row],[ID_T_EVE]]= 5, TAB_CORRECAO_U[[#This Row],[PU_AMORT]],TAB_CORRECAO_U[[#This Row],[V_NOML_PCPL]]) * (TAB_CORRECAO_U[[#This Row],[CORRECAO_U]] -1))</f>
        <v>1051.37598292897</v>
      </c>
      <c r="U194" s="78">
        <f>MAX(0, TAB_CORRECAO_U[[#This Row],[V_FUT_U_CORC-01]]/((((TAB_CORRECAO_U[[#This Row],[TX_CENARIO]]/100 +1)^(1/252) -1) * PC_IDXR/100 +1)^TAB_CORRECAO_U[[#This Row],[Q_DIAS_U_PARC_TIR]]))</f>
        <v>789.64245765883209</v>
      </c>
      <c r="V194" s="78">
        <f>TAB_CORRECAO_U[[#This Row],[V_FUT_U_CORC-02]]/TAB_CORRECAO_U[[#This Row],[VAR_DESCAP_U]]</f>
        <v>753.87579336803026</v>
      </c>
      <c r="W194" s="78"/>
      <c r="X194" s="101">
        <f>TAB_CORRECAO_U[[#This Row],[dt_eve_u]]- DT_CALCULO_C</f>
        <v>683</v>
      </c>
      <c r="Y194" s="48" t="str">
        <f>"CORRECAO_CORC_C" &amp; TEXT(DT_CALCULO_C, "-AAAAMMDD") &amp; TEXT(TAB_CORRECAO_U[[#This Row],[DT_EVE]], "-AAAAMMDD")</f>
        <v>CORRECAO_CORC_C-20151228-20171110</v>
      </c>
      <c r="Z194" s="44">
        <f>IFERROR(VLOOKUP(TAB_CORRECAO_C[[#This Row],[Chave-CORC]],CORRECAO_CORC_C[],2, FALSE), 0)</f>
        <v>1</v>
      </c>
      <c r="AA19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4" s="44">
        <f>(TIR_C/100 +1)^(TAB_CORRECAO_C[[#This Row],[DIAS_CORRIDOS]]/360)</f>
        <v>1.0472681893767806</v>
      </c>
      <c r="AC194" s="78">
        <f>IF(TAB_CORRECAO_C[[#This Row],[DIAS_CORRIDOS]]&lt;0, 0, TAB_CORRECAO_C[[#This Row],[V_FUT_C_CORC]]/TAB_CORRECAO_C[[#This Row],[VAR_DESCAP_C]])</f>
        <v>0</v>
      </c>
      <c r="AD194" s="113">
        <f>TAB_CORRECAO_U[[#This Row],[V_FUT_U_CORC-02]]</f>
        <v>789.64245765883209</v>
      </c>
      <c r="AE194" s="126">
        <f>IF(TAB_CORRECAO_C[[#This Row],[DIAS_CORRIDOS]]&lt;0, 0, TAB_CORRECAO_C[[#This Row],[V_FUT_UTEIS]]/TAB_CORRECAO_C[[#This Row],[VAR_DESCAP_C]])</f>
        <v>754.00214163741657</v>
      </c>
      <c r="AF194" s="64"/>
    </row>
    <row r="195" spans="1:32">
      <c r="A195" s="82">
        <f t="shared" si="4"/>
        <v>24</v>
      </c>
      <c r="B195" s="24">
        <f>VLOOKUP($A195, CAD_ATUALIZACAO[#Data], MATCH(B$171, CAD_ATUALIZACAO[#Headers],0), FALSE)</f>
        <v>3</v>
      </c>
      <c r="C195" s="24" t="str">
        <f>VLOOKUP($A195, CAD_ATUALIZACAO[#Data], MATCH(C$171, CAD_ATUALIZACAO[#Headers],0), FALSE)</f>
        <v xml:space="preserve">ATUALIZACAO SOBRE PRINCIPAL                       </v>
      </c>
      <c r="D195" s="36">
        <f>VLOOKUP($A195, CAD_ATUALIZACAO[#Data], MATCH(D$171, CAD_ATUALIZACAO[#Headers],0), FALSE)</f>
        <v>43077</v>
      </c>
      <c r="E195" s="48">
        <f>VLOOKUP($A195, CAD_ATUALIZACAO[#Data], MATCH(E$171, CAD_ATUALIZACAO[#Headers],0), FALSE)</f>
        <v>0</v>
      </c>
      <c r="F195" s="36">
        <f>VLOOKUP($A195, CAD_ATUALIZACAO[#Data], MATCH(F$171, CAD_ATUALIZACAO[#Headers],0), FALSE)</f>
        <v>43083</v>
      </c>
      <c r="G195" s="47">
        <f>WORKDAY(WORKDAY(TAB_CORRECAO_U[[#This Row],[DT_EVE]], -1, TAB_FERIADOS[FER_DATA]), 1, TAB_FERIADOS[FER_DATA])</f>
        <v>43077</v>
      </c>
      <c r="H195" s="75">
        <f>WORKDAY(WORKDAY(TAB_CORRECAO_U[[#This Row],[DT_LQDC_EVE]], -1, TAB_FERIADOS[FER_DATA]), 1, TAB_FERIADOS[FER_DATA])</f>
        <v>43083</v>
      </c>
      <c r="I195" s="48">
        <f>PU_EMISSAO - SUMIF(TAB_AMORTIZACAO_U[dt_eve_u], "&lt;" &amp; TAB_CORRECAO_U[[#This Row],[dt_eve_u]], TAB_AMORTIZACAO_U[V_PU_AMTC])</f>
        <v>79117.833729000005</v>
      </c>
      <c r="J195" s="48">
        <f>IFERROR(VLOOKUP(TAB_CORRECAO_U[[#This Row],[DT_EVE]], TAB_AMORTIZACAO_U[[DT_EVE]:[V_PU_AMTC]], 2, FALSE), 0)</f>
        <v>818.07839999999999</v>
      </c>
      <c r="K195" s="48">
        <f>NETWORKDAYS(DT_CALCULO_U, TAB_CORRECAO_U[[#This Row],[dt_eve_u]], TAB_FERIADOS[FER_DATA]) -1</f>
        <v>489</v>
      </c>
      <c r="L195" s="48">
        <f>NETWORKDAYS(DT_CALCULO_U, TAB_CORRECAO_U[[#This Row],[dt_lqdc_eve_u]], TAB_FERIADOS[FER_DATA]) -1</f>
        <v>493</v>
      </c>
      <c r="M195" s="48">
        <f>NETWORKDAYS(IF(ISTEXT(G194), DT_B_CORC, G194), TAB_CORRECAO_U[[#This Row],[dt_eve_u]], TAB_FERIADOS[FER_DATA]) -1</f>
        <v>19</v>
      </c>
      <c r="N195" s="78">
        <f>(TX_EMISSAO/100 +1)^(TAB_CORRECAO_U[[#This Row],[dias_periodo_u]]/252)</f>
        <v>1.0018634787225431</v>
      </c>
      <c r="O195" s="78">
        <f>(TIR_U/100 +1)^(TAB_CORRECAO_U[[#This Row],[Q_DIAS_U_PARC_TIR]]/252)</f>
        <v>1.0494986519814147</v>
      </c>
      <c r="P195" s="116" t="str">
        <f>"TX_CENARIO" &amp; TEXT(DT_CALCULO_C, "-AAAAMMDD") &amp; TEXT(TAB_CORRECAO_U[[#This Row],[DT_EVE]], "-AAAAMMDD")</f>
        <v>TX_CENARIO-20151228-20171208</v>
      </c>
      <c r="Q195" s="44">
        <f>IFERROR(VLOOKUP(TAB_CORRECAO_U[[#This Row],[Chave-CENARIO]],CENARIO[],2,FALSE), 0)</f>
        <v>16.495100000000001</v>
      </c>
      <c r="R195" s="116" t="str">
        <f>"CORRECAO_CORC_U" &amp; TEXT(DT_CALCULO_C, "-AAAAMMDD") &amp; TEXT(TAB_CORRECAO_U[[#This Row],[DT_EVE]], "-AAAAMMDD")</f>
        <v>CORRECAO_CORC_U-20151228-20171208</v>
      </c>
      <c r="S195" s="44">
        <f>IFERROR(VLOOKUP(TAB_CORRECAO_U[[#This Row],[Chave-CORC]],CORRECAO_CORC_U[],2, FALSE), 0)</f>
        <v>1.01189236</v>
      </c>
      <c r="T195" s="78">
        <f>MAX(0, IF(TAB_CORRECAO_U[[#This Row],[ID_T_EVE]]= 5, TAB_CORRECAO_U[[#This Row],[PU_AMORT]],TAB_CORRECAO_U[[#This Row],[V_NOML_PCPL]]) * (TAB_CORRECAO_U[[#This Row],[CORRECAO_U]] -1))</f>
        <v>940.89776112541415</v>
      </c>
      <c r="U195" s="78">
        <f>MAX(0, TAB_CORRECAO_U[[#This Row],[V_FUT_U_CORC-01]]/((((TAB_CORRECAO_U[[#This Row],[TX_CENARIO]]/100 +1)^(1/252) -1) * PC_IDXR/100 +1)^TAB_CORRECAO_U[[#This Row],[Q_DIAS_U_PARC_TIR]]))</f>
        <v>697.94548156600092</v>
      </c>
      <c r="V195" s="78">
        <f>TAB_CORRECAO_U[[#This Row],[V_FUT_U_CORC-02]]/TAB_CORRECAO_U[[#This Row],[VAR_DESCAP_U]]</f>
        <v>665.02751599376109</v>
      </c>
      <c r="W195" s="78"/>
      <c r="X195" s="101">
        <f>TAB_CORRECAO_U[[#This Row],[dt_eve_u]]- DT_CALCULO_C</f>
        <v>711</v>
      </c>
      <c r="Y195" s="48" t="str">
        <f>"CORRECAO_CORC_C" &amp; TEXT(DT_CALCULO_C, "-AAAAMMDD") &amp; TEXT(TAB_CORRECAO_U[[#This Row],[DT_EVE]], "-AAAAMMDD")</f>
        <v>CORRECAO_CORC_C-20151228-20171208</v>
      </c>
      <c r="Z195" s="44">
        <f>IFERROR(VLOOKUP(TAB_CORRECAO_C[[#This Row],[Chave-CORC]],CORRECAO_CORC_C[],2, FALSE), 0)</f>
        <v>1</v>
      </c>
      <c r="AA19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5" s="44">
        <f>(TIR_C/100 +1)^(TAB_CORRECAO_C[[#This Row],[DIAS_CORRIDOS]]/360)</f>
        <v>1.0492529487437916</v>
      </c>
      <c r="AC195" s="78">
        <f>IF(TAB_CORRECAO_C[[#This Row],[DIAS_CORRIDOS]]&lt;0, 0, TAB_CORRECAO_C[[#This Row],[V_FUT_C_CORC]]/TAB_CORRECAO_C[[#This Row],[VAR_DESCAP_C]])</f>
        <v>0</v>
      </c>
      <c r="AD195" s="113">
        <f>TAB_CORRECAO_U[[#This Row],[V_FUT_U_CORC-02]]</f>
        <v>697.94548156600092</v>
      </c>
      <c r="AE195" s="126">
        <f>IF(TAB_CORRECAO_C[[#This Row],[DIAS_CORRIDOS]]&lt;0, 0, TAB_CORRECAO_C[[#This Row],[V_FUT_UTEIS]]/TAB_CORRECAO_C[[#This Row],[VAR_DESCAP_C]])</f>
        <v>665.18324528094934</v>
      </c>
      <c r="AF195" s="64"/>
    </row>
    <row r="196" spans="1:32">
      <c r="A196" s="82">
        <f t="shared" si="4"/>
        <v>25</v>
      </c>
      <c r="B196" s="24">
        <f>VLOOKUP($A196, CAD_ATUALIZACAO[#Data], MATCH(B$171, CAD_ATUALIZACAO[#Headers],0), FALSE)</f>
        <v>3</v>
      </c>
      <c r="C196" s="24" t="str">
        <f>VLOOKUP($A196, CAD_ATUALIZACAO[#Data], MATCH(C$171, CAD_ATUALIZACAO[#Headers],0), FALSE)</f>
        <v xml:space="preserve">ATUALIZACAO SOBRE PRINCIPAL                       </v>
      </c>
      <c r="D196" s="36">
        <f>VLOOKUP($A196, CAD_ATUALIZACAO[#Data], MATCH(D$171, CAD_ATUALIZACAO[#Headers],0), FALSE)</f>
        <v>43109</v>
      </c>
      <c r="E196" s="48">
        <f>VLOOKUP($A196, CAD_ATUALIZACAO[#Data], MATCH(E$171, CAD_ATUALIZACAO[#Headers],0), FALSE)</f>
        <v>0</v>
      </c>
      <c r="F196" s="36">
        <f>VLOOKUP($A196, CAD_ATUALIZACAO[#Data], MATCH(F$171, CAD_ATUALIZACAO[#Headers],0), FALSE)</f>
        <v>43115</v>
      </c>
      <c r="G196" s="47">
        <f>WORKDAY(WORKDAY(TAB_CORRECAO_U[[#This Row],[DT_EVE]], -1, TAB_FERIADOS[FER_DATA]), 1, TAB_FERIADOS[FER_DATA])</f>
        <v>43109</v>
      </c>
      <c r="H196" s="75">
        <f>WORKDAY(WORKDAY(TAB_CORRECAO_U[[#This Row],[DT_LQDC_EVE]], -1, TAB_FERIADOS[FER_DATA]), 1, TAB_FERIADOS[FER_DATA])</f>
        <v>43115</v>
      </c>
      <c r="I196" s="48">
        <f>PU_EMISSAO - SUMIF(TAB_AMORTIZACAO_U[dt_eve_u], "&lt;" &amp; TAB_CORRECAO_U[[#This Row],[dt_eve_u]], TAB_AMORTIZACAO_U[V_PU_AMTC])</f>
        <v>78299.755329000007</v>
      </c>
      <c r="J196" s="48">
        <f>IFERROR(VLOOKUP(TAB_CORRECAO_U[[#This Row],[DT_EVE]], TAB_AMORTIZACAO_U[[DT_EVE]:[V_PU_AMTC]], 2, FALSE), 0)</f>
        <v>900.91698399999996</v>
      </c>
      <c r="K196" s="48">
        <f>NETWORKDAYS(DT_CALCULO_U, TAB_CORRECAO_U[[#This Row],[dt_eve_u]], TAB_FERIADOS[FER_DATA]) -1</f>
        <v>509</v>
      </c>
      <c r="L196" s="48">
        <f>NETWORKDAYS(DT_CALCULO_U, TAB_CORRECAO_U[[#This Row],[dt_lqdc_eve_u]], TAB_FERIADOS[FER_DATA]) -1</f>
        <v>513</v>
      </c>
      <c r="M196" s="48">
        <f>NETWORKDAYS(IF(ISTEXT(G195), DT_B_CORC, G195), TAB_CORRECAO_U[[#This Row],[dt_eve_u]], TAB_FERIADOS[FER_DATA]) -1</f>
        <v>20</v>
      </c>
      <c r="N196" s="78">
        <f>(TX_EMISSAO/100 +1)^(TAB_CORRECAO_U[[#This Row],[dias_periodo_u]]/252)</f>
        <v>1.0019616526860928</v>
      </c>
      <c r="O196" s="78">
        <f>(TIR_U/100 +1)^(TAB_CORRECAO_U[[#This Row],[Q_DIAS_U_PARC_TIR]]/252)</f>
        <v>1.0515576257799357</v>
      </c>
      <c r="P196" s="116" t="str">
        <f>"TX_CENARIO" &amp; TEXT(DT_CALCULO_C, "-AAAAMMDD") &amp; TEXT(TAB_CORRECAO_U[[#This Row],[DT_EVE]], "-AAAAMMDD")</f>
        <v>TX_CENARIO-20151228-20180109</v>
      </c>
      <c r="Q196" s="44">
        <f>IFERROR(VLOOKUP(TAB_CORRECAO_U[[#This Row],[Chave-CENARIO]],CENARIO[],2,FALSE), 0)</f>
        <v>16.518799999999999</v>
      </c>
      <c r="R196" s="116" t="str">
        <f>"CORRECAO_CORC_U" &amp; TEXT(DT_CALCULO_C, "-AAAAMMDD") &amp; TEXT(TAB_CORRECAO_U[[#This Row],[DT_EVE]], "-AAAAMMDD")</f>
        <v>CORRECAO_CORC_U-20151228-20180109</v>
      </c>
      <c r="S196" s="44">
        <f>IFERROR(VLOOKUP(TAB_CORRECAO_U[[#This Row],[Chave-CORC]],CORRECAO_CORC_U[],2, FALSE), 0)</f>
        <v>1.0125591599999999</v>
      </c>
      <c r="T196" s="78">
        <f>MAX(0, IF(TAB_CORRECAO_U[[#This Row],[ID_T_EVE]]= 5, TAB_CORRECAO_U[[#This Row],[PU_AMORT]],TAB_CORRECAO_U[[#This Row],[V_NOML_PCPL]]) * (TAB_CORRECAO_U[[#This Row],[CORRECAO_U]] -1))</f>
        <v>983.37915513775613</v>
      </c>
      <c r="U196" s="78">
        <f>MAX(0, TAB_CORRECAO_U[[#This Row],[V_FUT_U_CORC-01]]/((((TAB_CORRECAO_U[[#This Row],[TX_CENARIO]]/100 +1)^(1/252) -1) * PC_IDXR/100 +1)^TAB_CORRECAO_U[[#This Row],[Q_DIAS_U_PARC_TIR]]))</f>
        <v>720.37346278174437</v>
      </c>
      <c r="V196" s="78">
        <f>TAB_CORRECAO_U[[#This Row],[V_FUT_U_CORC-02]]/TAB_CORRECAO_U[[#This Row],[VAR_DESCAP_U]]</f>
        <v>685.05371947395327</v>
      </c>
      <c r="W196" s="78"/>
      <c r="X196" s="101">
        <f>TAB_CORRECAO_U[[#This Row],[dt_eve_u]]- DT_CALCULO_C</f>
        <v>743</v>
      </c>
      <c r="Y196" s="48" t="str">
        <f>"CORRECAO_CORC_C" &amp; TEXT(DT_CALCULO_C, "-AAAAMMDD") &amp; TEXT(TAB_CORRECAO_U[[#This Row],[DT_EVE]], "-AAAAMMDD")</f>
        <v>CORRECAO_CORC_C-20151228-20180109</v>
      </c>
      <c r="Z196" s="44">
        <f>IFERROR(VLOOKUP(TAB_CORRECAO_C[[#This Row],[Chave-CORC]],CORRECAO_CORC_C[],2, FALSE), 0)</f>
        <v>1</v>
      </c>
      <c r="AA19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6" s="44">
        <f>(TIR_C/100 +1)^(TAB_CORRECAO_C[[#This Row],[DIAS_CORRIDOS]]/360)</f>
        <v>1.0515258514625467</v>
      </c>
      <c r="AC196" s="78">
        <f>IF(TAB_CORRECAO_C[[#This Row],[DIAS_CORRIDOS]]&lt;0, 0, TAB_CORRECAO_C[[#This Row],[V_FUT_C_CORC]]/TAB_CORRECAO_C[[#This Row],[VAR_DESCAP_C]])</f>
        <v>0</v>
      </c>
      <c r="AD196" s="113">
        <f>TAB_CORRECAO_U[[#This Row],[V_FUT_U_CORC-02]]</f>
        <v>720.37346278174437</v>
      </c>
      <c r="AE196" s="126">
        <f>IF(TAB_CORRECAO_C[[#This Row],[DIAS_CORRIDOS]]&lt;0, 0, TAB_CORRECAO_C[[#This Row],[V_FUT_UTEIS]]/TAB_CORRECAO_C[[#This Row],[VAR_DESCAP_C]])</f>
        <v>685.07441997720832</v>
      </c>
      <c r="AF196" s="64"/>
    </row>
    <row r="197" spans="1:32">
      <c r="A197" s="82">
        <f t="shared" si="4"/>
        <v>26</v>
      </c>
      <c r="B197" s="24">
        <f>VLOOKUP($A197, CAD_ATUALIZACAO[#Data], MATCH(B$171, CAD_ATUALIZACAO[#Headers],0), FALSE)</f>
        <v>3</v>
      </c>
      <c r="C197" s="24" t="str">
        <f>VLOOKUP($A197, CAD_ATUALIZACAO[#Data], MATCH(C$171, CAD_ATUALIZACAO[#Headers],0), FALSE)</f>
        <v xml:space="preserve">ATUALIZACAO SOBRE PRINCIPAL                       </v>
      </c>
      <c r="D197" s="36">
        <f>VLOOKUP($A197, CAD_ATUALIZACAO[#Data], MATCH(D$171, CAD_ATUALIZACAO[#Headers],0), FALSE)</f>
        <v>43143</v>
      </c>
      <c r="E197" s="48">
        <f>VLOOKUP($A197, CAD_ATUALIZACAO[#Data], MATCH(E$171, CAD_ATUALIZACAO[#Headers],0), FALSE)</f>
        <v>0</v>
      </c>
      <c r="F197" s="36">
        <f>VLOOKUP($A197, CAD_ATUALIZACAO[#Data], MATCH(F$171, CAD_ATUALIZACAO[#Headers],0), FALSE)</f>
        <v>43147</v>
      </c>
      <c r="G197" s="47">
        <f>WORKDAY(WORKDAY(TAB_CORRECAO_U[[#This Row],[DT_EVE]], -1, TAB_FERIADOS[FER_DATA]), 1, TAB_FERIADOS[FER_DATA])</f>
        <v>43145</v>
      </c>
      <c r="H197" s="75">
        <f>WORKDAY(WORKDAY(TAB_CORRECAO_U[[#This Row],[DT_LQDC_EVE]], -1, TAB_FERIADOS[FER_DATA]), 1, TAB_FERIADOS[FER_DATA])</f>
        <v>43147</v>
      </c>
      <c r="I197" s="48">
        <f>PU_EMISSAO - SUMIF(TAB_AMORTIZACAO_U[dt_eve_u], "&lt;" &amp; TAB_CORRECAO_U[[#This Row],[dt_eve_u]], TAB_AMORTIZACAO_U[V_PU_AMTC])</f>
        <v>77398.838344999996</v>
      </c>
      <c r="J197" s="48">
        <f>IFERROR(VLOOKUP(TAB_CORRECAO_U[[#This Row],[DT_EVE]], TAB_AMORTIZACAO_U[[DT_EVE]:[V_PU_AMTC]], 2, FALSE), 0)</f>
        <v>873.678087</v>
      </c>
      <c r="K197" s="48">
        <f>NETWORKDAYS(DT_CALCULO_U, TAB_CORRECAO_U[[#This Row],[dt_eve_u]], TAB_FERIADOS[FER_DATA]) -1</f>
        <v>533</v>
      </c>
      <c r="L197" s="48">
        <f>NETWORKDAYS(DT_CALCULO_U, TAB_CORRECAO_U[[#This Row],[dt_lqdc_eve_u]], TAB_FERIADOS[FER_DATA]) -1</f>
        <v>535</v>
      </c>
      <c r="M197" s="48">
        <f>NETWORKDAYS(IF(ISTEXT(G196), DT_B_CORC, G196), TAB_CORRECAO_U[[#This Row],[dt_eve_u]], TAB_FERIADOS[FER_DATA]) -1</f>
        <v>24</v>
      </c>
      <c r="N197" s="78">
        <f>(TX_EMISSAO/100 +1)^(TAB_CORRECAO_U[[#This Row],[dias_periodo_u]]/252)</f>
        <v>1.0023544447517205</v>
      </c>
      <c r="O197" s="78">
        <f>(TIR_U/100 +1)^(TAB_CORRECAO_U[[#This Row],[Q_DIAS_U_PARC_TIR]]/252)</f>
        <v>1.0538271628013669</v>
      </c>
      <c r="P197" s="116" t="str">
        <f>"TX_CENARIO" &amp; TEXT(DT_CALCULO_C, "-AAAAMMDD") &amp; TEXT(TAB_CORRECAO_U[[#This Row],[DT_EVE]], "-AAAAMMDD")</f>
        <v>TX_CENARIO-20151228-20180212</v>
      </c>
      <c r="Q197" s="44">
        <f>IFERROR(VLOOKUP(TAB_CORRECAO_U[[#This Row],[Chave-CENARIO]],CENARIO[],2,FALSE), 0)</f>
        <v>16.551200000000001</v>
      </c>
      <c r="R197" s="116" t="str">
        <f>"CORRECAO_CORC_U" &amp; TEXT(DT_CALCULO_C, "-AAAAMMDD") &amp; TEXT(TAB_CORRECAO_U[[#This Row],[DT_EVE]], "-AAAAMMDD")</f>
        <v>CORRECAO_CORC_U-20151228-20180212</v>
      </c>
      <c r="S197" s="44">
        <f>IFERROR(VLOOKUP(TAB_CORRECAO_U[[#This Row],[Chave-CORC]],CORRECAO_CORC_U[],2, FALSE), 0)</f>
        <v>1.01522336</v>
      </c>
      <c r="T197" s="78">
        <f>MAX(0, IF(TAB_CORRECAO_U[[#This Row],[ID_T_EVE]]= 5, TAB_CORRECAO_U[[#This Row],[PU_AMORT]],TAB_CORRECAO_U[[#This Row],[V_NOML_PCPL]]) * (TAB_CORRECAO_U[[#This Row],[CORRECAO_U]] -1))</f>
        <v>1178.2703797077406</v>
      </c>
      <c r="U197" s="78">
        <f>MAX(0, TAB_CORRECAO_U[[#This Row],[V_FUT_U_CORC-01]]/((((TAB_CORRECAO_U[[#This Row],[TX_CENARIO]]/100 +1)^(1/252) -1) * PC_IDXR/100 +1)^TAB_CORRECAO_U[[#This Row],[Q_DIAS_U_PARC_TIR]]))</f>
        <v>851.19457204793139</v>
      </c>
      <c r="V197" s="78">
        <f>TAB_CORRECAO_U[[#This Row],[V_FUT_U_CORC-02]]/TAB_CORRECAO_U[[#This Row],[VAR_DESCAP_U]]</f>
        <v>807.71743421873703</v>
      </c>
      <c r="W197" s="78"/>
      <c r="X197" s="101">
        <f>TAB_CORRECAO_U[[#This Row],[dt_eve_u]]- DT_CALCULO_C</f>
        <v>779</v>
      </c>
      <c r="Y197" s="48" t="str">
        <f>"CORRECAO_CORC_C" &amp; TEXT(DT_CALCULO_C, "-AAAAMMDD") &amp; TEXT(TAB_CORRECAO_U[[#This Row],[DT_EVE]], "-AAAAMMDD")</f>
        <v>CORRECAO_CORC_C-20151228-20180212</v>
      </c>
      <c r="Z197" s="44">
        <f>IFERROR(VLOOKUP(TAB_CORRECAO_C[[#This Row],[Chave-CORC]],CORRECAO_CORC_C[],2, FALSE), 0)</f>
        <v>1</v>
      </c>
      <c r="AA19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7" s="44">
        <f>(TIR_C/100 +1)^(TAB_CORRECAO_C[[#This Row],[DIAS_CORRIDOS]]/360)</f>
        <v>1.0540887527755682</v>
      </c>
      <c r="AC197" s="78">
        <f>IF(TAB_CORRECAO_C[[#This Row],[DIAS_CORRIDOS]]&lt;0, 0, TAB_CORRECAO_C[[#This Row],[V_FUT_C_CORC]]/TAB_CORRECAO_C[[#This Row],[VAR_DESCAP_C]])</f>
        <v>0</v>
      </c>
      <c r="AD197" s="113">
        <f>TAB_CORRECAO_U[[#This Row],[V_FUT_U_CORC-02]]</f>
        <v>851.19457204793139</v>
      </c>
      <c r="AE197" s="126">
        <f>IF(TAB_CORRECAO_C[[#This Row],[DIAS_CORRIDOS]]&lt;0, 0, TAB_CORRECAO_C[[#This Row],[V_FUT_UTEIS]]/TAB_CORRECAO_C[[#This Row],[VAR_DESCAP_C]])</f>
        <v>807.51698545934858</v>
      </c>
      <c r="AF197" s="64"/>
    </row>
    <row r="198" spans="1:32">
      <c r="A198" s="82">
        <f t="shared" si="4"/>
        <v>27</v>
      </c>
      <c r="B198" s="24">
        <f>VLOOKUP($A198, CAD_ATUALIZACAO[#Data], MATCH(B$171, CAD_ATUALIZACAO[#Headers],0), FALSE)</f>
        <v>3</v>
      </c>
      <c r="C198" s="24" t="str">
        <f>VLOOKUP($A198, CAD_ATUALIZACAO[#Data], MATCH(C$171, CAD_ATUALIZACAO[#Headers],0), FALSE)</f>
        <v xml:space="preserve">ATUALIZACAO SOBRE PRINCIPAL                       </v>
      </c>
      <c r="D198" s="36">
        <f>VLOOKUP($A198, CAD_ATUALIZACAO[#Data], MATCH(D$171, CAD_ATUALIZACAO[#Headers],0), FALSE)</f>
        <v>43167</v>
      </c>
      <c r="E198" s="48">
        <f>VLOOKUP($A198, CAD_ATUALIZACAO[#Data], MATCH(E$171, CAD_ATUALIZACAO[#Headers],0), FALSE)</f>
        <v>0</v>
      </c>
      <c r="F198" s="36">
        <f>VLOOKUP($A198, CAD_ATUALIZACAO[#Data], MATCH(F$171, CAD_ATUALIZACAO[#Headers],0), FALSE)</f>
        <v>43173</v>
      </c>
      <c r="G198" s="47">
        <f>WORKDAY(WORKDAY(TAB_CORRECAO_U[[#This Row],[DT_EVE]], -1, TAB_FERIADOS[FER_DATA]), 1, TAB_FERIADOS[FER_DATA])</f>
        <v>43167</v>
      </c>
      <c r="H198" s="75">
        <f>WORKDAY(WORKDAY(TAB_CORRECAO_U[[#This Row],[DT_LQDC_EVE]], -1, TAB_FERIADOS[FER_DATA]), 1, TAB_FERIADOS[FER_DATA])</f>
        <v>43173</v>
      </c>
      <c r="I198" s="48">
        <f>PU_EMISSAO - SUMIF(TAB_AMORTIZACAO_U[dt_eve_u], "&lt;" &amp; TAB_CORRECAO_U[[#This Row],[dt_eve_u]], TAB_AMORTIZACAO_U[V_PU_AMTC])</f>
        <v>76525.160258000004</v>
      </c>
      <c r="J198" s="48">
        <f>IFERROR(VLOOKUP(TAB_CORRECAO_U[[#This Row],[DT_EVE]], TAB_AMORTIZACAO_U[[DT_EVE]:[V_PU_AMTC]], 2, FALSE), 0)</f>
        <v>894.42607299999997</v>
      </c>
      <c r="K198" s="48">
        <f>NETWORKDAYS(DT_CALCULO_U, TAB_CORRECAO_U[[#This Row],[dt_eve_u]], TAB_FERIADOS[FER_DATA]) -1</f>
        <v>549</v>
      </c>
      <c r="L198" s="48">
        <f>NETWORKDAYS(DT_CALCULO_U, TAB_CORRECAO_U[[#This Row],[dt_lqdc_eve_u]], TAB_FERIADOS[FER_DATA]) -1</f>
        <v>553</v>
      </c>
      <c r="M198" s="48">
        <f>NETWORKDAYS(IF(ISTEXT(G197), DT_B_CORC, G197), TAB_CORRECAO_U[[#This Row],[dt_eve_u]], TAB_FERIADOS[FER_DATA]) -1</f>
        <v>16</v>
      </c>
      <c r="N198" s="78">
        <f>(TX_EMISSAO/100 +1)^(TAB_CORRECAO_U[[#This Row],[dias_periodo_u]]/252)</f>
        <v>1.0015690145436684</v>
      </c>
      <c r="O198" s="78">
        <f>(TIR_U/100 +1)^(TAB_CORRECAO_U[[#This Row],[Q_DIAS_U_PARC_TIR]]/252)</f>
        <v>1.0556876995825319</v>
      </c>
      <c r="P198" s="116" t="str">
        <f>"TX_CENARIO" &amp; TEXT(DT_CALCULO_C, "-AAAAMMDD") &amp; TEXT(TAB_CORRECAO_U[[#This Row],[DT_EVE]], "-AAAAMMDD")</f>
        <v>TX_CENARIO-20151228-20180308</v>
      </c>
      <c r="Q198" s="44">
        <f>IFERROR(VLOOKUP(TAB_CORRECAO_U[[#This Row],[Chave-CENARIO]],CENARIO[],2,FALSE), 0)</f>
        <v>16.575800000000001</v>
      </c>
      <c r="R198" s="116" t="str">
        <f>"CORRECAO_CORC_U" &amp; TEXT(DT_CALCULO_C, "-AAAAMMDD") &amp; TEXT(TAB_CORRECAO_U[[#This Row],[DT_EVE]], "-AAAAMMDD")</f>
        <v>CORRECAO_CORC_U-20151228-20180308</v>
      </c>
      <c r="S198" s="44">
        <f>IFERROR(VLOOKUP(TAB_CORRECAO_U[[#This Row],[Chave-CORC]],CORRECAO_CORC_U[],2, FALSE), 0)</f>
        <v>1.0101233300000001</v>
      </c>
      <c r="T198" s="78">
        <f>MAX(0, IF(TAB_CORRECAO_U[[#This Row],[ID_T_EVE]]= 5, TAB_CORRECAO_U[[#This Row],[PU_AMORT]],TAB_CORRECAO_U[[#This Row],[V_NOML_PCPL]]) * (TAB_CORRECAO_U[[#This Row],[CORRECAO_U]] -1))</f>
        <v>774.68945059462658</v>
      </c>
      <c r="U198" s="78">
        <f>MAX(0, TAB_CORRECAO_U[[#This Row],[V_FUT_U_CORC-01]]/((((TAB_CORRECAO_U[[#This Row],[TX_CENARIO]]/100 +1)^(1/252) -1) * PC_IDXR/100 +1)^TAB_CORRECAO_U[[#This Row],[Q_DIAS_U_PARC_TIR]]))</f>
        <v>553.2981253955154</v>
      </c>
      <c r="V198" s="78">
        <f>TAB_CORRECAO_U[[#This Row],[V_FUT_U_CORC-02]]/TAB_CORRECAO_U[[#This Row],[VAR_DESCAP_U]]</f>
        <v>524.11155838446848</v>
      </c>
      <c r="W198" s="78"/>
      <c r="X198" s="101">
        <f>TAB_CORRECAO_U[[#This Row],[dt_eve_u]]- DT_CALCULO_C</f>
        <v>801</v>
      </c>
      <c r="Y198" s="48" t="str">
        <f>"CORRECAO_CORC_C" &amp; TEXT(DT_CALCULO_C, "-AAAAMMDD") &amp; TEXT(TAB_CORRECAO_U[[#This Row],[DT_EVE]], "-AAAAMMDD")</f>
        <v>CORRECAO_CORC_C-20151228-20180308</v>
      </c>
      <c r="Z198" s="44">
        <f>IFERROR(VLOOKUP(TAB_CORRECAO_C[[#This Row],[Chave-CORC]],CORRECAO_CORC_C[],2, FALSE), 0)</f>
        <v>1</v>
      </c>
      <c r="AA19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8" s="44">
        <f>(TIR_C/100 +1)^(TAB_CORRECAO_C[[#This Row],[DIAS_CORRIDOS]]/360)</f>
        <v>1.0556580443756329</v>
      </c>
      <c r="AC198" s="78">
        <f>IF(TAB_CORRECAO_C[[#This Row],[DIAS_CORRIDOS]]&lt;0, 0, TAB_CORRECAO_C[[#This Row],[V_FUT_C_CORC]]/TAB_CORRECAO_C[[#This Row],[VAR_DESCAP_C]])</f>
        <v>0</v>
      </c>
      <c r="AD198" s="113">
        <f>TAB_CORRECAO_U[[#This Row],[V_FUT_U_CORC-02]]</f>
        <v>553.2981253955154</v>
      </c>
      <c r="AE198" s="126">
        <f>IF(TAB_CORRECAO_C[[#This Row],[DIAS_CORRIDOS]]&lt;0, 0, TAB_CORRECAO_C[[#This Row],[V_FUT_UTEIS]]/TAB_CORRECAO_C[[#This Row],[VAR_DESCAP_C]])</f>
        <v>524.12628155811819</v>
      </c>
      <c r="AF198" s="64"/>
    </row>
    <row r="199" spans="1:32">
      <c r="A199" s="82">
        <f t="shared" si="4"/>
        <v>28</v>
      </c>
      <c r="B199" s="24">
        <f>VLOOKUP($A199, CAD_ATUALIZACAO[#Data], MATCH(B$171, CAD_ATUALIZACAO[#Headers],0), FALSE)</f>
        <v>3</v>
      </c>
      <c r="C199" s="24" t="str">
        <f>VLOOKUP($A199, CAD_ATUALIZACAO[#Data], MATCH(C$171, CAD_ATUALIZACAO[#Headers],0), FALSE)</f>
        <v xml:space="preserve">ATUALIZACAO SOBRE PRINCIPAL                       </v>
      </c>
      <c r="D199" s="36">
        <f>VLOOKUP($A199, CAD_ATUALIZACAO[#Data], MATCH(D$171, CAD_ATUALIZACAO[#Headers],0), FALSE)</f>
        <v>43199</v>
      </c>
      <c r="E199" s="48">
        <f>VLOOKUP($A199, CAD_ATUALIZACAO[#Data], MATCH(E$171, CAD_ATUALIZACAO[#Headers],0), FALSE)</f>
        <v>0</v>
      </c>
      <c r="F199" s="36">
        <f>VLOOKUP($A199, CAD_ATUALIZACAO[#Data], MATCH(F$171, CAD_ATUALIZACAO[#Headers],0), FALSE)</f>
        <v>43203</v>
      </c>
      <c r="G199" s="47">
        <f>WORKDAY(WORKDAY(TAB_CORRECAO_U[[#This Row],[DT_EVE]], -1, TAB_FERIADOS[FER_DATA]), 1, TAB_FERIADOS[FER_DATA])</f>
        <v>43199</v>
      </c>
      <c r="H199" s="75">
        <f>WORKDAY(WORKDAY(TAB_CORRECAO_U[[#This Row],[DT_LQDC_EVE]], -1, TAB_FERIADOS[FER_DATA]), 1, TAB_FERIADOS[FER_DATA])</f>
        <v>43203</v>
      </c>
      <c r="I199" s="48">
        <f>PU_EMISSAO - SUMIF(TAB_AMORTIZACAO_U[dt_eve_u], "&lt;" &amp; TAB_CORRECAO_U[[#This Row],[dt_eve_u]], TAB_AMORTIZACAO_U[V_PU_AMTC])</f>
        <v>75630.734185000008</v>
      </c>
      <c r="J199" s="48">
        <f>IFERROR(VLOOKUP(TAB_CORRECAO_U[[#This Row],[DT_EVE]], TAB_AMORTIZACAO_U[[DT_EVE]:[V_PU_AMTC]], 2, FALSE), 0)</f>
        <v>860.82901600000002</v>
      </c>
      <c r="K199" s="48">
        <f>NETWORKDAYS(DT_CALCULO_U, TAB_CORRECAO_U[[#This Row],[dt_eve_u]], TAB_FERIADOS[FER_DATA]) -1</f>
        <v>570</v>
      </c>
      <c r="L199" s="48">
        <f>NETWORKDAYS(DT_CALCULO_U, TAB_CORRECAO_U[[#This Row],[dt_lqdc_eve_u]], TAB_FERIADOS[FER_DATA]) -1</f>
        <v>574</v>
      </c>
      <c r="M199" s="48">
        <f>NETWORKDAYS(IF(ISTEXT(G198), DT_B_CORC, G198), TAB_CORRECAO_U[[#This Row],[dt_eve_u]], TAB_FERIADOS[FER_DATA]) -1</f>
        <v>21</v>
      </c>
      <c r="N199" s="78">
        <f>(TX_EMISSAO/100 +1)^(TAB_CORRECAO_U[[#This Row],[dias_periodo_u]]/252)</f>
        <v>1.0020598362698427</v>
      </c>
      <c r="O199" s="78">
        <f>(TIR_U/100 +1)^(TAB_CORRECAO_U[[#This Row],[Q_DIAS_U_PARC_TIR]]/252)</f>
        <v>1.0578624778392907</v>
      </c>
      <c r="P199" s="116" t="str">
        <f>"TX_CENARIO" &amp; TEXT(DT_CALCULO_C, "-AAAAMMDD") &amp; TEXT(TAB_CORRECAO_U[[#This Row],[DT_EVE]], "-AAAAMMDD")</f>
        <v>TX_CENARIO-20151228-20180409</v>
      </c>
      <c r="Q199" s="44">
        <f>IFERROR(VLOOKUP(TAB_CORRECAO_U[[#This Row],[Chave-CENARIO]],CENARIO[],2,FALSE), 0)</f>
        <v>16.602699999999999</v>
      </c>
      <c r="R199" s="116" t="str">
        <f>"CORRECAO_CORC_U" &amp; TEXT(DT_CALCULO_C, "-AAAAMMDD") &amp; TEXT(TAB_CORRECAO_U[[#This Row],[DT_EVE]], "-AAAAMMDD")</f>
        <v>CORRECAO_CORC_U-20151228-20180409</v>
      </c>
      <c r="S199" s="44">
        <f>IFERROR(VLOOKUP(TAB_CORRECAO_U[[#This Row],[Chave-CORC]],CORRECAO_CORC_U[],2, FALSE), 0)</f>
        <v>1.01330783</v>
      </c>
      <c r="T199" s="78">
        <f>MAX(0, IF(TAB_CORRECAO_U[[#This Row],[ID_T_EVE]]= 5, TAB_CORRECAO_U[[#This Row],[PU_AMORT]],TAB_CORRECAO_U[[#This Row],[V_NOML_PCPL]]) * (TAB_CORRECAO_U[[#This Row],[CORRECAO_U]] -1))</f>
        <v>1006.4809533091702</v>
      </c>
      <c r="U199" s="78">
        <f>MAX(0, TAB_CORRECAO_U[[#This Row],[V_FUT_U_CORC-01]]/((((TAB_CORRECAO_U[[#This Row],[TX_CENARIO]]/100 +1)^(1/252) -1) * PC_IDXR/100 +1)^TAB_CORRECAO_U[[#This Row],[Q_DIAS_U_PARC_TIR]]))</f>
        <v>709.34608867384702</v>
      </c>
      <c r="V199" s="78">
        <f>TAB_CORRECAO_U[[#This Row],[V_FUT_U_CORC-02]]/TAB_CORRECAO_U[[#This Row],[VAR_DESCAP_U]]</f>
        <v>670.54660084239242</v>
      </c>
      <c r="W199" s="78"/>
      <c r="X199" s="101">
        <f>TAB_CORRECAO_U[[#This Row],[dt_eve_u]]- DT_CALCULO_C</f>
        <v>833</v>
      </c>
      <c r="Y199" s="48" t="str">
        <f>"CORRECAO_CORC_C" &amp; TEXT(DT_CALCULO_C, "-AAAAMMDD") &amp; TEXT(TAB_CORRECAO_U[[#This Row],[DT_EVE]], "-AAAAMMDD")</f>
        <v>CORRECAO_CORC_C-20151228-20180409</v>
      </c>
      <c r="Z199" s="44">
        <f>IFERROR(VLOOKUP(TAB_CORRECAO_C[[#This Row],[Chave-CORC]],CORRECAO_CORC_C[],2, FALSE), 0)</f>
        <v>1</v>
      </c>
      <c r="AA19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199" s="44">
        <f>(TIR_C/100 +1)^(TAB_CORRECAO_C[[#This Row],[DIAS_CORRIDOS]]/360)</f>
        <v>1.0579448218795797</v>
      </c>
      <c r="AC199" s="78">
        <f>IF(TAB_CORRECAO_C[[#This Row],[DIAS_CORRIDOS]]&lt;0, 0, TAB_CORRECAO_C[[#This Row],[V_FUT_C_CORC]]/TAB_CORRECAO_C[[#This Row],[VAR_DESCAP_C]])</f>
        <v>0</v>
      </c>
      <c r="AD199" s="113">
        <f>TAB_CORRECAO_U[[#This Row],[V_FUT_U_CORC-02]]</f>
        <v>709.34608867384702</v>
      </c>
      <c r="AE199" s="126">
        <f>IF(TAB_CORRECAO_C[[#This Row],[DIAS_CORRIDOS]]&lt;0, 0, TAB_CORRECAO_C[[#This Row],[V_FUT_UTEIS]]/TAB_CORRECAO_C[[#This Row],[VAR_DESCAP_C]])</f>
        <v>670.49440954169927</v>
      </c>
      <c r="AF199" s="64"/>
    </row>
    <row r="200" spans="1:32">
      <c r="A200" s="82">
        <f t="shared" si="4"/>
        <v>29</v>
      </c>
      <c r="B200" s="24">
        <f>VLOOKUP($A200, CAD_ATUALIZACAO[#Data], MATCH(B$171, CAD_ATUALIZACAO[#Headers],0), FALSE)</f>
        <v>3</v>
      </c>
      <c r="C200" s="24" t="str">
        <f>VLOOKUP($A200, CAD_ATUALIZACAO[#Data], MATCH(C$171, CAD_ATUALIZACAO[#Headers],0), FALSE)</f>
        <v xml:space="preserve">ATUALIZACAO SOBRE PRINCIPAL                       </v>
      </c>
      <c r="D200" s="36">
        <f>VLOOKUP($A200, CAD_ATUALIZACAO[#Data], MATCH(D$171, CAD_ATUALIZACAO[#Headers],0), FALSE)</f>
        <v>43229</v>
      </c>
      <c r="E200" s="48">
        <f>VLOOKUP($A200, CAD_ATUALIZACAO[#Data], MATCH(E$171, CAD_ATUALIZACAO[#Headers],0), FALSE)</f>
        <v>0</v>
      </c>
      <c r="F200" s="36">
        <f>VLOOKUP($A200, CAD_ATUALIZACAO[#Data], MATCH(F$171, CAD_ATUALIZACAO[#Headers],0), FALSE)</f>
        <v>43235</v>
      </c>
      <c r="G200" s="47">
        <f>WORKDAY(WORKDAY(TAB_CORRECAO_U[[#This Row],[DT_EVE]], -1, TAB_FERIADOS[FER_DATA]), 1, TAB_FERIADOS[FER_DATA])</f>
        <v>43229</v>
      </c>
      <c r="H200" s="75">
        <f>WORKDAY(WORKDAY(TAB_CORRECAO_U[[#This Row],[DT_LQDC_EVE]], -1, TAB_FERIADOS[FER_DATA]), 1, TAB_FERIADOS[FER_DATA])</f>
        <v>43235</v>
      </c>
      <c r="I200" s="48">
        <f>PU_EMISSAO - SUMIF(TAB_AMORTIZACAO_U[dt_eve_u], "&lt;" &amp; TAB_CORRECAO_U[[#This Row],[dt_eve_u]], TAB_AMORTIZACAO_U[V_PU_AMTC])</f>
        <v>74769.905169000005</v>
      </c>
      <c r="J200" s="48">
        <f>IFERROR(VLOOKUP(TAB_CORRECAO_U[[#This Row],[DT_EVE]], TAB_AMORTIZACAO_U[[DT_EVE]:[V_PU_AMTC]], 2, FALSE), 0)</f>
        <v>849.75997199999995</v>
      </c>
      <c r="K200" s="48">
        <f>NETWORKDAYS(DT_CALCULO_U, TAB_CORRECAO_U[[#This Row],[dt_eve_u]], TAB_FERIADOS[FER_DATA]) -1</f>
        <v>591</v>
      </c>
      <c r="L200" s="48">
        <f>NETWORKDAYS(DT_CALCULO_U, TAB_CORRECAO_U[[#This Row],[dt_lqdc_eve_u]], TAB_FERIADOS[FER_DATA]) -1</f>
        <v>595</v>
      </c>
      <c r="M200" s="48">
        <f>NETWORKDAYS(IF(ISTEXT(G199), DT_B_CORC, G199), TAB_CORRECAO_U[[#This Row],[dt_eve_u]], TAB_FERIADOS[FER_DATA]) -1</f>
        <v>21</v>
      </c>
      <c r="N200" s="78">
        <f>(TX_EMISSAO/100 +1)^(TAB_CORRECAO_U[[#This Row],[dias_periodo_u]]/252)</f>
        <v>1.0020598362698427</v>
      </c>
      <c r="O200" s="78">
        <f>(TIR_U/100 +1)^(TAB_CORRECAO_U[[#This Row],[Q_DIAS_U_PARC_TIR]]/252)</f>
        <v>1.0600417362661487</v>
      </c>
      <c r="P200" s="116" t="str">
        <f>"TX_CENARIO" &amp; TEXT(DT_CALCULO_C, "-AAAAMMDD") &amp; TEXT(TAB_CORRECAO_U[[#This Row],[DT_EVE]], "-AAAAMMDD")</f>
        <v>TX_CENARIO-20151228-20180509</v>
      </c>
      <c r="Q200" s="44">
        <f>IFERROR(VLOOKUP(TAB_CORRECAO_U[[#This Row],[Chave-CENARIO]],CENARIO[],2,FALSE), 0)</f>
        <v>16.6279</v>
      </c>
      <c r="R200" s="116" t="str">
        <f>"CORRECAO_CORC_U" &amp; TEXT(DT_CALCULO_C, "-AAAAMMDD") &amp; TEXT(TAB_CORRECAO_U[[#This Row],[DT_EVE]], "-AAAAMMDD")</f>
        <v>CORRECAO_CORC_U-20151228-20180509</v>
      </c>
      <c r="S200" s="44">
        <f>IFERROR(VLOOKUP(TAB_CORRECAO_U[[#This Row],[Chave-CORC]],CORRECAO_CORC_U[],2, FALSE), 0)</f>
        <v>1.01330779</v>
      </c>
      <c r="T200" s="78">
        <f>MAX(0, IF(TAB_CORRECAO_U[[#This Row],[ID_T_EVE]]= 5, TAB_CORRECAO_U[[#This Row],[PU_AMORT]],TAB_CORRECAO_U[[#This Row],[V_NOML_PCPL]]) * (TAB_CORRECAO_U[[#This Row],[CORRECAO_U]] -1))</f>
        <v>995.02219630896968</v>
      </c>
      <c r="U200" s="78">
        <f>MAX(0, TAB_CORRECAO_U[[#This Row],[V_FUT_U_CORC-01]]/((((TAB_CORRECAO_U[[#This Row],[TX_CENARIO]]/100 +1)^(1/252) -1) * PC_IDXR/100 +1)^TAB_CORRECAO_U[[#This Row],[Q_DIAS_U_PARC_TIR]]))</f>
        <v>691.99785486243252</v>
      </c>
      <c r="V200" s="78">
        <f>TAB_CORRECAO_U[[#This Row],[V_FUT_U_CORC-02]]/TAB_CORRECAO_U[[#This Row],[VAR_DESCAP_U]]</f>
        <v>652.80246162750143</v>
      </c>
      <c r="W200" s="78"/>
      <c r="X200" s="101">
        <f>TAB_CORRECAO_U[[#This Row],[dt_eve_u]]- DT_CALCULO_C</f>
        <v>863</v>
      </c>
      <c r="Y200" s="48" t="str">
        <f>"CORRECAO_CORC_C" &amp; TEXT(DT_CALCULO_C, "-AAAAMMDD") &amp; TEXT(TAB_CORRECAO_U[[#This Row],[DT_EVE]], "-AAAAMMDD")</f>
        <v>CORRECAO_CORC_C-20151228-20180509</v>
      </c>
      <c r="Z200" s="44">
        <f>IFERROR(VLOOKUP(TAB_CORRECAO_C[[#This Row],[Chave-CORC]],CORRECAO_CORC_C[],2, FALSE), 0)</f>
        <v>1</v>
      </c>
      <c r="AA20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0" s="44">
        <f>(TIR_C/100 +1)^(TAB_CORRECAO_C[[#This Row],[DIAS_CORRIDOS]]/360)</f>
        <v>1.0600931744991782</v>
      </c>
      <c r="AC200" s="78">
        <f>IF(TAB_CORRECAO_C[[#This Row],[DIAS_CORRIDOS]]&lt;0, 0, TAB_CORRECAO_C[[#This Row],[V_FUT_C_CORC]]/TAB_CORRECAO_C[[#This Row],[VAR_DESCAP_C]])</f>
        <v>0</v>
      </c>
      <c r="AD200" s="113">
        <f>TAB_CORRECAO_U[[#This Row],[V_FUT_U_CORC-02]]</f>
        <v>691.99785486243252</v>
      </c>
      <c r="AE200" s="126">
        <f>IF(TAB_CORRECAO_C[[#This Row],[DIAS_CORRIDOS]]&lt;0, 0, TAB_CORRECAO_C[[#This Row],[V_FUT_UTEIS]]/TAB_CORRECAO_C[[#This Row],[VAR_DESCAP_C]])</f>
        <v>652.77078610505566</v>
      </c>
      <c r="AF200" s="64"/>
    </row>
    <row r="201" spans="1:32">
      <c r="A201" s="82">
        <f t="shared" si="4"/>
        <v>30</v>
      </c>
      <c r="B201" s="24">
        <f>VLOOKUP($A201, CAD_ATUALIZACAO[#Data], MATCH(B$171, CAD_ATUALIZACAO[#Headers],0), FALSE)</f>
        <v>3</v>
      </c>
      <c r="C201" s="24" t="str">
        <f>VLOOKUP($A201, CAD_ATUALIZACAO[#Data], MATCH(C$171, CAD_ATUALIZACAO[#Headers],0), FALSE)</f>
        <v xml:space="preserve">ATUALIZACAO SOBRE PRINCIPAL                       </v>
      </c>
      <c r="D201" s="36">
        <f>VLOOKUP($A201, CAD_ATUALIZACAO[#Data], MATCH(D$171, CAD_ATUALIZACAO[#Headers],0), FALSE)</f>
        <v>43259</v>
      </c>
      <c r="E201" s="48">
        <f>VLOOKUP($A201, CAD_ATUALIZACAO[#Data], MATCH(E$171, CAD_ATUALIZACAO[#Headers],0), FALSE)</f>
        <v>0</v>
      </c>
      <c r="F201" s="36">
        <f>VLOOKUP($A201, CAD_ATUALIZACAO[#Data], MATCH(F$171, CAD_ATUALIZACAO[#Headers],0), FALSE)</f>
        <v>43265</v>
      </c>
      <c r="G201" s="47">
        <f>WORKDAY(WORKDAY(TAB_CORRECAO_U[[#This Row],[DT_EVE]], -1, TAB_FERIADOS[FER_DATA]), 1, TAB_FERIADOS[FER_DATA])</f>
        <v>43259</v>
      </c>
      <c r="H201" s="75">
        <f>WORKDAY(WORKDAY(TAB_CORRECAO_U[[#This Row],[DT_LQDC_EVE]], -1, TAB_FERIADOS[FER_DATA]), 1, TAB_FERIADOS[FER_DATA])</f>
        <v>43265</v>
      </c>
      <c r="I201" s="48">
        <f>PU_EMISSAO - SUMIF(TAB_AMORTIZACAO_U[dt_eve_u], "&lt;" &amp; TAB_CORRECAO_U[[#This Row],[dt_eve_u]], TAB_AMORTIZACAO_U[V_PU_AMTC])</f>
        <v>73920.145197000005</v>
      </c>
      <c r="J201" s="48">
        <f>IFERROR(VLOOKUP(TAB_CORRECAO_U[[#This Row],[DT_EVE]], TAB_AMORTIZACAO_U[[DT_EVE]:[V_PU_AMTC]], 2, FALSE), 0)</f>
        <v>838.84580700000004</v>
      </c>
      <c r="K201" s="48">
        <f>NETWORKDAYS(DT_CALCULO_U, TAB_CORRECAO_U[[#This Row],[dt_eve_u]], TAB_FERIADOS[FER_DATA]) -1</f>
        <v>612</v>
      </c>
      <c r="L201" s="48">
        <f>NETWORKDAYS(DT_CALCULO_U, TAB_CORRECAO_U[[#This Row],[dt_lqdc_eve_u]], TAB_FERIADOS[FER_DATA]) -1</f>
        <v>616</v>
      </c>
      <c r="M201" s="48">
        <f>NETWORKDAYS(IF(ISTEXT(G200), DT_B_CORC, G200), TAB_CORRECAO_U[[#This Row],[dt_eve_u]], TAB_FERIADOS[FER_DATA]) -1</f>
        <v>21</v>
      </c>
      <c r="N201" s="78">
        <f>(TX_EMISSAO/100 +1)^(TAB_CORRECAO_U[[#This Row],[dias_periodo_u]]/252)</f>
        <v>1.0020598362698427</v>
      </c>
      <c r="O201" s="78">
        <f>(TIR_U/100 +1)^(TAB_CORRECAO_U[[#This Row],[Q_DIAS_U_PARC_TIR]]/252)</f>
        <v>1.0622254840925183</v>
      </c>
      <c r="P201" s="116" t="str">
        <f>"TX_CENARIO" &amp; TEXT(DT_CALCULO_C, "-AAAAMMDD") &amp; TEXT(TAB_CORRECAO_U[[#This Row],[DT_EVE]], "-AAAAMMDD")</f>
        <v>TX_CENARIO-20151228-20180608</v>
      </c>
      <c r="Q201" s="44">
        <f>IFERROR(VLOOKUP(TAB_CORRECAO_U[[#This Row],[Chave-CENARIO]],CENARIO[],2,FALSE), 0)</f>
        <v>16.651399999999999</v>
      </c>
      <c r="R201" s="116" t="str">
        <f>"CORRECAO_CORC_U" &amp; TEXT(DT_CALCULO_C, "-AAAAMMDD") &amp; TEXT(TAB_CORRECAO_U[[#This Row],[DT_EVE]], "-AAAAMMDD")</f>
        <v>CORRECAO_CORC_U-20151228-20180608</v>
      </c>
      <c r="S201" s="44">
        <f>IFERROR(VLOOKUP(TAB_CORRECAO_U[[#This Row],[Chave-CORC]],CORRECAO_CORC_U[],2, FALSE), 0)</f>
        <v>1.01330779</v>
      </c>
      <c r="T201" s="78">
        <f>MAX(0, IF(TAB_CORRECAO_U[[#This Row],[ID_T_EVE]]= 5, TAB_CORRECAO_U[[#This Row],[PU_AMORT]],TAB_CORRECAO_U[[#This Row],[V_NOML_PCPL]]) * (TAB_CORRECAO_U[[#This Row],[CORRECAO_U]] -1))</f>
        <v>983.7137690511878</v>
      </c>
      <c r="U201" s="78">
        <f>MAX(0, TAB_CORRECAO_U[[#This Row],[V_FUT_U_CORC-01]]/((((TAB_CORRECAO_U[[#This Row],[TX_CENARIO]]/100 +1)^(1/252) -1) * PC_IDXR/100 +1)^TAB_CORRECAO_U[[#This Row],[Q_DIAS_U_PARC_TIR]]))</f>
        <v>675.08735050922439</v>
      </c>
      <c r="V201" s="78">
        <f>TAB_CORRECAO_U[[#This Row],[V_FUT_U_CORC-02]]/TAB_CORRECAO_U[[#This Row],[VAR_DESCAP_U]]</f>
        <v>635.54053317216903</v>
      </c>
      <c r="W201" s="78"/>
      <c r="X201" s="101">
        <f>TAB_CORRECAO_U[[#This Row],[dt_eve_u]]- DT_CALCULO_C</f>
        <v>893</v>
      </c>
      <c r="Y201" s="48" t="str">
        <f>"CORRECAO_CORC_C" &amp; TEXT(DT_CALCULO_C, "-AAAAMMDD") &amp; TEXT(TAB_CORRECAO_U[[#This Row],[DT_EVE]], "-AAAAMMDD")</f>
        <v>CORRECAO_CORC_C-20151228-20180608</v>
      </c>
      <c r="Z201" s="44">
        <f>IFERROR(VLOOKUP(TAB_CORRECAO_C[[#This Row],[Chave-CORC]],CORRECAO_CORC_C[],2, FALSE), 0)</f>
        <v>1</v>
      </c>
      <c r="AA20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1" s="44">
        <f>(TIR_C/100 +1)^(TAB_CORRECAO_C[[#This Row],[DIAS_CORRIDOS]]/360)</f>
        <v>1.0622458897460922</v>
      </c>
      <c r="AC201" s="78">
        <f>IF(TAB_CORRECAO_C[[#This Row],[DIAS_CORRIDOS]]&lt;0, 0, TAB_CORRECAO_C[[#This Row],[V_FUT_C_CORC]]/TAB_CORRECAO_C[[#This Row],[VAR_DESCAP_C]])</f>
        <v>0</v>
      </c>
      <c r="AD201" s="113">
        <f>TAB_CORRECAO_U[[#This Row],[V_FUT_U_CORC-02]]</f>
        <v>675.08735050922439</v>
      </c>
      <c r="AE201" s="126">
        <f>IF(TAB_CORRECAO_C[[#This Row],[DIAS_CORRIDOS]]&lt;0, 0, TAB_CORRECAO_C[[#This Row],[V_FUT_UTEIS]]/TAB_CORRECAO_C[[#This Row],[VAR_DESCAP_C]])</f>
        <v>635.52832449235461</v>
      </c>
      <c r="AF201" s="64"/>
    </row>
    <row r="202" spans="1:32">
      <c r="A202" s="82">
        <f t="shared" si="4"/>
        <v>31</v>
      </c>
      <c r="B202" s="24">
        <f>VLOOKUP($A202, CAD_ATUALIZACAO[#Data], MATCH(B$171, CAD_ATUALIZACAO[#Headers],0), FALSE)</f>
        <v>3</v>
      </c>
      <c r="C202" s="24" t="str">
        <f>VLOOKUP($A202, CAD_ATUALIZACAO[#Data], MATCH(C$171, CAD_ATUALIZACAO[#Headers],0), FALSE)</f>
        <v xml:space="preserve">ATUALIZACAO SOBRE PRINCIPAL                       </v>
      </c>
      <c r="D202" s="36">
        <f>VLOOKUP($A202, CAD_ATUALIZACAO[#Data], MATCH(D$171, CAD_ATUALIZACAO[#Headers],0), FALSE)</f>
        <v>43290</v>
      </c>
      <c r="E202" s="48">
        <f>VLOOKUP($A202, CAD_ATUALIZACAO[#Data], MATCH(E$171, CAD_ATUALIZACAO[#Headers],0), FALSE)</f>
        <v>0</v>
      </c>
      <c r="F202" s="36">
        <f>VLOOKUP($A202, CAD_ATUALIZACAO[#Data], MATCH(F$171, CAD_ATUALIZACAO[#Headers],0), FALSE)</f>
        <v>43294</v>
      </c>
      <c r="G202" s="47">
        <f>WORKDAY(WORKDAY(TAB_CORRECAO_U[[#This Row],[DT_EVE]], -1, TAB_FERIADOS[FER_DATA]), 1, TAB_FERIADOS[FER_DATA])</f>
        <v>43290</v>
      </c>
      <c r="H202" s="75">
        <f>WORKDAY(WORKDAY(TAB_CORRECAO_U[[#This Row],[DT_LQDC_EVE]], -1, TAB_FERIADOS[FER_DATA]), 1, TAB_FERIADOS[FER_DATA])</f>
        <v>43294</v>
      </c>
      <c r="I202" s="48">
        <f>PU_EMISSAO - SUMIF(TAB_AMORTIZACAO_U[dt_eve_u], "&lt;" &amp; TAB_CORRECAO_U[[#This Row],[dt_eve_u]], TAB_AMORTIZACAO_U[V_PU_AMTC])</f>
        <v>73081.29939</v>
      </c>
      <c r="J202" s="48">
        <f>IFERROR(VLOOKUP(TAB_CORRECAO_U[[#This Row],[DT_EVE]], TAB_AMORTIZACAO_U[[DT_EVE]:[V_PU_AMTC]], 2, FALSE), 0)</f>
        <v>828.084203</v>
      </c>
      <c r="K202" s="48">
        <f>NETWORKDAYS(DT_CALCULO_U, TAB_CORRECAO_U[[#This Row],[dt_eve_u]], TAB_FERIADOS[FER_DATA]) -1</f>
        <v>633</v>
      </c>
      <c r="L202" s="48">
        <f>NETWORKDAYS(DT_CALCULO_U, TAB_CORRECAO_U[[#This Row],[dt_lqdc_eve_u]], TAB_FERIADOS[FER_DATA]) -1</f>
        <v>637</v>
      </c>
      <c r="M202" s="48">
        <f>NETWORKDAYS(IF(ISTEXT(G201), DT_B_CORC, G201), TAB_CORRECAO_U[[#This Row],[dt_eve_u]], TAB_FERIADOS[FER_DATA]) -1</f>
        <v>21</v>
      </c>
      <c r="N202" s="78">
        <f>(TX_EMISSAO/100 +1)^(TAB_CORRECAO_U[[#This Row],[dias_periodo_u]]/252)</f>
        <v>1.0020598362698427</v>
      </c>
      <c r="O202" s="78">
        <f>(TIR_U/100 +1)^(TAB_CORRECAO_U[[#This Row],[Q_DIAS_U_PARC_TIR]]/252)</f>
        <v>1.064413730566824</v>
      </c>
      <c r="P202" s="116" t="str">
        <f>"TX_CENARIO" &amp; TEXT(DT_CALCULO_C, "-AAAAMMDD") &amp; TEXT(TAB_CORRECAO_U[[#This Row],[DT_EVE]], "-AAAAMMDD")</f>
        <v>TX_CENARIO-20151228-20180709</v>
      </c>
      <c r="Q202" s="44">
        <f>IFERROR(VLOOKUP(TAB_CORRECAO_U[[#This Row],[Chave-CENARIO]],CENARIO[],2,FALSE), 0)</f>
        <v>16.662500000000001</v>
      </c>
      <c r="R202" s="116" t="str">
        <f>"CORRECAO_CORC_U" &amp; TEXT(DT_CALCULO_C, "-AAAAMMDD") &amp; TEXT(TAB_CORRECAO_U[[#This Row],[DT_EVE]], "-AAAAMMDD")</f>
        <v>CORRECAO_CORC_U-20151228-20180709</v>
      </c>
      <c r="S202" s="44">
        <f>IFERROR(VLOOKUP(TAB_CORRECAO_U[[#This Row],[Chave-CORC]],CORRECAO_CORC_U[],2, FALSE), 0)</f>
        <v>1.0132958000000001</v>
      </c>
      <c r="T202" s="78">
        <f>MAX(0, IF(TAB_CORRECAO_U[[#This Row],[ID_T_EVE]]= 5, TAB_CORRECAO_U[[#This Row],[PU_AMORT]],TAB_CORRECAO_U[[#This Row],[V_NOML_PCPL]]) * (TAB_CORRECAO_U[[#This Row],[CORRECAO_U]] -1))</f>
        <v>971.67434042956779</v>
      </c>
      <c r="U202" s="78">
        <f>MAX(0, TAB_CORRECAO_U[[#This Row],[V_FUT_U_CORC-01]]/((((TAB_CORRECAO_U[[#This Row],[TX_CENARIO]]/100 +1)^(1/252) -1) * PC_IDXR/100 +1)^TAB_CORRECAO_U[[#This Row],[Q_DIAS_U_PARC_TIR]]))</f>
        <v>658.16280458629649</v>
      </c>
      <c r="V202" s="78">
        <f>TAB_CORRECAO_U[[#This Row],[V_FUT_U_CORC-02]]/TAB_CORRECAO_U[[#This Row],[VAR_DESCAP_U]]</f>
        <v>618.33362881913422</v>
      </c>
      <c r="W202" s="78"/>
      <c r="X202" s="101">
        <f>TAB_CORRECAO_U[[#This Row],[dt_eve_u]]- DT_CALCULO_C</f>
        <v>924</v>
      </c>
      <c r="Y202" s="48" t="str">
        <f>"CORRECAO_CORC_C" &amp; TEXT(DT_CALCULO_C, "-AAAAMMDD") &amp; TEXT(TAB_CORRECAO_U[[#This Row],[DT_EVE]], "-AAAAMMDD")</f>
        <v>CORRECAO_CORC_C-20151228-20180709</v>
      </c>
      <c r="Z202" s="44">
        <f>IFERROR(VLOOKUP(TAB_CORRECAO_C[[#This Row],[Chave-CORC]],CORRECAO_CORC_C[],2, FALSE), 0)</f>
        <v>1</v>
      </c>
      <c r="AA20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2" s="44">
        <f>(TIR_C/100 +1)^(TAB_CORRECAO_C[[#This Row],[DIAS_CORRIDOS]]/360)</f>
        <v>1.0644749547608361</v>
      </c>
      <c r="AC202" s="78">
        <f>IF(TAB_CORRECAO_C[[#This Row],[DIAS_CORRIDOS]]&lt;0, 0, TAB_CORRECAO_C[[#This Row],[V_FUT_C_CORC]]/TAB_CORRECAO_C[[#This Row],[VAR_DESCAP_C]])</f>
        <v>0</v>
      </c>
      <c r="AD202" s="113">
        <f>TAB_CORRECAO_U[[#This Row],[V_FUT_U_CORC-02]]</f>
        <v>658.16280458629649</v>
      </c>
      <c r="AE202" s="126">
        <f>IF(TAB_CORRECAO_C[[#This Row],[DIAS_CORRIDOS]]&lt;0, 0, TAB_CORRECAO_C[[#This Row],[V_FUT_UTEIS]]/TAB_CORRECAO_C[[#This Row],[VAR_DESCAP_C]])</f>
        <v>618.29806482781089</v>
      </c>
      <c r="AF202" s="64"/>
    </row>
    <row r="203" spans="1:32">
      <c r="A203" s="82">
        <f t="shared" si="4"/>
        <v>32</v>
      </c>
      <c r="B203" s="24">
        <f>VLOOKUP($A203, CAD_ATUALIZACAO[#Data], MATCH(B$171, CAD_ATUALIZACAO[#Headers],0), FALSE)</f>
        <v>3</v>
      </c>
      <c r="C203" s="24" t="str">
        <f>VLOOKUP($A203, CAD_ATUALIZACAO[#Data], MATCH(C$171, CAD_ATUALIZACAO[#Headers],0), FALSE)</f>
        <v xml:space="preserve">ATUALIZACAO SOBRE PRINCIPAL                       </v>
      </c>
      <c r="D203" s="36">
        <f>VLOOKUP($A203, CAD_ATUALIZACAO[#Data], MATCH(D$171, CAD_ATUALIZACAO[#Headers],0), FALSE)</f>
        <v>43320</v>
      </c>
      <c r="E203" s="48">
        <f>VLOOKUP($A203, CAD_ATUALIZACAO[#Data], MATCH(E$171, CAD_ATUALIZACAO[#Headers],0), FALSE)</f>
        <v>0</v>
      </c>
      <c r="F203" s="36">
        <f>VLOOKUP($A203, CAD_ATUALIZACAO[#Data], MATCH(F$171, CAD_ATUALIZACAO[#Headers],0), FALSE)</f>
        <v>43326</v>
      </c>
      <c r="G203" s="47">
        <f>WORKDAY(WORKDAY(TAB_CORRECAO_U[[#This Row],[DT_EVE]], -1, TAB_FERIADOS[FER_DATA]), 1, TAB_FERIADOS[FER_DATA])</f>
        <v>43320</v>
      </c>
      <c r="H203" s="75">
        <f>WORKDAY(WORKDAY(TAB_CORRECAO_U[[#This Row],[DT_LQDC_EVE]], -1, TAB_FERIADOS[FER_DATA]), 1, TAB_FERIADOS[FER_DATA])</f>
        <v>43326</v>
      </c>
      <c r="I203" s="48">
        <f>PU_EMISSAO - SUMIF(TAB_AMORTIZACAO_U[dt_eve_u], "&lt;" &amp; TAB_CORRECAO_U[[#This Row],[dt_eve_u]], TAB_AMORTIZACAO_U[V_PU_AMTC])</f>
        <v>72253.215187000009</v>
      </c>
      <c r="J203" s="48">
        <f>IFERROR(VLOOKUP(TAB_CORRECAO_U[[#This Row],[DT_EVE]], TAB_AMORTIZACAO_U[[DT_EVE]:[V_PU_AMTC]], 2, FALSE), 0)</f>
        <v>810.10304799999994</v>
      </c>
      <c r="K203" s="48">
        <f>NETWORKDAYS(DT_CALCULO_U, TAB_CORRECAO_U[[#This Row],[dt_eve_u]], TAB_FERIADOS[FER_DATA]) -1</f>
        <v>655</v>
      </c>
      <c r="L203" s="48">
        <f>NETWORKDAYS(DT_CALCULO_U, TAB_CORRECAO_U[[#This Row],[dt_lqdc_eve_u]], TAB_FERIADOS[FER_DATA]) -1</f>
        <v>659</v>
      </c>
      <c r="M203" s="48">
        <f>NETWORKDAYS(IF(ISTEXT(G202), DT_B_CORC, G202), TAB_CORRECAO_U[[#This Row],[dt_eve_u]], TAB_FERIADOS[FER_DATA]) -1</f>
        <v>22</v>
      </c>
      <c r="N203" s="78">
        <f>(TX_EMISSAO/100 +1)^(TAB_CORRECAO_U[[#This Row],[dias_periodo_u]]/252)</f>
        <v>1.0021580294747356</v>
      </c>
      <c r="O203" s="78">
        <f>(TIR_U/100 +1)^(TAB_CORRECAO_U[[#This Row],[Q_DIAS_U_PARC_TIR]]/252)</f>
        <v>1.0667110144326029</v>
      </c>
      <c r="P203" s="116" t="str">
        <f>"TX_CENARIO" &amp; TEXT(DT_CALCULO_C, "-AAAAMMDD") &amp; TEXT(TAB_CORRECAO_U[[#This Row],[DT_EVE]], "-AAAAMMDD")</f>
        <v>TX_CENARIO-20151228-20180808</v>
      </c>
      <c r="Q203" s="44">
        <f>IFERROR(VLOOKUP(TAB_CORRECAO_U[[#This Row],[Chave-CENARIO]],CENARIO[],2,FALSE), 0)</f>
        <v>16.658799999999999</v>
      </c>
      <c r="R203" s="116" t="str">
        <f>"CORRECAO_CORC_U" &amp; TEXT(DT_CALCULO_C, "-AAAAMMDD") &amp; TEXT(TAB_CORRECAO_U[[#This Row],[DT_EVE]], "-AAAAMMDD")</f>
        <v>CORRECAO_CORC_U-20151228-20180808</v>
      </c>
      <c r="S203" s="44">
        <f>IFERROR(VLOOKUP(TAB_CORRECAO_U[[#This Row],[Chave-CORC]],CORRECAO_CORC_U[],2, FALSE), 0)</f>
        <v>1.0138931099999999</v>
      </c>
      <c r="T203" s="78">
        <f>MAX(0, IF(TAB_CORRECAO_U[[#This Row],[ID_T_EVE]]= 5, TAB_CORRECAO_U[[#This Row],[PU_AMORT]],TAB_CORRECAO_U[[#This Row],[V_NOML_PCPL]]) * (TAB_CORRECAO_U[[#This Row],[CORRECAO_U]] -1))</f>
        <v>1003.8218664466567</v>
      </c>
      <c r="U203" s="78">
        <f>MAX(0, TAB_CORRECAO_U[[#This Row],[V_FUT_U_CORC-01]]/((((TAB_CORRECAO_U[[#This Row],[TX_CENARIO]]/100 +1)^(1/252) -1) * PC_IDXR/100 +1)^TAB_CORRECAO_U[[#This Row],[Q_DIAS_U_PARC_TIR]]))</f>
        <v>670.90660247011112</v>
      </c>
      <c r="V203" s="78">
        <f>TAB_CORRECAO_U[[#This Row],[V_FUT_U_CORC-02]]/TAB_CORRECAO_U[[#This Row],[VAR_DESCAP_U]]</f>
        <v>628.94879062158634</v>
      </c>
      <c r="W203" s="78"/>
      <c r="X203" s="101">
        <f>TAB_CORRECAO_U[[#This Row],[dt_eve_u]]- DT_CALCULO_C</f>
        <v>954</v>
      </c>
      <c r="Y203" s="48" t="str">
        <f>"CORRECAO_CORC_C" &amp; TEXT(DT_CALCULO_C, "-AAAAMMDD") &amp; TEXT(TAB_CORRECAO_U[[#This Row],[DT_EVE]], "-AAAAMMDD")</f>
        <v>CORRECAO_CORC_C-20151228-20180808</v>
      </c>
      <c r="Z203" s="44">
        <f>IFERROR(VLOOKUP(TAB_CORRECAO_C[[#This Row],[Chave-CORC]],CORRECAO_CORC_C[],2, FALSE), 0)</f>
        <v>1</v>
      </c>
      <c r="AA20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3" s="44">
        <f>(TIR_C/100 +1)^(TAB_CORRECAO_C[[#This Row],[DIAS_CORRIDOS]]/360)</f>
        <v>1.0666365680229479</v>
      </c>
      <c r="AC203" s="78">
        <f>IF(TAB_CORRECAO_C[[#This Row],[DIAS_CORRIDOS]]&lt;0, 0, TAB_CORRECAO_C[[#This Row],[V_FUT_C_CORC]]/TAB_CORRECAO_C[[#This Row],[VAR_DESCAP_C]])</f>
        <v>0</v>
      </c>
      <c r="AD203" s="113">
        <f>TAB_CORRECAO_U[[#This Row],[V_FUT_U_CORC-02]]</f>
        <v>670.90660247011112</v>
      </c>
      <c r="AE203" s="126">
        <f>IF(TAB_CORRECAO_C[[#This Row],[DIAS_CORRIDOS]]&lt;0, 0, TAB_CORRECAO_C[[#This Row],[V_FUT_UTEIS]]/TAB_CORRECAO_C[[#This Row],[VAR_DESCAP_C]])</f>
        <v>628.9926884033822</v>
      </c>
      <c r="AF203" s="64"/>
    </row>
    <row r="204" spans="1:32">
      <c r="A204" s="82">
        <f t="shared" si="4"/>
        <v>33</v>
      </c>
      <c r="B204" s="24">
        <f>VLOOKUP($A204, CAD_ATUALIZACAO[#Data], MATCH(B$171, CAD_ATUALIZACAO[#Headers],0), FALSE)</f>
        <v>3</v>
      </c>
      <c r="C204" s="24" t="str">
        <f>VLOOKUP($A204, CAD_ATUALIZACAO[#Data], MATCH(C$171, CAD_ATUALIZACAO[#Headers],0), FALSE)</f>
        <v xml:space="preserve">ATUALIZACAO SOBRE PRINCIPAL                       </v>
      </c>
      <c r="D204" s="36">
        <f>VLOOKUP($A204, CAD_ATUALIZACAO[#Data], MATCH(D$171, CAD_ATUALIZACAO[#Headers],0), FALSE)</f>
        <v>43354</v>
      </c>
      <c r="E204" s="48">
        <f>VLOOKUP($A204, CAD_ATUALIZACAO[#Data], MATCH(E$171, CAD_ATUALIZACAO[#Headers],0), FALSE)</f>
        <v>0</v>
      </c>
      <c r="F204" s="36">
        <f>VLOOKUP($A204, CAD_ATUALIZACAO[#Data], MATCH(F$171, CAD_ATUALIZACAO[#Headers],0), FALSE)</f>
        <v>43360</v>
      </c>
      <c r="G204" s="47">
        <f>WORKDAY(WORKDAY(TAB_CORRECAO_U[[#This Row],[DT_EVE]], -1, TAB_FERIADOS[FER_DATA]), 1, TAB_FERIADOS[FER_DATA])</f>
        <v>43354</v>
      </c>
      <c r="H204" s="75">
        <f>WORKDAY(WORKDAY(TAB_CORRECAO_U[[#This Row],[DT_LQDC_EVE]], -1, TAB_FERIADOS[FER_DATA]), 1, TAB_FERIADOS[FER_DATA])</f>
        <v>43360</v>
      </c>
      <c r="I204" s="48">
        <f>PU_EMISSAO - SUMIF(TAB_AMORTIZACAO_U[dt_eve_u], "&lt;" &amp; TAB_CORRECAO_U[[#This Row],[dt_eve_u]], TAB_AMORTIZACAO_U[V_PU_AMTC])</f>
        <v>71443.112139000004</v>
      </c>
      <c r="J204" s="48">
        <f>IFERROR(VLOOKUP(TAB_CORRECAO_U[[#This Row],[DT_EVE]], TAB_AMORTIZACAO_U[[DT_EVE]:[V_PU_AMTC]], 2, FALSE), 0)</f>
        <v>791.73256800000001</v>
      </c>
      <c r="K204" s="48">
        <f>NETWORKDAYS(DT_CALCULO_U, TAB_CORRECAO_U[[#This Row],[dt_eve_u]], TAB_FERIADOS[FER_DATA]) -1</f>
        <v>678</v>
      </c>
      <c r="L204" s="48">
        <f>NETWORKDAYS(DT_CALCULO_U, TAB_CORRECAO_U[[#This Row],[dt_lqdc_eve_u]], TAB_FERIADOS[FER_DATA]) -1</f>
        <v>682</v>
      </c>
      <c r="M204" s="48">
        <f>NETWORKDAYS(IF(ISTEXT(G203), DT_B_CORC, G203), TAB_CORRECAO_U[[#This Row],[dt_eve_u]], TAB_FERIADOS[FER_DATA]) -1</f>
        <v>23</v>
      </c>
      <c r="N204" s="78">
        <f>(TX_EMISSAO/100 +1)^(TAB_CORRECAO_U[[#This Row],[dias_periodo_u]]/252)</f>
        <v>1.0022562323017139</v>
      </c>
      <c r="O204" s="78">
        <f>(TIR_U/100 +1)^(TAB_CORRECAO_U[[#This Row],[Q_DIAS_U_PARC_TIR]]/252)</f>
        <v>1.0691180217834653</v>
      </c>
      <c r="P204" s="116" t="str">
        <f>"TX_CENARIO" &amp; TEXT(DT_CALCULO_C, "-AAAAMMDD") &amp; TEXT(TAB_CORRECAO_U[[#This Row],[DT_EVE]], "-AAAAMMDD")</f>
        <v>TX_CENARIO-20151228-20180911</v>
      </c>
      <c r="Q204" s="44">
        <f>IFERROR(VLOOKUP(TAB_CORRECAO_U[[#This Row],[Chave-CENARIO]],CENARIO[],2,FALSE), 0)</f>
        <v>16.655200000000001</v>
      </c>
      <c r="R204" s="116" t="str">
        <f>"CORRECAO_CORC_U" &amp; TEXT(DT_CALCULO_C, "-AAAAMMDD") &amp; TEXT(TAB_CORRECAO_U[[#This Row],[DT_EVE]], "-AAAAMMDD")</f>
        <v>CORRECAO_CORC_U-20151228-20180911</v>
      </c>
      <c r="S204" s="44">
        <f>IFERROR(VLOOKUP(TAB_CORRECAO_U[[#This Row],[Chave-CORC]],CORRECAO_CORC_U[],2, FALSE), 0)</f>
        <v>1.01452918</v>
      </c>
      <c r="T204" s="78">
        <f>MAX(0, IF(TAB_CORRECAO_U[[#This Row],[ID_T_EVE]]= 5, TAB_CORRECAO_U[[#This Row],[PU_AMORT]],TAB_CORRECAO_U[[#This Row],[V_NOML_PCPL]]) * (TAB_CORRECAO_U[[#This Row],[CORRECAO_U]] -1))</f>
        <v>1038.0098360277182</v>
      </c>
      <c r="U204" s="78">
        <f>MAX(0, TAB_CORRECAO_U[[#This Row],[V_FUT_U_CORC-01]]/((((TAB_CORRECAO_U[[#This Row],[TX_CENARIO]]/100 +1)^(1/252) -1) * PC_IDXR/100 +1)^TAB_CORRECAO_U[[#This Row],[Q_DIAS_U_PARC_TIR]]))</f>
        <v>684.12522486340868</v>
      </c>
      <c r="V204" s="78">
        <f>TAB_CORRECAO_U[[#This Row],[V_FUT_U_CORC-02]]/TAB_CORRECAO_U[[#This Row],[VAR_DESCAP_U]]</f>
        <v>639.89682235659529</v>
      </c>
      <c r="W204" s="78"/>
      <c r="X204" s="101">
        <f>TAB_CORRECAO_U[[#This Row],[dt_eve_u]]- DT_CALCULO_C</f>
        <v>988</v>
      </c>
      <c r="Y204" s="48" t="str">
        <f>"CORRECAO_CORC_C" &amp; TEXT(DT_CALCULO_C, "-AAAAMMDD") &amp; TEXT(TAB_CORRECAO_U[[#This Row],[DT_EVE]], "-AAAAMMDD")</f>
        <v>CORRECAO_CORC_C-20151228-20180911</v>
      </c>
      <c r="Z204" s="44">
        <f>IFERROR(VLOOKUP(TAB_CORRECAO_C[[#This Row],[Chave-CORC]],CORRECAO_CORC_C[],2, FALSE), 0)</f>
        <v>1</v>
      </c>
      <c r="AA20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4" s="44">
        <f>(TIR_C/100 +1)^(TAB_CORRECAO_C[[#This Row],[DIAS_CORRIDOS]]/360)</f>
        <v>1.0690917033502627</v>
      </c>
      <c r="AC204" s="78">
        <f>IF(TAB_CORRECAO_C[[#This Row],[DIAS_CORRIDOS]]&lt;0, 0, TAB_CORRECAO_C[[#This Row],[V_FUT_C_CORC]]/TAB_CORRECAO_C[[#This Row],[VAR_DESCAP_C]])</f>
        <v>0</v>
      </c>
      <c r="AD204" s="113">
        <f>TAB_CORRECAO_U[[#This Row],[V_FUT_U_CORC-02]]</f>
        <v>684.12522486340868</v>
      </c>
      <c r="AE204" s="126">
        <f>IF(TAB_CORRECAO_C[[#This Row],[DIAS_CORRIDOS]]&lt;0, 0, TAB_CORRECAO_C[[#This Row],[V_FUT_UTEIS]]/TAB_CORRECAO_C[[#This Row],[VAR_DESCAP_C]])</f>
        <v>639.91257505743749</v>
      </c>
      <c r="AF204" s="64"/>
    </row>
    <row r="205" spans="1:32">
      <c r="A205" s="82">
        <f t="shared" si="4"/>
        <v>34</v>
      </c>
      <c r="B205" s="24">
        <f>VLOOKUP($A205, CAD_ATUALIZACAO[#Data], MATCH(B$171, CAD_ATUALIZACAO[#Headers],0), FALSE)</f>
        <v>3</v>
      </c>
      <c r="C205" s="24" t="str">
        <f>VLOOKUP($A205, CAD_ATUALIZACAO[#Data], MATCH(C$171, CAD_ATUALIZACAO[#Headers],0), FALSE)</f>
        <v xml:space="preserve">ATUALIZACAO SOBRE PRINCIPAL                       </v>
      </c>
      <c r="D205" s="36">
        <f>VLOOKUP($A205, CAD_ATUALIZACAO[#Data], MATCH(D$171, CAD_ATUALIZACAO[#Headers],0), FALSE)</f>
        <v>43382</v>
      </c>
      <c r="E205" s="48">
        <f>VLOOKUP($A205, CAD_ATUALIZACAO[#Data], MATCH(E$171, CAD_ATUALIZACAO[#Headers],0), FALSE)</f>
        <v>0</v>
      </c>
      <c r="F205" s="36">
        <f>VLOOKUP($A205, CAD_ATUALIZACAO[#Data], MATCH(F$171, CAD_ATUALIZACAO[#Headers],0), FALSE)</f>
        <v>43388</v>
      </c>
      <c r="G205" s="47">
        <f>WORKDAY(WORKDAY(TAB_CORRECAO_U[[#This Row],[DT_EVE]], -1, TAB_FERIADOS[FER_DATA]), 1, TAB_FERIADOS[FER_DATA])</f>
        <v>43382</v>
      </c>
      <c r="H205" s="75">
        <f>WORKDAY(WORKDAY(TAB_CORRECAO_U[[#This Row],[DT_LQDC_EVE]], -1, TAB_FERIADOS[FER_DATA]), 1, TAB_FERIADOS[FER_DATA])</f>
        <v>43388</v>
      </c>
      <c r="I205" s="48">
        <f>PU_EMISSAO - SUMIF(TAB_AMORTIZACAO_U[dt_eve_u], "&lt;" &amp; TAB_CORRECAO_U[[#This Row],[dt_eve_u]], TAB_AMORTIZACAO_U[V_PU_AMTC])</f>
        <v>70651.379570999998</v>
      </c>
      <c r="J205" s="48">
        <f>IFERROR(VLOOKUP(TAB_CORRECAO_U[[#This Row],[DT_EVE]], TAB_AMORTIZACAO_U[[DT_EVE]:[V_PU_AMTC]], 2, FALSE), 0)</f>
        <v>810.72457999999995</v>
      </c>
      <c r="K205" s="48">
        <f>NETWORKDAYS(DT_CALCULO_U, TAB_CORRECAO_U[[#This Row],[dt_eve_u]], TAB_FERIADOS[FER_DATA]) -1</f>
        <v>698</v>
      </c>
      <c r="L205" s="48">
        <f>NETWORKDAYS(DT_CALCULO_U, TAB_CORRECAO_U[[#This Row],[dt_lqdc_eve_u]], TAB_FERIADOS[FER_DATA]) -1</f>
        <v>701</v>
      </c>
      <c r="M205" s="48">
        <f>NETWORKDAYS(IF(ISTEXT(G204), DT_B_CORC, G204), TAB_CORRECAO_U[[#This Row],[dt_eve_u]], TAB_FERIADOS[FER_DATA]) -1</f>
        <v>20</v>
      </c>
      <c r="N205" s="78">
        <f>(TX_EMISSAO/100 +1)^(TAB_CORRECAO_U[[#This Row],[dias_periodo_u]]/252)</f>
        <v>1.0019616526860928</v>
      </c>
      <c r="O205" s="78">
        <f>(TIR_U/100 +1)^(TAB_CORRECAO_U[[#This Row],[Q_DIAS_U_PARC_TIR]]/252)</f>
        <v>1.0711105152409333</v>
      </c>
      <c r="P205" s="116" t="str">
        <f>"TX_CENARIO" &amp; TEXT(DT_CALCULO_C, "-AAAAMMDD") &amp; TEXT(TAB_CORRECAO_U[[#This Row],[DT_EVE]], "-AAAAMMDD")</f>
        <v>TX_CENARIO-20151228-20181009</v>
      </c>
      <c r="Q205" s="44">
        <f>IFERROR(VLOOKUP(TAB_CORRECAO_U[[#This Row],[Chave-CENARIO]],CENARIO[],2,FALSE), 0)</f>
        <v>16.653600000000001</v>
      </c>
      <c r="R205" s="116" t="str">
        <f>"CORRECAO_CORC_U" &amp; TEXT(DT_CALCULO_C, "-AAAAMMDD") &amp; TEXT(TAB_CORRECAO_U[[#This Row],[DT_EVE]], "-AAAAMMDD")</f>
        <v>CORRECAO_CORC_U-20151228-20181009</v>
      </c>
      <c r="S205" s="44">
        <f>IFERROR(VLOOKUP(TAB_CORRECAO_U[[#This Row],[Chave-CORC]],CORRECAO_CORC_U[],2, FALSE), 0)</f>
        <v>1.01262126</v>
      </c>
      <c r="T205" s="78">
        <f>MAX(0, IF(TAB_CORRECAO_U[[#This Row],[ID_T_EVE]]= 5, TAB_CORRECAO_U[[#This Row],[PU_AMORT]],TAB_CORRECAO_U[[#This Row],[V_NOML_PCPL]]) * (TAB_CORRECAO_U[[#This Row],[CORRECAO_U]] -1))</f>
        <v>891.70943092427717</v>
      </c>
      <c r="U205" s="78">
        <f>MAX(0, TAB_CORRECAO_U[[#This Row],[V_FUT_U_CORC-01]]/((((TAB_CORRECAO_U[[#This Row],[TX_CENARIO]]/100 +1)^(1/252) -1) * PC_IDXR/100 +1)^TAB_CORRECAO_U[[#This Row],[Q_DIAS_U_PARC_TIR]]))</f>
        <v>580.93789655664239</v>
      </c>
      <c r="V205" s="78">
        <f>TAB_CORRECAO_U[[#This Row],[V_FUT_U_CORC-02]]/TAB_CORRECAO_U[[#This Row],[VAR_DESCAP_U]]</f>
        <v>542.36970722481192</v>
      </c>
      <c r="W205" s="78"/>
      <c r="X205" s="101">
        <f>TAB_CORRECAO_U[[#This Row],[dt_eve_u]]- DT_CALCULO_C</f>
        <v>1016</v>
      </c>
      <c r="Y205" s="48" t="str">
        <f>"CORRECAO_CORC_C" &amp; TEXT(DT_CALCULO_C, "-AAAAMMDD") &amp; TEXT(TAB_CORRECAO_U[[#This Row],[DT_EVE]], "-AAAAMMDD")</f>
        <v>CORRECAO_CORC_C-20151228-20181009</v>
      </c>
      <c r="Z205" s="44">
        <f>IFERROR(VLOOKUP(TAB_CORRECAO_C[[#This Row],[Chave-CORC]],CORRECAO_CORC_C[],2, FALSE), 0)</f>
        <v>1</v>
      </c>
      <c r="AA20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5" s="44">
        <f>(TIR_C/100 +1)^(TAB_CORRECAO_C[[#This Row],[DIAS_CORRIDOS]]/360)</f>
        <v>1.0711178221553042</v>
      </c>
      <c r="AC205" s="78">
        <f>IF(TAB_CORRECAO_C[[#This Row],[DIAS_CORRIDOS]]&lt;0, 0, TAB_CORRECAO_C[[#This Row],[V_FUT_C_CORC]]/TAB_CORRECAO_C[[#This Row],[VAR_DESCAP_C]])</f>
        <v>0</v>
      </c>
      <c r="AD205" s="113">
        <f>TAB_CORRECAO_U[[#This Row],[V_FUT_U_CORC-02]]</f>
        <v>580.93789655664239</v>
      </c>
      <c r="AE205" s="126">
        <f>IF(TAB_CORRECAO_C[[#This Row],[DIAS_CORRIDOS]]&lt;0, 0, TAB_CORRECAO_C[[#This Row],[V_FUT_UTEIS]]/TAB_CORRECAO_C[[#This Row],[VAR_DESCAP_C]])</f>
        <v>542.36600730597377</v>
      </c>
      <c r="AF205" s="64"/>
    </row>
    <row r="206" spans="1:32">
      <c r="A206" s="82">
        <f t="shared" si="4"/>
        <v>35</v>
      </c>
      <c r="B206" s="24">
        <f>VLOOKUP($A206, CAD_ATUALIZACAO[#Data], MATCH(B$171, CAD_ATUALIZACAO[#Headers],0), FALSE)</f>
        <v>3</v>
      </c>
      <c r="C206" s="24" t="str">
        <f>VLOOKUP($A206, CAD_ATUALIZACAO[#Data], MATCH(C$171, CAD_ATUALIZACAO[#Headers],0), FALSE)</f>
        <v xml:space="preserve">ATUALIZACAO SOBRE PRINCIPAL                       </v>
      </c>
      <c r="D206" s="36">
        <f>VLOOKUP($A206, CAD_ATUALIZACAO[#Data], MATCH(D$171, CAD_ATUALIZACAO[#Headers],0), FALSE)</f>
        <v>43416</v>
      </c>
      <c r="E206" s="48">
        <f>VLOOKUP($A206, CAD_ATUALIZACAO[#Data], MATCH(E$171, CAD_ATUALIZACAO[#Headers],0), FALSE)</f>
        <v>0</v>
      </c>
      <c r="F206" s="36">
        <f>VLOOKUP($A206, CAD_ATUALIZACAO[#Data], MATCH(F$171, CAD_ATUALIZACAO[#Headers],0), FALSE)</f>
        <v>43420</v>
      </c>
      <c r="G206" s="47">
        <f>WORKDAY(WORKDAY(TAB_CORRECAO_U[[#This Row],[DT_EVE]], -1, TAB_FERIADOS[FER_DATA]), 1, TAB_FERIADOS[FER_DATA])</f>
        <v>43416</v>
      </c>
      <c r="H206" s="75">
        <f>WORKDAY(WORKDAY(TAB_CORRECAO_U[[#This Row],[DT_LQDC_EVE]], -1, TAB_FERIADOS[FER_DATA]), 1, TAB_FERIADOS[FER_DATA])</f>
        <v>43420</v>
      </c>
      <c r="I206" s="48">
        <f>PU_EMISSAO - SUMIF(TAB_AMORTIZACAO_U[dt_eve_u], "&lt;" &amp; TAB_CORRECAO_U[[#This Row],[dt_eve_u]], TAB_AMORTIZACAO_U[V_PU_AMTC])</f>
        <v>69840.654991000003</v>
      </c>
      <c r="J206" s="48">
        <f>IFERROR(VLOOKUP(TAB_CORRECAO_U[[#This Row],[DT_EVE]], TAB_AMORTIZACAO_U[[DT_EVE]:[V_PU_AMTC]], 2, FALSE), 0)</f>
        <v>779.70107199999995</v>
      </c>
      <c r="K206" s="48">
        <f>NETWORKDAYS(DT_CALCULO_U, TAB_CORRECAO_U[[#This Row],[dt_eve_u]], TAB_FERIADOS[FER_DATA]) -1</f>
        <v>720</v>
      </c>
      <c r="L206" s="48">
        <f>NETWORKDAYS(DT_CALCULO_U, TAB_CORRECAO_U[[#This Row],[dt_lqdc_eve_u]], TAB_FERIADOS[FER_DATA]) -1</f>
        <v>723</v>
      </c>
      <c r="M206" s="48">
        <f>NETWORKDAYS(IF(ISTEXT(G205), DT_B_CORC, G205), TAB_CORRECAO_U[[#This Row],[dt_eve_u]], TAB_FERIADOS[FER_DATA]) -1</f>
        <v>22</v>
      </c>
      <c r="N206" s="78">
        <f>(TX_EMISSAO/100 +1)^(TAB_CORRECAO_U[[#This Row],[dias_periodo_u]]/252)</f>
        <v>1.0021580294747356</v>
      </c>
      <c r="O206" s="78">
        <f>(TIR_U/100 +1)^(TAB_CORRECAO_U[[#This Row],[Q_DIAS_U_PARC_TIR]]/252)</f>
        <v>1.0734222525235957</v>
      </c>
      <c r="P206" s="116" t="str">
        <f>"TX_CENARIO" &amp; TEXT(DT_CALCULO_C, "-AAAAMMDD") &amp; TEXT(TAB_CORRECAO_U[[#This Row],[DT_EVE]], "-AAAAMMDD")</f>
        <v>TX_CENARIO-20151228-20181112</v>
      </c>
      <c r="Q206" s="44">
        <f>IFERROR(VLOOKUP(TAB_CORRECAO_U[[#This Row],[Chave-CENARIO]],CENARIO[],2,FALSE), 0)</f>
        <v>16.653500000000001</v>
      </c>
      <c r="R206" s="116" t="str">
        <f>"CORRECAO_CORC_U" &amp; TEXT(DT_CALCULO_C, "-AAAAMMDD") &amp; TEXT(TAB_CORRECAO_U[[#This Row],[DT_EVE]], "-AAAAMMDD")</f>
        <v>CORRECAO_CORC_U-20151228-20181112</v>
      </c>
      <c r="S206" s="44">
        <f>IFERROR(VLOOKUP(TAB_CORRECAO_U[[#This Row],[Chave-CORC]],CORRECAO_CORC_U[],2, FALSE), 0)</f>
        <v>1.0138897899999999</v>
      </c>
      <c r="T206" s="78">
        <f>MAX(0, IF(TAB_CORRECAO_U[[#This Row],[ID_T_EVE]]= 5, TAB_CORRECAO_U[[#This Row],[PU_AMORT]],TAB_CORRECAO_U[[#This Row],[V_NOML_PCPL]]) * (TAB_CORRECAO_U[[#This Row],[CORRECAO_U]] -1))</f>
        <v>970.07203128743504</v>
      </c>
      <c r="U206" s="78">
        <f>MAX(0, TAB_CORRECAO_U[[#This Row],[V_FUT_U_CORC-01]]/((((TAB_CORRECAO_U[[#This Row],[TX_CENARIO]]/100 +1)^(1/252) -1) * PC_IDXR/100 +1)^TAB_CORRECAO_U[[#This Row],[Q_DIAS_U_PARC_TIR]]))</f>
        <v>623.54971521815378</v>
      </c>
      <c r="V206" s="78">
        <f>TAB_CORRECAO_U[[#This Row],[V_FUT_U_CORC-02]]/TAB_CORRECAO_U[[#This Row],[VAR_DESCAP_U]]</f>
        <v>580.89881568245869</v>
      </c>
      <c r="W206" s="78"/>
      <c r="X206" s="101">
        <f>TAB_CORRECAO_U[[#This Row],[dt_eve_u]]- DT_CALCULO_C</f>
        <v>1050</v>
      </c>
      <c r="Y206" s="48" t="str">
        <f>"CORRECAO_CORC_C" &amp; TEXT(DT_CALCULO_C, "-AAAAMMDD") &amp; TEXT(TAB_CORRECAO_U[[#This Row],[DT_EVE]], "-AAAAMMDD")</f>
        <v>CORRECAO_CORC_C-20151228-20181112</v>
      </c>
      <c r="Z206" s="44">
        <f>IFERROR(VLOOKUP(TAB_CORRECAO_C[[#This Row],[Chave-CORC]],CORRECAO_CORC_C[],2, FALSE), 0)</f>
        <v>1</v>
      </c>
      <c r="AA20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6" s="44">
        <f>(TIR_C/100 +1)^(TAB_CORRECAO_C[[#This Row],[DIAS_CORRIDOS]]/360)</f>
        <v>1.0735832722286729</v>
      </c>
      <c r="AC206" s="78">
        <f>IF(TAB_CORRECAO_C[[#This Row],[DIAS_CORRIDOS]]&lt;0, 0, TAB_CORRECAO_C[[#This Row],[V_FUT_C_CORC]]/TAB_CORRECAO_C[[#This Row],[VAR_DESCAP_C]])</f>
        <v>0</v>
      </c>
      <c r="AD206" s="113">
        <f>TAB_CORRECAO_U[[#This Row],[V_FUT_U_CORC-02]]</f>
        <v>623.54971521815378</v>
      </c>
      <c r="AE206" s="126">
        <f>IF(TAB_CORRECAO_C[[#This Row],[DIAS_CORRIDOS]]&lt;0, 0, TAB_CORRECAO_C[[#This Row],[V_FUT_UTEIS]]/TAB_CORRECAO_C[[#This Row],[VAR_DESCAP_C]])</f>
        <v>580.81169048369622</v>
      </c>
      <c r="AF206" s="64"/>
    </row>
    <row r="207" spans="1:32">
      <c r="A207" s="82">
        <f t="shared" si="4"/>
        <v>36</v>
      </c>
      <c r="B207" s="24">
        <f>VLOOKUP($A207, CAD_ATUALIZACAO[#Data], MATCH(B$171, CAD_ATUALIZACAO[#Headers],0), FALSE)</f>
        <v>3</v>
      </c>
      <c r="C207" s="24" t="str">
        <f>VLOOKUP($A207, CAD_ATUALIZACAO[#Data], MATCH(C$171, CAD_ATUALIZACAO[#Headers],0), FALSE)</f>
        <v xml:space="preserve">ATUALIZACAO SOBRE PRINCIPAL                       </v>
      </c>
      <c r="D207" s="36">
        <f>VLOOKUP($A207, CAD_ATUALIZACAO[#Data], MATCH(D$171, CAD_ATUALIZACAO[#Headers],0), FALSE)</f>
        <v>43444</v>
      </c>
      <c r="E207" s="48">
        <f>VLOOKUP($A207, CAD_ATUALIZACAO[#Data], MATCH(E$171, CAD_ATUALIZACAO[#Headers],0), FALSE)</f>
        <v>0</v>
      </c>
      <c r="F207" s="36">
        <f>VLOOKUP($A207, CAD_ATUALIZACAO[#Data], MATCH(F$171, CAD_ATUALIZACAO[#Headers],0), FALSE)</f>
        <v>43448</v>
      </c>
      <c r="G207" s="47">
        <f>WORKDAY(WORKDAY(TAB_CORRECAO_U[[#This Row],[DT_EVE]], -1, TAB_FERIADOS[FER_DATA]), 1, TAB_FERIADOS[FER_DATA])</f>
        <v>43444</v>
      </c>
      <c r="H207" s="75">
        <f>WORKDAY(WORKDAY(TAB_CORRECAO_U[[#This Row],[DT_LQDC_EVE]], -1, TAB_FERIADOS[FER_DATA]), 1, TAB_FERIADOS[FER_DATA])</f>
        <v>43448</v>
      </c>
      <c r="I207" s="48">
        <f>PU_EMISSAO - SUMIF(TAB_AMORTIZACAO_U[dt_eve_u], "&lt;" &amp; TAB_CORRECAO_U[[#This Row],[dt_eve_u]], TAB_AMORTIZACAO_U[V_PU_AMTC])</f>
        <v>69060.953919000007</v>
      </c>
      <c r="J207" s="48">
        <f>IFERROR(VLOOKUP(TAB_CORRECAO_U[[#This Row],[DT_EVE]], TAB_AMORTIZACAO_U[[DT_EVE]:[V_PU_AMTC]], 2, FALSE), 0)</f>
        <v>784.25619200000006</v>
      </c>
      <c r="K207" s="48">
        <f>NETWORKDAYS(DT_CALCULO_U, TAB_CORRECAO_U[[#This Row],[dt_eve_u]], TAB_FERIADOS[FER_DATA]) -1</f>
        <v>739</v>
      </c>
      <c r="L207" s="48">
        <f>NETWORKDAYS(DT_CALCULO_U, TAB_CORRECAO_U[[#This Row],[dt_lqdc_eve_u]], TAB_FERIADOS[FER_DATA]) -1</f>
        <v>743</v>
      </c>
      <c r="M207" s="48">
        <f>NETWORKDAYS(IF(ISTEXT(G206), DT_B_CORC, G206), TAB_CORRECAO_U[[#This Row],[dt_eve_u]], TAB_FERIADOS[FER_DATA]) -1</f>
        <v>19</v>
      </c>
      <c r="N207" s="78">
        <f>(TX_EMISSAO/100 +1)^(TAB_CORRECAO_U[[#This Row],[dias_periodo_u]]/252)</f>
        <v>1.0018634787225431</v>
      </c>
      <c r="O207" s="78">
        <f>(TIR_U/100 +1)^(TAB_CORRECAO_U[[#This Row],[Q_DIAS_U_PARC_TIR]]/252)</f>
        <v>1.0755281611767633</v>
      </c>
      <c r="P207" s="116" t="str">
        <f>"TX_CENARIO" &amp; TEXT(DT_CALCULO_C, "-AAAAMMDD") &amp; TEXT(TAB_CORRECAO_U[[#This Row],[DT_EVE]], "-AAAAMMDD")</f>
        <v>TX_CENARIO-20151228-20181210</v>
      </c>
      <c r="Q207" s="44">
        <f>IFERROR(VLOOKUP(TAB_CORRECAO_U[[#This Row],[Chave-CENARIO]],CENARIO[],2,FALSE), 0)</f>
        <v>16.653400000000001</v>
      </c>
      <c r="R207" s="116" t="str">
        <f>"CORRECAO_CORC_U" &amp; TEXT(DT_CALCULO_C, "-AAAAMMDD") &amp; TEXT(TAB_CORRECAO_U[[#This Row],[DT_EVE]], "-AAAAMMDD")</f>
        <v>CORRECAO_CORC_U-20151228-20181210</v>
      </c>
      <c r="S207" s="44">
        <f>IFERROR(VLOOKUP(TAB_CORRECAO_U[[#This Row],[Chave-CORC]],CORRECAO_CORC_U[],2, FALSE), 0)</f>
        <v>1.01198443</v>
      </c>
      <c r="T207" s="78">
        <f>MAX(0, IF(TAB_CORRECAO_U[[#This Row],[ID_T_EVE]]= 5, TAB_CORRECAO_U[[#This Row],[PU_AMORT]],TAB_CORRECAO_U[[#This Row],[V_NOML_PCPL]]) * (TAB_CORRECAO_U[[#This Row],[CORRECAO_U]] -1))</f>
        <v>827.65616797548444</v>
      </c>
      <c r="U207" s="78">
        <f>MAX(0, TAB_CORRECAO_U[[#This Row],[V_FUT_U_CORC-01]]/((((TAB_CORRECAO_U[[#This Row],[TX_CENARIO]]/100 +1)^(1/252) -1) * PC_IDXR/100 +1)^TAB_CORRECAO_U[[#This Row],[Q_DIAS_U_PARC_TIR]]))</f>
        <v>525.54366854892817</v>
      </c>
      <c r="V207" s="78">
        <f>TAB_CORRECAO_U[[#This Row],[V_FUT_U_CORC-02]]/TAB_CORRECAO_U[[#This Row],[VAR_DESCAP_U]]</f>
        <v>488.63775726143439</v>
      </c>
      <c r="W207" s="78"/>
      <c r="X207" s="101">
        <f>TAB_CORRECAO_U[[#This Row],[dt_eve_u]]- DT_CALCULO_C</f>
        <v>1078</v>
      </c>
      <c r="Y207" s="48" t="str">
        <f>"CORRECAO_CORC_C" &amp; TEXT(DT_CALCULO_C, "-AAAAMMDD") &amp; TEXT(TAB_CORRECAO_U[[#This Row],[DT_EVE]], "-AAAAMMDD")</f>
        <v>CORRECAO_CORC_C-20151228-20181210</v>
      </c>
      <c r="Z207" s="44">
        <f>IFERROR(VLOOKUP(TAB_CORRECAO_C[[#This Row],[Chave-CORC]],CORRECAO_CORC_C[],2, FALSE), 0)</f>
        <v>1</v>
      </c>
      <c r="AA20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7" s="44">
        <f>(TIR_C/100 +1)^(TAB_CORRECAO_C[[#This Row],[DIAS_CORRIDOS]]/360)</f>
        <v>1.0756179033550992</v>
      </c>
      <c r="AC207" s="78">
        <f>IF(TAB_CORRECAO_C[[#This Row],[DIAS_CORRIDOS]]&lt;0, 0, TAB_CORRECAO_C[[#This Row],[V_FUT_C_CORC]]/TAB_CORRECAO_C[[#This Row],[VAR_DESCAP_C]])</f>
        <v>0</v>
      </c>
      <c r="AD207" s="113">
        <f>TAB_CORRECAO_U[[#This Row],[V_FUT_U_CORC-02]]</f>
        <v>525.54366854892817</v>
      </c>
      <c r="AE207" s="126">
        <f>IF(TAB_CORRECAO_C[[#This Row],[DIAS_CORRIDOS]]&lt;0, 0, TAB_CORRECAO_C[[#This Row],[V_FUT_UTEIS]]/TAB_CORRECAO_C[[#This Row],[VAR_DESCAP_C]])</f>
        <v>488.5969886793784</v>
      </c>
      <c r="AF207" s="64"/>
    </row>
    <row r="208" spans="1:32">
      <c r="A208" s="82">
        <f t="shared" si="4"/>
        <v>37</v>
      </c>
      <c r="B208" s="24">
        <f>VLOOKUP($A208, CAD_ATUALIZACAO[#Data], MATCH(B$171, CAD_ATUALIZACAO[#Headers],0), FALSE)</f>
        <v>3</v>
      </c>
      <c r="C208" s="24" t="str">
        <f>VLOOKUP($A208, CAD_ATUALIZACAO[#Data], MATCH(C$171, CAD_ATUALIZACAO[#Headers],0), FALSE)</f>
        <v xml:space="preserve">ATUALIZACAO SOBRE PRINCIPAL                       </v>
      </c>
      <c r="D208" s="36">
        <f>VLOOKUP($A208, CAD_ATUALIZACAO[#Data], MATCH(D$171, CAD_ATUALIZACAO[#Headers],0), FALSE)</f>
        <v>43474</v>
      </c>
      <c r="E208" s="48">
        <f>VLOOKUP($A208, CAD_ATUALIZACAO[#Data], MATCH(E$171, CAD_ATUALIZACAO[#Headers],0), FALSE)</f>
        <v>0</v>
      </c>
      <c r="F208" s="36">
        <f>VLOOKUP($A208, CAD_ATUALIZACAO[#Data], MATCH(F$171, CAD_ATUALIZACAO[#Headers],0), FALSE)</f>
        <v>43480</v>
      </c>
      <c r="G208" s="47">
        <f>WORKDAY(WORKDAY(TAB_CORRECAO_U[[#This Row],[DT_EVE]], -1, TAB_FERIADOS[FER_DATA]), 1, TAB_FERIADOS[FER_DATA])</f>
        <v>43474</v>
      </c>
      <c r="H208" s="75">
        <f>WORKDAY(WORKDAY(TAB_CORRECAO_U[[#This Row],[DT_LQDC_EVE]], -1, TAB_FERIADOS[FER_DATA]), 1, TAB_FERIADOS[FER_DATA])</f>
        <v>43480</v>
      </c>
      <c r="I208" s="48">
        <f>PU_EMISSAO - SUMIF(TAB_AMORTIZACAO_U[dt_eve_u], "&lt;" &amp; TAB_CORRECAO_U[[#This Row],[dt_eve_u]], TAB_AMORTIZACAO_U[V_PU_AMTC])</f>
        <v>68276.697727000006</v>
      </c>
      <c r="J208" s="48">
        <f>IFERROR(VLOOKUP(TAB_CORRECAO_U[[#This Row],[DT_EVE]], TAB_AMORTIZACAO_U[[DT_EVE]:[V_PU_AMTC]], 2, FALSE), 0)</f>
        <v>843.08066299999996</v>
      </c>
      <c r="K208" s="48">
        <f>NETWORKDAYS(DT_CALCULO_U, TAB_CORRECAO_U[[#This Row],[dt_eve_u]], TAB_FERIADOS[FER_DATA]) -1</f>
        <v>759</v>
      </c>
      <c r="L208" s="48">
        <f>NETWORKDAYS(DT_CALCULO_U, TAB_CORRECAO_U[[#This Row],[dt_lqdc_eve_u]], TAB_FERIADOS[FER_DATA]) -1</f>
        <v>763</v>
      </c>
      <c r="M208" s="48">
        <f>NETWORKDAYS(IF(ISTEXT(G207), DT_B_CORC, G207), TAB_CORRECAO_U[[#This Row],[dt_eve_u]], TAB_FERIADOS[FER_DATA]) -1</f>
        <v>20</v>
      </c>
      <c r="N208" s="78">
        <f>(TX_EMISSAO/100 +1)^(TAB_CORRECAO_U[[#This Row],[dias_periodo_u]]/252)</f>
        <v>1.0019616526860928</v>
      </c>
      <c r="O208" s="78">
        <f>(TIR_U/100 +1)^(TAB_CORRECAO_U[[#This Row],[Q_DIAS_U_PARC_TIR]]/252)</f>
        <v>1.0776382013366563</v>
      </c>
      <c r="P208" s="116" t="str">
        <f>"TX_CENARIO" &amp; TEXT(DT_CALCULO_C, "-AAAAMMDD") &amp; TEXT(TAB_CORRECAO_U[[#This Row],[DT_EVE]], "-AAAAMMDD")</f>
        <v>TX_CENARIO-20151228-20190109</v>
      </c>
      <c r="Q208" s="44">
        <f>IFERROR(VLOOKUP(TAB_CORRECAO_U[[#This Row],[Chave-CENARIO]],CENARIO[],2,FALSE), 0)</f>
        <v>16.655100000000001</v>
      </c>
      <c r="R208" s="116" t="str">
        <f>"CORRECAO_CORC_U" &amp; TEXT(DT_CALCULO_C, "-AAAAMMDD") &amp; TEXT(TAB_CORRECAO_U[[#This Row],[DT_EVE]], "-AAAAMMDD")</f>
        <v>CORRECAO_CORC_U-20151228-20190109</v>
      </c>
      <c r="S208" s="44">
        <f>IFERROR(VLOOKUP(TAB_CORRECAO_U[[#This Row],[Chave-CORC]],CORRECAO_CORC_U[],2, FALSE), 0)</f>
        <v>1.01251695</v>
      </c>
      <c r="T208" s="78">
        <f>MAX(0, IF(TAB_CORRECAO_U[[#This Row],[ID_T_EVE]]= 5, TAB_CORRECAO_U[[#This Row],[PU_AMORT]],TAB_CORRECAO_U[[#This Row],[V_NOML_PCPL]]) * (TAB_CORRECAO_U[[#This Row],[CORRECAO_U]] -1))</f>
        <v>854.61601161397073</v>
      </c>
      <c r="U208" s="78">
        <f>MAX(0, TAB_CORRECAO_U[[#This Row],[V_FUT_U_CORC-01]]/((((TAB_CORRECAO_U[[#This Row],[TX_CENARIO]]/100 +1)^(1/252) -1) * PC_IDXR/100 +1)^TAB_CORRECAO_U[[#This Row],[Q_DIAS_U_PARC_TIR]]))</f>
        <v>536.04518261654118</v>
      </c>
      <c r="V208" s="78">
        <f>TAB_CORRECAO_U[[#This Row],[V_FUT_U_CORC-02]]/TAB_CORRECAO_U[[#This Row],[VAR_DESCAP_U]]</f>
        <v>497.42592824906694</v>
      </c>
      <c r="W208" s="78"/>
      <c r="X208" s="101">
        <f>TAB_CORRECAO_U[[#This Row],[dt_eve_u]]- DT_CALCULO_C</f>
        <v>1108</v>
      </c>
      <c r="Y208" s="48" t="str">
        <f>"CORRECAO_CORC_C" &amp; TEXT(DT_CALCULO_C, "-AAAAMMDD") &amp; TEXT(TAB_CORRECAO_U[[#This Row],[DT_EVE]], "-AAAAMMDD")</f>
        <v>CORRECAO_CORC_C-20151228-20190109</v>
      </c>
      <c r="Z208" s="44">
        <f>IFERROR(VLOOKUP(TAB_CORRECAO_C[[#This Row],[Chave-CORC]],CORRECAO_CORC_C[],2, FALSE), 0)</f>
        <v>1</v>
      </c>
      <c r="AA20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8" s="44">
        <f>(TIR_C/100 +1)^(TAB_CORRECAO_C[[#This Row],[DIAS_CORRIDOS]]/360)</f>
        <v>1.0778021444351347</v>
      </c>
      <c r="AC208" s="78">
        <f>IF(TAB_CORRECAO_C[[#This Row],[DIAS_CORRIDOS]]&lt;0, 0, TAB_CORRECAO_C[[#This Row],[V_FUT_C_CORC]]/TAB_CORRECAO_C[[#This Row],[VAR_DESCAP_C]])</f>
        <v>0</v>
      </c>
      <c r="AD208" s="113">
        <f>TAB_CORRECAO_U[[#This Row],[V_FUT_U_CORC-02]]</f>
        <v>536.04518261654118</v>
      </c>
      <c r="AE208" s="126">
        <f>IF(TAB_CORRECAO_C[[#This Row],[DIAS_CORRIDOS]]&lt;0, 0, TAB_CORRECAO_C[[#This Row],[V_FUT_UTEIS]]/TAB_CORRECAO_C[[#This Row],[VAR_DESCAP_C]])</f>
        <v>497.35026543065294</v>
      </c>
      <c r="AF208" s="64"/>
    </row>
    <row r="209" spans="1:32">
      <c r="A209" s="82">
        <f t="shared" si="4"/>
        <v>38</v>
      </c>
      <c r="B209" s="24">
        <f>VLOOKUP($A209, CAD_ATUALIZACAO[#Data], MATCH(B$171, CAD_ATUALIZACAO[#Headers],0), FALSE)</f>
        <v>3</v>
      </c>
      <c r="C209" s="24" t="str">
        <f>VLOOKUP($A209, CAD_ATUALIZACAO[#Data], MATCH(C$171, CAD_ATUALIZACAO[#Headers],0), FALSE)</f>
        <v xml:space="preserve">ATUALIZACAO SOBRE PRINCIPAL                       </v>
      </c>
      <c r="D209" s="36">
        <f>VLOOKUP($A209, CAD_ATUALIZACAO[#Data], MATCH(D$171, CAD_ATUALIZACAO[#Headers],0), FALSE)</f>
        <v>43504</v>
      </c>
      <c r="E209" s="48">
        <f>VLOOKUP($A209, CAD_ATUALIZACAO[#Data], MATCH(E$171, CAD_ATUALIZACAO[#Headers],0), FALSE)</f>
        <v>0</v>
      </c>
      <c r="F209" s="36">
        <f>VLOOKUP($A209, CAD_ATUALIZACAO[#Data], MATCH(F$171, CAD_ATUALIZACAO[#Headers],0), FALSE)</f>
        <v>43510</v>
      </c>
      <c r="G209" s="47">
        <f>WORKDAY(WORKDAY(TAB_CORRECAO_U[[#This Row],[DT_EVE]], -1, TAB_FERIADOS[FER_DATA]), 1, TAB_FERIADOS[FER_DATA])</f>
        <v>43504</v>
      </c>
      <c r="H209" s="75">
        <f>WORKDAY(WORKDAY(TAB_CORRECAO_U[[#This Row],[DT_LQDC_EVE]], -1, TAB_FERIADOS[FER_DATA]), 1, TAB_FERIADOS[FER_DATA])</f>
        <v>43510</v>
      </c>
      <c r="I209" s="48">
        <f>PU_EMISSAO - SUMIF(TAB_AMORTIZACAO_U[dt_eve_u], "&lt;" &amp; TAB_CORRECAO_U[[#This Row],[dt_eve_u]], TAB_AMORTIZACAO_U[V_PU_AMTC])</f>
        <v>67433.617064000005</v>
      </c>
      <c r="J209" s="48">
        <f>IFERROR(VLOOKUP(TAB_CORRECAO_U[[#This Row],[DT_EVE]], TAB_AMORTIZACAO_U[[DT_EVE]:[V_PU_AMTC]], 2, FALSE), 0)</f>
        <v>819.45331399999998</v>
      </c>
      <c r="K209" s="48">
        <f>NETWORKDAYS(DT_CALCULO_U, TAB_CORRECAO_U[[#This Row],[dt_eve_u]], TAB_FERIADOS[FER_DATA]) -1</f>
        <v>781</v>
      </c>
      <c r="L209" s="48">
        <f>NETWORKDAYS(DT_CALCULO_U, TAB_CORRECAO_U[[#This Row],[dt_lqdc_eve_u]], TAB_FERIADOS[FER_DATA]) -1</f>
        <v>785</v>
      </c>
      <c r="M209" s="48">
        <f>NETWORKDAYS(IF(ISTEXT(G208), DT_B_CORC, G208), TAB_CORRECAO_U[[#This Row],[dt_eve_u]], TAB_FERIADOS[FER_DATA]) -1</f>
        <v>22</v>
      </c>
      <c r="N209" s="78">
        <f>(TX_EMISSAO/100 +1)^(TAB_CORRECAO_U[[#This Row],[dias_periodo_u]]/252)</f>
        <v>1.0021580294747356</v>
      </c>
      <c r="O209" s="78">
        <f>(TIR_U/100 +1)^(TAB_CORRECAO_U[[#This Row],[Q_DIAS_U_PARC_TIR]]/252)</f>
        <v>1.0799640270771413</v>
      </c>
      <c r="P209" s="116" t="str">
        <f>"TX_CENARIO" &amp; TEXT(DT_CALCULO_C, "-AAAAMMDD") &amp; TEXT(TAB_CORRECAO_U[[#This Row],[DT_EVE]], "-AAAAMMDD")</f>
        <v>TX_CENARIO-20151228-20190208</v>
      </c>
      <c r="Q209" s="44">
        <f>IFERROR(VLOOKUP(TAB_CORRECAO_U[[#This Row],[Chave-CENARIO]],CENARIO[],2,FALSE), 0)</f>
        <v>16.658999999999999</v>
      </c>
      <c r="R209" s="116" t="str">
        <f>"CORRECAO_CORC_U" &amp; TEXT(DT_CALCULO_C, "-AAAAMMDD") &amp; TEXT(TAB_CORRECAO_U[[#This Row],[DT_EVE]], "-AAAAMMDD")</f>
        <v>CORRECAO_CORC_U-20151228-20190208</v>
      </c>
      <c r="S209" s="44">
        <f>IFERROR(VLOOKUP(TAB_CORRECAO_U[[#This Row],[Chave-CORC]],CORRECAO_CORC_U[],2, FALSE), 0)</f>
        <v>1.01343962</v>
      </c>
      <c r="T209" s="78">
        <f>MAX(0, IF(TAB_CORRECAO_U[[#This Row],[ID_T_EVE]]= 5, TAB_CORRECAO_U[[#This Row],[PU_AMORT]],TAB_CORRECAO_U[[#This Row],[V_NOML_PCPL]]) * (TAB_CORRECAO_U[[#This Row],[CORRECAO_U]] -1))</f>
        <v>906.2821885656748</v>
      </c>
      <c r="U209" s="78">
        <f>MAX(0, TAB_CORRECAO_U[[#This Row],[V_FUT_U_CORC-01]]/((((TAB_CORRECAO_U[[#This Row],[TX_CENARIO]]/100 +1)^(1/252) -1) * PC_IDXR/100 +1)^TAB_CORRECAO_U[[#This Row],[Q_DIAS_U_PARC_TIR]]))</f>
        <v>560.79971866571657</v>
      </c>
      <c r="V209" s="78">
        <f>TAB_CORRECAO_U[[#This Row],[V_FUT_U_CORC-02]]/TAB_CORRECAO_U[[#This Row],[VAR_DESCAP_U]]</f>
        <v>519.27629495538645</v>
      </c>
      <c r="W209" s="78"/>
      <c r="X209" s="101">
        <f>TAB_CORRECAO_U[[#This Row],[dt_eve_u]]- DT_CALCULO_C</f>
        <v>1138</v>
      </c>
      <c r="Y209" s="48" t="str">
        <f>"CORRECAO_CORC_C" &amp; TEXT(DT_CALCULO_C, "-AAAAMMDD") &amp; TEXT(TAB_CORRECAO_U[[#This Row],[DT_EVE]], "-AAAAMMDD")</f>
        <v>CORRECAO_CORC_C-20151228-20190208</v>
      </c>
      <c r="Z209" s="44">
        <f>IFERROR(VLOOKUP(TAB_CORRECAO_C[[#This Row],[Chave-CORC]],CORRECAO_CORC_C[],2, FALSE), 0)</f>
        <v>1</v>
      </c>
      <c r="AA20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09" s="44">
        <f>(TIR_C/100 +1)^(TAB_CORRECAO_C[[#This Row],[DIAS_CORRIDOS]]/360)</f>
        <v>1.0799908210206415</v>
      </c>
      <c r="AC209" s="78">
        <f>IF(TAB_CORRECAO_C[[#This Row],[DIAS_CORRIDOS]]&lt;0, 0, TAB_CORRECAO_C[[#This Row],[V_FUT_C_CORC]]/TAB_CORRECAO_C[[#This Row],[VAR_DESCAP_C]])</f>
        <v>0</v>
      </c>
      <c r="AD209" s="113">
        <f>TAB_CORRECAO_U[[#This Row],[V_FUT_U_CORC-02]]</f>
        <v>560.79971866571657</v>
      </c>
      <c r="AE209" s="126">
        <f>IF(TAB_CORRECAO_C[[#This Row],[DIAS_CORRIDOS]]&lt;0, 0, TAB_CORRECAO_C[[#This Row],[V_FUT_UTEIS]]/TAB_CORRECAO_C[[#This Row],[VAR_DESCAP_C]])</f>
        <v>519.2634120128306</v>
      </c>
      <c r="AF209" s="64"/>
    </row>
    <row r="210" spans="1:32">
      <c r="A210" s="82">
        <f t="shared" si="4"/>
        <v>39</v>
      </c>
      <c r="B210" s="24">
        <f>VLOOKUP($A210, CAD_ATUALIZACAO[#Data], MATCH(B$171, CAD_ATUALIZACAO[#Headers],0), FALSE)</f>
        <v>3</v>
      </c>
      <c r="C210" s="24" t="str">
        <f>VLOOKUP($A210, CAD_ATUALIZACAO[#Data], MATCH(C$171, CAD_ATUALIZACAO[#Headers],0), FALSE)</f>
        <v xml:space="preserve">ATUALIZACAO SOBRE PRINCIPAL                       </v>
      </c>
      <c r="D210" s="36">
        <f>VLOOKUP($A210, CAD_ATUALIZACAO[#Data], MATCH(D$171, CAD_ATUALIZACAO[#Headers],0), FALSE)</f>
        <v>43536</v>
      </c>
      <c r="E210" s="48">
        <f>VLOOKUP($A210, CAD_ATUALIZACAO[#Data], MATCH(E$171, CAD_ATUALIZACAO[#Headers],0), FALSE)</f>
        <v>0</v>
      </c>
      <c r="F210" s="36">
        <f>VLOOKUP($A210, CAD_ATUALIZACAO[#Data], MATCH(F$171, CAD_ATUALIZACAO[#Headers],0), FALSE)</f>
        <v>43542</v>
      </c>
      <c r="G210" s="47">
        <f>WORKDAY(WORKDAY(TAB_CORRECAO_U[[#This Row],[DT_EVE]], -1, TAB_FERIADOS[FER_DATA]), 1, TAB_FERIADOS[FER_DATA])</f>
        <v>43536</v>
      </c>
      <c r="H210" s="75">
        <f>WORKDAY(WORKDAY(TAB_CORRECAO_U[[#This Row],[DT_LQDC_EVE]], -1, TAB_FERIADOS[FER_DATA]), 1, TAB_FERIADOS[FER_DATA])</f>
        <v>43542</v>
      </c>
      <c r="I210" s="48">
        <f>PU_EMISSAO - SUMIF(TAB_AMORTIZACAO_U[dt_eve_u], "&lt;" &amp; TAB_CORRECAO_U[[#This Row],[dt_eve_u]], TAB_AMORTIZACAO_U[V_PU_AMTC])</f>
        <v>66614.163750000007</v>
      </c>
      <c r="J210" s="48">
        <f>IFERROR(VLOOKUP(TAB_CORRECAO_U[[#This Row],[DT_EVE]], TAB_AMORTIZACAO_U[[DT_EVE]:[V_PU_AMTC]], 2, FALSE), 0)</f>
        <v>823.817363</v>
      </c>
      <c r="K210" s="48">
        <f>NETWORKDAYS(DT_CALCULO_U, TAB_CORRECAO_U[[#This Row],[dt_eve_u]], TAB_FERIADOS[FER_DATA]) -1</f>
        <v>801</v>
      </c>
      <c r="L210" s="48">
        <f>NETWORKDAYS(DT_CALCULO_U, TAB_CORRECAO_U[[#This Row],[dt_lqdc_eve_u]], TAB_FERIADOS[FER_DATA]) -1</f>
        <v>805</v>
      </c>
      <c r="M210" s="48">
        <f>NETWORKDAYS(IF(ISTEXT(G209), DT_B_CORC, G209), TAB_CORRECAO_U[[#This Row],[dt_eve_u]], TAB_FERIADOS[FER_DATA]) -1</f>
        <v>20</v>
      </c>
      <c r="N210" s="78">
        <f>(TX_EMISSAO/100 +1)^(TAB_CORRECAO_U[[#This Row],[dias_periodo_u]]/252)</f>
        <v>1.0019616526860928</v>
      </c>
      <c r="O210" s="78">
        <f>(TIR_U/100 +1)^(TAB_CORRECAO_U[[#This Row],[Q_DIAS_U_PARC_TIR]]/252)</f>
        <v>1.0820827698033932</v>
      </c>
      <c r="P210" s="116" t="str">
        <f>"TX_CENARIO" &amp; TEXT(DT_CALCULO_C, "-AAAAMMDD") &amp; TEXT(TAB_CORRECAO_U[[#This Row],[DT_EVE]], "-AAAAMMDD")</f>
        <v>TX_CENARIO-20151228-20190312</v>
      </c>
      <c r="Q210" s="44">
        <f>IFERROR(VLOOKUP(TAB_CORRECAO_U[[#This Row],[Chave-CENARIO]],CENARIO[],2,FALSE), 0)</f>
        <v>16.662500000000001</v>
      </c>
      <c r="R210" s="116" t="str">
        <f>"CORRECAO_CORC_U" &amp; TEXT(DT_CALCULO_C, "-AAAAMMDD") &amp; TEXT(TAB_CORRECAO_U[[#This Row],[DT_EVE]], "-AAAAMMDD")</f>
        <v>CORRECAO_CORC_U-20151228-20190312</v>
      </c>
      <c r="S210" s="44">
        <f>IFERROR(VLOOKUP(TAB_CORRECAO_U[[#This Row],[Chave-CORC]],CORRECAO_CORC_U[],2, FALSE), 0)</f>
        <v>1.01221041</v>
      </c>
      <c r="T210" s="78">
        <f>MAX(0, IF(TAB_CORRECAO_U[[#This Row],[ID_T_EVE]]= 5, TAB_CORRECAO_U[[#This Row],[PU_AMORT]],TAB_CORRECAO_U[[#This Row],[V_NOML_PCPL]]) * (TAB_CORRECAO_U[[#This Row],[CORRECAO_U]] -1))</f>
        <v>813.38625119463791</v>
      </c>
      <c r="U210" s="78">
        <f>MAX(0, TAB_CORRECAO_U[[#This Row],[V_FUT_U_CORC-01]]/((((TAB_CORRECAO_U[[#This Row],[TX_CENARIO]]/100 +1)^(1/252) -1) * PC_IDXR/100 +1)^TAB_CORRECAO_U[[#This Row],[Q_DIAS_U_PARC_TIR]]))</f>
        <v>497.1512953648442</v>
      </c>
      <c r="V210" s="78">
        <f>TAB_CORRECAO_U[[#This Row],[V_FUT_U_CORC-02]]/TAB_CORRECAO_U[[#This Row],[VAR_DESCAP_U]]</f>
        <v>459.43924923152883</v>
      </c>
      <c r="W210" s="78"/>
      <c r="X210" s="101">
        <f>TAB_CORRECAO_U[[#This Row],[dt_eve_u]]- DT_CALCULO_C</f>
        <v>1170</v>
      </c>
      <c r="Y210" s="48" t="str">
        <f>"CORRECAO_CORC_C" &amp; TEXT(DT_CALCULO_C, "-AAAAMMDD") &amp; TEXT(TAB_CORRECAO_U[[#This Row],[DT_EVE]], "-AAAAMMDD")</f>
        <v>CORRECAO_CORC_C-20151228-20190312</v>
      </c>
      <c r="Z210" s="44">
        <f>IFERROR(VLOOKUP(TAB_CORRECAO_C[[#This Row],[Chave-CORC]],CORRECAO_CORC_C[],2, FALSE), 0)</f>
        <v>1</v>
      </c>
      <c r="AA21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0" s="44">
        <f>(TIR_C/100 +1)^(TAB_CORRECAO_C[[#This Row],[DIAS_CORRIDOS]]/360)</f>
        <v>1.0823303084400167</v>
      </c>
      <c r="AC210" s="78">
        <f>IF(TAB_CORRECAO_C[[#This Row],[DIAS_CORRIDOS]]&lt;0, 0, TAB_CORRECAO_C[[#This Row],[V_FUT_C_CORC]]/TAB_CORRECAO_C[[#This Row],[VAR_DESCAP_C]])</f>
        <v>0</v>
      </c>
      <c r="AD210" s="113">
        <f>TAB_CORRECAO_U[[#This Row],[V_FUT_U_CORC-02]]</f>
        <v>497.1512953648442</v>
      </c>
      <c r="AE210" s="126">
        <f>IF(TAB_CORRECAO_C[[#This Row],[DIAS_CORRIDOS]]&lt;0, 0, TAB_CORRECAO_C[[#This Row],[V_FUT_UTEIS]]/TAB_CORRECAO_C[[#This Row],[VAR_DESCAP_C]])</f>
        <v>459.334171359756</v>
      </c>
      <c r="AF210" s="64"/>
    </row>
    <row r="211" spans="1:32">
      <c r="A211" s="82">
        <f t="shared" si="4"/>
        <v>40</v>
      </c>
      <c r="B211" s="24">
        <f>VLOOKUP($A211, CAD_ATUALIZACAO[#Data], MATCH(B$171, CAD_ATUALIZACAO[#Headers],0), FALSE)</f>
        <v>3</v>
      </c>
      <c r="C211" s="24" t="str">
        <f>VLOOKUP($A211, CAD_ATUALIZACAO[#Data], MATCH(C$171, CAD_ATUALIZACAO[#Headers],0), FALSE)</f>
        <v xml:space="preserve">ATUALIZACAO SOBRE PRINCIPAL                       </v>
      </c>
      <c r="D211" s="36">
        <f>VLOOKUP($A211, CAD_ATUALIZACAO[#Data], MATCH(D$171, CAD_ATUALIZACAO[#Headers],0), FALSE)</f>
        <v>43563</v>
      </c>
      <c r="E211" s="48">
        <f>VLOOKUP($A211, CAD_ATUALIZACAO[#Data], MATCH(E$171, CAD_ATUALIZACAO[#Headers],0), FALSE)</f>
        <v>0</v>
      </c>
      <c r="F211" s="36">
        <f>VLOOKUP($A211, CAD_ATUALIZACAO[#Data], MATCH(F$171, CAD_ATUALIZACAO[#Headers],0), FALSE)</f>
        <v>43567</v>
      </c>
      <c r="G211" s="47">
        <f>WORKDAY(WORKDAY(TAB_CORRECAO_U[[#This Row],[DT_EVE]], -1, TAB_FERIADOS[FER_DATA]), 1, TAB_FERIADOS[FER_DATA])</f>
        <v>43563</v>
      </c>
      <c r="H211" s="75">
        <f>WORKDAY(WORKDAY(TAB_CORRECAO_U[[#This Row],[DT_LQDC_EVE]], -1, TAB_FERIADOS[FER_DATA]), 1, TAB_FERIADOS[FER_DATA])</f>
        <v>43567</v>
      </c>
      <c r="I211" s="48">
        <f>PU_EMISSAO - SUMIF(TAB_AMORTIZACAO_U[dt_eve_u], "&lt;" &amp; TAB_CORRECAO_U[[#This Row],[dt_eve_u]], TAB_AMORTIZACAO_U[V_PU_AMTC])</f>
        <v>65790.346386999998</v>
      </c>
      <c r="J211" s="48">
        <f>IFERROR(VLOOKUP(TAB_CORRECAO_U[[#This Row],[DT_EVE]], TAB_AMORTIZACAO_U[[DT_EVE]:[V_PU_AMTC]], 2, FALSE), 0)</f>
        <v>821.52405499999998</v>
      </c>
      <c r="K211" s="48">
        <f>NETWORKDAYS(DT_CALCULO_U, TAB_CORRECAO_U[[#This Row],[dt_eve_u]], TAB_FERIADOS[FER_DATA]) -1</f>
        <v>820</v>
      </c>
      <c r="L211" s="48">
        <f>NETWORKDAYS(DT_CALCULO_U, TAB_CORRECAO_U[[#This Row],[dt_lqdc_eve_u]], TAB_FERIADOS[FER_DATA]) -1</f>
        <v>824</v>
      </c>
      <c r="M211" s="48">
        <f>NETWORKDAYS(IF(ISTEXT(G210), DT_B_CORC, G210), TAB_CORRECAO_U[[#This Row],[dt_eve_u]], TAB_FERIADOS[FER_DATA]) -1</f>
        <v>19</v>
      </c>
      <c r="N211" s="78">
        <f>(TX_EMISSAO/100 +1)^(TAB_CORRECAO_U[[#This Row],[dias_periodo_u]]/252)</f>
        <v>1.0018634787225431</v>
      </c>
      <c r="O211" s="78">
        <f>(TIR_U/100 +1)^(TAB_CORRECAO_U[[#This Row],[Q_DIAS_U_PARC_TIR]]/252)</f>
        <v>1.0840994253973897</v>
      </c>
      <c r="P211" s="116" t="str">
        <f>"TX_CENARIO" &amp; TEXT(DT_CALCULO_C, "-AAAAMMDD") &amp; TEXT(TAB_CORRECAO_U[[#This Row],[DT_EVE]], "-AAAAMMDD")</f>
        <v>TX_CENARIO-20151228-20190408</v>
      </c>
      <c r="Q211" s="44">
        <f>IFERROR(VLOOKUP(TAB_CORRECAO_U[[#This Row],[Chave-CENARIO]],CENARIO[],2,FALSE), 0)</f>
        <v>16.665500000000002</v>
      </c>
      <c r="R211" s="116" t="str">
        <f>"CORRECAO_CORC_U" &amp; TEXT(DT_CALCULO_C, "-AAAAMMDD") &amp; TEXT(TAB_CORRECAO_U[[#This Row],[DT_EVE]], "-AAAAMMDD")</f>
        <v>CORRECAO_CORC_U-20151228-20190408</v>
      </c>
      <c r="S211" s="44">
        <f>IFERROR(VLOOKUP(TAB_CORRECAO_U[[#This Row],[Chave-CORC]],CORRECAO_CORC_U[],2, FALSE), 0)</f>
        <v>1.01159785</v>
      </c>
      <c r="T211" s="78">
        <f>MAX(0, IF(TAB_CORRECAO_U[[#This Row],[ID_T_EVE]]= 5, TAB_CORRECAO_U[[#This Row],[PU_AMORT]],TAB_CORRECAO_U[[#This Row],[V_NOML_PCPL]]) * (TAB_CORRECAO_U[[#This Row],[CORRECAO_U]] -1))</f>
        <v>763.02656884446924</v>
      </c>
      <c r="U211" s="78">
        <f>MAX(0, TAB_CORRECAO_U[[#This Row],[V_FUT_U_CORC-01]]/((((TAB_CORRECAO_U[[#This Row],[TX_CENARIO]]/100 +1)^(1/252) -1) * PC_IDXR/100 +1)^TAB_CORRECAO_U[[#This Row],[Q_DIAS_U_PARC_TIR]]))</f>
        <v>460.94433905658377</v>
      </c>
      <c r="V211" s="78">
        <f>TAB_CORRECAO_U[[#This Row],[V_FUT_U_CORC-02]]/TAB_CORRECAO_U[[#This Row],[VAR_DESCAP_U]]</f>
        <v>425.18640657670221</v>
      </c>
      <c r="W211" s="78"/>
      <c r="X211" s="101">
        <f>TAB_CORRECAO_U[[#This Row],[dt_eve_u]]- DT_CALCULO_C</f>
        <v>1197</v>
      </c>
      <c r="Y211" s="48" t="str">
        <f>"CORRECAO_CORC_C" &amp; TEXT(DT_CALCULO_C, "-AAAAMMDD") &amp; TEXT(TAB_CORRECAO_U[[#This Row],[DT_EVE]], "-AAAAMMDD")</f>
        <v>CORRECAO_CORC_C-20151228-20190408</v>
      </c>
      <c r="Z211" s="44">
        <f>IFERROR(VLOOKUP(TAB_CORRECAO_C[[#This Row],[Chave-CORC]],CORRECAO_CORC_C[],2, FALSE), 0)</f>
        <v>1</v>
      </c>
      <c r="AA21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1" s="44">
        <f>(TIR_C/100 +1)^(TAB_CORRECAO_C[[#This Row],[DIAS_CORRIDOS]]/360)</f>
        <v>1.0843081924200355</v>
      </c>
      <c r="AC211" s="78">
        <f>IF(TAB_CORRECAO_C[[#This Row],[DIAS_CORRIDOS]]&lt;0, 0, TAB_CORRECAO_C[[#This Row],[V_FUT_C_CORC]]/TAB_CORRECAO_C[[#This Row],[VAR_DESCAP_C]])</f>
        <v>0</v>
      </c>
      <c r="AD211" s="113">
        <f>TAB_CORRECAO_U[[#This Row],[V_FUT_U_CORC-02]]</f>
        <v>460.94433905658377</v>
      </c>
      <c r="AE211" s="126">
        <f>IF(TAB_CORRECAO_C[[#This Row],[DIAS_CORRIDOS]]&lt;0, 0, TAB_CORRECAO_C[[#This Row],[V_FUT_UTEIS]]/TAB_CORRECAO_C[[#This Row],[VAR_DESCAP_C]])</f>
        <v>425.10454341197561</v>
      </c>
      <c r="AF211" s="64"/>
    </row>
    <row r="212" spans="1:32">
      <c r="A212" s="82">
        <f t="shared" si="4"/>
        <v>41</v>
      </c>
      <c r="B212" s="24">
        <f>VLOOKUP($A212, CAD_ATUALIZACAO[#Data], MATCH(B$171, CAD_ATUALIZACAO[#Headers],0), FALSE)</f>
        <v>3</v>
      </c>
      <c r="C212" s="24" t="str">
        <f>VLOOKUP($A212, CAD_ATUALIZACAO[#Data], MATCH(C$171, CAD_ATUALIZACAO[#Headers],0), FALSE)</f>
        <v xml:space="preserve">ATUALIZACAO SOBRE PRINCIPAL                       </v>
      </c>
      <c r="D212" s="36">
        <f>VLOOKUP($A212, CAD_ATUALIZACAO[#Data], MATCH(D$171, CAD_ATUALIZACAO[#Headers],0), FALSE)</f>
        <v>43594</v>
      </c>
      <c r="E212" s="48">
        <f>VLOOKUP($A212, CAD_ATUALIZACAO[#Data], MATCH(E$171, CAD_ATUALIZACAO[#Headers],0), FALSE)</f>
        <v>0</v>
      </c>
      <c r="F212" s="36">
        <f>VLOOKUP($A212, CAD_ATUALIZACAO[#Data], MATCH(F$171, CAD_ATUALIZACAO[#Headers],0), FALSE)</f>
        <v>43600</v>
      </c>
      <c r="G212" s="47">
        <f>WORKDAY(WORKDAY(TAB_CORRECAO_U[[#This Row],[DT_EVE]], -1, TAB_FERIADOS[FER_DATA]), 1, TAB_FERIADOS[FER_DATA])</f>
        <v>43594</v>
      </c>
      <c r="H212" s="75">
        <f>WORKDAY(WORKDAY(TAB_CORRECAO_U[[#This Row],[DT_LQDC_EVE]], -1, TAB_FERIADOS[FER_DATA]), 1, TAB_FERIADOS[FER_DATA])</f>
        <v>43600</v>
      </c>
      <c r="I212" s="48">
        <f>PU_EMISSAO - SUMIF(TAB_AMORTIZACAO_U[dt_eve_u], "&lt;" &amp; TAB_CORRECAO_U[[#This Row],[dt_eve_u]], TAB_AMORTIZACAO_U[V_PU_AMTC])</f>
        <v>64968.822332000003</v>
      </c>
      <c r="J212" s="48">
        <f>IFERROR(VLOOKUP(TAB_CORRECAO_U[[#This Row],[DT_EVE]], TAB_AMORTIZACAO_U[[DT_EVE]:[V_PU_AMTC]], 2, FALSE), 0)</f>
        <v>798.46682599999997</v>
      </c>
      <c r="K212" s="48">
        <f>NETWORKDAYS(DT_CALCULO_U, TAB_CORRECAO_U[[#This Row],[dt_eve_u]], TAB_FERIADOS[FER_DATA]) -1</f>
        <v>841</v>
      </c>
      <c r="L212" s="48">
        <f>NETWORKDAYS(DT_CALCULO_U, TAB_CORRECAO_U[[#This Row],[dt_lqdc_eve_u]], TAB_FERIADOS[FER_DATA]) -1</f>
        <v>845</v>
      </c>
      <c r="M212" s="48">
        <f>NETWORKDAYS(IF(ISTEXT(G211), DT_B_CORC, G211), TAB_CORRECAO_U[[#This Row],[dt_eve_u]], TAB_FERIADOS[FER_DATA]) -1</f>
        <v>21</v>
      </c>
      <c r="N212" s="78">
        <f>(TX_EMISSAO/100 +1)^(TAB_CORRECAO_U[[#This Row],[dias_periodo_u]]/252)</f>
        <v>1.0020598362698427</v>
      </c>
      <c r="O212" s="78">
        <f>(TIR_U/100 +1)^(TAB_CORRECAO_U[[#This Row],[Q_DIAS_U_PARC_TIR]]/252)</f>
        <v>1.0863327334670501</v>
      </c>
      <c r="P212" s="116" t="str">
        <f>"TX_CENARIO" &amp; TEXT(DT_CALCULO_C, "-AAAAMMDD") &amp; TEXT(TAB_CORRECAO_U[[#This Row],[DT_EVE]], "-AAAAMMDD")</f>
        <v>TX_CENARIO-20151228-20190509</v>
      </c>
      <c r="Q212" s="44">
        <f>IFERROR(VLOOKUP(TAB_CORRECAO_U[[#This Row],[Chave-CENARIO]],CENARIO[],2,FALSE), 0)</f>
        <v>16.668500000000002</v>
      </c>
      <c r="R212" s="116" t="str">
        <f>"CORRECAO_CORC_U" &amp; TEXT(DT_CALCULO_C, "-AAAAMMDD") &amp; TEXT(TAB_CORRECAO_U[[#This Row],[DT_EVE]], "-AAAAMMDD")</f>
        <v>CORRECAO_CORC_U-20151228-20190509</v>
      </c>
      <c r="S212" s="44">
        <f>IFERROR(VLOOKUP(TAB_CORRECAO_U[[#This Row],[Chave-CORC]],CORRECAO_CORC_U[],2, FALSE), 0)</f>
        <v>1.0128310899999999</v>
      </c>
      <c r="T212" s="78">
        <f>MAX(0, IF(TAB_CORRECAO_U[[#This Row],[ID_T_EVE]]= 5, TAB_CORRECAO_U[[#This Row],[PU_AMORT]],TAB_CORRECAO_U[[#This Row],[V_NOML_PCPL]]) * (TAB_CORRECAO_U[[#This Row],[CORRECAO_U]] -1))</f>
        <v>833.6208065358976</v>
      </c>
      <c r="U212" s="78">
        <f>MAX(0, TAB_CORRECAO_U[[#This Row],[V_FUT_U_CORC-01]]/((((TAB_CORRECAO_U[[#This Row],[TX_CENARIO]]/100 +1)^(1/252) -1) * PC_IDXR/100 +1)^TAB_CORRECAO_U[[#This Row],[Q_DIAS_U_PARC_TIR]]))</f>
        <v>497.12017295314149</v>
      </c>
      <c r="V212" s="78">
        <f>TAB_CORRECAO_U[[#This Row],[V_FUT_U_CORC-02]]/TAB_CORRECAO_U[[#This Row],[VAR_DESCAP_U]]</f>
        <v>457.61317655095758</v>
      </c>
      <c r="W212" s="78"/>
      <c r="X212" s="101">
        <f>TAB_CORRECAO_U[[#This Row],[dt_eve_u]]- DT_CALCULO_C</f>
        <v>1228</v>
      </c>
      <c r="Y212" s="48" t="str">
        <f>"CORRECAO_CORC_C" &amp; TEXT(DT_CALCULO_C, "-AAAAMMDD") &amp; TEXT(TAB_CORRECAO_U[[#This Row],[DT_EVE]], "-AAAAMMDD")</f>
        <v>CORRECAO_CORC_C-20151228-20190509</v>
      </c>
      <c r="Z212" s="44">
        <f>IFERROR(VLOOKUP(TAB_CORRECAO_C[[#This Row],[Chave-CORC]],CORRECAO_CORC_C[],2, FALSE), 0)</f>
        <v>1</v>
      </c>
      <c r="AA21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2" s="44">
        <f>(TIR_C/100 +1)^(TAB_CORRECAO_C[[#This Row],[DIAS_CORRIDOS]]/360)</f>
        <v>1.0865835539726241</v>
      </c>
      <c r="AC212" s="78">
        <f>IF(TAB_CORRECAO_C[[#This Row],[DIAS_CORRIDOS]]&lt;0, 0, TAB_CORRECAO_C[[#This Row],[V_FUT_C_CORC]]/TAB_CORRECAO_C[[#This Row],[VAR_DESCAP_C]])</f>
        <v>0</v>
      </c>
      <c r="AD212" s="113">
        <f>TAB_CORRECAO_U[[#This Row],[V_FUT_U_CORC-02]]</f>
        <v>497.12017295314149</v>
      </c>
      <c r="AE212" s="126">
        <f>IF(TAB_CORRECAO_C[[#This Row],[DIAS_CORRIDOS]]&lt;0, 0, TAB_CORRECAO_C[[#This Row],[V_FUT_UTEIS]]/TAB_CORRECAO_C[[#This Row],[VAR_DESCAP_C]])</f>
        <v>457.50754383833254</v>
      </c>
      <c r="AF212" s="64"/>
    </row>
    <row r="213" spans="1:32">
      <c r="A213" s="82">
        <f t="shared" si="4"/>
        <v>42</v>
      </c>
      <c r="B213" s="24">
        <f>VLOOKUP($A213, CAD_ATUALIZACAO[#Data], MATCH(B$171, CAD_ATUALIZACAO[#Headers],0), FALSE)</f>
        <v>3</v>
      </c>
      <c r="C213" s="24" t="str">
        <f>VLOOKUP($A213, CAD_ATUALIZACAO[#Data], MATCH(C$171, CAD_ATUALIZACAO[#Headers],0), FALSE)</f>
        <v xml:space="preserve">ATUALIZACAO SOBRE PRINCIPAL                       </v>
      </c>
      <c r="D213" s="36">
        <f>VLOOKUP($A213, CAD_ATUALIZACAO[#Data], MATCH(D$171, CAD_ATUALIZACAO[#Headers],0), FALSE)</f>
        <v>43626</v>
      </c>
      <c r="E213" s="48">
        <f>VLOOKUP($A213, CAD_ATUALIZACAO[#Data], MATCH(E$171, CAD_ATUALIZACAO[#Headers],0), FALSE)</f>
        <v>0</v>
      </c>
      <c r="F213" s="36">
        <f>VLOOKUP($A213, CAD_ATUALIZACAO[#Data], MATCH(F$171, CAD_ATUALIZACAO[#Headers],0), FALSE)</f>
        <v>43630</v>
      </c>
      <c r="G213" s="47">
        <f>WORKDAY(WORKDAY(TAB_CORRECAO_U[[#This Row],[DT_EVE]], -1, TAB_FERIADOS[FER_DATA]), 1, TAB_FERIADOS[FER_DATA])</f>
        <v>43626</v>
      </c>
      <c r="H213" s="75">
        <f>WORKDAY(WORKDAY(TAB_CORRECAO_U[[#This Row],[DT_LQDC_EVE]], -1, TAB_FERIADOS[FER_DATA]), 1, TAB_FERIADOS[FER_DATA])</f>
        <v>43630</v>
      </c>
      <c r="I213" s="48">
        <f>PU_EMISSAO - SUMIF(TAB_AMORTIZACAO_U[dt_eve_u], "&lt;" &amp; TAB_CORRECAO_U[[#This Row],[dt_eve_u]], TAB_AMORTIZACAO_U[V_PU_AMTC])</f>
        <v>64170.355506</v>
      </c>
      <c r="J213" s="48">
        <f>IFERROR(VLOOKUP(TAB_CORRECAO_U[[#This Row],[DT_EVE]], TAB_AMORTIZACAO_U[[DT_EVE]:[V_PU_AMTC]], 2, FALSE), 0)</f>
        <v>781.59492999999998</v>
      </c>
      <c r="K213" s="48">
        <f>NETWORKDAYS(DT_CALCULO_U, TAB_CORRECAO_U[[#This Row],[dt_eve_u]], TAB_FERIADOS[FER_DATA]) -1</f>
        <v>863</v>
      </c>
      <c r="L213" s="48">
        <f>NETWORKDAYS(DT_CALCULO_U, TAB_CORRECAO_U[[#This Row],[dt_lqdc_eve_u]], TAB_FERIADOS[FER_DATA]) -1</f>
        <v>867</v>
      </c>
      <c r="M213" s="48">
        <f>NETWORKDAYS(IF(ISTEXT(G212), DT_B_CORC, G212), TAB_CORRECAO_U[[#This Row],[dt_eve_u]], TAB_FERIADOS[FER_DATA]) -1</f>
        <v>22</v>
      </c>
      <c r="N213" s="78">
        <f>(TX_EMISSAO/100 +1)^(TAB_CORRECAO_U[[#This Row],[dias_periodo_u]]/252)</f>
        <v>1.0021580294747356</v>
      </c>
      <c r="O213" s="78">
        <f>(TIR_U/100 +1)^(TAB_CORRECAO_U[[#This Row],[Q_DIAS_U_PARC_TIR]]/252)</f>
        <v>1.088677324287137</v>
      </c>
      <c r="P213" s="116" t="str">
        <f>"TX_CENARIO" &amp; TEXT(DT_CALCULO_C, "-AAAAMMDD") &amp; TEXT(TAB_CORRECAO_U[[#This Row],[DT_EVE]], "-AAAAMMDD")</f>
        <v>TX_CENARIO-20151228-20190610</v>
      </c>
      <c r="Q213" s="44">
        <f>IFERROR(VLOOKUP(TAB_CORRECAO_U[[#This Row],[Chave-CENARIO]],CENARIO[],2,FALSE), 0)</f>
        <v>16.671600000000002</v>
      </c>
      <c r="R213" s="116" t="str">
        <f>"CORRECAO_CORC_U" &amp; TEXT(DT_CALCULO_C, "-AAAAMMDD") &amp; TEXT(TAB_CORRECAO_U[[#This Row],[DT_EVE]], "-AAAAMMDD")</f>
        <v>CORRECAO_CORC_U-20151228-20190610</v>
      </c>
      <c r="S213" s="44">
        <f>IFERROR(VLOOKUP(TAB_CORRECAO_U[[#This Row],[Chave-CORC]],CORRECAO_CORC_U[],2, FALSE), 0)</f>
        <v>1.0134461800000001</v>
      </c>
      <c r="T213" s="78">
        <f>MAX(0, IF(TAB_CORRECAO_U[[#This Row],[ID_T_EVE]]= 5, TAB_CORRECAO_U[[#This Row],[PU_AMORT]],TAB_CORRECAO_U[[#This Row],[V_NOML_PCPL]]) * (TAB_CORRECAO_U[[#This Row],[CORRECAO_U]] -1))</f>
        <v>862.84615079767252</v>
      </c>
      <c r="U213" s="78">
        <f>MAX(0, TAB_CORRECAO_U[[#This Row],[V_FUT_U_CORC-01]]/((((TAB_CORRECAO_U[[#This Row],[TX_CENARIO]]/100 +1)^(1/252) -1) * PC_IDXR/100 +1)^TAB_CORRECAO_U[[#This Row],[Q_DIAS_U_PARC_TIR]]))</f>
        <v>507.62306749324739</v>
      </c>
      <c r="V213" s="78">
        <f>TAB_CORRECAO_U[[#This Row],[V_FUT_U_CORC-02]]/TAB_CORRECAO_U[[#This Row],[VAR_DESCAP_U]]</f>
        <v>466.27504419239887</v>
      </c>
      <c r="W213" s="78"/>
      <c r="X213" s="101">
        <f>TAB_CORRECAO_U[[#This Row],[dt_eve_u]]- DT_CALCULO_C</f>
        <v>1260</v>
      </c>
      <c r="Y213" s="48" t="str">
        <f>"CORRECAO_CORC_C" &amp; TEXT(DT_CALCULO_C, "-AAAAMMDD") &amp; TEXT(TAB_CORRECAO_U[[#This Row],[DT_EVE]], "-AAAAMMDD")</f>
        <v>CORRECAO_CORC_C-20151228-20190610</v>
      </c>
      <c r="Z213" s="44">
        <f>IFERROR(VLOOKUP(TAB_CORRECAO_C[[#This Row],[Chave-CORC]],CORRECAO_CORC_C[],2, FALSE), 0)</f>
        <v>1</v>
      </c>
      <c r="AA21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3" s="44">
        <f>(TIR_C/100 +1)^(TAB_CORRECAO_C[[#This Row],[DIAS_CORRIDOS]]/360)</f>
        <v>1.0889373226391175</v>
      </c>
      <c r="AC213" s="78">
        <f>IF(TAB_CORRECAO_C[[#This Row],[DIAS_CORRIDOS]]&lt;0, 0, TAB_CORRECAO_C[[#This Row],[V_FUT_C_CORC]]/TAB_CORRECAO_C[[#This Row],[VAR_DESCAP_C]])</f>
        <v>0</v>
      </c>
      <c r="AD213" s="113">
        <f>TAB_CORRECAO_U[[#This Row],[V_FUT_U_CORC-02]]</f>
        <v>507.62306749324739</v>
      </c>
      <c r="AE213" s="126">
        <f>IF(TAB_CORRECAO_C[[#This Row],[DIAS_CORRIDOS]]&lt;0, 0, TAB_CORRECAO_C[[#This Row],[V_FUT_UTEIS]]/TAB_CORRECAO_C[[#This Row],[VAR_DESCAP_C]])</f>
        <v>466.16371478845684</v>
      </c>
      <c r="AF213" s="64"/>
    </row>
    <row r="214" spans="1:32">
      <c r="A214" s="82">
        <f t="shared" si="4"/>
        <v>43</v>
      </c>
      <c r="B214" s="24">
        <f>VLOOKUP($A214, CAD_ATUALIZACAO[#Data], MATCH(B$171, CAD_ATUALIZACAO[#Headers],0), FALSE)</f>
        <v>3</v>
      </c>
      <c r="C214" s="24" t="str">
        <f>VLOOKUP($A214, CAD_ATUALIZACAO[#Data], MATCH(C$171, CAD_ATUALIZACAO[#Headers],0), FALSE)</f>
        <v xml:space="preserve">ATUALIZACAO SOBRE PRINCIPAL                       </v>
      </c>
      <c r="D214" s="36">
        <f>VLOOKUP($A214, CAD_ATUALIZACAO[#Data], MATCH(D$171, CAD_ATUALIZACAO[#Headers],0), FALSE)</f>
        <v>43654</v>
      </c>
      <c r="E214" s="48">
        <f>VLOOKUP($A214, CAD_ATUALIZACAO[#Data], MATCH(E$171, CAD_ATUALIZACAO[#Headers],0), FALSE)</f>
        <v>0</v>
      </c>
      <c r="F214" s="36">
        <f>VLOOKUP($A214, CAD_ATUALIZACAO[#Data], MATCH(F$171, CAD_ATUALIZACAO[#Headers],0), FALSE)</f>
        <v>43658</v>
      </c>
      <c r="G214" s="47">
        <f>WORKDAY(WORKDAY(TAB_CORRECAO_U[[#This Row],[DT_EVE]], -1, TAB_FERIADOS[FER_DATA]), 1, TAB_FERIADOS[FER_DATA])</f>
        <v>43654</v>
      </c>
      <c r="H214" s="75">
        <f>WORKDAY(WORKDAY(TAB_CORRECAO_U[[#This Row],[DT_LQDC_EVE]], -1, TAB_FERIADOS[FER_DATA]), 1, TAB_FERIADOS[FER_DATA])</f>
        <v>43658</v>
      </c>
      <c r="I214" s="48">
        <f>PU_EMISSAO - SUMIF(TAB_AMORTIZACAO_U[dt_eve_u], "&lt;" &amp; TAB_CORRECAO_U[[#This Row],[dt_eve_u]], TAB_AMORTIZACAO_U[V_PU_AMTC])</f>
        <v>63388.760576000001</v>
      </c>
      <c r="J214" s="48">
        <f>IFERROR(VLOOKUP(TAB_CORRECAO_U[[#This Row],[DT_EVE]], TAB_AMORTIZACAO_U[[DT_EVE]:[V_PU_AMTC]], 2, FALSE), 0)</f>
        <v>791.78900799999997</v>
      </c>
      <c r="K214" s="48">
        <f>NETWORKDAYS(DT_CALCULO_U, TAB_CORRECAO_U[[#This Row],[dt_eve_u]], TAB_FERIADOS[FER_DATA]) -1</f>
        <v>882</v>
      </c>
      <c r="L214" s="48">
        <f>NETWORKDAYS(DT_CALCULO_U, TAB_CORRECAO_U[[#This Row],[dt_lqdc_eve_u]], TAB_FERIADOS[FER_DATA]) -1</f>
        <v>886</v>
      </c>
      <c r="M214" s="48">
        <f>NETWORKDAYS(IF(ISTEXT(G213), DT_B_CORC, G213), TAB_CORRECAO_U[[#This Row],[dt_eve_u]], TAB_FERIADOS[FER_DATA]) -1</f>
        <v>19</v>
      </c>
      <c r="N214" s="78">
        <f>(TX_EMISSAO/100 +1)^(TAB_CORRECAO_U[[#This Row],[dias_periodo_u]]/252)</f>
        <v>1.0018634787225431</v>
      </c>
      <c r="O214" s="78">
        <f>(TIR_U/100 +1)^(TAB_CORRECAO_U[[#This Row],[Q_DIAS_U_PARC_TIR]]/252)</f>
        <v>1.0907062700178594</v>
      </c>
      <c r="P214" s="116" t="str">
        <f>"TX_CENARIO" &amp; TEXT(DT_CALCULO_C, "-AAAAMMDD") &amp; TEXT(TAB_CORRECAO_U[[#This Row],[DT_EVE]], "-AAAAMMDD")</f>
        <v>TX_CENARIO-20151228-20190708</v>
      </c>
      <c r="Q214" s="44">
        <f>IFERROR(VLOOKUP(TAB_CORRECAO_U[[#This Row],[Chave-CENARIO]],CENARIO[],2,FALSE), 0)</f>
        <v>16.667400000000001</v>
      </c>
      <c r="R214" s="116" t="str">
        <f>"CORRECAO_CORC_U" &amp; TEXT(DT_CALCULO_C, "-AAAAMMDD") &amp; TEXT(TAB_CORRECAO_U[[#This Row],[DT_EVE]], "-AAAAMMDD")</f>
        <v>CORRECAO_CORC_U-20151228-20190708</v>
      </c>
      <c r="S214" s="44">
        <f>IFERROR(VLOOKUP(TAB_CORRECAO_U[[#This Row],[Chave-CORC]],CORRECAO_CORC_U[],2, FALSE), 0)</f>
        <v>1.0115682800000001</v>
      </c>
      <c r="T214" s="78">
        <f>MAX(0, IF(TAB_CORRECAO_U[[#This Row],[ID_T_EVE]]= 5, TAB_CORRECAO_U[[#This Row],[PU_AMORT]],TAB_CORRECAO_U[[#This Row],[V_NOML_PCPL]]) * (TAB_CORRECAO_U[[#This Row],[CORRECAO_U]] -1))</f>
        <v>733.29893119613541</v>
      </c>
      <c r="U214" s="78">
        <f>MAX(0, TAB_CORRECAO_U[[#This Row],[V_FUT_U_CORC-01]]/((((TAB_CORRECAO_U[[#This Row],[TX_CENARIO]]/100 +1)^(1/252) -1) * PC_IDXR/100 +1)^TAB_CORRECAO_U[[#This Row],[Q_DIAS_U_PARC_TIR]]))</f>
        <v>426.4764388092575</v>
      </c>
      <c r="V214" s="78">
        <f>TAB_CORRECAO_U[[#This Row],[V_FUT_U_CORC-02]]/TAB_CORRECAO_U[[#This Row],[VAR_DESCAP_U]]</f>
        <v>391.00943171645497</v>
      </c>
      <c r="W214" s="78"/>
      <c r="X214" s="101">
        <f>TAB_CORRECAO_U[[#This Row],[dt_eve_u]]- DT_CALCULO_C</f>
        <v>1288</v>
      </c>
      <c r="Y214" s="48" t="str">
        <f>"CORRECAO_CORC_C" &amp; TEXT(DT_CALCULO_C, "-AAAAMMDD") &amp; TEXT(TAB_CORRECAO_U[[#This Row],[DT_EVE]], "-AAAAMMDD")</f>
        <v>CORRECAO_CORC_C-20151228-20190708</v>
      </c>
      <c r="Z214" s="44">
        <f>IFERROR(VLOOKUP(TAB_CORRECAO_C[[#This Row],[Chave-CORC]],CORRECAO_CORC_C[],2, FALSE), 0)</f>
        <v>1</v>
      </c>
      <c r="AA21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4" s="44">
        <f>(TIR_C/100 +1)^(TAB_CORRECAO_C[[#This Row],[DIAS_CORRIDOS]]/360)</f>
        <v>1.0910010524201987</v>
      </c>
      <c r="AC214" s="78">
        <f>IF(TAB_CORRECAO_C[[#This Row],[DIAS_CORRIDOS]]&lt;0, 0, TAB_CORRECAO_C[[#This Row],[V_FUT_C_CORC]]/TAB_CORRECAO_C[[#This Row],[VAR_DESCAP_C]])</f>
        <v>0</v>
      </c>
      <c r="AD214" s="113">
        <f>TAB_CORRECAO_U[[#This Row],[V_FUT_U_CORC-02]]</f>
        <v>426.4764388092575</v>
      </c>
      <c r="AE214" s="126">
        <f>IF(TAB_CORRECAO_C[[#This Row],[DIAS_CORRIDOS]]&lt;0, 0, TAB_CORRECAO_C[[#This Row],[V_FUT_UTEIS]]/TAB_CORRECAO_C[[#This Row],[VAR_DESCAP_C]])</f>
        <v>390.90378314777303</v>
      </c>
      <c r="AF214" s="64"/>
    </row>
    <row r="215" spans="1:32">
      <c r="A215" s="82">
        <f t="shared" si="4"/>
        <v>44</v>
      </c>
      <c r="B215" s="24">
        <f>VLOOKUP($A215, CAD_ATUALIZACAO[#Data], MATCH(B$171, CAD_ATUALIZACAO[#Headers],0), FALSE)</f>
        <v>3</v>
      </c>
      <c r="C215" s="24" t="str">
        <f>VLOOKUP($A215, CAD_ATUALIZACAO[#Data], MATCH(C$171, CAD_ATUALIZACAO[#Headers],0), FALSE)</f>
        <v xml:space="preserve">ATUALIZACAO SOBRE PRINCIPAL                       </v>
      </c>
      <c r="D215" s="36">
        <f>VLOOKUP($A215, CAD_ATUALIZACAO[#Data], MATCH(D$171, CAD_ATUALIZACAO[#Headers],0), FALSE)</f>
        <v>43685</v>
      </c>
      <c r="E215" s="48">
        <f>VLOOKUP($A215, CAD_ATUALIZACAO[#Data], MATCH(E$171, CAD_ATUALIZACAO[#Headers],0), FALSE)</f>
        <v>0</v>
      </c>
      <c r="F215" s="36">
        <f>VLOOKUP($A215, CAD_ATUALIZACAO[#Data], MATCH(F$171, CAD_ATUALIZACAO[#Headers],0), FALSE)</f>
        <v>43691</v>
      </c>
      <c r="G215" s="47">
        <f>WORKDAY(WORKDAY(TAB_CORRECAO_U[[#This Row],[DT_EVE]], -1, TAB_FERIADOS[FER_DATA]), 1, TAB_FERIADOS[FER_DATA])</f>
        <v>43685</v>
      </c>
      <c r="H215" s="75">
        <f>WORKDAY(WORKDAY(TAB_CORRECAO_U[[#This Row],[DT_LQDC_EVE]], -1, TAB_FERIADOS[FER_DATA]), 1, TAB_FERIADOS[FER_DATA])</f>
        <v>43691</v>
      </c>
      <c r="I215" s="48">
        <f>PU_EMISSAO - SUMIF(TAB_AMORTIZACAO_U[dt_eve_u], "&lt;" &amp; TAB_CORRECAO_U[[#This Row],[dt_eve_u]], TAB_AMORTIZACAO_U[V_PU_AMTC])</f>
        <v>62596.971568000001</v>
      </c>
      <c r="J215" s="48">
        <f>IFERROR(VLOOKUP(TAB_CORRECAO_U[[#This Row],[DT_EVE]], TAB_AMORTIZACAO_U[[DT_EVE]:[V_PU_AMTC]], 2, FALSE), 0)</f>
        <v>757.17296799999997</v>
      </c>
      <c r="K215" s="48">
        <f>NETWORKDAYS(DT_CALCULO_U, TAB_CORRECAO_U[[#This Row],[dt_eve_u]], TAB_FERIADOS[FER_DATA]) -1</f>
        <v>905</v>
      </c>
      <c r="L215" s="48">
        <f>NETWORKDAYS(DT_CALCULO_U, TAB_CORRECAO_U[[#This Row],[dt_lqdc_eve_u]], TAB_FERIADOS[FER_DATA]) -1</f>
        <v>909</v>
      </c>
      <c r="M215" s="48">
        <f>NETWORKDAYS(IF(ISTEXT(G214), DT_B_CORC, G214), TAB_CORRECAO_U[[#This Row],[dt_eve_u]], TAB_FERIADOS[FER_DATA]) -1</f>
        <v>23</v>
      </c>
      <c r="N215" s="78">
        <f>(TX_EMISSAO/100 +1)^(TAB_CORRECAO_U[[#This Row],[dias_periodo_u]]/252)</f>
        <v>1.0022562323017139</v>
      </c>
      <c r="O215" s="78">
        <f>(TIR_U/100 +1)^(TAB_CORRECAO_U[[#This Row],[Q_DIAS_U_PARC_TIR]]/252)</f>
        <v>1.0931674220768928</v>
      </c>
      <c r="P215" s="116" t="str">
        <f>"TX_CENARIO" &amp; TEXT(DT_CALCULO_C, "-AAAAMMDD") &amp; TEXT(TAB_CORRECAO_U[[#This Row],[DT_EVE]], "-AAAAMMDD")</f>
        <v>TX_CENARIO-20151228-20190808</v>
      </c>
      <c r="Q215" s="44">
        <f>IFERROR(VLOOKUP(TAB_CORRECAO_U[[#This Row],[Chave-CENARIO]],CENARIO[],2,FALSE), 0)</f>
        <v>16.653700000000001</v>
      </c>
      <c r="R215" s="116" t="str">
        <f>"CORRECAO_CORC_U" &amp; TEXT(DT_CALCULO_C, "-AAAAMMDD") &amp; TEXT(TAB_CORRECAO_U[[#This Row],[DT_EVE]], "-AAAAMMDD")</f>
        <v>CORRECAO_CORC_U-20151228-20190808</v>
      </c>
      <c r="S215" s="44">
        <f>IFERROR(VLOOKUP(TAB_CORRECAO_U[[#This Row],[Chave-CORC]],CORRECAO_CORC_U[],2, FALSE), 0)</f>
        <v>1.0139060799999999</v>
      </c>
      <c r="T215" s="78">
        <f>MAX(0, IF(TAB_CORRECAO_U[[#This Row],[ID_T_EVE]]= 5, TAB_CORRECAO_U[[#This Row],[PU_AMORT]],TAB_CORRECAO_U[[#This Row],[V_NOML_PCPL]]) * (TAB_CORRECAO_U[[#This Row],[CORRECAO_U]] -1))</f>
        <v>870.47849438232913</v>
      </c>
      <c r="U215" s="78">
        <f>MAX(0, TAB_CORRECAO_U[[#This Row],[V_FUT_U_CORC-01]]/((((TAB_CORRECAO_U[[#This Row],[TX_CENARIO]]/100 +1)^(1/252) -1) * PC_IDXR/100 +1)^TAB_CORRECAO_U[[#This Row],[Q_DIAS_U_PARC_TIR]]))</f>
        <v>499.39654563034122</v>
      </c>
      <c r="V215" s="78">
        <f>TAB_CORRECAO_U[[#This Row],[V_FUT_U_CORC-02]]/TAB_CORRECAO_U[[#This Row],[VAR_DESCAP_U]]</f>
        <v>456.83445695952503</v>
      </c>
      <c r="W215" s="78"/>
      <c r="X215" s="101">
        <f>TAB_CORRECAO_U[[#This Row],[dt_eve_u]]- DT_CALCULO_C</f>
        <v>1319</v>
      </c>
      <c r="Y215" s="48" t="str">
        <f>"CORRECAO_CORC_C" &amp; TEXT(DT_CALCULO_C, "-AAAAMMDD") &amp; TEXT(TAB_CORRECAO_U[[#This Row],[DT_EVE]], "-AAAAMMDD")</f>
        <v>CORRECAO_CORC_C-20151228-20190808</v>
      </c>
      <c r="Z215" s="44">
        <f>IFERROR(VLOOKUP(TAB_CORRECAO_C[[#This Row],[Chave-CORC]],CORRECAO_CORC_C[],2, FALSE), 0)</f>
        <v>1</v>
      </c>
      <c r="AA21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5" s="44">
        <f>(TIR_C/100 +1)^(TAB_CORRECAO_C[[#This Row],[DIAS_CORRIDOS]]/360)</f>
        <v>1.0932904585741541</v>
      </c>
      <c r="AC215" s="78">
        <f>IF(TAB_CORRECAO_C[[#This Row],[DIAS_CORRIDOS]]&lt;0, 0, TAB_CORRECAO_C[[#This Row],[V_FUT_C_CORC]]/TAB_CORRECAO_C[[#This Row],[VAR_DESCAP_C]])</f>
        <v>0</v>
      </c>
      <c r="AD215" s="113">
        <f>TAB_CORRECAO_U[[#This Row],[V_FUT_U_CORC-02]]</f>
        <v>499.39654563034122</v>
      </c>
      <c r="AE215" s="126">
        <f>IF(TAB_CORRECAO_C[[#This Row],[DIAS_CORRIDOS]]&lt;0, 0, TAB_CORRECAO_C[[#This Row],[V_FUT_UTEIS]]/TAB_CORRECAO_C[[#This Row],[VAR_DESCAP_C]])</f>
        <v>456.78304581715958</v>
      </c>
      <c r="AF215" s="64"/>
    </row>
    <row r="216" spans="1:32">
      <c r="A216" s="82">
        <f t="shared" si="4"/>
        <v>45</v>
      </c>
      <c r="B216" s="24">
        <f>VLOOKUP($A216, CAD_ATUALIZACAO[#Data], MATCH(B$171, CAD_ATUALIZACAO[#Headers],0), FALSE)</f>
        <v>3</v>
      </c>
      <c r="C216" s="24" t="str">
        <f>VLOOKUP($A216, CAD_ATUALIZACAO[#Data], MATCH(C$171, CAD_ATUALIZACAO[#Headers],0), FALSE)</f>
        <v xml:space="preserve">ATUALIZACAO SOBRE PRINCIPAL                       </v>
      </c>
      <c r="D216" s="36">
        <f>VLOOKUP($A216, CAD_ATUALIZACAO[#Data], MATCH(D$171, CAD_ATUALIZACAO[#Headers],0), FALSE)</f>
        <v>43717</v>
      </c>
      <c r="E216" s="48">
        <f>VLOOKUP($A216, CAD_ATUALIZACAO[#Data], MATCH(E$171, CAD_ATUALIZACAO[#Headers],0), FALSE)</f>
        <v>0</v>
      </c>
      <c r="F216" s="36">
        <f>VLOOKUP($A216, CAD_ATUALIZACAO[#Data], MATCH(F$171, CAD_ATUALIZACAO[#Headers],0), FALSE)</f>
        <v>43721</v>
      </c>
      <c r="G216" s="47">
        <f>WORKDAY(WORKDAY(TAB_CORRECAO_U[[#This Row],[DT_EVE]], -1, TAB_FERIADOS[FER_DATA]), 1, TAB_FERIADOS[FER_DATA])</f>
        <v>43717</v>
      </c>
      <c r="H216" s="75">
        <f>WORKDAY(WORKDAY(TAB_CORRECAO_U[[#This Row],[DT_LQDC_EVE]], -1, TAB_FERIADOS[FER_DATA]), 1, TAB_FERIADOS[FER_DATA])</f>
        <v>43721</v>
      </c>
      <c r="I216" s="48">
        <f>PU_EMISSAO - SUMIF(TAB_AMORTIZACAO_U[dt_eve_u], "&lt;" &amp; TAB_CORRECAO_U[[#This Row],[dt_eve_u]], TAB_AMORTIZACAO_U[V_PU_AMTC])</f>
        <v>61839.798600000002</v>
      </c>
      <c r="J216" s="48">
        <f>IFERROR(VLOOKUP(TAB_CORRECAO_U[[#This Row],[DT_EVE]], TAB_AMORTIZACAO_U[[DT_EVE]:[V_PU_AMTC]], 2, FALSE), 0)</f>
        <v>753.88898400000005</v>
      </c>
      <c r="K216" s="48">
        <f>NETWORKDAYS(DT_CALCULO_U, TAB_CORRECAO_U[[#This Row],[dt_eve_u]], TAB_FERIADOS[FER_DATA]) -1</f>
        <v>927</v>
      </c>
      <c r="L216" s="48">
        <f>NETWORKDAYS(DT_CALCULO_U, TAB_CORRECAO_U[[#This Row],[dt_lqdc_eve_u]], TAB_FERIADOS[FER_DATA]) -1</f>
        <v>931</v>
      </c>
      <c r="M216" s="48">
        <f>NETWORKDAYS(IF(ISTEXT(G215), DT_B_CORC, G215), TAB_CORRECAO_U[[#This Row],[dt_eve_u]], TAB_FERIADOS[FER_DATA]) -1</f>
        <v>22</v>
      </c>
      <c r="N216" s="78">
        <f>(TX_EMISSAO/100 +1)^(TAB_CORRECAO_U[[#This Row],[dias_periodo_u]]/252)</f>
        <v>1.0021580294747356</v>
      </c>
      <c r="O216" s="78">
        <f>(TIR_U/100 +1)^(TAB_CORRECAO_U[[#This Row],[Q_DIAS_U_PARC_TIR]]/252)</f>
        <v>1.0955267639467081</v>
      </c>
      <c r="P216" s="116" t="str">
        <f>"TX_CENARIO" &amp; TEXT(DT_CALCULO_C, "-AAAAMMDD") &amp; TEXT(TAB_CORRECAO_U[[#This Row],[DT_EVE]], "-AAAAMMDD")</f>
        <v>TX_CENARIO-20151228-20190909</v>
      </c>
      <c r="Q216" s="44">
        <f>IFERROR(VLOOKUP(TAB_CORRECAO_U[[#This Row],[Chave-CENARIO]],CENARIO[],2,FALSE), 0)</f>
        <v>16.641200000000001</v>
      </c>
      <c r="R216" s="116" t="str">
        <f>"CORRECAO_CORC_U" &amp; TEXT(DT_CALCULO_C, "-AAAAMMDD") &amp; TEXT(TAB_CORRECAO_U[[#This Row],[DT_EVE]], "-AAAAMMDD")</f>
        <v>CORRECAO_CORC_U-20151228-20190909</v>
      </c>
      <c r="S216" s="44">
        <f>IFERROR(VLOOKUP(TAB_CORRECAO_U[[#This Row],[Chave-CORC]],CORRECAO_CORC_U[],2, FALSE), 0)</f>
        <v>1.01329746</v>
      </c>
      <c r="T216" s="78">
        <f>MAX(0, IF(TAB_CORRECAO_U[[#This Row],[ID_T_EVE]]= 5, TAB_CORRECAO_U[[#This Row],[PU_AMORT]],TAB_CORRECAO_U[[#This Row],[V_NOML_PCPL]]) * (TAB_CORRECAO_U[[#This Row],[CORRECAO_U]] -1))</f>
        <v>822.31224829155497</v>
      </c>
      <c r="U216" s="78">
        <f>MAX(0, TAB_CORRECAO_U[[#This Row],[V_FUT_U_CORC-01]]/((((TAB_CORRECAO_U[[#This Row],[TX_CENARIO]]/100 +1)^(1/252) -1) * PC_IDXR/100 +1)^TAB_CORRECAO_U[[#This Row],[Q_DIAS_U_PARC_TIR]]))</f>
        <v>465.64595716965982</v>
      </c>
      <c r="V216" s="78">
        <f>TAB_CORRECAO_U[[#This Row],[V_FUT_U_CORC-02]]/TAB_CORRECAO_U[[#This Row],[VAR_DESCAP_U]]</f>
        <v>425.04297703521115</v>
      </c>
      <c r="W216" s="78"/>
      <c r="X216" s="101">
        <f>TAB_CORRECAO_U[[#This Row],[dt_eve_u]]- DT_CALCULO_C</f>
        <v>1351</v>
      </c>
      <c r="Y216" s="48" t="str">
        <f>"CORRECAO_CORC_C" &amp; TEXT(DT_CALCULO_C, "-AAAAMMDD") &amp; TEXT(TAB_CORRECAO_U[[#This Row],[DT_EVE]], "-AAAAMMDD")</f>
        <v>CORRECAO_CORC_C-20151228-20190909</v>
      </c>
      <c r="Z216" s="44">
        <f>IFERROR(VLOOKUP(TAB_CORRECAO_C[[#This Row],[Chave-CORC]],CORRECAO_CORC_C[],2, FALSE), 0)</f>
        <v>1</v>
      </c>
      <c r="AA21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6" s="44">
        <f>(TIR_C/100 +1)^(TAB_CORRECAO_C[[#This Row],[DIAS_CORRIDOS]]/360)</f>
        <v>1.0956587558075881</v>
      </c>
      <c r="AC216" s="78">
        <f>IF(TAB_CORRECAO_C[[#This Row],[DIAS_CORRIDOS]]&lt;0, 0, TAB_CORRECAO_C[[#This Row],[V_FUT_C_CORC]]/TAB_CORRECAO_C[[#This Row],[VAR_DESCAP_C]])</f>
        <v>0</v>
      </c>
      <c r="AD216" s="113">
        <f>TAB_CORRECAO_U[[#This Row],[V_FUT_U_CORC-02]]</f>
        <v>465.64595716965982</v>
      </c>
      <c r="AE216" s="126">
        <f>IF(TAB_CORRECAO_C[[#This Row],[DIAS_CORRIDOS]]&lt;0, 0, TAB_CORRECAO_C[[#This Row],[V_FUT_UTEIS]]/TAB_CORRECAO_C[[#This Row],[VAR_DESCAP_C]])</f>
        <v>424.99177294160489</v>
      </c>
      <c r="AF216" s="64"/>
    </row>
    <row r="217" spans="1:32">
      <c r="A217" s="82">
        <f t="shared" si="4"/>
        <v>46</v>
      </c>
      <c r="B217" s="24">
        <f>VLOOKUP($A217, CAD_ATUALIZACAO[#Data], MATCH(B$171, CAD_ATUALIZACAO[#Headers],0), FALSE)</f>
        <v>3</v>
      </c>
      <c r="C217" s="24" t="str">
        <f>VLOOKUP($A217, CAD_ATUALIZACAO[#Data], MATCH(C$171, CAD_ATUALIZACAO[#Headers],0), FALSE)</f>
        <v xml:space="preserve">ATUALIZACAO SOBRE PRINCIPAL                       </v>
      </c>
      <c r="D217" s="36">
        <f>VLOOKUP($A217, CAD_ATUALIZACAO[#Data], MATCH(D$171, CAD_ATUALIZACAO[#Headers],0), FALSE)</f>
        <v>43746</v>
      </c>
      <c r="E217" s="48">
        <f>VLOOKUP($A217, CAD_ATUALIZACAO[#Data], MATCH(E$171, CAD_ATUALIZACAO[#Headers],0), FALSE)</f>
        <v>0</v>
      </c>
      <c r="F217" s="36">
        <f>VLOOKUP($A217, CAD_ATUALIZACAO[#Data], MATCH(F$171, CAD_ATUALIZACAO[#Headers],0), FALSE)</f>
        <v>43752</v>
      </c>
      <c r="G217" s="47">
        <f>WORKDAY(WORKDAY(TAB_CORRECAO_U[[#This Row],[DT_EVE]], -1, TAB_FERIADOS[FER_DATA]), 1, TAB_FERIADOS[FER_DATA])</f>
        <v>43746</v>
      </c>
      <c r="H217" s="75">
        <f>WORKDAY(WORKDAY(TAB_CORRECAO_U[[#This Row],[DT_LQDC_EVE]], -1, TAB_FERIADOS[FER_DATA]), 1, TAB_FERIADOS[FER_DATA])</f>
        <v>43752</v>
      </c>
      <c r="I217" s="48">
        <f>PU_EMISSAO - SUMIF(TAB_AMORTIZACAO_U[dt_eve_u], "&lt;" &amp; TAB_CORRECAO_U[[#This Row],[dt_eve_u]], TAB_AMORTIZACAO_U[V_PU_AMTC])</f>
        <v>61085.909616000004</v>
      </c>
      <c r="J217" s="48">
        <f>IFERROR(VLOOKUP(TAB_CORRECAO_U[[#This Row],[DT_EVE]], TAB_AMORTIZACAO_U[[DT_EVE]:[V_PU_AMTC]], 2, FALSE), 0)</f>
        <v>750.92908599999998</v>
      </c>
      <c r="K217" s="48">
        <f>NETWORKDAYS(DT_CALCULO_U, TAB_CORRECAO_U[[#This Row],[dt_eve_u]], TAB_FERIADOS[FER_DATA]) -1</f>
        <v>948</v>
      </c>
      <c r="L217" s="48">
        <f>NETWORKDAYS(DT_CALCULO_U, TAB_CORRECAO_U[[#This Row],[dt_lqdc_eve_u]], TAB_FERIADOS[FER_DATA]) -1</f>
        <v>952</v>
      </c>
      <c r="M217" s="48">
        <f>NETWORKDAYS(IF(ISTEXT(G216), DT_B_CORC, G216), TAB_CORRECAO_U[[#This Row],[dt_eve_u]], TAB_FERIADOS[FER_DATA]) -1</f>
        <v>21</v>
      </c>
      <c r="N217" s="78">
        <f>(TX_EMISSAO/100 +1)^(TAB_CORRECAO_U[[#This Row],[dias_periodo_u]]/252)</f>
        <v>1.0020598362698427</v>
      </c>
      <c r="O217" s="78">
        <f>(TIR_U/100 +1)^(TAB_CORRECAO_U[[#This Row],[Q_DIAS_U_PARC_TIR]]/252)</f>
        <v>1.0977836130005245</v>
      </c>
      <c r="P217" s="116" t="str">
        <f>"TX_CENARIO" &amp; TEXT(DT_CALCULO_C, "-AAAAMMDD") &amp; TEXT(TAB_CORRECAO_U[[#This Row],[DT_EVE]], "-AAAAMMDD")</f>
        <v>TX_CENARIO-20151228-20191008</v>
      </c>
      <c r="Q217" s="44">
        <f>IFERROR(VLOOKUP(TAB_CORRECAO_U[[#This Row],[Chave-CENARIO]],CENARIO[],2,FALSE), 0)</f>
        <v>16.629899999999999</v>
      </c>
      <c r="R217" s="116" t="str">
        <f>"CORRECAO_CORC_U" &amp; TEXT(DT_CALCULO_C, "-AAAAMMDD") &amp; TEXT(TAB_CORRECAO_U[[#This Row],[DT_EVE]], "-AAAAMMDD")</f>
        <v>CORRECAO_CORC_U-20151228-20191008</v>
      </c>
      <c r="S217" s="44">
        <f>IFERROR(VLOOKUP(TAB_CORRECAO_U[[#This Row],[Chave-CORC]],CORRECAO_CORC_U[],2, FALSE), 0)</f>
        <v>1.01269078</v>
      </c>
      <c r="T217" s="78">
        <f>MAX(0, IF(TAB_CORRECAO_U[[#This Row],[ID_T_EVE]]= 5, TAB_CORRECAO_U[[#This Row],[PU_AMORT]],TAB_CORRECAO_U[[#This Row],[V_NOML_PCPL]]) * (TAB_CORRECAO_U[[#This Row],[CORRECAO_U]] -1))</f>
        <v>775.22784003654135</v>
      </c>
      <c r="U217" s="78">
        <f>MAX(0, TAB_CORRECAO_U[[#This Row],[V_FUT_U_CORC-01]]/((((TAB_CORRECAO_U[[#This Row],[TX_CENARIO]]/100 +1)^(1/252) -1) * PC_IDXR/100 +1)^TAB_CORRECAO_U[[#This Row],[Q_DIAS_U_PARC_TIR]]))</f>
        <v>433.54720712522595</v>
      </c>
      <c r="V217" s="78">
        <f>TAB_CORRECAO_U[[#This Row],[V_FUT_U_CORC-02]]/TAB_CORRECAO_U[[#This Row],[VAR_DESCAP_U]]</f>
        <v>394.92956716691197</v>
      </c>
      <c r="W217" s="78"/>
      <c r="X217" s="101">
        <f>TAB_CORRECAO_U[[#This Row],[dt_eve_u]]- DT_CALCULO_C</f>
        <v>1380</v>
      </c>
      <c r="Y217" s="48" t="str">
        <f>"CORRECAO_CORC_C" &amp; TEXT(DT_CALCULO_C, "-AAAAMMDD") &amp; TEXT(TAB_CORRECAO_U[[#This Row],[DT_EVE]], "-AAAAMMDD")</f>
        <v>CORRECAO_CORC_C-20151228-20191008</v>
      </c>
      <c r="Z217" s="44">
        <f>IFERROR(VLOOKUP(TAB_CORRECAO_C[[#This Row],[Chave-CORC]],CORRECAO_CORC_C[],2, FALSE), 0)</f>
        <v>1</v>
      </c>
      <c r="AA21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7" s="44">
        <f>(TIR_C/100 +1)^(TAB_CORRECAO_C[[#This Row],[DIAS_CORRIDOS]]/360)</f>
        <v>1.0978094562121705</v>
      </c>
      <c r="AC217" s="78">
        <f>IF(TAB_CORRECAO_C[[#This Row],[DIAS_CORRIDOS]]&lt;0, 0, TAB_CORRECAO_C[[#This Row],[V_FUT_C_CORC]]/TAB_CORRECAO_C[[#This Row],[VAR_DESCAP_C]])</f>
        <v>0</v>
      </c>
      <c r="AD217" s="113">
        <f>TAB_CORRECAO_U[[#This Row],[V_FUT_U_CORC-02]]</f>
        <v>433.54720712522595</v>
      </c>
      <c r="AE217" s="126">
        <f>IF(TAB_CORRECAO_C[[#This Row],[DIAS_CORRIDOS]]&lt;0, 0, TAB_CORRECAO_C[[#This Row],[V_FUT_UTEIS]]/TAB_CORRECAO_C[[#This Row],[VAR_DESCAP_C]])</f>
        <v>394.9202702453635</v>
      </c>
      <c r="AF217" s="64"/>
    </row>
    <row r="218" spans="1:32">
      <c r="A218" s="82">
        <f t="shared" si="4"/>
        <v>47</v>
      </c>
      <c r="B218" s="24">
        <f>VLOOKUP($A218, CAD_ATUALIZACAO[#Data], MATCH(B$171, CAD_ATUALIZACAO[#Headers],0), FALSE)</f>
        <v>3</v>
      </c>
      <c r="C218" s="24" t="str">
        <f>VLOOKUP($A218, CAD_ATUALIZACAO[#Data], MATCH(C$171, CAD_ATUALIZACAO[#Headers],0), FALSE)</f>
        <v xml:space="preserve">ATUALIZACAO SOBRE PRINCIPAL                       </v>
      </c>
      <c r="D218" s="36">
        <f>VLOOKUP($A218, CAD_ATUALIZACAO[#Data], MATCH(D$171, CAD_ATUALIZACAO[#Headers],0), FALSE)</f>
        <v>43777</v>
      </c>
      <c r="E218" s="48">
        <f>VLOOKUP($A218, CAD_ATUALIZACAO[#Data], MATCH(E$171, CAD_ATUALIZACAO[#Headers],0), FALSE)</f>
        <v>0</v>
      </c>
      <c r="F218" s="36">
        <f>VLOOKUP($A218, CAD_ATUALIZACAO[#Data], MATCH(F$171, CAD_ATUALIZACAO[#Headers],0), FALSE)</f>
        <v>43783</v>
      </c>
      <c r="G218" s="47">
        <f>WORKDAY(WORKDAY(TAB_CORRECAO_U[[#This Row],[DT_EVE]], -1, TAB_FERIADOS[FER_DATA]), 1, TAB_FERIADOS[FER_DATA])</f>
        <v>43777</v>
      </c>
      <c r="H218" s="75">
        <f>WORKDAY(WORKDAY(TAB_CORRECAO_U[[#This Row],[DT_LQDC_EVE]], -1, TAB_FERIADOS[FER_DATA]), 1, TAB_FERIADOS[FER_DATA])</f>
        <v>43783</v>
      </c>
      <c r="I218" s="48">
        <f>PU_EMISSAO - SUMIF(TAB_AMORTIZACAO_U[dt_eve_u], "&lt;" &amp; TAB_CORRECAO_U[[#This Row],[dt_eve_u]], TAB_AMORTIZACAO_U[V_PU_AMTC])</f>
        <v>60334.980530000008</v>
      </c>
      <c r="J218" s="48">
        <f>IFERROR(VLOOKUP(TAB_CORRECAO_U[[#This Row],[DT_EVE]], TAB_AMORTIZACAO_U[[DT_EVE]:[V_PU_AMTC]], 2, FALSE), 0)</f>
        <v>729.02756899999997</v>
      </c>
      <c r="K218" s="48">
        <f>NETWORKDAYS(DT_CALCULO_U, TAB_CORRECAO_U[[#This Row],[dt_eve_u]], TAB_FERIADOS[FER_DATA]) -1</f>
        <v>971</v>
      </c>
      <c r="L218" s="48">
        <f>NETWORKDAYS(DT_CALCULO_U, TAB_CORRECAO_U[[#This Row],[dt_lqdc_eve_u]], TAB_FERIADOS[FER_DATA]) -1</f>
        <v>975</v>
      </c>
      <c r="M218" s="48">
        <f>NETWORKDAYS(IF(ISTEXT(G217), DT_B_CORC, G217), TAB_CORRECAO_U[[#This Row],[dt_eve_u]], TAB_FERIADOS[FER_DATA]) -1</f>
        <v>23</v>
      </c>
      <c r="N218" s="78">
        <f>(TX_EMISSAO/100 +1)^(TAB_CORRECAO_U[[#This Row],[dias_periodo_u]]/252)</f>
        <v>1.0022562323017139</v>
      </c>
      <c r="O218" s="78">
        <f>(TIR_U/100 +1)^(TAB_CORRECAO_U[[#This Row],[Q_DIAS_U_PARC_TIR]]/252)</f>
        <v>1.1002607349111424</v>
      </c>
      <c r="P218" s="116" t="str">
        <f>"TX_CENARIO" &amp; TEXT(DT_CALCULO_C, "-AAAAMMDD") &amp; TEXT(TAB_CORRECAO_U[[#This Row],[DT_EVE]], "-AAAAMMDD")</f>
        <v>TX_CENARIO-20151228-20191108</v>
      </c>
      <c r="Q218" s="44">
        <f>IFERROR(VLOOKUP(TAB_CORRECAO_U[[#This Row],[Chave-CENARIO]],CENARIO[],2,FALSE), 0)</f>
        <v>16.617999999999999</v>
      </c>
      <c r="R218" s="116" t="str">
        <f>"CORRECAO_CORC_U" &amp; TEXT(DT_CALCULO_C, "-AAAAMMDD") &amp; TEXT(TAB_CORRECAO_U[[#This Row],[DT_EVE]], "-AAAAMMDD")</f>
        <v>CORRECAO_CORC_U-20151228-20191108</v>
      </c>
      <c r="S218" s="44">
        <f>IFERROR(VLOOKUP(TAB_CORRECAO_U[[#This Row],[Chave-CORC]],CORRECAO_CORC_U[],2, FALSE), 0)</f>
        <v>1.0139132799999999</v>
      </c>
      <c r="T218" s="78">
        <f>MAX(0, IF(TAB_CORRECAO_U[[#This Row],[ID_T_EVE]]= 5, TAB_CORRECAO_U[[#This Row],[PU_AMORT]],TAB_CORRECAO_U[[#This Row],[V_NOML_PCPL]]) * (TAB_CORRECAO_U[[#This Row],[CORRECAO_U]] -1))</f>
        <v>839.45747790843348</v>
      </c>
      <c r="U218" s="78">
        <f>MAX(0, TAB_CORRECAO_U[[#This Row],[V_FUT_U_CORC-01]]/((((TAB_CORRECAO_U[[#This Row],[TX_CENARIO]]/100 +1)^(1/252) -1) * PC_IDXR/100 +1)^TAB_CORRECAO_U[[#This Row],[Q_DIAS_U_PARC_TIR]]))</f>
        <v>463.10498835262354</v>
      </c>
      <c r="V218" s="78">
        <f>TAB_CORRECAO_U[[#This Row],[V_FUT_U_CORC-02]]/TAB_CORRECAO_U[[#This Row],[VAR_DESCAP_U]]</f>
        <v>420.9047670778001</v>
      </c>
      <c r="W218" s="78"/>
      <c r="X218" s="101">
        <f>TAB_CORRECAO_U[[#This Row],[dt_eve_u]]- DT_CALCULO_C</f>
        <v>1411</v>
      </c>
      <c r="Y218" s="48" t="str">
        <f>"CORRECAO_CORC_C" &amp; TEXT(DT_CALCULO_C, "-AAAAMMDD") &amp; TEXT(TAB_CORRECAO_U[[#This Row],[DT_EVE]], "-AAAAMMDD")</f>
        <v>CORRECAO_CORC_C-20151228-20191108</v>
      </c>
      <c r="Z218" s="44">
        <f>IFERROR(VLOOKUP(TAB_CORRECAO_C[[#This Row],[Chave-CORC]],CORRECAO_CORC_C[],2, FALSE), 0)</f>
        <v>1</v>
      </c>
      <c r="AA21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8" s="44">
        <f>(TIR_C/100 +1)^(TAB_CORRECAO_C[[#This Row],[DIAS_CORRIDOS]]/360)</f>
        <v>1.1001131494298326</v>
      </c>
      <c r="AC218" s="78">
        <f>IF(TAB_CORRECAO_C[[#This Row],[DIAS_CORRIDOS]]&lt;0, 0, TAB_CORRECAO_C[[#This Row],[V_FUT_C_CORC]]/TAB_CORRECAO_C[[#This Row],[VAR_DESCAP_C]])</f>
        <v>0</v>
      </c>
      <c r="AD218" s="113">
        <f>TAB_CORRECAO_U[[#This Row],[V_FUT_U_CORC-02]]</f>
        <v>463.10498835262354</v>
      </c>
      <c r="AE218" s="126">
        <f>IF(TAB_CORRECAO_C[[#This Row],[DIAS_CORRIDOS]]&lt;0, 0, TAB_CORRECAO_C[[#This Row],[V_FUT_UTEIS]]/TAB_CORRECAO_C[[#This Row],[VAR_DESCAP_C]])</f>
        <v>420.96123348097592</v>
      </c>
      <c r="AF218" s="64"/>
    </row>
    <row r="219" spans="1:32">
      <c r="A219" s="82">
        <f t="shared" si="4"/>
        <v>48</v>
      </c>
      <c r="B219" s="24">
        <f>VLOOKUP($A219, CAD_ATUALIZACAO[#Data], MATCH(B$171, CAD_ATUALIZACAO[#Headers],0), FALSE)</f>
        <v>3</v>
      </c>
      <c r="C219" s="24" t="str">
        <f>VLOOKUP($A219, CAD_ATUALIZACAO[#Data], MATCH(C$171, CAD_ATUALIZACAO[#Headers],0), FALSE)</f>
        <v xml:space="preserve">ATUALIZACAO SOBRE PRINCIPAL                       </v>
      </c>
      <c r="D219" s="36">
        <f>VLOOKUP($A219, CAD_ATUALIZACAO[#Data], MATCH(D$171, CAD_ATUALIZACAO[#Headers],0), FALSE)</f>
        <v>43808</v>
      </c>
      <c r="E219" s="48">
        <f>VLOOKUP($A219, CAD_ATUALIZACAO[#Data], MATCH(E$171, CAD_ATUALIZACAO[#Headers],0), FALSE)</f>
        <v>0</v>
      </c>
      <c r="F219" s="36">
        <f>VLOOKUP($A219, CAD_ATUALIZACAO[#Data], MATCH(F$171, CAD_ATUALIZACAO[#Headers],0), FALSE)</f>
        <v>43812</v>
      </c>
      <c r="G219" s="47">
        <f>WORKDAY(WORKDAY(TAB_CORRECAO_U[[#This Row],[DT_EVE]], -1, TAB_FERIADOS[FER_DATA]), 1, TAB_FERIADOS[FER_DATA])</f>
        <v>43808</v>
      </c>
      <c r="H219" s="75">
        <f>WORKDAY(WORKDAY(TAB_CORRECAO_U[[#This Row],[DT_LQDC_EVE]], -1, TAB_FERIADOS[FER_DATA]), 1, TAB_FERIADOS[FER_DATA])</f>
        <v>43812</v>
      </c>
      <c r="I219" s="48">
        <f>PU_EMISSAO - SUMIF(TAB_AMORTIZACAO_U[dt_eve_u], "&lt;" &amp; TAB_CORRECAO_U[[#This Row],[dt_eve_u]], TAB_AMORTIZACAO_U[V_PU_AMTC])</f>
        <v>59605.95296100001</v>
      </c>
      <c r="J219" s="48">
        <f>IFERROR(VLOOKUP(TAB_CORRECAO_U[[#This Row],[DT_EVE]], TAB_AMORTIZACAO_U[[DT_EVE]:[V_PU_AMTC]], 2, FALSE), 0)</f>
        <v>738.10051499999997</v>
      </c>
      <c r="K219" s="48">
        <f>NETWORKDAYS(DT_CALCULO_U, TAB_CORRECAO_U[[#This Row],[dt_eve_u]], TAB_FERIADOS[FER_DATA]) -1</f>
        <v>991</v>
      </c>
      <c r="L219" s="48">
        <f>NETWORKDAYS(DT_CALCULO_U, TAB_CORRECAO_U[[#This Row],[dt_lqdc_eve_u]], TAB_FERIADOS[FER_DATA]) -1</f>
        <v>995</v>
      </c>
      <c r="M219" s="48">
        <f>NETWORKDAYS(IF(ISTEXT(G218), DT_B_CORC, G218), TAB_CORRECAO_U[[#This Row],[dt_eve_u]], TAB_FERIADOS[FER_DATA]) -1</f>
        <v>20</v>
      </c>
      <c r="N219" s="78">
        <f>(TX_EMISSAO/100 +1)^(TAB_CORRECAO_U[[#This Row],[dias_periodo_u]]/252)</f>
        <v>1.0019616526860928</v>
      </c>
      <c r="O219" s="78">
        <f>(TIR_U/100 +1)^(TAB_CORRECAO_U[[#This Row],[Q_DIAS_U_PARC_TIR]]/252)</f>
        <v>1.1024192970211999</v>
      </c>
      <c r="P219" s="116" t="str">
        <f>"TX_CENARIO" &amp; TEXT(DT_CALCULO_C, "-AAAAMMDD") &amp; TEXT(TAB_CORRECAO_U[[#This Row],[DT_EVE]], "-AAAAMMDD")</f>
        <v>TX_CENARIO-20151228-20191209</v>
      </c>
      <c r="Q219" s="44">
        <f>IFERROR(VLOOKUP(TAB_CORRECAO_U[[#This Row],[Chave-CENARIO]],CENARIO[],2,FALSE), 0)</f>
        <v>16.6082</v>
      </c>
      <c r="R219" s="116" t="str">
        <f>"CORRECAO_CORC_U" &amp; TEXT(DT_CALCULO_C, "-AAAAMMDD") &amp; TEXT(TAB_CORRECAO_U[[#This Row],[DT_EVE]], "-AAAAMMDD")</f>
        <v>CORRECAO_CORC_U-20151228-20191209</v>
      </c>
      <c r="S219" s="44">
        <f>IFERROR(VLOOKUP(TAB_CORRECAO_U[[#This Row],[Chave-CORC]],CORRECAO_CORC_U[],2, FALSE), 0)</f>
        <v>1.0120875899999999</v>
      </c>
      <c r="T219" s="78">
        <f>MAX(0, IF(TAB_CORRECAO_U[[#This Row],[ID_T_EVE]]= 5, TAB_CORRECAO_U[[#This Row],[PU_AMORT]],TAB_CORRECAO_U[[#This Row],[V_NOML_PCPL]]) * (TAB_CORRECAO_U[[#This Row],[CORRECAO_U]] -1))</f>
        <v>720.49232095184971</v>
      </c>
      <c r="U219" s="78">
        <f>MAX(0, TAB_CORRECAO_U[[#This Row],[V_FUT_U_CORC-01]]/((((TAB_CORRECAO_U[[#This Row],[TX_CENARIO]]/100 +1)^(1/252) -1) * PC_IDXR/100 +1)^TAB_CORRECAO_U[[#This Row],[Q_DIAS_U_PARC_TIR]]))</f>
        <v>392.78542505607709</v>
      </c>
      <c r="V219" s="78">
        <f>TAB_CORRECAO_U[[#This Row],[V_FUT_U_CORC-02]]/TAB_CORRECAO_U[[#This Row],[VAR_DESCAP_U]]</f>
        <v>356.29403995141035</v>
      </c>
      <c r="W219" s="78"/>
      <c r="X219" s="101">
        <f>TAB_CORRECAO_U[[#This Row],[dt_eve_u]]- DT_CALCULO_C</f>
        <v>1442</v>
      </c>
      <c r="Y219" s="48" t="str">
        <f>"CORRECAO_CORC_C" &amp; TEXT(DT_CALCULO_C, "-AAAAMMDD") &amp; TEXT(TAB_CORRECAO_U[[#This Row],[DT_EVE]], "-AAAAMMDD")</f>
        <v>CORRECAO_CORC_C-20151228-20191209</v>
      </c>
      <c r="Z219" s="44">
        <f>IFERROR(VLOOKUP(TAB_CORRECAO_C[[#This Row],[Chave-CORC]],CORRECAO_CORC_C[],2, FALSE), 0)</f>
        <v>1</v>
      </c>
      <c r="AA21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19" s="44">
        <f>(TIR_C/100 +1)^(TAB_CORRECAO_C[[#This Row],[DIAS_CORRIDOS]]/360)</f>
        <v>1.1024216768219601</v>
      </c>
      <c r="AC219" s="78">
        <f>IF(TAB_CORRECAO_C[[#This Row],[DIAS_CORRIDOS]]&lt;0, 0, TAB_CORRECAO_C[[#This Row],[V_FUT_C_CORC]]/TAB_CORRECAO_C[[#This Row],[VAR_DESCAP_C]])</f>
        <v>0</v>
      </c>
      <c r="AD219" s="113">
        <f>TAB_CORRECAO_U[[#This Row],[V_FUT_U_CORC-02]]</f>
        <v>392.78542505607709</v>
      </c>
      <c r="AE219" s="126">
        <f>IF(TAB_CORRECAO_C[[#This Row],[DIAS_CORRIDOS]]&lt;0, 0, TAB_CORRECAO_C[[#This Row],[V_FUT_UTEIS]]/TAB_CORRECAO_C[[#This Row],[VAR_DESCAP_C]])</f>
        <v>356.29327081846878</v>
      </c>
      <c r="AF219" s="64"/>
    </row>
    <row r="220" spans="1:32">
      <c r="A220" s="82">
        <f t="shared" si="4"/>
        <v>49</v>
      </c>
      <c r="B220" s="24">
        <f>VLOOKUP($A220, CAD_ATUALIZACAO[#Data], MATCH(B$171, CAD_ATUALIZACAO[#Headers],0), FALSE)</f>
        <v>3</v>
      </c>
      <c r="C220" s="24" t="str">
        <f>VLOOKUP($A220, CAD_ATUALIZACAO[#Data], MATCH(C$171, CAD_ATUALIZACAO[#Headers],0), FALSE)</f>
        <v xml:space="preserve">ATUALIZACAO SOBRE PRINCIPAL                       </v>
      </c>
      <c r="D220" s="36">
        <f>VLOOKUP($A220, CAD_ATUALIZACAO[#Data], MATCH(D$171, CAD_ATUALIZACAO[#Headers],0), FALSE)</f>
        <v>43839</v>
      </c>
      <c r="E220" s="48">
        <f>VLOOKUP($A220, CAD_ATUALIZACAO[#Data], MATCH(E$171, CAD_ATUALIZACAO[#Headers],0), FALSE)</f>
        <v>0</v>
      </c>
      <c r="F220" s="36">
        <f>VLOOKUP($A220, CAD_ATUALIZACAO[#Data], MATCH(F$171, CAD_ATUALIZACAO[#Headers],0), FALSE)</f>
        <v>43845</v>
      </c>
      <c r="G220" s="47">
        <f>WORKDAY(WORKDAY(TAB_CORRECAO_U[[#This Row],[DT_EVE]], -1, TAB_FERIADOS[FER_DATA]), 1, TAB_FERIADOS[FER_DATA])</f>
        <v>43839</v>
      </c>
      <c r="H220" s="75">
        <f>WORKDAY(WORKDAY(TAB_CORRECAO_U[[#This Row],[DT_LQDC_EVE]], -1, TAB_FERIADOS[FER_DATA]), 1, TAB_FERIADOS[FER_DATA])</f>
        <v>43845</v>
      </c>
      <c r="I220" s="48">
        <f>PU_EMISSAO - SUMIF(TAB_AMORTIZACAO_U[dt_eve_u], "&lt;" &amp; TAB_CORRECAO_U[[#This Row],[dt_eve_u]], TAB_AMORTIZACAO_U[V_PU_AMTC])</f>
        <v>58867.852446000012</v>
      </c>
      <c r="J220" s="48">
        <f>IFERROR(VLOOKUP(TAB_CORRECAO_U[[#This Row],[DT_EVE]], TAB_AMORTIZACAO_U[[DT_EVE]:[V_PU_AMTC]], 2, FALSE), 0)</f>
        <v>782.11828700000001</v>
      </c>
      <c r="K220" s="48">
        <f>NETWORKDAYS(DT_CALCULO_U, TAB_CORRECAO_U[[#This Row],[dt_eve_u]], TAB_FERIADOS[FER_DATA]) -1</f>
        <v>1012</v>
      </c>
      <c r="L220" s="48">
        <f>NETWORKDAYS(DT_CALCULO_U, TAB_CORRECAO_U[[#This Row],[dt_lqdc_eve_u]], TAB_FERIADOS[FER_DATA]) -1</f>
        <v>1016</v>
      </c>
      <c r="M220" s="48">
        <f>NETWORKDAYS(IF(ISTEXT(G219), DT_B_CORC, G219), TAB_CORRECAO_U[[#This Row],[dt_eve_u]], TAB_FERIADOS[FER_DATA]) -1</f>
        <v>21</v>
      </c>
      <c r="N220" s="78">
        <f>(TX_EMISSAO/100 +1)^(TAB_CORRECAO_U[[#This Row],[dias_periodo_u]]/252)</f>
        <v>1.0020598362698427</v>
      </c>
      <c r="O220" s="78">
        <f>(TIR_U/100 +1)^(TAB_CORRECAO_U[[#This Row],[Q_DIAS_U_PARC_TIR]]/252)</f>
        <v>1.1046903450953045</v>
      </c>
      <c r="P220" s="116" t="str">
        <f>"TX_CENARIO" &amp; TEXT(DT_CALCULO_C, "-AAAAMMDD") &amp; TEXT(TAB_CORRECAO_U[[#This Row],[DT_EVE]], "-AAAAMMDD")</f>
        <v>TX_CENARIO-20151228-20200109</v>
      </c>
      <c r="Q220" s="44">
        <f>IFERROR(VLOOKUP(TAB_CORRECAO_U[[#This Row],[Chave-CENARIO]],CENARIO[],2,FALSE), 0)</f>
        <v>16.5974</v>
      </c>
      <c r="R220" s="116" t="str">
        <f>"CORRECAO_CORC_U" &amp; TEXT(DT_CALCULO_C, "-AAAAMMDD") &amp; TEXT(TAB_CORRECAO_U[[#This Row],[DT_EVE]], "-AAAAMMDD")</f>
        <v>CORRECAO_CORC_U-20151228-20200109</v>
      </c>
      <c r="S220" s="44">
        <f>IFERROR(VLOOKUP(TAB_CORRECAO_U[[#This Row],[Chave-CORC]],CORRECAO_CORC_U[],2, FALSE), 0)</f>
        <v>1.0126463999999999</v>
      </c>
      <c r="T220" s="78">
        <f>MAX(0, IF(TAB_CORRECAO_U[[#This Row],[ID_T_EVE]]= 5, TAB_CORRECAO_U[[#This Row],[PU_AMORT]],TAB_CORRECAO_U[[#This Row],[V_NOML_PCPL]]) * (TAB_CORRECAO_U[[#This Row],[CORRECAO_U]] -1))</f>
        <v>744.46640917309139</v>
      </c>
      <c r="U220" s="78">
        <f>MAX(0, TAB_CORRECAO_U[[#This Row],[V_FUT_U_CORC-01]]/((((TAB_CORRECAO_U[[#This Row],[TX_CENARIO]]/100 +1)^(1/252) -1) * PC_IDXR/100 +1)^TAB_CORRECAO_U[[#This Row],[Q_DIAS_U_PARC_TIR]]))</f>
        <v>400.84136753919842</v>
      </c>
      <c r="V220" s="78">
        <f>TAB_CORRECAO_U[[#This Row],[V_FUT_U_CORC-02]]/TAB_CORRECAO_U[[#This Row],[VAR_DESCAP_U]]</f>
        <v>362.8540516524717</v>
      </c>
      <c r="W220" s="78"/>
      <c r="X220" s="101">
        <f>TAB_CORRECAO_U[[#This Row],[dt_eve_u]]- DT_CALCULO_C</f>
        <v>1473</v>
      </c>
      <c r="Y220" s="48" t="str">
        <f>"CORRECAO_CORC_C" &amp; TEXT(DT_CALCULO_C, "-AAAAMMDD") &amp; TEXT(TAB_CORRECAO_U[[#This Row],[DT_EVE]], "-AAAAMMDD")</f>
        <v>CORRECAO_CORC_C-20151228-20200109</v>
      </c>
      <c r="Z220" s="44">
        <f>IFERROR(VLOOKUP(TAB_CORRECAO_C[[#This Row],[Chave-CORC]],CORRECAO_CORC_C[],2, FALSE), 0)</f>
        <v>1</v>
      </c>
      <c r="AA22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0" s="44">
        <f>(TIR_C/100 +1)^(TAB_CORRECAO_C[[#This Row],[DIAS_CORRIDOS]]/360)</f>
        <v>1.1047350485328042</v>
      </c>
      <c r="AC220" s="78">
        <f>IF(TAB_CORRECAO_C[[#This Row],[DIAS_CORRIDOS]]&lt;0, 0, TAB_CORRECAO_C[[#This Row],[V_FUT_C_CORC]]/TAB_CORRECAO_C[[#This Row],[VAR_DESCAP_C]])</f>
        <v>0</v>
      </c>
      <c r="AD220" s="113">
        <f>TAB_CORRECAO_U[[#This Row],[V_FUT_U_CORC-02]]</f>
        <v>400.84136753919842</v>
      </c>
      <c r="AE220" s="126">
        <f>IF(TAB_CORRECAO_C[[#This Row],[DIAS_CORRIDOS]]&lt;0, 0, TAB_CORRECAO_C[[#This Row],[V_FUT_UTEIS]]/TAB_CORRECAO_C[[#This Row],[VAR_DESCAP_C]])</f>
        <v>362.83936865364666</v>
      </c>
      <c r="AF220" s="64"/>
    </row>
    <row r="221" spans="1:32">
      <c r="A221" s="82">
        <f t="shared" si="4"/>
        <v>50</v>
      </c>
      <c r="B221" s="24">
        <f>VLOOKUP($A221, CAD_ATUALIZACAO[#Data], MATCH(B$171, CAD_ATUALIZACAO[#Headers],0), FALSE)</f>
        <v>3</v>
      </c>
      <c r="C221" s="24" t="str">
        <f>VLOOKUP($A221, CAD_ATUALIZACAO[#Data], MATCH(C$171, CAD_ATUALIZACAO[#Headers],0), FALSE)</f>
        <v xml:space="preserve">ATUALIZACAO SOBRE PRINCIPAL                       </v>
      </c>
      <c r="D221" s="36">
        <f>VLOOKUP($A221, CAD_ATUALIZACAO[#Data], MATCH(D$171, CAD_ATUALIZACAO[#Headers],0), FALSE)</f>
        <v>43871</v>
      </c>
      <c r="E221" s="48">
        <f>VLOOKUP($A221, CAD_ATUALIZACAO[#Data], MATCH(E$171, CAD_ATUALIZACAO[#Headers],0), FALSE)</f>
        <v>0</v>
      </c>
      <c r="F221" s="36">
        <f>VLOOKUP($A221, CAD_ATUALIZACAO[#Data], MATCH(F$171, CAD_ATUALIZACAO[#Headers],0), FALSE)</f>
        <v>43875</v>
      </c>
      <c r="G221" s="47">
        <f>WORKDAY(WORKDAY(TAB_CORRECAO_U[[#This Row],[DT_EVE]], -1, TAB_FERIADOS[FER_DATA]), 1, TAB_FERIADOS[FER_DATA])</f>
        <v>43871</v>
      </c>
      <c r="H221" s="75">
        <f>WORKDAY(WORKDAY(TAB_CORRECAO_U[[#This Row],[DT_LQDC_EVE]], -1, TAB_FERIADOS[FER_DATA]), 1, TAB_FERIADOS[FER_DATA])</f>
        <v>43875</v>
      </c>
      <c r="I221" s="48">
        <f>PU_EMISSAO - SUMIF(TAB_AMORTIZACAO_U[dt_eve_u], "&lt;" &amp; TAB_CORRECAO_U[[#This Row],[dt_eve_u]], TAB_AMORTIZACAO_U[V_PU_AMTC])</f>
        <v>58085.734159000014</v>
      </c>
      <c r="J221" s="48">
        <f>IFERROR(VLOOKUP(TAB_CORRECAO_U[[#This Row],[DT_EVE]], TAB_AMORTIZACAO_U[[DT_EVE]:[V_PU_AMTC]], 2, FALSE), 0)</f>
        <v>766.96403299999997</v>
      </c>
      <c r="K221" s="48">
        <f>NETWORKDAYS(DT_CALCULO_U, TAB_CORRECAO_U[[#This Row],[dt_eve_u]], TAB_FERIADOS[FER_DATA]) -1</f>
        <v>1034</v>
      </c>
      <c r="L221" s="48">
        <f>NETWORKDAYS(DT_CALCULO_U, TAB_CORRECAO_U[[#This Row],[dt_lqdc_eve_u]], TAB_FERIADOS[FER_DATA]) -1</f>
        <v>1038</v>
      </c>
      <c r="M221" s="48">
        <f>NETWORKDAYS(IF(ISTEXT(G220), DT_B_CORC, G220), TAB_CORRECAO_U[[#This Row],[dt_eve_u]], TAB_FERIADOS[FER_DATA]) -1</f>
        <v>22</v>
      </c>
      <c r="N221" s="78">
        <f>(TX_EMISSAO/100 +1)^(TAB_CORRECAO_U[[#This Row],[dias_periodo_u]]/252)</f>
        <v>1.0021580294747356</v>
      </c>
      <c r="O221" s="78">
        <f>(TIR_U/100 +1)^(TAB_CORRECAO_U[[#This Row],[Q_DIAS_U_PARC_TIR]]/252)</f>
        <v>1.1070745564537186</v>
      </c>
      <c r="P221" s="116" t="str">
        <f>"TX_CENARIO" &amp; TEXT(DT_CALCULO_C, "-AAAAMMDD") &amp; TEXT(TAB_CORRECAO_U[[#This Row],[DT_EVE]], "-AAAAMMDD")</f>
        <v>TX_CENARIO-20151228-20200210</v>
      </c>
      <c r="Q221" s="44">
        <f>IFERROR(VLOOKUP(TAB_CORRECAO_U[[#This Row],[Chave-CENARIO]],CENARIO[],2,FALSE), 0)</f>
        <v>16.5854</v>
      </c>
      <c r="R221" s="116" t="str">
        <f>"CORRECAO_CORC_U" &amp; TEXT(DT_CALCULO_C, "-AAAAMMDD") &amp; TEXT(TAB_CORRECAO_U[[#This Row],[DT_EVE]], "-AAAAMMDD")</f>
        <v>CORRECAO_CORC_U-20151228-20200210</v>
      </c>
      <c r="S221" s="44">
        <f>IFERROR(VLOOKUP(TAB_CORRECAO_U[[#This Row],[Chave-CORC]],CORRECAO_CORC_U[],2, FALSE), 0)</f>
        <v>1.0130869499999999</v>
      </c>
      <c r="T221" s="78">
        <f>MAX(0, IF(TAB_CORRECAO_U[[#This Row],[ID_T_EVE]]= 5, TAB_CORRECAO_U[[#This Row],[PU_AMORT]],TAB_CORRECAO_U[[#This Row],[V_NOML_PCPL]]) * (TAB_CORRECAO_U[[#This Row],[CORRECAO_U]] -1))</f>
        <v>760.16509865212117</v>
      </c>
      <c r="U221" s="78">
        <f>MAX(0, TAB_CORRECAO_U[[#This Row],[V_FUT_U_CORC-01]]/((((TAB_CORRECAO_U[[#This Row],[TX_CENARIO]]/100 +1)^(1/252) -1) * PC_IDXR/100 +1)^TAB_CORRECAO_U[[#This Row],[Q_DIAS_U_PARC_TIR]]))</f>
        <v>404.01494291627154</v>
      </c>
      <c r="V221" s="78">
        <f>TAB_CORRECAO_U[[#This Row],[V_FUT_U_CORC-02]]/TAB_CORRECAO_U[[#This Row],[VAR_DESCAP_U]]</f>
        <v>364.93923608040348</v>
      </c>
      <c r="W221" s="78"/>
      <c r="X221" s="101">
        <f>TAB_CORRECAO_U[[#This Row],[dt_eve_u]]- DT_CALCULO_C</f>
        <v>1505</v>
      </c>
      <c r="Y221" s="48" t="str">
        <f>"CORRECAO_CORC_C" &amp; TEXT(DT_CALCULO_C, "-AAAAMMDD") &amp; TEXT(TAB_CORRECAO_U[[#This Row],[DT_EVE]], "-AAAAMMDD")</f>
        <v>CORRECAO_CORC_C-20151228-20200210</v>
      </c>
      <c r="Z221" s="44">
        <f>IFERROR(VLOOKUP(TAB_CORRECAO_C[[#This Row],[Chave-CORC]],CORRECAO_CORC_C[],2, FALSE), 0)</f>
        <v>1</v>
      </c>
      <c r="AA22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1" s="44">
        <f>(TIR_C/100 +1)^(TAB_CORRECAO_C[[#This Row],[DIAS_CORRIDOS]]/360)</f>
        <v>1.1071281371567823</v>
      </c>
      <c r="AC221" s="78">
        <f>IF(TAB_CORRECAO_C[[#This Row],[DIAS_CORRIDOS]]&lt;0, 0, TAB_CORRECAO_C[[#This Row],[V_FUT_C_CORC]]/TAB_CORRECAO_C[[#This Row],[VAR_DESCAP_C]])</f>
        <v>0</v>
      </c>
      <c r="AD221" s="113">
        <f>TAB_CORRECAO_U[[#This Row],[V_FUT_U_CORC-02]]</f>
        <v>404.01494291627154</v>
      </c>
      <c r="AE221" s="126">
        <f>IF(TAB_CORRECAO_C[[#This Row],[DIAS_CORRIDOS]]&lt;0, 0, TAB_CORRECAO_C[[#This Row],[V_FUT_UTEIS]]/TAB_CORRECAO_C[[#This Row],[VAR_DESCAP_C]])</f>
        <v>364.92157443836902</v>
      </c>
      <c r="AF221" s="64"/>
    </row>
    <row r="222" spans="1:32">
      <c r="A222" s="82">
        <f t="shared" si="4"/>
        <v>51</v>
      </c>
      <c r="B222" s="24">
        <f>VLOOKUP($A222, CAD_ATUALIZACAO[#Data], MATCH(B$171, CAD_ATUALIZACAO[#Headers],0), FALSE)</f>
        <v>3</v>
      </c>
      <c r="C222" s="24" t="str">
        <f>VLOOKUP($A222, CAD_ATUALIZACAO[#Data], MATCH(C$171, CAD_ATUALIZACAO[#Headers],0), FALSE)</f>
        <v xml:space="preserve">ATUALIZACAO SOBRE PRINCIPAL                       </v>
      </c>
      <c r="D222" s="36">
        <f>VLOOKUP($A222, CAD_ATUALIZACAO[#Data], MATCH(D$171, CAD_ATUALIZACAO[#Headers],0), FALSE)</f>
        <v>43899</v>
      </c>
      <c r="E222" s="48">
        <f>VLOOKUP($A222, CAD_ATUALIZACAO[#Data], MATCH(E$171, CAD_ATUALIZACAO[#Headers],0), FALSE)</f>
        <v>0</v>
      </c>
      <c r="F222" s="36">
        <f>VLOOKUP($A222, CAD_ATUALIZACAO[#Data], MATCH(F$171, CAD_ATUALIZACAO[#Headers],0), FALSE)</f>
        <v>43903</v>
      </c>
      <c r="G222" s="47">
        <f>WORKDAY(WORKDAY(TAB_CORRECAO_U[[#This Row],[DT_EVE]], -1, TAB_FERIADOS[FER_DATA]), 1, TAB_FERIADOS[FER_DATA])</f>
        <v>43899</v>
      </c>
      <c r="H222" s="75">
        <f>WORKDAY(WORKDAY(TAB_CORRECAO_U[[#This Row],[DT_LQDC_EVE]], -1, TAB_FERIADOS[FER_DATA]), 1, TAB_FERIADOS[FER_DATA])</f>
        <v>43903</v>
      </c>
      <c r="I222" s="48">
        <f>PU_EMISSAO - SUMIF(TAB_AMORTIZACAO_U[dt_eve_u], "&lt;" &amp; TAB_CORRECAO_U[[#This Row],[dt_eve_u]], TAB_AMORTIZACAO_U[V_PU_AMTC])</f>
        <v>57318.770126000018</v>
      </c>
      <c r="J222" s="48">
        <f>IFERROR(VLOOKUP(TAB_CORRECAO_U[[#This Row],[DT_EVE]], TAB_AMORTIZACAO_U[[DT_EVE]:[V_PU_AMTC]], 2, FALSE), 0)</f>
        <v>782.34389299999998</v>
      </c>
      <c r="K222" s="48">
        <f>NETWORKDAYS(DT_CALCULO_U, TAB_CORRECAO_U[[#This Row],[dt_eve_u]], TAB_FERIADOS[FER_DATA]) -1</f>
        <v>1052</v>
      </c>
      <c r="L222" s="48">
        <f>NETWORKDAYS(DT_CALCULO_U, TAB_CORRECAO_U[[#This Row],[dt_lqdc_eve_u]], TAB_FERIADOS[FER_DATA]) -1</f>
        <v>1056</v>
      </c>
      <c r="M222" s="48">
        <f>NETWORKDAYS(IF(ISTEXT(G221), DT_B_CORC, G221), TAB_CORRECAO_U[[#This Row],[dt_eve_u]], TAB_FERIADOS[FER_DATA]) -1</f>
        <v>18</v>
      </c>
      <c r="N222" s="78">
        <f>(TX_EMISSAO/100 +1)^(TAB_CORRECAO_U[[#This Row],[dias_periodo_u]]/252)</f>
        <v>1.0017653143782506</v>
      </c>
      <c r="O222" s="78">
        <f>(TIR_U/100 +1)^(TAB_CORRECAO_U[[#This Row],[Q_DIAS_U_PARC_TIR]]/252)</f>
        <v>1.1090291017572376</v>
      </c>
      <c r="P222" s="116" t="str">
        <f>"TX_CENARIO" &amp; TEXT(DT_CALCULO_C, "-AAAAMMDD") &amp; TEXT(TAB_CORRECAO_U[[#This Row],[DT_EVE]], "-AAAAMMDD")</f>
        <v>TX_CENARIO-20151228-20200309</v>
      </c>
      <c r="Q222" s="44">
        <f>IFERROR(VLOOKUP(TAB_CORRECAO_U[[#This Row],[Chave-CENARIO]],CENARIO[],2,FALSE), 0)</f>
        <v>16.575900000000001</v>
      </c>
      <c r="R222" s="116" t="str">
        <f>"CORRECAO_CORC_U" &amp; TEXT(DT_CALCULO_C, "-AAAAMMDD") &amp; TEXT(TAB_CORRECAO_U[[#This Row],[DT_EVE]], "-AAAAMMDD")</f>
        <v>CORRECAO_CORC_U-20151228-20200309</v>
      </c>
      <c r="S222" s="44">
        <f>IFERROR(VLOOKUP(TAB_CORRECAO_U[[#This Row],[Chave-CORC]],CORRECAO_CORC_U[],2, FALSE), 0)</f>
        <v>1.01069483</v>
      </c>
      <c r="T222" s="78">
        <f>MAX(0, IF(TAB_CORRECAO_U[[#This Row],[ID_T_EVE]]= 5, TAB_CORRECAO_U[[#This Row],[PU_AMORT]],TAB_CORRECAO_U[[#This Row],[V_NOML_PCPL]]) * (TAB_CORRECAO_U[[#This Row],[CORRECAO_U]] -1))</f>
        <v>613.01450230665125</v>
      </c>
      <c r="U222" s="78">
        <f>MAX(0, TAB_CORRECAO_U[[#This Row],[V_FUT_U_CORC-01]]/((((TAB_CORRECAO_U[[#This Row],[TX_CENARIO]]/100 +1)^(1/252) -1) * PC_IDXR/100 +1)^TAB_CORRECAO_U[[#This Row],[Q_DIAS_U_PARC_TIR]]))</f>
        <v>322.36527575777353</v>
      </c>
      <c r="V222" s="78">
        <f>TAB_CORRECAO_U[[#This Row],[V_FUT_U_CORC-02]]/TAB_CORRECAO_U[[#This Row],[VAR_DESCAP_U]]</f>
        <v>290.67341447306592</v>
      </c>
      <c r="W222" s="78"/>
      <c r="X222" s="101">
        <f>TAB_CORRECAO_U[[#This Row],[dt_eve_u]]- DT_CALCULO_C</f>
        <v>1533</v>
      </c>
      <c r="Y222" s="48" t="str">
        <f>"CORRECAO_CORC_C" &amp; TEXT(DT_CALCULO_C, "-AAAAMMDD") &amp; TEXT(TAB_CORRECAO_U[[#This Row],[DT_EVE]], "-AAAAMMDD")</f>
        <v>CORRECAO_CORC_C-20151228-20200309</v>
      </c>
      <c r="Z222" s="44">
        <f>IFERROR(VLOOKUP(TAB_CORRECAO_C[[#This Row],[Chave-CORC]],CORRECAO_CORC_C[],2, FALSE), 0)</f>
        <v>1</v>
      </c>
      <c r="AA22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2" s="44">
        <f>(TIR_C/100 +1)^(TAB_CORRECAO_C[[#This Row],[DIAS_CORRIDOS]]/360)</f>
        <v>1.1092263417647261</v>
      </c>
      <c r="AC222" s="78">
        <f>IF(TAB_CORRECAO_C[[#This Row],[DIAS_CORRIDOS]]&lt;0, 0, TAB_CORRECAO_C[[#This Row],[V_FUT_C_CORC]]/TAB_CORRECAO_C[[#This Row],[VAR_DESCAP_C]])</f>
        <v>0</v>
      </c>
      <c r="AD222" s="113">
        <f>TAB_CORRECAO_U[[#This Row],[V_FUT_U_CORC-02]]</f>
        <v>322.36527575777353</v>
      </c>
      <c r="AE222" s="126">
        <f>IF(TAB_CORRECAO_C[[#This Row],[DIAS_CORRIDOS]]&lt;0, 0, TAB_CORRECAO_C[[#This Row],[V_FUT_UTEIS]]/TAB_CORRECAO_C[[#This Row],[VAR_DESCAP_C]])</f>
        <v>290.62172761323518</v>
      </c>
      <c r="AF222" s="64"/>
    </row>
    <row r="223" spans="1:32">
      <c r="A223" s="82">
        <f t="shared" si="4"/>
        <v>52</v>
      </c>
      <c r="B223" s="24">
        <f>VLOOKUP($A223, CAD_ATUALIZACAO[#Data], MATCH(B$171, CAD_ATUALIZACAO[#Headers],0), FALSE)</f>
        <v>3</v>
      </c>
      <c r="C223" s="24" t="str">
        <f>VLOOKUP($A223, CAD_ATUALIZACAO[#Data], MATCH(C$171, CAD_ATUALIZACAO[#Headers],0), FALSE)</f>
        <v xml:space="preserve">ATUALIZACAO SOBRE PRINCIPAL                       </v>
      </c>
      <c r="D223" s="36">
        <f>VLOOKUP($A223, CAD_ATUALIZACAO[#Data], MATCH(D$171, CAD_ATUALIZACAO[#Headers],0), FALSE)</f>
        <v>43930</v>
      </c>
      <c r="E223" s="48">
        <f>VLOOKUP($A223, CAD_ATUALIZACAO[#Data], MATCH(E$171, CAD_ATUALIZACAO[#Headers],0), FALSE)</f>
        <v>0</v>
      </c>
      <c r="F223" s="36">
        <f>VLOOKUP($A223, CAD_ATUALIZACAO[#Data], MATCH(F$171, CAD_ATUALIZACAO[#Headers],0), FALSE)</f>
        <v>43936</v>
      </c>
      <c r="G223" s="47">
        <f>WORKDAY(WORKDAY(TAB_CORRECAO_U[[#This Row],[DT_EVE]], -1, TAB_FERIADOS[FER_DATA]), 1, TAB_FERIADOS[FER_DATA])</f>
        <v>43930</v>
      </c>
      <c r="H223" s="75">
        <f>WORKDAY(WORKDAY(TAB_CORRECAO_U[[#This Row],[DT_LQDC_EVE]], -1, TAB_FERIADOS[FER_DATA]), 1, TAB_FERIADOS[FER_DATA])</f>
        <v>43936</v>
      </c>
      <c r="I223" s="48">
        <f>PU_EMISSAO - SUMIF(TAB_AMORTIZACAO_U[dt_eve_u], "&lt;" &amp; TAB_CORRECAO_U[[#This Row],[dt_eve_u]], TAB_AMORTIZACAO_U[V_PU_AMTC])</f>
        <v>56536.42623300002</v>
      </c>
      <c r="J223" s="48">
        <f>IFERROR(VLOOKUP(TAB_CORRECAO_U[[#This Row],[DT_EVE]], TAB_AMORTIZACAO_U[[DT_EVE]:[V_PU_AMTC]], 2, FALSE), 0)</f>
        <v>750.74720300000001</v>
      </c>
      <c r="K223" s="48">
        <f>NETWORKDAYS(DT_CALCULO_U, TAB_CORRECAO_U[[#This Row],[dt_eve_u]], TAB_FERIADOS[FER_DATA]) -1</f>
        <v>1075</v>
      </c>
      <c r="L223" s="48">
        <f>NETWORKDAYS(DT_CALCULO_U, TAB_CORRECAO_U[[#This Row],[dt_lqdc_eve_u]], TAB_FERIADOS[FER_DATA]) -1</f>
        <v>1078</v>
      </c>
      <c r="M223" s="48">
        <f>NETWORKDAYS(IF(ISTEXT(G222), DT_B_CORC, G222), TAB_CORRECAO_U[[#This Row],[dt_eve_u]], TAB_FERIADOS[FER_DATA]) -1</f>
        <v>23</v>
      </c>
      <c r="N223" s="78">
        <f>(TX_EMISSAO/100 +1)^(TAB_CORRECAO_U[[#This Row],[dias_periodo_u]]/252)</f>
        <v>1.0022562323017139</v>
      </c>
      <c r="O223" s="78">
        <f>(TIR_U/100 +1)^(TAB_CORRECAO_U[[#This Row],[Q_DIAS_U_PARC_TIR]]/252)</f>
        <v>1.1114226772899296</v>
      </c>
      <c r="P223" s="116" t="str">
        <f>"TX_CENARIO" &amp; TEXT(DT_CALCULO_C, "-AAAAMMDD") &amp; TEXT(TAB_CORRECAO_U[[#This Row],[DT_EVE]], "-AAAAMMDD")</f>
        <v>TX_CENARIO-20151228-20200409</v>
      </c>
      <c r="Q223" s="44">
        <f>IFERROR(VLOOKUP(TAB_CORRECAO_U[[#This Row],[Chave-CENARIO]],CENARIO[],2,FALSE), 0)</f>
        <v>16.564800000000002</v>
      </c>
      <c r="R223" s="116" t="str">
        <f>"CORRECAO_CORC_U" &amp; TEXT(DT_CALCULO_C, "-AAAAMMDD") &amp; TEXT(TAB_CORRECAO_U[[#This Row],[DT_EVE]], "-AAAAMMDD")</f>
        <v>CORRECAO_CORC_U-20151228-20200409</v>
      </c>
      <c r="S223" s="44">
        <f>IFERROR(VLOOKUP(TAB_CORRECAO_U[[#This Row],[Chave-CORC]],CORRECAO_CORC_U[],2, FALSE), 0)</f>
        <v>1.0136860700000001</v>
      </c>
      <c r="T223" s="78">
        <f>MAX(0, IF(TAB_CORRECAO_U[[#This Row],[ID_T_EVE]]= 5, TAB_CORRECAO_U[[#This Row],[PU_AMORT]],TAB_CORRECAO_U[[#This Row],[V_NOML_PCPL]]) * (TAB_CORRECAO_U[[#This Row],[CORRECAO_U]] -1))</f>
        <v>773.76148697468057</v>
      </c>
      <c r="U223" s="186">
        <f>MAX(0, TAB_CORRECAO_U[[#This Row],[V_FUT_U_CORC-01]]/((((TAB_CORRECAO_U[[#This Row],[TX_CENARIO]]/100 +1)^(1/252) -1) * PC_IDXR/100 +1)^TAB_CORRECAO_U[[#This Row],[Q_DIAS_U_PARC_TIR]]))</f>
        <v>401.64879393757292</v>
      </c>
      <c r="V223" s="78">
        <f>TAB_CORRECAO_U[[#This Row],[V_FUT_U_CORC-02]]/TAB_CORRECAO_U[[#This Row],[VAR_DESCAP_U]]</f>
        <v>361.38257941339219</v>
      </c>
      <c r="W223" s="78"/>
      <c r="X223" s="101">
        <f>TAB_CORRECAO_U[[#This Row],[dt_eve_u]]- DT_CALCULO_C</f>
        <v>1564</v>
      </c>
      <c r="Y223" s="48" t="str">
        <f>"CORRECAO_CORC_C" &amp; TEXT(DT_CALCULO_C, "-AAAAMMDD") &amp; TEXT(TAB_CORRECAO_U[[#This Row],[DT_EVE]], "-AAAAMMDD")</f>
        <v>CORRECAO_CORC_C-20151228-20200409</v>
      </c>
      <c r="Z223" s="44">
        <f>IFERROR(VLOOKUP(TAB_CORRECAO_C[[#This Row],[Chave-CORC]],CORRECAO_CORC_C[],2, FALSE), 0)</f>
        <v>1</v>
      </c>
      <c r="AA22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3" s="44">
        <f>(TIR_C/100 +1)^(TAB_CORRECAO_C[[#This Row],[DIAS_CORRIDOS]]/360)</f>
        <v>1.1115539926935059</v>
      </c>
      <c r="AC223" s="78">
        <f>IF(TAB_CORRECAO_C[[#This Row],[DIAS_CORRIDOS]]&lt;0, 0, TAB_CORRECAO_C[[#This Row],[V_FUT_C_CORC]]/TAB_CORRECAO_C[[#This Row],[VAR_DESCAP_C]])</f>
        <v>0</v>
      </c>
      <c r="AD223" s="113">
        <f>TAB_CORRECAO_U[[#This Row],[V_FUT_U_CORC-02]]</f>
        <v>401.64879393757292</v>
      </c>
      <c r="AE223" s="126">
        <f>IF(TAB_CORRECAO_C[[#This Row],[DIAS_CORRIDOS]]&lt;0, 0, TAB_CORRECAO_C[[#This Row],[V_FUT_UTEIS]]/TAB_CORRECAO_C[[#This Row],[VAR_DESCAP_C]])</f>
        <v>361.33988684103576</v>
      </c>
      <c r="AF223" s="64"/>
    </row>
    <row r="224" spans="1:32">
      <c r="A224" s="82">
        <f t="shared" si="4"/>
        <v>53</v>
      </c>
      <c r="B224" s="24">
        <f>VLOOKUP($A224, CAD_ATUALIZACAO[#Data], MATCH(B$171, CAD_ATUALIZACAO[#Headers],0), FALSE)</f>
        <v>3</v>
      </c>
      <c r="C224" s="24" t="str">
        <f>VLOOKUP($A224, CAD_ATUALIZACAO[#Data], MATCH(C$171, CAD_ATUALIZACAO[#Headers],0), FALSE)</f>
        <v xml:space="preserve">ATUALIZACAO SOBRE PRINCIPAL                       </v>
      </c>
      <c r="D224" s="36">
        <f>VLOOKUP($A224, CAD_ATUALIZACAO[#Data], MATCH(D$171, CAD_ATUALIZACAO[#Headers],0), FALSE)</f>
        <v>43962</v>
      </c>
      <c r="E224" s="48">
        <f>VLOOKUP($A224, CAD_ATUALIZACAO[#Data], MATCH(E$171, CAD_ATUALIZACAO[#Headers],0), FALSE)</f>
        <v>0</v>
      </c>
      <c r="F224" s="36">
        <f>VLOOKUP($A224, CAD_ATUALIZACAO[#Data], MATCH(F$171, CAD_ATUALIZACAO[#Headers],0), FALSE)</f>
        <v>43966</v>
      </c>
      <c r="G224" s="47">
        <f>WORKDAY(WORKDAY(TAB_CORRECAO_U[[#This Row],[DT_EVE]], -1, TAB_FERIADOS[FER_DATA]), 1, TAB_FERIADOS[FER_DATA])</f>
        <v>43962</v>
      </c>
      <c r="H224" s="75">
        <f>WORKDAY(WORKDAY(TAB_CORRECAO_U[[#This Row],[DT_LQDC_EVE]], -1, TAB_FERIADOS[FER_DATA]), 1, TAB_FERIADOS[FER_DATA])</f>
        <v>43966</v>
      </c>
      <c r="I224" s="48">
        <f>PU_EMISSAO - SUMIF(TAB_AMORTIZACAO_U[dt_eve_u], "&lt;" &amp; TAB_CORRECAO_U[[#This Row],[dt_eve_u]], TAB_AMORTIZACAO_U[V_PU_AMTC])</f>
        <v>55785.679030000021</v>
      </c>
      <c r="J224" s="48">
        <f>IFERROR(VLOOKUP(TAB_CORRECAO_U[[#This Row],[DT_EVE]], TAB_AMORTIZACAO_U[[DT_EVE]:[V_PU_AMTC]], 2, FALSE), 0)</f>
        <v>753.77609500000005</v>
      </c>
      <c r="K224" s="48">
        <f>NETWORKDAYS(DT_CALCULO_U, TAB_CORRECAO_U[[#This Row],[dt_eve_u]], TAB_FERIADOS[FER_DATA]) -1</f>
        <v>1094</v>
      </c>
      <c r="L224" s="48">
        <f>NETWORKDAYS(DT_CALCULO_U, TAB_CORRECAO_U[[#This Row],[dt_lqdc_eve_u]], TAB_FERIADOS[FER_DATA]) -1</f>
        <v>1098</v>
      </c>
      <c r="M224" s="48">
        <f>NETWORKDAYS(IF(ISTEXT(G223), DT_B_CORC, G223), TAB_CORRECAO_U[[#This Row],[dt_eve_u]], TAB_FERIADOS[FER_DATA]) -1</f>
        <v>19</v>
      </c>
      <c r="N224" s="78">
        <f>(TX_EMISSAO/100 +1)^(TAB_CORRECAO_U[[#This Row],[dias_periodo_u]]/252)</f>
        <v>1.0018634787225431</v>
      </c>
      <c r="O224" s="78">
        <f>(TIR_U/100 +1)^(TAB_CORRECAO_U[[#This Row],[Q_DIAS_U_PARC_TIR]]/252)</f>
        <v>1.1136031376147728</v>
      </c>
      <c r="P224" s="116" t="str">
        <f>"TX_CENARIO" &amp; TEXT(DT_CALCULO_C, "-AAAAMMDD") &amp; TEXT(TAB_CORRECAO_U[[#This Row],[DT_EVE]], "-AAAAMMDD")</f>
        <v>TX_CENARIO-20151228-20200511</v>
      </c>
      <c r="Q224" s="44">
        <f>IFERROR(VLOOKUP(TAB_CORRECAO_U[[#This Row],[Chave-CENARIO]],CENARIO[],2,FALSE), 0)</f>
        <v>16.555</v>
      </c>
      <c r="R224" s="116" t="str">
        <f>"CORRECAO_CORC_U" &amp; TEXT(DT_CALCULO_C, "-AAAAMMDD") &amp; TEXT(TAB_CORRECAO_U[[#This Row],[DT_EVE]], "-AAAAMMDD")</f>
        <v>CORRECAO_CORC_U-20151228-20200511</v>
      </c>
      <c r="S224" s="44">
        <f>IFERROR(VLOOKUP(TAB_CORRECAO_U[[#This Row],[Chave-CORC]],CORRECAO_CORC_U[],2, FALSE), 0)</f>
        <v>1.01129297</v>
      </c>
      <c r="T224" s="78">
        <f>MAX(0, IF(TAB_CORRECAO_U[[#This Row],[ID_T_EVE]]= 5, TAB_CORRECAO_U[[#This Row],[PU_AMORT]],TAB_CORRECAO_U[[#This Row],[V_NOML_PCPL]]) * (TAB_CORRECAO_U[[#This Row],[CORRECAO_U]] -1))</f>
        <v>629.98599971541694</v>
      </c>
      <c r="U224" s="78">
        <f>MAX(0, TAB_CORRECAO_U[[#This Row],[V_FUT_U_CORC-01]]/((((TAB_CORRECAO_U[[#This Row],[TX_CENARIO]]/100 +1)^(1/252) -1) * PC_IDXR/100 +1)^TAB_CORRECAO_U[[#This Row],[Q_DIAS_U_PARC_TIR]]))</f>
        <v>323.18130069334518</v>
      </c>
      <c r="V224" s="78">
        <f>TAB_CORRECAO_U[[#This Row],[V_FUT_U_CORC-02]]/TAB_CORRECAO_U[[#This Row],[VAR_DESCAP_U]]</f>
        <v>290.21227560975393</v>
      </c>
      <c r="W224" s="78"/>
      <c r="X224" s="101">
        <f>TAB_CORRECAO_U[[#This Row],[dt_eve_u]]- DT_CALCULO_C</f>
        <v>1596</v>
      </c>
      <c r="Y224" s="48" t="str">
        <f>"CORRECAO_CORC_C" &amp; TEXT(DT_CALCULO_C, "-AAAAMMDD") &amp; TEXT(TAB_CORRECAO_U[[#This Row],[DT_EVE]], "-AAAAMMDD")</f>
        <v>CORRECAO_CORC_C-20151228-20200511</v>
      </c>
      <c r="Z224" s="44">
        <f>IFERROR(VLOOKUP(TAB_CORRECAO_C[[#This Row],[Chave-CORC]],CORRECAO_CORC_C[],2, FALSE), 0)</f>
        <v>1</v>
      </c>
      <c r="AA22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4" s="44">
        <f>(TIR_C/100 +1)^(TAB_CORRECAO_C[[#This Row],[DIAS_CORRIDOS]]/360)</f>
        <v>1.1139618525856902</v>
      </c>
      <c r="AC224" s="78">
        <f>IF(TAB_CORRECAO_C[[#This Row],[DIAS_CORRIDOS]]&lt;0, 0, TAB_CORRECAO_C[[#This Row],[V_FUT_C_CORC]]/TAB_CORRECAO_C[[#This Row],[VAR_DESCAP_C]])</f>
        <v>0</v>
      </c>
      <c r="AD224" s="113">
        <f>TAB_CORRECAO_U[[#This Row],[V_FUT_U_CORC-02]]</f>
        <v>323.18130069334518</v>
      </c>
      <c r="AE224" s="126">
        <f>IF(TAB_CORRECAO_C[[#This Row],[DIAS_CORRIDOS]]&lt;0, 0, TAB_CORRECAO_C[[#This Row],[V_FUT_UTEIS]]/TAB_CORRECAO_C[[#This Row],[VAR_DESCAP_C]])</f>
        <v>290.11882224080455</v>
      </c>
      <c r="AF224" s="64"/>
    </row>
    <row r="225" spans="1:32">
      <c r="A225" s="82">
        <f t="shared" si="4"/>
        <v>54</v>
      </c>
      <c r="B225" s="24">
        <f>VLOOKUP($A225, CAD_ATUALIZACAO[#Data], MATCH(B$171, CAD_ATUALIZACAO[#Headers],0), FALSE)</f>
        <v>3</v>
      </c>
      <c r="C225" s="24" t="str">
        <f>VLOOKUP($A225, CAD_ATUALIZACAO[#Data], MATCH(C$171, CAD_ATUALIZACAO[#Headers],0), FALSE)</f>
        <v xml:space="preserve">ATUALIZACAO SOBRE PRINCIPAL                       </v>
      </c>
      <c r="D225" s="36">
        <f>VLOOKUP($A225, CAD_ATUALIZACAO[#Data], MATCH(D$171, CAD_ATUALIZACAO[#Headers],0), FALSE)</f>
        <v>43991</v>
      </c>
      <c r="E225" s="48">
        <f>VLOOKUP($A225, CAD_ATUALIZACAO[#Data], MATCH(E$171, CAD_ATUALIZACAO[#Headers],0), FALSE)</f>
        <v>0</v>
      </c>
      <c r="F225" s="36">
        <f>VLOOKUP($A225, CAD_ATUALIZACAO[#Data], MATCH(F$171, CAD_ATUALIZACAO[#Headers],0), FALSE)</f>
        <v>43997</v>
      </c>
      <c r="G225" s="47">
        <f>WORKDAY(WORKDAY(TAB_CORRECAO_U[[#This Row],[DT_EVE]], -1, TAB_FERIADOS[FER_DATA]), 1, TAB_FERIADOS[FER_DATA])</f>
        <v>43991</v>
      </c>
      <c r="H225" s="75">
        <f>WORKDAY(WORKDAY(TAB_CORRECAO_U[[#This Row],[DT_LQDC_EVE]], -1, TAB_FERIADOS[FER_DATA]), 1, TAB_FERIADOS[FER_DATA])</f>
        <v>43997</v>
      </c>
      <c r="I225" s="48">
        <f>PU_EMISSAO - SUMIF(TAB_AMORTIZACAO_U[dt_eve_u], "&lt;" &amp; TAB_CORRECAO_U[[#This Row],[dt_eve_u]], TAB_AMORTIZACAO_U[V_PU_AMTC])</f>
        <v>55031.90293500002</v>
      </c>
      <c r="J225" s="48">
        <f>IFERROR(VLOOKUP(TAB_CORRECAO_U[[#This Row],[DT_EVE]], TAB_AMORTIZACAO_U[[DT_EVE]:[V_PU_AMTC]], 2, FALSE), 0)</f>
        <v>745.73731599999996</v>
      </c>
      <c r="K225" s="48">
        <f>NETWORKDAYS(DT_CALCULO_U, TAB_CORRECAO_U[[#This Row],[dt_eve_u]], TAB_FERIADOS[FER_DATA]) -1</f>
        <v>1115</v>
      </c>
      <c r="L225" s="48">
        <f>NETWORKDAYS(DT_CALCULO_U, TAB_CORRECAO_U[[#This Row],[dt_lqdc_eve_u]], TAB_FERIADOS[FER_DATA]) -1</f>
        <v>1118</v>
      </c>
      <c r="M225" s="48">
        <f>NETWORKDAYS(IF(ISTEXT(G224), DT_B_CORC, G224), TAB_CORRECAO_U[[#This Row],[dt_eve_u]], TAB_FERIADOS[FER_DATA]) -1</f>
        <v>21</v>
      </c>
      <c r="N225" s="78">
        <f>(TX_EMISSAO/100 +1)^(TAB_CORRECAO_U[[#This Row],[dias_periodo_u]]/252)</f>
        <v>1.0020598362698427</v>
      </c>
      <c r="O225" s="78">
        <f>(TIR_U/100 +1)^(TAB_CORRECAO_U[[#This Row],[Q_DIAS_U_PARC_TIR]]/252)</f>
        <v>1.1157878757065947</v>
      </c>
      <c r="P225" s="116" t="str">
        <f>"TX_CENARIO" &amp; TEXT(DT_CALCULO_C, "-AAAAMMDD") &amp; TEXT(TAB_CORRECAO_U[[#This Row],[DT_EVE]], "-AAAAMMDD")</f>
        <v>TX_CENARIO-20151228-20200609</v>
      </c>
      <c r="Q225" s="44">
        <f>IFERROR(VLOOKUP(TAB_CORRECAO_U[[#This Row],[Chave-CENARIO]],CENARIO[],2,FALSE), 0)</f>
        <v>16.5456</v>
      </c>
      <c r="R225" s="116" t="str">
        <f>"CORRECAO_CORC_U" &amp; TEXT(DT_CALCULO_C, "-AAAAMMDD") &amp; TEXT(TAB_CORRECAO_U[[#This Row],[DT_EVE]], "-AAAAMMDD")</f>
        <v>CORRECAO_CORC_U-20151228-20200609</v>
      </c>
      <c r="S225" s="44">
        <f>IFERROR(VLOOKUP(TAB_CORRECAO_U[[#This Row],[Chave-CORC]],CORRECAO_CORC_U[],2, FALSE), 0)</f>
        <v>1.0124891</v>
      </c>
      <c r="T225" s="78">
        <f>MAX(0, IF(TAB_CORRECAO_U[[#This Row],[ID_T_EVE]]= 5, TAB_CORRECAO_U[[#This Row],[PU_AMORT]],TAB_CORRECAO_U[[#This Row],[V_NOML_PCPL]]) * (TAB_CORRECAO_U[[#This Row],[CORRECAO_U]] -1))</f>
        <v>687.29893894551049</v>
      </c>
      <c r="U225" s="78">
        <f>MAX(0, TAB_CORRECAO_U[[#This Row],[V_FUT_U_CORC-01]]/((((TAB_CORRECAO_U[[#This Row],[TX_CENARIO]]/100 +1)^(1/252) -1) * PC_IDXR/100 +1)^TAB_CORRECAO_U[[#This Row],[Q_DIAS_U_PARC_TIR]]))</f>
        <v>348.44654688322373</v>
      </c>
      <c r="V225" s="78">
        <f>TAB_CORRECAO_U[[#This Row],[V_FUT_U_CORC-02]]/TAB_CORRECAO_U[[#This Row],[VAR_DESCAP_U]]</f>
        <v>312.28744680754227</v>
      </c>
      <c r="W225" s="78"/>
      <c r="X225" s="101">
        <f>TAB_CORRECAO_U[[#This Row],[dt_eve_u]]- DT_CALCULO_C</f>
        <v>1625</v>
      </c>
      <c r="Y225" s="48" t="str">
        <f>"CORRECAO_CORC_C" &amp; TEXT(DT_CALCULO_C, "-AAAAMMDD") &amp; TEXT(TAB_CORRECAO_U[[#This Row],[DT_EVE]], "-AAAAMMDD")</f>
        <v>CORRECAO_CORC_C-20151228-20200609</v>
      </c>
      <c r="Z225" s="44">
        <f>IFERROR(VLOOKUP(TAB_CORRECAO_C[[#This Row],[Chave-CORC]],CORRECAO_CORC_C[],2, FALSE), 0)</f>
        <v>1</v>
      </c>
      <c r="AA22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5" s="44">
        <f>(TIR_C/100 +1)^(TAB_CORRECAO_C[[#This Row],[DIAS_CORRIDOS]]/360)</f>
        <v>1.1161484806707089</v>
      </c>
      <c r="AC225" s="78">
        <f>IF(TAB_CORRECAO_C[[#This Row],[DIAS_CORRIDOS]]&lt;0, 0, TAB_CORRECAO_C[[#This Row],[V_FUT_C_CORC]]/TAB_CORRECAO_C[[#This Row],[VAR_DESCAP_C]])</f>
        <v>0</v>
      </c>
      <c r="AD225" s="113">
        <f>TAB_CORRECAO_U[[#This Row],[V_FUT_U_CORC-02]]</f>
        <v>348.44654688322373</v>
      </c>
      <c r="AE225" s="126">
        <f>IF(TAB_CORRECAO_C[[#This Row],[DIAS_CORRIDOS]]&lt;0, 0, TAB_CORRECAO_C[[#This Row],[V_FUT_UTEIS]]/TAB_CORRECAO_C[[#This Row],[VAR_DESCAP_C]])</f>
        <v>312.18655305953331</v>
      </c>
      <c r="AF225" s="64"/>
    </row>
    <row r="226" spans="1:32">
      <c r="A226" s="82">
        <f t="shared" si="4"/>
        <v>55</v>
      </c>
      <c r="B226" s="24">
        <f>VLOOKUP($A226, CAD_ATUALIZACAO[#Data], MATCH(B$171, CAD_ATUALIZACAO[#Headers],0), FALSE)</f>
        <v>3</v>
      </c>
      <c r="C226" s="24" t="str">
        <f>VLOOKUP($A226, CAD_ATUALIZACAO[#Data], MATCH(C$171, CAD_ATUALIZACAO[#Headers],0), FALSE)</f>
        <v xml:space="preserve">ATUALIZACAO SOBRE PRINCIPAL                       </v>
      </c>
      <c r="D226" s="36">
        <f>VLOOKUP($A226, CAD_ATUALIZACAO[#Data], MATCH(D$171, CAD_ATUALIZACAO[#Headers],0), FALSE)</f>
        <v>44020</v>
      </c>
      <c r="E226" s="48">
        <f>VLOOKUP($A226, CAD_ATUALIZACAO[#Data], MATCH(E$171, CAD_ATUALIZACAO[#Headers],0), FALSE)</f>
        <v>0</v>
      </c>
      <c r="F226" s="36">
        <f>VLOOKUP($A226, CAD_ATUALIZACAO[#Data], MATCH(F$171, CAD_ATUALIZACAO[#Headers],0), FALSE)</f>
        <v>44026</v>
      </c>
      <c r="G226" s="47">
        <f>WORKDAY(WORKDAY(TAB_CORRECAO_U[[#This Row],[DT_EVE]], -1, TAB_FERIADOS[FER_DATA]), 1, TAB_FERIADOS[FER_DATA])</f>
        <v>44020</v>
      </c>
      <c r="H226" s="75">
        <f>WORKDAY(WORKDAY(TAB_CORRECAO_U[[#This Row],[DT_LQDC_EVE]], -1, TAB_FERIADOS[FER_DATA]), 1, TAB_FERIADOS[FER_DATA])</f>
        <v>44026</v>
      </c>
      <c r="I226" s="48">
        <f>PU_EMISSAO - SUMIF(TAB_AMORTIZACAO_U[dt_eve_u], "&lt;" &amp; TAB_CORRECAO_U[[#This Row],[dt_eve_u]], TAB_AMORTIZACAO_U[V_PU_AMTC])</f>
        <v>54286.165619000021</v>
      </c>
      <c r="J226" s="48">
        <f>IFERROR(VLOOKUP(TAB_CORRECAO_U[[#This Row],[DT_EVE]], TAB_AMORTIZACAO_U[[DT_EVE]:[V_PU_AMTC]], 2, FALSE), 0)</f>
        <v>732.04894300000001</v>
      </c>
      <c r="K226" s="48">
        <f>NETWORKDAYS(DT_CALCULO_U, TAB_CORRECAO_U[[#This Row],[dt_eve_u]], TAB_FERIADOS[FER_DATA]) -1</f>
        <v>1135</v>
      </c>
      <c r="L226" s="48">
        <f>NETWORKDAYS(DT_CALCULO_U, TAB_CORRECAO_U[[#This Row],[dt_lqdc_eve_u]], TAB_FERIADOS[FER_DATA]) -1</f>
        <v>1139</v>
      </c>
      <c r="M226" s="48">
        <f>NETWORKDAYS(IF(ISTEXT(G225), DT_B_CORC, G225), TAB_CORRECAO_U[[#This Row],[dt_eve_u]], TAB_FERIADOS[FER_DATA]) -1</f>
        <v>20</v>
      </c>
      <c r="N226" s="78">
        <f>(TX_EMISSAO/100 +1)^(TAB_CORRECAO_U[[#This Row],[dias_periodo_u]]/252)</f>
        <v>1.0019616526860928</v>
      </c>
      <c r="O226" s="78">
        <f>(TIR_U/100 +1)^(TAB_CORRECAO_U[[#This Row],[Q_DIAS_U_PARC_TIR]]/252)</f>
        <v>1.1180864638328003</v>
      </c>
      <c r="P226" s="116" t="str">
        <f>"TX_CENARIO" &amp; TEXT(DT_CALCULO_C, "-AAAAMMDD") &amp; TEXT(TAB_CORRECAO_U[[#This Row],[DT_EVE]], "-AAAAMMDD")</f>
        <v>TX_CENARIO-20151228-20200708</v>
      </c>
      <c r="Q226" s="44">
        <f>IFERROR(VLOOKUP(TAB_CORRECAO_U[[#This Row],[Chave-CENARIO]],CENARIO[],2,FALSE), 0)</f>
        <v>16.536100000000001</v>
      </c>
      <c r="R226" s="116" t="str">
        <f>"CORRECAO_CORC_U" &amp; TEXT(DT_CALCULO_C, "-AAAAMMDD") &amp; TEXT(TAB_CORRECAO_U[[#This Row],[DT_EVE]], "-AAAAMMDD")</f>
        <v>CORRECAO_CORC_U-20151228-20200708</v>
      </c>
      <c r="S226" s="44">
        <f>IFERROR(VLOOKUP(TAB_CORRECAO_U[[#This Row],[Chave-CORC]],CORRECAO_CORC_U[],2, FALSE), 0)</f>
        <v>1.01188985</v>
      </c>
      <c r="T226" s="78">
        <f>MAX(0, IF(TAB_CORRECAO_U[[#This Row],[ID_T_EVE]]= 5, TAB_CORRECAO_U[[#This Row],[PU_AMORT]],TAB_CORRECAO_U[[#This Row],[V_NOML_PCPL]]) * (TAB_CORRECAO_U[[#This Row],[CORRECAO_U]] -1))</f>
        <v>645.45436628506627</v>
      </c>
      <c r="U226" s="78">
        <f>MAX(0, TAB_CORRECAO_U[[#This Row],[V_FUT_U_CORC-01]]/((((TAB_CORRECAO_U[[#This Row],[TX_CENARIO]]/100 +1)^(1/252) -1) * PC_IDXR/100 +1)^TAB_CORRECAO_U[[#This Row],[Q_DIAS_U_PARC_TIR]]))</f>
        <v>323.20250876354146</v>
      </c>
      <c r="V226" s="78">
        <f>TAB_CORRECAO_U[[#This Row],[V_FUT_U_CORC-02]]/TAB_CORRECAO_U[[#This Row],[VAR_DESCAP_U]]</f>
        <v>289.06754461153503</v>
      </c>
      <c r="W226" s="78"/>
      <c r="X226" s="101">
        <f>TAB_CORRECAO_U[[#This Row],[dt_eve_u]]- DT_CALCULO_C</f>
        <v>1654</v>
      </c>
      <c r="Y226" s="48" t="str">
        <f>"CORRECAO_CORC_C" &amp; TEXT(DT_CALCULO_C, "-AAAAMMDD") &amp; TEXT(TAB_CORRECAO_U[[#This Row],[DT_EVE]], "-AAAAMMDD")</f>
        <v>CORRECAO_CORC_C-20151228-20200708</v>
      </c>
      <c r="Z226" s="44">
        <f>IFERROR(VLOOKUP(TAB_CORRECAO_C[[#This Row],[Chave-CORC]],CORRECAO_CORC_C[],2, FALSE), 0)</f>
        <v>1</v>
      </c>
      <c r="AA22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6" s="44">
        <f>(TIR_C/100 +1)^(TAB_CORRECAO_C[[#This Row],[DIAS_CORRIDOS]]/360)</f>
        <v>1.1183394009515251</v>
      </c>
      <c r="AC226" s="78">
        <f>IF(TAB_CORRECAO_C[[#This Row],[DIAS_CORRIDOS]]&lt;0, 0, TAB_CORRECAO_C[[#This Row],[V_FUT_C_CORC]]/TAB_CORRECAO_C[[#This Row],[VAR_DESCAP_C]])</f>
        <v>0</v>
      </c>
      <c r="AD226" s="113">
        <f>TAB_CORRECAO_U[[#This Row],[V_FUT_U_CORC-02]]</f>
        <v>323.20250876354146</v>
      </c>
      <c r="AE226" s="126">
        <f>IF(TAB_CORRECAO_C[[#This Row],[DIAS_CORRIDOS]]&lt;0, 0, TAB_CORRECAO_C[[#This Row],[V_FUT_UTEIS]]/TAB_CORRECAO_C[[#This Row],[VAR_DESCAP_C]])</f>
        <v>289.00216561139547</v>
      </c>
      <c r="AF226" s="64"/>
    </row>
    <row r="227" spans="1:32">
      <c r="A227" s="82">
        <f t="shared" si="4"/>
        <v>56</v>
      </c>
      <c r="B227" s="24">
        <f>VLOOKUP($A227, CAD_ATUALIZACAO[#Data], MATCH(B$171, CAD_ATUALIZACAO[#Headers],0), FALSE)</f>
        <v>3</v>
      </c>
      <c r="C227" s="24" t="str">
        <f>VLOOKUP($A227, CAD_ATUALIZACAO[#Data], MATCH(C$171, CAD_ATUALIZACAO[#Headers],0), FALSE)</f>
        <v xml:space="preserve">ATUALIZACAO SOBRE PRINCIPAL                       </v>
      </c>
      <c r="D227" s="36">
        <f>VLOOKUP($A227, CAD_ATUALIZACAO[#Data], MATCH(D$171, CAD_ATUALIZACAO[#Headers],0), FALSE)</f>
        <v>44053</v>
      </c>
      <c r="E227" s="48">
        <f>VLOOKUP($A227, CAD_ATUALIZACAO[#Data], MATCH(E$171, CAD_ATUALIZACAO[#Headers],0), FALSE)</f>
        <v>0</v>
      </c>
      <c r="F227" s="36">
        <f>VLOOKUP($A227, CAD_ATUALIZACAO[#Data], MATCH(F$171, CAD_ATUALIZACAO[#Headers],0), FALSE)</f>
        <v>44057</v>
      </c>
      <c r="G227" s="47">
        <f>WORKDAY(WORKDAY(TAB_CORRECAO_U[[#This Row],[DT_EVE]], -1, TAB_FERIADOS[FER_DATA]), 1, TAB_FERIADOS[FER_DATA])</f>
        <v>44053</v>
      </c>
      <c r="H227" s="75">
        <f>WORKDAY(WORKDAY(TAB_CORRECAO_U[[#This Row],[DT_LQDC_EVE]], -1, TAB_FERIADOS[FER_DATA]), 1, TAB_FERIADOS[FER_DATA])</f>
        <v>44057</v>
      </c>
      <c r="I227" s="48">
        <f>PU_EMISSAO - SUMIF(TAB_AMORTIZACAO_U[dt_eve_u], "&lt;" &amp; TAB_CORRECAO_U[[#This Row],[dt_eve_u]], TAB_AMORTIZACAO_U[V_PU_AMTC])</f>
        <v>53554.11667600002</v>
      </c>
      <c r="J227" s="48">
        <f>IFERROR(VLOOKUP(TAB_CORRECAO_U[[#This Row],[DT_EVE]], TAB_AMORTIZACAO_U[[DT_EVE]:[V_PU_AMTC]], 2, FALSE), 0)</f>
        <v>712.37685999999997</v>
      </c>
      <c r="K227" s="48">
        <f>NETWORKDAYS(DT_CALCULO_U, TAB_CORRECAO_U[[#This Row],[dt_eve_u]], TAB_FERIADOS[FER_DATA]) -1</f>
        <v>1158</v>
      </c>
      <c r="L227" s="48">
        <f>NETWORKDAYS(DT_CALCULO_U, TAB_CORRECAO_U[[#This Row],[dt_lqdc_eve_u]], TAB_FERIADOS[FER_DATA]) -1</f>
        <v>1162</v>
      </c>
      <c r="M227" s="48">
        <f>NETWORKDAYS(IF(ISTEXT(G226), DT_B_CORC, G226), TAB_CORRECAO_U[[#This Row],[dt_eve_u]], TAB_FERIADOS[FER_DATA]) -1</f>
        <v>23</v>
      </c>
      <c r="N227" s="78">
        <f>(TX_EMISSAO/100 +1)^(TAB_CORRECAO_U[[#This Row],[dias_periodo_u]]/252)</f>
        <v>1.0022562323017139</v>
      </c>
      <c r="O227" s="78">
        <f>(TIR_U/100 +1)^(TAB_CORRECAO_U[[#This Row],[Q_DIAS_U_PARC_TIR]]/252)</f>
        <v>1.1206093986304471</v>
      </c>
      <c r="P227" s="116" t="str">
        <f>"TX_CENARIO" &amp; TEXT(DT_CALCULO_C, "-AAAAMMDD") &amp; TEXT(TAB_CORRECAO_U[[#This Row],[DT_EVE]], "-AAAAMMDD")</f>
        <v>TX_CENARIO-20151228-20200810</v>
      </c>
      <c r="Q227" s="44">
        <f>IFERROR(VLOOKUP(TAB_CORRECAO_U[[#This Row],[Chave-CENARIO]],CENARIO[],2,FALSE), 0)</f>
        <v>16.5259</v>
      </c>
      <c r="R227" s="116" t="str">
        <f>"CORRECAO_CORC_U" &amp; TEXT(DT_CALCULO_C, "-AAAAMMDD") &amp; TEXT(TAB_CORRECAO_U[[#This Row],[DT_EVE]], "-AAAAMMDD")</f>
        <v>CORRECAO_CORC_U-20151228-20200810</v>
      </c>
      <c r="S227" s="44">
        <f>IFERROR(VLOOKUP(TAB_CORRECAO_U[[#This Row],[Chave-CORC]],CORRECAO_CORC_U[],2, FALSE), 0)</f>
        <v>1.01368196</v>
      </c>
      <c r="T227" s="78">
        <f>MAX(0, IF(TAB_CORRECAO_U[[#This Row],[ID_T_EVE]]= 5, TAB_CORRECAO_U[[#This Row],[PU_AMORT]],TAB_CORRECAO_U[[#This Row],[V_NOML_PCPL]]) * (TAB_CORRECAO_U[[#This Row],[CORRECAO_U]] -1))</f>
        <v>732.7252821963649</v>
      </c>
      <c r="U227" s="78">
        <f>MAX(0, TAB_CORRECAO_U[[#This Row],[V_FUT_U_CORC-01]]/((((TAB_CORRECAO_U[[#This Row],[TX_CENARIO]]/100 +1)^(1/252) -1) * PC_IDXR/100 +1)^TAB_CORRECAO_U[[#This Row],[Q_DIAS_U_PARC_TIR]]))</f>
        <v>361.9593554069852</v>
      </c>
      <c r="V227" s="78">
        <f>TAB_CORRECAO_U[[#This Row],[V_FUT_U_CORC-02]]/TAB_CORRECAO_U[[#This Row],[VAR_DESCAP_U]]</f>
        <v>323.00224846351801</v>
      </c>
      <c r="W227" s="78"/>
      <c r="X227" s="101">
        <f>TAB_CORRECAO_U[[#This Row],[dt_eve_u]]- DT_CALCULO_C</f>
        <v>1687</v>
      </c>
      <c r="Y227" s="48" t="str">
        <f>"CORRECAO_CORC_C" &amp; TEXT(DT_CALCULO_C, "-AAAAMMDD") &amp; TEXT(TAB_CORRECAO_U[[#This Row],[DT_EVE]], "-AAAAMMDD")</f>
        <v>CORRECAO_CORC_C-20151228-20200810</v>
      </c>
      <c r="Z227" s="44">
        <f>IFERROR(VLOOKUP(TAB_CORRECAO_C[[#This Row],[Chave-CORC]],CORRECAO_CORC_C[],2, FALSE), 0)</f>
        <v>1</v>
      </c>
      <c r="AA22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7" s="44">
        <f>(TIR_C/100 +1)^(TAB_CORRECAO_C[[#This Row],[DIAS_CORRIDOS]]/360)</f>
        <v>1.1208377489194057</v>
      </c>
      <c r="AC227" s="78">
        <f>IF(TAB_CORRECAO_C[[#This Row],[DIAS_CORRIDOS]]&lt;0, 0, TAB_CORRECAO_C[[#This Row],[V_FUT_C_CORC]]/TAB_CORRECAO_C[[#This Row],[VAR_DESCAP_C]])</f>
        <v>0</v>
      </c>
      <c r="AD227" s="113">
        <f>TAB_CORRECAO_U[[#This Row],[V_FUT_U_CORC-02]]</f>
        <v>361.9593554069852</v>
      </c>
      <c r="AE227" s="126">
        <f>IF(TAB_CORRECAO_C[[#This Row],[DIAS_CORRIDOS]]&lt;0, 0, TAB_CORRECAO_C[[#This Row],[V_FUT_UTEIS]]/TAB_CORRECAO_C[[#This Row],[VAR_DESCAP_C]])</f>
        <v>322.93644263493843</v>
      </c>
      <c r="AF227" s="64"/>
    </row>
    <row r="228" spans="1:32">
      <c r="A228" s="82">
        <f t="shared" si="4"/>
        <v>57</v>
      </c>
      <c r="B228" s="24">
        <f>VLOOKUP($A228, CAD_ATUALIZACAO[#Data], MATCH(B$171, CAD_ATUALIZACAO[#Headers],0), FALSE)</f>
        <v>3</v>
      </c>
      <c r="C228" s="24" t="str">
        <f>VLOOKUP($A228, CAD_ATUALIZACAO[#Data], MATCH(C$171, CAD_ATUALIZACAO[#Headers],0), FALSE)</f>
        <v xml:space="preserve">ATUALIZACAO SOBRE PRINCIPAL                       </v>
      </c>
      <c r="D228" s="36">
        <f>VLOOKUP($A228, CAD_ATUALIZACAO[#Data], MATCH(D$171, CAD_ATUALIZACAO[#Headers],0), FALSE)</f>
        <v>44083</v>
      </c>
      <c r="E228" s="48">
        <f>VLOOKUP($A228, CAD_ATUALIZACAO[#Data], MATCH(E$171, CAD_ATUALIZACAO[#Headers],0), FALSE)</f>
        <v>0</v>
      </c>
      <c r="F228" s="36">
        <f>VLOOKUP($A228, CAD_ATUALIZACAO[#Data], MATCH(F$171, CAD_ATUALIZACAO[#Headers],0), FALSE)</f>
        <v>44089</v>
      </c>
      <c r="G228" s="47">
        <f>WORKDAY(WORKDAY(TAB_CORRECAO_U[[#This Row],[DT_EVE]], -1, TAB_FERIADOS[FER_DATA]), 1, TAB_FERIADOS[FER_DATA])</f>
        <v>44083</v>
      </c>
      <c r="H228" s="75">
        <f>WORKDAY(WORKDAY(TAB_CORRECAO_U[[#This Row],[DT_LQDC_EVE]], -1, TAB_FERIADOS[FER_DATA]), 1, TAB_FERIADOS[FER_DATA])</f>
        <v>44089</v>
      </c>
      <c r="I228" s="48">
        <f>PU_EMISSAO - SUMIF(TAB_AMORTIZACAO_U[dt_eve_u], "&lt;" &amp; TAB_CORRECAO_U[[#This Row],[dt_eve_u]], TAB_AMORTIZACAO_U[V_PU_AMTC])</f>
        <v>52841.739816000023</v>
      </c>
      <c r="J228" s="48">
        <f>IFERROR(VLOOKUP(TAB_CORRECAO_U[[#This Row],[DT_EVE]], TAB_AMORTIZACAO_U[[DT_EVE]:[V_PU_AMTC]], 2, FALSE), 0)</f>
        <v>714.68453099999999</v>
      </c>
      <c r="K228" s="48">
        <f>NETWORKDAYS(DT_CALCULO_U, TAB_CORRECAO_U[[#This Row],[dt_eve_u]], TAB_FERIADOS[FER_DATA]) -1</f>
        <v>1179</v>
      </c>
      <c r="L228" s="48">
        <f>NETWORKDAYS(DT_CALCULO_U, TAB_CORRECAO_U[[#This Row],[dt_lqdc_eve_u]], TAB_FERIADOS[FER_DATA]) -1</f>
        <v>1183</v>
      </c>
      <c r="M228" s="48">
        <f>NETWORKDAYS(IF(ISTEXT(G227), DT_B_CORC, G227), TAB_CORRECAO_U[[#This Row],[dt_eve_u]], TAB_FERIADOS[FER_DATA]) -1</f>
        <v>21</v>
      </c>
      <c r="N228" s="78">
        <f>(TX_EMISSAO/100 +1)^(TAB_CORRECAO_U[[#This Row],[dias_periodo_u]]/252)</f>
        <v>1.0020598362698427</v>
      </c>
      <c r="O228" s="78">
        <f>(TIR_U/100 +1)^(TAB_CORRECAO_U[[#This Row],[Q_DIAS_U_PARC_TIR]]/252)</f>
        <v>1.1229179193751944</v>
      </c>
      <c r="P228" s="116" t="str">
        <f>"TX_CENARIO" &amp; TEXT(DT_CALCULO_C, "-AAAAMMDD") &amp; TEXT(TAB_CORRECAO_U[[#This Row],[DT_EVE]], "-AAAAMMDD")</f>
        <v>TX_CENARIO-20151228-20200909</v>
      </c>
      <c r="Q228" s="44">
        <f>IFERROR(VLOOKUP(TAB_CORRECAO_U[[#This Row],[Chave-CENARIO]],CENARIO[],2,FALSE), 0)</f>
        <v>16.516999999999999</v>
      </c>
      <c r="R228" s="116" t="str">
        <f>"CORRECAO_CORC_U" &amp; TEXT(DT_CALCULO_C, "-AAAAMMDD") &amp; TEXT(TAB_CORRECAO_U[[#This Row],[DT_EVE]], "-AAAAMMDD")</f>
        <v>CORRECAO_CORC_U-20151228-20200909</v>
      </c>
      <c r="S228" s="44">
        <f>IFERROR(VLOOKUP(TAB_CORRECAO_U[[#This Row],[Chave-CORC]],CORRECAO_CORC_U[],2, FALSE), 0)</f>
        <v>1.01248483</v>
      </c>
      <c r="T228" s="78">
        <f>MAX(0, IF(TAB_CORRECAO_U[[#This Row],[ID_T_EVE]]= 5, TAB_CORRECAO_U[[#This Row],[PU_AMORT]],TAB_CORRECAO_U[[#This Row],[V_NOML_PCPL]]) * (TAB_CORRECAO_U[[#This Row],[CORRECAO_U]] -1))</f>
        <v>659.7201385069917</v>
      </c>
      <c r="U228" s="78">
        <f>MAX(0, TAB_CORRECAO_U[[#This Row],[V_FUT_U_CORC-01]]/((((TAB_CORRECAO_U[[#This Row],[TX_CENARIO]]/100 +1)^(1/252) -1) * PC_IDXR/100 +1)^TAB_CORRECAO_U[[#This Row],[Q_DIAS_U_PARC_TIR]]))</f>
        <v>321.88362841214609</v>
      </c>
      <c r="V228" s="78">
        <f>TAB_CORRECAO_U[[#This Row],[V_FUT_U_CORC-02]]/TAB_CORRECAO_U[[#This Row],[VAR_DESCAP_U]]</f>
        <v>286.6492936467219</v>
      </c>
      <c r="W228" s="78"/>
      <c r="X228" s="101">
        <f>TAB_CORRECAO_U[[#This Row],[dt_eve_u]]- DT_CALCULO_C</f>
        <v>1717</v>
      </c>
      <c r="Y228" s="48" t="str">
        <f>"CORRECAO_CORC_C" &amp; TEXT(DT_CALCULO_C, "-AAAAMMDD") &amp; TEXT(TAB_CORRECAO_U[[#This Row],[DT_EVE]], "-AAAAMMDD")</f>
        <v>CORRECAO_CORC_C-20151228-20200909</v>
      </c>
      <c r="Z228" s="44">
        <f>IFERROR(VLOOKUP(TAB_CORRECAO_C[[#This Row],[Chave-CORC]],CORRECAO_CORC_C[],2, FALSE), 0)</f>
        <v>1</v>
      </c>
      <c r="AA22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8" s="44">
        <f>(TIR_C/100 +1)^(TAB_CORRECAO_C[[#This Row],[DIAS_CORRIDOS]]/360)</f>
        <v>1.1231138172589226</v>
      </c>
      <c r="AC228" s="78">
        <f>IF(TAB_CORRECAO_C[[#This Row],[DIAS_CORRIDOS]]&lt;0, 0, TAB_CORRECAO_C[[#This Row],[V_FUT_C_CORC]]/TAB_CORRECAO_C[[#This Row],[VAR_DESCAP_C]])</f>
        <v>0</v>
      </c>
      <c r="AD228" s="113">
        <f>TAB_CORRECAO_U[[#This Row],[V_FUT_U_CORC-02]]</f>
        <v>321.88362841214609</v>
      </c>
      <c r="AE228" s="126">
        <f>IF(TAB_CORRECAO_C[[#This Row],[DIAS_CORRIDOS]]&lt;0, 0, TAB_CORRECAO_C[[#This Row],[V_FUT_UTEIS]]/TAB_CORRECAO_C[[#This Row],[VAR_DESCAP_C]])</f>
        <v>286.59929516114136</v>
      </c>
      <c r="AF228" s="64"/>
    </row>
    <row r="229" spans="1:32">
      <c r="A229" s="82">
        <f t="shared" si="4"/>
        <v>58</v>
      </c>
      <c r="B229" s="24">
        <f>VLOOKUP($A229, CAD_ATUALIZACAO[#Data], MATCH(B$171, CAD_ATUALIZACAO[#Headers],0), FALSE)</f>
        <v>3</v>
      </c>
      <c r="C229" s="24" t="str">
        <f>VLOOKUP($A229, CAD_ATUALIZACAO[#Data], MATCH(C$171, CAD_ATUALIZACAO[#Headers],0), FALSE)</f>
        <v xml:space="preserve">ATUALIZACAO SOBRE PRINCIPAL                       </v>
      </c>
      <c r="D229" s="36">
        <f>VLOOKUP($A229, CAD_ATUALIZACAO[#Data], MATCH(D$171, CAD_ATUALIZACAO[#Headers],0), FALSE)</f>
        <v>44113</v>
      </c>
      <c r="E229" s="48">
        <f>VLOOKUP($A229, CAD_ATUALIZACAO[#Data], MATCH(E$171, CAD_ATUALIZACAO[#Headers],0), FALSE)</f>
        <v>0</v>
      </c>
      <c r="F229" s="36">
        <f>VLOOKUP($A229, CAD_ATUALIZACAO[#Data], MATCH(F$171, CAD_ATUALIZACAO[#Headers],0), FALSE)</f>
        <v>44119</v>
      </c>
      <c r="G229" s="47">
        <f>WORKDAY(WORKDAY(TAB_CORRECAO_U[[#This Row],[DT_EVE]], -1, TAB_FERIADOS[FER_DATA]), 1, TAB_FERIADOS[FER_DATA])</f>
        <v>44113</v>
      </c>
      <c r="H229" s="75">
        <f>WORKDAY(WORKDAY(TAB_CORRECAO_U[[#This Row],[DT_LQDC_EVE]], -1, TAB_FERIADOS[FER_DATA]), 1, TAB_FERIADOS[FER_DATA])</f>
        <v>44119</v>
      </c>
      <c r="I229" s="48">
        <f>PU_EMISSAO - SUMIF(TAB_AMORTIZACAO_U[dt_eve_u], "&lt;" &amp; TAB_CORRECAO_U[[#This Row],[dt_eve_u]], TAB_AMORTIZACAO_U[V_PU_AMTC])</f>
        <v>52127.055285000024</v>
      </c>
      <c r="J229" s="48">
        <f>IFERROR(VLOOKUP(TAB_CORRECAO_U[[#This Row],[DT_EVE]], TAB_AMORTIZACAO_U[[DT_EVE]:[V_PU_AMTC]], 2, FALSE), 0)</f>
        <v>706.63436100000001</v>
      </c>
      <c r="K229" s="48">
        <f>NETWORKDAYS(DT_CALCULO_U, TAB_CORRECAO_U[[#This Row],[dt_eve_u]], TAB_FERIADOS[FER_DATA]) -1</f>
        <v>1201</v>
      </c>
      <c r="L229" s="48">
        <f>NETWORKDAYS(DT_CALCULO_U, TAB_CORRECAO_U[[#This Row],[dt_lqdc_eve_u]], TAB_FERIADOS[FER_DATA]) -1</f>
        <v>1204</v>
      </c>
      <c r="M229" s="48">
        <f>NETWORKDAYS(IF(ISTEXT(G228), DT_B_CORC, G228), TAB_CORRECAO_U[[#This Row],[dt_eve_u]], TAB_FERIADOS[FER_DATA]) -1</f>
        <v>22</v>
      </c>
      <c r="N229" s="78">
        <f>(TX_EMISSAO/100 +1)^(TAB_CORRECAO_U[[#This Row],[dias_periodo_u]]/252)</f>
        <v>1.0021580294747356</v>
      </c>
      <c r="O229" s="78">
        <f>(TIR_U/100 +1)^(TAB_CORRECAO_U[[#This Row],[Q_DIAS_U_PARC_TIR]]/252)</f>
        <v>1.12523119580737</v>
      </c>
      <c r="P229" s="116" t="str">
        <f>"TX_CENARIO" &amp; TEXT(DT_CALCULO_C, "-AAAAMMDD") &amp; TEXT(TAB_CORRECAO_U[[#This Row],[DT_EVE]], "-AAAAMMDD")</f>
        <v>TX_CENARIO-20151228-20201009</v>
      </c>
      <c r="Q229" s="44">
        <f>IFERROR(VLOOKUP(TAB_CORRECAO_U[[#This Row],[Chave-CENARIO]],CENARIO[],2,FALSE), 0)</f>
        <v>16.5075</v>
      </c>
      <c r="R229" s="116" t="str">
        <f>"CORRECAO_CORC_U" &amp; TEXT(DT_CALCULO_C, "-AAAAMMDD") &amp; TEXT(TAB_CORRECAO_U[[#This Row],[DT_EVE]], "-AAAAMMDD")</f>
        <v>CORRECAO_CORC_U-20151228-20201009</v>
      </c>
      <c r="S229" s="44">
        <f>IFERROR(VLOOKUP(TAB_CORRECAO_U[[#This Row],[Chave-CORC]],CORRECAO_CORC_U[],2, FALSE), 0)</f>
        <v>1.01308529</v>
      </c>
      <c r="T229" s="78">
        <f>MAX(0, IF(TAB_CORRECAO_U[[#This Row],[ID_T_EVE]]= 5, TAB_CORRECAO_U[[#This Row],[PU_AMORT]],TAB_CORRECAO_U[[#This Row],[V_NOML_PCPL]]) * (TAB_CORRECAO_U[[#This Row],[CORRECAO_U]] -1))</f>
        <v>682.09763525025937</v>
      </c>
      <c r="U229" s="78">
        <f>MAX(0, TAB_CORRECAO_U[[#This Row],[V_FUT_U_CORC-01]]/((((TAB_CORRECAO_U[[#This Row],[TX_CENARIO]]/100 +1)^(1/252) -1) * PC_IDXR/100 +1)^TAB_CORRECAO_U[[#This Row],[Q_DIAS_U_PARC_TIR]]))</f>
        <v>328.71720428176303</v>
      </c>
      <c r="V229" s="78">
        <f>TAB_CORRECAO_U[[#This Row],[V_FUT_U_CORC-02]]/TAB_CORRECAO_U[[#This Row],[VAR_DESCAP_U]]</f>
        <v>292.13303497678413</v>
      </c>
      <c r="W229" s="78"/>
      <c r="X229" s="101">
        <f>TAB_CORRECAO_U[[#This Row],[dt_eve_u]]- DT_CALCULO_C</f>
        <v>1747</v>
      </c>
      <c r="Y229" s="48" t="str">
        <f>"CORRECAO_CORC_C" &amp; TEXT(DT_CALCULO_C, "-AAAAMMDD") &amp; TEXT(TAB_CORRECAO_U[[#This Row],[DT_EVE]], "-AAAAMMDD")</f>
        <v>CORRECAO_CORC_C-20151228-20201009</v>
      </c>
      <c r="Z229" s="44">
        <f>IFERROR(VLOOKUP(TAB_CORRECAO_C[[#This Row],[Chave-CORC]],CORRECAO_CORC_C[],2, FALSE), 0)</f>
        <v>1</v>
      </c>
      <c r="AA22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29" s="44">
        <f>(TIR_C/100 +1)^(TAB_CORRECAO_C[[#This Row],[DIAS_CORRIDOS]]/360)</f>
        <v>1.1253945075761442</v>
      </c>
      <c r="AC229" s="78">
        <f>IF(TAB_CORRECAO_C[[#This Row],[DIAS_CORRIDOS]]&lt;0, 0, TAB_CORRECAO_C[[#This Row],[V_FUT_C_CORC]]/TAB_CORRECAO_C[[#This Row],[VAR_DESCAP_C]])</f>
        <v>0</v>
      </c>
      <c r="AD229" s="113">
        <f>TAB_CORRECAO_U[[#This Row],[V_FUT_U_CORC-02]]</f>
        <v>328.71720428176303</v>
      </c>
      <c r="AE229" s="126">
        <f>IF(TAB_CORRECAO_C[[#This Row],[DIAS_CORRIDOS]]&lt;0, 0, TAB_CORRECAO_C[[#This Row],[V_FUT_UTEIS]]/TAB_CORRECAO_C[[#This Row],[VAR_DESCAP_C]])</f>
        <v>292.09064205382396</v>
      </c>
      <c r="AF229" s="64"/>
    </row>
    <row r="230" spans="1:32">
      <c r="A230" s="82">
        <f t="shared" si="4"/>
        <v>59</v>
      </c>
      <c r="B230" s="24">
        <f>VLOOKUP($A230, CAD_ATUALIZACAO[#Data], MATCH(B$171, CAD_ATUALIZACAO[#Headers],0), FALSE)</f>
        <v>3</v>
      </c>
      <c r="C230" s="24" t="str">
        <f>VLOOKUP($A230, CAD_ATUALIZACAO[#Data], MATCH(C$171, CAD_ATUALIZACAO[#Headers],0), FALSE)</f>
        <v xml:space="preserve">ATUALIZACAO SOBRE PRINCIPAL                       </v>
      </c>
      <c r="D230" s="36">
        <f>VLOOKUP($A230, CAD_ATUALIZACAO[#Data], MATCH(D$171, CAD_ATUALIZACAO[#Headers],0), FALSE)</f>
        <v>44145</v>
      </c>
      <c r="E230" s="48">
        <f>VLOOKUP($A230, CAD_ATUALIZACAO[#Data], MATCH(E$171, CAD_ATUALIZACAO[#Headers],0), FALSE)</f>
        <v>0</v>
      </c>
      <c r="F230" s="36">
        <f>VLOOKUP($A230, CAD_ATUALIZACAO[#Data], MATCH(F$171, CAD_ATUALIZACAO[#Headers],0), FALSE)</f>
        <v>44151</v>
      </c>
      <c r="G230" s="47">
        <f>WORKDAY(WORKDAY(TAB_CORRECAO_U[[#This Row],[DT_EVE]], -1, TAB_FERIADOS[FER_DATA]), 1, TAB_FERIADOS[FER_DATA])</f>
        <v>44145</v>
      </c>
      <c r="H230" s="75">
        <f>WORKDAY(WORKDAY(TAB_CORRECAO_U[[#This Row],[DT_LQDC_EVE]], -1, TAB_FERIADOS[FER_DATA]), 1, TAB_FERIADOS[FER_DATA])</f>
        <v>44151</v>
      </c>
      <c r="I230" s="48">
        <f>PU_EMISSAO - SUMIF(TAB_AMORTIZACAO_U[dt_eve_u], "&lt;" &amp; TAB_CORRECAO_U[[#This Row],[dt_eve_u]], TAB_AMORTIZACAO_U[V_PU_AMTC])</f>
        <v>51420.420924000027</v>
      </c>
      <c r="J230" s="48">
        <f>IFERROR(VLOOKUP(TAB_CORRECAO_U[[#This Row],[DT_EVE]], TAB_AMORTIZACAO_U[[DT_EVE]:[V_PU_AMTC]], 2, FALSE), 0)</f>
        <v>697.82653200000004</v>
      </c>
      <c r="K230" s="48">
        <f>NETWORKDAYS(DT_CALCULO_U, TAB_CORRECAO_U[[#This Row],[dt_eve_u]], TAB_FERIADOS[FER_DATA]) -1</f>
        <v>1221</v>
      </c>
      <c r="L230" s="48">
        <f>NETWORKDAYS(DT_CALCULO_U, TAB_CORRECAO_U[[#This Row],[dt_lqdc_eve_u]], TAB_FERIADOS[FER_DATA]) -1</f>
        <v>1225</v>
      </c>
      <c r="M230" s="48">
        <f>NETWORKDAYS(IF(ISTEXT(G229), DT_B_CORC, G229), TAB_CORRECAO_U[[#This Row],[dt_eve_u]], TAB_FERIADOS[FER_DATA]) -1</f>
        <v>20</v>
      </c>
      <c r="N230" s="78">
        <f>(TX_EMISSAO/100 +1)^(TAB_CORRECAO_U[[#This Row],[dias_periodo_u]]/252)</f>
        <v>1.0019616526860928</v>
      </c>
      <c r="O230" s="78">
        <f>(TIR_U/100 +1)^(TAB_CORRECAO_U[[#This Row],[Q_DIAS_U_PARC_TIR]]/252)</f>
        <v>1.1275492377239671</v>
      </c>
      <c r="P230" s="116" t="str">
        <f>"TX_CENARIO" &amp; TEXT(DT_CALCULO_C, "-AAAAMMDD") &amp; TEXT(TAB_CORRECAO_U[[#This Row],[DT_EVE]], "-AAAAMMDD")</f>
        <v>TX_CENARIO-20151228-20201110</v>
      </c>
      <c r="Q230" s="44">
        <f>IFERROR(VLOOKUP(TAB_CORRECAO_U[[#This Row],[Chave-CENARIO]],CENARIO[],2,FALSE), 0)</f>
        <v>16.497299999999999</v>
      </c>
      <c r="R230" s="116" t="str">
        <f>"CORRECAO_CORC_U" &amp; TEXT(DT_CALCULO_C, "-AAAAMMDD") &amp; TEXT(TAB_CORRECAO_U[[#This Row],[DT_EVE]], "-AAAAMMDD")</f>
        <v>CORRECAO_CORC_U-20151228-20201110</v>
      </c>
      <c r="S230" s="44">
        <f>IFERROR(VLOOKUP(TAB_CORRECAO_U[[#This Row],[Chave-CORC]],CORRECAO_CORC_U[],2, FALSE), 0)</f>
        <v>1.01189368</v>
      </c>
      <c r="T230" s="78">
        <f>MAX(0, IF(TAB_CORRECAO_U[[#This Row],[ID_T_EVE]]= 5, TAB_CORRECAO_U[[#This Row],[PU_AMORT]],TAB_CORRECAO_U[[#This Row],[V_NOML_PCPL]]) * (TAB_CORRECAO_U[[#This Row],[CORRECAO_U]] -1))</f>
        <v>611.57803193536154</v>
      </c>
      <c r="U230" s="78">
        <f>MAX(0, TAB_CORRECAO_U[[#This Row],[V_FUT_U_CORC-01]]/((((TAB_CORRECAO_U[[#This Row],[TX_CENARIO]]/100 +1)^(1/252) -1) * PC_IDXR/100 +1)^TAB_CORRECAO_U[[#This Row],[Q_DIAS_U_PARC_TIR]]))</f>
        <v>291.12742084415538</v>
      </c>
      <c r="V230" s="78">
        <f>TAB_CORRECAO_U[[#This Row],[V_FUT_U_CORC-02]]/TAB_CORRECAO_U[[#This Row],[VAR_DESCAP_U]]</f>
        <v>258.19486289735374</v>
      </c>
      <c r="W230" s="78"/>
      <c r="X230" s="101">
        <f>TAB_CORRECAO_U[[#This Row],[dt_eve_u]]- DT_CALCULO_C</f>
        <v>1779</v>
      </c>
      <c r="Y230" s="48" t="str">
        <f>"CORRECAO_CORC_C" &amp; TEXT(DT_CALCULO_C, "-AAAAMMDD") &amp; TEXT(TAB_CORRECAO_U[[#This Row],[DT_EVE]], "-AAAAMMDD")</f>
        <v>CORRECAO_CORC_C-20151228-20201110</v>
      </c>
      <c r="Z230" s="44">
        <f>IFERROR(VLOOKUP(TAB_CORRECAO_C[[#This Row],[Chave-CORC]],CORRECAO_CORC_C[],2, FALSE), 0)</f>
        <v>1</v>
      </c>
      <c r="AA23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0" s="44">
        <f>(TIR_C/100 +1)^(TAB_CORRECAO_C[[#This Row],[DIAS_CORRIDOS]]/360)</f>
        <v>1.1278323489365181</v>
      </c>
      <c r="AC230" s="78">
        <f>IF(TAB_CORRECAO_C[[#This Row],[DIAS_CORRIDOS]]&lt;0, 0, TAB_CORRECAO_C[[#This Row],[V_FUT_C_CORC]]/TAB_CORRECAO_C[[#This Row],[VAR_DESCAP_C]])</f>
        <v>0</v>
      </c>
      <c r="AD230" s="113">
        <f>TAB_CORRECAO_U[[#This Row],[V_FUT_U_CORC-02]]</f>
        <v>291.12742084415538</v>
      </c>
      <c r="AE230" s="126">
        <f>IF(TAB_CORRECAO_C[[#This Row],[DIAS_CORRIDOS]]&lt;0, 0, TAB_CORRECAO_C[[#This Row],[V_FUT_UTEIS]]/TAB_CORRECAO_C[[#This Row],[VAR_DESCAP_C]])</f>
        <v>258.13005019644277</v>
      </c>
      <c r="AF230" s="64"/>
    </row>
    <row r="231" spans="1:32">
      <c r="A231" s="82">
        <f t="shared" si="4"/>
        <v>60</v>
      </c>
      <c r="B231" s="24">
        <f>VLOOKUP($A231, CAD_ATUALIZACAO[#Data], MATCH(B$171, CAD_ATUALIZACAO[#Headers],0), FALSE)</f>
        <v>3</v>
      </c>
      <c r="C231" s="24" t="str">
        <f>VLOOKUP($A231, CAD_ATUALIZACAO[#Data], MATCH(C$171, CAD_ATUALIZACAO[#Headers],0), FALSE)</f>
        <v xml:space="preserve">ATUALIZACAO SOBRE PRINCIPAL                       </v>
      </c>
      <c r="D231" s="36">
        <f>VLOOKUP($A231, CAD_ATUALIZACAO[#Data], MATCH(D$171, CAD_ATUALIZACAO[#Headers],0), FALSE)</f>
        <v>44173</v>
      </c>
      <c r="E231" s="48">
        <f>VLOOKUP($A231, CAD_ATUALIZACAO[#Data], MATCH(E$171, CAD_ATUALIZACAO[#Headers],0), FALSE)</f>
        <v>0</v>
      </c>
      <c r="F231" s="36">
        <f>VLOOKUP($A231, CAD_ATUALIZACAO[#Data], MATCH(F$171, CAD_ATUALIZACAO[#Headers],0), FALSE)</f>
        <v>44179</v>
      </c>
      <c r="G231" s="47">
        <f>WORKDAY(WORKDAY(TAB_CORRECAO_U[[#This Row],[DT_EVE]], -1, TAB_FERIADOS[FER_DATA]), 1, TAB_FERIADOS[FER_DATA])</f>
        <v>44173</v>
      </c>
      <c r="H231" s="75">
        <f>WORKDAY(WORKDAY(TAB_CORRECAO_U[[#This Row],[DT_LQDC_EVE]], -1, TAB_FERIADOS[FER_DATA]), 1, TAB_FERIADOS[FER_DATA])</f>
        <v>44179</v>
      </c>
      <c r="I231" s="48">
        <f>PU_EMISSAO - SUMIF(TAB_AMORTIZACAO_U[dt_eve_u], "&lt;" &amp; TAB_CORRECAO_U[[#This Row],[dt_eve_u]], TAB_AMORTIZACAO_U[V_PU_AMTC])</f>
        <v>50722.594392000028</v>
      </c>
      <c r="J231" s="48">
        <f>IFERROR(VLOOKUP(TAB_CORRECAO_U[[#This Row],[DT_EVE]], TAB_AMORTIZACAO_U[[DT_EVE]:[V_PU_AMTC]], 2, FALSE), 0)</f>
        <v>697.841453</v>
      </c>
      <c r="K231" s="48">
        <f>NETWORKDAYS(DT_CALCULO_U, TAB_CORRECAO_U[[#This Row],[dt_eve_u]], TAB_FERIADOS[FER_DATA]) -1</f>
        <v>1241</v>
      </c>
      <c r="L231" s="48">
        <f>NETWORKDAYS(DT_CALCULO_U, TAB_CORRECAO_U[[#This Row],[dt_lqdc_eve_u]], TAB_FERIADOS[FER_DATA]) -1</f>
        <v>1245</v>
      </c>
      <c r="M231" s="48">
        <f>NETWORKDAYS(IF(ISTEXT(G230), DT_B_CORC, G230), TAB_CORRECAO_U[[#This Row],[dt_eve_u]], TAB_FERIADOS[FER_DATA]) -1</f>
        <v>20</v>
      </c>
      <c r="N231" s="78">
        <f>(TX_EMISSAO/100 +1)^(TAB_CORRECAO_U[[#This Row],[dias_periodo_u]]/252)</f>
        <v>1.0019616526860928</v>
      </c>
      <c r="O231" s="78">
        <f>(TIR_U/100 +1)^(TAB_CORRECAO_U[[#This Row],[Q_DIAS_U_PARC_TIR]]/252)</f>
        <v>1.1297613361698611</v>
      </c>
      <c r="P231" s="116" t="str">
        <f>"TX_CENARIO" &amp; TEXT(DT_CALCULO_C, "-AAAAMMDD") &amp; TEXT(TAB_CORRECAO_U[[#This Row],[DT_EVE]], "-AAAAMMDD")</f>
        <v>TX_CENARIO-20151228-20201208</v>
      </c>
      <c r="Q231" s="44">
        <f>IFERROR(VLOOKUP(TAB_CORRECAO_U[[#This Row],[Chave-CENARIO]],CENARIO[],2,FALSE), 0)</f>
        <v>16.4878</v>
      </c>
      <c r="R231" s="116" t="str">
        <f>"CORRECAO_CORC_U" &amp; TEXT(DT_CALCULO_C, "-AAAAMMDD") &amp; TEXT(TAB_CORRECAO_U[[#This Row],[DT_EVE]], "-AAAAMMDD")</f>
        <v>CORRECAO_CORC_U-20151228-20201208</v>
      </c>
      <c r="S231" s="44">
        <f>IFERROR(VLOOKUP(TAB_CORRECAO_U[[#This Row],[Chave-CORC]],CORRECAO_CORC_U[],2, FALSE), 0)</f>
        <v>1.01189368</v>
      </c>
      <c r="T231" s="78">
        <f>MAX(0, IF(TAB_CORRECAO_U[[#This Row],[ID_T_EVE]]= 5, TAB_CORRECAO_U[[#This Row],[PU_AMORT]],TAB_CORRECAO_U[[#This Row],[V_NOML_PCPL]]) * (TAB_CORRECAO_U[[#This Row],[CORRECAO_U]] -1))</f>
        <v>603.27830646824384</v>
      </c>
      <c r="U231" s="78">
        <f>MAX(0, TAB_CORRECAO_U[[#This Row],[V_FUT_U_CORC-01]]/((((TAB_CORRECAO_U[[#This Row],[TX_CENARIO]]/100 +1)^(1/252) -1) * PC_IDXR/100 +1)^TAB_CORRECAO_U[[#This Row],[Q_DIAS_U_PARC_TIR]]))</f>
        <v>283.83160760406366</v>
      </c>
      <c r="V231" s="78">
        <f>TAB_CORRECAO_U[[#This Row],[V_FUT_U_CORC-02]]/TAB_CORRECAO_U[[#This Row],[VAR_DESCAP_U]]</f>
        <v>251.23147563742543</v>
      </c>
      <c r="W231" s="78"/>
      <c r="X231" s="101">
        <f>TAB_CORRECAO_U[[#This Row],[dt_eve_u]]- DT_CALCULO_C</f>
        <v>1807</v>
      </c>
      <c r="Y231" s="48" t="str">
        <f>"CORRECAO_CORC_C" &amp; TEXT(DT_CALCULO_C, "-AAAAMMDD") &amp; TEXT(TAB_CORRECAO_U[[#This Row],[DT_EVE]], "-AAAAMMDD")</f>
        <v>CORRECAO_CORC_C-20151228-20201208</v>
      </c>
      <c r="Z231" s="44">
        <f>IFERROR(VLOOKUP(TAB_CORRECAO_C[[#This Row],[Chave-CORC]],CORRECAO_CORC_C[],2, FALSE), 0)</f>
        <v>1</v>
      </c>
      <c r="AA23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1" s="44">
        <f>(TIR_C/100 +1)^(TAB_CORRECAO_C[[#This Row],[DIAS_CORRIDOS]]/360)</f>
        <v>1.1299697917058833</v>
      </c>
      <c r="AC231" s="78">
        <f>IF(TAB_CORRECAO_C[[#This Row],[DIAS_CORRIDOS]]&lt;0, 0, TAB_CORRECAO_C[[#This Row],[V_FUT_C_CORC]]/TAB_CORRECAO_C[[#This Row],[VAR_DESCAP_C]])</f>
        <v>0</v>
      </c>
      <c r="AD231" s="113">
        <f>TAB_CORRECAO_U[[#This Row],[V_FUT_U_CORC-02]]</f>
        <v>283.83160760406366</v>
      </c>
      <c r="AE231" s="126">
        <f>IF(TAB_CORRECAO_C[[#This Row],[DIAS_CORRIDOS]]&lt;0, 0, TAB_CORRECAO_C[[#This Row],[V_FUT_UTEIS]]/TAB_CORRECAO_C[[#This Row],[VAR_DESCAP_C]])</f>
        <v>251.18512874186766</v>
      </c>
      <c r="AF231" s="64"/>
    </row>
    <row r="232" spans="1:32">
      <c r="A232" s="82">
        <f t="shared" si="4"/>
        <v>61</v>
      </c>
      <c r="B232" s="24">
        <f>VLOOKUP($A232, CAD_ATUALIZACAO[#Data], MATCH(B$171, CAD_ATUALIZACAO[#Headers],0), FALSE)</f>
        <v>3</v>
      </c>
      <c r="C232" s="24" t="str">
        <f>VLOOKUP($A232, CAD_ATUALIZACAO[#Data], MATCH(C$171, CAD_ATUALIZACAO[#Headers],0), FALSE)</f>
        <v xml:space="preserve">ATUALIZACAO SOBRE PRINCIPAL                       </v>
      </c>
      <c r="D232" s="36">
        <f>VLOOKUP($A232, CAD_ATUALIZACAO[#Data], MATCH(D$171, CAD_ATUALIZACAO[#Headers],0), FALSE)</f>
        <v>44207</v>
      </c>
      <c r="E232" s="48">
        <f>VLOOKUP($A232, CAD_ATUALIZACAO[#Data], MATCH(E$171, CAD_ATUALIZACAO[#Headers],0), FALSE)</f>
        <v>0</v>
      </c>
      <c r="F232" s="36">
        <f>VLOOKUP($A232, CAD_ATUALIZACAO[#Data], MATCH(F$171, CAD_ATUALIZACAO[#Headers],0), FALSE)</f>
        <v>44211</v>
      </c>
      <c r="G232" s="47">
        <f>WORKDAY(WORKDAY(TAB_CORRECAO_U[[#This Row],[DT_EVE]], -1, TAB_FERIADOS[FER_DATA]), 1, TAB_FERIADOS[FER_DATA])</f>
        <v>44207</v>
      </c>
      <c r="H232" s="75">
        <f>WORKDAY(WORKDAY(TAB_CORRECAO_U[[#This Row],[DT_LQDC_EVE]], -1, TAB_FERIADOS[FER_DATA]), 1, TAB_FERIADOS[FER_DATA])</f>
        <v>44211</v>
      </c>
      <c r="I232" s="48">
        <f>PU_EMISSAO - SUMIF(TAB_AMORTIZACAO_U[dt_eve_u], "&lt;" &amp; TAB_CORRECAO_U[[#This Row],[dt_eve_u]], TAB_AMORTIZACAO_U[V_PU_AMTC])</f>
        <v>50024.752939000027</v>
      </c>
      <c r="J232" s="48">
        <f>IFERROR(VLOOKUP(TAB_CORRECAO_U[[#This Row],[DT_EVE]], TAB_AMORTIZACAO_U[[DT_EVE]:[V_PU_AMTC]], 2, FALSE), 0)</f>
        <v>729.61102100000005</v>
      </c>
      <c r="K232" s="48">
        <f>NETWORKDAYS(DT_CALCULO_U, TAB_CORRECAO_U[[#This Row],[dt_eve_u]], TAB_FERIADOS[FER_DATA]) -1</f>
        <v>1263</v>
      </c>
      <c r="L232" s="48">
        <f>NETWORKDAYS(DT_CALCULO_U, TAB_CORRECAO_U[[#This Row],[dt_lqdc_eve_u]], TAB_FERIADOS[FER_DATA]) -1</f>
        <v>1267</v>
      </c>
      <c r="M232" s="48">
        <f>NETWORKDAYS(IF(ISTEXT(G231), DT_B_CORC, G231), TAB_CORRECAO_U[[#This Row],[dt_eve_u]], TAB_FERIADOS[FER_DATA]) -1</f>
        <v>22</v>
      </c>
      <c r="N232" s="78">
        <f>(TX_EMISSAO/100 +1)^(TAB_CORRECAO_U[[#This Row],[dias_periodo_u]]/252)</f>
        <v>1.0021580294747356</v>
      </c>
      <c r="O232" s="78">
        <f>(TIR_U/100 +1)^(TAB_CORRECAO_U[[#This Row],[Q_DIAS_U_PARC_TIR]]/252)</f>
        <v>1.1321996572993545</v>
      </c>
      <c r="P232" s="116" t="str">
        <f>"TX_CENARIO" &amp; TEXT(DT_CALCULO_C, "-AAAAMMDD") &amp; TEXT(TAB_CORRECAO_U[[#This Row],[DT_EVE]], "-AAAAMMDD")</f>
        <v>TX_CENARIO-20151228-20210111</v>
      </c>
      <c r="Q232" s="44">
        <f>IFERROR(VLOOKUP(TAB_CORRECAO_U[[#This Row],[Chave-CENARIO]],CENARIO[],2,FALSE), 0)</f>
        <v>16.479900000000001</v>
      </c>
      <c r="R232" s="116" t="str">
        <f>"CORRECAO_CORC_U" &amp; TEXT(DT_CALCULO_C, "-AAAAMMDD") &amp; TEXT(TAB_CORRECAO_U[[#This Row],[DT_EVE]], "-AAAAMMDD")</f>
        <v>CORRECAO_CORC_U-20151228-20210111</v>
      </c>
      <c r="S232" s="44">
        <f>IFERROR(VLOOKUP(TAB_CORRECAO_U[[#This Row],[Chave-CORC]],CORRECAO_CORC_U[],2, FALSE), 0)</f>
        <v>1.01311759</v>
      </c>
      <c r="T232" s="78">
        <f>MAX(0, IF(TAB_CORRECAO_U[[#This Row],[ID_T_EVE]]= 5, TAB_CORRECAO_U[[#This Row],[PU_AMORT]],TAB_CORRECAO_U[[#This Row],[V_NOML_PCPL]]) * (TAB_CORRECAO_U[[#This Row],[CORRECAO_U]] -1))</f>
        <v>656.204198905098</v>
      </c>
      <c r="U232" s="78">
        <f>MAX(0, TAB_CORRECAO_U[[#This Row],[V_FUT_U_CORC-01]]/((((TAB_CORRECAO_U[[#This Row],[TX_CENARIO]]/100 +1)^(1/252) -1) * PC_IDXR/100 +1)^TAB_CORRECAO_U[[#This Row],[Q_DIAS_U_PARC_TIR]]))</f>
        <v>304.75002797735192</v>
      </c>
      <c r="V232" s="78">
        <f>TAB_CORRECAO_U[[#This Row],[V_FUT_U_CORC-02]]/TAB_CORRECAO_U[[#This Row],[VAR_DESCAP_U]]</f>
        <v>269.16633123196203</v>
      </c>
      <c r="W232" s="78"/>
      <c r="X232" s="101">
        <f>TAB_CORRECAO_U[[#This Row],[dt_eve_u]]- DT_CALCULO_C</f>
        <v>1841</v>
      </c>
      <c r="Y232" s="48" t="str">
        <f>"CORRECAO_CORC_C" &amp; TEXT(DT_CALCULO_C, "-AAAAMMDD") &amp; TEXT(TAB_CORRECAO_U[[#This Row],[DT_EVE]], "-AAAAMMDD")</f>
        <v>CORRECAO_CORC_C-20151228-20210111</v>
      </c>
      <c r="Z232" s="44">
        <f>IFERROR(VLOOKUP(TAB_CORRECAO_C[[#This Row],[Chave-CORC]],CORRECAO_CORC_C[],2, FALSE), 0)</f>
        <v>1</v>
      </c>
      <c r="AA23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2" s="44">
        <f>(TIR_C/100 +1)^(TAB_CORRECAO_C[[#This Row],[DIAS_CORRIDOS]]/360)</f>
        <v>1.1325707045543503</v>
      </c>
      <c r="AC232" s="78">
        <f>IF(TAB_CORRECAO_C[[#This Row],[DIAS_CORRIDOS]]&lt;0, 0, TAB_CORRECAO_C[[#This Row],[V_FUT_C_CORC]]/TAB_CORRECAO_C[[#This Row],[VAR_DESCAP_C]])</f>
        <v>0</v>
      </c>
      <c r="AD232" s="113">
        <f>TAB_CORRECAO_U[[#This Row],[V_FUT_U_CORC-02]]</f>
        <v>304.75002797735192</v>
      </c>
      <c r="AE232" s="126">
        <f>IF(TAB_CORRECAO_C[[#This Row],[DIAS_CORRIDOS]]&lt;0, 0, TAB_CORRECAO_C[[#This Row],[V_FUT_UTEIS]]/TAB_CORRECAO_C[[#This Row],[VAR_DESCAP_C]])</f>
        <v>269.0781482797284</v>
      </c>
      <c r="AF232" s="64"/>
    </row>
    <row r="233" spans="1:32">
      <c r="A233" s="82">
        <f t="shared" si="4"/>
        <v>62</v>
      </c>
      <c r="B233" s="24">
        <f>VLOOKUP($A233, CAD_ATUALIZACAO[#Data], MATCH(B$171, CAD_ATUALIZACAO[#Headers],0), FALSE)</f>
        <v>3</v>
      </c>
      <c r="C233" s="24" t="str">
        <f>VLOOKUP($A233, CAD_ATUALIZACAO[#Data], MATCH(C$171, CAD_ATUALIZACAO[#Headers],0), FALSE)</f>
        <v xml:space="preserve">ATUALIZACAO SOBRE PRINCIPAL                       </v>
      </c>
      <c r="D233" s="36">
        <f>VLOOKUP($A233, CAD_ATUALIZACAO[#Data], MATCH(D$171, CAD_ATUALIZACAO[#Headers],0), FALSE)</f>
        <v>44235</v>
      </c>
      <c r="E233" s="48">
        <f>VLOOKUP($A233, CAD_ATUALIZACAO[#Data], MATCH(E$171, CAD_ATUALIZACAO[#Headers],0), FALSE)</f>
        <v>0</v>
      </c>
      <c r="F233" s="36">
        <f>VLOOKUP($A233, CAD_ATUALIZACAO[#Data], MATCH(F$171, CAD_ATUALIZACAO[#Headers],0), FALSE)</f>
        <v>44239</v>
      </c>
      <c r="G233" s="47">
        <f>WORKDAY(WORKDAY(TAB_CORRECAO_U[[#This Row],[DT_EVE]], -1, TAB_FERIADOS[FER_DATA]), 1, TAB_FERIADOS[FER_DATA])</f>
        <v>44235</v>
      </c>
      <c r="H233" s="75">
        <f>WORKDAY(WORKDAY(TAB_CORRECAO_U[[#This Row],[DT_LQDC_EVE]], -1, TAB_FERIADOS[FER_DATA]), 1, TAB_FERIADOS[FER_DATA])</f>
        <v>44239</v>
      </c>
      <c r="I233" s="48">
        <f>PU_EMISSAO - SUMIF(TAB_AMORTIZACAO_U[dt_eve_u], "&lt;" &amp; TAB_CORRECAO_U[[#This Row],[dt_eve_u]], TAB_AMORTIZACAO_U[V_PU_AMTC])</f>
        <v>49295.14191800003</v>
      </c>
      <c r="J233" s="48">
        <f>IFERROR(VLOOKUP(TAB_CORRECAO_U[[#This Row],[DT_EVE]], TAB_AMORTIZACAO_U[[DT_EVE]:[V_PU_AMTC]], 2, FALSE), 0)</f>
        <v>731.49060999999995</v>
      </c>
      <c r="K233" s="48">
        <f>NETWORKDAYS(DT_CALCULO_U, TAB_CORRECAO_U[[#This Row],[dt_eve_u]], TAB_FERIADOS[FER_DATA]) -1</f>
        <v>1283</v>
      </c>
      <c r="L233" s="48">
        <f>NETWORKDAYS(DT_CALCULO_U, TAB_CORRECAO_U[[#This Row],[dt_lqdc_eve_u]], TAB_FERIADOS[FER_DATA]) -1</f>
        <v>1287</v>
      </c>
      <c r="M233" s="48">
        <f>NETWORKDAYS(IF(ISTEXT(G232), DT_B_CORC, G232), TAB_CORRECAO_U[[#This Row],[dt_eve_u]], TAB_FERIADOS[FER_DATA]) -1</f>
        <v>20</v>
      </c>
      <c r="N233" s="78">
        <f>(TX_EMISSAO/100 +1)^(TAB_CORRECAO_U[[#This Row],[dias_periodo_u]]/252)</f>
        <v>1.0019616526860928</v>
      </c>
      <c r="O233" s="78">
        <f>(TIR_U/100 +1)^(TAB_CORRECAO_U[[#This Row],[Q_DIAS_U_PARC_TIR]]/252)</f>
        <v>1.1344208792367743</v>
      </c>
      <c r="P233" s="116" t="str">
        <f>"TX_CENARIO" &amp; TEXT(DT_CALCULO_C, "-AAAAMMDD") &amp; TEXT(TAB_CORRECAO_U[[#This Row],[DT_EVE]], "-AAAAMMDD")</f>
        <v>TX_CENARIO-20151228-20210208</v>
      </c>
      <c r="Q233" s="44">
        <f>IFERROR(VLOOKUP(TAB_CORRECAO_U[[#This Row],[Chave-CENARIO]],CENARIO[],2,FALSE), 0)</f>
        <v>16.4755</v>
      </c>
      <c r="R233" s="116" t="str">
        <f>"CORRECAO_CORC_U" &amp; TEXT(DT_CALCULO_C, "-AAAAMMDD") &amp; TEXT(TAB_CORRECAO_U[[#This Row],[DT_EVE]], "-AAAAMMDD")</f>
        <v>CORRECAO_CORC_U-20151228-20210208</v>
      </c>
      <c r="S233" s="44">
        <f>IFERROR(VLOOKUP(TAB_CORRECAO_U[[#This Row],[Chave-CORC]],CORRECAO_CORC_U[],2, FALSE), 0)</f>
        <v>1.0120006800000001</v>
      </c>
      <c r="T233" s="78">
        <f>MAX(0, IF(TAB_CORRECAO_U[[#This Row],[ID_T_EVE]]= 5, TAB_CORRECAO_U[[#This Row],[PU_AMORT]],TAB_CORRECAO_U[[#This Row],[V_NOML_PCPL]]) * (TAB_CORRECAO_U[[#This Row],[CORRECAO_U]] -1))</f>
        <v>591.57522371250934</v>
      </c>
      <c r="U233" s="78">
        <f>MAX(0, TAB_CORRECAO_U[[#This Row],[V_FUT_U_CORC-01]]/((((TAB_CORRECAO_U[[#This Row],[TX_CENARIO]]/100 +1)^(1/252) -1) * PC_IDXR/100 +1)^TAB_CORRECAO_U[[#This Row],[Q_DIAS_U_PARC_TIR]]))</f>
        <v>271.48166053366339</v>
      </c>
      <c r="V233" s="78">
        <f>TAB_CORRECAO_U[[#This Row],[V_FUT_U_CORC-02]]/TAB_CORRECAO_U[[#This Row],[VAR_DESCAP_U]]</f>
        <v>239.3129970565362</v>
      </c>
      <c r="W233" s="78"/>
      <c r="X233" s="101">
        <f>TAB_CORRECAO_U[[#This Row],[dt_eve_u]]- DT_CALCULO_C</f>
        <v>1869</v>
      </c>
      <c r="Y233" s="48" t="str">
        <f>"CORRECAO_CORC_C" &amp; TEXT(DT_CALCULO_C, "-AAAAMMDD") &amp; TEXT(TAB_CORRECAO_U[[#This Row],[DT_EVE]], "-AAAAMMDD")</f>
        <v>CORRECAO_CORC_C-20151228-20210208</v>
      </c>
      <c r="Z233" s="44">
        <f>IFERROR(VLOOKUP(TAB_CORRECAO_C[[#This Row],[Chave-CORC]],CORRECAO_CORC_C[],2, FALSE), 0)</f>
        <v>1</v>
      </c>
      <c r="AA23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3" s="44">
        <f>(TIR_C/100 +1)^(TAB_CORRECAO_C[[#This Row],[DIAS_CORRIDOS]]/360)</f>
        <v>1.1347171273498371</v>
      </c>
      <c r="AC233" s="78">
        <f>IF(TAB_CORRECAO_C[[#This Row],[DIAS_CORRIDOS]]&lt;0, 0, TAB_CORRECAO_C[[#This Row],[V_FUT_C_CORC]]/TAB_CORRECAO_C[[#This Row],[VAR_DESCAP_C]])</f>
        <v>0</v>
      </c>
      <c r="AD233" s="113">
        <f>TAB_CORRECAO_U[[#This Row],[V_FUT_U_CORC-02]]</f>
        <v>271.48166053366339</v>
      </c>
      <c r="AE233" s="126">
        <f>IF(TAB_CORRECAO_C[[#This Row],[DIAS_CORRIDOS]]&lt;0, 0, TAB_CORRECAO_C[[#This Row],[V_FUT_UTEIS]]/TAB_CORRECAO_C[[#This Row],[VAR_DESCAP_C]])</f>
        <v>239.25051802797427</v>
      </c>
      <c r="AF233" s="64"/>
    </row>
    <row r="234" spans="1:32">
      <c r="A234" s="82">
        <f t="shared" si="4"/>
        <v>63</v>
      </c>
      <c r="B234" s="24">
        <f>VLOOKUP($A234, CAD_ATUALIZACAO[#Data], MATCH(B$171, CAD_ATUALIZACAO[#Headers],0), FALSE)</f>
        <v>3</v>
      </c>
      <c r="C234" s="24" t="str">
        <f>VLOOKUP($A234, CAD_ATUALIZACAO[#Data], MATCH(C$171, CAD_ATUALIZACAO[#Headers],0), FALSE)</f>
        <v xml:space="preserve">ATUALIZACAO SOBRE PRINCIPAL                       </v>
      </c>
      <c r="D234" s="36">
        <f>VLOOKUP($A234, CAD_ATUALIZACAO[#Data], MATCH(D$171, CAD_ATUALIZACAO[#Headers],0), FALSE)</f>
        <v>44263</v>
      </c>
      <c r="E234" s="48">
        <f>VLOOKUP($A234, CAD_ATUALIZACAO[#Data], MATCH(E$171, CAD_ATUALIZACAO[#Headers],0), FALSE)</f>
        <v>0</v>
      </c>
      <c r="F234" s="36">
        <f>VLOOKUP($A234, CAD_ATUALIZACAO[#Data], MATCH(F$171, CAD_ATUALIZACAO[#Headers],0), FALSE)</f>
        <v>44267</v>
      </c>
      <c r="G234" s="47">
        <f>WORKDAY(WORKDAY(TAB_CORRECAO_U[[#This Row],[DT_EVE]], -1, TAB_FERIADOS[FER_DATA]), 1, TAB_FERIADOS[FER_DATA])</f>
        <v>44263</v>
      </c>
      <c r="H234" s="75">
        <f>WORKDAY(WORKDAY(TAB_CORRECAO_U[[#This Row],[DT_LQDC_EVE]], -1, TAB_FERIADOS[FER_DATA]), 1, TAB_FERIADOS[FER_DATA])</f>
        <v>44267</v>
      </c>
      <c r="I234" s="48">
        <f>PU_EMISSAO - SUMIF(TAB_AMORTIZACAO_U[dt_eve_u], "&lt;" &amp; TAB_CORRECAO_U[[#This Row],[dt_eve_u]], TAB_AMORTIZACAO_U[V_PU_AMTC])</f>
        <v>48563.65130800003</v>
      </c>
      <c r="J234" s="48">
        <f>IFERROR(VLOOKUP(TAB_CORRECAO_U[[#This Row],[DT_EVE]], TAB_AMORTIZACAO_U[[DT_EVE]:[V_PU_AMTC]], 2, FALSE), 0)</f>
        <v>733.84533399999998</v>
      </c>
      <c r="K234" s="48">
        <f>NETWORKDAYS(DT_CALCULO_U, TAB_CORRECAO_U[[#This Row],[dt_eve_u]], TAB_FERIADOS[FER_DATA]) -1</f>
        <v>1301</v>
      </c>
      <c r="L234" s="48">
        <f>NETWORKDAYS(DT_CALCULO_U, TAB_CORRECAO_U[[#This Row],[dt_lqdc_eve_u]], TAB_FERIADOS[FER_DATA]) -1</f>
        <v>1305</v>
      </c>
      <c r="M234" s="48">
        <f>NETWORKDAYS(IF(ISTEXT(G233), DT_B_CORC, G233), TAB_CORRECAO_U[[#This Row],[dt_eve_u]], TAB_FERIADOS[FER_DATA]) -1</f>
        <v>18</v>
      </c>
      <c r="N234" s="78">
        <f>(TX_EMISSAO/100 +1)^(TAB_CORRECAO_U[[#This Row],[dias_periodo_u]]/252)</f>
        <v>1.0017653143782506</v>
      </c>
      <c r="O234" s="78">
        <f>(TIR_U/100 +1)^(TAB_CORRECAO_U[[#This Row],[Q_DIAS_U_PARC_TIR]]/252)</f>
        <v>1.1364237046009744</v>
      </c>
      <c r="P234" s="116" t="str">
        <f>"TX_CENARIO" &amp; TEXT(DT_CALCULO_C, "-AAAAMMDD") &amp; TEXT(TAB_CORRECAO_U[[#This Row],[DT_EVE]], "-AAAAMMDD")</f>
        <v>TX_CENARIO-20151228-20210308</v>
      </c>
      <c r="Q234" s="44">
        <f>IFERROR(VLOOKUP(TAB_CORRECAO_U[[#This Row],[Chave-CENARIO]],CENARIO[],2,FALSE), 0)</f>
        <v>16.471699999999998</v>
      </c>
      <c r="R234" s="116" t="str">
        <f>"CORRECAO_CORC_U" &amp; TEXT(DT_CALCULO_C, "-AAAAMMDD") &amp; TEXT(TAB_CORRECAO_U[[#This Row],[DT_EVE]], "-AAAAMMDD")</f>
        <v>CORRECAO_CORC_U-20151228-20210308</v>
      </c>
      <c r="S234" s="44">
        <f>IFERROR(VLOOKUP(TAB_CORRECAO_U[[#This Row],[Chave-CORC]],CORRECAO_CORC_U[],2, FALSE), 0)</f>
        <v>1.0107941600000001</v>
      </c>
      <c r="T234" s="78">
        <f>MAX(0, IF(TAB_CORRECAO_U[[#This Row],[ID_T_EVE]]= 5, TAB_CORRECAO_U[[#This Row],[PU_AMORT]],TAB_CORRECAO_U[[#This Row],[V_NOML_PCPL]]) * (TAB_CORRECAO_U[[#This Row],[CORRECAO_U]] -1))</f>
        <v>524.20382240276683</v>
      </c>
      <c r="U234" s="78">
        <f>MAX(0, TAB_CORRECAO_U[[#This Row],[V_FUT_U_CORC-01]]/((((TAB_CORRECAO_U[[#This Row],[TX_CENARIO]]/100 +1)^(1/252) -1) * PC_IDXR/100 +1)^TAB_CORRECAO_U[[#This Row],[Q_DIAS_U_PARC_TIR]]))</f>
        <v>237.99785198517574</v>
      </c>
      <c r="V234" s="78">
        <f>TAB_CORRECAO_U[[#This Row],[V_FUT_U_CORC-02]]/TAB_CORRECAO_U[[#This Row],[VAR_DESCAP_U]]</f>
        <v>209.42703942341865</v>
      </c>
      <c r="W234" s="78"/>
      <c r="X234" s="101">
        <f>TAB_CORRECAO_U[[#This Row],[dt_eve_u]]- DT_CALCULO_C</f>
        <v>1897</v>
      </c>
      <c r="Y234" s="48" t="str">
        <f>"CORRECAO_CORC_C" &amp; TEXT(DT_CALCULO_C, "-AAAAMMDD") &amp; TEXT(TAB_CORRECAO_U[[#This Row],[DT_EVE]], "-AAAAMMDD")</f>
        <v>CORRECAO_CORC_C-20151228-20210308</v>
      </c>
      <c r="Z234" s="44">
        <f>IFERROR(VLOOKUP(TAB_CORRECAO_C[[#This Row],[Chave-CORC]],CORRECAO_CORC_C[],2, FALSE), 0)</f>
        <v>1</v>
      </c>
      <c r="AA23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4" s="44">
        <f>(TIR_C/100 +1)^(TAB_CORRECAO_C[[#This Row],[DIAS_CORRIDOS]]/360)</f>
        <v>1.1368676179980401</v>
      </c>
      <c r="AC234" s="78">
        <f>IF(TAB_CORRECAO_C[[#This Row],[DIAS_CORRIDOS]]&lt;0, 0, TAB_CORRECAO_C[[#This Row],[V_FUT_C_CORC]]/TAB_CORRECAO_C[[#This Row],[VAR_DESCAP_C]])</f>
        <v>0</v>
      </c>
      <c r="AD234" s="113">
        <f>TAB_CORRECAO_U[[#This Row],[V_FUT_U_CORC-02]]</f>
        <v>237.99785198517574</v>
      </c>
      <c r="AE234" s="126">
        <f>IF(TAB_CORRECAO_C[[#This Row],[DIAS_CORRIDOS]]&lt;0, 0, TAB_CORRECAO_C[[#This Row],[V_FUT_UTEIS]]/TAB_CORRECAO_C[[#This Row],[VAR_DESCAP_C]])</f>
        <v>209.34526431870455</v>
      </c>
      <c r="AF234" s="64"/>
    </row>
    <row r="235" spans="1:32">
      <c r="A235" s="82">
        <f t="shared" si="4"/>
        <v>64</v>
      </c>
      <c r="B235" s="24">
        <f>VLOOKUP($A235, CAD_ATUALIZACAO[#Data], MATCH(B$171, CAD_ATUALIZACAO[#Headers],0), FALSE)</f>
        <v>3</v>
      </c>
      <c r="C235" s="24" t="str">
        <f>VLOOKUP($A235, CAD_ATUALIZACAO[#Data], MATCH(C$171, CAD_ATUALIZACAO[#Headers],0), FALSE)</f>
        <v xml:space="preserve">ATUALIZACAO SOBRE PRINCIPAL                       </v>
      </c>
      <c r="D235" s="36">
        <f>VLOOKUP($A235, CAD_ATUALIZACAO[#Data], MATCH(D$171, CAD_ATUALIZACAO[#Headers],0), FALSE)</f>
        <v>44295</v>
      </c>
      <c r="E235" s="48">
        <f>VLOOKUP($A235, CAD_ATUALIZACAO[#Data], MATCH(E$171, CAD_ATUALIZACAO[#Headers],0), FALSE)</f>
        <v>0</v>
      </c>
      <c r="F235" s="36">
        <f>VLOOKUP($A235, CAD_ATUALIZACAO[#Data], MATCH(F$171, CAD_ATUALIZACAO[#Headers],0), FALSE)</f>
        <v>44301</v>
      </c>
      <c r="G235" s="47">
        <f>WORKDAY(WORKDAY(TAB_CORRECAO_U[[#This Row],[DT_EVE]], -1, TAB_FERIADOS[FER_DATA]), 1, TAB_FERIADOS[FER_DATA])</f>
        <v>44295</v>
      </c>
      <c r="H235" s="75">
        <f>WORKDAY(WORKDAY(TAB_CORRECAO_U[[#This Row],[DT_LQDC_EVE]], -1, TAB_FERIADOS[FER_DATA]), 1, TAB_FERIADOS[FER_DATA])</f>
        <v>44301</v>
      </c>
      <c r="I235" s="48">
        <f>PU_EMISSAO - SUMIF(TAB_AMORTIZACAO_U[dt_eve_u], "&lt;" &amp; TAB_CORRECAO_U[[#This Row],[dt_eve_u]], TAB_AMORTIZACAO_U[V_PU_AMTC])</f>
        <v>47829.805974000032</v>
      </c>
      <c r="J235" s="48">
        <f>IFERROR(VLOOKUP(TAB_CORRECAO_U[[#This Row],[DT_EVE]], TAB_AMORTIZACAO_U[[DT_EVE]:[V_PU_AMTC]], 2, FALSE), 0)</f>
        <v>701.13712499999997</v>
      </c>
      <c r="K235" s="48">
        <f>NETWORKDAYS(DT_CALCULO_U, TAB_CORRECAO_U[[#This Row],[dt_eve_u]], TAB_FERIADOS[FER_DATA]) -1</f>
        <v>1324</v>
      </c>
      <c r="L235" s="48">
        <f>NETWORKDAYS(DT_CALCULO_U, TAB_CORRECAO_U[[#This Row],[dt_lqdc_eve_u]], TAB_FERIADOS[FER_DATA]) -1</f>
        <v>1328</v>
      </c>
      <c r="M235" s="48">
        <f>NETWORKDAYS(IF(ISTEXT(G234), DT_B_CORC, G234), TAB_CORRECAO_U[[#This Row],[dt_eve_u]], TAB_FERIADOS[FER_DATA]) -1</f>
        <v>23</v>
      </c>
      <c r="N235" s="78">
        <f>(TX_EMISSAO/100 +1)^(TAB_CORRECAO_U[[#This Row],[dias_periodo_u]]/252)</f>
        <v>1.0022562323017139</v>
      </c>
      <c r="O235" s="78">
        <f>(TIR_U/100 +1)^(TAB_CORRECAO_U[[#This Row],[Q_DIAS_U_PARC_TIR]]/252)</f>
        <v>1.1389880169345483</v>
      </c>
      <c r="P235" s="116" t="str">
        <f>"TX_CENARIO" &amp; TEXT(DT_CALCULO_C, "-AAAAMMDD") &amp; TEXT(TAB_CORRECAO_U[[#This Row],[DT_EVE]], "-AAAAMMDD")</f>
        <v>TX_CENARIO-20151228-20210409</v>
      </c>
      <c r="Q235" s="44">
        <f>IFERROR(VLOOKUP(TAB_CORRECAO_U[[#This Row],[Chave-CENARIO]],CENARIO[],2,FALSE), 0)</f>
        <v>16.466999999999999</v>
      </c>
      <c r="R235" s="116" t="str">
        <f>"CORRECAO_CORC_U" &amp; TEXT(DT_CALCULO_C, "-AAAAMMDD") &amp; TEXT(TAB_CORRECAO_U[[#This Row],[DT_EVE]], "-AAAAMMDD")</f>
        <v>CORRECAO_CORC_U-20151228-20210409</v>
      </c>
      <c r="S235" s="44">
        <f>IFERROR(VLOOKUP(TAB_CORRECAO_U[[#This Row],[Chave-CORC]],CORRECAO_CORC_U[],2, FALSE), 0)</f>
        <v>1.0138132900000001</v>
      </c>
      <c r="T235" s="78">
        <f>MAX(0, IF(TAB_CORRECAO_U[[#This Row],[ID_T_EVE]]= 5, TAB_CORRECAO_U[[#This Row],[PU_AMORT]],TAB_CORRECAO_U[[#This Row],[V_NOML_PCPL]]) * (TAB_CORRECAO_U[[#This Row],[CORRECAO_U]] -1))</f>
        <v>660.68698056259916</v>
      </c>
      <c r="U235" s="78">
        <f>MAX(0, TAB_CORRECAO_U[[#This Row],[V_FUT_U_CORC-01]]/((((TAB_CORRECAO_U[[#This Row],[TX_CENARIO]]/100 +1)^(1/252) -1) * PC_IDXR/100 +1)^TAB_CORRECAO_U[[#This Row],[Q_DIAS_U_PARC_TIR]]))</f>
        <v>295.88096920294362</v>
      </c>
      <c r="V235" s="78">
        <f>TAB_CORRECAO_U[[#This Row],[V_FUT_U_CORC-02]]/TAB_CORRECAO_U[[#This Row],[VAR_DESCAP_U]]</f>
        <v>259.77531352724174</v>
      </c>
      <c r="W235" s="78"/>
      <c r="X235" s="101">
        <f>TAB_CORRECAO_U[[#This Row],[dt_eve_u]]- DT_CALCULO_C</f>
        <v>1929</v>
      </c>
      <c r="Y235" s="48" t="str">
        <f>"CORRECAO_CORC_C" &amp; TEXT(DT_CALCULO_C, "-AAAAMMDD") &amp; TEXT(TAB_CORRECAO_U[[#This Row],[DT_EVE]], "-AAAAMMDD")</f>
        <v>CORRECAO_CORC_C-20151228-20210409</v>
      </c>
      <c r="Z235" s="44">
        <f>IFERROR(VLOOKUP(TAB_CORRECAO_C[[#This Row],[Chave-CORC]],CORRECAO_CORC_C[],2, FALSE), 0)</f>
        <v>1</v>
      </c>
      <c r="AA23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5" s="44">
        <f>(TIR_C/100 +1)^(TAB_CORRECAO_C[[#This Row],[DIAS_CORRIDOS]]/360)</f>
        <v>1.1393303125302843</v>
      </c>
      <c r="AC235" s="78">
        <f>IF(TAB_CORRECAO_C[[#This Row],[DIAS_CORRIDOS]]&lt;0, 0, TAB_CORRECAO_C[[#This Row],[V_FUT_C_CORC]]/TAB_CORRECAO_C[[#This Row],[VAR_DESCAP_C]])</f>
        <v>0</v>
      </c>
      <c r="AD235" s="113">
        <f>TAB_CORRECAO_U[[#This Row],[V_FUT_U_CORC-02]]</f>
        <v>295.88096920294362</v>
      </c>
      <c r="AE235" s="126">
        <f>IF(TAB_CORRECAO_C[[#This Row],[DIAS_CORRIDOS]]&lt;0, 0, TAB_CORRECAO_C[[#This Row],[V_FUT_UTEIS]]/TAB_CORRECAO_C[[#This Row],[VAR_DESCAP_C]])</f>
        <v>259.69726772724556</v>
      </c>
      <c r="AF235" s="64"/>
    </row>
    <row r="236" spans="1:32">
      <c r="A236" s="82">
        <f t="shared" si="4"/>
        <v>65</v>
      </c>
      <c r="B236" s="24">
        <f>VLOOKUP($A236, CAD_ATUALIZACAO[#Data], MATCH(B$171, CAD_ATUALIZACAO[#Headers],0), FALSE)</f>
        <v>3</v>
      </c>
      <c r="C236" s="24" t="str">
        <f>VLOOKUP($A236, CAD_ATUALIZACAO[#Data], MATCH(C$171, CAD_ATUALIZACAO[#Headers],0), FALSE)</f>
        <v xml:space="preserve">ATUALIZACAO SOBRE PRINCIPAL                       </v>
      </c>
      <c r="D236" s="36">
        <f>VLOOKUP($A236, CAD_ATUALIZACAO[#Data], MATCH(D$171, CAD_ATUALIZACAO[#Headers],0), FALSE)</f>
        <v>44326</v>
      </c>
      <c r="E236" s="48">
        <f>VLOOKUP($A236, CAD_ATUALIZACAO[#Data], MATCH(E$171, CAD_ATUALIZACAO[#Headers],0), FALSE)</f>
        <v>0</v>
      </c>
      <c r="F236" s="36">
        <f>VLOOKUP($A236, CAD_ATUALIZACAO[#Data], MATCH(F$171, CAD_ATUALIZACAO[#Headers],0), FALSE)</f>
        <v>44330</v>
      </c>
      <c r="G236" s="47">
        <f>WORKDAY(WORKDAY(TAB_CORRECAO_U[[#This Row],[DT_EVE]], -1, TAB_FERIADOS[FER_DATA]), 1, TAB_FERIADOS[FER_DATA])</f>
        <v>44326</v>
      </c>
      <c r="H236" s="75">
        <f>WORKDAY(WORKDAY(TAB_CORRECAO_U[[#This Row],[DT_LQDC_EVE]], -1, TAB_FERIADOS[FER_DATA]), 1, TAB_FERIADOS[FER_DATA])</f>
        <v>44330</v>
      </c>
      <c r="I236" s="48">
        <f>PU_EMISSAO - SUMIF(TAB_AMORTIZACAO_U[dt_eve_u], "&lt;" &amp; TAB_CORRECAO_U[[#This Row],[dt_eve_u]], TAB_AMORTIZACAO_U[V_PU_AMTC])</f>
        <v>47128.668849000031</v>
      </c>
      <c r="J236" s="48">
        <f>IFERROR(VLOOKUP(TAB_CORRECAO_U[[#This Row],[DT_EVE]], TAB_AMORTIZACAO_U[[DT_EVE]:[V_PU_AMTC]], 2, FALSE), 0)</f>
        <v>707.11854700000004</v>
      </c>
      <c r="K236" s="48">
        <f>NETWORKDAYS(DT_CALCULO_U, TAB_CORRECAO_U[[#This Row],[dt_eve_u]], TAB_FERIADOS[FER_DATA]) -1</f>
        <v>1344</v>
      </c>
      <c r="L236" s="48">
        <f>NETWORKDAYS(DT_CALCULO_U, TAB_CORRECAO_U[[#This Row],[dt_lqdc_eve_u]], TAB_FERIADOS[FER_DATA]) -1</f>
        <v>1348</v>
      </c>
      <c r="M236" s="48">
        <f>NETWORKDAYS(IF(ISTEXT(G235), DT_B_CORC, G235), TAB_CORRECAO_U[[#This Row],[dt_eve_u]], TAB_FERIADOS[FER_DATA]) -1</f>
        <v>20</v>
      </c>
      <c r="N236" s="78">
        <f>(TX_EMISSAO/100 +1)^(TAB_CORRECAO_U[[#This Row],[dias_periodo_u]]/252)</f>
        <v>1.0019616526860928</v>
      </c>
      <c r="O236" s="78">
        <f>(TIR_U/100 +1)^(TAB_CORRECAO_U[[#This Row],[Q_DIAS_U_PARC_TIR]]/252)</f>
        <v>1.1412225567114884</v>
      </c>
      <c r="P236" s="116" t="str">
        <f>"TX_CENARIO" &amp; TEXT(DT_CALCULO_C, "-AAAAMMDD") &amp; TEXT(TAB_CORRECAO_U[[#This Row],[DT_EVE]], "-AAAAMMDD")</f>
        <v>TX_CENARIO-20151228-20210510</v>
      </c>
      <c r="Q236" s="44">
        <f>IFERROR(VLOOKUP(TAB_CORRECAO_U[[#This Row],[Chave-CENARIO]],CENARIO[],2,FALSE), 0)</f>
        <v>16.463000000000001</v>
      </c>
      <c r="R236" s="116" t="str">
        <f>"CORRECAO_CORC_U" &amp; TEXT(DT_CALCULO_C, "-AAAAMMDD") &amp; TEXT(TAB_CORRECAO_U[[#This Row],[DT_EVE]], "-AAAAMMDD")</f>
        <v>CORRECAO_CORC_U-20151228-20210510</v>
      </c>
      <c r="S236" s="44">
        <f>IFERROR(VLOOKUP(TAB_CORRECAO_U[[#This Row],[Chave-CORC]],CORRECAO_CORC_U[],2, FALSE), 0)</f>
        <v>1.01200117</v>
      </c>
      <c r="T236" s="78">
        <f>MAX(0, IF(TAB_CORRECAO_U[[#This Row],[ID_T_EVE]]= 5, TAB_CORRECAO_U[[#This Row],[PU_AMORT]],TAB_CORRECAO_U[[#This Row],[V_NOML_PCPL]]) * (TAB_CORRECAO_U[[#This Row],[CORRECAO_U]] -1))</f>
        <v>565.59916673055397</v>
      </c>
      <c r="U236" s="78">
        <f>MAX(0, TAB_CORRECAO_U[[#This Row],[V_FUT_U_CORC-01]]/((((TAB_CORRECAO_U[[#This Row],[TX_CENARIO]]/100 +1)^(1/252) -1) * PC_IDXR/100 +1)^TAB_CORRECAO_U[[#This Row],[Q_DIAS_U_PARC_TIR]]))</f>
        <v>250.29699490885201</v>
      </c>
      <c r="V236" s="78">
        <f>TAB_CORRECAO_U[[#This Row],[V_FUT_U_CORC-02]]/TAB_CORRECAO_U[[#This Row],[VAR_DESCAP_U]]</f>
        <v>219.32356089253975</v>
      </c>
      <c r="W236" s="78"/>
      <c r="X236" s="101">
        <f>TAB_CORRECAO_U[[#This Row],[dt_eve_u]]- DT_CALCULO_C</f>
        <v>1960</v>
      </c>
      <c r="Y236" s="48" t="str">
        <f>"CORRECAO_CORC_C" &amp; TEXT(DT_CALCULO_C, "-AAAAMMDD") &amp; TEXT(TAB_CORRECAO_U[[#This Row],[DT_EVE]], "-AAAAMMDD")</f>
        <v>CORRECAO_CORC_C-20151228-20210510</v>
      </c>
      <c r="Z236" s="44">
        <f>IFERROR(VLOOKUP(TAB_CORRECAO_C[[#This Row],[Chave-CORC]],CORRECAO_CORC_C[],2, FALSE), 0)</f>
        <v>1</v>
      </c>
      <c r="AA23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6" s="44">
        <f>(TIR_C/100 +1)^(TAB_CORRECAO_C[[#This Row],[DIAS_CORRIDOS]]/360)</f>
        <v>1.1417211349984282</v>
      </c>
      <c r="AC236" s="78">
        <f>IF(TAB_CORRECAO_C[[#This Row],[DIAS_CORRIDOS]]&lt;0, 0, TAB_CORRECAO_C[[#This Row],[V_FUT_C_CORC]]/TAB_CORRECAO_C[[#This Row],[VAR_DESCAP_C]])</f>
        <v>0</v>
      </c>
      <c r="AD236" s="113">
        <f>TAB_CORRECAO_U[[#This Row],[V_FUT_U_CORC-02]]</f>
        <v>250.29699490885201</v>
      </c>
      <c r="AE236" s="126">
        <f>IF(TAB_CORRECAO_C[[#This Row],[DIAS_CORRIDOS]]&lt;0, 0, TAB_CORRECAO_C[[#This Row],[V_FUT_UTEIS]]/TAB_CORRECAO_C[[#This Row],[VAR_DESCAP_C]])</f>
        <v>219.22778447050172</v>
      </c>
      <c r="AF236" s="64"/>
    </row>
    <row r="237" spans="1:32">
      <c r="A237" s="82">
        <f t="shared" si="4"/>
        <v>66</v>
      </c>
      <c r="B237" s="24">
        <f>VLOOKUP($A237, CAD_ATUALIZACAO[#Data], MATCH(B$171, CAD_ATUALIZACAO[#Headers],0), FALSE)</f>
        <v>3</v>
      </c>
      <c r="C237" s="24" t="str">
        <f>VLOOKUP($A237, CAD_ATUALIZACAO[#Data], MATCH(C$171, CAD_ATUALIZACAO[#Headers],0), FALSE)</f>
        <v xml:space="preserve">ATUALIZACAO SOBRE PRINCIPAL                       </v>
      </c>
      <c r="D237" s="36">
        <f>VLOOKUP($A237, CAD_ATUALIZACAO[#Data], MATCH(D$171, CAD_ATUALIZACAO[#Headers],0), FALSE)</f>
        <v>44356</v>
      </c>
      <c r="E237" s="48">
        <f>VLOOKUP($A237, CAD_ATUALIZACAO[#Data], MATCH(E$171, CAD_ATUALIZACAO[#Headers],0), FALSE)</f>
        <v>0</v>
      </c>
      <c r="F237" s="36">
        <f>VLOOKUP($A237, CAD_ATUALIZACAO[#Data], MATCH(F$171, CAD_ATUALIZACAO[#Headers],0), FALSE)</f>
        <v>44362</v>
      </c>
      <c r="G237" s="47">
        <f>WORKDAY(WORKDAY(TAB_CORRECAO_U[[#This Row],[DT_EVE]], -1, TAB_FERIADOS[FER_DATA]), 1, TAB_FERIADOS[FER_DATA])</f>
        <v>44356</v>
      </c>
      <c r="H237" s="75">
        <f>WORKDAY(WORKDAY(TAB_CORRECAO_U[[#This Row],[DT_LQDC_EVE]], -1, TAB_FERIADOS[FER_DATA]), 1, TAB_FERIADOS[FER_DATA])</f>
        <v>44362</v>
      </c>
      <c r="I237" s="48">
        <f>PU_EMISSAO - SUMIF(TAB_AMORTIZACAO_U[dt_eve_u], "&lt;" &amp; TAB_CORRECAO_U[[#This Row],[dt_eve_u]], TAB_AMORTIZACAO_U[V_PU_AMTC])</f>
        <v>46421.550302000032</v>
      </c>
      <c r="J237" s="48">
        <f>IFERROR(VLOOKUP(TAB_CORRECAO_U[[#This Row],[DT_EVE]], TAB_AMORTIZACAO_U[[DT_EVE]:[V_PU_AMTC]], 2, FALSE), 0)</f>
        <v>694.46639200000004</v>
      </c>
      <c r="K237" s="48">
        <f>NETWORKDAYS(DT_CALCULO_U, TAB_CORRECAO_U[[#This Row],[dt_eve_u]], TAB_FERIADOS[FER_DATA]) -1</f>
        <v>1365</v>
      </c>
      <c r="L237" s="48">
        <f>NETWORKDAYS(DT_CALCULO_U, TAB_CORRECAO_U[[#This Row],[dt_lqdc_eve_u]], TAB_FERIADOS[FER_DATA]) -1</f>
        <v>1369</v>
      </c>
      <c r="M237" s="48">
        <f>NETWORKDAYS(IF(ISTEXT(G236), DT_B_CORC, G236), TAB_CORRECAO_U[[#This Row],[dt_eve_u]], TAB_FERIADOS[FER_DATA]) -1</f>
        <v>21</v>
      </c>
      <c r="N237" s="78">
        <f>(TX_EMISSAO/100 +1)^(TAB_CORRECAO_U[[#This Row],[dias_periodo_u]]/252)</f>
        <v>1.0020598362698427</v>
      </c>
      <c r="O237" s="78">
        <f>(TIR_U/100 +1)^(TAB_CORRECAO_U[[#This Row],[Q_DIAS_U_PARC_TIR]]/252)</f>
        <v>1.1435735417645871</v>
      </c>
      <c r="P237" s="116" t="str">
        <f>"TX_CENARIO" &amp; TEXT(DT_CALCULO_C, "-AAAAMMDD") &amp; TEXT(TAB_CORRECAO_U[[#This Row],[DT_EVE]], "-AAAAMMDD")</f>
        <v>TX_CENARIO-20151228-20210609</v>
      </c>
      <c r="Q237" s="44">
        <f>IFERROR(VLOOKUP(TAB_CORRECAO_U[[#This Row],[Chave-CENARIO]],CENARIO[],2,FALSE), 0)</f>
        <v>16.4589</v>
      </c>
      <c r="R237" s="116" t="str">
        <f>"CORRECAO_CORC_U" &amp; TEXT(DT_CALCULO_C, "-AAAAMMDD") &amp; TEXT(TAB_CORRECAO_U[[#This Row],[DT_EVE]], "-AAAAMMDD")</f>
        <v>CORRECAO_CORC_U-20151228-20210609</v>
      </c>
      <c r="S237" s="44">
        <f>IFERROR(VLOOKUP(TAB_CORRECAO_U[[#This Row],[Chave-CORC]],CORRECAO_CORC_U[],2, FALSE), 0)</f>
        <v>1.012605</v>
      </c>
      <c r="T237" s="78">
        <f>MAX(0, IF(TAB_CORRECAO_U[[#This Row],[ID_T_EVE]]= 5, TAB_CORRECAO_U[[#This Row],[PU_AMORT]],TAB_CORRECAO_U[[#This Row],[V_NOML_PCPL]]) * (TAB_CORRECAO_U[[#This Row],[CORRECAO_U]] -1))</f>
        <v>585.14364155670933</v>
      </c>
      <c r="U237" s="78">
        <f>MAX(0, TAB_CORRECAO_U[[#This Row],[V_FUT_U_CORC-01]]/((((TAB_CORRECAO_U[[#This Row],[TX_CENARIO]]/100 +1)^(1/252) -1) * PC_IDXR/100 +1)^TAB_CORRECAO_U[[#This Row],[Q_DIAS_U_PARC_TIR]]))</f>
        <v>255.72710372459517</v>
      </c>
      <c r="V237" s="78">
        <f>TAB_CORRECAO_U[[#This Row],[V_FUT_U_CORC-02]]/TAB_CORRECAO_U[[#This Row],[VAR_DESCAP_U]]</f>
        <v>223.62103912442427</v>
      </c>
      <c r="W237" s="78"/>
      <c r="X237" s="101">
        <f>TAB_CORRECAO_U[[#This Row],[dt_eve_u]]- DT_CALCULO_C</f>
        <v>1990</v>
      </c>
      <c r="Y237" s="48" t="str">
        <f>"CORRECAO_CORC_C" &amp; TEXT(DT_CALCULO_C, "-AAAAMMDD") &amp; TEXT(TAB_CORRECAO_U[[#This Row],[DT_EVE]], "-AAAAMMDD")</f>
        <v>CORRECAO_CORC_C-20151228-20210609</v>
      </c>
      <c r="Z237" s="44">
        <f>IFERROR(VLOOKUP(TAB_CORRECAO_C[[#This Row],[Chave-CORC]],CORRECAO_CORC_C[],2, FALSE), 0)</f>
        <v>1</v>
      </c>
      <c r="AA23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7" s="44">
        <f>(TIR_C/100 +1)^(TAB_CORRECAO_C[[#This Row],[DIAS_CORRIDOS]]/360)</f>
        <v>1.1440396109156004</v>
      </c>
      <c r="AC237" s="78">
        <f>IF(TAB_CORRECAO_C[[#This Row],[DIAS_CORRIDOS]]&lt;0, 0, TAB_CORRECAO_C[[#This Row],[V_FUT_C_CORC]]/TAB_CORRECAO_C[[#This Row],[VAR_DESCAP_C]])</f>
        <v>0</v>
      </c>
      <c r="AD237" s="113">
        <f>TAB_CORRECAO_U[[#This Row],[V_FUT_U_CORC-02]]</f>
        <v>255.72710372459517</v>
      </c>
      <c r="AE237" s="126">
        <f>IF(TAB_CORRECAO_C[[#This Row],[DIAS_CORRIDOS]]&lt;0, 0, TAB_CORRECAO_C[[#This Row],[V_FUT_UTEIS]]/TAB_CORRECAO_C[[#This Row],[VAR_DESCAP_C]])</f>
        <v>223.52993837331479</v>
      </c>
      <c r="AF237" s="64"/>
    </row>
    <row r="238" spans="1:32">
      <c r="A238" s="82">
        <f t="shared" ref="A238:A301" si="5">+A237+1</f>
        <v>67</v>
      </c>
      <c r="B238" s="24">
        <f>VLOOKUP($A238, CAD_ATUALIZACAO[#Data], MATCH(B$171, CAD_ATUALIZACAO[#Headers],0), FALSE)</f>
        <v>3</v>
      </c>
      <c r="C238" s="24" t="str">
        <f>VLOOKUP($A238, CAD_ATUALIZACAO[#Data], MATCH(C$171, CAD_ATUALIZACAO[#Headers],0), FALSE)</f>
        <v xml:space="preserve">ATUALIZACAO SOBRE PRINCIPAL                       </v>
      </c>
      <c r="D238" s="36">
        <f>VLOOKUP($A238, CAD_ATUALIZACAO[#Data], MATCH(D$171, CAD_ATUALIZACAO[#Headers],0), FALSE)</f>
        <v>44385</v>
      </c>
      <c r="E238" s="48">
        <f>VLOOKUP($A238, CAD_ATUALIZACAO[#Data], MATCH(E$171, CAD_ATUALIZACAO[#Headers],0), FALSE)</f>
        <v>0</v>
      </c>
      <c r="F238" s="36">
        <f>VLOOKUP($A238, CAD_ATUALIZACAO[#Data], MATCH(F$171, CAD_ATUALIZACAO[#Headers],0), FALSE)</f>
        <v>44391</v>
      </c>
      <c r="G238" s="47">
        <f>WORKDAY(WORKDAY(TAB_CORRECAO_U[[#This Row],[DT_EVE]], -1, TAB_FERIADOS[FER_DATA]), 1, TAB_FERIADOS[FER_DATA])</f>
        <v>44385</v>
      </c>
      <c r="H238" s="75">
        <f>WORKDAY(WORKDAY(TAB_CORRECAO_U[[#This Row],[DT_LQDC_EVE]], -1, TAB_FERIADOS[FER_DATA]), 1, TAB_FERIADOS[FER_DATA])</f>
        <v>44391</v>
      </c>
      <c r="I238" s="48">
        <f>PU_EMISSAO - SUMIF(TAB_AMORTIZACAO_U[dt_eve_u], "&lt;" &amp; TAB_CORRECAO_U[[#This Row],[dt_eve_u]], TAB_AMORTIZACAO_U[V_PU_AMTC])</f>
        <v>45727.08391000003</v>
      </c>
      <c r="J238" s="48">
        <f>IFERROR(VLOOKUP(TAB_CORRECAO_U[[#This Row],[DT_EVE]], TAB_AMORTIZACAO_U[[DT_EVE]:[V_PU_AMTC]], 2, FALSE), 0)</f>
        <v>686.40925600000003</v>
      </c>
      <c r="K238" s="48">
        <f>NETWORKDAYS(DT_CALCULO_U, TAB_CORRECAO_U[[#This Row],[dt_eve_u]], TAB_FERIADOS[FER_DATA]) -1</f>
        <v>1386</v>
      </c>
      <c r="L238" s="48">
        <f>NETWORKDAYS(DT_CALCULO_U, TAB_CORRECAO_U[[#This Row],[dt_lqdc_eve_u]], TAB_FERIADOS[FER_DATA]) -1</f>
        <v>1390</v>
      </c>
      <c r="M238" s="48">
        <f>NETWORKDAYS(IF(ISTEXT(G237), DT_B_CORC, G237), TAB_CORRECAO_U[[#This Row],[dt_eve_u]], TAB_FERIADOS[FER_DATA]) -1</f>
        <v>21</v>
      </c>
      <c r="N238" s="78">
        <f>(TX_EMISSAO/100 +1)^(TAB_CORRECAO_U[[#This Row],[dias_periodo_u]]/252)</f>
        <v>1.0020598362698427</v>
      </c>
      <c r="O238" s="78">
        <f>(TIR_U/100 +1)^(TAB_CORRECAO_U[[#This Row],[Q_DIAS_U_PARC_TIR]]/252)</f>
        <v>1.1459293699840669</v>
      </c>
      <c r="P238" s="116" t="str">
        <f>"TX_CENARIO" &amp; TEXT(DT_CALCULO_C, "-AAAAMMDD") &amp; TEXT(TAB_CORRECAO_U[[#This Row],[DT_EVE]], "-AAAAMMDD")</f>
        <v>TX_CENARIO-20151228-20210708</v>
      </c>
      <c r="Q238" s="44">
        <f>IFERROR(VLOOKUP(TAB_CORRECAO_U[[#This Row],[Chave-CENARIO]],CENARIO[],2,FALSE), 0)</f>
        <v>16.455100000000002</v>
      </c>
      <c r="R238" s="116" t="str">
        <f>"CORRECAO_CORC_U" &amp; TEXT(DT_CALCULO_C, "-AAAAMMDD") &amp; TEXT(TAB_CORRECAO_U[[#This Row],[DT_EVE]], "-AAAAMMDD")</f>
        <v>CORRECAO_CORC_U-20151228-20210708</v>
      </c>
      <c r="S238" s="44">
        <f>IFERROR(VLOOKUP(TAB_CORRECAO_U[[#This Row],[Chave-CORC]],CORRECAO_CORC_U[],2, FALSE), 0)</f>
        <v>1.01260682</v>
      </c>
      <c r="T238" s="78">
        <f>MAX(0, IF(TAB_CORRECAO_U[[#This Row],[ID_T_EVE]]= 5, TAB_CORRECAO_U[[#This Row],[PU_AMORT]],TAB_CORRECAO_U[[#This Row],[V_NOML_PCPL]]) * (TAB_CORRECAO_U[[#This Row],[CORRECAO_U]] -1))</f>
        <v>576.4731159782674</v>
      </c>
      <c r="U238" s="78">
        <f>MAX(0, TAB_CORRECAO_U[[#This Row],[V_FUT_U_CORC-01]]/((((TAB_CORRECAO_U[[#This Row],[TX_CENARIO]]/100 +1)^(1/252) -1) * PC_IDXR/100 +1)^TAB_CORRECAO_U[[#This Row],[Q_DIAS_U_PARC_TIR]]))</f>
        <v>248.8038543378774</v>
      </c>
      <c r="V238" s="78">
        <f>TAB_CORRECAO_U[[#This Row],[V_FUT_U_CORC-02]]/TAB_CORRECAO_U[[#This Row],[VAR_DESCAP_U]]</f>
        <v>217.11971161131578</v>
      </c>
      <c r="W238" s="78"/>
      <c r="X238" s="101">
        <f>TAB_CORRECAO_U[[#This Row],[dt_eve_u]]- DT_CALCULO_C</f>
        <v>2019</v>
      </c>
      <c r="Y238" s="48" t="str">
        <f>"CORRECAO_CORC_C" &amp; TEXT(DT_CALCULO_C, "-AAAAMMDD") &amp; TEXT(TAB_CORRECAO_U[[#This Row],[DT_EVE]], "-AAAAMMDD")</f>
        <v>CORRECAO_CORC_C-20151228-20210708</v>
      </c>
      <c r="Z238" s="44">
        <f>IFERROR(VLOOKUP(TAB_CORRECAO_C[[#This Row],[Chave-CORC]],CORRECAO_CORC_C[],2, FALSE), 0)</f>
        <v>1</v>
      </c>
      <c r="AA23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8" s="44">
        <f>(TIR_C/100 +1)^(TAB_CORRECAO_C[[#This Row],[DIAS_CORRIDOS]]/360)</f>
        <v>1.1462852795063114</v>
      </c>
      <c r="AC238" s="78">
        <f>IF(TAB_CORRECAO_C[[#This Row],[DIAS_CORRIDOS]]&lt;0, 0, TAB_CORRECAO_C[[#This Row],[V_FUT_C_CORC]]/TAB_CORRECAO_C[[#This Row],[VAR_DESCAP_C]])</f>
        <v>0</v>
      </c>
      <c r="AD238" s="113">
        <f>TAB_CORRECAO_U[[#This Row],[V_FUT_U_CORC-02]]</f>
        <v>248.8038543378774</v>
      </c>
      <c r="AE238" s="126">
        <f>IF(TAB_CORRECAO_C[[#This Row],[DIAS_CORRIDOS]]&lt;0, 0, TAB_CORRECAO_C[[#This Row],[V_FUT_UTEIS]]/TAB_CORRECAO_C[[#This Row],[VAR_DESCAP_C]])</f>
        <v>217.05229822460396</v>
      </c>
      <c r="AF238" s="64"/>
    </row>
    <row r="239" spans="1:32">
      <c r="A239" s="82">
        <f t="shared" si="5"/>
        <v>68</v>
      </c>
      <c r="B239" s="24">
        <f>VLOOKUP($A239, CAD_ATUALIZACAO[#Data], MATCH(B$171, CAD_ATUALIZACAO[#Headers],0), FALSE)</f>
        <v>3</v>
      </c>
      <c r="C239" s="24" t="str">
        <f>VLOOKUP($A239, CAD_ATUALIZACAO[#Data], MATCH(C$171, CAD_ATUALIZACAO[#Headers],0), FALSE)</f>
        <v xml:space="preserve">ATUALIZACAO SOBRE PRINCIPAL                       </v>
      </c>
      <c r="D239" s="36">
        <f>VLOOKUP($A239, CAD_ATUALIZACAO[#Data], MATCH(D$171, CAD_ATUALIZACAO[#Headers],0), FALSE)</f>
        <v>44417</v>
      </c>
      <c r="E239" s="48">
        <f>VLOOKUP($A239, CAD_ATUALIZACAO[#Data], MATCH(E$171, CAD_ATUALIZACAO[#Headers],0), FALSE)</f>
        <v>0</v>
      </c>
      <c r="F239" s="36">
        <f>VLOOKUP($A239, CAD_ATUALIZACAO[#Data], MATCH(F$171, CAD_ATUALIZACAO[#Headers],0), FALSE)</f>
        <v>44421</v>
      </c>
      <c r="G239" s="47">
        <f>WORKDAY(WORKDAY(TAB_CORRECAO_U[[#This Row],[DT_EVE]], -1, TAB_FERIADOS[FER_DATA]), 1, TAB_FERIADOS[FER_DATA])</f>
        <v>44417</v>
      </c>
      <c r="H239" s="75">
        <f>WORKDAY(WORKDAY(TAB_CORRECAO_U[[#This Row],[DT_LQDC_EVE]], -1, TAB_FERIADOS[FER_DATA]), 1, TAB_FERIADOS[FER_DATA])</f>
        <v>44421</v>
      </c>
      <c r="I239" s="48">
        <f>PU_EMISSAO - SUMIF(TAB_AMORTIZACAO_U[dt_eve_u], "&lt;" &amp; TAB_CORRECAO_U[[#This Row],[dt_eve_u]], TAB_AMORTIZACAO_U[V_PU_AMTC])</f>
        <v>45040.674654000031</v>
      </c>
      <c r="J239" s="48">
        <f>IFERROR(VLOOKUP(TAB_CORRECAO_U[[#This Row],[DT_EVE]], TAB_AMORTIZACAO_U[[DT_EVE]:[V_PU_AMTC]], 2, FALSE), 0)</f>
        <v>673.76345200000003</v>
      </c>
      <c r="K239" s="48">
        <f>NETWORKDAYS(DT_CALCULO_U, TAB_CORRECAO_U[[#This Row],[dt_eve_u]], TAB_FERIADOS[FER_DATA]) -1</f>
        <v>1408</v>
      </c>
      <c r="L239" s="48">
        <f>NETWORKDAYS(DT_CALCULO_U, TAB_CORRECAO_U[[#This Row],[dt_lqdc_eve_u]], TAB_FERIADOS[FER_DATA]) -1</f>
        <v>1412</v>
      </c>
      <c r="M239" s="48">
        <f>NETWORKDAYS(IF(ISTEXT(G238), DT_B_CORC, G238), TAB_CORRECAO_U[[#This Row],[dt_eve_u]], TAB_FERIADOS[FER_DATA]) -1</f>
        <v>22</v>
      </c>
      <c r="N239" s="78">
        <f>(TX_EMISSAO/100 +1)^(TAB_CORRECAO_U[[#This Row],[dias_periodo_u]]/252)</f>
        <v>1.0021580294747356</v>
      </c>
      <c r="O239" s="78">
        <f>(TIR_U/100 +1)^(TAB_CORRECAO_U[[#This Row],[Q_DIAS_U_PARC_TIR]]/252)</f>
        <v>1.1484025859689686</v>
      </c>
      <c r="P239" s="116" t="str">
        <f>"TX_CENARIO" &amp; TEXT(DT_CALCULO_C, "-AAAAMMDD") &amp; TEXT(TAB_CORRECAO_U[[#This Row],[DT_EVE]], "-AAAAMMDD")</f>
        <v>TX_CENARIO-20151228-20210809</v>
      </c>
      <c r="Q239" s="44">
        <f>IFERROR(VLOOKUP(TAB_CORRECAO_U[[#This Row],[Chave-CENARIO]],CENARIO[],2,FALSE), 0)</f>
        <v>16.4513</v>
      </c>
      <c r="R239" s="116" t="str">
        <f>"CORRECAO_CORC_U" &amp; TEXT(DT_CALCULO_C, "-AAAAMMDD") &amp; TEXT(TAB_CORRECAO_U[[#This Row],[DT_EVE]], "-AAAAMMDD")</f>
        <v>CORRECAO_CORC_U-20151228-20210809</v>
      </c>
      <c r="S239" s="44">
        <f>IFERROR(VLOOKUP(TAB_CORRECAO_U[[#This Row],[Chave-CORC]],CORRECAO_CORC_U[],2, FALSE), 0)</f>
        <v>1.01321719</v>
      </c>
      <c r="T239" s="78">
        <f>MAX(0, IF(TAB_CORRECAO_U[[#This Row],[ID_T_EVE]]= 5, TAB_CORRECAO_U[[#This Row],[PU_AMORT]],TAB_CORRECAO_U[[#This Row],[V_NOML_PCPL]]) * (TAB_CORRECAO_U[[#This Row],[CORRECAO_U]] -1))</f>
        <v>595.31115463010224</v>
      </c>
      <c r="U239" s="78">
        <f>MAX(0, TAB_CORRECAO_U[[#This Row],[V_FUT_U_CORC-01]]/((((TAB_CORRECAO_U[[#This Row],[TX_CENARIO]]/100 +1)^(1/252) -1) * PC_IDXR/100 +1)^TAB_CORRECAO_U[[#This Row],[Q_DIAS_U_PARC_TIR]]))</f>
        <v>253.58626541552775</v>
      </c>
      <c r="V239" s="78">
        <f>TAB_CORRECAO_U[[#This Row],[V_FUT_U_CORC-02]]/TAB_CORRECAO_U[[#This Row],[VAR_DESCAP_U]]</f>
        <v>220.81652245807464</v>
      </c>
      <c r="W239" s="78"/>
      <c r="X239" s="101">
        <f>TAB_CORRECAO_U[[#This Row],[dt_eve_u]]- DT_CALCULO_C</f>
        <v>2051</v>
      </c>
      <c r="Y239" s="48" t="str">
        <f>"CORRECAO_CORC_C" &amp; TEXT(DT_CALCULO_C, "-AAAAMMDD") &amp; TEXT(TAB_CORRECAO_U[[#This Row],[DT_EVE]], "-AAAAMMDD")</f>
        <v>CORRECAO_CORC_C-20151228-20210809</v>
      </c>
      <c r="Z239" s="44">
        <f>IFERROR(VLOOKUP(TAB_CORRECAO_C[[#This Row],[Chave-CORC]],CORRECAO_CORC_C[],2, FALSE), 0)</f>
        <v>1</v>
      </c>
      <c r="AA23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39" s="44">
        <f>(TIR_C/100 +1)^(TAB_CORRECAO_C[[#This Row],[DIAS_CORRIDOS]]/360)</f>
        <v>1.1487683746754775</v>
      </c>
      <c r="AC239" s="78">
        <f>IF(TAB_CORRECAO_C[[#This Row],[DIAS_CORRIDOS]]&lt;0, 0, TAB_CORRECAO_C[[#This Row],[V_FUT_C_CORC]]/TAB_CORRECAO_C[[#This Row],[VAR_DESCAP_C]])</f>
        <v>0</v>
      </c>
      <c r="AD239" s="113">
        <f>TAB_CORRECAO_U[[#This Row],[V_FUT_U_CORC-02]]</f>
        <v>253.58626541552775</v>
      </c>
      <c r="AE239" s="126">
        <f>IF(TAB_CORRECAO_C[[#This Row],[DIAS_CORRIDOS]]&lt;0, 0, TAB_CORRECAO_C[[#This Row],[V_FUT_UTEIS]]/TAB_CORRECAO_C[[#This Row],[VAR_DESCAP_C]])</f>
        <v>220.74621046837649</v>
      </c>
      <c r="AF239" s="64"/>
    </row>
    <row r="240" spans="1:32">
      <c r="A240" s="82">
        <f t="shared" si="5"/>
        <v>69</v>
      </c>
      <c r="B240" s="24">
        <f>VLOOKUP($A240, CAD_ATUALIZACAO[#Data], MATCH(B$171, CAD_ATUALIZACAO[#Headers],0), FALSE)</f>
        <v>3</v>
      </c>
      <c r="C240" s="24" t="str">
        <f>VLOOKUP($A240, CAD_ATUALIZACAO[#Data], MATCH(C$171, CAD_ATUALIZACAO[#Headers],0), FALSE)</f>
        <v xml:space="preserve">ATUALIZACAO SOBRE PRINCIPAL                       </v>
      </c>
      <c r="D240" s="36">
        <f>VLOOKUP($A240, CAD_ATUALIZACAO[#Data], MATCH(D$171, CAD_ATUALIZACAO[#Headers],0), FALSE)</f>
        <v>44448</v>
      </c>
      <c r="E240" s="48">
        <f>VLOOKUP($A240, CAD_ATUALIZACAO[#Data], MATCH(E$171, CAD_ATUALIZACAO[#Headers],0), FALSE)</f>
        <v>0</v>
      </c>
      <c r="F240" s="36">
        <f>VLOOKUP($A240, CAD_ATUALIZACAO[#Data], MATCH(F$171, CAD_ATUALIZACAO[#Headers],0), FALSE)</f>
        <v>44454</v>
      </c>
      <c r="G240" s="47">
        <f>WORKDAY(WORKDAY(TAB_CORRECAO_U[[#This Row],[DT_EVE]], -1, TAB_FERIADOS[FER_DATA]), 1, TAB_FERIADOS[FER_DATA])</f>
        <v>44448</v>
      </c>
      <c r="H240" s="75">
        <f>WORKDAY(WORKDAY(TAB_CORRECAO_U[[#This Row],[DT_LQDC_EVE]], -1, TAB_FERIADOS[FER_DATA]), 1, TAB_FERIADOS[FER_DATA])</f>
        <v>44454</v>
      </c>
      <c r="I240" s="48">
        <f>PU_EMISSAO - SUMIF(TAB_AMORTIZACAO_U[dt_eve_u], "&lt;" &amp; TAB_CORRECAO_U[[#This Row],[dt_eve_u]], TAB_AMORTIZACAO_U[V_PU_AMTC])</f>
        <v>44366.911202000032</v>
      </c>
      <c r="J240" s="48">
        <f>IFERROR(VLOOKUP(TAB_CORRECAO_U[[#This Row],[DT_EVE]], TAB_AMORTIZACAO_U[[DT_EVE]:[V_PU_AMTC]], 2, FALSE), 0)</f>
        <v>665.41493400000002</v>
      </c>
      <c r="K240" s="48">
        <f>NETWORKDAYS(DT_CALCULO_U, TAB_CORRECAO_U[[#This Row],[dt_eve_u]], TAB_FERIADOS[FER_DATA]) -1</f>
        <v>1430</v>
      </c>
      <c r="L240" s="48">
        <f>NETWORKDAYS(DT_CALCULO_U, TAB_CORRECAO_U[[#This Row],[dt_lqdc_eve_u]], TAB_FERIADOS[FER_DATA]) -1</f>
        <v>1434</v>
      </c>
      <c r="M240" s="48">
        <f>NETWORKDAYS(IF(ISTEXT(G239), DT_B_CORC, G239), TAB_CORRECAO_U[[#This Row],[dt_eve_u]], TAB_FERIADOS[FER_DATA]) -1</f>
        <v>22</v>
      </c>
      <c r="N240" s="78">
        <f>(TX_EMISSAO/100 +1)^(TAB_CORRECAO_U[[#This Row],[dias_periodo_u]]/252)</f>
        <v>1.0021580294747356</v>
      </c>
      <c r="O240" s="78">
        <f>(TIR_U/100 +1)^(TAB_CORRECAO_U[[#This Row],[Q_DIAS_U_PARC_TIR]]/252)</f>
        <v>1.1508811398023173</v>
      </c>
      <c r="P240" s="116" t="str">
        <f>"TX_CENARIO" &amp; TEXT(DT_CALCULO_C, "-AAAAMMDD") &amp; TEXT(TAB_CORRECAO_U[[#This Row],[DT_EVE]], "-AAAAMMDD")</f>
        <v>TX_CENARIO-20151228-20210909</v>
      </c>
      <c r="Q240" s="44">
        <f>IFERROR(VLOOKUP(TAB_CORRECAO_U[[#This Row],[Chave-CENARIO]],CENARIO[],2,FALSE), 0)</f>
        <v>16.447600000000001</v>
      </c>
      <c r="R240" s="116" t="str">
        <f>"CORRECAO_CORC_U" &amp; TEXT(DT_CALCULO_C, "-AAAAMMDD") &amp; TEXT(TAB_CORRECAO_U[[#This Row],[DT_EVE]], "-AAAAMMDD")</f>
        <v>CORRECAO_CORC_U-20151228-20210909</v>
      </c>
      <c r="S240" s="44">
        <f>IFERROR(VLOOKUP(TAB_CORRECAO_U[[#This Row],[Chave-CORC]],CORRECAO_CORC_U[],2, FALSE), 0)</f>
        <v>1.01321719</v>
      </c>
      <c r="T240" s="78">
        <f>MAX(0, IF(TAB_CORRECAO_U[[#This Row],[ID_T_EVE]]= 5, TAB_CORRECAO_U[[#This Row],[PU_AMORT]],TAB_CORRECAO_U[[#This Row],[V_NOML_PCPL]]) * (TAB_CORRECAO_U[[#This Row],[CORRECAO_U]] -1))</f>
        <v>586.4058950699623</v>
      </c>
      <c r="U240" s="78">
        <f>MAX(0, TAB_CORRECAO_U[[#This Row],[V_FUT_U_CORC-01]]/((((TAB_CORRECAO_U[[#This Row],[TX_CENARIO]]/100 +1)^(1/252) -1) * PC_IDXR/100 +1)^TAB_CORRECAO_U[[#This Row],[Q_DIAS_U_PARC_TIR]]))</f>
        <v>246.53810432737887</v>
      </c>
      <c r="V240" s="78">
        <f>TAB_CORRECAO_U[[#This Row],[V_FUT_U_CORC-02]]/TAB_CORRECAO_U[[#This Row],[VAR_DESCAP_U]]</f>
        <v>214.21682552702691</v>
      </c>
      <c r="W240" s="78"/>
      <c r="X240" s="101">
        <f>TAB_CORRECAO_U[[#This Row],[dt_eve_u]]- DT_CALCULO_C</f>
        <v>2082</v>
      </c>
      <c r="Y240" s="48" t="str">
        <f>"CORRECAO_CORC_C" &amp; TEXT(DT_CALCULO_C, "-AAAAMMDD") &amp; TEXT(TAB_CORRECAO_U[[#This Row],[DT_EVE]], "-AAAAMMDD")</f>
        <v>CORRECAO_CORC_C-20151228-20210909</v>
      </c>
      <c r="Z240" s="44">
        <f>IFERROR(VLOOKUP(TAB_CORRECAO_C[[#This Row],[Chave-CORC]],CORRECAO_CORC_C[],2, FALSE), 0)</f>
        <v>1</v>
      </c>
      <c r="AA24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0" s="44">
        <f>(TIR_C/100 +1)^(TAB_CORRECAO_C[[#This Row],[DIAS_CORRIDOS]]/360)</f>
        <v>1.1511790024018369</v>
      </c>
      <c r="AC240" s="78">
        <f>IF(TAB_CORRECAO_C[[#This Row],[DIAS_CORRIDOS]]&lt;0, 0, TAB_CORRECAO_C[[#This Row],[V_FUT_C_CORC]]/TAB_CORRECAO_C[[#This Row],[VAR_DESCAP_C]])</f>
        <v>0</v>
      </c>
      <c r="AD240" s="113">
        <f>TAB_CORRECAO_U[[#This Row],[V_FUT_U_CORC-02]]</f>
        <v>246.53810432737887</v>
      </c>
      <c r="AE240" s="126">
        <f>IF(TAB_CORRECAO_C[[#This Row],[DIAS_CORRIDOS]]&lt;0, 0, TAB_CORRECAO_C[[#This Row],[V_FUT_UTEIS]]/TAB_CORRECAO_C[[#This Row],[VAR_DESCAP_C]])</f>
        <v>214.1613978477701</v>
      </c>
      <c r="AF240" s="64"/>
    </row>
    <row r="241" spans="1:32">
      <c r="A241" s="82">
        <f t="shared" si="5"/>
        <v>70</v>
      </c>
      <c r="B241" s="24">
        <f>VLOOKUP($A241, CAD_ATUALIZACAO[#Data], MATCH(B$171, CAD_ATUALIZACAO[#Headers],0), FALSE)</f>
        <v>3</v>
      </c>
      <c r="C241" s="24" t="str">
        <f>VLOOKUP($A241, CAD_ATUALIZACAO[#Data], MATCH(C$171, CAD_ATUALIZACAO[#Headers],0), FALSE)</f>
        <v xml:space="preserve">ATUALIZACAO SOBRE PRINCIPAL                       </v>
      </c>
      <c r="D241" s="36">
        <f>VLOOKUP($A241, CAD_ATUALIZACAO[#Data], MATCH(D$171, CAD_ATUALIZACAO[#Headers],0), FALSE)</f>
        <v>44480</v>
      </c>
      <c r="E241" s="48">
        <f>VLOOKUP($A241, CAD_ATUALIZACAO[#Data], MATCH(E$171, CAD_ATUALIZACAO[#Headers],0), FALSE)</f>
        <v>0</v>
      </c>
      <c r="F241" s="36">
        <f>VLOOKUP($A241, CAD_ATUALIZACAO[#Data], MATCH(F$171, CAD_ATUALIZACAO[#Headers],0), FALSE)</f>
        <v>44484</v>
      </c>
      <c r="G241" s="47">
        <f>WORKDAY(WORKDAY(TAB_CORRECAO_U[[#This Row],[DT_EVE]], -1, TAB_FERIADOS[FER_DATA]), 1, TAB_FERIADOS[FER_DATA])</f>
        <v>44480</v>
      </c>
      <c r="H241" s="75">
        <f>WORKDAY(WORKDAY(TAB_CORRECAO_U[[#This Row],[DT_LQDC_EVE]], -1, TAB_FERIADOS[FER_DATA]), 1, TAB_FERIADOS[FER_DATA])</f>
        <v>44484</v>
      </c>
      <c r="I241" s="48">
        <f>PU_EMISSAO - SUMIF(TAB_AMORTIZACAO_U[dt_eve_u], "&lt;" &amp; TAB_CORRECAO_U[[#This Row],[dt_eve_u]], TAB_AMORTIZACAO_U[V_PU_AMTC])</f>
        <v>43701.496268000032</v>
      </c>
      <c r="J241" s="48">
        <f>IFERROR(VLOOKUP(TAB_CORRECAO_U[[#This Row],[DT_EVE]], TAB_AMORTIZACAO_U[[DT_EVE]:[V_PU_AMTC]], 2, FALSE), 0)</f>
        <v>662.29617499999995</v>
      </c>
      <c r="K241" s="48">
        <f>NETWORKDAYS(DT_CALCULO_U, TAB_CORRECAO_U[[#This Row],[dt_eve_u]], TAB_FERIADOS[FER_DATA]) -1</f>
        <v>1452</v>
      </c>
      <c r="L241" s="48">
        <f>NETWORKDAYS(DT_CALCULO_U, TAB_CORRECAO_U[[#This Row],[dt_lqdc_eve_u]], TAB_FERIADOS[FER_DATA]) -1</f>
        <v>1455</v>
      </c>
      <c r="M241" s="48">
        <f>NETWORKDAYS(IF(ISTEXT(G240), DT_B_CORC, G240), TAB_CORRECAO_U[[#This Row],[dt_eve_u]], TAB_FERIADOS[FER_DATA]) -1</f>
        <v>22</v>
      </c>
      <c r="N241" s="78">
        <f>(TX_EMISSAO/100 +1)^(TAB_CORRECAO_U[[#This Row],[dias_periodo_u]]/252)</f>
        <v>1.0021580294747356</v>
      </c>
      <c r="O241" s="78">
        <f>(TIR_U/100 +1)^(TAB_CORRECAO_U[[#This Row],[Q_DIAS_U_PARC_TIR]]/252)</f>
        <v>1.153252022100127</v>
      </c>
      <c r="P241" s="116" t="str">
        <f>"TX_CENARIO" &amp; TEXT(DT_CALCULO_C, "-AAAAMMDD") &amp; TEXT(TAB_CORRECAO_U[[#This Row],[DT_EVE]], "-AAAAMMDD")</f>
        <v>TX_CENARIO-20151228-20211011</v>
      </c>
      <c r="Q241" s="44">
        <f>IFERROR(VLOOKUP(TAB_CORRECAO_U[[#This Row],[Chave-CENARIO]],CENARIO[],2,FALSE), 0)</f>
        <v>16.443999999999999</v>
      </c>
      <c r="R241" s="116" t="str">
        <f>"CORRECAO_CORC_U" &amp; TEXT(DT_CALCULO_C, "-AAAAMMDD") &amp; TEXT(TAB_CORRECAO_U[[#This Row],[DT_EVE]], "-AAAAMMDD")</f>
        <v>CORRECAO_CORC_U-20151228-20211011</v>
      </c>
      <c r="S241" s="44">
        <f>IFERROR(VLOOKUP(TAB_CORRECAO_U[[#This Row],[Chave-CORC]],CORRECAO_CORC_U[],2, FALSE), 0)</f>
        <v>1.0132110299999999</v>
      </c>
      <c r="T241" s="78">
        <f>MAX(0, IF(TAB_CORRECAO_U[[#This Row],[ID_T_EVE]]= 5, TAB_CORRECAO_U[[#This Row],[PU_AMORT]],TAB_CORRECAO_U[[#This Row],[V_NOML_PCPL]]) * (TAB_CORRECAO_U[[#This Row],[CORRECAO_U]] -1))</f>
        <v>577.34177824143217</v>
      </c>
      <c r="U241" s="78">
        <f>MAX(0, TAB_CORRECAO_U[[#This Row],[V_FUT_U_CORC-01]]/((((TAB_CORRECAO_U[[#This Row],[TX_CENARIO]]/100 +1)^(1/252) -1) * PC_IDXR/100 +1)^TAB_CORRECAO_U[[#This Row],[Q_DIAS_U_PARC_TIR]]))</f>
        <v>239.70955950266415</v>
      </c>
      <c r="V241" s="78">
        <f>TAB_CORRECAO_U[[#This Row],[V_FUT_U_CORC-02]]/TAB_CORRECAO_U[[#This Row],[VAR_DESCAP_U]]</f>
        <v>207.85531255010642</v>
      </c>
      <c r="W241" s="78"/>
      <c r="X241" s="101">
        <f>TAB_CORRECAO_U[[#This Row],[dt_eve_u]]- DT_CALCULO_C</f>
        <v>2114</v>
      </c>
      <c r="Y241" s="48" t="str">
        <f>"CORRECAO_CORC_C" &amp; TEXT(DT_CALCULO_C, "-AAAAMMDD") &amp; TEXT(TAB_CORRECAO_U[[#This Row],[DT_EVE]], "-AAAAMMDD")</f>
        <v>CORRECAO_CORC_C-20151228-20211011</v>
      </c>
      <c r="Z241" s="44">
        <f>IFERROR(VLOOKUP(TAB_CORRECAO_C[[#This Row],[Chave-CORC]],CORRECAO_CORC_C[],2, FALSE), 0)</f>
        <v>1</v>
      </c>
      <c r="AA24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1" s="44">
        <f>(TIR_C/100 +1)^(TAB_CORRECAO_C[[#This Row],[DIAS_CORRIDOS]]/360)</f>
        <v>1.1536726984047554</v>
      </c>
      <c r="AC241" s="78">
        <f>IF(TAB_CORRECAO_C[[#This Row],[DIAS_CORRIDOS]]&lt;0, 0, TAB_CORRECAO_C[[#This Row],[V_FUT_C_CORC]]/TAB_CORRECAO_C[[#This Row],[VAR_DESCAP_C]])</f>
        <v>0</v>
      </c>
      <c r="AD241" s="113">
        <f>TAB_CORRECAO_U[[#This Row],[V_FUT_U_CORC-02]]</f>
        <v>239.70955950266415</v>
      </c>
      <c r="AE241" s="126">
        <f>IF(TAB_CORRECAO_C[[#This Row],[DIAS_CORRIDOS]]&lt;0, 0, TAB_CORRECAO_C[[#This Row],[V_FUT_UTEIS]]/TAB_CORRECAO_C[[#This Row],[VAR_DESCAP_C]])</f>
        <v>207.77951999221557</v>
      </c>
      <c r="AF241" s="64"/>
    </row>
    <row r="242" spans="1:32">
      <c r="A242" s="82">
        <f t="shared" si="5"/>
        <v>71</v>
      </c>
      <c r="B242" s="24">
        <f>VLOOKUP($A242, CAD_ATUALIZACAO[#Data], MATCH(B$171, CAD_ATUALIZACAO[#Headers],0), FALSE)</f>
        <v>3</v>
      </c>
      <c r="C242" s="24" t="str">
        <f>VLOOKUP($A242, CAD_ATUALIZACAO[#Data], MATCH(C$171, CAD_ATUALIZACAO[#Headers],0), FALSE)</f>
        <v xml:space="preserve">ATUALIZACAO SOBRE PRINCIPAL                       </v>
      </c>
      <c r="D242" s="36">
        <f>VLOOKUP($A242, CAD_ATUALIZACAO[#Data], MATCH(D$171, CAD_ATUALIZACAO[#Headers],0), FALSE)</f>
        <v>44510</v>
      </c>
      <c r="E242" s="48">
        <f>VLOOKUP($A242, CAD_ATUALIZACAO[#Data], MATCH(E$171, CAD_ATUALIZACAO[#Headers],0), FALSE)</f>
        <v>0</v>
      </c>
      <c r="F242" s="36">
        <f>VLOOKUP($A242, CAD_ATUALIZACAO[#Data], MATCH(F$171, CAD_ATUALIZACAO[#Headers],0), FALSE)</f>
        <v>44516</v>
      </c>
      <c r="G242" s="47">
        <f>WORKDAY(WORKDAY(TAB_CORRECAO_U[[#This Row],[DT_EVE]], -1, TAB_FERIADOS[FER_DATA]), 1, TAB_FERIADOS[FER_DATA])</f>
        <v>44510</v>
      </c>
      <c r="H242" s="75">
        <f>WORKDAY(WORKDAY(TAB_CORRECAO_U[[#This Row],[DT_LQDC_EVE]], -1, TAB_FERIADOS[FER_DATA]), 1, TAB_FERIADOS[FER_DATA])</f>
        <v>44516</v>
      </c>
      <c r="I242" s="48">
        <f>PU_EMISSAO - SUMIF(TAB_AMORTIZACAO_U[dt_eve_u], "&lt;" &amp; TAB_CORRECAO_U[[#This Row],[dt_eve_u]], TAB_AMORTIZACAO_U[V_PU_AMTC])</f>
        <v>43039.200093000029</v>
      </c>
      <c r="J242" s="48">
        <f>IFERROR(VLOOKUP(TAB_CORRECAO_U[[#This Row],[DT_EVE]], TAB_AMORTIZACAO_U[[DT_EVE]:[V_PU_AMTC]], 2, FALSE), 0)</f>
        <v>659.14534900000001</v>
      </c>
      <c r="K242" s="48">
        <f>NETWORKDAYS(DT_CALCULO_U, TAB_CORRECAO_U[[#This Row],[dt_eve_u]], TAB_FERIADOS[FER_DATA]) -1</f>
        <v>1472</v>
      </c>
      <c r="L242" s="48">
        <f>NETWORKDAYS(DT_CALCULO_U, TAB_CORRECAO_U[[#This Row],[dt_lqdc_eve_u]], TAB_FERIADOS[FER_DATA]) -1</f>
        <v>1475</v>
      </c>
      <c r="M242" s="48">
        <f>NETWORKDAYS(IF(ISTEXT(G241), DT_B_CORC, G241), TAB_CORRECAO_U[[#This Row],[dt_eve_u]], TAB_FERIADOS[FER_DATA]) -1</f>
        <v>20</v>
      </c>
      <c r="N242" s="78">
        <f>(TX_EMISSAO/100 +1)^(TAB_CORRECAO_U[[#This Row],[dias_periodo_u]]/252)</f>
        <v>1.0019616526860928</v>
      </c>
      <c r="O242" s="78">
        <f>(TIR_U/100 +1)^(TAB_CORRECAO_U[[#This Row],[Q_DIAS_U_PARC_TIR]]/252)</f>
        <v>1.1555145459176779</v>
      </c>
      <c r="P242" s="116" t="str">
        <f>"TX_CENARIO" &amp; TEXT(DT_CALCULO_C, "-AAAAMMDD") &amp; TEXT(TAB_CORRECAO_U[[#This Row],[DT_EVE]], "-AAAAMMDD")</f>
        <v>TX_CENARIO-20151228-20211110</v>
      </c>
      <c r="Q242" s="44">
        <f>IFERROR(VLOOKUP(TAB_CORRECAO_U[[#This Row],[Chave-CENARIO]],CENARIO[],2,FALSE), 0)</f>
        <v>16.4404</v>
      </c>
      <c r="R242" s="116" t="str">
        <f>"CORRECAO_CORC_U" &amp; TEXT(DT_CALCULO_C, "-AAAAMMDD") &amp; TEXT(TAB_CORRECAO_U[[#This Row],[DT_EVE]], "-AAAAMMDD")</f>
        <v>CORRECAO_CORC_U-20151228-20211110</v>
      </c>
      <c r="S242" s="44">
        <f>IFERROR(VLOOKUP(TAB_CORRECAO_U[[#This Row],[Chave-CORC]],CORRECAO_CORC_U[],2, FALSE), 0)</f>
        <v>1.01198791</v>
      </c>
      <c r="T242" s="78">
        <f>MAX(0, IF(TAB_CORRECAO_U[[#This Row],[ID_T_EVE]]= 5, TAB_CORRECAO_U[[#This Row],[PU_AMORT]],TAB_CORRECAO_U[[#This Row],[V_NOML_PCPL]]) * (TAB_CORRECAO_U[[#This Row],[CORRECAO_U]] -1))</f>
        <v>515.9500571868756</v>
      </c>
      <c r="U242" s="78">
        <f>MAX(0, TAB_CORRECAO_U[[#This Row],[V_FUT_U_CORC-01]]/((((TAB_CORRECAO_U[[#This Row],[TX_CENARIO]]/100 +1)^(1/252) -1) * PC_IDXR/100 +1)^TAB_CORRECAO_U[[#This Row],[Q_DIAS_U_PARC_TIR]]))</f>
        <v>211.68555966506193</v>
      </c>
      <c r="V242" s="78">
        <f>TAB_CORRECAO_U[[#This Row],[V_FUT_U_CORC-02]]/TAB_CORRECAO_U[[#This Row],[VAR_DESCAP_U]]</f>
        <v>183.19592809361572</v>
      </c>
      <c r="W242" s="78"/>
      <c r="X242" s="101">
        <f>TAB_CORRECAO_U[[#This Row],[dt_eve_u]]- DT_CALCULO_C</f>
        <v>2144</v>
      </c>
      <c r="Y242" s="48" t="str">
        <f>"CORRECAO_CORC_C" &amp; TEXT(DT_CALCULO_C, "-AAAAMMDD") &amp; TEXT(TAB_CORRECAO_U[[#This Row],[DT_EVE]], "-AAAAMMDD")</f>
        <v>CORRECAO_CORC_C-20151228-20211110</v>
      </c>
      <c r="Z242" s="44">
        <f>IFERROR(VLOOKUP(TAB_CORRECAO_C[[#This Row],[Chave-CORC]],CORRECAO_CORC_C[],2, FALSE), 0)</f>
        <v>1</v>
      </c>
      <c r="AA24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2" s="44">
        <f>(TIR_C/100 +1)^(TAB_CORRECAO_C[[#This Row],[DIAS_CORRIDOS]]/360)</f>
        <v>1.156015444181774</v>
      </c>
      <c r="AC242" s="78">
        <f>IF(TAB_CORRECAO_C[[#This Row],[DIAS_CORRIDOS]]&lt;0, 0, TAB_CORRECAO_C[[#This Row],[V_FUT_C_CORC]]/TAB_CORRECAO_C[[#This Row],[VAR_DESCAP_C]])</f>
        <v>0</v>
      </c>
      <c r="AD242" s="113">
        <f>TAB_CORRECAO_U[[#This Row],[V_FUT_U_CORC-02]]</f>
        <v>211.68555966506193</v>
      </c>
      <c r="AE242" s="126">
        <f>IF(TAB_CORRECAO_C[[#This Row],[DIAS_CORRIDOS]]&lt;0, 0, TAB_CORRECAO_C[[#This Row],[V_FUT_UTEIS]]/TAB_CORRECAO_C[[#This Row],[VAR_DESCAP_C]])</f>
        <v>183.11654980949899</v>
      </c>
      <c r="AF242" s="64"/>
    </row>
    <row r="243" spans="1:32">
      <c r="A243" s="82">
        <f t="shared" si="5"/>
        <v>72</v>
      </c>
      <c r="B243" s="24">
        <f>VLOOKUP($A243, CAD_ATUALIZACAO[#Data], MATCH(B$171, CAD_ATUALIZACAO[#Headers],0), FALSE)</f>
        <v>3</v>
      </c>
      <c r="C243" s="24" t="str">
        <f>VLOOKUP($A243, CAD_ATUALIZACAO[#Data], MATCH(C$171, CAD_ATUALIZACAO[#Headers],0), FALSE)</f>
        <v xml:space="preserve">ATUALIZACAO SOBRE PRINCIPAL                       </v>
      </c>
      <c r="D243" s="36">
        <f>VLOOKUP($A243, CAD_ATUALIZACAO[#Data], MATCH(D$171, CAD_ATUALIZACAO[#Headers],0), FALSE)</f>
        <v>44538</v>
      </c>
      <c r="E243" s="48">
        <f>VLOOKUP($A243, CAD_ATUALIZACAO[#Data], MATCH(E$171, CAD_ATUALIZACAO[#Headers],0), FALSE)</f>
        <v>0</v>
      </c>
      <c r="F243" s="36">
        <f>VLOOKUP($A243, CAD_ATUALIZACAO[#Data], MATCH(F$171, CAD_ATUALIZACAO[#Headers],0), FALSE)</f>
        <v>44544</v>
      </c>
      <c r="G243" s="47">
        <f>WORKDAY(WORKDAY(TAB_CORRECAO_U[[#This Row],[DT_EVE]], -1, TAB_FERIADOS[FER_DATA]), 1, TAB_FERIADOS[FER_DATA])</f>
        <v>44538</v>
      </c>
      <c r="H243" s="75">
        <f>WORKDAY(WORKDAY(TAB_CORRECAO_U[[#This Row],[DT_LQDC_EVE]], -1, TAB_FERIADOS[FER_DATA]), 1, TAB_FERIADOS[FER_DATA])</f>
        <v>44544</v>
      </c>
      <c r="I243" s="48">
        <f>PU_EMISSAO - SUMIF(TAB_AMORTIZACAO_U[dt_eve_u], "&lt;" &amp; TAB_CORRECAO_U[[#This Row],[dt_eve_u]], TAB_AMORTIZACAO_U[V_PU_AMTC])</f>
        <v>42380.05474400003</v>
      </c>
      <c r="J243" s="48">
        <f>IFERROR(VLOOKUP(TAB_CORRECAO_U[[#This Row],[DT_EVE]], TAB_AMORTIZACAO_U[[DT_EVE]:[V_PU_AMTC]], 2, FALSE), 0)</f>
        <v>651.97476200000006</v>
      </c>
      <c r="K243" s="48">
        <f>NETWORKDAYS(DT_CALCULO_U, TAB_CORRECAO_U[[#This Row],[dt_eve_u]], TAB_FERIADOS[FER_DATA]) -1</f>
        <v>1491</v>
      </c>
      <c r="L243" s="48">
        <f>NETWORKDAYS(DT_CALCULO_U, TAB_CORRECAO_U[[#This Row],[dt_lqdc_eve_u]], TAB_FERIADOS[FER_DATA]) -1</f>
        <v>1495</v>
      </c>
      <c r="M243" s="48">
        <f>NETWORKDAYS(IF(ISTEXT(G242), DT_B_CORC, G242), TAB_CORRECAO_U[[#This Row],[dt_eve_u]], TAB_FERIADOS[FER_DATA]) -1</f>
        <v>19</v>
      </c>
      <c r="N243" s="78">
        <f>(TX_EMISSAO/100 +1)^(TAB_CORRECAO_U[[#This Row],[dias_periodo_u]]/252)</f>
        <v>1.0018634787225431</v>
      </c>
      <c r="O243" s="78">
        <f>(TIR_U/100 +1)^(TAB_CORRECAO_U[[#This Row],[Q_DIAS_U_PARC_TIR]]/252)</f>
        <v>1.157781508499633</v>
      </c>
      <c r="P243" s="116" t="str">
        <f>"TX_CENARIO" &amp; TEXT(DT_CALCULO_C, "-AAAAMMDD") &amp; TEXT(TAB_CORRECAO_U[[#This Row],[DT_EVE]], "-AAAAMMDD")</f>
        <v>TX_CENARIO-20151228-20211208</v>
      </c>
      <c r="Q243" s="44">
        <f>IFERROR(VLOOKUP(TAB_CORRECAO_U[[#This Row],[Chave-CENARIO]],CENARIO[],2,FALSE), 0)</f>
        <v>16.436900000000001</v>
      </c>
      <c r="R243" s="116" t="str">
        <f>"CORRECAO_CORC_U" &amp; TEXT(DT_CALCULO_C, "-AAAAMMDD") &amp; TEXT(TAB_CORRECAO_U[[#This Row],[DT_EVE]], "-AAAAMMDD")</f>
        <v>CORRECAO_CORC_U-20151228-20211208</v>
      </c>
      <c r="S243" s="44">
        <f>IFERROR(VLOOKUP(TAB_CORRECAO_U[[#This Row],[Chave-CORC]],CORRECAO_CORC_U[],2, FALSE), 0)</f>
        <v>1.0113851199999999</v>
      </c>
      <c r="T243" s="78">
        <f>MAX(0, IF(TAB_CORRECAO_U[[#This Row],[ID_T_EVE]]= 5, TAB_CORRECAO_U[[#This Row],[PU_AMORT]],TAB_CORRECAO_U[[#This Row],[V_NOML_PCPL]]) * (TAB_CORRECAO_U[[#This Row],[CORRECAO_U]] -1))</f>
        <v>482.50200886700605</v>
      </c>
      <c r="U243" s="78">
        <f>MAX(0, TAB_CORRECAO_U[[#This Row],[V_FUT_U_CORC-01]]/((((TAB_CORRECAO_U[[#This Row],[TX_CENARIO]]/100 +1)^(1/252) -1) * PC_IDXR/100 +1)^TAB_CORRECAO_U[[#This Row],[Q_DIAS_U_PARC_TIR]]))</f>
        <v>195.62025246662603</v>
      </c>
      <c r="V243" s="78">
        <f>TAB_CORRECAO_U[[#This Row],[V_FUT_U_CORC-02]]/TAB_CORRECAO_U[[#This Row],[VAR_DESCAP_U]]</f>
        <v>168.96128589938351</v>
      </c>
      <c r="W243" s="78"/>
      <c r="X243" s="101">
        <f>TAB_CORRECAO_U[[#This Row],[dt_eve_u]]- DT_CALCULO_C</f>
        <v>2172</v>
      </c>
      <c r="Y243" s="48" t="str">
        <f>"CORRECAO_CORC_C" &amp; TEXT(DT_CALCULO_C, "-AAAAMMDD") &amp; TEXT(TAB_CORRECAO_U[[#This Row],[DT_EVE]], "-AAAAMMDD")</f>
        <v>CORRECAO_CORC_C-20151228-20211208</v>
      </c>
      <c r="Z243" s="44">
        <f>IFERROR(VLOOKUP(TAB_CORRECAO_C[[#This Row],[Chave-CORC]],CORRECAO_CORC_C[],2, FALSE), 0)</f>
        <v>1</v>
      </c>
      <c r="AA24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3" s="44">
        <f>(TIR_C/100 +1)^(TAB_CORRECAO_C[[#This Row],[DIAS_CORRIDOS]]/360)</f>
        <v>1.1582062989260726</v>
      </c>
      <c r="AC243" s="78">
        <f>IF(TAB_CORRECAO_C[[#This Row],[DIAS_CORRIDOS]]&lt;0, 0, TAB_CORRECAO_C[[#This Row],[V_FUT_C_CORC]]/TAB_CORRECAO_C[[#This Row],[VAR_DESCAP_C]])</f>
        <v>0</v>
      </c>
      <c r="AD243" s="113">
        <f>TAB_CORRECAO_U[[#This Row],[V_FUT_U_CORC-02]]</f>
        <v>195.62025246662603</v>
      </c>
      <c r="AE243" s="126">
        <f>IF(TAB_CORRECAO_C[[#This Row],[DIAS_CORRIDOS]]&lt;0, 0, TAB_CORRECAO_C[[#This Row],[V_FUT_UTEIS]]/TAB_CORRECAO_C[[#This Row],[VAR_DESCAP_C]])</f>
        <v>168.89931668305692</v>
      </c>
      <c r="AF243" s="64"/>
    </row>
    <row r="244" spans="1:32">
      <c r="A244" s="82">
        <f t="shared" si="5"/>
        <v>73</v>
      </c>
      <c r="B244" s="24">
        <f>VLOOKUP($A244, CAD_ATUALIZACAO[#Data], MATCH(B$171, CAD_ATUALIZACAO[#Headers],0), FALSE)</f>
        <v>3</v>
      </c>
      <c r="C244" s="24" t="str">
        <f>VLOOKUP($A244, CAD_ATUALIZACAO[#Data], MATCH(C$171, CAD_ATUALIZACAO[#Headers],0), FALSE)</f>
        <v xml:space="preserve">ATUALIZACAO SOBRE PRINCIPAL                       </v>
      </c>
      <c r="D244" s="36">
        <f>VLOOKUP($A244, CAD_ATUALIZACAO[#Data], MATCH(D$171, CAD_ATUALIZACAO[#Headers],0), FALSE)</f>
        <v>44571</v>
      </c>
      <c r="E244" s="48">
        <f>VLOOKUP($A244, CAD_ATUALIZACAO[#Data], MATCH(E$171, CAD_ATUALIZACAO[#Headers],0), FALSE)</f>
        <v>0</v>
      </c>
      <c r="F244" s="36">
        <f>VLOOKUP($A244, CAD_ATUALIZACAO[#Data], MATCH(F$171, CAD_ATUALIZACAO[#Headers],0), FALSE)</f>
        <v>44575</v>
      </c>
      <c r="G244" s="47">
        <f>WORKDAY(WORKDAY(TAB_CORRECAO_U[[#This Row],[DT_EVE]], -1, TAB_FERIADOS[FER_DATA]), 1, TAB_FERIADOS[FER_DATA])</f>
        <v>44571</v>
      </c>
      <c r="H244" s="75">
        <f>WORKDAY(WORKDAY(TAB_CORRECAO_U[[#This Row],[DT_LQDC_EVE]], -1, TAB_FERIADOS[FER_DATA]), 1, TAB_FERIADOS[FER_DATA])</f>
        <v>44575</v>
      </c>
      <c r="I244" s="48">
        <f>PU_EMISSAO - SUMIF(TAB_AMORTIZACAO_U[dt_eve_u], "&lt;" &amp; TAB_CORRECAO_U[[#This Row],[dt_eve_u]], TAB_AMORTIZACAO_U[V_PU_AMTC])</f>
        <v>41728.079982000032</v>
      </c>
      <c r="J244" s="48">
        <f>IFERROR(VLOOKUP(TAB_CORRECAO_U[[#This Row],[DT_EVE]], TAB_AMORTIZACAO_U[[DT_EVE]:[V_PU_AMTC]], 2, FALSE), 0)</f>
        <v>686.51037099999996</v>
      </c>
      <c r="K244" s="48">
        <f>NETWORKDAYS(DT_CALCULO_U, TAB_CORRECAO_U[[#This Row],[dt_eve_u]], TAB_FERIADOS[FER_DATA]) -1</f>
        <v>1514</v>
      </c>
      <c r="L244" s="48">
        <f>NETWORKDAYS(DT_CALCULO_U, TAB_CORRECAO_U[[#This Row],[dt_lqdc_eve_u]], TAB_FERIADOS[FER_DATA]) -1</f>
        <v>1518</v>
      </c>
      <c r="M244" s="48">
        <f>NETWORKDAYS(IF(ISTEXT(G243), DT_B_CORC, G243), TAB_CORRECAO_U[[#This Row],[dt_eve_u]], TAB_FERIADOS[FER_DATA]) -1</f>
        <v>23</v>
      </c>
      <c r="N244" s="78">
        <f>(TX_EMISSAO/100 +1)^(TAB_CORRECAO_U[[#This Row],[dias_periodo_u]]/252)</f>
        <v>1.0022562323017139</v>
      </c>
      <c r="O244" s="78">
        <f>(TIR_U/100 +1)^(TAB_CORRECAO_U[[#This Row],[Q_DIAS_U_PARC_TIR]]/252)</f>
        <v>1.1603940141960642</v>
      </c>
      <c r="P244" s="116" t="str">
        <f>"TX_CENARIO" &amp; TEXT(DT_CALCULO_C, "-AAAAMMDD") &amp; TEXT(TAB_CORRECAO_U[[#This Row],[DT_EVE]], "-AAAAMMDD")</f>
        <v>TX_CENARIO-20151228-20220110</v>
      </c>
      <c r="Q244" s="44">
        <f>IFERROR(VLOOKUP(TAB_CORRECAO_U[[#This Row],[Chave-CENARIO]],CENARIO[],2,FALSE), 0)</f>
        <v>16.433199999999999</v>
      </c>
      <c r="R244" s="116" t="str">
        <f>"CORRECAO_CORC_U" &amp; TEXT(DT_CALCULO_C, "-AAAAMMDD") &amp; TEXT(TAB_CORRECAO_U[[#This Row],[DT_EVE]], "-AAAAMMDD")</f>
        <v>CORRECAO_CORC_U-20151228-20220110</v>
      </c>
      <c r="S244" s="44">
        <f>IFERROR(VLOOKUP(TAB_CORRECAO_U[[#This Row],[Chave-CORC]],CORRECAO_CORC_U[],2, FALSE), 0)</f>
        <v>1.0138033900000001</v>
      </c>
      <c r="T244" s="78">
        <f>MAX(0, IF(TAB_CORRECAO_U[[#This Row],[ID_T_EVE]]= 5, TAB_CORRECAO_U[[#This Row],[PU_AMORT]],TAB_CORRECAO_U[[#This Row],[V_NOML_PCPL]]) * (TAB_CORRECAO_U[[#This Row],[CORRECAO_U]] -1))</f>
        <v>575.98896194274289</v>
      </c>
      <c r="U244" s="78">
        <f>MAX(0, TAB_CORRECAO_U[[#This Row],[V_FUT_U_CORC-01]]/((((TAB_CORRECAO_U[[#This Row],[TX_CENARIO]]/100 +1)^(1/252) -1) * PC_IDXR/100 +1)^TAB_CORRECAO_U[[#This Row],[Q_DIAS_U_PARC_TIR]]))</f>
        <v>230.34558964585946</v>
      </c>
      <c r="V244" s="78">
        <f>TAB_CORRECAO_U[[#This Row],[V_FUT_U_CORC-02]]/TAB_CORRECAO_U[[#This Row],[VAR_DESCAP_U]]</f>
        <v>198.50635803688269</v>
      </c>
      <c r="W244" s="78"/>
      <c r="X244" s="101">
        <f>TAB_CORRECAO_U[[#This Row],[dt_eve_u]]- DT_CALCULO_C</f>
        <v>2205</v>
      </c>
      <c r="Y244" s="48" t="str">
        <f>"CORRECAO_CORC_C" &amp; TEXT(DT_CALCULO_C, "-AAAAMMDD") &amp; TEXT(TAB_CORRECAO_U[[#This Row],[DT_EVE]], "-AAAAMMDD")</f>
        <v>CORRECAO_CORC_C-20151228-20220110</v>
      </c>
      <c r="Z244" s="44">
        <f>IFERROR(VLOOKUP(TAB_CORRECAO_C[[#This Row],[Chave-CORC]],CORRECAO_CORC_C[],2, FALSE), 0)</f>
        <v>1</v>
      </c>
      <c r="AA24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4" s="44">
        <f>(TIR_C/100 +1)^(TAB_CORRECAO_C[[#This Row],[DIAS_CORRIDOS]]/360)</f>
        <v>1.1607937087507167</v>
      </c>
      <c r="AC244" s="78">
        <f>IF(TAB_CORRECAO_C[[#This Row],[DIAS_CORRIDOS]]&lt;0, 0, TAB_CORRECAO_C[[#This Row],[V_FUT_C_CORC]]/TAB_CORRECAO_C[[#This Row],[VAR_DESCAP_C]])</f>
        <v>0</v>
      </c>
      <c r="AD244" s="113">
        <f>TAB_CORRECAO_U[[#This Row],[V_FUT_U_CORC-02]]</f>
        <v>230.34558964585946</v>
      </c>
      <c r="AE244" s="126">
        <f>IF(TAB_CORRECAO_C[[#This Row],[DIAS_CORRIDOS]]&lt;0, 0, TAB_CORRECAO_C[[#This Row],[V_FUT_UTEIS]]/TAB_CORRECAO_C[[#This Row],[VAR_DESCAP_C]])</f>
        <v>198.43800660650095</v>
      </c>
      <c r="AF244" s="64"/>
    </row>
    <row r="245" spans="1:32">
      <c r="A245" s="82">
        <f t="shared" si="5"/>
        <v>74</v>
      </c>
      <c r="B245" s="24">
        <f>VLOOKUP($A245, CAD_ATUALIZACAO[#Data], MATCH(B$171, CAD_ATUALIZACAO[#Headers],0), FALSE)</f>
        <v>3</v>
      </c>
      <c r="C245" s="24" t="str">
        <f>VLOOKUP($A245, CAD_ATUALIZACAO[#Data], MATCH(C$171, CAD_ATUALIZACAO[#Headers],0), FALSE)</f>
        <v xml:space="preserve">ATUALIZACAO SOBRE PRINCIPAL                       </v>
      </c>
      <c r="D245" s="36">
        <f>VLOOKUP($A245, CAD_ATUALIZACAO[#Data], MATCH(D$171, CAD_ATUALIZACAO[#Headers],0), FALSE)</f>
        <v>44600</v>
      </c>
      <c r="E245" s="48">
        <f>VLOOKUP($A245, CAD_ATUALIZACAO[#Data], MATCH(E$171, CAD_ATUALIZACAO[#Headers],0), FALSE)</f>
        <v>0</v>
      </c>
      <c r="F245" s="36">
        <f>VLOOKUP($A245, CAD_ATUALIZACAO[#Data], MATCH(F$171, CAD_ATUALIZACAO[#Headers],0), FALSE)</f>
        <v>44606</v>
      </c>
      <c r="G245" s="47">
        <f>WORKDAY(WORKDAY(TAB_CORRECAO_U[[#This Row],[DT_EVE]], -1, TAB_FERIADOS[FER_DATA]), 1, TAB_FERIADOS[FER_DATA])</f>
        <v>44600</v>
      </c>
      <c r="H245" s="75">
        <f>WORKDAY(WORKDAY(TAB_CORRECAO_U[[#This Row],[DT_LQDC_EVE]], -1, TAB_FERIADOS[FER_DATA]), 1, TAB_FERIADOS[FER_DATA])</f>
        <v>44606</v>
      </c>
      <c r="I245" s="48">
        <f>PU_EMISSAO - SUMIF(TAB_AMORTIZACAO_U[dt_eve_u], "&lt;" &amp; TAB_CORRECAO_U[[#This Row],[dt_eve_u]], TAB_AMORTIZACAO_U[V_PU_AMTC])</f>
        <v>41041.569611000035</v>
      </c>
      <c r="J245" s="48">
        <f>IFERROR(VLOOKUP(TAB_CORRECAO_U[[#This Row],[DT_EVE]], TAB_AMORTIZACAO_U[[DT_EVE]:[V_PU_AMTC]], 2, FALSE), 0)</f>
        <v>686.58441800000003</v>
      </c>
      <c r="K245" s="48">
        <f>NETWORKDAYS(DT_CALCULO_U, TAB_CORRECAO_U[[#This Row],[dt_eve_u]], TAB_FERIADOS[FER_DATA]) -1</f>
        <v>1535</v>
      </c>
      <c r="L245" s="48">
        <f>NETWORKDAYS(DT_CALCULO_U, TAB_CORRECAO_U[[#This Row],[dt_lqdc_eve_u]], TAB_FERIADOS[FER_DATA]) -1</f>
        <v>1539</v>
      </c>
      <c r="M245" s="48">
        <f>NETWORKDAYS(IF(ISTEXT(G244), DT_B_CORC, G244), TAB_CORRECAO_U[[#This Row],[dt_eve_u]], TAB_FERIADOS[FER_DATA]) -1</f>
        <v>21</v>
      </c>
      <c r="N245" s="78">
        <f>(TX_EMISSAO/100 +1)^(TAB_CORRECAO_U[[#This Row],[dias_periodo_u]]/252)</f>
        <v>1.0020598362698427</v>
      </c>
      <c r="O245" s="78">
        <f>(TIR_U/100 +1)^(TAB_CORRECAO_U[[#This Row],[Q_DIAS_U_PARC_TIR]]/252)</f>
        <v>1.1627844935701674</v>
      </c>
      <c r="P245" s="116" t="str">
        <f>"TX_CENARIO" &amp; TEXT(DT_CALCULO_C, "-AAAAMMDD") &amp; TEXT(TAB_CORRECAO_U[[#This Row],[DT_EVE]], "-AAAAMMDD")</f>
        <v>TX_CENARIO-20151228-20220208</v>
      </c>
      <c r="Q245" s="44">
        <f>IFERROR(VLOOKUP(TAB_CORRECAO_U[[#This Row],[Chave-CENARIO]],CENARIO[],2,FALSE), 0)</f>
        <v>16.430099999999999</v>
      </c>
      <c r="R245" s="116" t="str">
        <f>"CORRECAO_CORC_U" &amp; TEXT(DT_CALCULO_C, "-AAAAMMDD") &amp; TEXT(TAB_CORRECAO_U[[#This Row],[DT_EVE]], "-AAAAMMDD")</f>
        <v>CORRECAO_CORC_U-20151228-20220208</v>
      </c>
      <c r="S245" s="44">
        <f>IFERROR(VLOOKUP(TAB_CORRECAO_U[[#This Row],[Chave-CORC]],CORRECAO_CORC_U[],2, FALSE), 0)</f>
        <v>1.0126117699999999</v>
      </c>
      <c r="T245" s="78">
        <f>MAX(0, IF(TAB_CORRECAO_U[[#This Row],[ID_T_EVE]]= 5, TAB_CORRECAO_U[[#This Row],[PU_AMORT]],TAB_CORRECAO_U[[#This Row],[V_NOML_PCPL]]) * (TAB_CORRECAO_U[[#This Row],[CORRECAO_U]] -1))</f>
        <v>517.60683637291822</v>
      </c>
      <c r="U245" s="78">
        <f>MAX(0, TAB_CORRECAO_U[[#This Row],[V_FUT_U_CORC-01]]/((((TAB_CORRECAO_U[[#This Row],[TX_CENARIO]]/100 +1)^(1/252) -1) * PC_IDXR/100 +1)^TAB_CORRECAO_U[[#This Row],[Q_DIAS_U_PARC_TIR]]))</f>
        <v>204.42309489186275</v>
      </c>
      <c r="V245" s="78">
        <f>TAB_CORRECAO_U[[#This Row],[V_FUT_U_CORC-02]]/TAB_CORRECAO_U[[#This Row],[VAR_DESCAP_U]]</f>
        <v>175.80479961872399</v>
      </c>
      <c r="W245" s="78"/>
      <c r="X245" s="101">
        <f>TAB_CORRECAO_U[[#This Row],[dt_eve_u]]- DT_CALCULO_C</f>
        <v>2234</v>
      </c>
      <c r="Y245" s="48" t="str">
        <f>"CORRECAO_CORC_C" &amp; TEXT(DT_CALCULO_C, "-AAAAMMDD") &amp; TEXT(TAB_CORRECAO_U[[#This Row],[DT_EVE]], "-AAAAMMDD")</f>
        <v>CORRECAO_CORC_C-20151228-20220208</v>
      </c>
      <c r="Z245" s="44">
        <f>IFERROR(VLOOKUP(TAB_CORRECAO_C[[#This Row],[Chave-CORC]],CORRECAO_CORC_C[],2, FALSE), 0)</f>
        <v>1</v>
      </c>
      <c r="AA24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5" s="44">
        <f>(TIR_C/100 +1)^(TAB_CORRECAO_C[[#This Row],[DIAS_CORRIDOS]]/360)</f>
        <v>1.1630722644468348</v>
      </c>
      <c r="AC245" s="78">
        <f>IF(TAB_CORRECAO_C[[#This Row],[DIAS_CORRIDOS]]&lt;0, 0, TAB_CORRECAO_C[[#This Row],[V_FUT_C_CORC]]/TAB_CORRECAO_C[[#This Row],[VAR_DESCAP_C]])</f>
        <v>0</v>
      </c>
      <c r="AD245" s="113">
        <f>TAB_CORRECAO_U[[#This Row],[V_FUT_U_CORC-02]]</f>
        <v>204.42309489186275</v>
      </c>
      <c r="AE245" s="126">
        <f>IF(TAB_CORRECAO_C[[#This Row],[DIAS_CORRIDOS]]&lt;0, 0, TAB_CORRECAO_C[[#This Row],[V_FUT_UTEIS]]/TAB_CORRECAO_C[[#This Row],[VAR_DESCAP_C]])</f>
        <v>175.76130146056556</v>
      </c>
      <c r="AF245" s="64"/>
    </row>
    <row r="246" spans="1:32">
      <c r="A246" s="82">
        <f t="shared" si="5"/>
        <v>75</v>
      </c>
      <c r="B246" s="24">
        <f>VLOOKUP($A246, CAD_ATUALIZACAO[#Data], MATCH(B$171, CAD_ATUALIZACAO[#Headers],0), FALSE)</f>
        <v>3</v>
      </c>
      <c r="C246" s="24" t="str">
        <f>VLOOKUP($A246, CAD_ATUALIZACAO[#Data], MATCH(C$171, CAD_ATUALIZACAO[#Headers],0), FALSE)</f>
        <v xml:space="preserve">ATUALIZACAO SOBRE PRINCIPAL                       </v>
      </c>
      <c r="D246" s="36">
        <f>VLOOKUP($A246, CAD_ATUALIZACAO[#Data], MATCH(D$171, CAD_ATUALIZACAO[#Headers],0), FALSE)</f>
        <v>44629</v>
      </c>
      <c r="E246" s="48">
        <f>VLOOKUP($A246, CAD_ATUALIZACAO[#Data], MATCH(E$171, CAD_ATUALIZACAO[#Headers],0), FALSE)</f>
        <v>0</v>
      </c>
      <c r="F246" s="36">
        <f>VLOOKUP($A246, CAD_ATUALIZACAO[#Data], MATCH(F$171, CAD_ATUALIZACAO[#Headers],0), FALSE)</f>
        <v>44635</v>
      </c>
      <c r="G246" s="47">
        <f>WORKDAY(WORKDAY(TAB_CORRECAO_U[[#This Row],[DT_EVE]], -1, TAB_FERIADOS[FER_DATA]), 1, TAB_FERIADOS[FER_DATA])</f>
        <v>44629</v>
      </c>
      <c r="H246" s="75">
        <f>WORKDAY(WORKDAY(TAB_CORRECAO_U[[#This Row],[DT_LQDC_EVE]], -1, TAB_FERIADOS[FER_DATA]), 1, TAB_FERIADOS[FER_DATA])</f>
        <v>44635</v>
      </c>
      <c r="I246" s="48">
        <f>PU_EMISSAO - SUMIF(TAB_AMORTIZACAO_U[dt_eve_u], "&lt;" &amp; TAB_CORRECAO_U[[#This Row],[dt_eve_u]], TAB_AMORTIZACAO_U[V_PU_AMTC])</f>
        <v>40354.985193000037</v>
      </c>
      <c r="J246" s="48">
        <f>IFERROR(VLOOKUP(TAB_CORRECAO_U[[#This Row],[DT_EVE]], TAB_AMORTIZACAO_U[[DT_EVE]:[V_PU_AMTC]], 2, FALSE), 0)</f>
        <v>687.81036700000004</v>
      </c>
      <c r="K246" s="48">
        <f>NETWORKDAYS(DT_CALCULO_U, TAB_CORRECAO_U[[#This Row],[dt_eve_u]], TAB_FERIADOS[FER_DATA]) -1</f>
        <v>1554</v>
      </c>
      <c r="L246" s="48">
        <f>NETWORKDAYS(DT_CALCULO_U, TAB_CORRECAO_U[[#This Row],[dt_lqdc_eve_u]], TAB_FERIADOS[FER_DATA]) -1</f>
        <v>1558</v>
      </c>
      <c r="M246" s="48">
        <f>NETWORKDAYS(IF(ISTEXT(G245), DT_B_CORC, G245), TAB_CORRECAO_U[[#This Row],[dt_eve_u]], TAB_FERIADOS[FER_DATA]) -1</f>
        <v>19</v>
      </c>
      <c r="N246" s="78">
        <f>(TX_EMISSAO/100 +1)^(TAB_CORRECAO_U[[#This Row],[dias_periodo_u]]/252)</f>
        <v>1.0018634787225431</v>
      </c>
      <c r="O246" s="78">
        <f>(TIR_U/100 +1)^(TAB_CORRECAO_U[[#This Row],[Q_DIAS_U_PARC_TIR]]/252)</f>
        <v>1.1649515513212085</v>
      </c>
      <c r="P246" s="116" t="str">
        <f>"TX_CENARIO" &amp; TEXT(DT_CALCULO_C, "-AAAAMMDD") &amp; TEXT(TAB_CORRECAO_U[[#This Row],[DT_EVE]], "-AAAAMMDD")</f>
        <v>TX_CENARIO-20151228-20220309</v>
      </c>
      <c r="Q246" s="44">
        <f>IFERROR(VLOOKUP(TAB_CORRECAO_U[[#This Row],[Chave-CENARIO]],CENARIO[],2,FALSE), 0)</f>
        <v>16.427399999999999</v>
      </c>
      <c r="R246" s="116" t="str">
        <f>"CORRECAO_CORC_U" &amp; TEXT(DT_CALCULO_C, "-AAAAMMDD") &amp; TEXT(TAB_CORRECAO_U[[#This Row],[DT_EVE]], "-AAAAMMDD")</f>
        <v>CORRECAO_CORC_U-20151228-20220309</v>
      </c>
      <c r="S246" s="44">
        <f>IFERROR(VLOOKUP(TAB_CORRECAO_U[[#This Row],[Chave-CORC]],CORRECAO_CORC_U[],2, FALSE), 0)</f>
        <v>1.0114038299999999</v>
      </c>
      <c r="T246" s="78">
        <f>MAX(0, IF(TAB_CORRECAO_U[[#This Row],[ID_T_EVE]]= 5, TAB_CORRECAO_U[[#This Row],[PU_AMORT]],TAB_CORRECAO_U[[#This Row],[V_NOML_PCPL]]) * (TAB_CORRECAO_U[[#This Row],[CORRECAO_U]] -1))</f>
        <v>460.2013907934853</v>
      </c>
      <c r="U246" s="78">
        <f>MAX(0, TAB_CORRECAO_U[[#This Row],[V_FUT_U_CORC-01]]/((((TAB_CORRECAO_U[[#This Row],[TX_CENARIO]]/100 +1)^(1/252) -1) * PC_IDXR/100 +1)^TAB_CORRECAO_U[[#This Row],[Q_DIAS_U_PARC_TIR]]))</f>
        <v>179.70453500874191</v>
      </c>
      <c r="V246" s="78">
        <f>TAB_CORRECAO_U[[#This Row],[V_FUT_U_CORC-02]]/TAB_CORRECAO_U[[#This Row],[VAR_DESCAP_U]]</f>
        <v>154.25923490546307</v>
      </c>
      <c r="W246" s="78"/>
      <c r="X246" s="101">
        <f>TAB_CORRECAO_U[[#This Row],[dt_eve_u]]- DT_CALCULO_C</f>
        <v>2263</v>
      </c>
      <c r="Y246" s="48" t="str">
        <f>"CORRECAO_CORC_C" &amp; TEXT(DT_CALCULO_C, "-AAAAMMDD") &amp; TEXT(TAB_CORRECAO_U[[#This Row],[DT_EVE]], "-AAAAMMDD")</f>
        <v>CORRECAO_CORC_C-20151228-20220309</v>
      </c>
      <c r="Z246" s="44">
        <f>IFERROR(VLOOKUP(TAB_CORRECAO_C[[#This Row],[Chave-CORC]],CORRECAO_CORC_C[],2, FALSE), 0)</f>
        <v>1</v>
      </c>
      <c r="AA24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6" s="44">
        <f>(TIR_C/100 +1)^(TAB_CORRECAO_C[[#This Row],[DIAS_CORRIDOS]]/360)</f>
        <v>1.165355292786129</v>
      </c>
      <c r="AC246" s="78">
        <f>IF(TAB_CORRECAO_C[[#This Row],[DIAS_CORRIDOS]]&lt;0, 0, TAB_CORRECAO_C[[#This Row],[V_FUT_C_CORC]]/TAB_CORRECAO_C[[#This Row],[VAR_DESCAP_C]])</f>
        <v>0</v>
      </c>
      <c r="AD246" s="113">
        <f>TAB_CORRECAO_U[[#This Row],[V_FUT_U_CORC-02]]</f>
        <v>179.70453500874191</v>
      </c>
      <c r="AE246" s="126">
        <f>IF(TAB_CORRECAO_C[[#This Row],[DIAS_CORRIDOS]]&lt;0, 0, TAB_CORRECAO_C[[#This Row],[V_FUT_UTEIS]]/TAB_CORRECAO_C[[#This Row],[VAR_DESCAP_C]])</f>
        <v>154.20579124766721</v>
      </c>
      <c r="AF246" s="64"/>
    </row>
    <row r="247" spans="1:32">
      <c r="A247" s="82">
        <f t="shared" si="5"/>
        <v>76</v>
      </c>
      <c r="B247" s="24">
        <f>VLOOKUP($A247, CAD_ATUALIZACAO[#Data], MATCH(B$171, CAD_ATUALIZACAO[#Headers],0), FALSE)</f>
        <v>3</v>
      </c>
      <c r="C247" s="24" t="str">
        <f>VLOOKUP($A247, CAD_ATUALIZACAO[#Data], MATCH(C$171, CAD_ATUALIZACAO[#Headers],0), FALSE)</f>
        <v xml:space="preserve">ATUALIZACAO SOBRE PRINCIPAL                       </v>
      </c>
      <c r="D247" s="36">
        <f>VLOOKUP($A247, CAD_ATUALIZACAO[#Data], MATCH(D$171, CAD_ATUALIZACAO[#Headers],0), FALSE)</f>
        <v>44659</v>
      </c>
      <c r="E247" s="48">
        <f>VLOOKUP($A247, CAD_ATUALIZACAO[#Data], MATCH(E$171, CAD_ATUALIZACAO[#Headers],0), FALSE)</f>
        <v>0</v>
      </c>
      <c r="F247" s="36">
        <f>VLOOKUP($A247, CAD_ATUALIZACAO[#Data], MATCH(F$171, CAD_ATUALIZACAO[#Headers],0), FALSE)</f>
        <v>44665</v>
      </c>
      <c r="G247" s="47">
        <f>WORKDAY(WORKDAY(TAB_CORRECAO_U[[#This Row],[DT_EVE]], -1, TAB_FERIADOS[FER_DATA]), 1, TAB_FERIADOS[FER_DATA])</f>
        <v>44659</v>
      </c>
      <c r="H247" s="75">
        <f>WORKDAY(WORKDAY(TAB_CORRECAO_U[[#This Row],[DT_LQDC_EVE]], -1, TAB_FERIADOS[FER_DATA]), 1, TAB_FERIADOS[FER_DATA])</f>
        <v>44665</v>
      </c>
      <c r="I247" s="48">
        <f>PU_EMISSAO - SUMIF(TAB_AMORTIZACAO_U[dt_eve_u], "&lt;" &amp; TAB_CORRECAO_U[[#This Row],[dt_eve_u]], TAB_AMORTIZACAO_U[V_PU_AMTC])</f>
        <v>39667.174826000039</v>
      </c>
      <c r="J247" s="48">
        <f>IFERROR(VLOOKUP(TAB_CORRECAO_U[[#This Row],[DT_EVE]], TAB_AMORTIZACAO_U[[DT_EVE]:[V_PU_AMTC]], 2, FALSE), 0)</f>
        <v>667.75722099999996</v>
      </c>
      <c r="K247" s="48">
        <f>NETWORKDAYS(DT_CALCULO_U, TAB_CORRECAO_U[[#This Row],[dt_eve_u]], TAB_FERIADOS[FER_DATA]) -1</f>
        <v>1576</v>
      </c>
      <c r="L247" s="48">
        <f>NETWORKDAYS(DT_CALCULO_U, TAB_CORRECAO_U[[#This Row],[dt_lqdc_eve_u]], TAB_FERIADOS[FER_DATA]) -1</f>
        <v>1580</v>
      </c>
      <c r="M247" s="48">
        <f>NETWORKDAYS(IF(ISTEXT(G246), DT_B_CORC, G246), TAB_CORRECAO_U[[#This Row],[dt_eve_u]], TAB_FERIADOS[FER_DATA]) -1</f>
        <v>22</v>
      </c>
      <c r="N247" s="78">
        <f>(TX_EMISSAO/100 +1)^(TAB_CORRECAO_U[[#This Row],[dias_periodo_u]]/252)</f>
        <v>1.0021580294747356</v>
      </c>
      <c r="O247" s="78">
        <f>(TIR_U/100 +1)^(TAB_CORRECAO_U[[#This Row],[Q_DIAS_U_PARC_TIR]]/252)</f>
        <v>1.1674658221600858</v>
      </c>
      <c r="P247" s="116" t="str">
        <f>"TX_CENARIO" &amp; TEXT(DT_CALCULO_C, "-AAAAMMDD") &amp; TEXT(TAB_CORRECAO_U[[#This Row],[DT_EVE]], "-AAAAMMDD")</f>
        <v>TX_CENARIO-20151228-20220408</v>
      </c>
      <c r="Q247" s="44">
        <f>IFERROR(VLOOKUP(TAB_CORRECAO_U[[#This Row],[Chave-CENARIO]],CENARIO[],2,FALSE), 0)</f>
        <v>16.424399999999999</v>
      </c>
      <c r="R247" s="116" t="str">
        <f>"CORRECAO_CORC_U" &amp; TEXT(DT_CALCULO_C, "-AAAAMMDD") &amp; TEXT(TAB_CORRECAO_U[[#This Row],[DT_EVE]], "-AAAAMMDD")</f>
        <v>CORRECAO_CORC_U-20151228-20220408</v>
      </c>
      <c r="S247" s="44">
        <f>IFERROR(VLOOKUP(TAB_CORRECAO_U[[#This Row],[Chave-CORC]],CORRECAO_CORC_U[],2, FALSE), 0)</f>
        <v>1.01321628</v>
      </c>
      <c r="T247" s="78">
        <f>MAX(0, IF(TAB_CORRECAO_U[[#This Row],[ID_T_EVE]]= 5, TAB_CORRECAO_U[[#This Row],[PU_AMORT]],TAB_CORRECAO_U[[#This Row],[V_NOML_PCPL]]) * (TAB_CORRECAO_U[[#This Row],[CORRECAO_U]] -1))</f>
        <v>524.25248930936652</v>
      </c>
      <c r="U247" s="78">
        <f>MAX(0, TAB_CORRECAO_U[[#This Row],[V_FUT_U_CORC-01]]/((((TAB_CORRECAO_U[[#This Row],[TX_CENARIO]]/100 +1)^(1/252) -1) * PC_IDXR/100 +1)^TAB_CORRECAO_U[[#This Row],[Q_DIAS_U_PARC_TIR]]))</f>
        <v>202.04823058461355</v>
      </c>
      <c r="V247" s="78">
        <f>TAB_CORRECAO_U[[#This Row],[V_FUT_U_CORC-02]]/TAB_CORRECAO_U[[#This Row],[VAR_DESCAP_U]]</f>
        <v>173.06564933162403</v>
      </c>
      <c r="W247" s="78"/>
      <c r="X247" s="101">
        <f>TAB_CORRECAO_U[[#This Row],[dt_eve_u]]- DT_CALCULO_C</f>
        <v>2293</v>
      </c>
      <c r="Y247" s="48" t="str">
        <f>"CORRECAO_CORC_C" &amp; TEXT(DT_CALCULO_C, "-AAAAMMDD") &amp; TEXT(TAB_CORRECAO_U[[#This Row],[DT_EVE]], "-AAAAMMDD")</f>
        <v>CORRECAO_CORC_C-20151228-20220408</v>
      </c>
      <c r="Z247" s="44">
        <f>IFERROR(VLOOKUP(TAB_CORRECAO_C[[#This Row],[Chave-CORC]],CORRECAO_CORC_C[],2, FALSE), 0)</f>
        <v>1</v>
      </c>
      <c r="AA24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7" s="44">
        <f>(TIR_C/100 +1)^(TAB_CORRECAO_C[[#This Row],[DIAS_CORRIDOS]]/360)</f>
        <v>1.1677217622316451</v>
      </c>
      <c r="AC247" s="78">
        <f>IF(TAB_CORRECAO_C[[#This Row],[DIAS_CORRIDOS]]&lt;0, 0, TAB_CORRECAO_C[[#This Row],[V_FUT_C_CORC]]/TAB_CORRECAO_C[[#This Row],[VAR_DESCAP_C]])</f>
        <v>0</v>
      </c>
      <c r="AD247" s="113">
        <f>TAB_CORRECAO_U[[#This Row],[V_FUT_U_CORC-02]]</f>
        <v>202.04823058461355</v>
      </c>
      <c r="AE247" s="126">
        <f>IF(TAB_CORRECAO_C[[#This Row],[DIAS_CORRIDOS]]&lt;0, 0, TAB_CORRECAO_C[[#This Row],[V_FUT_UTEIS]]/TAB_CORRECAO_C[[#This Row],[VAR_DESCAP_C]])</f>
        <v>173.0277169781242</v>
      </c>
      <c r="AF247" s="64"/>
    </row>
    <row r="248" spans="1:32">
      <c r="A248" s="82">
        <f t="shared" si="5"/>
        <v>77</v>
      </c>
      <c r="B248" s="24">
        <f>VLOOKUP($A248, CAD_ATUALIZACAO[#Data], MATCH(B$171, CAD_ATUALIZACAO[#Headers],0), FALSE)</f>
        <v>3</v>
      </c>
      <c r="C248" s="24" t="str">
        <f>VLOOKUP($A248, CAD_ATUALIZACAO[#Data], MATCH(C$171, CAD_ATUALIZACAO[#Headers],0), FALSE)</f>
        <v xml:space="preserve">ATUALIZACAO SOBRE PRINCIPAL                       </v>
      </c>
      <c r="D248" s="36">
        <f>VLOOKUP($A248, CAD_ATUALIZACAO[#Data], MATCH(D$171, CAD_ATUALIZACAO[#Headers],0), FALSE)</f>
        <v>44690</v>
      </c>
      <c r="E248" s="48">
        <f>VLOOKUP($A248, CAD_ATUALIZACAO[#Data], MATCH(E$171, CAD_ATUALIZACAO[#Headers],0), FALSE)</f>
        <v>0</v>
      </c>
      <c r="F248" s="36">
        <f>VLOOKUP($A248, CAD_ATUALIZACAO[#Data], MATCH(F$171, CAD_ATUALIZACAO[#Headers],0), FALSE)</f>
        <v>44694</v>
      </c>
      <c r="G248" s="47">
        <f>WORKDAY(WORKDAY(TAB_CORRECAO_U[[#This Row],[DT_EVE]], -1, TAB_FERIADOS[FER_DATA]), 1, TAB_FERIADOS[FER_DATA])</f>
        <v>44690</v>
      </c>
      <c r="H248" s="75">
        <f>WORKDAY(WORKDAY(TAB_CORRECAO_U[[#This Row],[DT_LQDC_EVE]], -1, TAB_FERIADOS[FER_DATA]), 1, TAB_FERIADOS[FER_DATA])</f>
        <v>44694</v>
      </c>
      <c r="I248" s="48">
        <f>PU_EMISSAO - SUMIF(TAB_AMORTIZACAO_U[dt_eve_u], "&lt;" &amp; TAB_CORRECAO_U[[#This Row],[dt_eve_u]], TAB_AMORTIZACAO_U[V_PU_AMTC])</f>
        <v>38999.417605000039</v>
      </c>
      <c r="J248" s="48">
        <f>IFERROR(VLOOKUP(TAB_CORRECAO_U[[#This Row],[DT_EVE]], TAB_AMORTIZACAO_U[[DT_EVE]:[V_PU_AMTC]], 2, FALSE), 0)</f>
        <v>672.388958</v>
      </c>
      <c r="K248" s="48">
        <f>NETWORKDAYS(DT_CALCULO_U, TAB_CORRECAO_U[[#This Row],[dt_eve_u]], TAB_FERIADOS[FER_DATA]) -1</f>
        <v>1595</v>
      </c>
      <c r="L248" s="48">
        <f>NETWORKDAYS(DT_CALCULO_U, TAB_CORRECAO_U[[#This Row],[dt_lqdc_eve_u]], TAB_FERIADOS[FER_DATA]) -1</f>
        <v>1599</v>
      </c>
      <c r="M248" s="48">
        <f>NETWORKDAYS(IF(ISTEXT(G247), DT_B_CORC, G247), TAB_CORRECAO_U[[#This Row],[dt_eve_u]], TAB_FERIADOS[FER_DATA]) -1</f>
        <v>19</v>
      </c>
      <c r="N248" s="78">
        <f>(TX_EMISSAO/100 +1)^(TAB_CORRECAO_U[[#This Row],[dias_periodo_u]]/252)</f>
        <v>1.0018634787225431</v>
      </c>
      <c r="O248" s="78">
        <f>(TIR_U/100 +1)^(TAB_CORRECAO_U[[#This Row],[Q_DIAS_U_PARC_TIR]]/252)</f>
        <v>1.1696416044077658</v>
      </c>
      <c r="P248" s="116" t="str">
        <f>"TX_CENARIO" &amp; TEXT(DT_CALCULO_C, "-AAAAMMDD") &amp; TEXT(TAB_CORRECAO_U[[#This Row],[DT_EVE]], "-AAAAMMDD")</f>
        <v>TX_CENARIO-20151228-20220509</v>
      </c>
      <c r="Q248" s="44">
        <f>IFERROR(VLOOKUP(TAB_CORRECAO_U[[#This Row],[Chave-CENARIO]],CENARIO[],2,FALSE), 0)</f>
        <v>16.421800000000001</v>
      </c>
      <c r="R248" s="116" t="str">
        <f>"CORRECAO_CORC_U" &amp; TEXT(DT_CALCULO_C, "-AAAAMMDD") &amp; TEXT(TAB_CORRECAO_U[[#This Row],[DT_EVE]], "-AAAAMMDD")</f>
        <v>CORRECAO_CORC_U-20151228-20220509</v>
      </c>
      <c r="S248" s="44">
        <f>IFERROR(VLOOKUP(TAB_CORRECAO_U[[#This Row],[Chave-CORC]],CORRECAO_CORC_U[],2, FALSE), 0)</f>
        <v>1.0114038299999999</v>
      </c>
      <c r="T248" s="78">
        <f>MAX(0, IF(TAB_CORRECAO_U[[#This Row],[ID_T_EVE]]= 5, TAB_CORRECAO_U[[#This Row],[PU_AMORT]],TAB_CORRECAO_U[[#This Row],[V_NOML_PCPL]]) * (TAB_CORRECAO_U[[#This Row],[CORRECAO_U]] -1))</f>
        <v>444.74272846642339</v>
      </c>
      <c r="U248" s="78">
        <f>MAX(0, TAB_CORRECAO_U[[#This Row],[V_FUT_U_CORC-01]]/((((TAB_CORRECAO_U[[#This Row],[TX_CENARIO]]/100 +1)^(1/252) -1) * PC_IDXR/100 +1)^TAB_CORRECAO_U[[#This Row],[Q_DIAS_U_PARC_TIR]]))</f>
        <v>169.47492055855631</v>
      </c>
      <c r="V248" s="78">
        <f>TAB_CORRECAO_U[[#This Row],[V_FUT_U_CORC-02]]/TAB_CORRECAO_U[[#This Row],[VAR_DESCAP_U]]</f>
        <v>144.89474375731353</v>
      </c>
      <c r="W248" s="78"/>
      <c r="X248" s="101">
        <f>TAB_CORRECAO_U[[#This Row],[dt_eve_u]]- DT_CALCULO_C</f>
        <v>2324</v>
      </c>
      <c r="Y248" s="48" t="str">
        <f>"CORRECAO_CORC_C" &amp; TEXT(DT_CALCULO_C, "-AAAAMMDD") &amp; TEXT(TAB_CORRECAO_U[[#This Row],[DT_EVE]], "-AAAAMMDD")</f>
        <v>CORRECAO_CORC_C-20151228-20220509</v>
      </c>
      <c r="Z248" s="44">
        <f>IFERROR(VLOOKUP(TAB_CORRECAO_C[[#This Row],[Chave-CORC]],CORRECAO_CORC_C[],2, FALSE), 0)</f>
        <v>1</v>
      </c>
      <c r="AA24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8" s="44">
        <f>(TIR_C/100 +1)^(TAB_CORRECAO_C[[#This Row],[DIAS_CORRIDOS]]/360)</f>
        <v>1.1701721626071813</v>
      </c>
      <c r="AC248" s="78">
        <f>IF(TAB_CORRECAO_C[[#This Row],[DIAS_CORRIDOS]]&lt;0, 0, TAB_CORRECAO_C[[#This Row],[V_FUT_C_CORC]]/TAB_CORRECAO_C[[#This Row],[VAR_DESCAP_C]])</f>
        <v>0</v>
      </c>
      <c r="AD248" s="113">
        <f>TAB_CORRECAO_U[[#This Row],[V_FUT_U_CORC-02]]</f>
        <v>169.47492055855631</v>
      </c>
      <c r="AE248" s="126">
        <f>IF(TAB_CORRECAO_C[[#This Row],[DIAS_CORRIDOS]]&lt;0, 0, TAB_CORRECAO_C[[#This Row],[V_FUT_UTEIS]]/TAB_CORRECAO_C[[#This Row],[VAR_DESCAP_C]])</f>
        <v>144.82904821540168</v>
      </c>
      <c r="AF248" s="64"/>
    </row>
    <row r="249" spans="1:32">
      <c r="A249" s="82">
        <f t="shared" si="5"/>
        <v>78</v>
      </c>
      <c r="B249" s="24">
        <f>VLOOKUP($A249, CAD_ATUALIZACAO[#Data], MATCH(B$171, CAD_ATUALIZACAO[#Headers],0), FALSE)</f>
        <v>3</v>
      </c>
      <c r="C249" s="24" t="str">
        <f>VLOOKUP($A249, CAD_ATUALIZACAO[#Data], MATCH(C$171, CAD_ATUALIZACAO[#Headers],0), FALSE)</f>
        <v xml:space="preserve">ATUALIZACAO SOBRE PRINCIPAL                       </v>
      </c>
      <c r="D249" s="36">
        <f>VLOOKUP($A249, CAD_ATUALIZACAO[#Data], MATCH(D$171, CAD_ATUALIZACAO[#Headers],0), FALSE)</f>
        <v>44720</v>
      </c>
      <c r="E249" s="48">
        <f>VLOOKUP($A249, CAD_ATUALIZACAO[#Data], MATCH(E$171, CAD_ATUALIZACAO[#Headers],0), FALSE)</f>
        <v>0</v>
      </c>
      <c r="F249" s="36">
        <f>VLOOKUP($A249, CAD_ATUALIZACAO[#Data], MATCH(F$171, CAD_ATUALIZACAO[#Headers],0), FALSE)</f>
        <v>44726</v>
      </c>
      <c r="G249" s="47">
        <f>WORKDAY(WORKDAY(TAB_CORRECAO_U[[#This Row],[DT_EVE]], -1, TAB_FERIADOS[FER_DATA]), 1, TAB_FERIADOS[FER_DATA])</f>
        <v>44720</v>
      </c>
      <c r="H249" s="75">
        <f>WORKDAY(WORKDAY(TAB_CORRECAO_U[[#This Row],[DT_LQDC_EVE]], -1, TAB_FERIADOS[FER_DATA]), 1, TAB_FERIADOS[FER_DATA])</f>
        <v>44726</v>
      </c>
      <c r="I249" s="48">
        <f>PU_EMISSAO - SUMIF(TAB_AMORTIZACAO_U[dt_eve_u], "&lt;" &amp; TAB_CORRECAO_U[[#This Row],[dt_eve_u]], TAB_AMORTIZACAO_U[V_PU_AMTC])</f>
        <v>38327.028647000036</v>
      </c>
      <c r="J249" s="48">
        <f>IFERROR(VLOOKUP(TAB_CORRECAO_U[[#This Row],[DT_EVE]], TAB_AMORTIZACAO_U[[DT_EVE]:[V_PU_AMTC]], 2, FALSE), 0)</f>
        <v>653.09256800000003</v>
      </c>
      <c r="K249" s="48">
        <f>NETWORKDAYS(DT_CALCULO_U, TAB_CORRECAO_U[[#This Row],[dt_eve_u]], TAB_FERIADOS[FER_DATA]) -1</f>
        <v>1617</v>
      </c>
      <c r="L249" s="48">
        <f>NETWORKDAYS(DT_CALCULO_U, TAB_CORRECAO_U[[#This Row],[dt_lqdc_eve_u]], TAB_FERIADOS[FER_DATA]) -1</f>
        <v>1621</v>
      </c>
      <c r="M249" s="48">
        <f>NETWORKDAYS(IF(ISTEXT(G248), DT_B_CORC, G248), TAB_CORRECAO_U[[#This Row],[dt_eve_u]], TAB_FERIADOS[FER_DATA]) -1</f>
        <v>22</v>
      </c>
      <c r="N249" s="78">
        <f>(TX_EMISSAO/100 +1)^(TAB_CORRECAO_U[[#This Row],[dias_periodo_u]]/252)</f>
        <v>1.0021580294747356</v>
      </c>
      <c r="O249" s="78">
        <f>(TIR_U/100 +1)^(TAB_CORRECAO_U[[#This Row],[Q_DIAS_U_PARC_TIR]]/252)</f>
        <v>1.1721659976106975</v>
      </c>
      <c r="P249" s="116" t="str">
        <f>"TX_CENARIO" &amp; TEXT(DT_CALCULO_C, "-AAAAMMDD") &amp; TEXT(TAB_CORRECAO_U[[#This Row],[DT_EVE]], "-AAAAMMDD")</f>
        <v>TX_CENARIO-20151228-20220608</v>
      </c>
      <c r="Q249" s="44">
        <f>IFERROR(VLOOKUP(TAB_CORRECAO_U[[#This Row],[Chave-CENARIO]],CENARIO[],2,FALSE), 0)</f>
        <v>16.419</v>
      </c>
      <c r="R249" s="116" t="str">
        <f>"CORRECAO_CORC_U" &amp; TEXT(DT_CALCULO_C, "-AAAAMMDD") &amp; TEXT(TAB_CORRECAO_U[[#This Row],[DT_EVE]], "-AAAAMMDD")</f>
        <v>CORRECAO_CORC_U-20151228-20220608</v>
      </c>
      <c r="S249" s="44">
        <f>IFERROR(VLOOKUP(TAB_CORRECAO_U[[#This Row],[Chave-CORC]],CORRECAO_CORC_U[],2, FALSE), 0)</f>
        <v>1.01321628</v>
      </c>
      <c r="T249" s="78">
        <f>MAX(0, IF(TAB_CORRECAO_U[[#This Row],[ID_T_EVE]]= 5, TAB_CORRECAO_U[[#This Row],[PU_AMORT]],TAB_CORRECAO_U[[#This Row],[V_NOML_PCPL]]) * (TAB_CORRECAO_U[[#This Row],[CORRECAO_U]] -1))</f>
        <v>506.54074216677247</v>
      </c>
      <c r="U249" s="78">
        <f>MAX(0, TAB_CORRECAO_U[[#This Row],[V_FUT_U_CORC-01]]/((((TAB_CORRECAO_U[[#This Row],[TX_CENARIO]]/100 +1)^(1/252) -1) * PC_IDXR/100 +1)^TAB_CORRECAO_U[[#This Row],[Q_DIAS_U_PARC_TIR]]))</f>
        <v>190.50801583491523</v>
      </c>
      <c r="V249" s="78">
        <f>TAB_CORRECAO_U[[#This Row],[V_FUT_U_CORC-02]]/TAB_CORRECAO_U[[#This Row],[VAR_DESCAP_U]]</f>
        <v>162.52648193450429</v>
      </c>
      <c r="W249" s="78"/>
      <c r="X249" s="101">
        <f>TAB_CORRECAO_U[[#This Row],[dt_eve_u]]- DT_CALCULO_C</f>
        <v>2354</v>
      </c>
      <c r="Y249" s="48" t="str">
        <f>"CORRECAO_CORC_C" &amp; TEXT(DT_CALCULO_C, "-AAAAMMDD") &amp; TEXT(TAB_CORRECAO_U[[#This Row],[DT_EVE]], "-AAAAMMDD")</f>
        <v>CORRECAO_CORC_C-20151228-20220608</v>
      </c>
      <c r="Z249" s="44">
        <f>IFERROR(VLOOKUP(TAB_CORRECAO_C[[#This Row],[Chave-CORC]],CORRECAO_CORC_C[],2, FALSE), 0)</f>
        <v>1</v>
      </c>
      <c r="AA24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49" s="44">
        <f>(TIR_C/100 +1)^(TAB_CORRECAO_C[[#This Row],[DIAS_CORRIDOS]]/360)</f>
        <v>1.1725484135977122</v>
      </c>
      <c r="AC249" s="78">
        <f>IF(TAB_CORRECAO_C[[#This Row],[DIAS_CORRIDOS]]&lt;0, 0, TAB_CORRECAO_C[[#This Row],[V_FUT_C_CORC]]/TAB_CORRECAO_C[[#This Row],[VAR_DESCAP_C]])</f>
        <v>0</v>
      </c>
      <c r="AD249" s="113">
        <f>TAB_CORRECAO_U[[#This Row],[V_FUT_U_CORC-02]]</f>
        <v>190.50801583491523</v>
      </c>
      <c r="AE249" s="126">
        <f>IF(TAB_CORRECAO_C[[#This Row],[DIAS_CORRIDOS]]&lt;0, 0, TAB_CORRECAO_C[[#This Row],[V_FUT_UTEIS]]/TAB_CORRECAO_C[[#This Row],[VAR_DESCAP_C]])</f>
        <v>162.47347540250593</v>
      </c>
      <c r="AF249" s="64"/>
    </row>
    <row r="250" spans="1:32">
      <c r="A250" s="82">
        <f t="shared" si="5"/>
        <v>79</v>
      </c>
      <c r="B250" s="24">
        <f>VLOOKUP($A250, CAD_ATUALIZACAO[#Data], MATCH(B$171, CAD_ATUALIZACAO[#Headers],0), FALSE)</f>
        <v>3</v>
      </c>
      <c r="C250" s="24" t="str">
        <f>VLOOKUP($A250, CAD_ATUALIZACAO[#Data], MATCH(C$171, CAD_ATUALIZACAO[#Headers],0), FALSE)</f>
        <v xml:space="preserve">ATUALIZACAO SOBRE PRINCIPAL                       </v>
      </c>
      <c r="D250" s="36">
        <f>VLOOKUP($A250, CAD_ATUALIZACAO[#Data], MATCH(D$171, CAD_ATUALIZACAO[#Headers],0), FALSE)</f>
        <v>44750</v>
      </c>
      <c r="E250" s="48">
        <f>VLOOKUP($A250, CAD_ATUALIZACAO[#Data], MATCH(E$171, CAD_ATUALIZACAO[#Headers],0), FALSE)</f>
        <v>0</v>
      </c>
      <c r="F250" s="36">
        <f>VLOOKUP($A250, CAD_ATUALIZACAO[#Data], MATCH(F$171, CAD_ATUALIZACAO[#Headers],0), FALSE)</f>
        <v>44756</v>
      </c>
      <c r="G250" s="47">
        <f>WORKDAY(WORKDAY(TAB_CORRECAO_U[[#This Row],[DT_EVE]], -1, TAB_FERIADOS[FER_DATA]), 1, TAB_FERIADOS[FER_DATA])</f>
        <v>44750</v>
      </c>
      <c r="H250" s="75">
        <f>WORKDAY(WORKDAY(TAB_CORRECAO_U[[#This Row],[DT_LQDC_EVE]], -1, TAB_FERIADOS[FER_DATA]), 1, TAB_FERIADOS[FER_DATA])</f>
        <v>44756</v>
      </c>
      <c r="I250" s="48">
        <f>PU_EMISSAO - SUMIF(TAB_AMORTIZACAO_U[dt_eve_u], "&lt;" &amp; TAB_CORRECAO_U[[#This Row],[dt_eve_u]], TAB_AMORTIZACAO_U[V_PU_AMTC])</f>
        <v>37673.936079000036</v>
      </c>
      <c r="J250" s="48">
        <f>IFERROR(VLOOKUP(TAB_CORRECAO_U[[#This Row],[DT_EVE]], TAB_AMORTIZACAO_U[[DT_EVE]:[V_PU_AMTC]], 2, FALSE), 0)</f>
        <v>649.46098400000005</v>
      </c>
      <c r="K250" s="48">
        <f>NETWORKDAYS(DT_CALCULO_U, TAB_CORRECAO_U[[#This Row],[dt_eve_u]], TAB_FERIADOS[FER_DATA]) -1</f>
        <v>1638</v>
      </c>
      <c r="L250" s="48">
        <f>NETWORKDAYS(DT_CALCULO_U, TAB_CORRECAO_U[[#This Row],[dt_lqdc_eve_u]], TAB_FERIADOS[FER_DATA]) -1</f>
        <v>1642</v>
      </c>
      <c r="M250" s="48">
        <f>NETWORKDAYS(IF(ISTEXT(G249), DT_B_CORC, G249), TAB_CORRECAO_U[[#This Row],[dt_eve_u]], TAB_FERIADOS[FER_DATA]) -1</f>
        <v>21</v>
      </c>
      <c r="N250" s="78">
        <f>(TX_EMISSAO/100 +1)^(TAB_CORRECAO_U[[#This Row],[dias_periodo_u]]/252)</f>
        <v>1.0020598362698427</v>
      </c>
      <c r="O250" s="78">
        <f>(TIR_U/100 +1)^(TAB_CORRECAO_U[[#This Row],[Q_DIAS_U_PARC_TIR]]/252)</f>
        <v>1.174580727957488</v>
      </c>
      <c r="P250" s="116" t="str">
        <f>"TX_CENARIO" &amp; TEXT(DT_CALCULO_C, "-AAAAMMDD") &amp; TEXT(TAB_CORRECAO_U[[#This Row],[DT_EVE]], "-AAAAMMDD")</f>
        <v>TX_CENARIO-20151228-20220708</v>
      </c>
      <c r="Q250" s="44">
        <f>IFERROR(VLOOKUP(TAB_CORRECAO_U[[#This Row],[Chave-CENARIO]],CENARIO[],2,FALSE), 0)</f>
        <v>16.4162</v>
      </c>
      <c r="R250" s="116" t="str">
        <f>"CORRECAO_CORC_U" &amp; TEXT(DT_CALCULO_C, "-AAAAMMDD") &amp; TEXT(TAB_CORRECAO_U[[#This Row],[DT_EVE]], "-AAAAMMDD")</f>
        <v>CORRECAO_CORC_U-20151228-20220708</v>
      </c>
      <c r="S250" s="44">
        <f>IFERROR(VLOOKUP(TAB_CORRECAO_U[[#This Row],[Chave-CORC]],CORRECAO_CORC_U[],2, FALSE), 0)</f>
        <v>1.0126092099999999</v>
      </c>
      <c r="T250" s="78">
        <f>MAX(0, IF(TAB_CORRECAO_U[[#This Row],[ID_T_EVE]]= 5, TAB_CORRECAO_U[[#This Row],[PU_AMORT]],TAB_CORRECAO_U[[#This Row],[V_NOML_PCPL]]) * (TAB_CORRECAO_U[[#This Row],[CORRECAO_U]] -1))</f>
        <v>475.03857154668526</v>
      </c>
      <c r="U250" s="78">
        <f>MAX(0, TAB_CORRECAO_U[[#This Row],[V_FUT_U_CORC-01]]/((((TAB_CORRECAO_U[[#This Row],[TX_CENARIO]]/100 +1)^(1/252) -1) * PC_IDXR/100 +1)^TAB_CORRECAO_U[[#This Row],[Q_DIAS_U_PARC_TIR]]))</f>
        <v>176.43868721351828</v>
      </c>
      <c r="V250" s="78">
        <f>TAB_CORRECAO_U[[#This Row],[V_FUT_U_CORC-02]]/TAB_CORRECAO_U[[#This Row],[VAR_DESCAP_U]]</f>
        <v>150.21418538028675</v>
      </c>
      <c r="W250" s="78"/>
      <c r="X250" s="101">
        <f>TAB_CORRECAO_U[[#This Row],[dt_eve_u]]- DT_CALCULO_C</f>
        <v>2384</v>
      </c>
      <c r="Y250" s="48" t="str">
        <f>"CORRECAO_CORC_C" &amp; TEXT(DT_CALCULO_C, "-AAAAMMDD") &amp; TEXT(TAB_CORRECAO_U[[#This Row],[DT_EVE]], "-AAAAMMDD")</f>
        <v>CORRECAO_CORC_C-20151228-20220708</v>
      </c>
      <c r="Z250" s="44">
        <f>IFERROR(VLOOKUP(TAB_CORRECAO_C[[#This Row],[Chave-CORC]],CORRECAO_CORC_C[],2, FALSE), 0)</f>
        <v>1</v>
      </c>
      <c r="AA25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0" s="44">
        <f>(TIR_C/100 +1)^(TAB_CORRECAO_C[[#This Row],[DIAS_CORRIDOS]]/360)</f>
        <v>1.1749294900053489</v>
      </c>
      <c r="AC250" s="78">
        <f>IF(TAB_CORRECAO_C[[#This Row],[DIAS_CORRIDOS]]&lt;0, 0, TAB_CORRECAO_C[[#This Row],[V_FUT_C_CORC]]/TAB_CORRECAO_C[[#This Row],[VAR_DESCAP_C]])</f>
        <v>0</v>
      </c>
      <c r="AD250" s="113">
        <f>TAB_CORRECAO_U[[#This Row],[V_FUT_U_CORC-02]]</f>
        <v>176.43868721351828</v>
      </c>
      <c r="AE250" s="126">
        <f>IF(TAB_CORRECAO_C[[#This Row],[DIAS_CORRIDOS]]&lt;0, 0, TAB_CORRECAO_C[[#This Row],[V_FUT_UTEIS]]/TAB_CORRECAO_C[[#This Row],[VAR_DESCAP_C]])</f>
        <v>150.16959631570322</v>
      </c>
      <c r="AF250" s="64"/>
    </row>
    <row r="251" spans="1:32">
      <c r="A251" s="82">
        <f t="shared" si="5"/>
        <v>80</v>
      </c>
      <c r="B251" s="24">
        <f>VLOOKUP($A251, CAD_ATUALIZACAO[#Data], MATCH(B$171, CAD_ATUALIZACAO[#Headers],0), FALSE)</f>
        <v>3</v>
      </c>
      <c r="C251" s="24" t="str">
        <f>VLOOKUP($A251, CAD_ATUALIZACAO[#Data], MATCH(C$171, CAD_ATUALIZACAO[#Headers],0), FALSE)</f>
        <v xml:space="preserve">ATUALIZACAO SOBRE PRINCIPAL                       </v>
      </c>
      <c r="D251" s="36">
        <f>VLOOKUP($A251, CAD_ATUALIZACAO[#Data], MATCH(D$171, CAD_ATUALIZACAO[#Headers],0), FALSE)</f>
        <v>44781</v>
      </c>
      <c r="E251" s="48">
        <f>VLOOKUP($A251, CAD_ATUALIZACAO[#Data], MATCH(E$171, CAD_ATUALIZACAO[#Headers],0), FALSE)</f>
        <v>0</v>
      </c>
      <c r="F251" s="36">
        <f>VLOOKUP($A251, CAD_ATUALIZACAO[#Data], MATCH(F$171, CAD_ATUALIZACAO[#Headers],0), FALSE)</f>
        <v>44785</v>
      </c>
      <c r="G251" s="47">
        <f>WORKDAY(WORKDAY(TAB_CORRECAO_U[[#This Row],[DT_EVE]], -1, TAB_FERIADOS[FER_DATA]), 1, TAB_FERIADOS[FER_DATA])</f>
        <v>44781</v>
      </c>
      <c r="H251" s="75">
        <f>WORKDAY(WORKDAY(TAB_CORRECAO_U[[#This Row],[DT_LQDC_EVE]], -1, TAB_FERIADOS[FER_DATA]), 1, TAB_FERIADOS[FER_DATA])</f>
        <v>44785</v>
      </c>
      <c r="I251" s="48">
        <f>PU_EMISSAO - SUMIF(TAB_AMORTIZACAO_U[dt_eve_u], "&lt;" &amp; TAB_CORRECAO_U[[#This Row],[dt_eve_u]], TAB_AMORTIZACAO_U[V_PU_AMTC])</f>
        <v>37024.475095000038</v>
      </c>
      <c r="J251" s="48">
        <f>IFERROR(VLOOKUP(TAB_CORRECAO_U[[#This Row],[DT_EVE]], TAB_AMORTIZACAO_U[[DT_EVE]:[V_PU_AMTC]], 2, FALSE), 0)</f>
        <v>641.93034899999998</v>
      </c>
      <c r="K251" s="48">
        <f>NETWORKDAYS(DT_CALCULO_U, TAB_CORRECAO_U[[#This Row],[dt_eve_u]], TAB_FERIADOS[FER_DATA]) -1</f>
        <v>1659</v>
      </c>
      <c r="L251" s="48">
        <f>NETWORKDAYS(DT_CALCULO_U, TAB_CORRECAO_U[[#This Row],[dt_lqdc_eve_u]], TAB_FERIADOS[FER_DATA]) -1</f>
        <v>1663</v>
      </c>
      <c r="M251" s="48">
        <f>NETWORKDAYS(IF(ISTEXT(G250), DT_B_CORC, G250), TAB_CORRECAO_U[[#This Row],[dt_eve_u]], TAB_FERIADOS[FER_DATA]) -1</f>
        <v>21</v>
      </c>
      <c r="N251" s="78">
        <f>(TX_EMISSAO/100 +1)^(TAB_CORRECAO_U[[#This Row],[dias_periodo_u]]/252)</f>
        <v>1.0020598362698427</v>
      </c>
      <c r="O251" s="78">
        <f>(TIR_U/100 +1)^(TAB_CORRECAO_U[[#This Row],[Q_DIAS_U_PARC_TIR]]/252)</f>
        <v>1.1770004327896839</v>
      </c>
      <c r="P251" s="116" t="str">
        <f>"TX_CENARIO" &amp; TEXT(DT_CALCULO_C, "-AAAAMMDD") &amp; TEXT(TAB_CORRECAO_U[[#This Row],[DT_EVE]], "-AAAAMMDD")</f>
        <v>TX_CENARIO-20151228-20220808</v>
      </c>
      <c r="Q251" s="44">
        <f>IFERROR(VLOOKUP(TAB_CORRECAO_U[[#This Row],[Chave-CENARIO]],CENARIO[],2,FALSE), 0)</f>
        <v>16.413399999999999</v>
      </c>
      <c r="R251" s="116" t="str">
        <f>"CORRECAO_CORC_U" &amp; TEXT(DT_CALCULO_C, "-AAAAMMDD") &amp; TEXT(TAB_CORRECAO_U[[#This Row],[DT_EVE]], "-AAAAMMDD")</f>
        <v>CORRECAO_CORC_U-20151228-20220808</v>
      </c>
      <c r="S251" s="44">
        <f>IFERROR(VLOOKUP(TAB_CORRECAO_U[[#This Row],[Chave-CORC]],CORRECAO_CORC_U[],2, FALSE), 0)</f>
        <v>1.01260101</v>
      </c>
      <c r="T251" s="78">
        <f>MAX(0, IF(TAB_CORRECAO_U[[#This Row],[ID_T_EVE]]= 5, TAB_CORRECAO_U[[#This Row],[PU_AMORT]],TAB_CORRECAO_U[[#This Row],[V_NOML_PCPL]]) * (TAB_CORRECAO_U[[#This Row],[CORRECAO_U]] -1))</f>
        <v>466.54578091684732</v>
      </c>
      <c r="U251" s="78">
        <f>MAX(0, TAB_CORRECAO_U[[#This Row],[V_FUT_U_CORC-01]]/((((TAB_CORRECAO_U[[#This Row],[TX_CENARIO]]/100 +1)^(1/252) -1) * PC_IDXR/100 +1)^TAB_CORRECAO_U[[#This Row],[Q_DIAS_U_PARC_TIR]]))</f>
        <v>171.13034438334208</v>
      </c>
      <c r="V251" s="78">
        <f>TAB_CORRECAO_U[[#This Row],[V_FUT_U_CORC-02]]/TAB_CORRECAO_U[[#This Row],[VAR_DESCAP_U]]</f>
        <v>145.39531134898152</v>
      </c>
      <c r="W251" s="78"/>
      <c r="X251" s="101">
        <f>TAB_CORRECAO_U[[#This Row],[dt_eve_u]]- DT_CALCULO_C</f>
        <v>2415</v>
      </c>
      <c r="Y251" s="48" t="str">
        <f>"CORRECAO_CORC_C" &amp; TEXT(DT_CALCULO_C, "-AAAAMMDD") &amp; TEXT(TAB_CORRECAO_U[[#This Row],[DT_EVE]], "-AAAAMMDD")</f>
        <v>CORRECAO_CORC_C-20151228-20220808</v>
      </c>
      <c r="Z251" s="44">
        <f>IFERROR(VLOOKUP(TAB_CORRECAO_C[[#This Row],[Chave-CORC]],CORRECAO_CORC_C[],2, FALSE), 0)</f>
        <v>1</v>
      </c>
      <c r="AA25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1" s="44">
        <f>(TIR_C/100 +1)^(TAB_CORRECAO_C[[#This Row],[DIAS_CORRIDOS]]/360)</f>
        <v>1.1773950154041695</v>
      </c>
      <c r="AC251" s="78">
        <f>IF(TAB_CORRECAO_C[[#This Row],[DIAS_CORRIDOS]]&lt;0, 0, TAB_CORRECAO_C[[#This Row],[V_FUT_C_CORC]]/TAB_CORRECAO_C[[#This Row],[VAR_DESCAP_C]])</f>
        <v>0</v>
      </c>
      <c r="AD251" s="113">
        <f>TAB_CORRECAO_U[[#This Row],[V_FUT_U_CORC-02]]</f>
        <v>171.13034438334208</v>
      </c>
      <c r="AE251" s="126">
        <f>IF(TAB_CORRECAO_C[[#This Row],[DIAS_CORRIDOS]]&lt;0, 0, TAB_CORRECAO_C[[#This Row],[V_FUT_UTEIS]]/TAB_CORRECAO_C[[#This Row],[VAR_DESCAP_C]])</f>
        <v>145.34658474377645</v>
      </c>
      <c r="AF251" s="64"/>
    </row>
    <row r="252" spans="1:32">
      <c r="A252" s="82">
        <f t="shared" si="5"/>
        <v>81</v>
      </c>
      <c r="B252" s="24">
        <f>VLOOKUP($A252, CAD_ATUALIZACAO[#Data], MATCH(B$171, CAD_ATUALIZACAO[#Headers],0), FALSE)</f>
        <v>3</v>
      </c>
      <c r="C252" s="24" t="str">
        <f>VLOOKUP($A252, CAD_ATUALIZACAO[#Data], MATCH(C$171, CAD_ATUALIZACAO[#Headers],0), FALSE)</f>
        <v xml:space="preserve">ATUALIZACAO SOBRE PRINCIPAL                       </v>
      </c>
      <c r="D252" s="36">
        <f>VLOOKUP($A252, CAD_ATUALIZACAO[#Data], MATCH(D$171, CAD_ATUALIZACAO[#Headers],0), FALSE)</f>
        <v>44813</v>
      </c>
      <c r="E252" s="48">
        <f>VLOOKUP($A252, CAD_ATUALIZACAO[#Data], MATCH(E$171, CAD_ATUALIZACAO[#Headers],0), FALSE)</f>
        <v>0</v>
      </c>
      <c r="F252" s="36">
        <f>VLOOKUP($A252, CAD_ATUALIZACAO[#Data], MATCH(F$171, CAD_ATUALIZACAO[#Headers],0), FALSE)</f>
        <v>44819</v>
      </c>
      <c r="G252" s="47">
        <f>WORKDAY(WORKDAY(TAB_CORRECAO_U[[#This Row],[DT_EVE]], -1, TAB_FERIADOS[FER_DATA]), 1, TAB_FERIADOS[FER_DATA])</f>
        <v>44813</v>
      </c>
      <c r="H252" s="75">
        <f>WORKDAY(WORKDAY(TAB_CORRECAO_U[[#This Row],[DT_LQDC_EVE]], -1, TAB_FERIADOS[FER_DATA]), 1, TAB_FERIADOS[FER_DATA])</f>
        <v>44819</v>
      </c>
      <c r="I252" s="48">
        <f>PU_EMISSAO - SUMIF(TAB_AMORTIZACAO_U[dt_eve_u], "&lt;" &amp; TAB_CORRECAO_U[[#This Row],[dt_eve_u]], TAB_AMORTIZACAO_U[V_PU_AMTC])</f>
        <v>36382.544746000036</v>
      </c>
      <c r="J252" s="48">
        <f>IFERROR(VLOOKUP(TAB_CORRECAO_U[[#This Row],[DT_EVE]], TAB_AMORTIZACAO_U[[DT_EVE]:[V_PU_AMTC]], 2, FALSE), 0)</f>
        <v>626.94401100000005</v>
      </c>
      <c r="K252" s="48">
        <f>NETWORKDAYS(DT_CALCULO_U, TAB_CORRECAO_U[[#This Row],[dt_eve_u]], TAB_FERIADOS[FER_DATA]) -1</f>
        <v>1682</v>
      </c>
      <c r="L252" s="48">
        <f>NETWORKDAYS(DT_CALCULO_U, TAB_CORRECAO_U[[#This Row],[dt_lqdc_eve_u]], TAB_FERIADOS[FER_DATA]) -1</f>
        <v>1686</v>
      </c>
      <c r="M252" s="48">
        <f>NETWORKDAYS(IF(ISTEXT(G251), DT_B_CORC, G251), TAB_CORRECAO_U[[#This Row],[dt_eve_u]], TAB_FERIADOS[FER_DATA]) -1</f>
        <v>23</v>
      </c>
      <c r="N252" s="78">
        <f>(TX_EMISSAO/100 +1)^(TAB_CORRECAO_U[[#This Row],[dias_periodo_u]]/252)</f>
        <v>1.0022562323017139</v>
      </c>
      <c r="O252" s="78">
        <f>(TIR_U/100 +1)^(TAB_CORRECAO_U[[#This Row],[Q_DIAS_U_PARC_TIR]]/252)</f>
        <v>1.1796563055193754</v>
      </c>
      <c r="P252" s="116" t="str">
        <f>"TX_CENARIO" &amp; TEXT(DT_CALCULO_C, "-AAAAMMDD") &amp; TEXT(TAB_CORRECAO_U[[#This Row],[DT_EVE]], "-AAAAMMDD")</f>
        <v>TX_CENARIO-20151228-20220909</v>
      </c>
      <c r="Q252" s="44">
        <f>IFERROR(VLOOKUP(TAB_CORRECAO_U[[#This Row],[Chave-CENARIO]],CENARIO[],2,FALSE), 0)</f>
        <v>16.410399999999999</v>
      </c>
      <c r="R252" s="116" t="str">
        <f>"CORRECAO_CORC_U" &amp; TEXT(DT_CALCULO_C, "-AAAAMMDD") &amp; TEXT(TAB_CORRECAO_U[[#This Row],[DT_EVE]], "-AAAAMMDD")</f>
        <v>CORRECAO_CORC_U-20151228-20220909</v>
      </c>
      <c r="S252" s="44">
        <f>IFERROR(VLOOKUP(TAB_CORRECAO_U[[#This Row],[Chave-CORC]],CORRECAO_CORC_U[],2, FALSE), 0)</f>
        <v>1.0138093500000001</v>
      </c>
      <c r="T252" s="78">
        <f>MAX(0, IF(TAB_CORRECAO_U[[#This Row],[ID_T_EVE]]= 5, TAB_CORRECAO_U[[#This Row],[PU_AMORT]],TAB_CORRECAO_U[[#This Row],[V_NOML_PCPL]]) * (TAB_CORRECAO_U[[#This Row],[CORRECAO_U]] -1))</f>
        <v>502.41929428817753</v>
      </c>
      <c r="U252" s="78">
        <f>MAX(0, TAB_CORRECAO_U[[#This Row],[V_FUT_U_CORC-01]]/((((TAB_CORRECAO_U[[#This Row],[TX_CENARIO]]/100 +1)^(1/252) -1) * PC_IDXR/100 +1)^TAB_CORRECAO_U[[#This Row],[Q_DIAS_U_PARC_TIR]]))</f>
        <v>181.78157674414493</v>
      </c>
      <c r="V252" s="78">
        <f>TAB_CORRECAO_U[[#This Row],[V_FUT_U_CORC-02]]/TAB_CORRECAO_U[[#This Row],[VAR_DESCAP_U]]</f>
        <v>154.0970669962305</v>
      </c>
      <c r="W252" s="78"/>
      <c r="X252" s="101">
        <f>TAB_CORRECAO_U[[#This Row],[dt_eve_u]]- DT_CALCULO_C</f>
        <v>2447</v>
      </c>
      <c r="Y252" s="48" t="str">
        <f>"CORRECAO_CORC_C" &amp; TEXT(DT_CALCULO_C, "-AAAAMMDD") &amp; TEXT(TAB_CORRECAO_U[[#This Row],[DT_EVE]], "-AAAAMMDD")</f>
        <v>CORRECAO_CORC_C-20151228-20220909</v>
      </c>
      <c r="Z252" s="44">
        <f>IFERROR(VLOOKUP(TAB_CORRECAO_C[[#This Row],[Chave-CORC]],CORRECAO_CORC_C[],2, FALSE), 0)</f>
        <v>1</v>
      </c>
      <c r="AA25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2" s="44">
        <f>(TIR_C/100 +1)^(TAB_CORRECAO_C[[#This Row],[DIAS_CORRIDOS]]/360)</f>
        <v>1.1799455008088231</v>
      </c>
      <c r="AC252" s="78">
        <f>IF(TAB_CORRECAO_C[[#This Row],[DIAS_CORRIDOS]]&lt;0, 0, TAB_CORRECAO_C[[#This Row],[V_FUT_C_CORC]]/TAB_CORRECAO_C[[#This Row],[VAR_DESCAP_C]])</f>
        <v>0</v>
      </c>
      <c r="AD252" s="113">
        <f>TAB_CORRECAO_U[[#This Row],[V_FUT_U_CORC-02]]</f>
        <v>181.78157674414493</v>
      </c>
      <c r="AE252" s="126">
        <f>IF(TAB_CORRECAO_C[[#This Row],[DIAS_CORRIDOS]]&lt;0, 0, TAB_CORRECAO_C[[#This Row],[V_FUT_UTEIS]]/TAB_CORRECAO_C[[#This Row],[VAR_DESCAP_C]])</f>
        <v>154.05929902655521</v>
      </c>
      <c r="AF252" s="64"/>
    </row>
    <row r="253" spans="1:32">
      <c r="A253" s="82">
        <f t="shared" si="5"/>
        <v>82</v>
      </c>
      <c r="B253" s="24">
        <f>VLOOKUP($A253, CAD_ATUALIZACAO[#Data], MATCH(B$171, CAD_ATUALIZACAO[#Headers],0), FALSE)</f>
        <v>3</v>
      </c>
      <c r="C253" s="24" t="str">
        <f>VLOOKUP($A253, CAD_ATUALIZACAO[#Data], MATCH(C$171, CAD_ATUALIZACAO[#Headers],0), FALSE)</f>
        <v xml:space="preserve">ATUALIZACAO SOBRE PRINCIPAL                       </v>
      </c>
      <c r="D253" s="36">
        <f>VLOOKUP($A253, CAD_ATUALIZACAO[#Data], MATCH(D$171, CAD_ATUALIZACAO[#Headers],0), FALSE)</f>
        <v>44845</v>
      </c>
      <c r="E253" s="48">
        <f>VLOOKUP($A253, CAD_ATUALIZACAO[#Data], MATCH(E$171, CAD_ATUALIZACAO[#Headers],0), FALSE)</f>
        <v>0</v>
      </c>
      <c r="F253" s="36">
        <f>VLOOKUP($A253, CAD_ATUALIZACAO[#Data], MATCH(F$171, CAD_ATUALIZACAO[#Headers],0), FALSE)</f>
        <v>44851</v>
      </c>
      <c r="G253" s="47">
        <f>WORKDAY(WORKDAY(TAB_CORRECAO_U[[#This Row],[DT_EVE]], -1, TAB_FERIADOS[FER_DATA]), 1, TAB_FERIADOS[FER_DATA])</f>
        <v>44845</v>
      </c>
      <c r="H253" s="75">
        <f>WORKDAY(WORKDAY(TAB_CORRECAO_U[[#This Row],[DT_LQDC_EVE]], -1, TAB_FERIADOS[FER_DATA]), 1, TAB_FERIADOS[FER_DATA])</f>
        <v>44851</v>
      </c>
      <c r="I253" s="48">
        <f>PU_EMISSAO - SUMIF(TAB_AMORTIZACAO_U[dt_eve_u], "&lt;" &amp; TAB_CORRECAO_U[[#This Row],[dt_eve_u]], TAB_AMORTIZACAO_U[V_PU_AMTC])</f>
        <v>35755.600735000036</v>
      </c>
      <c r="J253" s="48">
        <f>IFERROR(VLOOKUP(TAB_CORRECAO_U[[#This Row],[DT_EVE]], TAB_AMORTIZACAO_U[[DT_EVE]:[V_PU_AMTC]], 2, FALSE), 0)</f>
        <v>626.83143600000005</v>
      </c>
      <c r="K253" s="48">
        <f>NETWORKDAYS(DT_CALCULO_U, TAB_CORRECAO_U[[#This Row],[dt_eve_u]], TAB_FERIADOS[FER_DATA]) -1</f>
        <v>1704</v>
      </c>
      <c r="L253" s="48">
        <f>NETWORKDAYS(DT_CALCULO_U, TAB_CORRECAO_U[[#This Row],[dt_lqdc_eve_u]], TAB_FERIADOS[FER_DATA]) -1</f>
        <v>1707</v>
      </c>
      <c r="M253" s="48">
        <f>NETWORKDAYS(IF(ISTEXT(G252), DT_B_CORC, G252), TAB_CORRECAO_U[[#This Row],[dt_eve_u]], TAB_FERIADOS[FER_DATA]) -1</f>
        <v>22</v>
      </c>
      <c r="N253" s="78">
        <f>(TX_EMISSAO/100 +1)^(TAB_CORRECAO_U[[#This Row],[dias_periodo_u]]/252)</f>
        <v>1.0021580294747356</v>
      </c>
      <c r="O253" s="78">
        <f>(TIR_U/100 +1)^(TAB_CORRECAO_U[[#This Row],[Q_DIAS_U_PARC_TIR]]/252)</f>
        <v>1.1820864663374906</v>
      </c>
      <c r="P253" s="116" t="str">
        <f>"TX_CENARIO" &amp; TEXT(DT_CALCULO_C, "-AAAAMMDD") &amp; TEXT(TAB_CORRECAO_U[[#This Row],[DT_EVE]], "-AAAAMMDD")</f>
        <v>TX_CENARIO-20151228-20221011</v>
      </c>
      <c r="Q253" s="44">
        <f>IFERROR(VLOOKUP(TAB_CORRECAO_U[[#This Row],[Chave-CENARIO]],CENARIO[],2,FALSE), 0)</f>
        <v>16.407699999999998</v>
      </c>
      <c r="R253" s="116" t="str">
        <f>"CORRECAO_CORC_U" &amp; TEXT(DT_CALCULO_C, "-AAAAMMDD") &amp; TEXT(TAB_CORRECAO_U[[#This Row],[DT_EVE]], "-AAAAMMDD")</f>
        <v>CORRECAO_CORC_U-20151228-20221011</v>
      </c>
      <c r="S253" s="44">
        <f>IFERROR(VLOOKUP(TAB_CORRECAO_U[[#This Row],[Chave-CORC]],CORRECAO_CORC_U[],2, FALSE), 0)</f>
        <v>1.0132049999999999</v>
      </c>
      <c r="T253" s="78">
        <f>MAX(0, IF(TAB_CORRECAO_U[[#This Row],[ID_T_EVE]]= 5, TAB_CORRECAO_U[[#This Row],[PU_AMORT]],TAB_CORRECAO_U[[#This Row],[V_NOML_PCPL]]) * (TAB_CORRECAO_U[[#This Row],[CORRECAO_U]] -1))</f>
        <v>472.1527077056723</v>
      </c>
      <c r="U253" s="78">
        <f>MAX(0, TAB_CORRECAO_U[[#This Row],[V_FUT_U_CORC-01]]/((((TAB_CORRECAO_U[[#This Row],[TX_CENARIO]]/100 +1)^(1/252) -1) * PC_IDXR/100 +1)^TAB_CORRECAO_U[[#This Row],[Q_DIAS_U_PARC_TIR]]))</f>
        <v>168.7077212546416</v>
      </c>
      <c r="V253" s="78">
        <f>TAB_CORRECAO_U[[#This Row],[V_FUT_U_CORC-02]]/TAB_CORRECAO_U[[#This Row],[VAR_DESCAP_U]]</f>
        <v>142.72028828597962</v>
      </c>
      <c r="W253" s="78"/>
      <c r="X253" s="101">
        <f>TAB_CORRECAO_U[[#This Row],[dt_eve_u]]- DT_CALCULO_C</f>
        <v>2479</v>
      </c>
      <c r="Y253" s="48" t="str">
        <f>"CORRECAO_CORC_C" &amp; TEXT(DT_CALCULO_C, "-AAAAMMDD") &amp; TEXT(TAB_CORRECAO_U[[#This Row],[DT_EVE]], "-AAAAMMDD")</f>
        <v>CORRECAO_CORC_C-20151228-20221011</v>
      </c>
      <c r="Z253" s="44">
        <f>IFERROR(VLOOKUP(TAB_CORRECAO_C[[#This Row],[Chave-CORC]],CORRECAO_CORC_C[],2, FALSE), 0)</f>
        <v>1</v>
      </c>
      <c r="AA25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3" s="44">
        <f>(TIR_C/100 +1)^(TAB_CORRECAO_C[[#This Row],[DIAS_CORRIDOS]]/360)</f>
        <v>1.1825015111016528</v>
      </c>
      <c r="AC253" s="78">
        <f>IF(TAB_CORRECAO_C[[#This Row],[DIAS_CORRIDOS]]&lt;0, 0, TAB_CORRECAO_C[[#This Row],[V_FUT_C_CORC]]/TAB_CORRECAO_C[[#This Row],[VAR_DESCAP_C]])</f>
        <v>0</v>
      </c>
      <c r="AD253" s="113">
        <f>TAB_CORRECAO_U[[#This Row],[V_FUT_U_CORC-02]]</f>
        <v>168.7077212546416</v>
      </c>
      <c r="AE253" s="126">
        <f>IF(TAB_CORRECAO_C[[#This Row],[DIAS_CORRIDOS]]&lt;0, 0, TAB_CORRECAO_C[[#This Row],[V_FUT_UTEIS]]/TAB_CORRECAO_C[[#This Row],[VAR_DESCAP_C]])</f>
        <v>142.67019506593999</v>
      </c>
      <c r="AF253" s="64"/>
    </row>
    <row r="254" spans="1:32">
      <c r="A254" s="82">
        <f t="shared" si="5"/>
        <v>83</v>
      </c>
      <c r="B254" s="24">
        <f>VLOOKUP($A254, CAD_ATUALIZACAO[#Data], MATCH(B$171, CAD_ATUALIZACAO[#Headers],0), FALSE)</f>
        <v>3</v>
      </c>
      <c r="C254" s="24" t="str">
        <f>VLOOKUP($A254, CAD_ATUALIZACAO[#Data], MATCH(C$171, CAD_ATUALIZACAO[#Headers],0), FALSE)</f>
        <v xml:space="preserve">ATUALIZACAO SOBRE PRINCIPAL                       </v>
      </c>
      <c r="D254" s="36">
        <f>VLOOKUP($A254, CAD_ATUALIZACAO[#Data], MATCH(D$171, CAD_ATUALIZACAO[#Headers],0), FALSE)</f>
        <v>44875</v>
      </c>
      <c r="E254" s="48">
        <f>VLOOKUP($A254, CAD_ATUALIZACAO[#Data], MATCH(E$171, CAD_ATUALIZACAO[#Headers],0), FALSE)</f>
        <v>0</v>
      </c>
      <c r="F254" s="36">
        <f>VLOOKUP($A254, CAD_ATUALIZACAO[#Data], MATCH(F$171, CAD_ATUALIZACAO[#Headers],0), FALSE)</f>
        <v>44881</v>
      </c>
      <c r="G254" s="47">
        <f>WORKDAY(WORKDAY(TAB_CORRECAO_U[[#This Row],[DT_EVE]], -1, TAB_FERIADOS[FER_DATA]), 1, TAB_FERIADOS[FER_DATA])</f>
        <v>44875</v>
      </c>
      <c r="H254" s="75">
        <f>WORKDAY(WORKDAY(TAB_CORRECAO_U[[#This Row],[DT_LQDC_EVE]], -1, TAB_FERIADOS[FER_DATA]), 1, TAB_FERIADOS[FER_DATA])</f>
        <v>44881</v>
      </c>
      <c r="I254" s="48">
        <f>PU_EMISSAO - SUMIF(TAB_AMORTIZACAO_U[dt_eve_u], "&lt;" &amp; TAB_CORRECAO_U[[#This Row],[dt_eve_u]], TAB_AMORTIZACAO_U[V_PU_AMTC])</f>
        <v>35128.769299000036</v>
      </c>
      <c r="J254" s="48">
        <f>IFERROR(VLOOKUP(TAB_CORRECAO_U[[#This Row],[DT_EVE]], TAB_AMORTIZACAO_U[[DT_EVE]:[V_PU_AMTC]], 2, FALSE), 0)</f>
        <v>623.46539700000005</v>
      </c>
      <c r="K254" s="48">
        <f>NETWORKDAYS(DT_CALCULO_U, TAB_CORRECAO_U[[#This Row],[dt_eve_u]], TAB_FERIADOS[FER_DATA]) -1</f>
        <v>1724</v>
      </c>
      <c r="L254" s="48">
        <f>NETWORKDAYS(DT_CALCULO_U, TAB_CORRECAO_U[[#This Row],[dt_lqdc_eve_u]], TAB_FERIADOS[FER_DATA]) -1</f>
        <v>1727</v>
      </c>
      <c r="M254" s="48">
        <f>NETWORKDAYS(IF(ISTEXT(G253), DT_B_CORC, G253), TAB_CORRECAO_U[[#This Row],[dt_eve_u]], TAB_FERIADOS[FER_DATA]) -1</f>
        <v>20</v>
      </c>
      <c r="N254" s="78">
        <f>(TX_EMISSAO/100 +1)^(TAB_CORRECAO_U[[#This Row],[dias_periodo_u]]/252)</f>
        <v>1.0019616526860928</v>
      </c>
      <c r="O254" s="78">
        <f>(TIR_U/100 +1)^(TAB_CORRECAO_U[[#This Row],[Q_DIAS_U_PARC_TIR]]/252)</f>
        <v>1.1844055594179628</v>
      </c>
      <c r="P254" s="116" t="str">
        <f>"TX_CENARIO" &amp; TEXT(DT_CALCULO_C, "-AAAAMMDD") &amp; TEXT(TAB_CORRECAO_U[[#This Row],[DT_EVE]], "-AAAAMMDD")</f>
        <v>TX_CENARIO-20151228-20221110</v>
      </c>
      <c r="Q254" s="44">
        <f>IFERROR(VLOOKUP(TAB_CORRECAO_U[[#This Row],[Chave-CENARIO]],CENARIO[],2,FALSE), 0)</f>
        <v>16.4053</v>
      </c>
      <c r="R254" s="116" t="str">
        <f>"CORRECAO_CORC_U" &amp; TEXT(DT_CALCULO_C, "-AAAAMMDD") &amp; TEXT(TAB_CORRECAO_U[[#This Row],[DT_EVE]], "-AAAAMMDD")</f>
        <v>CORRECAO_CORC_U-20151228-20221110</v>
      </c>
      <c r="S254" s="44">
        <f>IFERROR(VLOOKUP(TAB_CORRECAO_U[[#This Row],[Chave-CORC]],CORRECAO_CORC_U[],2, FALSE), 0)</f>
        <v>1.01199737</v>
      </c>
      <c r="T254" s="78">
        <f>MAX(0, IF(TAB_CORRECAO_U[[#This Row],[ID_T_EVE]]= 5, TAB_CORRECAO_U[[#This Row],[PU_AMORT]],TAB_CORRECAO_U[[#This Row],[V_NOML_PCPL]]) * (TAB_CORRECAO_U[[#This Row],[CORRECAO_U]] -1))</f>
        <v>421.45284292474429</v>
      </c>
      <c r="U254" s="78">
        <f>MAX(0, TAB_CORRECAO_U[[#This Row],[V_FUT_U_CORC-01]]/((((TAB_CORRECAO_U[[#This Row],[TX_CENARIO]]/100 +1)^(1/252) -1) * PC_IDXR/100 +1)^TAB_CORRECAO_U[[#This Row],[Q_DIAS_U_PARC_TIR]]))</f>
        <v>148.80796667774246</v>
      </c>
      <c r="V254" s="78">
        <f>TAB_CORRECAO_U[[#This Row],[V_FUT_U_CORC-02]]/TAB_CORRECAO_U[[#This Row],[VAR_DESCAP_U]]</f>
        <v>125.63936862206999</v>
      </c>
      <c r="W254" s="78"/>
      <c r="X254" s="101">
        <f>TAB_CORRECAO_U[[#This Row],[dt_eve_u]]- DT_CALCULO_C</f>
        <v>2509</v>
      </c>
      <c r="Y254" s="48" t="str">
        <f>"CORRECAO_CORC_C" &amp; TEXT(DT_CALCULO_C, "-AAAAMMDD") &amp; TEXT(TAB_CORRECAO_U[[#This Row],[DT_EVE]], "-AAAAMMDD")</f>
        <v>CORRECAO_CORC_C-20151228-20221110</v>
      </c>
      <c r="Z254" s="44">
        <f>IFERROR(VLOOKUP(TAB_CORRECAO_C[[#This Row],[Chave-CORC]],CORRECAO_CORC_C[],2, FALSE), 0)</f>
        <v>1</v>
      </c>
      <c r="AA25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4" s="44">
        <f>(TIR_C/100 +1)^(TAB_CORRECAO_C[[#This Row],[DIAS_CORRIDOS]]/360)</f>
        <v>1.1849027991145202</v>
      </c>
      <c r="AC254" s="78">
        <f>IF(TAB_CORRECAO_C[[#This Row],[DIAS_CORRIDOS]]&lt;0, 0, TAB_CORRECAO_C[[#This Row],[V_FUT_C_CORC]]/TAB_CORRECAO_C[[#This Row],[VAR_DESCAP_C]])</f>
        <v>0</v>
      </c>
      <c r="AD254" s="113">
        <f>TAB_CORRECAO_U[[#This Row],[V_FUT_U_CORC-02]]</f>
        <v>148.80796667774246</v>
      </c>
      <c r="AE254" s="126">
        <f>IF(TAB_CORRECAO_C[[#This Row],[DIAS_CORRIDOS]]&lt;0, 0, TAB_CORRECAO_C[[#This Row],[V_FUT_UTEIS]]/TAB_CORRECAO_C[[#This Row],[VAR_DESCAP_C]])</f>
        <v>125.58664456607487</v>
      </c>
      <c r="AF254" s="64"/>
    </row>
    <row r="255" spans="1:32">
      <c r="A255" s="82">
        <f t="shared" si="5"/>
        <v>84</v>
      </c>
      <c r="B255" s="24">
        <f>VLOOKUP($A255, CAD_ATUALIZACAO[#Data], MATCH(B$171, CAD_ATUALIZACAO[#Headers],0), FALSE)</f>
        <v>3</v>
      </c>
      <c r="C255" s="24" t="str">
        <f>VLOOKUP($A255, CAD_ATUALIZACAO[#Data], MATCH(C$171, CAD_ATUALIZACAO[#Headers],0), FALSE)</f>
        <v xml:space="preserve">ATUALIZACAO SOBRE PRINCIPAL                       </v>
      </c>
      <c r="D255" s="36">
        <f>VLOOKUP($A255, CAD_ATUALIZACAO[#Data], MATCH(D$171, CAD_ATUALIZACAO[#Headers],0), FALSE)</f>
        <v>44903</v>
      </c>
      <c r="E255" s="48">
        <f>VLOOKUP($A255, CAD_ATUALIZACAO[#Data], MATCH(E$171, CAD_ATUALIZACAO[#Headers],0), FALSE)</f>
        <v>0</v>
      </c>
      <c r="F255" s="36">
        <f>VLOOKUP($A255, CAD_ATUALIZACAO[#Data], MATCH(F$171, CAD_ATUALIZACAO[#Headers],0), FALSE)</f>
        <v>44909</v>
      </c>
      <c r="G255" s="47">
        <f>WORKDAY(WORKDAY(TAB_CORRECAO_U[[#This Row],[DT_EVE]], -1, TAB_FERIADOS[FER_DATA]), 1, TAB_FERIADOS[FER_DATA])</f>
        <v>44903</v>
      </c>
      <c r="H255" s="75">
        <f>WORKDAY(WORKDAY(TAB_CORRECAO_U[[#This Row],[DT_LQDC_EVE]], -1, TAB_FERIADOS[FER_DATA]), 1, TAB_FERIADOS[FER_DATA])</f>
        <v>44909</v>
      </c>
      <c r="I255" s="48">
        <f>PU_EMISSAO - SUMIF(TAB_AMORTIZACAO_U[dt_eve_u], "&lt;" &amp; TAB_CORRECAO_U[[#This Row],[dt_eve_u]], TAB_AMORTIZACAO_U[V_PU_AMTC])</f>
        <v>34505.303902000036</v>
      </c>
      <c r="J255" s="48">
        <f>IFERROR(VLOOKUP(TAB_CORRECAO_U[[#This Row],[DT_EVE]], TAB_AMORTIZACAO_U[[DT_EVE]:[V_PU_AMTC]], 2, FALSE), 0)</f>
        <v>616.85131699999999</v>
      </c>
      <c r="K255" s="48">
        <f>NETWORKDAYS(DT_CALCULO_U, TAB_CORRECAO_U[[#This Row],[dt_eve_u]], TAB_FERIADOS[FER_DATA]) -1</f>
        <v>1743</v>
      </c>
      <c r="L255" s="48">
        <f>NETWORKDAYS(DT_CALCULO_U, TAB_CORRECAO_U[[#This Row],[dt_lqdc_eve_u]], TAB_FERIADOS[FER_DATA]) -1</f>
        <v>1747</v>
      </c>
      <c r="M255" s="48">
        <f>NETWORKDAYS(IF(ISTEXT(G254), DT_B_CORC, G254), TAB_CORRECAO_U[[#This Row],[dt_eve_u]], TAB_FERIADOS[FER_DATA]) -1</f>
        <v>19</v>
      </c>
      <c r="N255" s="78">
        <f>(TX_EMISSAO/100 +1)^(TAB_CORRECAO_U[[#This Row],[dias_periodo_u]]/252)</f>
        <v>1.0018634787225431</v>
      </c>
      <c r="O255" s="78">
        <f>(TIR_U/100 +1)^(TAB_CORRECAO_U[[#This Row],[Q_DIAS_U_PARC_TIR]]/252)</f>
        <v>1.1867292022440494</v>
      </c>
      <c r="P255" s="116" t="str">
        <f>"TX_CENARIO" &amp; TEXT(DT_CALCULO_C, "-AAAAMMDD") &amp; TEXT(TAB_CORRECAO_U[[#This Row],[DT_EVE]], "-AAAAMMDD")</f>
        <v>TX_CENARIO-20151228-20221208</v>
      </c>
      <c r="Q255" s="44">
        <f>IFERROR(VLOOKUP(TAB_CORRECAO_U[[#This Row],[Chave-CENARIO]],CENARIO[],2,FALSE), 0)</f>
        <v>16.402799999999999</v>
      </c>
      <c r="R255" s="116" t="str">
        <f>"CORRECAO_CORC_U" &amp; TEXT(DT_CALCULO_C, "-AAAAMMDD") &amp; TEXT(TAB_CORRECAO_U[[#This Row],[DT_EVE]], "-AAAAMMDD")</f>
        <v>CORRECAO_CORC_U-20151228-20221208</v>
      </c>
      <c r="S255" s="44">
        <f>IFERROR(VLOOKUP(TAB_CORRECAO_U[[#This Row],[Chave-CORC]],CORRECAO_CORC_U[],2, FALSE), 0)</f>
        <v>1.0113941</v>
      </c>
      <c r="T255" s="78">
        <f>MAX(0, IF(TAB_CORRECAO_U[[#This Row],[ID_T_EVE]]= 5, TAB_CORRECAO_U[[#This Row],[PU_AMORT]],TAB_CORRECAO_U[[#This Row],[V_NOML_PCPL]]) * (TAB_CORRECAO_U[[#This Row],[CORRECAO_U]] -1))</f>
        <v>393.15688318977732</v>
      </c>
      <c r="U255" s="78">
        <f>MAX(0, TAB_CORRECAO_U[[#This Row],[V_FUT_U_CORC-01]]/((((TAB_CORRECAO_U[[#This Row],[TX_CENARIO]]/100 +1)^(1/252) -1) * PC_IDXR/100 +1)^TAB_CORRECAO_U[[#This Row],[Q_DIAS_U_PARC_TIR]]))</f>
        <v>137.1740013898447</v>
      </c>
      <c r="V255" s="78">
        <f>TAB_CORRECAO_U[[#This Row],[V_FUT_U_CORC-02]]/TAB_CORRECAO_U[[#This Row],[VAR_DESCAP_U]]</f>
        <v>115.58997716619351</v>
      </c>
      <c r="W255" s="78"/>
      <c r="X255" s="101">
        <f>TAB_CORRECAO_U[[#This Row],[dt_eve_u]]- DT_CALCULO_C</f>
        <v>2537</v>
      </c>
      <c r="Y255" s="48" t="str">
        <f>"CORRECAO_CORC_C" &amp; TEXT(DT_CALCULO_C, "-AAAAMMDD") &amp; TEXT(TAB_CORRECAO_U[[#This Row],[DT_EVE]], "-AAAAMMDD")</f>
        <v>CORRECAO_CORC_C-20151228-20221208</v>
      </c>
      <c r="Z255" s="44">
        <f>IFERROR(VLOOKUP(TAB_CORRECAO_C[[#This Row],[Chave-CORC]],CORRECAO_CORC_C[],2, FALSE), 0)</f>
        <v>1</v>
      </c>
      <c r="AA25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5" s="44">
        <f>(TIR_C/100 +1)^(TAB_CORRECAO_C[[#This Row],[DIAS_CORRIDOS]]/360)</f>
        <v>1.1871484005310395</v>
      </c>
      <c r="AC255" s="78">
        <f>IF(TAB_CORRECAO_C[[#This Row],[DIAS_CORRIDOS]]&lt;0, 0, TAB_CORRECAO_C[[#This Row],[V_FUT_C_CORC]]/TAB_CORRECAO_C[[#This Row],[VAR_DESCAP_C]])</f>
        <v>0</v>
      </c>
      <c r="AD255" s="113">
        <f>TAB_CORRECAO_U[[#This Row],[V_FUT_U_CORC-02]]</f>
        <v>137.1740013898447</v>
      </c>
      <c r="AE255" s="126">
        <f>IF(TAB_CORRECAO_C[[#This Row],[DIAS_CORRIDOS]]&lt;0, 0, TAB_CORRECAO_C[[#This Row],[V_FUT_UTEIS]]/TAB_CORRECAO_C[[#This Row],[VAR_DESCAP_C]])</f>
        <v>115.54916076918735</v>
      </c>
      <c r="AF255" s="64"/>
    </row>
    <row r="256" spans="1:32">
      <c r="A256" s="82">
        <f t="shared" si="5"/>
        <v>85</v>
      </c>
      <c r="B256" s="24">
        <f>VLOOKUP($A256, CAD_ATUALIZACAO[#Data], MATCH(B$171, CAD_ATUALIZACAO[#Headers],0), FALSE)</f>
        <v>3</v>
      </c>
      <c r="C256" s="24" t="str">
        <f>VLOOKUP($A256, CAD_ATUALIZACAO[#Data], MATCH(C$171, CAD_ATUALIZACAO[#Headers],0), FALSE)</f>
        <v xml:space="preserve">ATUALIZACAO SOBRE PRINCIPAL                       </v>
      </c>
      <c r="D256" s="36">
        <f>VLOOKUP($A256, CAD_ATUALIZACAO[#Data], MATCH(D$171, CAD_ATUALIZACAO[#Headers],0), FALSE)</f>
        <v>44935</v>
      </c>
      <c r="E256" s="48">
        <f>VLOOKUP($A256, CAD_ATUALIZACAO[#Data], MATCH(E$171, CAD_ATUALIZACAO[#Headers],0), FALSE)</f>
        <v>0</v>
      </c>
      <c r="F256" s="36">
        <f>VLOOKUP($A256, CAD_ATUALIZACAO[#Data], MATCH(F$171, CAD_ATUALIZACAO[#Headers],0), FALSE)</f>
        <v>44939</v>
      </c>
      <c r="G256" s="47">
        <f>WORKDAY(WORKDAY(TAB_CORRECAO_U[[#This Row],[DT_EVE]], -1, TAB_FERIADOS[FER_DATA]), 1, TAB_FERIADOS[FER_DATA])</f>
        <v>44935</v>
      </c>
      <c r="H256" s="75">
        <f>WORKDAY(WORKDAY(TAB_CORRECAO_U[[#This Row],[DT_LQDC_EVE]], -1, TAB_FERIADOS[FER_DATA]), 1, TAB_FERIADOS[FER_DATA])</f>
        <v>44939</v>
      </c>
      <c r="I256" s="48">
        <f>PU_EMISSAO - SUMIF(TAB_AMORTIZACAO_U[dt_eve_u], "&lt;" &amp; TAB_CORRECAO_U[[#This Row],[dt_eve_u]], TAB_AMORTIZACAO_U[V_PU_AMTC])</f>
        <v>33888.452585000035</v>
      </c>
      <c r="J256" s="48">
        <f>IFERROR(VLOOKUP(TAB_CORRECAO_U[[#This Row],[DT_EVE]], TAB_AMORTIZACAO_U[[DT_EVE]:[V_PU_AMTC]], 2, FALSE), 0)</f>
        <v>652.38660000000004</v>
      </c>
      <c r="K256" s="48">
        <f>NETWORKDAYS(DT_CALCULO_U, TAB_CORRECAO_U[[#This Row],[dt_eve_u]], TAB_FERIADOS[FER_DATA]) -1</f>
        <v>1765</v>
      </c>
      <c r="L256" s="48">
        <f>NETWORKDAYS(DT_CALCULO_U, TAB_CORRECAO_U[[#This Row],[dt_lqdc_eve_u]], TAB_FERIADOS[FER_DATA]) -1</f>
        <v>1769</v>
      </c>
      <c r="M256" s="48">
        <f>NETWORKDAYS(IF(ISTEXT(G255), DT_B_CORC, G255), TAB_CORRECAO_U[[#This Row],[dt_eve_u]], TAB_FERIADOS[FER_DATA]) -1</f>
        <v>22</v>
      </c>
      <c r="N256" s="78">
        <f>(TX_EMISSAO/100 +1)^(TAB_CORRECAO_U[[#This Row],[dias_periodo_u]]/252)</f>
        <v>1.0021580294747356</v>
      </c>
      <c r="O256" s="78">
        <f>(TIR_U/100 +1)^(TAB_CORRECAO_U[[#This Row],[Q_DIAS_U_PARC_TIR]]/252)</f>
        <v>1.1892904749626119</v>
      </c>
      <c r="P256" s="116" t="str">
        <f>"TX_CENARIO" &amp; TEXT(DT_CALCULO_C, "-AAAAMMDD") &amp; TEXT(TAB_CORRECAO_U[[#This Row],[DT_EVE]], "-AAAAMMDD")</f>
        <v>TX_CENARIO-20151228-20230109</v>
      </c>
      <c r="Q256" s="44">
        <f>IFERROR(VLOOKUP(TAB_CORRECAO_U[[#This Row],[Chave-CENARIO]],CENARIO[],2,FALSE), 0)</f>
        <v>16.400600000000001</v>
      </c>
      <c r="R256" s="116" t="str">
        <f>"CORRECAO_CORC_U" &amp; TEXT(DT_CALCULO_C, "-AAAAMMDD") &amp; TEXT(TAB_CORRECAO_U[[#This Row],[DT_EVE]], "-AAAAMMDD")</f>
        <v>CORRECAO_CORC_U-20151228-20230109</v>
      </c>
      <c r="S256" s="44">
        <f>IFERROR(VLOOKUP(TAB_CORRECAO_U[[#This Row],[Chave-CORC]],CORRECAO_CORC_U[],2, FALSE), 0)</f>
        <v>1.01326413</v>
      </c>
      <c r="T256" s="78">
        <f>MAX(0, IF(TAB_CORRECAO_U[[#This Row],[ID_T_EVE]]= 5, TAB_CORRECAO_U[[#This Row],[PU_AMORT]],TAB_CORRECAO_U[[#This Row],[V_NOML_PCPL]]) * (TAB_CORRECAO_U[[#This Row],[CORRECAO_U]] -1))</f>
        <v>449.50084058627789</v>
      </c>
      <c r="U256" s="78">
        <f>MAX(0, TAB_CORRECAO_U[[#This Row],[V_FUT_U_CORC-01]]/((((TAB_CORRECAO_U[[#This Row],[TX_CENARIO]]/100 +1)^(1/252) -1) * PC_IDXR/100 +1)^TAB_CORRECAO_U[[#This Row],[Q_DIAS_U_PARC_TIR]]))</f>
        <v>154.78730554745781</v>
      </c>
      <c r="V256" s="78">
        <f>TAB_CORRECAO_U[[#This Row],[V_FUT_U_CORC-02]]/TAB_CORRECAO_U[[#This Row],[VAR_DESCAP_U]]</f>
        <v>130.15096715739182</v>
      </c>
      <c r="W256" s="78"/>
      <c r="X256" s="101">
        <f>TAB_CORRECAO_U[[#This Row],[dt_eve_u]]- DT_CALCULO_C</f>
        <v>2569</v>
      </c>
      <c r="Y256" s="48" t="str">
        <f>"CORRECAO_CORC_C" &amp; TEXT(DT_CALCULO_C, "-AAAAMMDD") &amp; TEXT(TAB_CORRECAO_U[[#This Row],[DT_EVE]], "-AAAAMMDD")</f>
        <v>CORRECAO_CORC_C-20151228-20230109</v>
      </c>
      <c r="Z256" s="44">
        <f>IFERROR(VLOOKUP(TAB_CORRECAO_C[[#This Row],[Chave-CORC]],CORRECAO_CORC_C[],2, FALSE), 0)</f>
        <v>1</v>
      </c>
      <c r="AA25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6" s="44">
        <f>(TIR_C/100 +1)^(TAB_CORRECAO_C[[#This Row],[DIAS_CORRIDOS]]/360)</f>
        <v>1.1897200138206312</v>
      </c>
      <c r="AC256" s="78">
        <f>IF(TAB_CORRECAO_C[[#This Row],[DIAS_CORRIDOS]]&lt;0, 0, TAB_CORRECAO_C[[#This Row],[V_FUT_C_CORC]]/TAB_CORRECAO_C[[#This Row],[VAR_DESCAP_C]])</f>
        <v>0</v>
      </c>
      <c r="AD256" s="113">
        <f>TAB_CORRECAO_U[[#This Row],[V_FUT_U_CORC-02]]</f>
        <v>154.78730554745781</v>
      </c>
      <c r="AE256" s="126">
        <f>IF(TAB_CORRECAO_C[[#This Row],[DIAS_CORRIDOS]]&lt;0, 0, TAB_CORRECAO_C[[#This Row],[V_FUT_UTEIS]]/TAB_CORRECAO_C[[#This Row],[VAR_DESCAP_C]])</f>
        <v>130.10397719575928</v>
      </c>
      <c r="AF256" s="64"/>
    </row>
    <row r="257" spans="1:32">
      <c r="A257" s="82">
        <f t="shared" si="5"/>
        <v>86</v>
      </c>
      <c r="B257" s="24">
        <f>VLOOKUP($A257, CAD_ATUALIZACAO[#Data], MATCH(B$171, CAD_ATUALIZACAO[#Headers],0), FALSE)</f>
        <v>3</v>
      </c>
      <c r="C257" s="24" t="str">
        <f>VLOOKUP($A257, CAD_ATUALIZACAO[#Data], MATCH(C$171, CAD_ATUALIZACAO[#Headers],0), FALSE)</f>
        <v xml:space="preserve">ATUALIZACAO SOBRE PRINCIPAL                       </v>
      </c>
      <c r="D257" s="36">
        <f>VLOOKUP($A257, CAD_ATUALIZACAO[#Data], MATCH(D$171, CAD_ATUALIZACAO[#Headers],0), FALSE)</f>
        <v>44965</v>
      </c>
      <c r="E257" s="48">
        <f>VLOOKUP($A257, CAD_ATUALIZACAO[#Data], MATCH(E$171, CAD_ATUALIZACAO[#Headers],0), FALSE)</f>
        <v>0</v>
      </c>
      <c r="F257" s="36">
        <f>VLOOKUP($A257, CAD_ATUALIZACAO[#Data], MATCH(F$171, CAD_ATUALIZACAO[#Headers],0), FALSE)</f>
        <v>44971</v>
      </c>
      <c r="G257" s="47">
        <f>WORKDAY(WORKDAY(TAB_CORRECAO_U[[#This Row],[DT_EVE]], -1, TAB_FERIADOS[FER_DATA]), 1, TAB_FERIADOS[FER_DATA])</f>
        <v>44965</v>
      </c>
      <c r="H257" s="75">
        <f>WORKDAY(WORKDAY(TAB_CORRECAO_U[[#This Row],[DT_LQDC_EVE]], -1, TAB_FERIADOS[FER_DATA]), 1, TAB_FERIADOS[FER_DATA])</f>
        <v>44971</v>
      </c>
      <c r="I257" s="48">
        <f>PU_EMISSAO - SUMIF(TAB_AMORTIZACAO_U[dt_eve_u], "&lt;" &amp; TAB_CORRECAO_U[[#This Row],[dt_eve_u]], TAB_AMORTIZACAO_U[V_PU_AMTC])</f>
        <v>33236.065985000037</v>
      </c>
      <c r="J257" s="48">
        <f>IFERROR(VLOOKUP(TAB_CORRECAO_U[[#This Row],[DT_EVE]], TAB_AMORTIZACAO_U[[DT_EVE]:[V_PU_AMTC]], 2, FALSE), 0)</f>
        <v>644.54702699999996</v>
      </c>
      <c r="K257" s="48">
        <f>NETWORKDAYS(DT_CALCULO_U, TAB_CORRECAO_U[[#This Row],[dt_eve_u]], TAB_FERIADOS[FER_DATA]) -1</f>
        <v>1787</v>
      </c>
      <c r="L257" s="48">
        <f>NETWORKDAYS(DT_CALCULO_U, TAB_CORRECAO_U[[#This Row],[dt_lqdc_eve_u]], TAB_FERIADOS[FER_DATA]) -1</f>
        <v>1791</v>
      </c>
      <c r="M257" s="48">
        <f>NETWORKDAYS(IF(ISTEXT(G256), DT_B_CORC, G256), TAB_CORRECAO_U[[#This Row],[dt_eve_u]], TAB_FERIADOS[FER_DATA]) -1</f>
        <v>22</v>
      </c>
      <c r="N257" s="78">
        <f>(TX_EMISSAO/100 +1)^(TAB_CORRECAO_U[[#This Row],[dias_periodo_u]]/252)</f>
        <v>1.0021580294747356</v>
      </c>
      <c r="O257" s="78">
        <f>(TIR_U/100 +1)^(TAB_CORRECAO_U[[#This Row],[Q_DIAS_U_PARC_TIR]]/252)</f>
        <v>1.1918572755791366</v>
      </c>
      <c r="P257" s="116" t="str">
        <f>"TX_CENARIO" &amp; TEXT(DT_CALCULO_C, "-AAAAMMDD") &amp; TEXT(TAB_CORRECAO_U[[#This Row],[DT_EVE]], "-AAAAMMDD")</f>
        <v>TX_CENARIO-20151228-20230208</v>
      </c>
      <c r="Q257" s="44">
        <f>IFERROR(VLOOKUP(TAB_CORRECAO_U[[#This Row],[Chave-CENARIO]],CENARIO[],2,FALSE), 0)</f>
        <v>16.398900000000001</v>
      </c>
      <c r="R257" s="116" t="str">
        <f>"CORRECAO_CORC_U" &amp; TEXT(DT_CALCULO_C, "-AAAAMMDD") &amp; TEXT(TAB_CORRECAO_U[[#This Row],[DT_EVE]], "-AAAAMMDD")</f>
        <v>CORRECAO_CORC_U-20151228-20230208</v>
      </c>
      <c r="S257" s="44">
        <f>IFERROR(VLOOKUP(TAB_CORRECAO_U[[#This Row],[Chave-CORC]],CORRECAO_CORC_U[],2, FALSE), 0)</f>
        <v>1.0134652</v>
      </c>
      <c r="T257" s="78">
        <f>MAX(0, IF(TAB_CORRECAO_U[[#This Row],[ID_T_EVE]]= 5, TAB_CORRECAO_U[[#This Row],[PU_AMORT]],TAB_CORRECAO_U[[#This Row],[V_NOML_PCPL]]) * (TAB_CORRECAO_U[[#This Row],[CORRECAO_U]] -1))</f>
        <v>447.530275701221</v>
      </c>
      <c r="U257" s="78">
        <f>MAX(0, TAB_CORRECAO_U[[#This Row],[V_FUT_U_CORC-01]]/((((TAB_CORRECAO_U[[#This Row],[TX_CENARIO]]/100 +1)^(1/252) -1) * PC_IDXR/100 +1)^TAB_CORRECAO_U[[#This Row],[Q_DIAS_U_PARC_TIR]]))</f>
        <v>152.09478978749647</v>
      </c>
      <c r="V257" s="78">
        <f>TAB_CORRECAO_U[[#This Row],[V_FUT_U_CORC-02]]/TAB_CORRECAO_U[[#This Row],[VAR_DESCAP_U]]</f>
        <v>127.61157976200795</v>
      </c>
      <c r="W257" s="78"/>
      <c r="X257" s="101">
        <f>TAB_CORRECAO_U[[#This Row],[dt_eve_u]]- DT_CALCULO_C</f>
        <v>2599</v>
      </c>
      <c r="Y257" s="48" t="str">
        <f>"CORRECAO_CORC_C" &amp; TEXT(DT_CALCULO_C, "-AAAAMMDD") &amp; TEXT(TAB_CORRECAO_U[[#This Row],[DT_EVE]], "-AAAAMMDD")</f>
        <v>CORRECAO_CORC_C-20151228-20230208</v>
      </c>
      <c r="Z257" s="44">
        <f>IFERROR(VLOOKUP(TAB_CORRECAO_C[[#This Row],[Chave-CORC]],CORRECAO_CORC_C[],2, FALSE), 0)</f>
        <v>1</v>
      </c>
      <c r="AA25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7" s="44">
        <f>(TIR_C/100 +1)^(TAB_CORRECAO_C[[#This Row],[DIAS_CORRIDOS]]/360)</f>
        <v>1.192135960338276</v>
      </c>
      <c r="AC257" s="78">
        <f>IF(TAB_CORRECAO_C[[#This Row],[DIAS_CORRIDOS]]&lt;0, 0, TAB_CORRECAO_C[[#This Row],[V_FUT_C_CORC]]/TAB_CORRECAO_C[[#This Row],[VAR_DESCAP_C]])</f>
        <v>0</v>
      </c>
      <c r="AD257" s="113">
        <f>TAB_CORRECAO_U[[#This Row],[V_FUT_U_CORC-02]]</f>
        <v>152.09478978749647</v>
      </c>
      <c r="AE257" s="126">
        <f>IF(TAB_CORRECAO_C[[#This Row],[DIAS_CORRIDOS]]&lt;0, 0, TAB_CORRECAO_C[[#This Row],[V_FUT_UTEIS]]/TAB_CORRECAO_C[[#This Row],[VAR_DESCAP_C]])</f>
        <v>127.58174809552648</v>
      </c>
      <c r="AF257" s="64"/>
    </row>
    <row r="258" spans="1:32">
      <c r="A258" s="82">
        <f t="shared" si="5"/>
        <v>87</v>
      </c>
      <c r="B258" s="24">
        <f>VLOOKUP($A258, CAD_ATUALIZACAO[#Data], MATCH(B$171, CAD_ATUALIZACAO[#Headers],0), FALSE)</f>
        <v>3</v>
      </c>
      <c r="C258" s="24" t="str">
        <f>VLOOKUP($A258, CAD_ATUALIZACAO[#Data], MATCH(C$171, CAD_ATUALIZACAO[#Headers],0), FALSE)</f>
        <v xml:space="preserve">ATUALIZACAO SOBRE PRINCIPAL                       </v>
      </c>
      <c r="D258" s="36">
        <f>VLOOKUP($A258, CAD_ATUALIZACAO[#Data], MATCH(D$171, CAD_ATUALIZACAO[#Headers],0), FALSE)</f>
        <v>44993</v>
      </c>
      <c r="E258" s="48">
        <f>VLOOKUP($A258, CAD_ATUALIZACAO[#Data], MATCH(E$171, CAD_ATUALIZACAO[#Headers],0), FALSE)</f>
        <v>0</v>
      </c>
      <c r="F258" s="36">
        <f>VLOOKUP($A258, CAD_ATUALIZACAO[#Data], MATCH(F$171, CAD_ATUALIZACAO[#Headers],0), FALSE)</f>
        <v>44999</v>
      </c>
      <c r="G258" s="47">
        <f>WORKDAY(WORKDAY(TAB_CORRECAO_U[[#This Row],[DT_EVE]], -1, TAB_FERIADOS[FER_DATA]), 1, TAB_FERIADOS[FER_DATA])</f>
        <v>44993</v>
      </c>
      <c r="H258" s="75">
        <f>WORKDAY(WORKDAY(TAB_CORRECAO_U[[#This Row],[DT_LQDC_EVE]], -1, TAB_FERIADOS[FER_DATA]), 1, TAB_FERIADOS[FER_DATA])</f>
        <v>44999</v>
      </c>
      <c r="I258" s="48">
        <f>PU_EMISSAO - SUMIF(TAB_AMORTIZACAO_U[dt_eve_u], "&lt;" &amp; TAB_CORRECAO_U[[#This Row],[dt_eve_u]], TAB_AMORTIZACAO_U[V_PU_AMTC])</f>
        <v>32591.518958000044</v>
      </c>
      <c r="J258" s="48">
        <f>IFERROR(VLOOKUP(TAB_CORRECAO_U[[#This Row],[DT_EVE]], TAB_AMORTIZACAO_U[[DT_EVE]:[V_PU_AMTC]], 2, FALSE), 0)</f>
        <v>651.27632300000005</v>
      </c>
      <c r="K258" s="48">
        <f>NETWORKDAYS(DT_CALCULO_U, TAB_CORRECAO_U[[#This Row],[dt_eve_u]], TAB_FERIADOS[FER_DATA]) -1</f>
        <v>1805</v>
      </c>
      <c r="L258" s="48">
        <f>NETWORKDAYS(DT_CALCULO_U, TAB_CORRECAO_U[[#This Row],[dt_lqdc_eve_u]], TAB_FERIADOS[FER_DATA]) -1</f>
        <v>1809</v>
      </c>
      <c r="M258" s="48">
        <f>NETWORKDAYS(IF(ISTEXT(G257), DT_B_CORC, G257), TAB_CORRECAO_U[[#This Row],[dt_eve_u]], TAB_FERIADOS[FER_DATA]) -1</f>
        <v>18</v>
      </c>
      <c r="N258" s="78">
        <f>(TX_EMISSAO/100 +1)^(TAB_CORRECAO_U[[#This Row],[dias_periodo_u]]/252)</f>
        <v>1.0017653143782506</v>
      </c>
      <c r="O258" s="78">
        <f>(TIR_U/100 +1)^(TAB_CORRECAO_U[[#This Row],[Q_DIAS_U_PARC_TIR]]/252)</f>
        <v>1.1939615051695178</v>
      </c>
      <c r="P258" s="116" t="str">
        <f>"TX_CENARIO" &amp; TEXT(DT_CALCULO_C, "-AAAAMMDD") &amp; TEXT(TAB_CORRECAO_U[[#This Row],[DT_EVE]], "-AAAAMMDD")</f>
        <v>TX_CENARIO-20151228-20230308</v>
      </c>
      <c r="Q258" s="44">
        <f>IFERROR(VLOOKUP(TAB_CORRECAO_U[[#This Row],[Chave-CENARIO]],CENARIO[],2,FALSE), 0)</f>
        <v>16.397600000000001</v>
      </c>
      <c r="R258" s="116" t="str">
        <f>"CORRECAO_CORC_U" &amp; TEXT(DT_CALCULO_C, "-AAAAMMDD") &amp; TEXT(TAB_CORRECAO_U[[#This Row],[DT_EVE]], "-AAAAMMDD")</f>
        <v>CORRECAO_CORC_U-20151228-20230308</v>
      </c>
      <c r="S258" s="44">
        <f>IFERROR(VLOOKUP(TAB_CORRECAO_U[[#This Row],[Chave-CORC]],CORRECAO_CORC_U[],2, FALSE), 0)</f>
        <v>1.01100357</v>
      </c>
      <c r="T258" s="78">
        <f>MAX(0, IF(TAB_CORRECAO_U[[#This Row],[ID_T_EVE]]= 5, TAB_CORRECAO_U[[#This Row],[PU_AMORT]],TAB_CORRECAO_U[[#This Row],[V_NOML_PCPL]]) * (TAB_CORRECAO_U[[#This Row],[CORRECAO_U]] -1))</f>
        <v>358.62306026067932</v>
      </c>
      <c r="U258" s="78">
        <f>MAX(0, TAB_CORRECAO_U[[#This Row],[V_FUT_U_CORC-01]]/((((TAB_CORRECAO_U[[#This Row],[TX_CENARIO]]/100 +1)^(1/252) -1) * PC_IDXR/100 +1)^TAB_CORRECAO_U[[#This Row],[Q_DIAS_U_PARC_TIR]]))</f>
        <v>120.57417900632473</v>
      </c>
      <c r="V258" s="78">
        <f>TAB_CORRECAO_U[[#This Row],[V_FUT_U_CORC-02]]/TAB_CORRECAO_U[[#This Row],[VAR_DESCAP_U]]</f>
        <v>100.9866553354295</v>
      </c>
      <c r="W258" s="78"/>
      <c r="X258" s="101">
        <f>TAB_CORRECAO_U[[#This Row],[dt_eve_u]]- DT_CALCULO_C</f>
        <v>2627</v>
      </c>
      <c r="Y258" s="48" t="str">
        <f>"CORRECAO_CORC_C" &amp; TEXT(DT_CALCULO_C, "-AAAAMMDD") &amp; TEXT(TAB_CORRECAO_U[[#This Row],[DT_EVE]], "-AAAAMMDD")</f>
        <v>CORRECAO_CORC_C-20151228-20230308</v>
      </c>
      <c r="Z258" s="44">
        <f>IFERROR(VLOOKUP(TAB_CORRECAO_C[[#This Row],[Chave-CORC]],CORRECAO_CORC_C[],2, FALSE), 0)</f>
        <v>1</v>
      </c>
      <c r="AA25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8" s="44">
        <f>(TIR_C/100 +1)^(TAB_CORRECAO_C[[#This Row],[DIAS_CORRIDOS]]/360)</f>
        <v>1.1943952698809825</v>
      </c>
      <c r="AC258" s="78">
        <f>IF(TAB_CORRECAO_C[[#This Row],[DIAS_CORRIDOS]]&lt;0, 0, TAB_CORRECAO_C[[#This Row],[V_FUT_C_CORC]]/TAB_CORRECAO_C[[#This Row],[VAR_DESCAP_C]])</f>
        <v>0</v>
      </c>
      <c r="AD258" s="113">
        <f>TAB_CORRECAO_U[[#This Row],[V_FUT_U_CORC-02]]</f>
        <v>120.57417900632473</v>
      </c>
      <c r="AE258" s="126">
        <f>IF(TAB_CORRECAO_C[[#This Row],[DIAS_CORRIDOS]]&lt;0, 0, TAB_CORRECAO_C[[#This Row],[V_FUT_UTEIS]]/TAB_CORRECAO_C[[#This Row],[VAR_DESCAP_C]])</f>
        <v>100.94998033468396</v>
      </c>
      <c r="AF258" s="64"/>
    </row>
    <row r="259" spans="1:32">
      <c r="A259" s="82">
        <f t="shared" si="5"/>
        <v>88</v>
      </c>
      <c r="B259" s="24">
        <f>VLOOKUP($A259, CAD_ATUALIZACAO[#Data], MATCH(B$171, CAD_ATUALIZACAO[#Headers],0), FALSE)</f>
        <v>3</v>
      </c>
      <c r="C259" s="24" t="str">
        <f>VLOOKUP($A259, CAD_ATUALIZACAO[#Data], MATCH(C$171, CAD_ATUALIZACAO[#Headers],0), FALSE)</f>
        <v xml:space="preserve">ATUALIZACAO SOBRE PRINCIPAL                       </v>
      </c>
      <c r="D259" s="36">
        <f>VLOOKUP($A259, CAD_ATUALIZACAO[#Data], MATCH(D$171, CAD_ATUALIZACAO[#Headers],0), FALSE)</f>
        <v>45027</v>
      </c>
      <c r="E259" s="48">
        <f>VLOOKUP($A259, CAD_ATUALIZACAO[#Data], MATCH(E$171, CAD_ATUALIZACAO[#Headers],0), FALSE)</f>
        <v>0</v>
      </c>
      <c r="F259" s="36">
        <f>VLOOKUP($A259, CAD_ATUALIZACAO[#Data], MATCH(F$171, CAD_ATUALIZACAO[#Headers],0), FALSE)</f>
        <v>45033</v>
      </c>
      <c r="G259" s="47">
        <f>WORKDAY(WORKDAY(TAB_CORRECAO_U[[#This Row],[DT_EVE]], -1, TAB_FERIADOS[FER_DATA]), 1, TAB_FERIADOS[FER_DATA])</f>
        <v>45027</v>
      </c>
      <c r="H259" s="75">
        <f>WORKDAY(WORKDAY(TAB_CORRECAO_U[[#This Row],[DT_LQDC_EVE]], -1, TAB_FERIADOS[FER_DATA]), 1, TAB_FERIADOS[FER_DATA])</f>
        <v>45033</v>
      </c>
      <c r="I259" s="48">
        <f>PU_EMISSAO - SUMIF(TAB_AMORTIZACAO_U[dt_eve_u], "&lt;" &amp; TAB_CORRECAO_U[[#This Row],[dt_eve_u]], TAB_AMORTIZACAO_U[V_PU_AMTC])</f>
        <v>31940.242635000046</v>
      </c>
      <c r="J259" s="48">
        <f>IFERROR(VLOOKUP(TAB_CORRECAO_U[[#This Row],[DT_EVE]], TAB_AMORTIZACAO_U[[DT_EVE]:[V_PU_AMTC]], 2, FALSE), 0)</f>
        <v>627.33830499999999</v>
      </c>
      <c r="K259" s="48">
        <f>NETWORKDAYS(DT_CALCULO_U, TAB_CORRECAO_U[[#This Row],[dt_eve_u]], TAB_FERIADOS[FER_DATA]) -1</f>
        <v>1828</v>
      </c>
      <c r="L259" s="48">
        <f>NETWORKDAYS(DT_CALCULO_U, TAB_CORRECAO_U[[#This Row],[dt_lqdc_eve_u]], TAB_FERIADOS[FER_DATA]) -1</f>
        <v>1832</v>
      </c>
      <c r="M259" s="48">
        <f>NETWORKDAYS(IF(ISTEXT(G258), DT_B_CORC, G258), TAB_CORRECAO_U[[#This Row],[dt_eve_u]], TAB_FERIADOS[FER_DATA]) -1</f>
        <v>23</v>
      </c>
      <c r="N259" s="78">
        <f>(TX_EMISSAO/100 +1)^(TAB_CORRECAO_U[[#This Row],[dias_periodo_u]]/252)</f>
        <v>1.0022562323017139</v>
      </c>
      <c r="O259" s="78">
        <f>(TIR_U/100 +1)^(TAB_CORRECAO_U[[#This Row],[Q_DIAS_U_PARC_TIR]]/252)</f>
        <v>1.1966556501447794</v>
      </c>
      <c r="P259" s="116" t="str">
        <f>"TX_CENARIO" &amp; TEXT(DT_CALCULO_C, "-AAAAMMDD") &amp; TEXT(TAB_CORRECAO_U[[#This Row],[DT_EVE]], "-AAAAMMDD")</f>
        <v>TX_CENARIO-20151228-20230411</v>
      </c>
      <c r="Q259" s="44">
        <f>IFERROR(VLOOKUP(TAB_CORRECAO_U[[#This Row],[Chave-CENARIO]],CENARIO[],2,FALSE), 0)</f>
        <v>16.395900000000001</v>
      </c>
      <c r="R259" s="116" t="str">
        <f>"CORRECAO_CORC_U" &amp; TEXT(DT_CALCULO_C, "-AAAAMMDD") &amp; TEXT(TAB_CORRECAO_U[[#This Row],[DT_EVE]], "-AAAAMMDD")</f>
        <v>CORRECAO_CORC_U-20151228-20230411</v>
      </c>
      <c r="S259" s="44">
        <f>IFERROR(VLOOKUP(TAB_CORRECAO_U[[#This Row],[Chave-CORC]],CORRECAO_CORC_U[],2, FALSE), 0)</f>
        <v>1.01408155</v>
      </c>
      <c r="T259" s="78">
        <f>MAX(0, IF(TAB_CORRECAO_U[[#This Row],[ID_T_EVE]]= 5, TAB_CORRECAO_U[[#This Row],[PU_AMORT]],TAB_CORRECAO_U[[#This Row],[V_NOML_PCPL]]) * (TAB_CORRECAO_U[[#This Row],[CORRECAO_U]] -1))</f>
        <v>449.76812367688484</v>
      </c>
      <c r="U259" s="78">
        <f>MAX(0, TAB_CORRECAO_U[[#This Row],[V_FUT_U_CORC-01]]/((((TAB_CORRECAO_U[[#This Row],[TX_CENARIO]]/100 +1)^(1/252) -1) * PC_IDXR/100 +1)^TAB_CORRECAO_U[[#This Row],[Q_DIAS_U_PARC_TIR]]))</f>
        <v>149.15306606951424</v>
      </c>
      <c r="V259" s="78">
        <f>TAB_CORRECAO_U[[#This Row],[V_FUT_U_CORC-02]]/TAB_CORRECAO_U[[#This Row],[VAR_DESCAP_U]]</f>
        <v>124.64159263483084</v>
      </c>
      <c r="W259" s="78"/>
      <c r="X259" s="101">
        <f>TAB_CORRECAO_U[[#This Row],[dt_eve_u]]- DT_CALCULO_C</f>
        <v>2661</v>
      </c>
      <c r="Y259" s="48" t="str">
        <f>"CORRECAO_CORC_C" &amp; TEXT(DT_CALCULO_C, "-AAAAMMDD") &amp; TEXT(TAB_CORRECAO_U[[#This Row],[DT_EVE]], "-AAAAMMDD")</f>
        <v>CORRECAO_CORC_C-20151228-20230411</v>
      </c>
      <c r="Z259" s="44">
        <f>IFERROR(VLOOKUP(TAB_CORRECAO_C[[#This Row],[Chave-CORC]],CORRECAO_CORC_C[],2, FALSE), 0)</f>
        <v>1</v>
      </c>
      <c r="AA25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59" s="44">
        <f>(TIR_C/100 +1)^(TAB_CORRECAO_C[[#This Row],[DIAS_CORRIDOS]]/360)</f>
        <v>1.1971444743520967</v>
      </c>
      <c r="AC259" s="78">
        <f>IF(TAB_CORRECAO_C[[#This Row],[DIAS_CORRIDOS]]&lt;0, 0, TAB_CORRECAO_C[[#This Row],[V_FUT_C_CORC]]/TAB_CORRECAO_C[[#This Row],[VAR_DESCAP_C]])</f>
        <v>0</v>
      </c>
      <c r="AD259" s="113">
        <f>TAB_CORRECAO_U[[#This Row],[V_FUT_U_CORC-02]]</f>
        <v>149.15306606951424</v>
      </c>
      <c r="AE259" s="126">
        <f>IF(TAB_CORRECAO_C[[#This Row],[DIAS_CORRIDOS]]&lt;0, 0, TAB_CORRECAO_C[[#This Row],[V_FUT_UTEIS]]/TAB_CORRECAO_C[[#This Row],[VAR_DESCAP_C]])</f>
        <v>124.59069833675419</v>
      </c>
      <c r="AF259" s="64"/>
    </row>
    <row r="260" spans="1:32">
      <c r="A260" s="82">
        <f t="shared" si="5"/>
        <v>89</v>
      </c>
      <c r="B260" s="24">
        <f>VLOOKUP($A260, CAD_ATUALIZACAO[#Data], MATCH(B$171, CAD_ATUALIZACAO[#Headers],0), FALSE)</f>
        <v>3</v>
      </c>
      <c r="C260" s="24" t="str">
        <f>VLOOKUP($A260, CAD_ATUALIZACAO[#Data], MATCH(C$171, CAD_ATUALIZACAO[#Headers],0), FALSE)</f>
        <v xml:space="preserve">ATUALIZACAO SOBRE PRINCIPAL                       </v>
      </c>
      <c r="D260" s="36">
        <f>VLOOKUP($A260, CAD_ATUALIZACAO[#Data], MATCH(D$171, CAD_ATUALIZACAO[#Headers],0), FALSE)</f>
        <v>45055</v>
      </c>
      <c r="E260" s="48">
        <f>VLOOKUP($A260, CAD_ATUALIZACAO[#Data], MATCH(E$171, CAD_ATUALIZACAO[#Headers],0), FALSE)</f>
        <v>0</v>
      </c>
      <c r="F260" s="36">
        <f>VLOOKUP($A260, CAD_ATUALIZACAO[#Data], MATCH(F$171, CAD_ATUALIZACAO[#Headers],0), FALSE)</f>
        <v>45061</v>
      </c>
      <c r="G260" s="47">
        <f>WORKDAY(WORKDAY(TAB_CORRECAO_U[[#This Row],[DT_EVE]], -1, TAB_FERIADOS[FER_DATA]), 1, TAB_FERIADOS[FER_DATA])</f>
        <v>45055</v>
      </c>
      <c r="H260" s="75">
        <f>WORKDAY(WORKDAY(TAB_CORRECAO_U[[#This Row],[DT_LQDC_EVE]], -1, TAB_FERIADOS[FER_DATA]), 1, TAB_FERIADOS[FER_DATA])</f>
        <v>45061</v>
      </c>
      <c r="I260" s="48">
        <f>PU_EMISSAO - SUMIF(TAB_AMORTIZACAO_U[dt_eve_u], "&lt;" &amp; TAB_CORRECAO_U[[#This Row],[dt_eve_u]], TAB_AMORTIZACAO_U[V_PU_AMTC])</f>
        <v>31312.904330000049</v>
      </c>
      <c r="J260" s="48">
        <f>IFERROR(VLOOKUP(TAB_CORRECAO_U[[#This Row],[DT_EVE]], TAB_AMORTIZACAO_U[[DT_EVE]:[V_PU_AMTC]], 2, FALSE), 0)</f>
        <v>636.84184800000003</v>
      </c>
      <c r="K260" s="48">
        <f>NETWORKDAYS(DT_CALCULO_U, TAB_CORRECAO_U[[#This Row],[dt_eve_u]], TAB_FERIADOS[FER_DATA]) -1</f>
        <v>1846</v>
      </c>
      <c r="L260" s="48">
        <f>NETWORKDAYS(DT_CALCULO_U, TAB_CORRECAO_U[[#This Row],[dt_lqdc_eve_u]], TAB_FERIADOS[FER_DATA]) -1</f>
        <v>1850</v>
      </c>
      <c r="M260" s="48">
        <f>NETWORKDAYS(IF(ISTEXT(G259), DT_B_CORC, G259), TAB_CORRECAO_U[[#This Row],[dt_eve_u]], TAB_FERIADOS[FER_DATA]) -1</f>
        <v>18</v>
      </c>
      <c r="N260" s="78">
        <f>(TX_EMISSAO/100 +1)^(TAB_CORRECAO_U[[#This Row],[dias_periodo_u]]/252)</f>
        <v>1.0017653143782506</v>
      </c>
      <c r="O260" s="78">
        <f>(TIR_U/100 +1)^(TAB_CORRECAO_U[[#This Row],[Q_DIAS_U_PARC_TIR]]/252)</f>
        <v>1.1987683512878822</v>
      </c>
      <c r="P260" s="116" t="str">
        <f>"TX_CENARIO" &amp; TEXT(DT_CALCULO_C, "-AAAAMMDD") &amp; TEXT(TAB_CORRECAO_U[[#This Row],[DT_EVE]], "-AAAAMMDD")</f>
        <v>TX_CENARIO-20151228-20230509</v>
      </c>
      <c r="Q260" s="44">
        <f>IFERROR(VLOOKUP(TAB_CORRECAO_U[[#This Row],[Chave-CENARIO]],CENARIO[],2,FALSE), 0)</f>
        <v>16.394600000000001</v>
      </c>
      <c r="R260" s="116" t="str">
        <f>"CORRECAO_CORC_U" &amp; TEXT(DT_CALCULO_C, "-AAAAMMDD") &amp; TEXT(TAB_CORRECAO_U[[#This Row],[DT_EVE]], "-AAAAMMDD")</f>
        <v>CORRECAO_CORC_U-20151228-20230509</v>
      </c>
      <c r="S260" s="44">
        <f>IFERROR(VLOOKUP(TAB_CORRECAO_U[[#This Row],[Chave-CORC]],CORRECAO_CORC_U[],2, FALSE), 0)</f>
        <v>1.01100357</v>
      </c>
      <c r="T260" s="78">
        <f>MAX(0, IF(TAB_CORRECAO_U[[#This Row],[ID_T_EVE]]= 5, TAB_CORRECAO_U[[#This Row],[PU_AMORT]],TAB_CORRECAO_U[[#This Row],[V_NOML_PCPL]]) * (TAB_CORRECAO_U[[#This Row],[CORRECAO_U]] -1))</f>
        <v>344.55373469845745</v>
      </c>
      <c r="U260" s="78">
        <f>MAX(0, TAB_CORRECAO_U[[#This Row],[V_FUT_U_CORC-01]]/((((TAB_CORRECAO_U[[#This Row],[TX_CENARIO]]/100 +1)^(1/252) -1) * PC_IDXR/100 +1)^TAB_CORRECAO_U[[#This Row],[Q_DIAS_U_PARC_TIR]]))</f>
        <v>113.03846447342492</v>
      </c>
      <c r="V260" s="78">
        <f>TAB_CORRECAO_U[[#This Row],[V_FUT_U_CORC-02]]/TAB_CORRECAO_U[[#This Row],[VAR_DESCAP_U]]</f>
        <v>94.295502840046979</v>
      </c>
      <c r="W260" s="78"/>
      <c r="X260" s="101">
        <f>TAB_CORRECAO_U[[#This Row],[dt_eve_u]]- DT_CALCULO_C</f>
        <v>2689</v>
      </c>
      <c r="Y260" s="48" t="str">
        <f>"CORRECAO_CORC_C" &amp; TEXT(DT_CALCULO_C, "-AAAAMMDD") &amp; TEXT(TAB_CORRECAO_U[[#This Row],[DT_EVE]], "-AAAAMMDD")</f>
        <v>CORRECAO_CORC_C-20151228-20230509</v>
      </c>
      <c r="Z260" s="44">
        <f>IFERROR(VLOOKUP(TAB_CORRECAO_C[[#This Row],[Chave-CORC]],CORRECAO_CORC_C[],2, FALSE), 0)</f>
        <v>1</v>
      </c>
      <c r="AA26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0" s="44">
        <f>(TIR_C/100 +1)^(TAB_CORRECAO_C[[#This Row],[DIAS_CORRIDOS]]/360)</f>
        <v>1.1994132759191047</v>
      </c>
      <c r="AC260" s="78">
        <f>IF(TAB_CORRECAO_C[[#This Row],[DIAS_CORRIDOS]]&lt;0, 0, TAB_CORRECAO_C[[#This Row],[V_FUT_C_CORC]]/TAB_CORRECAO_C[[#This Row],[VAR_DESCAP_C]])</f>
        <v>0</v>
      </c>
      <c r="AD260" s="113">
        <f>TAB_CORRECAO_U[[#This Row],[V_FUT_U_CORC-02]]</f>
        <v>113.03846447342492</v>
      </c>
      <c r="AE260" s="126">
        <f>IF(TAB_CORRECAO_C[[#This Row],[DIAS_CORRIDOS]]&lt;0, 0, TAB_CORRECAO_C[[#This Row],[V_FUT_UTEIS]]/TAB_CORRECAO_C[[#This Row],[VAR_DESCAP_C]])</f>
        <v>94.244800139304843</v>
      </c>
      <c r="AF260" s="64"/>
    </row>
    <row r="261" spans="1:32">
      <c r="A261" s="82">
        <f t="shared" si="5"/>
        <v>90</v>
      </c>
      <c r="B261" s="24">
        <f>VLOOKUP($A261, CAD_ATUALIZACAO[#Data], MATCH(B$171, CAD_ATUALIZACAO[#Headers],0), FALSE)</f>
        <v>3</v>
      </c>
      <c r="C261" s="24" t="str">
        <f>VLOOKUP($A261, CAD_ATUALIZACAO[#Data], MATCH(C$171, CAD_ATUALIZACAO[#Headers],0), FALSE)</f>
        <v xml:space="preserve">ATUALIZACAO SOBRE PRINCIPAL                       </v>
      </c>
      <c r="D261" s="36">
        <f>VLOOKUP($A261, CAD_ATUALIZACAO[#Data], MATCH(D$171, CAD_ATUALIZACAO[#Headers],0), FALSE)</f>
        <v>45086</v>
      </c>
      <c r="E261" s="48">
        <f>VLOOKUP($A261, CAD_ATUALIZACAO[#Data], MATCH(E$171, CAD_ATUALIZACAO[#Headers],0), FALSE)</f>
        <v>0</v>
      </c>
      <c r="F261" s="36">
        <f>VLOOKUP($A261, CAD_ATUALIZACAO[#Data], MATCH(F$171, CAD_ATUALIZACAO[#Headers],0), FALSE)</f>
        <v>45092</v>
      </c>
      <c r="G261" s="47">
        <f>WORKDAY(WORKDAY(TAB_CORRECAO_U[[#This Row],[DT_EVE]], -1, TAB_FERIADOS[FER_DATA]), 1, TAB_FERIADOS[FER_DATA])</f>
        <v>45086</v>
      </c>
      <c r="H261" s="75">
        <f>WORKDAY(WORKDAY(TAB_CORRECAO_U[[#This Row],[DT_LQDC_EVE]], -1, TAB_FERIADOS[FER_DATA]), 1, TAB_FERIADOS[FER_DATA])</f>
        <v>45092</v>
      </c>
      <c r="I261" s="48">
        <f>PU_EMISSAO - SUMIF(TAB_AMORTIZACAO_U[dt_eve_u], "&lt;" &amp; TAB_CORRECAO_U[[#This Row],[dt_eve_u]], TAB_AMORTIZACAO_U[V_PU_AMTC])</f>
        <v>30676.062482000052</v>
      </c>
      <c r="J261" s="48">
        <f>IFERROR(VLOOKUP(TAB_CORRECAO_U[[#This Row],[DT_EVE]], TAB_AMORTIZACAO_U[[DT_EVE]:[V_PU_AMTC]], 2, FALSE), 0)</f>
        <v>617.11034800000004</v>
      </c>
      <c r="K261" s="48">
        <f>NETWORKDAYS(DT_CALCULO_U, TAB_CORRECAO_U[[#This Row],[dt_eve_u]], TAB_FERIADOS[FER_DATA]) -1</f>
        <v>1868</v>
      </c>
      <c r="L261" s="48">
        <f>NETWORKDAYS(DT_CALCULO_U, TAB_CORRECAO_U[[#This Row],[dt_lqdc_eve_u]], TAB_FERIADOS[FER_DATA]) -1</f>
        <v>1872</v>
      </c>
      <c r="M261" s="48">
        <f>NETWORKDAYS(IF(ISTEXT(G260), DT_B_CORC, G260), TAB_CORRECAO_U[[#This Row],[dt_eve_u]], TAB_FERIADOS[FER_DATA]) -1</f>
        <v>22</v>
      </c>
      <c r="N261" s="78">
        <f>(TX_EMISSAO/100 +1)^(TAB_CORRECAO_U[[#This Row],[dias_periodo_u]]/252)</f>
        <v>1.0021580294747356</v>
      </c>
      <c r="O261" s="78">
        <f>(TIR_U/100 +1)^(TAB_CORRECAO_U[[#This Row],[Q_DIAS_U_PARC_TIR]]/252)</f>
        <v>1.2013556076461347</v>
      </c>
      <c r="P261" s="116" t="str">
        <f>"TX_CENARIO" &amp; TEXT(DT_CALCULO_C, "-AAAAMMDD") &amp; TEXT(TAB_CORRECAO_U[[#This Row],[DT_EVE]], "-AAAAMMDD")</f>
        <v>TX_CENARIO-20151228-20230609</v>
      </c>
      <c r="Q261" s="44">
        <f>IFERROR(VLOOKUP(TAB_CORRECAO_U[[#This Row],[Chave-CENARIO]],CENARIO[],2,FALSE), 0)</f>
        <v>16.393000000000001</v>
      </c>
      <c r="R261" s="116" t="str">
        <f>"CORRECAO_CORC_U" &amp; TEXT(DT_CALCULO_C, "-AAAAMMDD") &amp; TEXT(TAB_CORRECAO_U[[#This Row],[DT_EVE]], "-AAAAMMDD")</f>
        <v>CORRECAO_CORC_U-20151228-20230609</v>
      </c>
      <c r="S261" s="44">
        <f>IFERROR(VLOOKUP(TAB_CORRECAO_U[[#This Row],[Chave-CORC]],CORRECAO_CORC_U[],2, FALSE), 0)</f>
        <v>1.0134652</v>
      </c>
      <c r="T261" s="78">
        <f>MAX(0, IF(TAB_CORRECAO_U[[#This Row],[ID_T_EVE]]= 5, TAB_CORRECAO_U[[#This Row],[PU_AMORT]],TAB_CORRECAO_U[[#This Row],[V_NOML_PCPL]]) * (TAB_CORRECAO_U[[#This Row],[CORRECAO_U]] -1))</f>
        <v>413.0593165326257</v>
      </c>
      <c r="U261" s="78">
        <f>MAX(0, TAB_CORRECAO_U[[#This Row],[V_FUT_U_CORC-01]]/((((TAB_CORRECAO_U[[#This Row],[TX_CENARIO]]/100 +1)^(1/252) -1) * PC_IDXR/100 +1)^TAB_CORRECAO_U[[#This Row],[Q_DIAS_U_PARC_TIR]]))</f>
        <v>133.74267874034257</v>
      </c>
      <c r="V261" s="78">
        <f>TAB_CORRECAO_U[[#This Row],[V_FUT_U_CORC-02]]/TAB_CORRECAO_U[[#This Row],[VAR_DESCAP_U]]</f>
        <v>111.32646977225177</v>
      </c>
      <c r="W261" s="78"/>
      <c r="X261" s="101">
        <f>TAB_CORRECAO_U[[#This Row],[dt_eve_u]]- DT_CALCULO_C</f>
        <v>2720</v>
      </c>
      <c r="Y261" s="48" t="str">
        <f>"CORRECAO_CORC_C" &amp; TEXT(DT_CALCULO_C, "-AAAAMMDD") &amp; TEXT(TAB_CORRECAO_U[[#This Row],[DT_EVE]], "-AAAAMMDD")</f>
        <v>CORRECAO_CORC_C-20151228-20230609</v>
      </c>
      <c r="Z261" s="44">
        <f>IFERROR(VLOOKUP(TAB_CORRECAO_C[[#This Row],[Chave-CORC]],CORRECAO_CORC_C[],2, FALSE), 0)</f>
        <v>1</v>
      </c>
      <c r="AA26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1" s="44">
        <f>(TIR_C/100 +1)^(TAB_CORRECAO_C[[#This Row],[DIAS_CORRIDOS]]/360)</f>
        <v>1.2019301792061672</v>
      </c>
      <c r="AC261" s="78">
        <f>IF(TAB_CORRECAO_C[[#This Row],[DIAS_CORRIDOS]]&lt;0, 0, TAB_CORRECAO_C[[#This Row],[V_FUT_C_CORC]]/TAB_CORRECAO_C[[#This Row],[VAR_DESCAP_C]])</f>
        <v>0</v>
      </c>
      <c r="AD261" s="113">
        <f>TAB_CORRECAO_U[[#This Row],[V_FUT_U_CORC-02]]</f>
        <v>133.74267874034257</v>
      </c>
      <c r="AE261" s="126">
        <f>IF(TAB_CORRECAO_C[[#This Row],[DIAS_CORRIDOS]]&lt;0, 0, TAB_CORRECAO_C[[#This Row],[V_FUT_UTEIS]]/TAB_CORRECAO_C[[#This Row],[VAR_DESCAP_C]])</f>
        <v>111.2732511872486</v>
      </c>
      <c r="AF261" s="64"/>
    </row>
    <row r="262" spans="1:32">
      <c r="A262" s="82">
        <f t="shared" si="5"/>
        <v>91</v>
      </c>
      <c r="B262" s="24">
        <f>VLOOKUP($A262, CAD_ATUALIZACAO[#Data], MATCH(B$171, CAD_ATUALIZACAO[#Headers],0), FALSE)</f>
        <v>3</v>
      </c>
      <c r="C262" s="24" t="str">
        <f>VLOOKUP($A262, CAD_ATUALIZACAO[#Data], MATCH(C$171, CAD_ATUALIZACAO[#Headers],0), FALSE)</f>
        <v xml:space="preserve">ATUALIZACAO SOBRE PRINCIPAL                       </v>
      </c>
      <c r="D262" s="36">
        <f>VLOOKUP($A262, CAD_ATUALIZACAO[#Data], MATCH(D$171, CAD_ATUALIZACAO[#Headers],0), FALSE)</f>
        <v>45117</v>
      </c>
      <c r="E262" s="48">
        <f>VLOOKUP($A262, CAD_ATUALIZACAO[#Data], MATCH(E$171, CAD_ATUALIZACAO[#Headers],0), FALSE)</f>
        <v>0</v>
      </c>
      <c r="F262" s="36">
        <f>VLOOKUP($A262, CAD_ATUALIZACAO[#Data], MATCH(F$171, CAD_ATUALIZACAO[#Headers],0), FALSE)</f>
        <v>45121</v>
      </c>
      <c r="G262" s="47">
        <f>WORKDAY(WORKDAY(TAB_CORRECAO_U[[#This Row],[DT_EVE]], -1, TAB_FERIADOS[FER_DATA]), 1, TAB_FERIADOS[FER_DATA])</f>
        <v>45117</v>
      </c>
      <c r="H262" s="75">
        <f>WORKDAY(WORKDAY(TAB_CORRECAO_U[[#This Row],[DT_LQDC_EVE]], -1, TAB_FERIADOS[FER_DATA]), 1, TAB_FERIADOS[FER_DATA])</f>
        <v>45121</v>
      </c>
      <c r="I262" s="48">
        <f>PU_EMISSAO - SUMIF(TAB_AMORTIZACAO_U[dt_eve_u], "&lt;" &amp; TAB_CORRECAO_U[[#This Row],[dt_eve_u]], TAB_AMORTIZACAO_U[V_PU_AMTC])</f>
        <v>30058.95213400005</v>
      </c>
      <c r="J262" s="48">
        <f>IFERROR(VLOOKUP(TAB_CORRECAO_U[[#This Row],[DT_EVE]], TAB_AMORTIZACAO_U[[DT_EVE]:[V_PU_AMTC]], 2, FALSE), 0)</f>
        <v>613.11244599999998</v>
      </c>
      <c r="K262" s="48">
        <f>NETWORKDAYS(DT_CALCULO_U, TAB_CORRECAO_U[[#This Row],[dt_eve_u]], TAB_FERIADOS[FER_DATA]) -1</f>
        <v>1889</v>
      </c>
      <c r="L262" s="48">
        <f>NETWORKDAYS(DT_CALCULO_U, TAB_CORRECAO_U[[#This Row],[dt_lqdc_eve_u]], TAB_FERIADOS[FER_DATA]) -1</f>
        <v>1893</v>
      </c>
      <c r="M262" s="48">
        <f>NETWORKDAYS(IF(ISTEXT(G261), DT_B_CORC, G261), TAB_CORRECAO_U[[#This Row],[dt_eve_u]], TAB_FERIADOS[FER_DATA]) -1</f>
        <v>21</v>
      </c>
      <c r="N262" s="78">
        <f>(TX_EMISSAO/100 +1)^(TAB_CORRECAO_U[[#This Row],[dias_periodo_u]]/252)</f>
        <v>1.0020598362698427</v>
      </c>
      <c r="O262" s="78">
        <f>(TIR_U/100 +1)^(TAB_CORRECAO_U[[#This Row],[Q_DIAS_U_PARC_TIR]]/252)</f>
        <v>1.2038304702927081</v>
      </c>
      <c r="P262" s="116" t="str">
        <f>"TX_CENARIO" &amp; TEXT(DT_CALCULO_C, "-AAAAMMDD") &amp; TEXT(TAB_CORRECAO_U[[#This Row],[DT_EVE]], "-AAAAMMDD")</f>
        <v>TX_CENARIO-20151228-20230710</v>
      </c>
      <c r="Q262" s="44">
        <f>IFERROR(VLOOKUP(TAB_CORRECAO_U[[#This Row],[Chave-CENARIO]],CENARIO[],2,FALSE), 0)</f>
        <v>16.3916</v>
      </c>
      <c r="R262" s="116" t="str">
        <f>"CORRECAO_CORC_U" &amp; TEXT(DT_CALCULO_C, "-AAAAMMDD") &amp; TEXT(TAB_CORRECAO_U[[#This Row],[DT_EVE]], "-AAAAMMDD")</f>
        <v>CORRECAO_CORC_U-20151228-20230710</v>
      </c>
      <c r="S262" s="44">
        <f>IFERROR(VLOOKUP(TAB_CORRECAO_U[[#This Row],[Chave-CORC]],CORRECAO_CORC_U[],2, FALSE), 0)</f>
        <v>1.0128493700000001</v>
      </c>
      <c r="T262" s="78">
        <f>MAX(0, IF(TAB_CORRECAO_U[[#This Row],[ID_T_EVE]]= 5, TAB_CORRECAO_U[[#This Row],[PU_AMORT]],TAB_CORRECAO_U[[#This Row],[V_NOML_PCPL]]) * (TAB_CORRECAO_U[[#This Row],[CORRECAO_U]] -1))</f>
        <v>386.23859778205872</v>
      </c>
      <c r="U262" s="78">
        <f>MAX(0, TAB_CORRECAO_U[[#This Row],[V_FUT_U_CORC-01]]/((((TAB_CORRECAO_U[[#This Row],[TX_CENARIO]]/100 +1)^(1/252) -1) * PC_IDXR/100 +1)^TAB_CORRECAO_U[[#This Row],[Q_DIAS_U_PARC_TIR]]))</f>
        <v>123.49762416120144</v>
      </c>
      <c r="V262" s="78">
        <f>TAB_CORRECAO_U[[#This Row],[V_FUT_U_CORC-02]]/TAB_CORRECAO_U[[#This Row],[VAR_DESCAP_U]]</f>
        <v>102.58722237789291</v>
      </c>
      <c r="W262" s="78"/>
      <c r="X262" s="101">
        <f>TAB_CORRECAO_U[[#This Row],[dt_eve_u]]- DT_CALCULO_C</f>
        <v>2751</v>
      </c>
      <c r="Y262" s="48" t="str">
        <f>"CORRECAO_CORC_C" &amp; TEXT(DT_CALCULO_C, "-AAAAMMDD") &amp; TEXT(TAB_CORRECAO_U[[#This Row],[DT_EVE]], "-AAAAMMDD")</f>
        <v>CORRECAO_CORC_C-20151228-20230710</v>
      </c>
      <c r="Z262" s="44">
        <f>IFERROR(VLOOKUP(TAB_CORRECAO_C[[#This Row],[Chave-CORC]],CORRECAO_CORC_C[],2, FALSE), 0)</f>
        <v>1</v>
      </c>
      <c r="AA26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2" s="44">
        <f>(TIR_C/100 +1)^(TAB_CORRECAO_C[[#This Row],[DIAS_CORRIDOS]]/360)</f>
        <v>1.2044523640773872</v>
      </c>
      <c r="AC262" s="78">
        <f>IF(TAB_CORRECAO_C[[#This Row],[DIAS_CORRIDOS]]&lt;0, 0, TAB_CORRECAO_C[[#This Row],[V_FUT_C_CORC]]/TAB_CORRECAO_C[[#This Row],[VAR_DESCAP_C]])</f>
        <v>0</v>
      </c>
      <c r="AD262" s="113">
        <f>TAB_CORRECAO_U[[#This Row],[V_FUT_U_CORC-02]]</f>
        <v>123.49762416120144</v>
      </c>
      <c r="AE262" s="126">
        <f>IF(TAB_CORRECAO_C[[#This Row],[DIAS_CORRIDOS]]&lt;0, 0, TAB_CORRECAO_C[[#This Row],[V_FUT_UTEIS]]/TAB_CORRECAO_C[[#This Row],[VAR_DESCAP_C]])</f>
        <v>102.53425361143348</v>
      </c>
      <c r="AF262" s="64"/>
    </row>
    <row r="263" spans="1:32">
      <c r="A263" s="82">
        <f t="shared" si="5"/>
        <v>92</v>
      </c>
      <c r="B263" s="24">
        <f>VLOOKUP($A263, CAD_ATUALIZACAO[#Data], MATCH(B$171, CAD_ATUALIZACAO[#Headers],0), FALSE)</f>
        <v>3</v>
      </c>
      <c r="C263" s="24" t="str">
        <f>VLOOKUP($A263, CAD_ATUALIZACAO[#Data], MATCH(C$171, CAD_ATUALIZACAO[#Headers],0), FALSE)</f>
        <v xml:space="preserve">ATUALIZACAO SOBRE PRINCIPAL                       </v>
      </c>
      <c r="D263" s="36">
        <f>VLOOKUP($A263, CAD_ATUALIZACAO[#Data], MATCH(D$171, CAD_ATUALIZACAO[#Headers],0), FALSE)</f>
        <v>45146</v>
      </c>
      <c r="E263" s="48">
        <f>VLOOKUP($A263, CAD_ATUALIZACAO[#Data], MATCH(E$171, CAD_ATUALIZACAO[#Headers],0), FALSE)</f>
        <v>0</v>
      </c>
      <c r="F263" s="36">
        <f>VLOOKUP($A263, CAD_ATUALIZACAO[#Data], MATCH(F$171, CAD_ATUALIZACAO[#Headers],0), FALSE)</f>
        <v>45152</v>
      </c>
      <c r="G263" s="47">
        <f>WORKDAY(WORKDAY(TAB_CORRECAO_U[[#This Row],[DT_EVE]], -1, TAB_FERIADOS[FER_DATA]), 1, TAB_FERIADOS[FER_DATA])</f>
        <v>45146</v>
      </c>
      <c r="H263" s="75">
        <f>WORKDAY(WORKDAY(TAB_CORRECAO_U[[#This Row],[DT_LQDC_EVE]], -1, TAB_FERIADOS[FER_DATA]), 1, TAB_FERIADOS[FER_DATA])</f>
        <v>45152</v>
      </c>
      <c r="I263" s="48">
        <f>PU_EMISSAO - SUMIF(TAB_AMORTIZACAO_U[dt_eve_u], "&lt;" &amp; TAB_CORRECAO_U[[#This Row],[dt_eve_u]], TAB_AMORTIZACAO_U[V_PU_AMTC])</f>
        <v>29445.839688000051</v>
      </c>
      <c r="J263" s="48">
        <f>IFERROR(VLOOKUP(TAB_CORRECAO_U[[#This Row],[DT_EVE]], TAB_AMORTIZACAO_U[[DT_EVE]:[V_PU_AMTC]], 2, FALSE), 0)</f>
        <v>606.172055</v>
      </c>
      <c r="K263" s="48">
        <f>NETWORKDAYS(DT_CALCULO_U, TAB_CORRECAO_U[[#This Row],[dt_eve_u]], TAB_FERIADOS[FER_DATA]) -1</f>
        <v>1910</v>
      </c>
      <c r="L263" s="48">
        <f>NETWORKDAYS(DT_CALCULO_U, TAB_CORRECAO_U[[#This Row],[dt_lqdc_eve_u]], TAB_FERIADOS[FER_DATA]) -1</f>
        <v>1914</v>
      </c>
      <c r="M263" s="48">
        <f>NETWORKDAYS(IF(ISTEXT(G262), DT_B_CORC, G262), TAB_CORRECAO_U[[#This Row],[dt_eve_u]], TAB_FERIADOS[FER_DATA]) -1</f>
        <v>21</v>
      </c>
      <c r="N263" s="78">
        <f>(TX_EMISSAO/100 +1)^(TAB_CORRECAO_U[[#This Row],[dias_periodo_u]]/252)</f>
        <v>1.0020598362698427</v>
      </c>
      <c r="O263" s="78">
        <f>(TIR_U/100 +1)^(TAB_CORRECAO_U[[#This Row],[Q_DIAS_U_PARC_TIR]]/252)</f>
        <v>1.2063104313007329</v>
      </c>
      <c r="P263" s="116" t="str">
        <f>"TX_CENARIO" &amp; TEXT(DT_CALCULO_C, "-AAAAMMDD") &amp; TEXT(TAB_CORRECAO_U[[#This Row],[DT_EVE]], "-AAAAMMDD")</f>
        <v>TX_CENARIO-20151228-20230808</v>
      </c>
      <c r="Q263" s="44">
        <f>IFERROR(VLOOKUP(TAB_CORRECAO_U[[#This Row],[Chave-CENARIO]],CENARIO[],2,FALSE), 0)</f>
        <v>16.3902</v>
      </c>
      <c r="R263" s="116" t="str">
        <f>"CORRECAO_CORC_U" &amp; TEXT(DT_CALCULO_C, "-AAAAMMDD") &amp; TEXT(TAB_CORRECAO_U[[#This Row],[DT_EVE]], "-AAAAMMDD")</f>
        <v>CORRECAO_CORC_U-20151228-20230808</v>
      </c>
      <c r="S263" s="44">
        <f>IFERROR(VLOOKUP(TAB_CORRECAO_U[[#This Row],[Chave-CORC]],CORRECAO_CORC_U[],2, FALSE), 0)</f>
        <v>1.01284982</v>
      </c>
      <c r="T263" s="78">
        <f>MAX(0, IF(TAB_CORRECAO_U[[#This Row],[ID_T_EVE]]= 5, TAB_CORRECAO_U[[#This Row],[PU_AMORT]],TAB_CORRECAO_U[[#This Row],[V_NOML_PCPL]]) * (TAB_CORRECAO_U[[#This Row],[CORRECAO_U]] -1))</f>
        <v>378.37373973965714</v>
      </c>
      <c r="U263" s="78">
        <f>MAX(0, TAB_CORRECAO_U[[#This Row],[V_FUT_U_CORC-01]]/((((TAB_CORRECAO_U[[#This Row],[TX_CENARIO]]/100 +1)^(1/252) -1) * PC_IDXR/100 +1)^TAB_CORRECAO_U[[#This Row],[Q_DIAS_U_PARC_TIR]]))</f>
        <v>119.47309797260249</v>
      </c>
      <c r="V263" s="78">
        <f>TAB_CORRECAO_U[[#This Row],[V_FUT_U_CORC-02]]/TAB_CORRECAO_U[[#This Row],[VAR_DESCAP_U]]</f>
        <v>99.040093555170358</v>
      </c>
      <c r="W263" s="78"/>
      <c r="X263" s="101">
        <f>TAB_CORRECAO_U[[#This Row],[dt_eve_u]]- DT_CALCULO_C</f>
        <v>2780</v>
      </c>
      <c r="Y263" s="48" t="str">
        <f>"CORRECAO_CORC_C" &amp; TEXT(DT_CALCULO_C, "-AAAAMMDD") &amp; TEXT(TAB_CORRECAO_U[[#This Row],[DT_EVE]], "-AAAAMMDD")</f>
        <v>CORRECAO_CORC_C-20151228-20230808</v>
      </c>
      <c r="Z263" s="44">
        <f>IFERROR(VLOOKUP(TAB_CORRECAO_C[[#This Row],[Chave-CORC]],CORRECAO_CORC_C[],2, FALSE), 0)</f>
        <v>1</v>
      </c>
      <c r="AA26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3" s="44">
        <f>(TIR_C/100 +1)^(TAB_CORRECAO_C[[#This Row],[DIAS_CORRIDOS]]/360)</f>
        <v>1.2068166186164861</v>
      </c>
      <c r="AC263" s="78">
        <f>IF(TAB_CORRECAO_C[[#This Row],[DIAS_CORRIDOS]]&lt;0, 0, TAB_CORRECAO_C[[#This Row],[V_FUT_C_CORC]]/TAB_CORRECAO_C[[#This Row],[VAR_DESCAP_C]])</f>
        <v>0</v>
      </c>
      <c r="AD263" s="113">
        <f>TAB_CORRECAO_U[[#This Row],[V_FUT_U_CORC-02]]</f>
        <v>119.47309797260249</v>
      </c>
      <c r="AE263" s="126">
        <f>IF(TAB_CORRECAO_C[[#This Row],[DIAS_CORRIDOS]]&lt;0, 0, TAB_CORRECAO_C[[#This Row],[V_FUT_UTEIS]]/TAB_CORRECAO_C[[#This Row],[VAR_DESCAP_C]])</f>
        <v>98.998552165753537</v>
      </c>
      <c r="AF263" s="64"/>
    </row>
    <row r="264" spans="1:32">
      <c r="A264" s="82">
        <f t="shared" si="5"/>
        <v>93</v>
      </c>
      <c r="B264" s="24">
        <f>VLOOKUP($A264, CAD_ATUALIZACAO[#Data], MATCH(B$171, CAD_ATUALIZACAO[#Headers],0), FALSE)</f>
        <v>3</v>
      </c>
      <c r="C264" s="24" t="str">
        <f>VLOOKUP($A264, CAD_ATUALIZACAO[#Data], MATCH(C$171, CAD_ATUALIZACAO[#Headers],0), FALSE)</f>
        <v xml:space="preserve">ATUALIZACAO SOBRE PRINCIPAL                       </v>
      </c>
      <c r="D264" s="36">
        <f>VLOOKUP($A264, CAD_ATUALIZACAO[#Data], MATCH(D$171, CAD_ATUALIZACAO[#Headers],0), FALSE)</f>
        <v>45180</v>
      </c>
      <c r="E264" s="48">
        <f>VLOOKUP($A264, CAD_ATUALIZACAO[#Data], MATCH(E$171, CAD_ATUALIZACAO[#Headers],0), FALSE)</f>
        <v>0</v>
      </c>
      <c r="F264" s="36">
        <f>VLOOKUP($A264, CAD_ATUALIZACAO[#Data], MATCH(F$171, CAD_ATUALIZACAO[#Headers],0), FALSE)</f>
        <v>45184</v>
      </c>
      <c r="G264" s="47">
        <f>WORKDAY(WORKDAY(TAB_CORRECAO_U[[#This Row],[DT_EVE]], -1, TAB_FERIADOS[FER_DATA]), 1, TAB_FERIADOS[FER_DATA])</f>
        <v>45180</v>
      </c>
      <c r="H264" s="75">
        <f>WORKDAY(WORKDAY(TAB_CORRECAO_U[[#This Row],[DT_LQDC_EVE]], -1, TAB_FERIADOS[FER_DATA]), 1, TAB_FERIADOS[FER_DATA])</f>
        <v>45184</v>
      </c>
      <c r="I264" s="48">
        <f>PU_EMISSAO - SUMIF(TAB_AMORTIZACAO_U[dt_eve_u], "&lt;" &amp; TAB_CORRECAO_U[[#This Row],[dt_eve_u]], TAB_AMORTIZACAO_U[V_PU_AMTC])</f>
        <v>28839.667633000048</v>
      </c>
      <c r="J264" s="48">
        <f>IFERROR(VLOOKUP(TAB_CORRECAO_U[[#This Row],[DT_EVE]], TAB_AMORTIZACAO_U[[DT_EVE]:[V_PU_AMTC]], 2, FALSE), 0)</f>
        <v>592.91472599999997</v>
      </c>
      <c r="K264" s="48">
        <f>NETWORKDAYS(DT_CALCULO_U, TAB_CORRECAO_U[[#This Row],[dt_eve_u]], TAB_FERIADOS[FER_DATA]) -1</f>
        <v>1933</v>
      </c>
      <c r="L264" s="48">
        <f>NETWORKDAYS(DT_CALCULO_U, TAB_CORRECAO_U[[#This Row],[dt_lqdc_eve_u]], TAB_FERIADOS[FER_DATA]) -1</f>
        <v>1937</v>
      </c>
      <c r="M264" s="48">
        <f>NETWORKDAYS(IF(ISTEXT(G263), DT_B_CORC, G263), TAB_CORRECAO_U[[#This Row],[dt_eve_u]], TAB_FERIADOS[FER_DATA]) -1</f>
        <v>23</v>
      </c>
      <c r="N264" s="78">
        <f>(TX_EMISSAO/100 +1)^(TAB_CORRECAO_U[[#This Row],[dias_periodo_u]]/252)</f>
        <v>1.0022562323017139</v>
      </c>
      <c r="O264" s="78">
        <f>(TIR_U/100 +1)^(TAB_CORRECAO_U[[#This Row],[Q_DIAS_U_PARC_TIR]]/252)</f>
        <v>1.209032441326201</v>
      </c>
      <c r="P264" s="116" t="str">
        <f>"TX_CENARIO" &amp; TEXT(DT_CALCULO_C, "-AAAAMMDD") &amp; TEXT(TAB_CORRECAO_U[[#This Row],[DT_EVE]], "-AAAAMMDD")</f>
        <v>TX_CENARIO-20151228-20230911</v>
      </c>
      <c r="Q264" s="44">
        <f>IFERROR(VLOOKUP(TAB_CORRECAO_U[[#This Row],[Chave-CENARIO]],CENARIO[],2,FALSE), 0)</f>
        <v>16.3887</v>
      </c>
      <c r="R264" s="116" t="str">
        <f>"CORRECAO_CORC_U" &amp; TEXT(DT_CALCULO_C, "-AAAAMMDD") &amp; TEXT(TAB_CORRECAO_U[[#This Row],[DT_EVE]], "-AAAAMMDD")</f>
        <v>CORRECAO_CORC_U-20151228-20230911</v>
      </c>
      <c r="S264" s="44">
        <f>IFERROR(VLOOKUP(TAB_CORRECAO_U[[#This Row],[Chave-CORC]],CORRECAO_CORC_U[],2, FALSE), 0)</f>
        <v>1.0140821900000001</v>
      </c>
      <c r="T264" s="78">
        <f>MAX(0, IF(TAB_CORRECAO_U[[#This Row],[ID_T_EVE]]= 5, TAB_CORRECAO_U[[#This Row],[PU_AMORT]],TAB_CORRECAO_U[[#This Row],[V_NOML_PCPL]]) * (TAB_CORRECAO_U[[#This Row],[CORRECAO_U]] -1))</f>
        <v>406.12567914476</v>
      </c>
      <c r="U264" s="78">
        <f>MAX(0, TAB_CORRECAO_U[[#This Row],[V_FUT_U_CORC-01]]/((((TAB_CORRECAO_U[[#This Row],[TX_CENARIO]]/100 +1)^(1/252) -1) * PC_IDXR/100 +1)^TAB_CORRECAO_U[[#This Row],[Q_DIAS_U_PARC_TIR]]))</f>
        <v>126.48424412493729</v>
      </c>
      <c r="V264" s="78">
        <f>TAB_CORRECAO_U[[#This Row],[V_FUT_U_CORC-02]]/TAB_CORRECAO_U[[#This Row],[VAR_DESCAP_U]]</f>
        <v>104.61608787452828</v>
      </c>
      <c r="W264" s="78"/>
      <c r="X264" s="101">
        <f>TAB_CORRECAO_U[[#This Row],[dt_eve_u]]- DT_CALCULO_C</f>
        <v>2814</v>
      </c>
      <c r="Y264" s="48" t="str">
        <f>"CORRECAO_CORC_C" &amp; TEXT(DT_CALCULO_C, "-AAAAMMDD") &amp; TEXT(TAB_CORRECAO_U[[#This Row],[DT_EVE]], "-AAAAMMDD")</f>
        <v>CORRECAO_CORC_C-20151228-20230911</v>
      </c>
      <c r="Z264" s="44">
        <f>IFERROR(VLOOKUP(TAB_CORRECAO_C[[#This Row],[Chave-CORC]],CORRECAO_CORC_C[],2, FALSE), 0)</f>
        <v>1</v>
      </c>
      <c r="AA26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4" s="44">
        <f>(TIR_C/100 +1)^(TAB_CORRECAO_C[[#This Row],[DIAS_CORRIDOS]]/360)</f>
        <v>1.2095944139807009</v>
      </c>
      <c r="AC264" s="78">
        <f>IF(TAB_CORRECAO_C[[#This Row],[DIAS_CORRIDOS]]&lt;0, 0, TAB_CORRECAO_C[[#This Row],[V_FUT_C_CORC]]/TAB_CORRECAO_C[[#This Row],[VAR_DESCAP_C]])</f>
        <v>0</v>
      </c>
      <c r="AD264" s="113">
        <f>TAB_CORRECAO_U[[#This Row],[V_FUT_U_CORC-02]]</f>
        <v>126.48424412493729</v>
      </c>
      <c r="AE264" s="126">
        <f>IF(TAB_CORRECAO_C[[#This Row],[DIAS_CORRIDOS]]&lt;0, 0, TAB_CORRECAO_C[[#This Row],[V_FUT_UTEIS]]/TAB_CORRECAO_C[[#This Row],[VAR_DESCAP_C]])</f>
        <v>104.56748366478101</v>
      </c>
      <c r="AF264" s="64"/>
    </row>
    <row r="265" spans="1:32">
      <c r="A265" s="82">
        <f t="shared" si="5"/>
        <v>94</v>
      </c>
      <c r="B265" s="24">
        <f>VLOOKUP($A265, CAD_ATUALIZACAO[#Data], MATCH(B$171, CAD_ATUALIZACAO[#Headers],0), FALSE)</f>
        <v>3</v>
      </c>
      <c r="C265" s="24" t="str">
        <f>VLOOKUP($A265, CAD_ATUALIZACAO[#Data], MATCH(C$171, CAD_ATUALIZACAO[#Headers],0), FALSE)</f>
        <v xml:space="preserve">ATUALIZACAO SOBRE PRINCIPAL                       </v>
      </c>
      <c r="D265" s="36">
        <f>VLOOKUP($A265, CAD_ATUALIZACAO[#Data], MATCH(D$171, CAD_ATUALIZACAO[#Headers],0), FALSE)</f>
        <v>45209</v>
      </c>
      <c r="E265" s="48">
        <f>VLOOKUP($A265, CAD_ATUALIZACAO[#Data], MATCH(E$171, CAD_ATUALIZACAO[#Headers],0), FALSE)</f>
        <v>0</v>
      </c>
      <c r="F265" s="36">
        <f>VLOOKUP($A265, CAD_ATUALIZACAO[#Data], MATCH(F$171, CAD_ATUALIZACAO[#Headers],0), FALSE)</f>
        <v>45215</v>
      </c>
      <c r="G265" s="47">
        <f>WORKDAY(WORKDAY(TAB_CORRECAO_U[[#This Row],[DT_EVE]], -1, TAB_FERIADOS[FER_DATA]), 1, TAB_FERIADOS[FER_DATA])</f>
        <v>45209</v>
      </c>
      <c r="H265" s="75">
        <f>WORKDAY(WORKDAY(TAB_CORRECAO_U[[#This Row],[DT_LQDC_EVE]], -1, TAB_FERIADOS[FER_DATA]), 1, TAB_FERIADOS[FER_DATA])</f>
        <v>45215</v>
      </c>
      <c r="I265" s="48">
        <f>PU_EMISSAO - SUMIF(TAB_AMORTIZACAO_U[dt_eve_u], "&lt;" &amp; TAB_CORRECAO_U[[#This Row],[dt_eve_u]], TAB_AMORTIZACAO_U[V_PU_AMTC])</f>
        <v>28246.752907000046</v>
      </c>
      <c r="J265" s="48">
        <f>IFERROR(VLOOKUP(TAB_CORRECAO_U[[#This Row],[DT_EVE]], TAB_AMORTIZACAO_U[[DT_EVE]:[V_PU_AMTC]], 2, FALSE), 0)</f>
        <v>594.96135600000002</v>
      </c>
      <c r="K265" s="48">
        <f>NETWORKDAYS(DT_CALCULO_U, TAB_CORRECAO_U[[#This Row],[dt_eve_u]], TAB_FERIADOS[FER_DATA]) -1</f>
        <v>1954</v>
      </c>
      <c r="L265" s="48">
        <f>NETWORKDAYS(DT_CALCULO_U, TAB_CORRECAO_U[[#This Row],[dt_lqdc_eve_u]], TAB_FERIADOS[FER_DATA]) -1</f>
        <v>1957</v>
      </c>
      <c r="M265" s="48">
        <f>NETWORKDAYS(IF(ISTEXT(G264), DT_B_CORC, G264), TAB_CORRECAO_U[[#This Row],[dt_eve_u]], TAB_FERIADOS[FER_DATA]) -1</f>
        <v>21</v>
      </c>
      <c r="N265" s="78">
        <f>(TX_EMISSAO/100 +1)^(TAB_CORRECAO_U[[#This Row],[dias_periodo_u]]/252)</f>
        <v>1.0020598362698427</v>
      </c>
      <c r="O265" s="78">
        <f>(TIR_U/100 +1)^(TAB_CORRECAO_U[[#This Row],[Q_DIAS_U_PARC_TIR]]/252)</f>
        <v>1.2114043987494454</v>
      </c>
      <c r="P265" s="116" t="str">
        <f>"TX_CENARIO" &amp; TEXT(DT_CALCULO_C, "-AAAAMMDD") &amp; TEXT(TAB_CORRECAO_U[[#This Row],[DT_EVE]], "-AAAAMMDD")</f>
        <v>TX_CENARIO-20151228-20231010</v>
      </c>
      <c r="Q265" s="44">
        <f>IFERROR(VLOOKUP(TAB_CORRECAO_U[[#This Row],[Chave-CENARIO]],CENARIO[],2,FALSE), 0)</f>
        <v>16.3874</v>
      </c>
      <c r="R265" s="116" t="str">
        <f>"CORRECAO_CORC_U" &amp; TEXT(DT_CALCULO_C, "-AAAAMMDD") &amp; TEXT(TAB_CORRECAO_U[[#This Row],[DT_EVE]], "-AAAAMMDD")</f>
        <v>CORRECAO_CORC_U-20151228-20231010</v>
      </c>
      <c r="S265" s="44">
        <f>IFERROR(VLOOKUP(TAB_CORRECAO_U[[#This Row],[Chave-CORC]],CORRECAO_CORC_U[],2, FALSE), 0)</f>
        <v>1.01284982</v>
      </c>
      <c r="T265" s="78">
        <f>MAX(0, IF(TAB_CORRECAO_U[[#This Row],[ID_T_EVE]]= 5, TAB_CORRECAO_U[[#This Row],[PU_AMORT]],TAB_CORRECAO_U[[#This Row],[V_NOML_PCPL]]) * (TAB_CORRECAO_U[[#This Row],[CORRECAO_U]] -1))</f>
        <v>362.96569043942765</v>
      </c>
      <c r="U265" s="78">
        <f>MAX(0, TAB_CORRECAO_U[[#This Row],[V_FUT_U_CORC-01]]/((((TAB_CORRECAO_U[[#This Row],[TX_CENARIO]]/100 +1)^(1/252) -1) * PC_IDXR/100 +1)^TAB_CORRECAO_U[[#This Row],[Q_DIAS_U_PARC_TIR]]))</f>
        <v>111.69872301264452</v>
      </c>
      <c r="V265" s="78">
        <f>TAB_CORRECAO_U[[#This Row],[V_FUT_U_CORC-02]]/TAB_CORRECAO_U[[#This Row],[VAR_DESCAP_U]]</f>
        <v>92.205974427658617</v>
      </c>
      <c r="W265" s="78"/>
      <c r="X265" s="101">
        <f>TAB_CORRECAO_U[[#This Row],[dt_eve_u]]- DT_CALCULO_C</f>
        <v>2843</v>
      </c>
      <c r="Y265" s="48" t="str">
        <f>"CORRECAO_CORC_C" &amp; TEXT(DT_CALCULO_C, "-AAAAMMDD") &amp; TEXT(TAB_CORRECAO_U[[#This Row],[DT_EVE]], "-AAAAMMDD")</f>
        <v>CORRECAO_CORC_C-20151228-20231010</v>
      </c>
      <c r="Z265" s="44">
        <f>IFERROR(VLOOKUP(TAB_CORRECAO_C[[#This Row],[Chave-CORC]],CORRECAO_CORC_C[],2, FALSE), 0)</f>
        <v>1</v>
      </c>
      <c r="AA26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5" s="44">
        <f>(TIR_C/100 +1)^(TAB_CORRECAO_C[[#This Row],[DIAS_CORRIDOS]]/360)</f>
        <v>1.2119687619989499</v>
      </c>
      <c r="AC265" s="78">
        <f>IF(TAB_CORRECAO_C[[#This Row],[DIAS_CORRIDOS]]&lt;0, 0, TAB_CORRECAO_C[[#This Row],[V_FUT_C_CORC]]/TAB_CORRECAO_C[[#This Row],[VAR_DESCAP_C]])</f>
        <v>0</v>
      </c>
      <c r="AD265" s="113">
        <f>TAB_CORRECAO_U[[#This Row],[V_FUT_U_CORC-02]]</f>
        <v>111.69872301264452</v>
      </c>
      <c r="AE265" s="126">
        <f>IF(TAB_CORRECAO_C[[#This Row],[DIAS_CORRIDOS]]&lt;0, 0, TAB_CORRECAO_C[[#This Row],[V_FUT_UTEIS]]/TAB_CORRECAO_C[[#This Row],[VAR_DESCAP_C]])</f>
        <v>92.163037955215302</v>
      </c>
      <c r="AF265" s="64"/>
    </row>
    <row r="266" spans="1:32">
      <c r="A266" s="82">
        <f t="shared" si="5"/>
        <v>95</v>
      </c>
      <c r="B266" s="24">
        <f>VLOOKUP($A266, CAD_ATUALIZACAO[#Data], MATCH(B$171, CAD_ATUALIZACAO[#Headers],0), FALSE)</f>
        <v>3</v>
      </c>
      <c r="C266" s="24" t="str">
        <f>VLOOKUP($A266, CAD_ATUALIZACAO[#Data], MATCH(C$171, CAD_ATUALIZACAO[#Headers],0), FALSE)</f>
        <v xml:space="preserve">ATUALIZACAO SOBRE PRINCIPAL                       </v>
      </c>
      <c r="D266" s="36">
        <f>VLOOKUP($A266, CAD_ATUALIZACAO[#Data], MATCH(D$171, CAD_ATUALIZACAO[#Headers],0), FALSE)</f>
        <v>45240</v>
      </c>
      <c r="E266" s="48">
        <f>VLOOKUP($A266, CAD_ATUALIZACAO[#Data], MATCH(E$171, CAD_ATUALIZACAO[#Headers],0), FALSE)</f>
        <v>0</v>
      </c>
      <c r="F266" s="36">
        <f>VLOOKUP($A266, CAD_ATUALIZACAO[#Data], MATCH(F$171, CAD_ATUALIZACAO[#Headers],0), FALSE)</f>
        <v>45246</v>
      </c>
      <c r="G266" s="47">
        <f>WORKDAY(WORKDAY(TAB_CORRECAO_U[[#This Row],[DT_EVE]], -1, TAB_FERIADOS[FER_DATA]), 1, TAB_FERIADOS[FER_DATA])</f>
        <v>45240</v>
      </c>
      <c r="H266" s="75">
        <f>WORKDAY(WORKDAY(TAB_CORRECAO_U[[#This Row],[DT_LQDC_EVE]], -1, TAB_FERIADOS[FER_DATA]), 1, TAB_FERIADOS[FER_DATA])</f>
        <v>45246</v>
      </c>
      <c r="I266" s="48">
        <f>PU_EMISSAO - SUMIF(TAB_AMORTIZACAO_U[dt_eve_u], "&lt;" &amp; TAB_CORRECAO_U[[#This Row],[dt_eve_u]], TAB_AMORTIZACAO_U[V_PU_AMTC])</f>
        <v>27651.791551000046</v>
      </c>
      <c r="J266" s="48">
        <f>IFERROR(VLOOKUP(TAB_CORRECAO_U[[#This Row],[DT_EVE]], TAB_AMORTIZACAO_U[[DT_EVE]:[V_PU_AMTC]], 2, FALSE), 0)</f>
        <v>585.52668600000004</v>
      </c>
      <c r="K266" s="48">
        <f>NETWORKDAYS(DT_CALCULO_U, TAB_CORRECAO_U[[#This Row],[dt_eve_u]], TAB_FERIADOS[FER_DATA]) -1</f>
        <v>1975</v>
      </c>
      <c r="L266" s="48">
        <f>NETWORKDAYS(DT_CALCULO_U, TAB_CORRECAO_U[[#This Row],[dt_lqdc_eve_u]], TAB_FERIADOS[FER_DATA]) -1</f>
        <v>1978</v>
      </c>
      <c r="M266" s="48">
        <f>NETWORKDAYS(IF(ISTEXT(G265), DT_B_CORC, G265), TAB_CORRECAO_U[[#This Row],[dt_eve_u]], TAB_FERIADOS[FER_DATA]) -1</f>
        <v>21</v>
      </c>
      <c r="N266" s="78">
        <f>(TX_EMISSAO/100 +1)^(TAB_CORRECAO_U[[#This Row],[dias_periodo_u]]/252)</f>
        <v>1.0020598362698427</v>
      </c>
      <c r="O266" s="78">
        <f>(TIR_U/100 +1)^(TAB_CORRECAO_U[[#This Row],[Q_DIAS_U_PARC_TIR]]/252)</f>
        <v>1.2138999624920028</v>
      </c>
      <c r="P266" s="116" t="str">
        <f>"TX_CENARIO" &amp; TEXT(DT_CALCULO_C, "-AAAAMMDD") &amp; TEXT(TAB_CORRECAO_U[[#This Row],[DT_EVE]], "-AAAAMMDD")</f>
        <v>TX_CENARIO-20151228-20231110</v>
      </c>
      <c r="Q266" s="44">
        <f>IFERROR(VLOOKUP(TAB_CORRECAO_U[[#This Row],[Chave-CENARIO]],CENARIO[],2,FALSE), 0)</f>
        <v>16.385999999999999</v>
      </c>
      <c r="R266" s="116" t="str">
        <f>"CORRECAO_CORC_U" &amp; TEXT(DT_CALCULO_C, "-AAAAMMDD") &amp; TEXT(TAB_CORRECAO_U[[#This Row],[DT_EVE]], "-AAAAMMDD")</f>
        <v>CORRECAO_CORC_U-20151228-20231110</v>
      </c>
      <c r="S266" s="44">
        <f>IFERROR(VLOOKUP(TAB_CORRECAO_U[[#This Row],[Chave-CORC]],CORRECAO_CORC_U[],2, FALSE), 0)</f>
        <v>1.01284982</v>
      </c>
      <c r="T266" s="78">
        <f>MAX(0, IF(TAB_CORRECAO_U[[#This Row],[ID_T_EVE]]= 5, TAB_CORRECAO_U[[#This Row],[PU_AMORT]],TAB_CORRECAO_U[[#This Row],[V_NOML_PCPL]]) * (TAB_CORRECAO_U[[#This Row],[CORRECAO_U]] -1))</f>
        <v>355.32054410787174</v>
      </c>
      <c r="U266" s="78">
        <f>MAX(0, TAB_CORRECAO_U[[#This Row],[V_FUT_U_CORC-01]]/((((TAB_CORRECAO_U[[#This Row],[TX_CENARIO]]/100 +1)^(1/252) -1) * PC_IDXR/100 +1)^TAB_CORRECAO_U[[#This Row],[Q_DIAS_U_PARC_TIR]]))</f>
        <v>107.98210578406884</v>
      </c>
      <c r="V266" s="78">
        <f>TAB_CORRECAO_U[[#This Row],[V_FUT_U_CORC-02]]/TAB_CORRECAO_U[[#This Row],[VAR_DESCAP_U]]</f>
        <v>88.954699003691772</v>
      </c>
      <c r="W266" s="78"/>
      <c r="X266" s="101">
        <f>TAB_CORRECAO_U[[#This Row],[dt_eve_u]]- DT_CALCULO_C</f>
        <v>2874</v>
      </c>
      <c r="Y266" s="48" t="str">
        <f>"CORRECAO_CORC_C" &amp; TEXT(DT_CALCULO_C, "-AAAAMMDD") &amp; TEXT(TAB_CORRECAO_U[[#This Row],[DT_EVE]], "-AAAAMMDD")</f>
        <v>CORRECAO_CORC_C-20151228-20231110</v>
      </c>
      <c r="Z266" s="44">
        <f>IFERROR(VLOOKUP(TAB_CORRECAO_C[[#This Row],[Chave-CORC]],CORRECAO_CORC_C[],2, FALSE), 0)</f>
        <v>1</v>
      </c>
      <c r="AA26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6" s="44">
        <f>(TIR_C/100 +1)^(TAB_CORRECAO_C[[#This Row],[DIAS_CORRIDOS]]/360)</f>
        <v>1.2145120122881838</v>
      </c>
      <c r="AC266" s="78">
        <f>IF(TAB_CORRECAO_C[[#This Row],[DIAS_CORRIDOS]]&lt;0, 0, TAB_CORRECAO_C[[#This Row],[V_FUT_C_CORC]]/TAB_CORRECAO_C[[#This Row],[VAR_DESCAP_C]])</f>
        <v>0</v>
      </c>
      <c r="AD266" s="113">
        <f>TAB_CORRECAO_U[[#This Row],[V_FUT_U_CORC-02]]</f>
        <v>107.98210578406884</v>
      </c>
      <c r="AE266" s="126">
        <f>IF(TAB_CORRECAO_C[[#This Row],[DIAS_CORRIDOS]]&lt;0, 0, TAB_CORRECAO_C[[#This Row],[V_FUT_UTEIS]]/TAB_CORRECAO_C[[#This Row],[VAR_DESCAP_C]])</f>
        <v>88.909870541853849</v>
      </c>
      <c r="AF266" s="64"/>
    </row>
    <row r="267" spans="1:32">
      <c r="A267" s="82">
        <f t="shared" si="5"/>
        <v>96</v>
      </c>
      <c r="B267" s="24">
        <f>VLOOKUP($A267, CAD_ATUALIZACAO[#Data], MATCH(B$171, CAD_ATUALIZACAO[#Headers],0), FALSE)</f>
        <v>3</v>
      </c>
      <c r="C267" s="24" t="str">
        <f>VLOOKUP($A267, CAD_ATUALIZACAO[#Data], MATCH(C$171, CAD_ATUALIZACAO[#Headers],0), FALSE)</f>
        <v xml:space="preserve">ATUALIZACAO SOBRE PRINCIPAL                       </v>
      </c>
      <c r="D267" s="36">
        <f>VLOOKUP($A267, CAD_ATUALIZACAO[#Data], MATCH(D$171, CAD_ATUALIZACAO[#Headers],0), FALSE)</f>
        <v>45268</v>
      </c>
      <c r="E267" s="48">
        <f>VLOOKUP($A267, CAD_ATUALIZACAO[#Data], MATCH(E$171, CAD_ATUALIZACAO[#Headers],0), FALSE)</f>
        <v>0</v>
      </c>
      <c r="F267" s="36">
        <f>VLOOKUP($A267, CAD_ATUALIZACAO[#Data], MATCH(F$171, CAD_ATUALIZACAO[#Headers],0), FALSE)</f>
        <v>45274</v>
      </c>
      <c r="G267" s="47">
        <f>WORKDAY(WORKDAY(TAB_CORRECAO_U[[#This Row],[DT_EVE]], -1, TAB_FERIADOS[FER_DATA]), 1, TAB_FERIADOS[FER_DATA])</f>
        <v>45268</v>
      </c>
      <c r="H267" s="75">
        <f>WORKDAY(WORKDAY(TAB_CORRECAO_U[[#This Row],[DT_LQDC_EVE]], -1, TAB_FERIADOS[FER_DATA]), 1, TAB_FERIADOS[FER_DATA])</f>
        <v>45274</v>
      </c>
      <c r="I267" s="48">
        <f>PU_EMISSAO - SUMIF(TAB_AMORTIZACAO_U[dt_eve_u], "&lt;" &amp; TAB_CORRECAO_U[[#This Row],[dt_eve_u]], TAB_AMORTIZACAO_U[V_PU_AMTC])</f>
        <v>27066.264865000048</v>
      </c>
      <c r="J267" s="48">
        <f>IFERROR(VLOOKUP(TAB_CORRECAO_U[[#This Row],[DT_EVE]], TAB_AMORTIZACAO_U[[DT_EVE]:[V_PU_AMTC]], 2, FALSE), 0)</f>
        <v>581.95176000000004</v>
      </c>
      <c r="K267" s="48">
        <f>NETWORKDAYS(DT_CALCULO_U, TAB_CORRECAO_U[[#This Row],[dt_eve_u]], TAB_FERIADOS[FER_DATA]) -1</f>
        <v>1994</v>
      </c>
      <c r="L267" s="48">
        <f>NETWORKDAYS(DT_CALCULO_U, TAB_CORRECAO_U[[#This Row],[dt_lqdc_eve_u]], TAB_FERIADOS[FER_DATA]) -1</f>
        <v>1998</v>
      </c>
      <c r="M267" s="48">
        <f>NETWORKDAYS(IF(ISTEXT(G266), DT_B_CORC, G266), TAB_CORRECAO_U[[#This Row],[dt_eve_u]], TAB_FERIADOS[FER_DATA]) -1</f>
        <v>19</v>
      </c>
      <c r="N267" s="78">
        <f>(TX_EMISSAO/100 +1)^(TAB_CORRECAO_U[[#This Row],[dias_periodo_u]]/252)</f>
        <v>1.0018634787225431</v>
      </c>
      <c r="O267" s="78">
        <f>(TIR_U/100 +1)^(TAB_CORRECAO_U[[#This Row],[Q_DIAS_U_PARC_TIR]]/252)</f>
        <v>1.2162814693306041</v>
      </c>
      <c r="P267" s="116" t="str">
        <f>"TX_CENARIO" &amp; TEXT(DT_CALCULO_C, "-AAAAMMDD") &amp; TEXT(TAB_CORRECAO_U[[#This Row],[DT_EVE]], "-AAAAMMDD")</f>
        <v>TX_CENARIO-20151228-20231208</v>
      </c>
      <c r="Q267" s="44">
        <f>IFERROR(VLOOKUP(TAB_CORRECAO_U[[#This Row],[Chave-CENARIO]],CENARIO[],2,FALSE), 0)</f>
        <v>16.384799999999998</v>
      </c>
      <c r="R267" s="116" t="str">
        <f>"CORRECAO_CORC_U" &amp; TEXT(DT_CALCULO_C, "-AAAAMMDD") &amp; TEXT(TAB_CORRECAO_U[[#This Row],[DT_EVE]], "-AAAAMMDD")</f>
        <v>CORRECAO_CORC_U-20151228-20231208</v>
      </c>
      <c r="S267" s="44">
        <f>IFERROR(VLOOKUP(TAB_CORRECAO_U[[#This Row],[Chave-CORC]],CORRECAO_CORC_U[],2, FALSE), 0)</f>
        <v>1.01161894</v>
      </c>
      <c r="T267" s="78">
        <f>MAX(0, IF(TAB_CORRECAO_U[[#This Row],[ID_T_EVE]]= 5, TAB_CORRECAO_U[[#This Row],[PU_AMORT]],TAB_CORRECAO_U[[#This Row],[V_NOML_PCPL]]) * (TAB_CORRECAO_U[[#This Row],[CORRECAO_U]] -1))</f>
        <v>314.48130749054275</v>
      </c>
      <c r="U267" s="78">
        <f>MAX(0, TAB_CORRECAO_U[[#This Row],[V_FUT_U_CORC-01]]/((((TAB_CORRECAO_U[[#This Row],[TX_CENARIO]]/100 +1)^(1/252) -1) * PC_IDXR/100 +1)^TAB_CORRECAO_U[[#This Row],[Q_DIAS_U_PARC_TIR]]))</f>
        <v>94.434697948041773</v>
      </c>
      <c r="V267" s="78">
        <f>TAB_CORRECAO_U[[#This Row],[V_FUT_U_CORC-02]]/TAB_CORRECAO_U[[#This Row],[VAR_DESCAP_U]]</f>
        <v>77.642141502011953</v>
      </c>
      <c r="W267" s="78"/>
      <c r="X267" s="101">
        <f>TAB_CORRECAO_U[[#This Row],[dt_eve_u]]- DT_CALCULO_C</f>
        <v>2902</v>
      </c>
      <c r="Y267" s="48" t="str">
        <f>"CORRECAO_CORC_C" &amp; TEXT(DT_CALCULO_C, "-AAAAMMDD") &amp; TEXT(TAB_CORRECAO_U[[#This Row],[DT_EVE]], "-AAAAMMDD")</f>
        <v>CORRECAO_CORC_C-20151228-20231208</v>
      </c>
      <c r="Z267" s="44">
        <f>IFERROR(VLOOKUP(TAB_CORRECAO_C[[#This Row],[Chave-CORC]],CORRECAO_CORC_C[],2, FALSE), 0)</f>
        <v>1</v>
      </c>
      <c r="AA26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7" s="44">
        <f>(TIR_C/100 +1)^(TAB_CORRECAO_C[[#This Row],[DIAS_CORRIDOS]]/360)</f>
        <v>1.2168137284265981</v>
      </c>
      <c r="AC267" s="78">
        <f>IF(TAB_CORRECAO_C[[#This Row],[DIAS_CORRIDOS]]&lt;0, 0, TAB_CORRECAO_C[[#This Row],[V_FUT_C_CORC]]/TAB_CORRECAO_C[[#This Row],[VAR_DESCAP_C]])</f>
        <v>0</v>
      </c>
      <c r="AD267" s="113">
        <f>TAB_CORRECAO_U[[#This Row],[V_FUT_U_CORC-02]]</f>
        <v>94.434697948041773</v>
      </c>
      <c r="AE267" s="126">
        <f>IF(TAB_CORRECAO_C[[#This Row],[DIAS_CORRIDOS]]&lt;0, 0, TAB_CORRECAO_C[[#This Row],[V_FUT_UTEIS]]/TAB_CORRECAO_C[[#This Row],[VAR_DESCAP_C]])</f>
        <v>77.60817924872579</v>
      </c>
      <c r="AF267" s="64"/>
    </row>
    <row r="268" spans="1:32">
      <c r="A268" s="82">
        <f t="shared" si="5"/>
        <v>97</v>
      </c>
      <c r="B268" s="24">
        <f>VLOOKUP($A268, CAD_ATUALIZACAO[#Data], MATCH(B$171, CAD_ATUALIZACAO[#Headers],0), FALSE)</f>
        <v>3</v>
      </c>
      <c r="C268" s="24" t="str">
        <f>VLOOKUP($A268, CAD_ATUALIZACAO[#Data], MATCH(C$171, CAD_ATUALIZACAO[#Headers],0), FALSE)</f>
        <v xml:space="preserve">ATUALIZACAO SOBRE PRINCIPAL                       </v>
      </c>
      <c r="D268" s="36">
        <f>VLOOKUP($A268, CAD_ATUALIZACAO[#Data], MATCH(D$171, CAD_ATUALIZACAO[#Headers],0), FALSE)</f>
        <v>45300</v>
      </c>
      <c r="E268" s="48">
        <f>VLOOKUP($A268, CAD_ATUALIZACAO[#Data], MATCH(E$171, CAD_ATUALIZACAO[#Headers],0), FALSE)</f>
        <v>0</v>
      </c>
      <c r="F268" s="36">
        <f>VLOOKUP($A268, CAD_ATUALIZACAO[#Data], MATCH(F$171, CAD_ATUALIZACAO[#Headers],0), FALSE)</f>
        <v>45306</v>
      </c>
      <c r="G268" s="47">
        <f>WORKDAY(WORKDAY(TAB_CORRECAO_U[[#This Row],[DT_EVE]], -1, TAB_FERIADOS[FER_DATA]), 1, TAB_FERIADOS[FER_DATA])</f>
        <v>45300</v>
      </c>
      <c r="H268" s="75">
        <f>WORKDAY(WORKDAY(TAB_CORRECAO_U[[#This Row],[DT_LQDC_EVE]], -1, TAB_FERIADOS[FER_DATA]), 1, TAB_FERIADOS[FER_DATA])</f>
        <v>45306</v>
      </c>
      <c r="I268" s="48">
        <f>PU_EMISSAO - SUMIF(TAB_AMORTIZACAO_U[dt_eve_u], "&lt;" &amp; TAB_CORRECAO_U[[#This Row],[dt_eve_u]], TAB_AMORTIZACAO_U[V_PU_AMTC])</f>
        <v>26484.313105000052</v>
      </c>
      <c r="J268" s="48">
        <f>IFERROR(VLOOKUP(TAB_CORRECAO_U[[#This Row],[DT_EVE]], TAB_AMORTIZACAO_U[[DT_EVE]:[V_PU_AMTC]], 2, FALSE), 0)</f>
        <v>627.51931400000001</v>
      </c>
      <c r="K268" s="48">
        <f>NETWORKDAYS(DT_CALCULO_U, TAB_CORRECAO_U[[#This Row],[dt_eve_u]], TAB_FERIADOS[FER_DATA]) -1</f>
        <v>2014</v>
      </c>
      <c r="L268" s="48">
        <f>NETWORKDAYS(DT_CALCULO_U, TAB_CORRECAO_U[[#This Row],[dt_lqdc_eve_u]], TAB_FERIADOS[FER_DATA]) -1</f>
        <v>2018</v>
      </c>
      <c r="M268" s="48">
        <f>NETWORKDAYS(IF(ISTEXT(G267), DT_B_CORC, G267), TAB_CORRECAO_U[[#This Row],[dt_eve_u]], TAB_FERIADOS[FER_DATA]) -1</f>
        <v>20</v>
      </c>
      <c r="N268" s="78">
        <f>(TX_EMISSAO/100 +1)^(TAB_CORRECAO_U[[#This Row],[dias_periodo_u]]/252)</f>
        <v>1.0019616526860928</v>
      </c>
      <c r="O268" s="78">
        <f>(TIR_U/100 +1)^(TAB_CORRECAO_U[[#This Row],[Q_DIAS_U_PARC_TIR]]/252)</f>
        <v>1.2186676483621353</v>
      </c>
      <c r="P268" s="116" t="str">
        <f>"TX_CENARIO" &amp; TEXT(DT_CALCULO_C, "-AAAAMMDD") &amp; TEXT(TAB_CORRECAO_U[[#This Row],[DT_EVE]], "-AAAAMMDD")</f>
        <v>TX_CENARIO-20151228-20240109</v>
      </c>
      <c r="Q268" s="44">
        <f>IFERROR(VLOOKUP(TAB_CORRECAO_U[[#This Row],[Chave-CENARIO]],CENARIO[],2,FALSE), 0)</f>
        <v>16.383600000000001</v>
      </c>
      <c r="R268" s="116" t="str">
        <f>"CORRECAO_CORC_U" &amp; TEXT(DT_CALCULO_C, "-AAAAMMDD") &amp; TEXT(TAB_CORRECAO_U[[#This Row],[DT_EVE]], "-AAAAMMDD")</f>
        <v>CORRECAO_CORC_U-20151228-20240109</v>
      </c>
      <c r="S268" s="44">
        <f>IFERROR(VLOOKUP(TAB_CORRECAO_U[[#This Row],[Chave-CORC]],CORRECAO_CORC_U[],2, FALSE), 0)</f>
        <v>1.0122341699999999</v>
      </c>
      <c r="T268" s="78">
        <f>MAX(0, IF(TAB_CORRECAO_U[[#This Row],[ID_T_EVE]]= 5, TAB_CORRECAO_U[[#This Row],[PU_AMORT]],TAB_CORRECAO_U[[#This Row],[V_NOML_PCPL]]) * (TAB_CORRECAO_U[[#This Row],[CORRECAO_U]] -1))</f>
        <v>324.0135888597967</v>
      </c>
      <c r="U268" s="78">
        <f>MAX(0, TAB_CORRECAO_U[[#This Row],[V_FUT_U_CORC-01]]/((((TAB_CORRECAO_U[[#This Row],[TX_CENARIO]]/100 +1)^(1/252) -1) * PC_IDXR/100 +1)^TAB_CORRECAO_U[[#This Row],[Q_DIAS_U_PARC_TIR]]))</f>
        <v>96.140412212317543</v>
      </c>
      <c r="V268" s="78">
        <f>TAB_CORRECAO_U[[#This Row],[V_FUT_U_CORC-02]]/TAB_CORRECAO_U[[#This Row],[VAR_DESCAP_U]]</f>
        <v>78.889771416783177</v>
      </c>
      <c r="W268" s="78"/>
      <c r="X268" s="101">
        <f>TAB_CORRECAO_U[[#This Row],[dt_eve_u]]- DT_CALCULO_C</f>
        <v>2934</v>
      </c>
      <c r="Y268" s="48" t="str">
        <f>"CORRECAO_CORC_C" &amp; TEXT(DT_CALCULO_C, "-AAAAMMDD") &amp; TEXT(TAB_CORRECAO_U[[#This Row],[DT_EVE]], "-AAAAMMDD")</f>
        <v>CORRECAO_CORC_C-20151228-20240109</v>
      </c>
      <c r="Z268" s="44">
        <f>IFERROR(VLOOKUP(TAB_CORRECAO_C[[#This Row],[Chave-CORC]],CORRECAO_CORC_C[],2, FALSE), 0)</f>
        <v>1</v>
      </c>
      <c r="AA26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8" s="44">
        <f>(TIR_C/100 +1)^(TAB_CORRECAO_C[[#This Row],[DIAS_CORRIDOS]]/360)</f>
        <v>1.219449603059946</v>
      </c>
      <c r="AC268" s="78">
        <f>IF(TAB_CORRECAO_C[[#This Row],[DIAS_CORRIDOS]]&lt;0, 0, TAB_CORRECAO_C[[#This Row],[V_FUT_C_CORC]]/TAB_CORRECAO_C[[#This Row],[VAR_DESCAP_C]])</f>
        <v>0</v>
      </c>
      <c r="AD268" s="113">
        <f>TAB_CORRECAO_U[[#This Row],[V_FUT_U_CORC-02]]</f>
        <v>96.140412212317543</v>
      </c>
      <c r="AE268" s="126">
        <f>IF(TAB_CORRECAO_C[[#This Row],[DIAS_CORRIDOS]]&lt;0, 0, TAB_CORRECAO_C[[#This Row],[V_FUT_UTEIS]]/TAB_CORRECAO_C[[#This Row],[VAR_DESCAP_C]])</f>
        <v>78.839184473941273</v>
      </c>
      <c r="AF268" s="64"/>
    </row>
    <row r="269" spans="1:32">
      <c r="A269" s="82">
        <f t="shared" si="5"/>
        <v>98</v>
      </c>
      <c r="B269" s="24">
        <f>VLOOKUP($A269, CAD_ATUALIZACAO[#Data], MATCH(B$171, CAD_ATUALIZACAO[#Headers],0), FALSE)</f>
        <v>3</v>
      </c>
      <c r="C269" s="24" t="str">
        <f>VLOOKUP($A269, CAD_ATUALIZACAO[#Data], MATCH(C$171, CAD_ATUALIZACAO[#Headers],0), FALSE)</f>
        <v xml:space="preserve">ATUALIZACAO SOBRE PRINCIPAL                       </v>
      </c>
      <c r="D269" s="36">
        <f>VLOOKUP($A269, CAD_ATUALIZACAO[#Data], MATCH(D$171, CAD_ATUALIZACAO[#Headers],0), FALSE)</f>
        <v>45334</v>
      </c>
      <c r="E269" s="48">
        <f>VLOOKUP($A269, CAD_ATUALIZACAO[#Data], MATCH(E$171, CAD_ATUALIZACAO[#Headers],0), FALSE)</f>
        <v>0</v>
      </c>
      <c r="F269" s="36">
        <f>VLOOKUP($A269, CAD_ATUALIZACAO[#Data], MATCH(F$171, CAD_ATUALIZACAO[#Headers],0), FALSE)</f>
        <v>45338</v>
      </c>
      <c r="G269" s="47">
        <f>WORKDAY(WORKDAY(TAB_CORRECAO_U[[#This Row],[DT_EVE]], -1, TAB_FERIADOS[FER_DATA]), 1, TAB_FERIADOS[FER_DATA])</f>
        <v>45336</v>
      </c>
      <c r="H269" s="75">
        <f>WORKDAY(WORKDAY(TAB_CORRECAO_U[[#This Row],[DT_LQDC_EVE]], -1, TAB_FERIADOS[FER_DATA]), 1, TAB_FERIADOS[FER_DATA])</f>
        <v>45338</v>
      </c>
      <c r="I269" s="48">
        <f>PU_EMISSAO - SUMIF(TAB_AMORTIZACAO_U[dt_eve_u], "&lt;" &amp; TAB_CORRECAO_U[[#This Row],[dt_eve_u]], TAB_AMORTIZACAO_U[V_PU_AMTC])</f>
        <v>25856.793791000047</v>
      </c>
      <c r="J269" s="48">
        <f>IFERROR(VLOOKUP(TAB_CORRECAO_U[[#This Row],[DT_EVE]], TAB_AMORTIZACAO_U[[DT_EVE]:[V_PU_AMTC]], 2, FALSE), 0)</f>
        <v>615.02969700000006</v>
      </c>
      <c r="K269" s="48">
        <f>NETWORKDAYS(DT_CALCULO_U, TAB_CORRECAO_U[[#This Row],[dt_eve_u]], TAB_FERIADOS[FER_DATA]) -1</f>
        <v>2038</v>
      </c>
      <c r="L269" s="48">
        <f>NETWORKDAYS(DT_CALCULO_U, TAB_CORRECAO_U[[#This Row],[dt_lqdc_eve_u]], TAB_FERIADOS[FER_DATA]) -1</f>
        <v>2040</v>
      </c>
      <c r="M269" s="48">
        <f>NETWORKDAYS(IF(ISTEXT(G268), DT_B_CORC, G268), TAB_CORRECAO_U[[#This Row],[dt_eve_u]], TAB_FERIADOS[FER_DATA]) -1</f>
        <v>24</v>
      </c>
      <c r="N269" s="78">
        <f>(TX_EMISSAO/100 +1)^(TAB_CORRECAO_U[[#This Row],[dias_periodo_u]]/252)</f>
        <v>1.0023544447517205</v>
      </c>
      <c r="O269" s="78">
        <f>(TIR_U/100 +1)^(TAB_CORRECAO_U[[#This Row],[Q_DIAS_U_PARC_TIR]]/252)</f>
        <v>1.2212978526200589</v>
      </c>
      <c r="P269" s="116" t="str">
        <f>"TX_CENARIO" &amp; TEXT(DT_CALCULO_C, "-AAAAMMDD") &amp; TEXT(TAB_CORRECAO_U[[#This Row],[DT_EVE]], "-AAAAMMDD")</f>
        <v>TX_CENARIO-20151228-20240212</v>
      </c>
      <c r="Q269" s="44">
        <f>IFERROR(VLOOKUP(TAB_CORRECAO_U[[#This Row],[Chave-CENARIO]],CENARIO[],2,FALSE), 0)</f>
        <v>16.382300000000001</v>
      </c>
      <c r="R269" s="116" t="str">
        <f>"CORRECAO_CORC_U" &amp; TEXT(DT_CALCULO_C, "-AAAAMMDD") &amp; TEXT(TAB_CORRECAO_U[[#This Row],[DT_EVE]], "-AAAAMMDD")</f>
        <v>CORRECAO_CORC_U-20151228-20240212</v>
      </c>
      <c r="S269" s="44">
        <f>IFERROR(VLOOKUP(TAB_CORRECAO_U[[#This Row],[Chave-CORC]],CORRECAO_CORC_U[],2, FALSE), 0)</f>
        <v>1.0146988100000001</v>
      </c>
      <c r="T269" s="78">
        <f>MAX(0, IF(TAB_CORRECAO_U[[#This Row],[ID_T_EVE]]= 5, TAB_CORRECAO_U[[#This Row],[PU_AMORT]],TAB_CORRECAO_U[[#This Row],[V_NOML_PCPL]]) * (TAB_CORRECAO_U[[#This Row],[CORRECAO_U]] -1))</f>
        <v>380.06409914309103</v>
      </c>
      <c r="U269" s="78">
        <f>MAX(0, TAB_CORRECAO_U[[#This Row],[V_FUT_U_CORC-01]]/((((TAB_CORRECAO_U[[#This Row],[TX_CENARIO]]/100 +1)^(1/252) -1) * PC_IDXR/100 +1)^TAB_CORRECAO_U[[#This Row],[Q_DIAS_U_PARC_TIR]]))</f>
        <v>111.29775814419052</v>
      </c>
      <c r="V269" s="78">
        <f>TAB_CORRECAO_U[[#This Row],[V_FUT_U_CORC-02]]/TAB_CORRECAO_U[[#This Row],[VAR_DESCAP_U]]</f>
        <v>91.130724503791328</v>
      </c>
      <c r="W269" s="78"/>
      <c r="X269" s="101">
        <f>TAB_CORRECAO_U[[#This Row],[dt_eve_u]]- DT_CALCULO_C</f>
        <v>2970</v>
      </c>
      <c r="Y269" s="48" t="str">
        <f>"CORRECAO_CORC_C" &amp; TEXT(DT_CALCULO_C, "-AAAAMMDD") &amp; TEXT(TAB_CORRECAO_U[[#This Row],[DT_EVE]], "-AAAAMMDD")</f>
        <v>CORRECAO_CORC_C-20151228-20240212</v>
      </c>
      <c r="Z269" s="44">
        <f>IFERROR(VLOOKUP(TAB_CORRECAO_C[[#This Row],[Chave-CORC]],CORRECAO_CORC_C[],2, FALSE), 0)</f>
        <v>1</v>
      </c>
      <c r="AA26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69" s="44">
        <f>(TIR_C/100 +1)^(TAB_CORRECAO_C[[#This Row],[DIAS_CORRIDOS]]/360)</f>
        <v>1.2224217877042882</v>
      </c>
      <c r="AC269" s="78">
        <f>IF(TAB_CORRECAO_C[[#This Row],[DIAS_CORRIDOS]]&lt;0, 0, TAB_CORRECAO_C[[#This Row],[V_FUT_C_CORC]]/TAB_CORRECAO_C[[#This Row],[VAR_DESCAP_C]])</f>
        <v>0</v>
      </c>
      <c r="AD269" s="113">
        <f>TAB_CORRECAO_U[[#This Row],[V_FUT_U_CORC-02]]</f>
        <v>111.29775814419052</v>
      </c>
      <c r="AE269" s="126">
        <f>IF(TAB_CORRECAO_C[[#This Row],[DIAS_CORRIDOS]]&lt;0, 0, TAB_CORRECAO_C[[#This Row],[V_FUT_UTEIS]]/TAB_CORRECAO_C[[#This Row],[VAR_DESCAP_C]])</f>
        <v>91.046935896985318</v>
      </c>
      <c r="AF269" s="64"/>
    </row>
    <row r="270" spans="1:32">
      <c r="A270" s="82">
        <f t="shared" si="5"/>
        <v>99</v>
      </c>
      <c r="B270" s="24">
        <f>VLOOKUP($A270, CAD_ATUALIZACAO[#Data], MATCH(B$171, CAD_ATUALIZACAO[#Headers],0), FALSE)</f>
        <v>3</v>
      </c>
      <c r="C270" s="24" t="str">
        <f>VLOOKUP($A270, CAD_ATUALIZACAO[#Data], MATCH(C$171, CAD_ATUALIZACAO[#Headers],0), FALSE)</f>
        <v xml:space="preserve">ATUALIZACAO SOBRE PRINCIPAL                       </v>
      </c>
      <c r="D270" s="36">
        <f>VLOOKUP($A270, CAD_ATUALIZACAO[#Data], MATCH(D$171, CAD_ATUALIZACAO[#Headers],0), FALSE)</f>
        <v>45359</v>
      </c>
      <c r="E270" s="48">
        <f>VLOOKUP($A270, CAD_ATUALIZACAO[#Data], MATCH(E$171, CAD_ATUALIZACAO[#Headers],0), FALSE)</f>
        <v>0</v>
      </c>
      <c r="F270" s="36">
        <f>VLOOKUP($A270, CAD_ATUALIZACAO[#Data], MATCH(F$171, CAD_ATUALIZACAO[#Headers],0), FALSE)</f>
        <v>45365</v>
      </c>
      <c r="G270" s="47">
        <f>WORKDAY(WORKDAY(TAB_CORRECAO_U[[#This Row],[DT_EVE]], -1, TAB_FERIADOS[FER_DATA]), 1, TAB_FERIADOS[FER_DATA])</f>
        <v>45359</v>
      </c>
      <c r="H270" s="75">
        <f>WORKDAY(WORKDAY(TAB_CORRECAO_U[[#This Row],[DT_LQDC_EVE]], -1, TAB_FERIADOS[FER_DATA]), 1, TAB_FERIADOS[FER_DATA])</f>
        <v>45365</v>
      </c>
      <c r="I270" s="48">
        <f>PU_EMISSAO - SUMIF(TAB_AMORTIZACAO_U[dt_eve_u], "&lt;" &amp; TAB_CORRECAO_U[[#This Row],[dt_eve_u]], TAB_AMORTIZACAO_U[V_PU_AMTC])</f>
        <v>25241.764094000042</v>
      </c>
      <c r="J270" s="48">
        <f>IFERROR(VLOOKUP(TAB_CORRECAO_U[[#This Row],[DT_EVE]], TAB_AMORTIZACAO_U[[DT_EVE]:[V_PU_AMTC]], 2, FALSE), 0)</f>
        <v>616.42912000000001</v>
      </c>
      <c r="K270" s="48">
        <f>NETWORKDAYS(DT_CALCULO_U, TAB_CORRECAO_U[[#This Row],[dt_eve_u]], TAB_FERIADOS[FER_DATA]) -1</f>
        <v>2055</v>
      </c>
      <c r="L270" s="48">
        <f>NETWORKDAYS(DT_CALCULO_U, TAB_CORRECAO_U[[#This Row],[dt_lqdc_eve_u]], TAB_FERIADOS[FER_DATA]) -1</f>
        <v>2059</v>
      </c>
      <c r="M270" s="48">
        <f>NETWORKDAYS(IF(ISTEXT(G269), DT_B_CORC, G269), TAB_CORRECAO_U[[#This Row],[dt_eve_u]], TAB_FERIADOS[FER_DATA]) -1</f>
        <v>17</v>
      </c>
      <c r="N270" s="78">
        <f>(TX_EMISSAO/100 +1)^(TAB_CORRECAO_U[[#This Row],[dias_periodo_u]]/252)</f>
        <v>1.0016671596522733</v>
      </c>
      <c r="O270" s="78">
        <f>(TIR_U/100 +1)^(TAB_CORRECAO_U[[#This Row],[Q_DIAS_U_PARC_TIR]]/252)</f>
        <v>1.2235739605252514</v>
      </c>
      <c r="P270" s="116" t="str">
        <f>"TX_CENARIO" &amp; TEXT(DT_CALCULO_C, "-AAAAMMDD") &amp; TEXT(TAB_CORRECAO_U[[#This Row],[DT_EVE]], "-AAAAMMDD")</f>
        <v>TX_CENARIO-20151228-20240308</v>
      </c>
      <c r="Q270" s="44">
        <f>IFERROR(VLOOKUP(TAB_CORRECAO_U[[#This Row],[Chave-CENARIO]],CENARIO[],2,FALSE), 0)</f>
        <v>16.3812</v>
      </c>
      <c r="R270" s="116" t="str">
        <f>"CORRECAO_CORC_U" &amp; TEXT(DT_CALCULO_C, "-AAAAMMDD") &amp; TEXT(TAB_CORRECAO_U[[#This Row],[DT_EVE]], "-AAAAMMDD")</f>
        <v>CORRECAO_CORC_U-20151228-20240308</v>
      </c>
      <c r="S270" s="44">
        <f>IFERROR(VLOOKUP(TAB_CORRECAO_U[[#This Row],[Chave-CORC]],CORRECAO_CORC_U[],2, FALSE), 0)</f>
        <v>1.01038948</v>
      </c>
      <c r="T270" s="78">
        <f>MAX(0, IF(TAB_CORRECAO_U[[#This Row],[ID_T_EVE]]= 5, TAB_CORRECAO_U[[#This Row],[PU_AMORT]],TAB_CORRECAO_U[[#This Row],[V_NOML_PCPL]]) * (TAB_CORRECAO_U[[#This Row],[CORRECAO_U]] -1))</f>
        <v>262.24880321933034</v>
      </c>
      <c r="U270" s="78">
        <f>MAX(0, TAB_CORRECAO_U[[#This Row],[V_FUT_U_CORC-01]]/((((TAB_CORRECAO_U[[#This Row],[TX_CENARIO]]/100 +1)^(1/252) -1) * PC_IDXR/100 +1)^TAB_CORRECAO_U[[#This Row],[Q_DIAS_U_PARC_TIR]]))</f>
        <v>75.929223128296755</v>
      </c>
      <c r="V270" s="78">
        <f>TAB_CORRECAO_U[[#This Row],[V_FUT_U_CORC-02]]/TAB_CORRECAO_U[[#This Row],[VAR_DESCAP_U]]</f>
        <v>62.055278698234261</v>
      </c>
      <c r="W270" s="78"/>
      <c r="X270" s="101">
        <f>TAB_CORRECAO_U[[#This Row],[dt_eve_u]]- DT_CALCULO_C</f>
        <v>2993</v>
      </c>
      <c r="Y270" s="48" t="str">
        <f>"CORRECAO_CORC_C" &amp; TEXT(DT_CALCULO_C, "-AAAAMMDD") &amp; TEXT(TAB_CORRECAO_U[[#This Row],[DT_EVE]], "-AAAAMMDD")</f>
        <v>CORRECAO_CORC_C-20151228-20240308</v>
      </c>
      <c r="Z270" s="44">
        <f>IFERROR(VLOOKUP(TAB_CORRECAO_C[[#This Row],[Chave-CORC]],CORRECAO_CORC_C[],2, FALSE), 0)</f>
        <v>1</v>
      </c>
      <c r="AA27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0" s="44">
        <f>(TIR_C/100 +1)^(TAB_CORRECAO_C[[#This Row],[DIAS_CORRIDOS]]/360)</f>
        <v>1.2243244748984656</v>
      </c>
      <c r="AC270" s="78">
        <f>IF(TAB_CORRECAO_C[[#This Row],[DIAS_CORRIDOS]]&lt;0, 0, TAB_CORRECAO_C[[#This Row],[V_FUT_C_CORC]]/TAB_CORRECAO_C[[#This Row],[VAR_DESCAP_C]])</f>
        <v>0</v>
      </c>
      <c r="AD270" s="113">
        <f>TAB_CORRECAO_U[[#This Row],[V_FUT_U_CORC-02]]</f>
        <v>75.929223128296755</v>
      </c>
      <c r="AE270" s="126">
        <f>IF(TAB_CORRECAO_C[[#This Row],[DIAS_CORRIDOS]]&lt;0, 0, TAB_CORRECAO_C[[#This Row],[V_FUT_UTEIS]]/TAB_CORRECAO_C[[#This Row],[VAR_DESCAP_C]])</f>
        <v>62.017238636509035</v>
      </c>
      <c r="AF270" s="64"/>
    </row>
    <row r="271" spans="1:32">
      <c r="A271" s="82">
        <f t="shared" si="5"/>
        <v>100</v>
      </c>
      <c r="B271" s="24">
        <f>VLOOKUP($A271, CAD_ATUALIZACAO[#Data], MATCH(B$171, CAD_ATUALIZACAO[#Headers],0), FALSE)</f>
        <v>3</v>
      </c>
      <c r="C271" s="24" t="str">
        <f>VLOOKUP($A271, CAD_ATUALIZACAO[#Data], MATCH(C$171, CAD_ATUALIZACAO[#Headers],0), FALSE)</f>
        <v xml:space="preserve">ATUALIZACAO SOBRE PRINCIPAL                       </v>
      </c>
      <c r="D271" s="36">
        <f>VLOOKUP($A271, CAD_ATUALIZACAO[#Data], MATCH(D$171, CAD_ATUALIZACAO[#Headers],0), FALSE)</f>
        <v>45390</v>
      </c>
      <c r="E271" s="48">
        <f>VLOOKUP($A271, CAD_ATUALIZACAO[#Data], MATCH(E$171, CAD_ATUALIZACAO[#Headers],0), FALSE)</f>
        <v>0</v>
      </c>
      <c r="F271" s="36">
        <f>VLOOKUP($A271, CAD_ATUALIZACAO[#Data], MATCH(F$171, CAD_ATUALIZACAO[#Headers],0), FALSE)</f>
        <v>45394</v>
      </c>
      <c r="G271" s="47">
        <f>WORKDAY(WORKDAY(TAB_CORRECAO_U[[#This Row],[DT_EVE]], -1, TAB_FERIADOS[FER_DATA]), 1, TAB_FERIADOS[FER_DATA])</f>
        <v>45390</v>
      </c>
      <c r="H271" s="75">
        <f>WORKDAY(WORKDAY(TAB_CORRECAO_U[[#This Row],[DT_LQDC_EVE]], -1, TAB_FERIADOS[FER_DATA]), 1, TAB_FERIADOS[FER_DATA])</f>
        <v>45394</v>
      </c>
      <c r="I271" s="48">
        <f>PU_EMISSAO - SUMIF(TAB_AMORTIZACAO_U[dt_eve_u], "&lt;" &amp; TAB_CORRECAO_U[[#This Row],[dt_eve_u]], TAB_AMORTIZACAO_U[V_PU_AMTC])</f>
        <v>24625.334974000041</v>
      </c>
      <c r="J271" s="48">
        <f>IFERROR(VLOOKUP(TAB_CORRECAO_U[[#This Row],[DT_EVE]], TAB_AMORTIZACAO_U[[DT_EVE]:[V_PU_AMTC]], 2, FALSE), 0)</f>
        <v>607.48238800000001</v>
      </c>
      <c r="K271" s="48">
        <f>NETWORKDAYS(DT_CALCULO_U, TAB_CORRECAO_U[[#This Row],[dt_eve_u]], TAB_FERIADOS[FER_DATA]) -1</f>
        <v>2075</v>
      </c>
      <c r="L271" s="48">
        <f>NETWORKDAYS(DT_CALCULO_U, TAB_CORRECAO_U[[#This Row],[dt_lqdc_eve_u]], TAB_FERIADOS[FER_DATA]) -1</f>
        <v>2079</v>
      </c>
      <c r="M271" s="48">
        <f>NETWORKDAYS(IF(ISTEXT(G270), DT_B_CORC, G270), TAB_CORRECAO_U[[#This Row],[dt_eve_u]], TAB_FERIADOS[FER_DATA]) -1</f>
        <v>20</v>
      </c>
      <c r="N271" s="78">
        <f>(TX_EMISSAO/100 +1)^(TAB_CORRECAO_U[[#This Row],[dias_periodo_u]]/252)</f>
        <v>1.0019616526860928</v>
      </c>
      <c r="O271" s="78">
        <f>(TIR_U/100 +1)^(TAB_CORRECAO_U[[#This Row],[Q_DIAS_U_PARC_TIR]]/252)</f>
        <v>1.2259744464339446</v>
      </c>
      <c r="P271" s="116" t="str">
        <f>"TX_CENARIO" &amp; TEXT(DT_CALCULO_C, "-AAAAMMDD") &amp; TEXT(TAB_CORRECAO_U[[#This Row],[DT_EVE]], "-AAAAMMDD")</f>
        <v>TX_CENARIO-20151228-20240408</v>
      </c>
      <c r="Q271" s="44">
        <f>IFERROR(VLOOKUP(TAB_CORRECAO_U[[#This Row],[Chave-CENARIO]],CENARIO[],2,FALSE), 0)</f>
        <v>16.38</v>
      </c>
      <c r="R271" s="116" t="str">
        <f>"CORRECAO_CORC_U" &amp; TEXT(DT_CALCULO_C, "-AAAAMMDD") &amp; TEXT(TAB_CORRECAO_U[[#This Row],[DT_EVE]], "-AAAAMMDD")</f>
        <v>CORRECAO_CORC_U-20151228-20240408</v>
      </c>
      <c r="S271" s="44">
        <f>IFERROR(VLOOKUP(TAB_CORRECAO_U[[#This Row],[Chave-CORC]],CORRECAO_CORC_U[],2, FALSE), 0)</f>
        <v>1.01223409</v>
      </c>
      <c r="T271" s="78">
        <f>MAX(0, IF(TAB_CORRECAO_U[[#This Row],[ID_T_EVE]]= 5, TAB_CORRECAO_U[[#This Row],[PU_AMORT]],TAB_CORRECAO_U[[#This Row],[V_NOML_PCPL]]) * (TAB_CORRECAO_U[[#This Row],[CORRECAO_U]] -1))</f>
        <v>301.26856435206355</v>
      </c>
      <c r="U271" s="78">
        <f>MAX(0, TAB_CORRECAO_U[[#This Row],[V_FUT_U_CORC-01]]/((((TAB_CORRECAO_U[[#This Row],[TX_CENARIO]]/100 +1)^(1/252) -1) * PC_IDXR/100 +1)^TAB_CORRECAO_U[[#This Row],[Q_DIAS_U_PARC_TIR]]))</f>
        <v>86.190104412236067</v>
      </c>
      <c r="V271" s="78">
        <f>TAB_CORRECAO_U[[#This Row],[V_FUT_U_CORC-02]]/TAB_CORRECAO_U[[#This Row],[VAR_DESCAP_U]]</f>
        <v>70.303344953837893</v>
      </c>
      <c r="W271" s="78"/>
      <c r="X271" s="101">
        <f>TAB_CORRECAO_U[[#This Row],[dt_eve_u]]- DT_CALCULO_C</f>
        <v>3024</v>
      </c>
      <c r="Y271" s="48" t="str">
        <f>"CORRECAO_CORC_C" &amp; TEXT(DT_CALCULO_C, "-AAAAMMDD") &amp; TEXT(TAB_CORRECAO_U[[#This Row],[DT_EVE]], "-AAAAMMDD")</f>
        <v>CORRECAO_CORC_C-20151228-20240408</v>
      </c>
      <c r="Z271" s="44">
        <f>IFERROR(VLOOKUP(TAB_CORRECAO_C[[#This Row],[Chave-CORC]],CORRECAO_CORC_C[],2, FALSE), 0)</f>
        <v>1</v>
      </c>
      <c r="AA27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1" s="44">
        <f>(TIR_C/100 +1)^(TAB_CORRECAO_C[[#This Row],[DIAS_CORRIDOS]]/360)</f>
        <v>1.2268936529767569</v>
      </c>
      <c r="AC271" s="78">
        <f>IF(TAB_CORRECAO_C[[#This Row],[DIAS_CORRIDOS]]&lt;0, 0, TAB_CORRECAO_C[[#This Row],[V_FUT_C_CORC]]/TAB_CORRECAO_C[[#This Row],[VAR_DESCAP_C]])</f>
        <v>0</v>
      </c>
      <c r="AD271" s="113">
        <f>TAB_CORRECAO_U[[#This Row],[V_FUT_U_CORC-02]]</f>
        <v>86.190104412236067</v>
      </c>
      <c r="AE271" s="126">
        <f>IF(TAB_CORRECAO_C[[#This Row],[DIAS_CORRIDOS]]&lt;0, 0, TAB_CORRECAO_C[[#This Row],[V_FUT_UTEIS]]/TAB_CORRECAO_C[[#This Row],[VAR_DESCAP_C]])</f>
        <v>70.250672666792994</v>
      </c>
      <c r="AF271" s="64"/>
    </row>
    <row r="272" spans="1:32">
      <c r="A272" s="82">
        <f t="shared" si="5"/>
        <v>101</v>
      </c>
      <c r="B272" s="24">
        <f>VLOOKUP($A272, CAD_ATUALIZACAO[#Data], MATCH(B$171, CAD_ATUALIZACAO[#Headers],0), FALSE)</f>
        <v>3</v>
      </c>
      <c r="C272" s="24" t="str">
        <f>VLOOKUP($A272, CAD_ATUALIZACAO[#Data], MATCH(C$171, CAD_ATUALIZACAO[#Headers],0), FALSE)</f>
        <v xml:space="preserve">ATUALIZACAO SOBRE PRINCIPAL                       </v>
      </c>
      <c r="D272" s="36">
        <f>VLOOKUP($A272, CAD_ATUALIZACAO[#Data], MATCH(D$171, CAD_ATUALIZACAO[#Headers],0), FALSE)</f>
        <v>45421</v>
      </c>
      <c r="E272" s="48">
        <f>VLOOKUP($A272, CAD_ATUALIZACAO[#Data], MATCH(E$171, CAD_ATUALIZACAO[#Headers],0), FALSE)</f>
        <v>0</v>
      </c>
      <c r="F272" s="36">
        <f>VLOOKUP($A272, CAD_ATUALIZACAO[#Data], MATCH(F$171, CAD_ATUALIZACAO[#Headers],0), FALSE)</f>
        <v>45427</v>
      </c>
      <c r="G272" s="47">
        <f>WORKDAY(WORKDAY(TAB_CORRECAO_U[[#This Row],[DT_EVE]], -1, TAB_FERIADOS[FER_DATA]), 1, TAB_FERIADOS[FER_DATA])</f>
        <v>45421</v>
      </c>
      <c r="H272" s="75">
        <f>WORKDAY(WORKDAY(TAB_CORRECAO_U[[#This Row],[DT_LQDC_EVE]], -1, TAB_FERIADOS[FER_DATA]), 1, TAB_FERIADOS[FER_DATA])</f>
        <v>45427</v>
      </c>
      <c r="I272" s="48">
        <f>PU_EMISSAO - SUMIF(TAB_AMORTIZACAO_U[dt_eve_u], "&lt;" &amp; TAB_CORRECAO_U[[#This Row],[dt_eve_u]], TAB_AMORTIZACAO_U[V_PU_AMTC])</f>
        <v>24017.852586000037</v>
      </c>
      <c r="J272" s="48">
        <f>IFERROR(VLOOKUP(TAB_CORRECAO_U[[#This Row],[DT_EVE]], TAB_AMORTIZACAO_U[[DT_EVE]:[V_PU_AMTC]], 2, FALSE), 0)</f>
        <v>595.61872600000004</v>
      </c>
      <c r="K272" s="48">
        <f>NETWORKDAYS(DT_CALCULO_U, TAB_CORRECAO_U[[#This Row],[dt_eve_u]], TAB_FERIADOS[FER_DATA]) -1</f>
        <v>2097</v>
      </c>
      <c r="L272" s="48">
        <f>NETWORKDAYS(DT_CALCULO_U, TAB_CORRECAO_U[[#This Row],[dt_lqdc_eve_u]], TAB_FERIADOS[FER_DATA]) -1</f>
        <v>2101</v>
      </c>
      <c r="M272" s="48">
        <f>NETWORKDAYS(IF(ISTEXT(G271), DT_B_CORC, G271), TAB_CORRECAO_U[[#This Row],[dt_eve_u]], TAB_FERIADOS[FER_DATA]) -1</f>
        <v>22</v>
      </c>
      <c r="N272" s="78">
        <f>(TX_EMISSAO/100 +1)^(TAB_CORRECAO_U[[#This Row],[dias_periodo_u]]/252)</f>
        <v>1.0021580294747356</v>
      </c>
      <c r="O272" s="78">
        <f>(TIR_U/100 +1)^(TAB_CORRECAO_U[[#This Row],[Q_DIAS_U_PARC_TIR]]/252)</f>
        <v>1.2286204206775786</v>
      </c>
      <c r="P272" s="116" t="str">
        <f>"TX_CENARIO" &amp; TEXT(DT_CALCULO_C, "-AAAAMMDD") &amp; TEXT(TAB_CORRECAO_U[[#This Row],[DT_EVE]], "-AAAAMMDD")</f>
        <v>TX_CENARIO-20151228-20240509</v>
      </c>
      <c r="Q272" s="44">
        <f>IFERROR(VLOOKUP(TAB_CORRECAO_U[[#This Row],[Chave-CENARIO]],CENARIO[],2,FALSE), 0)</f>
        <v>16.378799999999998</v>
      </c>
      <c r="R272" s="116" t="str">
        <f>"CORRECAO_CORC_U" &amp; TEXT(DT_CALCULO_C, "-AAAAMMDD") &amp; TEXT(TAB_CORRECAO_U[[#This Row],[DT_EVE]], "-AAAAMMDD")</f>
        <v>CORRECAO_CORC_U-20151228-20240509</v>
      </c>
      <c r="S272" s="44">
        <f>IFERROR(VLOOKUP(TAB_CORRECAO_U[[#This Row],[Chave-CORC]],CORRECAO_CORC_U[],2, FALSE), 0)</f>
        <v>1.0134657</v>
      </c>
      <c r="T272" s="78">
        <f>MAX(0, IF(TAB_CORRECAO_U[[#This Row],[ID_T_EVE]]= 5, TAB_CORRECAO_U[[#This Row],[PU_AMORT]],TAB_CORRECAO_U[[#This Row],[V_NOML_PCPL]]) * (TAB_CORRECAO_U[[#This Row],[CORRECAO_U]] -1))</f>
        <v>323.41719756730129</v>
      </c>
      <c r="U272" s="78">
        <f>MAX(0, TAB_CORRECAO_U[[#This Row],[V_FUT_U_CORC-01]]/((((TAB_CORRECAO_U[[#This Row],[TX_CENARIO]]/100 +1)^(1/252) -1) * PC_IDXR/100 +1)^TAB_CORRECAO_U[[#This Row],[Q_DIAS_U_PARC_TIR]]))</f>
        <v>91.317234088245186</v>
      </c>
      <c r="V272" s="78">
        <f>TAB_CORRECAO_U[[#This Row],[V_FUT_U_CORC-02]]/TAB_CORRECAO_U[[#This Row],[VAR_DESCAP_U]]</f>
        <v>74.325017353922988</v>
      </c>
      <c r="W272" s="78"/>
      <c r="X272" s="101">
        <f>TAB_CORRECAO_U[[#This Row],[dt_eve_u]]- DT_CALCULO_C</f>
        <v>3055</v>
      </c>
      <c r="Y272" s="48" t="str">
        <f>"CORRECAO_CORC_C" &amp; TEXT(DT_CALCULO_C, "-AAAAMMDD") &amp; TEXT(TAB_CORRECAO_U[[#This Row],[DT_EVE]], "-AAAAMMDD")</f>
        <v>CORRECAO_CORC_C-20151228-20240509</v>
      </c>
      <c r="Z272" s="44">
        <f>IFERROR(VLOOKUP(TAB_CORRECAO_C[[#This Row],[Chave-CORC]],CORRECAO_CORC_C[],2, FALSE), 0)</f>
        <v>1</v>
      </c>
      <c r="AA27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2" s="44">
        <f>(TIR_C/100 +1)^(TAB_CORRECAO_C[[#This Row],[DIAS_CORRIDOS]]/360)</f>
        <v>1.2294682223350017</v>
      </c>
      <c r="AC272" s="78">
        <f>IF(TAB_CORRECAO_C[[#This Row],[DIAS_CORRIDOS]]&lt;0, 0, TAB_CORRECAO_C[[#This Row],[V_FUT_C_CORC]]/TAB_CORRECAO_C[[#This Row],[VAR_DESCAP_C]])</f>
        <v>0</v>
      </c>
      <c r="AD272" s="113">
        <f>TAB_CORRECAO_U[[#This Row],[V_FUT_U_CORC-02]]</f>
        <v>91.317234088245186</v>
      </c>
      <c r="AE272" s="126">
        <f>IF(TAB_CORRECAO_C[[#This Row],[DIAS_CORRIDOS]]&lt;0, 0, TAB_CORRECAO_C[[#This Row],[V_FUT_UTEIS]]/TAB_CORRECAO_C[[#This Row],[VAR_DESCAP_C]])</f>
        <v>74.27376521762865</v>
      </c>
      <c r="AF272" s="64"/>
    </row>
    <row r="273" spans="1:32">
      <c r="A273" s="82">
        <f t="shared" si="5"/>
        <v>102</v>
      </c>
      <c r="B273" s="24">
        <f>VLOOKUP($A273, CAD_ATUALIZACAO[#Data], MATCH(B$171, CAD_ATUALIZACAO[#Headers],0), FALSE)</f>
        <v>3</v>
      </c>
      <c r="C273" s="24" t="str">
        <f>VLOOKUP($A273, CAD_ATUALIZACAO[#Data], MATCH(C$171, CAD_ATUALIZACAO[#Headers],0), FALSE)</f>
        <v xml:space="preserve">ATUALIZACAO SOBRE PRINCIPAL                       </v>
      </c>
      <c r="D273" s="36">
        <f>VLOOKUP($A273, CAD_ATUALIZACAO[#Data], MATCH(D$171, CAD_ATUALIZACAO[#Headers],0), FALSE)</f>
        <v>45453</v>
      </c>
      <c r="E273" s="48">
        <f>VLOOKUP($A273, CAD_ATUALIZACAO[#Data], MATCH(E$171, CAD_ATUALIZACAO[#Headers],0), FALSE)</f>
        <v>0</v>
      </c>
      <c r="F273" s="36">
        <f>VLOOKUP($A273, CAD_ATUALIZACAO[#Data], MATCH(F$171, CAD_ATUALIZACAO[#Headers],0), FALSE)</f>
        <v>45457</v>
      </c>
      <c r="G273" s="47">
        <f>WORKDAY(WORKDAY(TAB_CORRECAO_U[[#This Row],[DT_EVE]], -1, TAB_FERIADOS[FER_DATA]), 1, TAB_FERIADOS[FER_DATA])</f>
        <v>45453</v>
      </c>
      <c r="H273" s="75">
        <f>WORKDAY(WORKDAY(TAB_CORRECAO_U[[#This Row],[DT_LQDC_EVE]], -1, TAB_FERIADOS[FER_DATA]), 1, TAB_FERIADOS[FER_DATA])</f>
        <v>45457</v>
      </c>
      <c r="I273" s="48">
        <f>PU_EMISSAO - SUMIF(TAB_AMORTIZACAO_U[dt_eve_u], "&lt;" &amp; TAB_CORRECAO_U[[#This Row],[dt_eve_u]], TAB_AMORTIZACAO_U[V_PU_AMTC])</f>
        <v>23422.233860000037</v>
      </c>
      <c r="J273" s="48">
        <f>IFERROR(VLOOKUP(TAB_CORRECAO_U[[#This Row],[DT_EVE]], TAB_AMORTIZACAO_U[[DT_EVE]:[V_PU_AMTC]], 2, FALSE), 0)</f>
        <v>591.341138</v>
      </c>
      <c r="K273" s="48">
        <f>NETWORKDAYS(DT_CALCULO_U, TAB_CORRECAO_U[[#This Row],[dt_eve_u]], TAB_FERIADOS[FER_DATA]) -1</f>
        <v>2118</v>
      </c>
      <c r="L273" s="48">
        <f>NETWORKDAYS(DT_CALCULO_U, TAB_CORRECAO_U[[#This Row],[dt_lqdc_eve_u]], TAB_FERIADOS[FER_DATA]) -1</f>
        <v>2122</v>
      </c>
      <c r="M273" s="48">
        <f>NETWORKDAYS(IF(ISTEXT(G272), DT_B_CORC, G272), TAB_CORRECAO_U[[#This Row],[dt_eve_u]], TAB_FERIADOS[FER_DATA]) -1</f>
        <v>21</v>
      </c>
      <c r="N273" s="78">
        <f>(TX_EMISSAO/100 +1)^(TAB_CORRECAO_U[[#This Row],[dias_periodo_u]]/252)</f>
        <v>1.0020598362698427</v>
      </c>
      <c r="O273" s="78">
        <f>(TIR_U/100 +1)^(TAB_CORRECAO_U[[#This Row],[Q_DIAS_U_PARC_TIR]]/252)</f>
        <v>1.2311514504298016</v>
      </c>
      <c r="P273" s="116" t="str">
        <f>"TX_CENARIO" &amp; TEXT(DT_CALCULO_C, "-AAAAMMDD") &amp; TEXT(TAB_CORRECAO_U[[#This Row],[DT_EVE]], "-AAAAMMDD")</f>
        <v>TX_CENARIO-20151228-20240610</v>
      </c>
      <c r="Q273" s="44">
        <f>IFERROR(VLOOKUP(TAB_CORRECAO_U[[#This Row],[Chave-CENARIO]],CENARIO[],2,FALSE), 0)</f>
        <v>16.377700000000001</v>
      </c>
      <c r="R273" s="116" t="str">
        <f>"CORRECAO_CORC_U" &amp; TEXT(DT_CALCULO_C, "-AAAAMMDD") &amp; TEXT(TAB_CORRECAO_U[[#This Row],[DT_EVE]], "-AAAAMMDD")</f>
        <v>CORRECAO_CORC_U-20151228-20240610</v>
      </c>
      <c r="S273" s="44">
        <f>IFERROR(VLOOKUP(TAB_CORRECAO_U[[#This Row],[Chave-CORC]],CORRECAO_CORC_U[],2, FALSE), 0)</f>
        <v>1.01284971</v>
      </c>
      <c r="T273" s="78">
        <f>MAX(0, IF(TAB_CORRECAO_U[[#This Row],[ID_T_EVE]]= 5, TAB_CORRECAO_U[[#This Row],[PU_AMORT]],TAB_CORRECAO_U[[#This Row],[V_NOML_PCPL]]) * (TAB_CORRECAO_U[[#This Row],[CORRECAO_U]] -1))</f>
        <v>300.96891265318141</v>
      </c>
      <c r="U273" s="78">
        <f>MAX(0, TAB_CORRECAO_U[[#This Row],[V_FUT_U_CORC-01]]/((((TAB_CORRECAO_U[[#This Row],[TX_CENARIO]]/100 +1)^(1/252) -1) * PC_IDXR/100 +1)^TAB_CORRECAO_U[[#This Row],[Q_DIAS_U_PARC_TIR]]))</f>
        <v>83.918237659721541</v>
      </c>
      <c r="V273" s="78">
        <f>TAB_CORRECAO_U[[#This Row],[V_FUT_U_CORC-02]]/TAB_CORRECAO_U[[#This Row],[VAR_DESCAP_U]]</f>
        <v>68.162400028384184</v>
      </c>
      <c r="W273" s="78"/>
      <c r="X273" s="101">
        <f>TAB_CORRECAO_U[[#This Row],[dt_eve_u]]- DT_CALCULO_C</f>
        <v>3087</v>
      </c>
      <c r="Y273" s="48" t="str">
        <f>"CORRECAO_CORC_C" &amp; TEXT(DT_CALCULO_C, "-AAAAMMDD") &amp; TEXT(TAB_CORRECAO_U[[#This Row],[DT_EVE]], "-AAAAMMDD")</f>
        <v>CORRECAO_CORC_C-20151228-20240610</v>
      </c>
      <c r="Z273" s="44">
        <f>IFERROR(VLOOKUP(TAB_CORRECAO_C[[#This Row],[Chave-CORC]],CORRECAO_CORC_C[],2, FALSE), 0)</f>
        <v>1</v>
      </c>
      <c r="AA27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3" s="44">
        <f>(TIR_C/100 +1)^(TAB_CORRECAO_C[[#This Row],[DIAS_CORRIDOS]]/360)</f>
        <v>1.2321315092654925</v>
      </c>
      <c r="AC273" s="78">
        <f>IF(TAB_CORRECAO_C[[#This Row],[DIAS_CORRIDOS]]&lt;0, 0, TAB_CORRECAO_C[[#This Row],[V_FUT_C_CORC]]/TAB_CORRECAO_C[[#This Row],[VAR_DESCAP_C]])</f>
        <v>0</v>
      </c>
      <c r="AD273" s="113">
        <f>TAB_CORRECAO_U[[#This Row],[V_FUT_U_CORC-02]]</f>
        <v>83.918237659721541</v>
      </c>
      <c r="AE273" s="126">
        <f>IF(TAB_CORRECAO_C[[#This Row],[DIAS_CORRIDOS]]&lt;0, 0, TAB_CORRECAO_C[[#This Row],[V_FUT_UTEIS]]/TAB_CORRECAO_C[[#This Row],[VAR_DESCAP_C]])</f>
        <v>68.108182469700424</v>
      </c>
      <c r="AF273" s="64"/>
    </row>
    <row r="274" spans="1:32">
      <c r="A274" s="82">
        <f t="shared" si="5"/>
        <v>103</v>
      </c>
      <c r="B274" s="24">
        <f>VLOOKUP($A274, CAD_ATUALIZACAO[#Data], MATCH(B$171, CAD_ATUALIZACAO[#Headers],0), FALSE)</f>
        <v>3</v>
      </c>
      <c r="C274" s="24" t="str">
        <f>VLOOKUP($A274, CAD_ATUALIZACAO[#Data], MATCH(C$171, CAD_ATUALIZACAO[#Headers],0), FALSE)</f>
        <v xml:space="preserve">ATUALIZACAO SOBRE PRINCIPAL                       </v>
      </c>
      <c r="D274" s="36">
        <f>VLOOKUP($A274, CAD_ATUALIZACAO[#Data], MATCH(D$171, CAD_ATUALIZACAO[#Headers],0), FALSE)</f>
        <v>45481</v>
      </c>
      <c r="E274" s="48">
        <f>VLOOKUP($A274, CAD_ATUALIZACAO[#Data], MATCH(E$171, CAD_ATUALIZACAO[#Headers],0), FALSE)</f>
        <v>0</v>
      </c>
      <c r="F274" s="36">
        <f>VLOOKUP($A274, CAD_ATUALIZACAO[#Data], MATCH(F$171, CAD_ATUALIZACAO[#Headers],0), FALSE)</f>
        <v>45485</v>
      </c>
      <c r="G274" s="47">
        <f>WORKDAY(WORKDAY(TAB_CORRECAO_U[[#This Row],[DT_EVE]], -1, TAB_FERIADOS[FER_DATA]), 1, TAB_FERIADOS[FER_DATA])</f>
        <v>45481</v>
      </c>
      <c r="H274" s="75">
        <f>WORKDAY(WORKDAY(TAB_CORRECAO_U[[#This Row],[DT_LQDC_EVE]], -1, TAB_FERIADOS[FER_DATA]), 1, TAB_FERIADOS[FER_DATA])</f>
        <v>45485</v>
      </c>
      <c r="I274" s="48">
        <f>PU_EMISSAO - SUMIF(TAB_AMORTIZACAO_U[dt_eve_u], "&lt;" &amp; TAB_CORRECAO_U[[#This Row],[dt_eve_u]], TAB_AMORTIZACAO_U[V_PU_AMTC])</f>
        <v>22830.892722000033</v>
      </c>
      <c r="J274" s="48">
        <f>IFERROR(VLOOKUP(TAB_CORRECAO_U[[#This Row],[DT_EVE]], TAB_AMORTIZACAO_U[[DT_EVE]:[V_PU_AMTC]], 2, FALSE), 0)</f>
        <v>587.41603799999996</v>
      </c>
      <c r="K274" s="48">
        <f>NETWORKDAYS(DT_CALCULO_U, TAB_CORRECAO_U[[#This Row],[dt_eve_u]], TAB_FERIADOS[FER_DATA]) -1</f>
        <v>2138</v>
      </c>
      <c r="L274" s="48">
        <f>NETWORKDAYS(DT_CALCULO_U, TAB_CORRECAO_U[[#This Row],[dt_lqdc_eve_u]], TAB_FERIADOS[FER_DATA]) -1</f>
        <v>2142</v>
      </c>
      <c r="M274" s="48">
        <f>NETWORKDAYS(IF(ISTEXT(G273), DT_B_CORC, G273), TAB_CORRECAO_U[[#This Row],[dt_eve_u]], TAB_FERIADOS[FER_DATA]) -1</f>
        <v>20</v>
      </c>
      <c r="N274" s="78">
        <f>(TX_EMISSAO/100 +1)^(TAB_CORRECAO_U[[#This Row],[dias_periodo_u]]/252)</f>
        <v>1.0019616526860928</v>
      </c>
      <c r="O274" s="78">
        <f>(TIR_U/100 +1)^(TAB_CORRECAO_U[[#This Row],[Q_DIAS_U_PARC_TIR]]/252)</f>
        <v>1.2335668023444135</v>
      </c>
      <c r="P274" s="116" t="str">
        <f>"TX_CENARIO" &amp; TEXT(DT_CALCULO_C, "-AAAAMMDD") &amp; TEXT(TAB_CORRECAO_U[[#This Row],[DT_EVE]], "-AAAAMMDD")</f>
        <v>TX_CENARIO-20151228-20240708</v>
      </c>
      <c r="Q274" s="44">
        <f>IFERROR(VLOOKUP(TAB_CORRECAO_U[[#This Row],[Chave-CENARIO]],CENARIO[],2,FALSE), 0)</f>
        <v>16.3766</v>
      </c>
      <c r="R274" s="116" t="str">
        <f>"CORRECAO_CORC_U" &amp; TEXT(DT_CALCULO_C, "-AAAAMMDD") &amp; TEXT(TAB_CORRECAO_U[[#This Row],[DT_EVE]], "-AAAAMMDD")</f>
        <v>CORRECAO_CORC_U-20151228-20240708</v>
      </c>
      <c r="S274" s="44">
        <f>IFERROR(VLOOKUP(TAB_CORRECAO_U[[#This Row],[Chave-CORC]],CORRECAO_CORC_U[],2, FALSE), 0)</f>
        <v>1.0122325400000001</v>
      </c>
      <c r="T274" s="78">
        <f>MAX(0, IF(TAB_CORRECAO_U[[#This Row],[ID_T_EVE]]= 5, TAB_CORRECAO_U[[#This Row],[PU_AMORT]],TAB_CORRECAO_U[[#This Row],[V_NOML_PCPL]]) * (TAB_CORRECAO_U[[#This Row],[CORRECAO_U]] -1))</f>
        <v>279.27980845757588</v>
      </c>
      <c r="U274" s="78">
        <f>MAX(0, TAB_CORRECAO_U[[#This Row],[V_FUT_U_CORC-01]]/((((TAB_CORRECAO_U[[#This Row],[TX_CENARIO]]/100 +1)^(1/252) -1) * PC_IDXR/100 +1)^TAB_CORRECAO_U[[#This Row],[Q_DIAS_U_PARC_TIR]]))</f>
        <v>76.945174017104577</v>
      </c>
      <c r="V274" s="78">
        <f>TAB_CORRECAO_U[[#This Row],[V_FUT_U_CORC-02]]/TAB_CORRECAO_U[[#This Row],[VAR_DESCAP_U]]</f>
        <v>62.376171173599225</v>
      </c>
      <c r="W274" s="78"/>
      <c r="X274" s="101">
        <f>TAB_CORRECAO_U[[#This Row],[dt_eve_u]]- DT_CALCULO_C</f>
        <v>3115</v>
      </c>
      <c r="Y274" s="48" t="str">
        <f>"CORRECAO_CORC_C" &amp; TEXT(DT_CALCULO_C, "-AAAAMMDD") &amp; TEXT(TAB_CORRECAO_U[[#This Row],[DT_EVE]], "-AAAAMMDD")</f>
        <v>CORRECAO_CORC_C-20151228-20240708</v>
      </c>
      <c r="Z274" s="44">
        <f>IFERROR(VLOOKUP(TAB_CORRECAO_C[[#This Row],[Chave-CORC]],CORRECAO_CORC_C[],2, FALSE), 0)</f>
        <v>1</v>
      </c>
      <c r="AA27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4" s="44">
        <f>(TIR_C/100 +1)^(TAB_CORRECAO_C[[#This Row],[DIAS_CORRIDOS]]/360)</f>
        <v>1.2344666174824808</v>
      </c>
      <c r="AC274" s="78">
        <f>IF(TAB_CORRECAO_C[[#This Row],[DIAS_CORRIDOS]]&lt;0, 0, TAB_CORRECAO_C[[#This Row],[V_FUT_C_CORC]]/TAB_CORRECAO_C[[#This Row],[VAR_DESCAP_C]])</f>
        <v>0</v>
      </c>
      <c r="AD274" s="113">
        <f>TAB_CORRECAO_U[[#This Row],[V_FUT_U_CORC-02]]</f>
        <v>76.945174017104577</v>
      </c>
      <c r="AE274" s="126">
        <f>IF(TAB_CORRECAO_C[[#This Row],[DIAS_CORRIDOS]]&lt;0, 0, TAB_CORRECAO_C[[#This Row],[V_FUT_UTEIS]]/TAB_CORRECAO_C[[#This Row],[VAR_DESCAP_C]])</f>
        <v>62.330704554833019</v>
      </c>
      <c r="AF274" s="64"/>
    </row>
    <row r="275" spans="1:32">
      <c r="A275" s="82">
        <f t="shared" si="5"/>
        <v>104</v>
      </c>
      <c r="B275" s="24">
        <f>VLOOKUP($A275, CAD_ATUALIZACAO[#Data], MATCH(B$171, CAD_ATUALIZACAO[#Headers],0), FALSE)</f>
        <v>3</v>
      </c>
      <c r="C275" s="24" t="str">
        <f>VLOOKUP($A275, CAD_ATUALIZACAO[#Data], MATCH(C$171, CAD_ATUALIZACAO[#Headers],0), FALSE)</f>
        <v xml:space="preserve">ATUALIZACAO SOBRE PRINCIPAL                       </v>
      </c>
      <c r="D275" s="36">
        <f>VLOOKUP($A275, CAD_ATUALIZACAO[#Data], MATCH(D$171, CAD_ATUALIZACAO[#Headers],0), FALSE)</f>
        <v>45512</v>
      </c>
      <c r="E275" s="48">
        <f>VLOOKUP($A275, CAD_ATUALIZACAO[#Data], MATCH(E$171, CAD_ATUALIZACAO[#Headers],0), FALSE)</f>
        <v>0</v>
      </c>
      <c r="F275" s="36">
        <f>VLOOKUP($A275, CAD_ATUALIZACAO[#Data], MATCH(F$171, CAD_ATUALIZACAO[#Headers],0), FALSE)</f>
        <v>45518</v>
      </c>
      <c r="G275" s="47">
        <f>WORKDAY(WORKDAY(TAB_CORRECAO_U[[#This Row],[DT_EVE]], -1, TAB_FERIADOS[FER_DATA]), 1, TAB_FERIADOS[FER_DATA])</f>
        <v>45512</v>
      </c>
      <c r="H275" s="75">
        <f>WORKDAY(WORKDAY(TAB_CORRECAO_U[[#This Row],[DT_LQDC_EVE]], -1, TAB_FERIADOS[FER_DATA]), 1, TAB_FERIADOS[FER_DATA])</f>
        <v>45518</v>
      </c>
      <c r="I275" s="48">
        <f>PU_EMISSAO - SUMIF(TAB_AMORTIZACAO_U[dt_eve_u], "&lt;" &amp; TAB_CORRECAO_U[[#This Row],[dt_eve_u]], TAB_AMORTIZACAO_U[V_PU_AMTC])</f>
        <v>22243.476684000037</v>
      </c>
      <c r="J275" s="48">
        <f>IFERROR(VLOOKUP(TAB_CORRECAO_U[[#This Row],[DT_EVE]], TAB_AMORTIZACAO_U[[DT_EVE]:[V_PU_AMTC]], 2, FALSE), 0)</f>
        <v>573.61477600000001</v>
      </c>
      <c r="K275" s="48">
        <f>NETWORKDAYS(DT_CALCULO_U, TAB_CORRECAO_U[[#This Row],[dt_eve_u]], TAB_FERIADOS[FER_DATA]) -1</f>
        <v>2161</v>
      </c>
      <c r="L275" s="48">
        <f>NETWORKDAYS(DT_CALCULO_U, TAB_CORRECAO_U[[#This Row],[dt_lqdc_eve_u]], TAB_FERIADOS[FER_DATA]) -1</f>
        <v>2165</v>
      </c>
      <c r="M275" s="48">
        <f>NETWORKDAYS(IF(ISTEXT(G274), DT_B_CORC, G274), TAB_CORRECAO_U[[#This Row],[dt_eve_u]], TAB_FERIADOS[FER_DATA]) -1</f>
        <v>23</v>
      </c>
      <c r="N275" s="78">
        <f>(TX_EMISSAO/100 +1)^(TAB_CORRECAO_U[[#This Row],[dias_periodo_u]]/252)</f>
        <v>1.0022562323017139</v>
      </c>
      <c r="O275" s="78">
        <f>(TIR_U/100 +1)^(TAB_CORRECAO_U[[#This Row],[Q_DIAS_U_PARC_TIR]]/252)</f>
        <v>1.2363503157054359</v>
      </c>
      <c r="P275" s="116" t="str">
        <f>"TX_CENARIO" &amp; TEXT(DT_CALCULO_C, "-AAAAMMDD") &amp; TEXT(TAB_CORRECAO_U[[#This Row],[DT_EVE]], "-AAAAMMDD")</f>
        <v>TX_CENARIO-20151228-20240808</v>
      </c>
      <c r="Q275" s="44">
        <f>IFERROR(VLOOKUP(TAB_CORRECAO_U[[#This Row],[Chave-CENARIO]],CENARIO[],2,FALSE), 0)</f>
        <v>16.375499999999999</v>
      </c>
      <c r="R275" s="116" t="str">
        <f>"CORRECAO_CORC_U" &amp; TEXT(DT_CALCULO_C, "-AAAAMMDD") &amp; TEXT(TAB_CORRECAO_U[[#This Row],[DT_EVE]], "-AAAAMMDD")</f>
        <v>CORRECAO_CORC_U-20151228-20240808</v>
      </c>
      <c r="S275" s="44">
        <f>IFERROR(VLOOKUP(TAB_CORRECAO_U[[#This Row],[Chave-CORC]],CORRECAO_CORC_U[],2, FALSE), 0)</f>
        <v>1.01407493</v>
      </c>
      <c r="T275" s="78">
        <f>MAX(0, IF(TAB_CORRECAO_U[[#This Row],[ID_T_EVE]]= 5, TAB_CORRECAO_U[[#This Row],[PU_AMORT]],TAB_CORRECAO_U[[#This Row],[V_NOML_PCPL]]) * (TAB_CORRECAO_U[[#This Row],[CORRECAO_U]] -1))</f>
        <v>313.07537728393356</v>
      </c>
      <c r="U275" s="78">
        <f>MAX(0, TAB_CORRECAO_U[[#This Row],[V_FUT_U_CORC-01]]/((((TAB_CORRECAO_U[[#This Row],[TX_CENARIO]]/100 +1)^(1/252) -1) * PC_IDXR/100 +1)^TAB_CORRECAO_U[[#This Row],[Q_DIAS_U_PARC_TIR]]))</f>
        <v>85.077452897813885</v>
      </c>
      <c r="V275" s="78">
        <f>TAB_CORRECAO_U[[#This Row],[V_FUT_U_CORC-02]]/TAB_CORRECAO_U[[#This Row],[VAR_DESCAP_U]]</f>
        <v>68.813387125857162</v>
      </c>
      <c r="W275" s="78"/>
      <c r="X275" s="101">
        <f>TAB_CORRECAO_U[[#This Row],[dt_eve_u]]- DT_CALCULO_C</f>
        <v>3146</v>
      </c>
      <c r="Y275" s="48" t="str">
        <f>"CORRECAO_CORC_C" &amp; TEXT(DT_CALCULO_C, "-AAAAMMDD") &amp; TEXT(TAB_CORRECAO_U[[#This Row],[DT_EVE]], "-AAAAMMDD")</f>
        <v>CORRECAO_CORC_C-20151228-20240808</v>
      </c>
      <c r="Z275" s="44">
        <f>IFERROR(VLOOKUP(TAB_CORRECAO_C[[#This Row],[Chave-CORC]],CORRECAO_CORC_C[],2, FALSE), 0)</f>
        <v>1</v>
      </c>
      <c r="AA27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5" s="44">
        <f>(TIR_C/100 +1)^(TAB_CORRECAO_C[[#This Row],[DIAS_CORRIDOS]]/360)</f>
        <v>1.2370570782933548</v>
      </c>
      <c r="AC275" s="78">
        <f>IF(TAB_CORRECAO_C[[#This Row],[DIAS_CORRIDOS]]&lt;0, 0, TAB_CORRECAO_C[[#This Row],[V_FUT_C_CORC]]/TAB_CORRECAO_C[[#This Row],[VAR_DESCAP_C]])</f>
        <v>0</v>
      </c>
      <c r="AD275" s="113">
        <f>TAB_CORRECAO_U[[#This Row],[V_FUT_U_CORC-02]]</f>
        <v>85.077452897813885</v>
      </c>
      <c r="AE275" s="126">
        <f>IF(TAB_CORRECAO_C[[#This Row],[DIAS_CORRIDOS]]&lt;0, 0, TAB_CORRECAO_C[[#This Row],[V_FUT_UTEIS]]/TAB_CORRECAO_C[[#This Row],[VAR_DESCAP_C]])</f>
        <v>68.77407226446401</v>
      </c>
      <c r="AF275" s="64"/>
    </row>
    <row r="276" spans="1:32">
      <c r="A276" s="82">
        <f t="shared" si="5"/>
        <v>105</v>
      </c>
      <c r="B276" s="24">
        <f>VLOOKUP($A276, CAD_ATUALIZACAO[#Data], MATCH(B$171, CAD_ATUALIZACAO[#Headers],0), FALSE)</f>
        <v>3</v>
      </c>
      <c r="C276" s="24" t="str">
        <f>VLOOKUP($A276, CAD_ATUALIZACAO[#Data], MATCH(C$171, CAD_ATUALIZACAO[#Headers],0), FALSE)</f>
        <v xml:space="preserve">ATUALIZACAO SOBRE PRINCIPAL                       </v>
      </c>
      <c r="D276" s="36">
        <f>VLOOKUP($A276, CAD_ATUALIZACAO[#Data], MATCH(D$171, CAD_ATUALIZACAO[#Headers],0), FALSE)</f>
        <v>45544</v>
      </c>
      <c r="E276" s="48">
        <f>VLOOKUP($A276, CAD_ATUALIZACAO[#Data], MATCH(E$171, CAD_ATUALIZACAO[#Headers],0), FALSE)</f>
        <v>0</v>
      </c>
      <c r="F276" s="36">
        <f>VLOOKUP($A276, CAD_ATUALIZACAO[#Data], MATCH(F$171, CAD_ATUALIZACAO[#Headers],0), FALSE)</f>
        <v>45548</v>
      </c>
      <c r="G276" s="47">
        <f>WORKDAY(WORKDAY(TAB_CORRECAO_U[[#This Row],[DT_EVE]], -1, TAB_FERIADOS[FER_DATA]), 1, TAB_FERIADOS[FER_DATA])</f>
        <v>45544</v>
      </c>
      <c r="H276" s="75">
        <f>WORKDAY(WORKDAY(TAB_CORRECAO_U[[#This Row],[DT_LQDC_EVE]], -1, TAB_FERIADOS[FER_DATA]), 1, TAB_FERIADOS[FER_DATA])</f>
        <v>45548</v>
      </c>
      <c r="I276" s="48">
        <f>PU_EMISSAO - SUMIF(TAB_AMORTIZACAO_U[dt_eve_u], "&lt;" &amp; TAB_CORRECAO_U[[#This Row],[dt_eve_u]], TAB_AMORTIZACAO_U[V_PU_AMTC])</f>
        <v>21669.861908000035</v>
      </c>
      <c r="J276" s="48">
        <f>IFERROR(VLOOKUP(TAB_CORRECAO_U[[#This Row],[DT_EVE]], TAB_AMORTIZACAO_U[[DT_EVE]:[V_PU_AMTC]], 2, FALSE), 0)</f>
        <v>569.11558300000002</v>
      </c>
      <c r="K276" s="48">
        <f>NETWORKDAYS(DT_CALCULO_U, TAB_CORRECAO_U[[#This Row],[dt_eve_u]], TAB_FERIADOS[FER_DATA]) -1</f>
        <v>2183</v>
      </c>
      <c r="L276" s="48">
        <f>NETWORKDAYS(DT_CALCULO_U, TAB_CORRECAO_U[[#This Row],[dt_lqdc_eve_u]], TAB_FERIADOS[FER_DATA]) -1</f>
        <v>2187</v>
      </c>
      <c r="M276" s="48">
        <f>NETWORKDAYS(IF(ISTEXT(G275), DT_B_CORC, G275), TAB_CORRECAO_U[[#This Row],[dt_eve_u]], TAB_FERIADOS[FER_DATA]) -1</f>
        <v>22</v>
      </c>
      <c r="N276" s="78">
        <f>(TX_EMISSAO/100 +1)^(TAB_CORRECAO_U[[#This Row],[dias_periodo_u]]/252)</f>
        <v>1.0021580294747356</v>
      </c>
      <c r="O276" s="78">
        <f>(TIR_U/100 +1)^(TAB_CORRECAO_U[[#This Row],[Q_DIAS_U_PARC_TIR]]/252)</f>
        <v>1.2390186837949835</v>
      </c>
      <c r="P276" s="116" t="str">
        <f>"TX_CENARIO" &amp; TEXT(DT_CALCULO_C, "-AAAAMMDD") &amp; TEXT(TAB_CORRECAO_U[[#This Row],[DT_EVE]], "-AAAAMMDD")</f>
        <v>TX_CENARIO-20151228-20240909</v>
      </c>
      <c r="Q276" s="44">
        <f>IFERROR(VLOOKUP(TAB_CORRECAO_U[[#This Row],[Chave-CENARIO]],CENARIO[],2,FALSE), 0)</f>
        <v>16.374500000000001</v>
      </c>
      <c r="R276" s="116" t="str">
        <f>"CORRECAO_CORC_U" &amp; TEXT(DT_CALCULO_C, "-AAAAMMDD") &amp; TEXT(TAB_CORRECAO_U[[#This Row],[DT_EVE]], "-AAAAMMDD")</f>
        <v>CORRECAO_CORC_U-20151228-20240909</v>
      </c>
      <c r="S276" s="44">
        <f>IFERROR(VLOOKUP(TAB_CORRECAO_U[[#This Row],[Chave-CORC]],CORRECAO_CORC_U[],2, FALSE), 0)</f>
        <v>1.01345888</v>
      </c>
      <c r="T276" s="78">
        <f>MAX(0, IF(TAB_CORRECAO_U[[#This Row],[ID_T_EVE]]= 5, TAB_CORRECAO_U[[#This Row],[PU_AMORT]],TAB_CORRECAO_U[[#This Row],[V_NOML_PCPL]]) * (TAB_CORRECAO_U[[#This Row],[CORRECAO_U]] -1))</f>
        <v>291.65207103634248</v>
      </c>
      <c r="U276" s="78">
        <f>MAX(0, TAB_CORRECAO_U[[#This Row],[V_FUT_U_CORC-01]]/((((TAB_CORRECAO_U[[#This Row],[TX_CENARIO]]/100 +1)^(1/252) -1) * PC_IDXR/100 +1)^TAB_CORRECAO_U[[#This Row],[Q_DIAS_U_PARC_TIR]]))</f>
        <v>78.219169376354401</v>
      </c>
      <c r="V276" s="78">
        <f>TAB_CORRECAO_U[[#This Row],[V_FUT_U_CORC-02]]/TAB_CORRECAO_U[[#This Row],[VAR_DESCAP_U]]</f>
        <v>63.129935326541919</v>
      </c>
      <c r="W276" s="78"/>
      <c r="X276" s="101">
        <f>TAB_CORRECAO_U[[#This Row],[dt_eve_u]]- DT_CALCULO_C</f>
        <v>3178</v>
      </c>
      <c r="Y276" s="48" t="str">
        <f>"CORRECAO_CORC_C" &amp; TEXT(DT_CALCULO_C, "-AAAAMMDD") &amp; TEXT(TAB_CORRECAO_U[[#This Row],[DT_EVE]], "-AAAAMMDD")</f>
        <v>CORRECAO_CORC_C-20151228-20240909</v>
      </c>
      <c r="Z276" s="44">
        <f>IFERROR(VLOOKUP(TAB_CORRECAO_C[[#This Row],[Chave-CORC]],CORRECAO_CORC_C[],2, FALSE), 0)</f>
        <v>1</v>
      </c>
      <c r="AA27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6" s="44">
        <f>(TIR_C/100 +1)^(TAB_CORRECAO_C[[#This Row],[DIAS_CORRIDOS]]/360)</f>
        <v>1.2397368042830454</v>
      </c>
      <c r="AC276" s="78">
        <f>IF(TAB_CORRECAO_C[[#This Row],[DIAS_CORRIDOS]]&lt;0, 0, TAB_CORRECAO_C[[#This Row],[V_FUT_C_CORC]]/TAB_CORRECAO_C[[#This Row],[VAR_DESCAP_C]])</f>
        <v>0</v>
      </c>
      <c r="AD276" s="113">
        <f>TAB_CORRECAO_U[[#This Row],[V_FUT_U_CORC-02]]</f>
        <v>78.219169376354401</v>
      </c>
      <c r="AE276" s="126">
        <f>IF(TAB_CORRECAO_C[[#This Row],[DIAS_CORRIDOS]]&lt;0, 0, TAB_CORRECAO_C[[#This Row],[V_FUT_UTEIS]]/TAB_CORRECAO_C[[#This Row],[VAR_DESCAP_C]])</f>
        <v>63.093367161580296</v>
      </c>
      <c r="AF276" s="64"/>
    </row>
    <row r="277" spans="1:32">
      <c r="A277" s="82">
        <f t="shared" si="5"/>
        <v>106</v>
      </c>
      <c r="B277" s="24">
        <f>VLOOKUP($A277, CAD_ATUALIZACAO[#Data], MATCH(B$171, CAD_ATUALIZACAO[#Headers],0), FALSE)</f>
        <v>3</v>
      </c>
      <c r="C277" s="24" t="str">
        <f>VLOOKUP($A277, CAD_ATUALIZACAO[#Data], MATCH(C$171, CAD_ATUALIZACAO[#Headers],0), FALSE)</f>
        <v xml:space="preserve">ATUALIZACAO SOBRE PRINCIPAL                       </v>
      </c>
      <c r="D277" s="36">
        <f>VLOOKUP($A277, CAD_ATUALIZACAO[#Data], MATCH(D$171, CAD_ATUALIZACAO[#Headers],0), FALSE)</f>
        <v>45573</v>
      </c>
      <c r="E277" s="48">
        <f>VLOOKUP($A277, CAD_ATUALIZACAO[#Data], MATCH(E$171, CAD_ATUALIZACAO[#Headers],0), FALSE)</f>
        <v>0</v>
      </c>
      <c r="F277" s="36">
        <f>VLOOKUP($A277, CAD_ATUALIZACAO[#Data], MATCH(F$171, CAD_ATUALIZACAO[#Headers],0), FALSE)</f>
        <v>45579</v>
      </c>
      <c r="G277" s="47">
        <f>WORKDAY(WORKDAY(TAB_CORRECAO_U[[#This Row],[DT_EVE]], -1, TAB_FERIADOS[FER_DATA]), 1, TAB_FERIADOS[FER_DATA])</f>
        <v>45573</v>
      </c>
      <c r="H277" s="75">
        <f>WORKDAY(WORKDAY(TAB_CORRECAO_U[[#This Row],[DT_LQDC_EVE]], -1, TAB_FERIADOS[FER_DATA]), 1, TAB_FERIADOS[FER_DATA])</f>
        <v>45579</v>
      </c>
      <c r="I277" s="48">
        <f>PU_EMISSAO - SUMIF(TAB_AMORTIZACAO_U[dt_eve_u], "&lt;" &amp; TAB_CORRECAO_U[[#This Row],[dt_eve_u]], TAB_AMORTIZACAO_U[V_PU_AMTC])</f>
        <v>21100.746325000029</v>
      </c>
      <c r="J277" s="48">
        <f>IFERROR(VLOOKUP(TAB_CORRECAO_U[[#This Row],[DT_EVE]], TAB_AMORTIZACAO_U[[DT_EVE]:[V_PU_AMTC]], 2, FALSE), 0)</f>
        <v>564.93028100000004</v>
      </c>
      <c r="K277" s="48">
        <f>NETWORKDAYS(DT_CALCULO_U, TAB_CORRECAO_U[[#This Row],[dt_eve_u]], TAB_FERIADOS[FER_DATA]) -1</f>
        <v>2204</v>
      </c>
      <c r="L277" s="48">
        <f>NETWORKDAYS(DT_CALCULO_U, TAB_CORRECAO_U[[#This Row],[dt_lqdc_eve_u]], TAB_FERIADOS[FER_DATA]) -1</f>
        <v>2208</v>
      </c>
      <c r="M277" s="48">
        <f>NETWORKDAYS(IF(ISTEXT(G276), DT_B_CORC, G276), TAB_CORRECAO_U[[#This Row],[dt_eve_u]], TAB_FERIADOS[FER_DATA]) -1</f>
        <v>21</v>
      </c>
      <c r="N277" s="78">
        <f>(TX_EMISSAO/100 +1)^(TAB_CORRECAO_U[[#This Row],[dias_periodo_u]]/252)</f>
        <v>1.0020598362698427</v>
      </c>
      <c r="O277" s="78">
        <f>(TIR_U/100 +1)^(TAB_CORRECAO_U[[#This Row],[Q_DIAS_U_PARC_TIR]]/252)</f>
        <v>1.2415711345759299</v>
      </c>
      <c r="P277" s="116" t="str">
        <f>"TX_CENARIO" &amp; TEXT(DT_CALCULO_C, "-AAAAMMDD") &amp; TEXT(TAB_CORRECAO_U[[#This Row],[DT_EVE]], "-AAAAMMDD")</f>
        <v>TX_CENARIO-20151228-20241008</v>
      </c>
      <c r="Q277" s="44">
        <f>IFERROR(VLOOKUP(TAB_CORRECAO_U[[#This Row],[Chave-CENARIO]],CENARIO[],2,FALSE), 0)</f>
        <v>16.3735</v>
      </c>
      <c r="R277" s="116" t="str">
        <f>"CORRECAO_CORC_U" &amp; TEXT(DT_CALCULO_C, "-AAAAMMDD") &amp; TEXT(TAB_CORRECAO_U[[#This Row],[DT_EVE]], "-AAAAMMDD")</f>
        <v>CORRECAO_CORC_U-20151228-20241008</v>
      </c>
      <c r="S277" s="44">
        <f>IFERROR(VLOOKUP(TAB_CORRECAO_U[[#This Row],[Chave-CORC]],CORRECAO_CORC_U[],2, FALSE), 0)</f>
        <v>1.0128432000000001</v>
      </c>
      <c r="T277" s="78">
        <f>MAX(0, IF(TAB_CORRECAO_U[[#This Row],[ID_T_EVE]]= 5, TAB_CORRECAO_U[[#This Row],[PU_AMORT]],TAB_CORRECAO_U[[#This Row],[V_NOML_PCPL]]) * (TAB_CORRECAO_U[[#This Row],[CORRECAO_U]] -1))</f>
        <v>271.0011052012415</v>
      </c>
      <c r="U277" s="78">
        <f>MAX(0, TAB_CORRECAO_U[[#This Row],[V_FUT_U_CORC-01]]/((((TAB_CORRECAO_U[[#This Row],[TX_CENARIO]]/100 +1)^(1/252) -1) * PC_IDXR/100 +1)^TAB_CORRECAO_U[[#This Row],[Q_DIAS_U_PARC_TIR]]))</f>
        <v>71.77343691354389</v>
      </c>
      <c r="V277" s="78">
        <f>TAB_CORRECAO_U[[#This Row],[V_FUT_U_CORC-02]]/TAB_CORRECAO_U[[#This Row],[VAR_DESCAP_U]]</f>
        <v>57.808557975261536</v>
      </c>
      <c r="W277" s="78"/>
      <c r="X277" s="101">
        <f>TAB_CORRECAO_U[[#This Row],[dt_eve_u]]- DT_CALCULO_C</f>
        <v>3207</v>
      </c>
      <c r="Y277" s="48" t="str">
        <f>"CORRECAO_CORC_C" &amp; TEXT(DT_CALCULO_C, "-AAAAMMDD") &amp; TEXT(TAB_CORRECAO_U[[#This Row],[DT_EVE]], "-AAAAMMDD")</f>
        <v>CORRECAO_CORC_C-20151228-20241008</v>
      </c>
      <c r="Z277" s="44">
        <f>IFERROR(VLOOKUP(TAB_CORRECAO_C[[#This Row],[Chave-CORC]],CORRECAO_CORC_C[],2, FALSE), 0)</f>
        <v>1</v>
      </c>
      <c r="AA27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7" s="44">
        <f>(TIR_C/100 +1)^(TAB_CORRECAO_C[[#This Row],[DIAS_CORRIDOS]]/360)</f>
        <v>1.2421703196749632</v>
      </c>
      <c r="AC277" s="78">
        <f>IF(TAB_CORRECAO_C[[#This Row],[DIAS_CORRIDOS]]&lt;0, 0, TAB_CORRECAO_C[[#This Row],[V_FUT_C_CORC]]/TAB_CORRECAO_C[[#This Row],[VAR_DESCAP_C]])</f>
        <v>0</v>
      </c>
      <c r="AD277" s="113">
        <f>TAB_CORRECAO_U[[#This Row],[V_FUT_U_CORC-02]]</f>
        <v>71.77343691354389</v>
      </c>
      <c r="AE277" s="126">
        <f>IF(TAB_CORRECAO_C[[#This Row],[DIAS_CORRIDOS]]&lt;0, 0, TAB_CORRECAO_C[[#This Row],[V_FUT_UTEIS]]/TAB_CORRECAO_C[[#This Row],[VAR_DESCAP_C]])</f>
        <v>57.780672888984128</v>
      </c>
      <c r="AF277" s="64"/>
    </row>
    <row r="278" spans="1:32">
      <c r="A278" s="82">
        <f t="shared" si="5"/>
        <v>107</v>
      </c>
      <c r="B278" s="24">
        <f>VLOOKUP($A278, CAD_ATUALIZACAO[#Data], MATCH(B$171, CAD_ATUALIZACAO[#Headers],0), FALSE)</f>
        <v>3</v>
      </c>
      <c r="C278" s="24" t="str">
        <f>VLOOKUP($A278, CAD_ATUALIZACAO[#Data], MATCH(C$171, CAD_ATUALIZACAO[#Headers],0), FALSE)</f>
        <v xml:space="preserve">ATUALIZACAO SOBRE PRINCIPAL                       </v>
      </c>
      <c r="D278" s="36">
        <f>VLOOKUP($A278, CAD_ATUALIZACAO[#Data], MATCH(D$171, CAD_ATUALIZACAO[#Headers],0), FALSE)</f>
        <v>45604</v>
      </c>
      <c r="E278" s="48">
        <f>VLOOKUP($A278, CAD_ATUALIZACAO[#Data], MATCH(E$171, CAD_ATUALIZACAO[#Headers],0), FALSE)</f>
        <v>0</v>
      </c>
      <c r="F278" s="36">
        <f>VLOOKUP($A278, CAD_ATUALIZACAO[#Data], MATCH(F$171, CAD_ATUALIZACAO[#Headers],0), FALSE)</f>
        <v>45610</v>
      </c>
      <c r="G278" s="47">
        <f>WORKDAY(WORKDAY(TAB_CORRECAO_U[[#This Row],[DT_EVE]], -1, TAB_FERIADOS[FER_DATA]), 1, TAB_FERIADOS[FER_DATA])</f>
        <v>45604</v>
      </c>
      <c r="H278" s="75">
        <f>WORKDAY(WORKDAY(TAB_CORRECAO_U[[#This Row],[DT_LQDC_EVE]], -1, TAB_FERIADOS[FER_DATA]), 1, TAB_FERIADOS[FER_DATA])</f>
        <v>45610</v>
      </c>
      <c r="I278" s="48">
        <f>PU_EMISSAO - SUMIF(TAB_AMORTIZACAO_U[dt_eve_u], "&lt;" &amp; TAB_CORRECAO_U[[#This Row],[dt_eve_u]], TAB_AMORTIZACAO_U[V_PU_AMTC])</f>
        <v>20535.816044000036</v>
      </c>
      <c r="J278" s="48">
        <f>IFERROR(VLOOKUP(TAB_CORRECAO_U[[#This Row],[DT_EVE]], TAB_AMORTIZACAO_U[[DT_EVE]:[V_PU_AMTC]], 2, FALSE), 0)</f>
        <v>553.99470899999994</v>
      </c>
      <c r="K278" s="48">
        <f>NETWORKDAYS(DT_CALCULO_U, TAB_CORRECAO_U[[#This Row],[dt_eve_u]], TAB_FERIADOS[FER_DATA]) -1</f>
        <v>2227</v>
      </c>
      <c r="L278" s="48">
        <f>NETWORKDAYS(DT_CALCULO_U, TAB_CORRECAO_U[[#This Row],[dt_lqdc_eve_u]], TAB_FERIADOS[FER_DATA]) -1</f>
        <v>2231</v>
      </c>
      <c r="M278" s="48">
        <f>NETWORKDAYS(IF(ISTEXT(G277), DT_B_CORC, G277), TAB_CORRECAO_U[[#This Row],[dt_eve_u]], TAB_FERIADOS[FER_DATA]) -1</f>
        <v>23</v>
      </c>
      <c r="N278" s="78">
        <f>(TX_EMISSAO/100 +1)^(TAB_CORRECAO_U[[#This Row],[dias_periodo_u]]/252)</f>
        <v>1.0022562323017139</v>
      </c>
      <c r="O278" s="78">
        <f>(TIR_U/100 +1)^(TAB_CORRECAO_U[[#This Row],[Q_DIAS_U_PARC_TIR]]/252)</f>
        <v>1.2443727095171357</v>
      </c>
      <c r="P278" s="116" t="str">
        <f>"TX_CENARIO" &amp; TEXT(DT_CALCULO_C, "-AAAAMMDD") &amp; TEXT(TAB_CORRECAO_U[[#This Row],[DT_EVE]], "-AAAAMMDD")</f>
        <v>TX_CENARIO-20151228-20241108</v>
      </c>
      <c r="Q278" s="44">
        <f>IFERROR(VLOOKUP(TAB_CORRECAO_U[[#This Row],[Chave-CENARIO]],CENARIO[],2,FALSE), 0)</f>
        <v>16.372399999999999</v>
      </c>
      <c r="R278" s="116" t="str">
        <f>"CORRECAO_CORC_U" &amp; TEXT(DT_CALCULO_C, "-AAAAMMDD") &amp; TEXT(TAB_CORRECAO_U[[#This Row],[DT_EVE]], "-AAAAMMDD")</f>
        <v>CORRECAO_CORC_U-20151228-20241108</v>
      </c>
      <c r="S278" s="44">
        <f>IFERROR(VLOOKUP(TAB_CORRECAO_U[[#This Row],[Chave-CORC]],CORRECAO_CORC_U[],2, FALSE), 0)</f>
        <v>1.01407493</v>
      </c>
      <c r="T278" s="78">
        <f>MAX(0, IF(TAB_CORRECAO_U[[#This Row],[ID_T_EVE]]= 5, TAB_CORRECAO_U[[#This Row],[PU_AMORT]],TAB_CORRECAO_U[[#This Row],[V_NOML_PCPL]]) * (TAB_CORRECAO_U[[#This Row],[CORRECAO_U]] -1))</f>
        <v>289.04017331217824</v>
      </c>
      <c r="U278" s="78">
        <f>MAX(0, TAB_CORRECAO_U[[#This Row],[V_FUT_U_CORC-01]]/((((TAB_CORRECAO_U[[#This Row],[TX_CENARIO]]/100 +1)^(1/252) -1) * PC_IDXR/100 +1)^TAB_CORRECAO_U[[#This Row],[Q_DIAS_U_PARC_TIR]]))</f>
        <v>75.505178826626448</v>
      </c>
      <c r="V278" s="78">
        <f>TAB_CORRECAO_U[[#This Row],[V_FUT_U_CORC-02]]/TAB_CORRECAO_U[[#This Row],[VAR_DESCAP_U]]</f>
        <v>60.677302105030371</v>
      </c>
      <c r="W278" s="78"/>
      <c r="X278" s="101">
        <f>TAB_CORRECAO_U[[#This Row],[dt_eve_u]]- DT_CALCULO_C</f>
        <v>3238</v>
      </c>
      <c r="Y278" s="48" t="str">
        <f>"CORRECAO_CORC_C" &amp; TEXT(DT_CALCULO_C, "-AAAAMMDD") &amp; TEXT(TAB_CORRECAO_U[[#This Row],[DT_EVE]], "-AAAAMMDD")</f>
        <v>CORRECAO_CORC_C-20151228-20241108</v>
      </c>
      <c r="Z278" s="44">
        <f>IFERROR(VLOOKUP(TAB_CORRECAO_C[[#This Row],[Chave-CORC]],CORRECAO_CORC_C[],2, FALSE), 0)</f>
        <v>1</v>
      </c>
      <c r="AA27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8" s="44">
        <f>(TIR_C/100 +1)^(TAB_CORRECAO_C[[#This Row],[DIAS_CORRIDOS]]/360)</f>
        <v>1.2447769462843659</v>
      </c>
      <c r="AC278" s="78">
        <f>IF(TAB_CORRECAO_C[[#This Row],[DIAS_CORRIDOS]]&lt;0, 0, TAB_CORRECAO_C[[#This Row],[V_FUT_C_CORC]]/TAB_CORRECAO_C[[#This Row],[VAR_DESCAP_C]])</f>
        <v>0</v>
      </c>
      <c r="AD278" s="113">
        <f>TAB_CORRECAO_U[[#This Row],[V_FUT_U_CORC-02]]</f>
        <v>75.505178826626448</v>
      </c>
      <c r="AE278" s="126">
        <f>IF(TAB_CORRECAO_C[[#This Row],[DIAS_CORRIDOS]]&lt;0, 0, TAB_CORRECAO_C[[#This Row],[V_FUT_UTEIS]]/TAB_CORRECAO_C[[#This Row],[VAR_DESCAP_C]])</f>
        <v>60.657597372772599</v>
      </c>
      <c r="AF278" s="64"/>
    </row>
    <row r="279" spans="1:32">
      <c r="A279" s="82">
        <f t="shared" si="5"/>
        <v>108</v>
      </c>
      <c r="B279" s="24">
        <f>VLOOKUP($A279, CAD_ATUALIZACAO[#Data], MATCH(B$171, CAD_ATUALIZACAO[#Headers],0), FALSE)</f>
        <v>3</v>
      </c>
      <c r="C279" s="24" t="str">
        <f>VLOOKUP($A279, CAD_ATUALIZACAO[#Data], MATCH(C$171, CAD_ATUALIZACAO[#Headers],0), FALSE)</f>
        <v xml:space="preserve">ATUALIZACAO SOBRE PRINCIPAL                       </v>
      </c>
      <c r="D279" s="36">
        <f>VLOOKUP($A279, CAD_ATUALIZACAO[#Data], MATCH(D$171, CAD_ATUALIZACAO[#Headers],0), FALSE)</f>
        <v>45635</v>
      </c>
      <c r="E279" s="48">
        <f>VLOOKUP($A279, CAD_ATUALIZACAO[#Data], MATCH(E$171, CAD_ATUALIZACAO[#Headers],0), FALSE)</f>
        <v>0</v>
      </c>
      <c r="F279" s="36">
        <f>VLOOKUP($A279, CAD_ATUALIZACAO[#Data], MATCH(F$171, CAD_ATUALIZACAO[#Headers],0), FALSE)</f>
        <v>45639</v>
      </c>
      <c r="G279" s="47">
        <f>WORKDAY(WORKDAY(TAB_CORRECAO_U[[#This Row],[DT_EVE]], -1, TAB_FERIADOS[FER_DATA]), 1, TAB_FERIADOS[FER_DATA])</f>
        <v>45635</v>
      </c>
      <c r="H279" s="75">
        <f>WORKDAY(WORKDAY(TAB_CORRECAO_U[[#This Row],[DT_LQDC_EVE]], -1, TAB_FERIADOS[FER_DATA]), 1, TAB_FERIADOS[FER_DATA])</f>
        <v>45639</v>
      </c>
      <c r="I279" s="48">
        <f>PU_EMISSAO - SUMIF(TAB_AMORTIZACAO_U[dt_eve_u], "&lt;" &amp; TAB_CORRECAO_U[[#This Row],[dt_eve_u]], TAB_AMORTIZACAO_U[V_PU_AMTC])</f>
        <v>19981.82133500003</v>
      </c>
      <c r="J279" s="48">
        <f>IFERROR(VLOOKUP(TAB_CORRECAO_U[[#This Row],[DT_EVE]], TAB_AMORTIZACAO_U[[DT_EVE]:[V_PU_AMTC]], 2, FALSE), 0)</f>
        <v>554.17583200000001</v>
      </c>
      <c r="K279" s="48">
        <f>NETWORKDAYS(DT_CALCULO_U, TAB_CORRECAO_U[[#This Row],[dt_eve_u]], TAB_FERIADOS[FER_DATA]) -1</f>
        <v>2247</v>
      </c>
      <c r="L279" s="48">
        <f>NETWORKDAYS(DT_CALCULO_U, TAB_CORRECAO_U[[#This Row],[dt_lqdc_eve_u]], TAB_FERIADOS[FER_DATA]) -1</f>
        <v>2251</v>
      </c>
      <c r="M279" s="48">
        <f>NETWORKDAYS(IF(ISTEXT(G278), DT_B_CORC, G278), TAB_CORRECAO_U[[#This Row],[dt_eve_u]], TAB_FERIADOS[FER_DATA]) -1</f>
        <v>20</v>
      </c>
      <c r="N279" s="78">
        <f>(TX_EMISSAO/100 +1)^(TAB_CORRECAO_U[[#This Row],[dias_periodo_u]]/252)</f>
        <v>1.0019616526860928</v>
      </c>
      <c r="O279" s="78">
        <f>(TIR_U/100 +1)^(TAB_CORRECAO_U[[#This Row],[Q_DIAS_U_PARC_TIR]]/252)</f>
        <v>1.2468139997461924</v>
      </c>
      <c r="P279" s="116" t="str">
        <f>"TX_CENARIO" &amp; TEXT(DT_CALCULO_C, "-AAAAMMDD") &amp; TEXT(TAB_CORRECAO_U[[#This Row],[DT_EVE]], "-AAAAMMDD")</f>
        <v>TX_CENARIO-20151228-20241209</v>
      </c>
      <c r="Q279" s="44">
        <f>IFERROR(VLOOKUP(TAB_CORRECAO_U[[#This Row],[Chave-CENARIO]],CENARIO[],2,FALSE), 0)</f>
        <v>16.371500000000001</v>
      </c>
      <c r="R279" s="116" t="str">
        <f>"CORRECAO_CORC_U" &amp; TEXT(DT_CALCULO_C, "-AAAAMMDD") &amp; TEXT(TAB_CORRECAO_U[[#This Row],[DT_EVE]], "-AAAAMMDD")</f>
        <v>CORRECAO_CORC_U-20151228-20241209</v>
      </c>
      <c r="S279" s="44">
        <f>IFERROR(VLOOKUP(TAB_CORRECAO_U[[#This Row],[Chave-CORC]],CORRECAO_CORC_U[],2, FALSE), 0)</f>
        <v>1.0122278899999999</v>
      </c>
      <c r="T279" s="78">
        <f>MAX(0, IF(TAB_CORRECAO_U[[#This Row],[ID_T_EVE]]= 5, TAB_CORRECAO_U[[#This Row],[PU_AMORT]],TAB_CORRECAO_U[[#This Row],[V_NOML_PCPL]]) * (TAB_CORRECAO_U[[#This Row],[CORRECAO_U]] -1))</f>
        <v>244.33551328403166</v>
      </c>
      <c r="U279" s="78">
        <f>MAX(0, TAB_CORRECAO_U[[#This Row],[V_FUT_U_CORC-01]]/((((TAB_CORRECAO_U[[#This Row],[TX_CENARIO]]/100 +1)^(1/252) -1) * PC_IDXR/100 +1)^TAB_CORRECAO_U[[#This Row],[Q_DIAS_U_PARC_TIR]]))</f>
        <v>63.067982533033096</v>
      </c>
      <c r="V279" s="78">
        <f>TAB_CORRECAO_U[[#This Row],[V_FUT_U_CORC-02]]/TAB_CORRECAO_U[[#This Row],[VAR_DESCAP_U]]</f>
        <v>50.583312784321897</v>
      </c>
      <c r="W279" s="78"/>
      <c r="X279" s="101">
        <f>TAB_CORRECAO_U[[#This Row],[dt_eve_u]]- DT_CALCULO_C</f>
        <v>3269</v>
      </c>
      <c r="Y279" s="48" t="str">
        <f>"CORRECAO_CORC_C" &amp; TEXT(DT_CALCULO_C, "-AAAAMMDD") &amp; TEXT(TAB_CORRECAO_U[[#This Row],[DT_EVE]], "-AAAAMMDD")</f>
        <v>CORRECAO_CORC_C-20151228-20241209</v>
      </c>
      <c r="Z279" s="44">
        <f>IFERROR(VLOOKUP(TAB_CORRECAO_C[[#This Row],[Chave-CORC]],CORRECAO_CORC_C[],2, FALSE), 0)</f>
        <v>1</v>
      </c>
      <c r="AA27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79" s="44">
        <f>(TIR_C/100 +1)^(TAB_CORRECAO_C[[#This Row],[DIAS_CORRIDOS]]/360)</f>
        <v>1.2473890427574201</v>
      </c>
      <c r="AC279" s="78">
        <f>IF(TAB_CORRECAO_C[[#This Row],[DIAS_CORRIDOS]]&lt;0, 0, TAB_CORRECAO_C[[#This Row],[V_FUT_C_CORC]]/TAB_CORRECAO_C[[#This Row],[VAR_DESCAP_C]])</f>
        <v>0</v>
      </c>
      <c r="AD279" s="113">
        <f>TAB_CORRECAO_U[[#This Row],[V_FUT_U_CORC-02]]</f>
        <v>63.067982533033096</v>
      </c>
      <c r="AE279" s="126">
        <f>IF(TAB_CORRECAO_C[[#This Row],[DIAS_CORRIDOS]]&lt;0, 0, TAB_CORRECAO_C[[#This Row],[V_FUT_UTEIS]]/TAB_CORRECAO_C[[#This Row],[VAR_DESCAP_C]])</f>
        <v>50.559994012467797</v>
      </c>
      <c r="AF279" s="64"/>
    </row>
    <row r="280" spans="1:32">
      <c r="A280" s="82">
        <f t="shared" si="5"/>
        <v>109</v>
      </c>
      <c r="B280" s="24">
        <f>VLOOKUP($A280, CAD_ATUALIZACAO[#Data], MATCH(B$171, CAD_ATUALIZACAO[#Headers],0), FALSE)</f>
        <v>3</v>
      </c>
      <c r="C280" s="24" t="str">
        <f>VLOOKUP($A280, CAD_ATUALIZACAO[#Data], MATCH(C$171, CAD_ATUALIZACAO[#Headers],0), FALSE)</f>
        <v xml:space="preserve">ATUALIZACAO SOBRE PRINCIPAL                       </v>
      </c>
      <c r="D280" s="36">
        <f>VLOOKUP($A280, CAD_ATUALIZACAO[#Data], MATCH(D$171, CAD_ATUALIZACAO[#Headers],0), FALSE)</f>
        <v>45666</v>
      </c>
      <c r="E280" s="48">
        <f>VLOOKUP($A280, CAD_ATUALIZACAO[#Data], MATCH(E$171, CAD_ATUALIZACAO[#Headers],0), FALSE)</f>
        <v>0</v>
      </c>
      <c r="F280" s="36">
        <f>VLOOKUP($A280, CAD_ATUALIZACAO[#Data], MATCH(F$171, CAD_ATUALIZACAO[#Headers],0), FALSE)</f>
        <v>45672</v>
      </c>
      <c r="G280" s="47">
        <f>WORKDAY(WORKDAY(TAB_CORRECAO_U[[#This Row],[DT_EVE]], -1, TAB_FERIADOS[FER_DATA]), 1, TAB_FERIADOS[FER_DATA])</f>
        <v>45666</v>
      </c>
      <c r="H280" s="75">
        <f>WORKDAY(WORKDAY(TAB_CORRECAO_U[[#This Row],[DT_LQDC_EVE]], -1, TAB_FERIADOS[FER_DATA]), 1, TAB_FERIADOS[FER_DATA])</f>
        <v>45672</v>
      </c>
      <c r="I280" s="48">
        <f>PU_EMISSAO - SUMIF(TAB_AMORTIZACAO_U[dt_eve_u], "&lt;" &amp; TAB_CORRECAO_U[[#This Row],[dt_eve_u]], TAB_AMORTIZACAO_U[V_PU_AMTC])</f>
        <v>19427.645503000036</v>
      </c>
      <c r="J280" s="48">
        <f>IFERROR(VLOOKUP(TAB_CORRECAO_U[[#This Row],[DT_EVE]], TAB_AMORTIZACAO_U[[DT_EVE]:[V_PU_AMTC]], 2, FALSE), 0)</f>
        <v>597.30295999999998</v>
      </c>
      <c r="K280" s="48">
        <f>NETWORKDAYS(DT_CALCULO_U, TAB_CORRECAO_U[[#This Row],[dt_eve_u]], TAB_FERIADOS[FER_DATA]) -1</f>
        <v>2268</v>
      </c>
      <c r="L280" s="48">
        <f>NETWORKDAYS(DT_CALCULO_U, TAB_CORRECAO_U[[#This Row],[dt_lqdc_eve_u]], TAB_FERIADOS[FER_DATA]) -1</f>
        <v>2272</v>
      </c>
      <c r="M280" s="48">
        <f>NETWORKDAYS(IF(ISTEXT(G279), DT_B_CORC, G279), TAB_CORRECAO_U[[#This Row],[dt_eve_u]], TAB_FERIADOS[FER_DATA]) -1</f>
        <v>21</v>
      </c>
      <c r="N280" s="78">
        <f>(TX_EMISSAO/100 +1)^(TAB_CORRECAO_U[[#This Row],[dias_periodo_u]]/252)</f>
        <v>1.0020598362698427</v>
      </c>
      <c r="O280" s="78">
        <f>(TIR_U/100 +1)^(TAB_CORRECAO_U[[#This Row],[Q_DIAS_U_PARC_TIR]]/252)</f>
        <v>1.2493825093328272</v>
      </c>
      <c r="P280" s="116" t="str">
        <f>"TX_CENARIO" &amp; TEXT(DT_CALCULO_C, "-AAAAMMDD") &amp; TEXT(TAB_CORRECAO_U[[#This Row],[DT_EVE]], "-AAAAMMDD")</f>
        <v>TX_CENARIO-20151228-20250109</v>
      </c>
      <c r="Q280" s="44">
        <f>IFERROR(VLOOKUP(TAB_CORRECAO_U[[#This Row],[Chave-CENARIO]],CENARIO[],2,FALSE), 0)</f>
        <v>16.369</v>
      </c>
      <c r="R280" s="116" t="str">
        <f>"CORRECAO_CORC_U" &amp; TEXT(DT_CALCULO_C, "-AAAAMMDD") &amp; TEXT(TAB_CORRECAO_U[[#This Row],[DT_EVE]], "-AAAAMMDD")</f>
        <v>CORRECAO_CORC_U-20151228-20250109</v>
      </c>
      <c r="S280" s="44">
        <f>IFERROR(VLOOKUP(TAB_CORRECAO_U[[#This Row],[Chave-CORC]],CORRECAO_CORC_U[],2, FALSE), 0)</f>
        <v>1.01274039</v>
      </c>
      <c r="T280" s="78">
        <f>MAX(0, IF(TAB_CORRECAO_U[[#This Row],[ID_T_EVE]]= 5, TAB_CORRECAO_U[[#This Row],[PU_AMORT]],TAB_CORRECAO_U[[#This Row],[V_NOML_PCPL]]) * (TAB_CORRECAO_U[[#This Row],[CORRECAO_U]] -1))</f>
        <v>247.51578048996751</v>
      </c>
      <c r="U280" s="78">
        <f>MAX(0, TAB_CORRECAO_U[[#This Row],[V_FUT_U_CORC-01]]/((((TAB_CORRECAO_U[[#This Row],[TX_CENARIO]]/100 +1)^(1/252) -1) * PC_IDXR/100 +1)^TAB_CORRECAO_U[[#This Row],[Q_DIAS_U_PARC_TIR]]))</f>
        <v>63.098950471583279</v>
      </c>
      <c r="V280" s="78">
        <f>TAB_CORRECAO_U[[#This Row],[V_FUT_U_CORC-02]]/TAB_CORRECAO_U[[#This Row],[VAR_DESCAP_U]]</f>
        <v>50.504109030050572</v>
      </c>
      <c r="W280" s="78"/>
      <c r="X280" s="101">
        <f>TAB_CORRECAO_U[[#This Row],[dt_eve_u]]- DT_CALCULO_C</f>
        <v>3300</v>
      </c>
      <c r="Y280" s="48" t="str">
        <f>"CORRECAO_CORC_C" &amp; TEXT(DT_CALCULO_C, "-AAAAMMDD") &amp; TEXT(TAB_CORRECAO_U[[#This Row],[DT_EVE]], "-AAAAMMDD")</f>
        <v>CORRECAO_CORC_C-20151228-20250109</v>
      </c>
      <c r="Z280" s="44">
        <f>IFERROR(VLOOKUP(TAB_CORRECAO_C[[#This Row],[Chave-CORC]],CORRECAO_CORC_C[],2, FALSE), 0)</f>
        <v>1</v>
      </c>
      <c r="AA28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0" s="44">
        <f>(TIR_C/100 +1)^(TAB_CORRECAO_C[[#This Row],[DIAS_CORRIDOS]]/360)</f>
        <v>1.2500066205723364</v>
      </c>
      <c r="AC280" s="78">
        <f>IF(TAB_CORRECAO_C[[#This Row],[DIAS_CORRIDOS]]&lt;0, 0, TAB_CORRECAO_C[[#This Row],[V_FUT_C_CORC]]/TAB_CORRECAO_C[[#This Row],[VAR_DESCAP_C]])</f>
        <v>0</v>
      </c>
      <c r="AD280" s="113">
        <f>TAB_CORRECAO_U[[#This Row],[V_FUT_U_CORC-02]]</f>
        <v>63.098950471583279</v>
      </c>
      <c r="AE280" s="126">
        <f>IF(TAB_CORRECAO_C[[#This Row],[DIAS_CORRIDOS]]&lt;0, 0, TAB_CORRECAO_C[[#This Row],[V_FUT_UTEIS]]/TAB_CORRECAO_C[[#This Row],[VAR_DESCAP_C]])</f>
        <v>50.478893017936478</v>
      </c>
      <c r="AF280" s="64"/>
    </row>
    <row r="281" spans="1:32">
      <c r="A281" s="82">
        <f t="shared" si="5"/>
        <v>110</v>
      </c>
      <c r="B281" s="24">
        <f>VLOOKUP($A281, CAD_ATUALIZACAO[#Data], MATCH(B$171, CAD_ATUALIZACAO[#Headers],0), FALSE)</f>
        <v>3</v>
      </c>
      <c r="C281" s="24" t="str">
        <f>VLOOKUP($A281, CAD_ATUALIZACAO[#Data], MATCH(C$171, CAD_ATUALIZACAO[#Headers],0), FALSE)</f>
        <v xml:space="preserve">ATUALIZACAO SOBRE PRINCIPAL                       </v>
      </c>
      <c r="D281" s="36">
        <f>VLOOKUP($A281, CAD_ATUALIZACAO[#Data], MATCH(D$171, CAD_ATUALIZACAO[#Headers],0), FALSE)</f>
        <v>45698</v>
      </c>
      <c r="E281" s="48">
        <f>VLOOKUP($A281, CAD_ATUALIZACAO[#Data], MATCH(E$171, CAD_ATUALIZACAO[#Headers],0), FALSE)</f>
        <v>0</v>
      </c>
      <c r="F281" s="36">
        <f>VLOOKUP($A281, CAD_ATUALIZACAO[#Data], MATCH(F$171, CAD_ATUALIZACAO[#Headers],0), FALSE)</f>
        <v>45702</v>
      </c>
      <c r="G281" s="47">
        <f>WORKDAY(WORKDAY(TAB_CORRECAO_U[[#This Row],[DT_EVE]], -1, TAB_FERIADOS[FER_DATA]), 1, TAB_FERIADOS[FER_DATA])</f>
        <v>45698</v>
      </c>
      <c r="H281" s="75">
        <f>WORKDAY(WORKDAY(TAB_CORRECAO_U[[#This Row],[DT_LQDC_EVE]], -1, TAB_FERIADOS[FER_DATA]), 1, TAB_FERIADOS[FER_DATA])</f>
        <v>45702</v>
      </c>
      <c r="I281" s="48">
        <f>PU_EMISSAO - SUMIF(TAB_AMORTIZACAO_U[dt_eve_u], "&lt;" &amp; TAB_CORRECAO_U[[#This Row],[dt_eve_u]], TAB_AMORTIZACAO_U[V_PU_AMTC])</f>
        <v>18830.342543000035</v>
      </c>
      <c r="J281" s="48">
        <f>IFERROR(VLOOKUP(TAB_CORRECAO_U[[#This Row],[DT_EVE]], TAB_AMORTIZACAO_U[[DT_EVE]:[V_PU_AMTC]], 2, FALSE), 0)</f>
        <v>588.580016</v>
      </c>
      <c r="K281" s="48">
        <f>NETWORKDAYS(DT_CALCULO_U, TAB_CORRECAO_U[[#This Row],[dt_eve_u]], TAB_FERIADOS[FER_DATA]) -1</f>
        <v>2290</v>
      </c>
      <c r="L281" s="48">
        <f>NETWORKDAYS(DT_CALCULO_U, TAB_CORRECAO_U[[#This Row],[dt_lqdc_eve_u]], TAB_FERIADOS[FER_DATA]) -1</f>
        <v>2294</v>
      </c>
      <c r="M281" s="48">
        <f>NETWORKDAYS(IF(ISTEXT(G280), DT_B_CORC, G280), TAB_CORRECAO_U[[#This Row],[dt_eve_u]], TAB_FERIADOS[FER_DATA]) -1</f>
        <v>22</v>
      </c>
      <c r="N281" s="78">
        <f>(TX_EMISSAO/100 +1)^(TAB_CORRECAO_U[[#This Row],[dias_periodo_u]]/252)</f>
        <v>1.0021580294747356</v>
      </c>
      <c r="O281" s="78">
        <f>(TIR_U/100 +1)^(TAB_CORRECAO_U[[#This Row],[Q_DIAS_U_PARC_TIR]]/252)</f>
        <v>1.2520790043126022</v>
      </c>
      <c r="P281" s="116" t="str">
        <f>"TX_CENARIO" &amp; TEXT(DT_CALCULO_C, "-AAAAMMDD") &amp; TEXT(TAB_CORRECAO_U[[#This Row],[DT_EVE]], "-AAAAMMDD")</f>
        <v>TX_CENARIO-20151228-20250210</v>
      </c>
      <c r="Q281" s="44">
        <f>IFERROR(VLOOKUP(TAB_CORRECAO_U[[#This Row],[Chave-CENARIO]],CENARIO[],2,FALSE), 0)</f>
        <v>16.3643</v>
      </c>
      <c r="R281" s="116" t="str">
        <f>"CORRECAO_CORC_U" &amp; TEXT(DT_CALCULO_C, "-AAAAMMDD") &amp; TEXT(TAB_CORRECAO_U[[#This Row],[DT_EVE]], "-AAAAMMDD")</f>
        <v>CORRECAO_CORC_U-20151228-20250210</v>
      </c>
      <c r="S281" s="44">
        <f>IFERROR(VLOOKUP(TAB_CORRECAO_U[[#This Row],[Chave-CORC]],CORRECAO_CORC_U[],2, FALSE), 0)</f>
        <v>1.01300634</v>
      </c>
      <c r="T281" s="78">
        <f>MAX(0, IF(TAB_CORRECAO_U[[#This Row],[ID_T_EVE]]= 5, TAB_CORRECAO_U[[#This Row],[PU_AMORT]],TAB_CORRECAO_U[[#This Row],[V_NOML_PCPL]]) * (TAB_CORRECAO_U[[#This Row],[CORRECAO_U]] -1))</f>
        <v>244.91383743072316</v>
      </c>
      <c r="U281" s="78">
        <f>MAX(0, TAB_CORRECAO_U[[#This Row],[V_FUT_U_CORC-01]]/((((TAB_CORRECAO_U[[#This Row],[TX_CENARIO]]/100 +1)^(1/252) -1) * PC_IDXR/100 +1)^TAB_CORRECAO_U[[#This Row],[Q_DIAS_U_PARC_TIR]]))</f>
        <v>61.637433002741062</v>
      </c>
      <c r="V281" s="78">
        <f>TAB_CORRECAO_U[[#This Row],[V_FUT_U_CORC-02]]/TAB_CORRECAO_U[[#This Row],[VAR_DESCAP_U]]</f>
        <v>49.228070106151428</v>
      </c>
      <c r="W281" s="78"/>
      <c r="X281" s="101">
        <f>TAB_CORRECAO_U[[#This Row],[dt_eve_u]]- DT_CALCULO_C</f>
        <v>3332</v>
      </c>
      <c r="Y281" s="48" t="str">
        <f>"CORRECAO_CORC_C" &amp; TEXT(DT_CALCULO_C, "-AAAAMMDD") &amp; TEXT(TAB_CORRECAO_U[[#This Row],[DT_EVE]], "-AAAAMMDD")</f>
        <v>CORRECAO_CORC_C-20151228-20250210</v>
      </c>
      <c r="Z281" s="44">
        <f>IFERROR(VLOOKUP(TAB_CORRECAO_C[[#This Row],[Chave-CORC]],CORRECAO_CORC_C[],2, FALSE), 0)</f>
        <v>1</v>
      </c>
      <c r="AA28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1" s="44">
        <f>(TIR_C/100 +1)^(TAB_CORRECAO_C[[#This Row],[DIAS_CORRIDOS]]/360)</f>
        <v>1.2527143979960378</v>
      </c>
      <c r="AC281" s="78">
        <f>IF(TAB_CORRECAO_C[[#This Row],[DIAS_CORRIDOS]]&lt;0, 0, TAB_CORRECAO_C[[#This Row],[V_FUT_C_CORC]]/TAB_CORRECAO_C[[#This Row],[VAR_DESCAP_C]])</f>
        <v>0</v>
      </c>
      <c r="AD281" s="113">
        <f>TAB_CORRECAO_U[[#This Row],[V_FUT_U_CORC-02]]</f>
        <v>61.637433002741062</v>
      </c>
      <c r="AE281" s="126">
        <f>IF(TAB_CORRECAO_C[[#This Row],[DIAS_CORRIDOS]]&lt;0, 0, TAB_CORRECAO_C[[#This Row],[V_FUT_UTEIS]]/TAB_CORRECAO_C[[#This Row],[VAR_DESCAP_C]])</f>
        <v>49.20310096327001</v>
      </c>
      <c r="AF281" s="64"/>
    </row>
    <row r="282" spans="1:32">
      <c r="A282" s="82">
        <f t="shared" si="5"/>
        <v>111</v>
      </c>
      <c r="B282" s="24">
        <f>VLOOKUP($A282, CAD_ATUALIZACAO[#Data], MATCH(B$171, CAD_ATUALIZACAO[#Headers],0), FALSE)</f>
        <v>3</v>
      </c>
      <c r="C282" s="24" t="str">
        <f>VLOOKUP($A282, CAD_ATUALIZACAO[#Data], MATCH(C$171, CAD_ATUALIZACAO[#Headers],0), FALSE)</f>
        <v xml:space="preserve">ATUALIZACAO SOBRE PRINCIPAL                       </v>
      </c>
      <c r="D282" s="36">
        <f>VLOOKUP($A282, CAD_ATUALIZACAO[#Data], MATCH(D$171, CAD_ATUALIZACAO[#Headers],0), FALSE)</f>
        <v>45728</v>
      </c>
      <c r="E282" s="48">
        <f>VLOOKUP($A282, CAD_ATUALIZACAO[#Data], MATCH(E$171, CAD_ATUALIZACAO[#Headers],0), FALSE)</f>
        <v>0</v>
      </c>
      <c r="F282" s="36">
        <f>VLOOKUP($A282, CAD_ATUALIZACAO[#Data], MATCH(F$171, CAD_ATUALIZACAO[#Headers],0), FALSE)</f>
        <v>45734</v>
      </c>
      <c r="G282" s="47">
        <f>WORKDAY(WORKDAY(TAB_CORRECAO_U[[#This Row],[DT_EVE]], -1, TAB_FERIADOS[FER_DATA]), 1, TAB_FERIADOS[FER_DATA])</f>
        <v>45728</v>
      </c>
      <c r="H282" s="75">
        <f>WORKDAY(WORKDAY(TAB_CORRECAO_U[[#This Row],[DT_LQDC_EVE]], -1, TAB_FERIADOS[FER_DATA]), 1, TAB_FERIADOS[FER_DATA])</f>
        <v>45734</v>
      </c>
      <c r="I282" s="48">
        <f>PU_EMISSAO - SUMIF(TAB_AMORTIZACAO_U[dt_eve_u], "&lt;" &amp; TAB_CORRECAO_U[[#This Row],[dt_eve_u]], TAB_AMORTIZACAO_U[V_PU_AMTC])</f>
        <v>18241.762527000028</v>
      </c>
      <c r="J282" s="48">
        <f>IFERROR(VLOOKUP(TAB_CORRECAO_U[[#This Row],[DT_EVE]], TAB_AMORTIZACAO_U[[DT_EVE]:[V_PU_AMTC]], 2, FALSE), 0)</f>
        <v>586.162555</v>
      </c>
      <c r="K282" s="48">
        <f>NETWORKDAYS(DT_CALCULO_U, TAB_CORRECAO_U[[#This Row],[dt_eve_u]], TAB_FERIADOS[FER_DATA]) -1</f>
        <v>2310</v>
      </c>
      <c r="L282" s="48">
        <f>NETWORKDAYS(DT_CALCULO_U, TAB_CORRECAO_U[[#This Row],[dt_lqdc_eve_u]], TAB_FERIADOS[FER_DATA]) -1</f>
        <v>2314</v>
      </c>
      <c r="M282" s="48">
        <f>NETWORKDAYS(IF(ISTEXT(G281), DT_B_CORC, G281), TAB_CORRECAO_U[[#This Row],[dt_eve_u]], TAB_FERIADOS[FER_DATA]) -1</f>
        <v>20</v>
      </c>
      <c r="N282" s="78">
        <f>(TX_EMISSAO/100 +1)^(TAB_CORRECAO_U[[#This Row],[dias_periodo_u]]/252)</f>
        <v>1.0019616526860928</v>
      </c>
      <c r="O282" s="78">
        <f>(TIR_U/100 +1)^(TAB_CORRECAO_U[[#This Row],[Q_DIAS_U_PARC_TIR]]/252)</f>
        <v>1.2545354132452773</v>
      </c>
      <c r="P282" s="116" t="str">
        <f>"TX_CENARIO" &amp; TEXT(DT_CALCULO_C, "-AAAAMMDD") &amp; TEXT(TAB_CORRECAO_U[[#This Row],[DT_EVE]], "-AAAAMMDD")</f>
        <v>TX_CENARIO-20151228-20250312</v>
      </c>
      <c r="Q282" s="44">
        <f>IFERROR(VLOOKUP(TAB_CORRECAO_U[[#This Row],[Chave-CENARIO]],CENARIO[],2,FALSE), 0)</f>
        <v>16.36</v>
      </c>
      <c r="R282" s="116" t="str">
        <f>"CORRECAO_CORC_U" &amp; TEXT(DT_CALCULO_C, "-AAAAMMDD") &amp; TEXT(TAB_CORRECAO_U[[#This Row],[DT_EVE]], "-AAAAMMDD")</f>
        <v>CORRECAO_CORC_U-20151228-20250312</v>
      </c>
      <c r="S282" s="44">
        <f>IFERROR(VLOOKUP(TAB_CORRECAO_U[[#This Row],[Chave-CORC]],CORRECAO_CORC_U[],2, FALSE), 0)</f>
        <v>1.0118169800000001</v>
      </c>
      <c r="T282" s="78">
        <f>MAX(0, IF(TAB_CORRECAO_U[[#This Row],[ID_T_EVE]]= 5, TAB_CORRECAO_U[[#This Row],[PU_AMORT]],TAB_CORRECAO_U[[#This Row],[V_NOML_PCPL]]) * (TAB_CORRECAO_U[[#This Row],[CORRECAO_U]] -1))</f>
        <v>215.5625429463104</v>
      </c>
      <c r="U282" s="78">
        <f>MAX(0, TAB_CORRECAO_U[[#This Row],[V_FUT_U_CORC-01]]/((((TAB_CORRECAO_U[[#This Row],[TX_CENARIO]]/100 +1)^(1/252) -1) * PC_IDXR/100 +1)^TAB_CORRECAO_U[[#This Row],[Q_DIAS_U_PARC_TIR]]))</f>
        <v>53.620158851051023</v>
      </c>
      <c r="V282" s="78">
        <f>TAB_CORRECAO_U[[#This Row],[V_FUT_U_CORC-02]]/TAB_CORRECAO_U[[#This Row],[VAR_DESCAP_U]]</f>
        <v>42.741048427118109</v>
      </c>
      <c r="W282" s="78"/>
      <c r="X282" s="101">
        <f>TAB_CORRECAO_U[[#This Row],[dt_eve_u]]- DT_CALCULO_C</f>
        <v>3362</v>
      </c>
      <c r="Y282" s="48" t="str">
        <f>"CORRECAO_CORC_C" &amp; TEXT(DT_CALCULO_C, "-AAAAMMDD") &amp; TEXT(TAB_CORRECAO_U[[#This Row],[DT_EVE]], "-AAAAMMDD")</f>
        <v>CORRECAO_CORC_C-20151228-20250312</v>
      </c>
      <c r="Z282" s="44">
        <f>IFERROR(VLOOKUP(TAB_CORRECAO_C[[#This Row],[Chave-CORC]],CORRECAO_CORC_C[],2, FALSE), 0)</f>
        <v>1</v>
      </c>
      <c r="AA28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2" s="44">
        <f>(TIR_C/100 +1)^(TAB_CORRECAO_C[[#This Row],[DIAS_CORRIDOS]]/360)</f>
        <v>1.2552582662610785</v>
      </c>
      <c r="AC282" s="78">
        <f>IF(TAB_CORRECAO_C[[#This Row],[DIAS_CORRIDOS]]&lt;0, 0, TAB_CORRECAO_C[[#This Row],[V_FUT_C_CORC]]/TAB_CORRECAO_C[[#This Row],[VAR_DESCAP_C]])</f>
        <v>0</v>
      </c>
      <c r="AD282" s="113">
        <f>TAB_CORRECAO_U[[#This Row],[V_FUT_U_CORC-02]]</f>
        <v>53.620158851051023</v>
      </c>
      <c r="AE282" s="126">
        <f>IF(TAB_CORRECAO_C[[#This Row],[DIAS_CORRIDOS]]&lt;0, 0, TAB_CORRECAO_C[[#This Row],[V_FUT_UTEIS]]/TAB_CORRECAO_C[[#This Row],[VAR_DESCAP_C]])</f>
        <v>42.7164355672912</v>
      </c>
      <c r="AF282" s="64"/>
    </row>
    <row r="283" spans="1:32">
      <c r="A283" s="82">
        <f t="shared" si="5"/>
        <v>112</v>
      </c>
      <c r="B283" s="24">
        <f>VLOOKUP($A283, CAD_ATUALIZACAO[#Data], MATCH(B$171, CAD_ATUALIZACAO[#Headers],0), FALSE)</f>
        <v>3</v>
      </c>
      <c r="C283" s="24" t="str">
        <f>VLOOKUP($A283, CAD_ATUALIZACAO[#Data], MATCH(C$171, CAD_ATUALIZACAO[#Headers],0), FALSE)</f>
        <v xml:space="preserve">ATUALIZACAO SOBRE PRINCIPAL                       </v>
      </c>
      <c r="D283" s="36">
        <f>VLOOKUP($A283, CAD_ATUALIZACAO[#Data], MATCH(D$171, CAD_ATUALIZACAO[#Headers],0), FALSE)</f>
        <v>45755</v>
      </c>
      <c r="E283" s="48">
        <f>VLOOKUP($A283, CAD_ATUALIZACAO[#Data], MATCH(E$171, CAD_ATUALIZACAO[#Headers],0), FALSE)</f>
        <v>0</v>
      </c>
      <c r="F283" s="36">
        <f>VLOOKUP($A283, CAD_ATUALIZACAO[#Data], MATCH(F$171, CAD_ATUALIZACAO[#Headers],0), FALSE)</f>
        <v>45761</v>
      </c>
      <c r="G283" s="47">
        <f>WORKDAY(WORKDAY(TAB_CORRECAO_U[[#This Row],[DT_EVE]], -1, TAB_FERIADOS[FER_DATA]), 1, TAB_FERIADOS[FER_DATA])</f>
        <v>45755</v>
      </c>
      <c r="H283" s="75">
        <f>WORKDAY(WORKDAY(TAB_CORRECAO_U[[#This Row],[DT_LQDC_EVE]], -1, TAB_FERIADOS[FER_DATA]), 1, TAB_FERIADOS[FER_DATA])</f>
        <v>45761</v>
      </c>
      <c r="I283" s="48">
        <f>PU_EMISSAO - SUMIF(TAB_AMORTIZACAO_U[dt_eve_u], "&lt;" &amp; TAB_CORRECAO_U[[#This Row],[dt_eve_u]], TAB_AMORTIZACAO_U[V_PU_AMTC])</f>
        <v>17655.599972000025</v>
      </c>
      <c r="J283" s="48">
        <f>IFERROR(VLOOKUP(TAB_CORRECAO_U[[#This Row],[DT_EVE]], TAB_AMORTIZACAO_U[[DT_EVE]:[V_PU_AMTC]], 2, FALSE), 0)</f>
        <v>582.21106399999996</v>
      </c>
      <c r="K283" s="48">
        <f>NETWORKDAYS(DT_CALCULO_U, TAB_CORRECAO_U[[#This Row],[dt_eve_u]], TAB_FERIADOS[FER_DATA]) -1</f>
        <v>2329</v>
      </c>
      <c r="L283" s="48">
        <f>NETWORKDAYS(DT_CALCULO_U, TAB_CORRECAO_U[[#This Row],[dt_lqdc_eve_u]], TAB_FERIADOS[FER_DATA]) -1</f>
        <v>2333</v>
      </c>
      <c r="M283" s="48">
        <f>NETWORKDAYS(IF(ISTEXT(G282), DT_B_CORC, G282), TAB_CORRECAO_U[[#This Row],[dt_eve_u]], TAB_FERIADOS[FER_DATA]) -1</f>
        <v>19</v>
      </c>
      <c r="N283" s="78">
        <f>(TX_EMISSAO/100 +1)^(TAB_CORRECAO_U[[#This Row],[dias_periodo_u]]/252)</f>
        <v>1.0018634787225431</v>
      </c>
      <c r="O283" s="78">
        <f>(TIR_U/100 +1)^(TAB_CORRECAO_U[[#This Row],[Q_DIAS_U_PARC_TIR]]/252)</f>
        <v>1.2568734653144804</v>
      </c>
      <c r="P283" s="116" t="str">
        <f>"TX_CENARIO" &amp; TEXT(DT_CALCULO_C, "-AAAAMMDD") &amp; TEXT(TAB_CORRECAO_U[[#This Row],[DT_EVE]], "-AAAAMMDD")</f>
        <v>TX_CENARIO-20151228-20250408</v>
      </c>
      <c r="Q283" s="44">
        <f>IFERROR(VLOOKUP(TAB_CORRECAO_U[[#This Row],[Chave-CENARIO]],CENARIO[],2,FALSE), 0)</f>
        <v>16.356000000000002</v>
      </c>
      <c r="R283" s="116" t="str">
        <f>"CORRECAO_CORC_U" &amp; TEXT(DT_CALCULO_C, "-AAAAMMDD") &amp; TEXT(TAB_CORRECAO_U[[#This Row],[DT_EVE]], "-AAAAMMDD")</f>
        <v>CORRECAO_CORC_U-20151228-20250408</v>
      </c>
      <c r="S283" s="44">
        <f>IFERROR(VLOOKUP(TAB_CORRECAO_U[[#This Row],[Chave-CORC]],CORRECAO_CORC_U[],2, FALSE), 0)</f>
        <v>1.0112228299999999</v>
      </c>
      <c r="T283" s="78">
        <f>MAX(0, IF(TAB_CORRECAO_U[[#This Row],[ID_T_EVE]]= 5, TAB_CORRECAO_U[[#This Row],[PU_AMORT]],TAB_CORRECAO_U[[#This Row],[V_NOML_PCPL]]) * (TAB_CORRECAO_U[[#This Row],[CORRECAO_U]] -1))</f>
        <v>198.14579703375938</v>
      </c>
      <c r="U283" s="78">
        <f>MAX(0, TAB_CORRECAO_U[[#This Row],[V_FUT_U_CORC-01]]/((((TAB_CORRECAO_U[[#This Row],[TX_CENARIO]]/100 +1)^(1/252) -1) * PC_IDXR/100 +1)^TAB_CORRECAO_U[[#This Row],[Q_DIAS_U_PARC_TIR]]))</f>
        <v>48.74347516671348</v>
      </c>
      <c r="V283" s="78">
        <f>TAB_CORRECAO_U[[#This Row],[V_FUT_U_CORC-02]]/TAB_CORRECAO_U[[#This Row],[VAR_DESCAP_U]]</f>
        <v>38.781529335984075</v>
      </c>
      <c r="W283" s="78"/>
      <c r="X283" s="101">
        <f>TAB_CORRECAO_U[[#This Row],[dt_eve_u]]- DT_CALCULO_C</f>
        <v>3389</v>
      </c>
      <c r="Y283" s="48" t="str">
        <f>"CORRECAO_CORC_C" &amp; TEXT(DT_CALCULO_C, "-AAAAMMDD") &amp; TEXT(TAB_CORRECAO_U[[#This Row],[DT_EVE]], "-AAAAMMDD")</f>
        <v>CORRECAO_CORC_C-20151228-20250408</v>
      </c>
      <c r="Z283" s="44">
        <f>IFERROR(VLOOKUP(TAB_CORRECAO_C[[#This Row],[Chave-CORC]],CORRECAO_CORC_C[],2, FALSE), 0)</f>
        <v>1</v>
      </c>
      <c r="AA28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3" s="44">
        <f>(TIR_C/100 +1)^(TAB_CORRECAO_C[[#This Row],[DIAS_CORRIDOS]]/360)</f>
        <v>1.257552164155523</v>
      </c>
      <c r="AC283" s="78">
        <f>IF(TAB_CORRECAO_C[[#This Row],[DIAS_CORRIDOS]]&lt;0, 0, TAB_CORRECAO_C[[#This Row],[V_FUT_C_CORC]]/TAB_CORRECAO_C[[#This Row],[VAR_DESCAP_C]])</f>
        <v>0</v>
      </c>
      <c r="AD283" s="113">
        <f>TAB_CORRECAO_U[[#This Row],[V_FUT_U_CORC-02]]</f>
        <v>48.74347516671348</v>
      </c>
      <c r="AE283" s="126">
        <f>IF(TAB_CORRECAO_C[[#This Row],[DIAS_CORRIDOS]]&lt;0, 0, TAB_CORRECAO_C[[#This Row],[V_FUT_UTEIS]]/TAB_CORRECAO_C[[#This Row],[VAR_DESCAP_C]])</f>
        <v>38.760599008189786</v>
      </c>
      <c r="AF283" s="64"/>
    </row>
    <row r="284" spans="1:32">
      <c r="A284" s="82">
        <f t="shared" si="5"/>
        <v>113</v>
      </c>
      <c r="B284" s="24">
        <f>VLOOKUP($A284, CAD_ATUALIZACAO[#Data], MATCH(B$171, CAD_ATUALIZACAO[#Headers],0), FALSE)</f>
        <v>3</v>
      </c>
      <c r="C284" s="24" t="str">
        <f>VLOOKUP($A284, CAD_ATUALIZACAO[#Data], MATCH(C$171, CAD_ATUALIZACAO[#Headers],0), FALSE)</f>
        <v xml:space="preserve">ATUALIZACAO SOBRE PRINCIPAL                       </v>
      </c>
      <c r="D284" s="36">
        <f>VLOOKUP($A284, CAD_ATUALIZACAO[#Data], MATCH(D$171, CAD_ATUALIZACAO[#Headers],0), FALSE)</f>
        <v>45786</v>
      </c>
      <c r="E284" s="48">
        <f>VLOOKUP($A284, CAD_ATUALIZACAO[#Data], MATCH(E$171, CAD_ATUALIZACAO[#Headers],0), FALSE)</f>
        <v>0</v>
      </c>
      <c r="F284" s="36">
        <f>VLOOKUP($A284, CAD_ATUALIZACAO[#Data], MATCH(F$171, CAD_ATUALIZACAO[#Headers],0), FALSE)</f>
        <v>45792</v>
      </c>
      <c r="G284" s="47">
        <f>WORKDAY(WORKDAY(TAB_CORRECAO_U[[#This Row],[DT_EVE]], -1, TAB_FERIADOS[FER_DATA]), 1, TAB_FERIADOS[FER_DATA])</f>
        <v>45786</v>
      </c>
      <c r="H284" s="75">
        <f>WORKDAY(WORKDAY(TAB_CORRECAO_U[[#This Row],[DT_LQDC_EVE]], -1, TAB_FERIADOS[FER_DATA]), 1, TAB_FERIADOS[FER_DATA])</f>
        <v>45792</v>
      </c>
      <c r="I284" s="48">
        <f>PU_EMISSAO - SUMIF(TAB_AMORTIZACAO_U[dt_eve_u], "&lt;" &amp; TAB_CORRECAO_U[[#This Row],[dt_eve_u]], TAB_AMORTIZACAO_U[V_PU_AMTC])</f>
        <v>17073.388908000023</v>
      </c>
      <c r="J284" s="48">
        <f>IFERROR(VLOOKUP(TAB_CORRECAO_U[[#This Row],[DT_EVE]], TAB_AMORTIZACAO_U[[DT_EVE]:[V_PU_AMTC]], 2, FALSE), 0)</f>
        <v>574.50246300000003</v>
      </c>
      <c r="K284" s="48">
        <f>NETWORKDAYS(DT_CALCULO_U, TAB_CORRECAO_U[[#This Row],[dt_eve_u]], TAB_FERIADOS[FER_DATA]) -1</f>
        <v>2349</v>
      </c>
      <c r="L284" s="48">
        <f>NETWORKDAYS(DT_CALCULO_U, TAB_CORRECAO_U[[#This Row],[dt_lqdc_eve_u]], TAB_FERIADOS[FER_DATA]) -1</f>
        <v>2353</v>
      </c>
      <c r="M284" s="48">
        <f>NETWORKDAYS(IF(ISTEXT(G283), DT_B_CORC, G283), TAB_CORRECAO_U[[#This Row],[dt_eve_u]], TAB_FERIADOS[FER_DATA]) -1</f>
        <v>20</v>
      </c>
      <c r="N284" s="78">
        <f>(TX_EMISSAO/100 +1)^(TAB_CORRECAO_U[[#This Row],[dias_periodo_u]]/252)</f>
        <v>1.0019616526860928</v>
      </c>
      <c r="O284" s="78">
        <f>(TIR_U/100 +1)^(TAB_CORRECAO_U[[#This Row],[Q_DIAS_U_PARC_TIR]]/252)</f>
        <v>1.2593392803283947</v>
      </c>
      <c r="P284" s="116" t="str">
        <f>"TX_CENARIO" &amp; TEXT(DT_CALCULO_C, "-AAAAMMDD") &amp; TEXT(TAB_CORRECAO_U[[#This Row],[DT_EVE]], "-AAAAMMDD")</f>
        <v>TX_CENARIO-20151228-20250509</v>
      </c>
      <c r="Q284" s="44">
        <f>IFERROR(VLOOKUP(TAB_CORRECAO_U[[#This Row],[Chave-CENARIO]],CENARIO[],2,FALSE), 0)</f>
        <v>16.351900000000001</v>
      </c>
      <c r="R284" s="116" t="str">
        <f>"CORRECAO_CORC_U" &amp; TEXT(DT_CALCULO_C, "-AAAAMMDD") &amp; TEXT(TAB_CORRECAO_U[[#This Row],[DT_EVE]], "-AAAAMMDD")</f>
        <v>CORRECAO_CORC_U-20151228-20250509</v>
      </c>
      <c r="S284" s="44">
        <f>IFERROR(VLOOKUP(TAB_CORRECAO_U[[#This Row],[Chave-CORC]],CORRECAO_CORC_U[],2, FALSE), 0)</f>
        <v>1.0118169800000001</v>
      </c>
      <c r="T284" s="78">
        <f>MAX(0, IF(TAB_CORRECAO_U[[#This Row],[ID_T_EVE]]= 5, TAB_CORRECAO_U[[#This Row],[PU_AMORT]],TAB_CORRECAO_U[[#This Row],[V_NOML_PCPL]]) * (TAB_CORRECAO_U[[#This Row],[CORRECAO_U]] -1))</f>
        <v>201.75589525805961</v>
      </c>
      <c r="U284" s="78">
        <f>MAX(0, TAB_CORRECAO_U[[#This Row],[V_FUT_U_CORC-01]]/((((TAB_CORRECAO_U[[#This Row],[TX_CENARIO]]/100 +1)^(1/252) -1) * PC_IDXR/100 +1)^TAB_CORRECAO_U[[#This Row],[Q_DIAS_U_PARC_TIR]]))</f>
        <v>49.054563769408688</v>
      </c>
      <c r="V284" s="78">
        <f>TAB_CORRECAO_U[[#This Row],[V_FUT_U_CORC-02]]/TAB_CORRECAO_U[[#This Row],[VAR_DESCAP_U]]</f>
        <v>38.95261946932748</v>
      </c>
      <c r="W284" s="78"/>
      <c r="X284" s="101">
        <f>TAB_CORRECAO_U[[#This Row],[dt_eve_u]]- DT_CALCULO_C</f>
        <v>3420</v>
      </c>
      <c r="Y284" s="48" t="str">
        <f>"CORRECAO_CORC_C" &amp; TEXT(DT_CALCULO_C, "-AAAAMMDD") &amp; TEXT(TAB_CORRECAO_U[[#This Row],[DT_EVE]], "-AAAAMMDD")</f>
        <v>CORRECAO_CORC_C-20151228-20250509</v>
      </c>
      <c r="Z284" s="44">
        <f>IFERROR(VLOOKUP(TAB_CORRECAO_C[[#This Row],[Chave-CORC]],CORRECAO_CORC_C[],2, FALSE), 0)</f>
        <v>1</v>
      </c>
      <c r="AA28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4" s="44">
        <f>(TIR_C/100 +1)^(TAB_CORRECAO_C[[#This Row],[DIAS_CORRIDOS]]/360)</f>
        <v>1.2601910687259181</v>
      </c>
      <c r="AC284" s="78">
        <f>IF(TAB_CORRECAO_C[[#This Row],[DIAS_CORRIDOS]]&lt;0, 0, TAB_CORRECAO_C[[#This Row],[V_FUT_C_CORC]]/TAB_CORRECAO_C[[#This Row],[VAR_DESCAP_C]])</f>
        <v>0</v>
      </c>
      <c r="AD284" s="113">
        <f>TAB_CORRECAO_U[[#This Row],[V_FUT_U_CORC-02]]</f>
        <v>49.054563769408688</v>
      </c>
      <c r="AE284" s="126">
        <f>IF(TAB_CORRECAO_C[[#This Row],[DIAS_CORRIDOS]]&lt;0, 0, TAB_CORRECAO_C[[#This Row],[V_FUT_UTEIS]]/TAB_CORRECAO_C[[#This Row],[VAR_DESCAP_C]])</f>
        <v>38.926290613219443</v>
      </c>
      <c r="AF284" s="64"/>
    </row>
    <row r="285" spans="1:32">
      <c r="A285" s="82">
        <f t="shared" si="5"/>
        <v>114</v>
      </c>
      <c r="B285" s="24">
        <f>VLOOKUP($A285, CAD_ATUALIZACAO[#Data], MATCH(B$171, CAD_ATUALIZACAO[#Headers],0), FALSE)</f>
        <v>3</v>
      </c>
      <c r="C285" s="24" t="str">
        <f>VLOOKUP($A285, CAD_ATUALIZACAO[#Data], MATCH(C$171, CAD_ATUALIZACAO[#Headers],0), FALSE)</f>
        <v xml:space="preserve">ATUALIZACAO SOBRE PRINCIPAL                       </v>
      </c>
      <c r="D285" s="36">
        <f>VLOOKUP($A285, CAD_ATUALIZACAO[#Data], MATCH(D$171, CAD_ATUALIZACAO[#Headers],0), FALSE)</f>
        <v>45817</v>
      </c>
      <c r="E285" s="48">
        <f>VLOOKUP($A285, CAD_ATUALIZACAO[#Data], MATCH(E$171, CAD_ATUALIZACAO[#Headers],0), FALSE)</f>
        <v>0</v>
      </c>
      <c r="F285" s="36">
        <f>VLOOKUP($A285, CAD_ATUALIZACAO[#Data], MATCH(F$171, CAD_ATUALIZACAO[#Headers],0), FALSE)</f>
        <v>45821</v>
      </c>
      <c r="G285" s="47">
        <f>WORKDAY(WORKDAY(TAB_CORRECAO_U[[#This Row],[DT_EVE]], -1, TAB_FERIADOS[FER_DATA]), 1, TAB_FERIADOS[FER_DATA])</f>
        <v>45817</v>
      </c>
      <c r="H285" s="75">
        <f>WORKDAY(WORKDAY(TAB_CORRECAO_U[[#This Row],[DT_LQDC_EVE]], -1, TAB_FERIADOS[FER_DATA]), 1, TAB_FERIADOS[FER_DATA])</f>
        <v>45821</v>
      </c>
      <c r="I285" s="48">
        <f>PU_EMISSAO - SUMIF(TAB_AMORTIZACAO_U[dt_eve_u], "&lt;" &amp; TAB_CORRECAO_U[[#This Row],[dt_eve_u]], TAB_AMORTIZACAO_U[V_PU_AMTC])</f>
        <v>16498.886445000026</v>
      </c>
      <c r="J285" s="48">
        <f>IFERROR(VLOOKUP(TAB_CORRECAO_U[[#This Row],[DT_EVE]], TAB_AMORTIZACAO_U[[DT_EVE]:[V_PU_AMTC]], 2, FALSE), 0)</f>
        <v>566.63775599999997</v>
      </c>
      <c r="K285" s="48">
        <f>NETWORKDAYS(DT_CALCULO_U, TAB_CORRECAO_U[[#This Row],[dt_eve_u]], TAB_FERIADOS[FER_DATA]) -1</f>
        <v>2370</v>
      </c>
      <c r="L285" s="48">
        <f>NETWORKDAYS(DT_CALCULO_U, TAB_CORRECAO_U[[#This Row],[dt_lqdc_eve_u]], TAB_FERIADOS[FER_DATA]) -1</f>
        <v>2374</v>
      </c>
      <c r="M285" s="48">
        <f>NETWORKDAYS(IF(ISTEXT(G284), DT_B_CORC, G284), TAB_CORRECAO_U[[#This Row],[dt_eve_u]], TAB_FERIADOS[FER_DATA]) -1</f>
        <v>21</v>
      </c>
      <c r="N285" s="78">
        <f>(TX_EMISSAO/100 +1)^(TAB_CORRECAO_U[[#This Row],[dias_periodo_u]]/252)</f>
        <v>1.0020598362698427</v>
      </c>
      <c r="O285" s="78">
        <f>(TIR_U/100 +1)^(TAB_CORRECAO_U[[#This Row],[Q_DIAS_U_PARC_TIR]]/252)</f>
        <v>1.2619335927238347</v>
      </c>
      <c r="P285" s="116" t="str">
        <f>"TX_CENARIO" &amp; TEXT(DT_CALCULO_C, "-AAAAMMDD") &amp; TEXT(TAB_CORRECAO_U[[#This Row],[DT_EVE]], "-AAAAMMDD")</f>
        <v>TX_CENARIO-20151228-20250609</v>
      </c>
      <c r="Q285" s="44">
        <f>IFERROR(VLOOKUP(TAB_CORRECAO_U[[#This Row],[Chave-CENARIO]],CENARIO[],2,FALSE), 0)</f>
        <v>16.3477</v>
      </c>
      <c r="R285" s="116" t="str">
        <f>"CORRECAO_CORC_U" &amp; TEXT(DT_CALCULO_C, "-AAAAMMDD") &amp; TEXT(TAB_CORRECAO_U[[#This Row],[DT_EVE]], "-AAAAMMDD")</f>
        <v>CORRECAO_CORC_U-20151228-20250609</v>
      </c>
      <c r="S285" s="44">
        <f>IFERROR(VLOOKUP(TAB_CORRECAO_U[[#This Row],[Chave-CORC]],CORRECAO_CORC_U[],2, FALSE), 0)</f>
        <v>1.0124114900000001</v>
      </c>
      <c r="T285" s="78">
        <f>MAX(0, IF(TAB_CORRECAO_U[[#This Row],[ID_T_EVE]]= 5, TAB_CORRECAO_U[[#This Row],[PU_AMORT]],TAB_CORRECAO_U[[#This Row],[V_NOML_PCPL]]) * (TAB_CORRECAO_U[[#This Row],[CORRECAO_U]] -1))</f>
        <v>204.7757641232547</v>
      </c>
      <c r="U285" s="78">
        <f>MAX(0, TAB_CORRECAO_U[[#This Row],[V_FUT_U_CORC-01]]/((((TAB_CORRECAO_U[[#This Row],[TX_CENARIO]]/100 +1)^(1/252) -1) * PC_IDXR/100 +1)^TAB_CORRECAO_U[[#This Row],[Q_DIAS_U_PARC_TIR]]))</f>
        <v>49.181107613168045</v>
      </c>
      <c r="V285" s="78">
        <f>TAB_CORRECAO_U[[#This Row],[V_FUT_U_CORC-02]]/TAB_CORRECAO_U[[#This Row],[VAR_DESCAP_U]]</f>
        <v>38.972817505406553</v>
      </c>
      <c r="W285" s="78"/>
      <c r="X285" s="101">
        <f>TAB_CORRECAO_U[[#This Row],[dt_eve_u]]- DT_CALCULO_C</f>
        <v>3451</v>
      </c>
      <c r="Y285" s="48" t="str">
        <f>"CORRECAO_CORC_C" &amp; TEXT(DT_CALCULO_C, "-AAAAMMDD") &amp; TEXT(TAB_CORRECAO_U[[#This Row],[DT_EVE]], "-AAAAMMDD")</f>
        <v>CORRECAO_CORC_C-20151228-20250609</v>
      </c>
      <c r="Z285" s="44">
        <f>IFERROR(VLOOKUP(TAB_CORRECAO_C[[#This Row],[Chave-CORC]],CORRECAO_CORC_C[],2, FALSE), 0)</f>
        <v>1</v>
      </c>
      <c r="AA28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5" s="44">
        <f>(TIR_C/100 +1)^(TAB_CORRECAO_C[[#This Row],[DIAS_CORRIDOS]]/360)</f>
        <v>1.2628355108935041</v>
      </c>
      <c r="AC285" s="78">
        <f>IF(TAB_CORRECAO_C[[#This Row],[DIAS_CORRIDOS]]&lt;0, 0, TAB_CORRECAO_C[[#This Row],[V_FUT_C_CORC]]/TAB_CORRECAO_C[[#This Row],[VAR_DESCAP_C]])</f>
        <v>0</v>
      </c>
      <c r="AD285" s="113">
        <f>TAB_CORRECAO_U[[#This Row],[V_FUT_U_CORC-02]]</f>
        <v>49.181107613168045</v>
      </c>
      <c r="AE285" s="126">
        <f>IF(TAB_CORRECAO_C[[#This Row],[DIAS_CORRIDOS]]&lt;0, 0, TAB_CORRECAO_C[[#This Row],[V_FUT_UTEIS]]/TAB_CORRECAO_C[[#This Row],[VAR_DESCAP_C]])</f>
        <v>38.944983086807987</v>
      </c>
      <c r="AF285" s="64"/>
    </row>
    <row r="286" spans="1:32">
      <c r="A286" s="82">
        <f t="shared" si="5"/>
        <v>115</v>
      </c>
      <c r="B286" s="24">
        <f>VLOOKUP($A286, CAD_ATUALIZACAO[#Data], MATCH(B$171, CAD_ATUALIZACAO[#Headers],0), FALSE)</f>
        <v>3</v>
      </c>
      <c r="C286" s="24" t="str">
        <f>VLOOKUP($A286, CAD_ATUALIZACAO[#Data], MATCH(C$171, CAD_ATUALIZACAO[#Headers],0), FALSE)</f>
        <v xml:space="preserve">ATUALIZACAO SOBRE PRINCIPAL                       </v>
      </c>
      <c r="D286" s="36">
        <f>VLOOKUP($A286, CAD_ATUALIZACAO[#Data], MATCH(D$171, CAD_ATUALIZACAO[#Headers],0), FALSE)</f>
        <v>45846</v>
      </c>
      <c r="E286" s="48">
        <f>VLOOKUP($A286, CAD_ATUALIZACAO[#Data], MATCH(E$171, CAD_ATUALIZACAO[#Headers],0), FALSE)</f>
        <v>0</v>
      </c>
      <c r="F286" s="36">
        <f>VLOOKUP($A286, CAD_ATUALIZACAO[#Data], MATCH(F$171, CAD_ATUALIZACAO[#Headers],0), FALSE)</f>
        <v>45852</v>
      </c>
      <c r="G286" s="47">
        <f>WORKDAY(WORKDAY(TAB_CORRECAO_U[[#This Row],[DT_EVE]], -1, TAB_FERIADOS[FER_DATA]), 1, TAB_FERIADOS[FER_DATA])</f>
        <v>45846</v>
      </c>
      <c r="H286" s="75">
        <f>WORKDAY(WORKDAY(TAB_CORRECAO_U[[#This Row],[DT_LQDC_EVE]], -1, TAB_FERIADOS[FER_DATA]), 1, TAB_FERIADOS[FER_DATA])</f>
        <v>45852</v>
      </c>
      <c r="I286" s="48">
        <f>PU_EMISSAO - SUMIF(TAB_AMORTIZACAO_U[dt_eve_u], "&lt;" &amp; TAB_CORRECAO_U[[#This Row],[dt_eve_u]], TAB_AMORTIZACAO_U[V_PU_AMTC])</f>
        <v>15932.248689000029</v>
      </c>
      <c r="J286" s="48">
        <f>IFERROR(VLOOKUP(TAB_CORRECAO_U[[#This Row],[DT_EVE]], TAB_AMORTIZACAO_U[[DT_EVE]:[V_PU_AMTC]], 2, FALSE), 0)</f>
        <v>562.42430999999999</v>
      </c>
      <c r="K286" s="48">
        <f>NETWORKDAYS(DT_CALCULO_U, TAB_CORRECAO_U[[#This Row],[dt_eve_u]], TAB_FERIADOS[FER_DATA]) -1</f>
        <v>2390</v>
      </c>
      <c r="L286" s="48">
        <f>NETWORKDAYS(DT_CALCULO_U, TAB_CORRECAO_U[[#This Row],[dt_lqdc_eve_u]], TAB_FERIADOS[FER_DATA]) -1</f>
        <v>2394</v>
      </c>
      <c r="M286" s="48">
        <f>NETWORKDAYS(IF(ISTEXT(G285), DT_B_CORC, G285), TAB_CORRECAO_U[[#This Row],[dt_eve_u]], TAB_FERIADOS[FER_DATA]) -1</f>
        <v>20</v>
      </c>
      <c r="N286" s="78">
        <f>(TX_EMISSAO/100 +1)^(TAB_CORRECAO_U[[#This Row],[dias_periodo_u]]/252)</f>
        <v>1.0019616526860928</v>
      </c>
      <c r="O286" s="78">
        <f>(TIR_U/100 +1)^(TAB_CORRECAO_U[[#This Row],[Q_DIAS_U_PARC_TIR]]/252)</f>
        <v>1.2644093350203933</v>
      </c>
      <c r="P286" s="116" t="str">
        <f>"TX_CENARIO" &amp; TEXT(DT_CALCULO_C, "-AAAAMMDD") &amp; TEXT(TAB_CORRECAO_U[[#This Row],[DT_EVE]], "-AAAAMMDD")</f>
        <v>TX_CENARIO-20151228-20250708</v>
      </c>
      <c r="Q286" s="44">
        <f>IFERROR(VLOOKUP(TAB_CORRECAO_U[[#This Row],[Chave-CENARIO]],CENARIO[],2,FALSE), 0)</f>
        <v>16.343699999999998</v>
      </c>
      <c r="R286" s="116" t="str">
        <f>"CORRECAO_CORC_U" &amp; TEXT(DT_CALCULO_C, "-AAAAMMDD") &amp; TEXT(TAB_CORRECAO_U[[#This Row],[DT_EVE]], "-AAAAMMDD")</f>
        <v>CORRECAO_CORC_U-20151228-20250708</v>
      </c>
      <c r="S286" s="44">
        <f>IFERROR(VLOOKUP(TAB_CORRECAO_U[[#This Row],[Chave-CORC]],CORRECAO_CORC_U[],2, FALSE), 0)</f>
        <v>1.0118169800000001</v>
      </c>
      <c r="T286" s="78">
        <f>MAX(0, IF(TAB_CORRECAO_U[[#This Row],[ID_T_EVE]]= 5, TAB_CORRECAO_U[[#This Row],[PU_AMORT]],TAB_CORRECAO_U[[#This Row],[V_NOML_PCPL]]) * (TAB_CORRECAO_U[[#This Row],[CORRECAO_U]] -1))</f>
        <v>188.27106411294096</v>
      </c>
      <c r="U286" s="78">
        <f>MAX(0, TAB_CORRECAO_U[[#This Row],[V_FUT_U_CORC-01]]/((((TAB_CORRECAO_U[[#This Row],[TX_CENARIO]]/100 +1)^(1/252) -1) * PC_IDXR/100 +1)^TAB_CORRECAO_U[[#This Row],[Q_DIAS_U_PARC_TIR]]))</f>
        <v>44.691640879632523</v>
      </c>
      <c r="V286" s="78">
        <f>TAB_CORRECAO_U[[#This Row],[V_FUT_U_CORC-02]]/TAB_CORRECAO_U[[#This Row],[VAR_DESCAP_U]]</f>
        <v>35.345864382527438</v>
      </c>
      <c r="W286" s="78"/>
      <c r="X286" s="101">
        <f>TAB_CORRECAO_U[[#This Row],[dt_eve_u]]- DT_CALCULO_C</f>
        <v>3480</v>
      </c>
      <c r="Y286" s="48" t="str">
        <f>"CORRECAO_CORC_C" &amp; TEXT(DT_CALCULO_C, "-AAAAMMDD") &amp; TEXT(TAB_CORRECAO_U[[#This Row],[DT_EVE]], "-AAAAMMDD")</f>
        <v>CORRECAO_CORC_C-20151228-20250708</v>
      </c>
      <c r="Z286" s="44">
        <f>IFERROR(VLOOKUP(TAB_CORRECAO_C[[#This Row],[Chave-CORC]],CORRECAO_CORC_C[],2, FALSE), 0)</f>
        <v>1</v>
      </c>
      <c r="AA28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6" s="44">
        <f>(TIR_C/100 +1)^(TAB_CORRECAO_C[[#This Row],[DIAS_CORRIDOS]]/360)</f>
        <v>1.2653143674077278</v>
      </c>
      <c r="AC286" s="78">
        <f>IF(TAB_CORRECAO_C[[#This Row],[DIAS_CORRIDOS]]&lt;0, 0, TAB_CORRECAO_C[[#This Row],[V_FUT_C_CORC]]/TAB_CORRECAO_C[[#This Row],[VAR_DESCAP_C]])</f>
        <v>0</v>
      </c>
      <c r="AD286" s="113">
        <f>TAB_CORRECAO_U[[#This Row],[V_FUT_U_CORC-02]]</f>
        <v>44.691640879632523</v>
      </c>
      <c r="AE286" s="126">
        <f>IF(TAB_CORRECAO_C[[#This Row],[DIAS_CORRIDOS]]&lt;0, 0, TAB_CORRECAO_C[[#This Row],[V_FUT_UTEIS]]/TAB_CORRECAO_C[[#This Row],[VAR_DESCAP_C]])</f>
        <v>35.320582798086051</v>
      </c>
      <c r="AF286" s="64"/>
    </row>
    <row r="287" spans="1:32">
      <c r="A287" s="82">
        <f t="shared" si="5"/>
        <v>116</v>
      </c>
      <c r="B287" s="24">
        <f>VLOOKUP($A287, CAD_ATUALIZACAO[#Data], MATCH(B$171, CAD_ATUALIZACAO[#Headers],0), FALSE)</f>
        <v>3</v>
      </c>
      <c r="C287" s="24" t="str">
        <f>VLOOKUP($A287, CAD_ATUALIZACAO[#Data], MATCH(C$171, CAD_ATUALIZACAO[#Headers],0), FALSE)</f>
        <v xml:space="preserve">ATUALIZACAO SOBRE PRINCIPAL                       </v>
      </c>
      <c r="D287" s="36">
        <f>VLOOKUP($A287, CAD_ATUALIZACAO[#Data], MATCH(D$171, CAD_ATUALIZACAO[#Headers],0), FALSE)</f>
        <v>45877</v>
      </c>
      <c r="E287" s="48">
        <f>VLOOKUP($A287, CAD_ATUALIZACAO[#Data], MATCH(E$171, CAD_ATUALIZACAO[#Headers],0), FALSE)</f>
        <v>0</v>
      </c>
      <c r="F287" s="36">
        <f>VLOOKUP($A287, CAD_ATUALIZACAO[#Data], MATCH(F$171, CAD_ATUALIZACAO[#Headers],0), FALSE)</f>
        <v>45883</v>
      </c>
      <c r="G287" s="47">
        <f>WORKDAY(WORKDAY(TAB_CORRECAO_U[[#This Row],[DT_EVE]], -1, TAB_FERIADOS[FER_DATA]), 1, TAB_FERIADOS[FER_DATA])</f>
        <v>45877</v>
      </c>
      <c r="H287" s="75">
        <f>WORKDAY(WORKDAY(TAB_CORRECAO_U[[#This Row],[DT_LQDC_EVE]], -1, TAB_FERIADOS[FER_DATA]), 1, TAB_FERIADOS[FER_DATA])</f>
        <v>45883</v>
      </c>
      <c r="I287" s="48">
        <f>PU_EMISSAO - SUMIF(TAB_AMORTIZACAO_U[dt_eve_u], "&lt;" &amp; TAB_CORRECAO_U[[#This Row],[dt_eve_u]], TAB_AMORTIZACAO_U[V_PU_AMTC])</f>
        <v>15369.824379000027</v>
      </c>
      <c r="J287" s="48">
        <f>IFERROR(VLOOKUP(TAB_CORRECAO_U[[#This Row],[DT_EVE]], TAB_AMORTIZACAO_U[[DT_EVE]:[V_PU_AMTC]], 2, FALSE), 0)</f>
        <v>551.10042199999998</v>
      </c>
      <c r="K287" s="48">
        <f>NETWORKDAYS(DT_CALCULO_U, TAB_CORRECAO_U[[#This Row],[dt_eve_u]], TAB_FERIADOS[FER_DATA]) -1</f>
        <v>2413</v>
      </c>
      <c r="L287" s="48">
        <f>NETWORKDAYS(DT_CALCULO_U, TAB_CORRECAO_U[[#This Row],[dt_lqdc_eve_u]], TAB_FERIADOS[FER_DATA]) -1</f>
        <v>2417</v>
      </c>
      <c r="M287" s="48">
        <f>NETWORKDAYS(IF(ISTEXT(G286), DT_B_CORC, G286), TAB_CORRECAO_U[[#This Row],[dt_eve_u]], TAB_FERIADOS[FER_DATA]) -1</f>
        <v>23</v>
      </c>
      <c r="N287" s="78">
        <f>(TX_EMISSAO/100 +1)^(TAB_CORRECAO_U[[#This Row],[dias_periodo_u]]/252)</f>
        <v>1.0022562323017139</v>
      </c>
      <c r="O287" s="78">
        <f>(TIR_U/100 +1)^(TAB_CORRECAO_U[[#This Row],[Q_DIAS_U_PARC_TIR]]/252)</f>
        <v>1.267262443803105</v>
      </c>
      <c r="P287" s="116" t="str">
        <f>"TX_CENARIO" &amp; TEXT(DT_CALCULO_C, "-AAAAMMDD") &amp; TEXT(TAB_CORRECAO_U[[#This Row],[DT_EVE]], "-AAAAMMDD")</f>
        <v>TX_CENARIO-20151228-20250808</v>
      </c>
      <c r="Q287" s="44">
        <f>IFERROR(VLOOKUP(TAB_CORRECAO_U[[#This Row],[Chave-CENARIO]],CENARIO[],2,FALSE), 0)</f>
        <v>16.339200000000002</v>
      </c>
      <c r="R287" s="116" t="str">
        <f>"CORRECAO_CORC_U" &amp; TEXT(DT_CALCULO_C, "-AAAAMMDD") &amp; TEXT(TAB_CORRECAO_U[[#This Row],[DT_EVE]], "-AAAAMMDD")</f>
        <v>CORRECAO_CORC_U-20151228-20250808</v>
      </c>
      <c r="S287" s="44">
        <f>IFERROR(VLOOKUP(TAB_CORRECAO_U[[#This Row],[Chave-CORC]],CORRECAO_CORC_U[],2, FALSE), 0)</f>
        <v>1.01360154</v>
      </c>
      <c r="T287" s="78">
        <f>MAX(0, IF(TAB_CORRECAO_U[[#This Row],[ID_T_EVE]]= 5, TAB_CORRECAO_U[[#This Row],[PU_AMORT]],TAB_CORRECAO_U[[#This Row],[V_NOML_PCPL]]) * (TAB_CORRECAO_U[[#This Row],[CORRECAO_U]] -1))</f>
        <v>209.05328108394437</v>
      </c>
      <c r="U287" s="78">
        <f>MAX(0, TAB_CORRECAO_U[[#This Row],[V_FUT_U_CORC-01]]/((((TAB_CORRECAO_U[[#This Row],[TX_CENARIO]]/100 +1)^(1/252) -1) * PC_IDXR/100 +1)^TAB_CORRECAO_U[[#This Row],[Q_DIAS_U_PARC_TIR]]))</f>
        <v>48.962150640472366</v>
      </c>
      <c r="V287" s="78">
        <f>TAB_CORRECAO_U[[#This Row],[V_FUT_U_CORC-02]]/TAB_CORRECAO_U[[#This Row],[VAR_DESCAP_U]]</f>
        <v>38.636156922267027</v>
      </c>
      <c r="W287" s="78"/>
      <c r="X287" s="101">
        <f>TAB_CORRECAO_U[[#This Row],[dt_eve_u]]- DT_CALCULO_C</f>
        <v>3511</v>
      </c>
      <c r="Y287" s="48" t="str">
        <f>"CORRECAO_CORC_C" &amp; TEXT(DT_CALCULO_C, "-AAAAMMDD") &amp; TEXT(TAB_CORRECAO_U[[#This Row],[DT_EVE]], "-AAAAMMDD")</f>
        <v>CORRECAO_CORC_C-20151228-20250808</v>
      </c>
      <c r="Z287" s="44">
        <f>IFERROR(VLOOKUP(TAB_CORRECAO_C[[#This Row],[Chave-CORC]],CORRECAO_CORC_C[],2, FALSE), 0)</f>
        <v>1</v>
      </c>
      <c r="AA28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7" s="44">
        <f>(TIR_C/100 +1)^(TAB_CORRECAO_C[[#This Row],[DIAS_CORRIDOS]]/360)</f>
        <v>1.267969560537932</v>
      </c>
      <c r="AC287" s="78">
        <f>IF(TAB_CORRECAO_C[[#This Row],[DIAS_CORRIDOS]]&lt;0, 0, TAB_CORRECAO_C[[#This Row],[V_FUT_C_CORC]]/TAB_CORRECAO_C[[#This Row],[VAR_DESCAP_C]])</f>
        <v>0</v>
      </c>
      <c r="AD287" s="113">
        <f>TAB_CORRECAO_U[[#This Row],[V_FUT_U_CORC-02]]</f>
        <v>48.962150640472366</v>
      </c>
      <c r="AE287" s="126">
        <f>IF(TAB_CORRECAO_C[[#This Row],[DIAS_CORRIDOS]]&lt;0, 0, TAB_CORRECAO_C[[#This Row],[V_FUT_UTEIS]]/TAB_CORRECAO_C[[#This Row],[VAR_DESCAP_C]])</f>
        <v>38.614610448298407</v>
      </c>
      <c r="AF287" s="64"/>
    </row>
    <row r="288" spans="1:32">
      <c r="A288" s="82">
        <f t="shared" si="5"/>
        <v>117</v>
      </c>
      <c r="B288" s="24">
        <f>VLOOKUP($A288, CAD_ATUALIZACAO[#Data], MATCH(B$171, CAD_ATUALIZACAO[#Headers],0), FALSE)</f>
        <v>3</v>
      </c>
      <c r="C288" s="24" t="str">
        <f>VLOOKUP($A288, CAD_ATUALIZACAO[#Data], MATCH(C$171, CAD_ATUALIZACAO[#Headers],0), FALSE)</f>
        <v xml:space="preserve">ATUALIZACAO SOBRE PRINCIPAL                       </v>
      </c>
      <c r="D288" s="36">
        <f>VLOOKUP($A288, CAD_ATUALIZACAO[#Data], MATCH(D$171, CAD_ATUALIZACAO[#Headers],0), FALSE)</f>
        <v>45908</v>
      </c>
      <c r="E288" s="48">
        <f>VLOOKUP($A288, CAD_ATUALIZACAO[#Data], MATCH(E$171, CAD_ATUALIZACAO[#Headers],0), FALSE)</f>
        <v>0</v>
      </c>
      <c r="F288" s="36">
        <f>VLOOKUP($A288, CAD_ATUALIZACAO[#Data], MATCH(F$171, CAD_ATUALIZACAO[#Headers],0), FALSE)</f>
        <v>45912</v>
      </c>
      <c r="G288" s="47">
        <f>WORKDAY(WORKDAY(TAB_CORRECAO_U[[#This Row],[DT_EVE]], -1, TAB_FERIADOS[FER_DATA]), 1, TAB_FERIADOS[FER_DATA])</f>
        <v>45908</v>
      </c>
      <c r="H288" s="75">
        <f>WORKDAY(WORKDAY(TAB_CORRECAO_U[[#This Row],[DT_LQDC_EVE]], -1, TAB_FERIADOS[FER_DATA]), 1, TAB_FERIADOS[FER_DATA])</f>
        <v>45912</v>
      </c>
      <c r="I288" s="48">
        <f>PU_EMISSAO - SUMIF(TAB_AMORTIZACAO_U[dt_eve_u], "&lt;" &amp; TAB_CORRECAO_U[[#This Row],[dt_eve_u]], TAB_AMORTIZACAO_U[V_PU_AMTC])</f>
        <v>14818.723957000024</v>
      </c>
      <c r="J288" s="48">
        <f>IFERROR(VLOOKUP(TAB_CORRECAO_U[[#This Row],[DT_EVE]], TAB_AMORTIZACAO_U[[DT_EVE]:[V_PU_AMTC]], 2, FALSE), 0)</f>
        <v>548.15941699999996</v>
      </c>
      <c r="K288" s="48">
        <f>NETWORKDAYS(DT_CALCULO_U, TAB_CORRECAO_U[[#This Row],[dt_eve_u]], TAB_FERIADOS[FER_DATA]) -1</f>
        <v>2434</v>
      </c>
      <c r="L288" s="48">
        <f>NETWORKDAYS(DT_CALCULO_U, TAB_CORRECAO_U[[#This Row],[dt_lqdc_eve_u]], TAB_FERIADOS[FER_DATA]) -1</f>
        <v>2438</v>
      </c>
      <c r="M288" s="48">
        <f>NETWORKDAYS(IF(ISTEXT(G287), DT_B_CORC, G287), TAB_CORRECAO_U[[#This Row],[dt_eve_u]], TAB_FERIADOS[FER_DATA]) -1</f>
        <v>21</v>
      </c>
      <c r="N288" s="78">
        <f>(TX_EMISSAO/100 +1)^(TAB_CORRECAO_U[[#This Row],[dias_periodo_u]]/252)</f>
        <v>1.0020598362698427</v>
      </c>
      <c r="O288" s="78">
        <f>(TIR_U/100 +1)^(TAB_CORRECAO_U[[#This Row],[Q_DIAS_U_PARC_TIR]]/252)</f>
        <v>1.2698730783775909</v>
      </c>
      <c r="P288" s="116" t="str">
        <f>"TX_CENARIO" &amp; TEXT(DT_CALCULO_C, "-AAAAMMDD") &amp; TEXT(TAB_CORRECAO_U[[#This Row],[DT_EVE]], "-AAAAMMDD")</f>
        <v>TX_CENARIO-20151228-20250908</v>
      </c>
      <c r="Q288" s="44">
        <f>IFERROR(VLOOKUP(TAB_CORRECAO_U[[#This Row],[Chave-CENARIO]],CENARIO[],2,FALSE), 0)</f>
        <v>16.3352</v>
      </c>
      <c r="R288" s="116" t="str">
        <f>"CORRECAO_CORC_U" &amp; TEXT(DT_CALCULO_C, "-AAAAMMDD") &amp; TEXT(TAB_CORRECAO_U[[#This Row],[DT_EVE]], "-AAAAMMDD")</f>
        <v>CORRECAO_CORC_U-20151228-20250908</v>
      </c>
      <c r="S288" s="44">
        <f>IFERROR(VLOOKUP(TAB_CORRECAO_U[[#This Row],[Chave-CORC]],CORRECAO_CORC_U[],2, FALSE), 0)</f>
        <v>1.0124114799999999</v>
      </c>
      <c r="T288" s="78">
        <f>MAX(0, IF(TAB_CORRECAO_U[[#This Row],[ID_T_EVE]]= 5, TAB_CORRECAO_U[[#This Row],[PU_AMORT]],TAB_CORRECAO_U[[#This Row],[V_NOML_PCPL]]) * (TAB_CORRECAO_U[[#This Row],[CORRECAO_U]] -1))</f>
        <v>183.92229601782546</v>
      </c>
      <c r="U288" s="78">
        <f>MAX(0, TAB_CORRECAO_U[[#This Row],[V_FUT_U_CORC-01]]/((((TAB_CORRECAO_U[[#This Row],[TX_CENARIO]]/100 +1)^(1/252) -1) * PC_IDXR/100 +1)^TAB_CORRECAO_U[[#This Row],[Q_DIAS_U_PARC_TIR]]))</f>
        <v>42.550549055472992</v>
      </c>
      <c r="V288" s="78">
        <f>TAB_CORRECAO_U[[#This Row],[V_FUT_U_CORC-02]]/TAB_CORRECAO_U[[#This Row],[VAR_DESCAP_U]]</f>
        <v>33.507718038905288</v>
      </c>
      <c r="W288" s="78"/>
      <c r="X288" s="101">
        <f>TAB_CORRECAO_U[[#This Row],[dt_eve_u]]- DT_CALCULO_C</f>
        <v>3542</v>
      </c>
      <c r="Y288" s="48" t="str">
        <f>"CORRECAO_CORC_C" &amp; TEXT(DT_CALCULO_C, "-AAAAMMDD") &amp; TEXT(TAB_CORRECAO_U[[#This Row],[DT_EVE]], "-AAAAMMDD")</f>
        <v>CORRECAO_CORC_C-20151228-20250908</v>
      </c>
      <c r="Z288" s="44">
        <f>IFERROR(VLOOKUP(TAB_CORRECAO_C[[#This Row],[Chave-CORC]],CORRECAO_CORC_C[],2, FALSE), 0)</f>
        <v>1</v>
      </c>
      <c r="AA28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8" s="44">
        <f>(TIR_C/100 +1)^(TAB_CORRECAO_C[[#This Row],[DIAS_CORRIDOS]]/360)</f>
        <v>1.2706303254459805</v>
      </c>
      <c r="AC288" s="78">
        <f>IF(TAB_CORRECAO_C[[#This Row],[DIAS_CORRIDOS]]&lt;0, 0, TAB_CORRECAO_C[[#This Row],[V_FUT_C_CORC]]/TAB_CORRECAO_C[[#This Row],[VAR_DESCAP_C]])</f>
        <v>0</v>
      </c>
      <c r="AD288" s="113">
        <f>TAB_CORRECAO_U[[#This Row],[V_FUT_U_CORC-02]]</f>
        <v>42.550549055472992</v>
      </c>
      <c r="AE288" s="126">
        <f>IF(TAB_CORRECAO_C[[#This Row],[DIAS_CORRIDOS]]&lt;0, 0, TAB_CORRECAO_C[[#This Row],[V_FUT_UTEIS]]/TAB_CORRECAO_C[[#This Row],[VAR_DESCAP_C]])</f>
        <v>33.487748720728909</v>
      </c>
      <c r="AF288" s="64"/>
    </row>
    <row r="289" spans="1:32">
      <c r="A289" s="82">
        <f t="shared" si="5"/>
        <v>118</v>
      </c>
      <c r="B289" s="24">
        <f>VLOOKUP($A289, CAD_ATUALIZACAO[#Data], MATCH(B$171, CAD_ATUALIZACAO[#Headers],0), FALSE)</f>
        <v>3</v>
      </c>
      <c r="C289" s="24" t="str">
        <f>VLOOKUP($A289, CAD_ATUALIZACAO[#Data], MATCH(C$171, CAD_ATUALIZACAO[#Headers],0), FALSE)</f>
        <v xml:space="preserve">ATUALIZACAO SOBRE PRINCIPAL                       </v>
      </c>
      <c r="D289" s="36">
        <f>VLOOKUP($A289, CAD_ATUALIZACAO[#Data], MATCH(D$171, CAD_ATUALIZACAO[#Headers],0), FALSE)</f>
        <v>45938</v>
      </c>
      <c r="E289" s="48">
        <f>VLOOKUP($A289, CAD_ATUALIZACAO[#Data], MATCH(E$171, CAD_ATUALIZACAO[#Headers],0), FALSE)</f>
        <v>0</v>
      </c>
      <c r="F289" s="36">
        <f>VLOOKUP($A289, CAD_ATUALIZACAO[#Data], MATCH(F$171, CAD_ATUALIZACAO[#Headers],0), FALSE)</f>
        <v>45944</v>
      </c>
      <c r="G289" s="47">
        <f>WORKDAY(WORKDAY(TAB_CORRECAO_U[[#This Row],[DT_EVE]], -1, TAB_FERIADOS[FER_DATA]), 1, TAB_FERIADOS[FER_DATA])</f>
        <v>45938</v>
      </c>
      <c r="H289" s="75">
        <f>WORKDAY(WORKDAY(TAB_CORRECAO_U[[#This Row],[DT_LQDC_EVE]], -1, TAB_FERIADOS[FER_DATA]), 1, TAB_FERIADOS[FER_DATA])</f>
        <v>45944</v>
      </c>
      <c r="I289" s="48">
        <f>PU_EMISSAO - SUMIF(TAB_AMORTIZACAO_U[dt_eve_u], "&lt;" &amp; TAB_CORRECAO_U[[#This Row],[dt_eve_u]], TAB_AMORTIZACAO_U[V_PU_AMTC])</f>
        <v>14270.564540000021</v>
      </c>
      <c r="J289" s="48">
        <f>IFERROR(VLOOKUP(TAB_CORRECAO_U[[#This Row],[DT_EVE]], TAB_AMORTIZACAO_U[[DT_EVE]:[V_PU_AMTC]], 2, FALSE), 0)</f>
        <v>540.52617299999997</v>
      </c>
      <c r="K289" s="48">
        <f>NETWORKDAYS(DT_CALCULO_U, TAB_CORRECAO_U[[#This Row],[dt_eve_u]], TAB_FERIADOS[FER_DATA]) -1</f>
        <v>2456</v>
      </c>
      <c r="L289" s="48">
        <f>NETWORKDAYS(DT_CALCULO_U, TAB_CORRECAO_U[[#This Row],[dt_lqdc_eve_u]], TAB_FERIADOS[FER_DATA]) -1</f>
        <v>2460</v>
      </c>
      <c r="M289" s="48">
        <f>NETWORKDAYS(IF(ISTEXT(G288), DT_B_CORC, G288), TAB_CORRECAO_U[[#This Row],[dt_eve_u]], TAB_FERIADOS[FER_DATA]) -1</f>
        <v>22</v>
      </c>
      <c r="N289" s="78">
        <f>(TX_EMISSAO/100 +1)^(TAB_CORRECAO_U[[#This Row],[dias_periodo_u]]/252)</f>
        <v>1.0021580294747356</v>
      </c>
      <c r="O289" s="78">
        <f>(TIR_U/100 +1)^(TAB_CORRECAO_U[[#This Row],[Q_DIAS_U_PARC_TIR]]/252)</f>
        <v>1.2726137973769509</v>
      </c>
      <c r="P289" s="116" t="str">
        <f>"TX_CENARIO" &amp; TEXT(DT_CALCULO_C, "-AAAAMMDD") &amp; TEXT(TAB_CORRECAO_U[[#This Row],[DT_EVE]], "-AAAAMMDD")</f>
        <v>TX_CENARIO-20151228-20251008</v>
      </c>
      <c r="Q289" s="44">
        <f>IFERROR(VLOOKUP(TAB_CORRECAO_U[[#This Row],[Chave-CENARIO]],CENARIO[],2,FALSE), 0)</f>
        <v>16.331099999999999</v>
      </c>
      <c r="R289" s="116" t="str">
        <f>"CORRECAO_CORC_U" &amp; TEXT(DT_CALCULO_C, "-AAAAMMDD") &amp; TEXT(TAB_CORRECAO_U[[#This Row],[DT_EVE]], "-AAAAMMDD")</f>
        <v>CORRECAO_CORC_U-20151228-20251008</v>
      </c>
      <c r="S289" s="44">
        <f>IFERROR(VLOOKUP(TAB_CORRECAO_U[[#This Row],[Chave-CORC]],CORRECAO_CORC_U[],2, FALSE), 0)</f>
        <v>1.01300634</v>
      </c>
      <c r="T289" s="78">
        <f>MAX(0, IF(TAB_CORRECAO_U[[#This Row],[ID_T_EVE]]= 5, TAB_CORRECAO_U[[#This Row],[PU_AMORT]],TAB_CORRECAO_U[[#This Row],[V_NOML_PCPL]]) * (TAB_CORRECAO_U[[#This Row],[CORRECAO_U]] -1))</f>
        <v>185.60781439918395</v>
      </c>
      <c r="U289" s="78">
        <f>MAX(0, TAB_CORRECAO_U[[#This Row],[V_FUT_U_CORC-01]]/((((TAB_CORRECAO_U[[#This Row],[TX_CENARIO]]/100 +1)^(1/252) -1) * PC_IDXR/100 +1)^TAB_CORRECAO_U[[#This Row],[Q_DIAS_U_PARC_TIR]]))</f>
        <v>42.39159673890363</v>
      </c>
      <c r="V289" s="78">
        <f>TAB_CORRECAO_U[[#This Row],[V_FUT_U_CORC-02]]/TAB_CORRECAO_U[[#This Row],[VAR_DESCAP_U]]</f>
        <v>33.310653103305263</v>
      </c>
      <c r="W289" s="78"/>
      <c r="X289" s="101">
        <f>TAB_CORRECAO_U[[#This Row],[dt_eve_u]]- DT_CALCULO_C</f>
        <v>3572</v>
      </c>
      <c r="Y289" s="48" t="str">
        <f>"CORRECAO_CORC_C" &amp; TEXT(DT_CALCULO_C, "-AAAAMMDD") &amp; TEXT(TAB_CORRECAO_U[[#This Row],[DT_EVE]], "-AAAAMMDD")</f>
        <v>CORRECAO_CORC_C-20151228-20251008</v>
      </c>
      <c r="Z289" s="44">
        <f>IFERROR(VLOOKUP(TAB_CORRECAO_C[[#This Row],[Chave-CORC]],CORRECAO_CORC_C[],2, FALSE), 0)</f>
        <v>1</v>
      </c>
      <c r="AA28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89" s="44">
        <f>(TIR_C/100 +1)^(TAB_CORRECAO_C[[#This Row],[DIAS_CORRIDOS]]/360)</f>
        <v>1.2732105753151215</v>
      </c>
      <c r="AC289" s="78">
        <f>IF(TAB_CORRECAO_C[[#This Row],[DIAS_CORRIDOS]]&lt;0, 0, TAB_CORRECAO_C[[#This Row],[V_FUT_C_CORC]]/TAB_CORRECAO_C[[#This Row],[VAR_DESCAP_C]])</f>
        <v>0</v>
      </c>
      <c r="AD289" s="113">
        <f>TAB_CORRECAO_U[[#This Row],[V_FUT_U_CORC-02]]</f>
        <v>42.39159673890363</v>
      </c>
      <c r="AE289" s="126">
        <f>IF(TAB_CORRECAO_C[[#This Row],[DIAS_CORRIDOS]]&lt;0, 0, TAB_CORRECAO_C[[#This Row],[V_FUT_UTEIS]]/TAB_CORRECAO_C[[#This Row],[VAR_DESCAP_C]])</f>
        <v>33.295039768587884</v>
      </c>
      <c r="AF289" s="64"/>
    </row>
    <row r="290" spans="1:32">
      <c r="A290" s="82">
        <f t="shared" si="5"/>
        <v>119</v>
      </c>
      <c r="B290" s="24">
        <f>VLOOKUP($A290, CAD_ATUALIZACAO[#Data], MATCH(B$171, CAD_ATUALIZACAO[#Headers],0), FALSE)</f>
        <v>3</v>
      </c>
      <c r="C290" s="24" t="str">
        <f>VLOOKUP($A290, CAD_ATUALIZACAO[#Data], MATCH(C$171, CAD_ATUALIZACAO[#Headers],0), FALSE)</f>
        <v xml:space="preserve">ATUALIZACAO SOBRE PRINCIPAL                       </v>
      </c>
      <c r="D290" s="36">
        <f>VLOOKUP($A290, CAD_ATUALIZACAO[#Data], MATCH(D$171, CAD_ATUALIZACAO[#Headers],0), FALSE)</f>
        <v>45971</v>
      </c>
      <c r="E290" s="48">
        <f>VLOOKUP($A290, CAD_ATUALIZACAO[#Data], MATCH(E$171, CAD_ATUALIZACAO[#Headers],0), FALSE)</f>
        <v>0</v>
      </c>
      <c r="F290" s="36">
        <f>VLOOKUP($A290, CAD_ATUALIZACAO[#Data], MATCH(F$171, CAD_ATUALIZACAO[#Headers],0), FALSE)</f>
        <v>45975</v>
      </c>
      <c r="G290" s="47">
        <f>WORKDAY(WORKDAY(TAB_CORRECAO_U[[#This Row],[DT_EVE]], -1, TAB_FERIADOS[FER_DATA]), 1, TAB_FERIADOS[FER_DATA])</f>
        <v>45971</v>
      </c>
      <c r="H290" s="75">
        <f>WORKDAY(WORKDAY(TAB_CORRECAO_U[[#This Row],[DT_LQDC_EVE]], -1, TAB_FERIADOS[FER_DATA]), 1, TAB_FERIADOS[FER_DATA])</f>
        <v>45975</v>
      </c>
      <c r="I290" s="48">
        <f>PU_EMISSAO - SUMIF(TAB_AMORTIZACAO_U[dt_eve_u], "&lt;" &amp; TAB_CORRECAO_U[[#This Row],[dt_eve_u]], TAB_AMORTIZACAO_U[V_PU_AMTC])</f>
        <v>13730.038367000016</v>
      </c>
      <c r="J290" s="48">
        <f>IFERROR(VLOOKUP(TAB_CORRECAO_U[[#This Row],[DT_EVE]], TAB_AMORTIZACAO_U[[DT_EVE]:[V_PU_AMTC]], 2, FALSE), 0)</f>
        <v>532.75294799999995</v>
      </c>
      <c r="K290" s="48">
        <f>NETWORKDAYS(DT_CALCULO_U, TAB_CORRECAO_U[[#This Row],[dt_eve_u]], TAB_FERIADOS[FER_DATA]) -1</f>
        <v>2479</v>
      </c>
      <c r="L290" s="48">
        <f>NETWORKDAYS(DT_CALCULO_U, TAB_CORRECAO_U[[#This Row],[dt_lqdc_eve_u]], TAB_FERIADOS[FER_DATA]) -1</f>
        <v>2483</v>
      </c>
      <c r="M290" s="48">
        <f>NETWORKDAYS(IF(ISTEXT(G289), DT_B_CORC, G289), TAB_CORRECAO_U[[#This Row],[dt_eve_u]], TAB_FERIADOS[FER_DATA]) -1</f>
        <v>23</v>
      </c>
      <c r="N290" s="78">
        <f>(TX_EMISSAO/100 +1)^(TAB_CORRECAO_U[[#This Row],[dias_periodo_u]]/252)</f>
        <v>1.0022562323017139</v>
      </c>
      <c r="O290" s="78">
        <f>(TIR_U/100 +1)^(TAB_CORRECAO_U[[#This Row],[Q_DIAS_U_PARC_TIR]]/252)</f>
        <v>1.2754854193285856</v>
      </c>
      <c r="P290" s="116" t="str">
        <f>"TX_CENARIO" &amp; TEXT(DT_CALCULO_C, "-AAAAMMDD") &amp; TEXT(TAB_CORRECAO_U[[#This Row],[DT_EVE]], "-AAAAMMDD")</f>
        <v>TX_CENARIO-20151228-20251110</v>
      </c>
      <c r="Q290" s="44">
        <f>IFERROR(VLOOKUP(TAB_CORRECAO_U[[#This Row],[Chave-CENARIO]],CENARIO[],2,FALSE), 0)</f>
        <v>16.326799999999999</v>
      </c>
      <c r="R290" s="116" t="str">
        <f>"CORRECAO_CORC_U" &amp; TEXT(DT_CALCULO_C, "-AAAAMMDD") &amp; TEXT(TAB_CORRECAO_U[[#This Row],[DT_EVE]], "-AAAAMMDD")</f>
        <v>CORRECAO_CORC_U-20151228-20251110</v>
      </c>
      <c r="S290" s="44">
        <f>IFERROR(VLOOKUP(TAB_CORRECAO_U[[#This Row],[Chave-CORC]],CORRECAO_CORC_U[],2, FALSE), 0)</f>
        <v>1.01360154</v>
      </c>
      <c r="T290" s="78">
        <f>MAX(0, IF(TAB_CORRECAO_U[[#This Row],[ID_T_EVE]]= 5, TAB_CORRECAO_U[[#This Row],[PU_AMORT]],TAB_CORRECAO_U[[#This Row],[V_NOML_PCPL]]) * (TAB_CORRECAO_U[[#This Row],[CORRECAO_U]] -1))</f>
        <v>186.7496660502857</v>
      </c>
      <c r="U290" s="78">
        <f>MAX(0, TAB_CORRECAO_U[[#This Row],[V_FUT_U_CORC-01]]/((((TAB_CORRECAO_U[[#This Row],[TX_CENARIO]]/100 +1)^(1/252) -1) * PC_IDXR/100 +1)^TAB_CORRECAO_U[[#This Row],[Q_DIAS_U_PARC_TIR]]))</f>
        <v>42.082882554113738</v>
      </c>
      <c r="V290" s="78">
        <f>TAB_CORRECAO_U[[#This Row],[V_FUT_U_CORC-02]]/TAB_CORRECAO_U[[#This Row],[VAR_DESCAP_U]]</f>
        <v>32.993621029604661</v>
      </c>
      <c r="W290" s="78"/>
      <c r="X290" s="101">
        <f>TAB_CORRECAO_U[[#This Row],[dt_eve_u]]- DT_CALCULO_C</f>
        <v>3605</v>
      </c>
      <c r="Y290" s="48" t="str">
        <f>"CORRECAO_CORC_C" &amp; TEXT(DT_CALCULO_C, "-AAAAMMDD") &amp; TEXT(TAB_CORRECAO_U[[#This Row],[DT_EVE]], "-AAAAMMDD")</f>
        <v>CORRECAO_CORC_C-20151228-20251110</v>
      </c>
      <c r="Z290" s="44">
        <f>IFERROR(VLOOKUP(TAB_CORRECAO_C[[#This Row],[Chave-CORC]],CORRECAO_CORC_C[],2, FALSE), 0)</f>
        <v>1</v>
      </c>
      <c r="AA29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0" s="44">
        <f>(TIR_C/100 +1)^(TAB_CORRECAO_C[[#This Row],[DIAS_CORRIDOS]]/360)</f>
        <v>1.2760549024047476</v>
      </c>
      <c r="AC290" s="78">
        <f>IF(TAB_CORRECAO_C[[#This Row],[DIAS_CORRIDOS]]&lt;0, 0, TAB_CORRECAO_C[[#This Row],[V_FUT_C_CORC]]/TAB_CORRECAO_C[[#This Row],[VAR_DESCAP_C]])</f>
        <v>0</v>
      </c>
      <c r="AD290" s="113">
        <f>TAB_CORRECAO_U[[#This Row],[V_FUT_U_CORC-02]]</f>
        <v>42.082882554113738</v>
      </c>
      <c r="AE290" s="126">
        <f>IF(TAB_CORRECAO_C[[#This Row],[DIAS_CORRIDOS]]&lt;0, 0, TAB_CORRECAO_C[[#This Row],[V_FUT_UTEIS]]/TAB_CORRECAO_C[[#This Row],[VAR_DESCAP_C]])</f>
        <v>32.978896499521937</v>
      </c>
      <c r="AF290" s="64"/>
    </row>
    <row r="291" spans="1:32">
      <c r="A291" s="82">
        <f t="shared" si="5"/>
        <v>120</v>
      </c>
      <c r="B291" s="24">
        <f>VLOOKUP($A291, CAD_ATUALIZACAO[#Data], MATCH(B$171, CAD_ATUALIZACAO[#Headers],0), FALSE)</f>
        <v>3</v>
      </c>
      <c r="C291" s="24" t="str">
        <f>VLOOKUP($A291, CAD_ATUALIZACAO[#Data], MATCH(C$171, CAD_ATUALIZACAO[#Headers],0), FALSE)</f>
        <v xml:space="preserve">ATUALIZACAO SOBRE PRINCIPAL                       </v>
      </c>
      <c r="D291" s="36">
        <f>VLOOKUP($A291, CAD_ATUALIZACAO[#Data], MATCH(D$171, CAD_ATUALIZACAO[#Headers],0), FALSE)</f>
        <v>45999</v>
      </c>
      <c r="E291" s="48">
        <f>VLOOKUP($A291, CAD_ATUALIZACAO[#Data], MATCH(E$171, CAD_ATUALIZACAO[#Headers],0), FALSE)</f>
        <v>0</v>
      </c>
      <c r="F291" s="36">
        <f>VLOOKUP($A291, CAD_ATUALIZACAO[#Data], MATCH(F$171, CAD_ATUALIZACAO[#Headers],0), FALSE)</f>
        <v>46003</v>
      </c>
      <c r="G291" s="47">
        <f>WORKDAY(WORKDAY(TAB_CORRECAO_U[[#This Row],[DT_EVE]], -1, TAB_FERIADOS[FER_DATA]), 1, TAB_FERIADOS[FER_DATA])</f>
        <v>45999</v>
      </c>
      <c r="H291" s="75">
        <f>WORKDAY(WORKDAY(TAB_CORRECAO_U[[#This Row],[DT_LQDC_EVE]], -1, TAB_FERIADOS[FER_DATA]), 1, TAB_FERIADOS[FER_DATA])</f>
        <v>46003</v>
      </c>
      <c r="I291" s="48">
        <f>PU_EMISSAO - SUMIF(TAB_AMORTIZACAO_U[dt_eve_u], "&lt;" &amp; TAB_CORRECAO_U[[#This Row],[dt_eve_u]], TAB_AMORTIZACAO_U[V_PU_AMTC])</f>
        <v>13197.285419000022</v>
      </c>
      <c r="J291" s="48">
        <f>IFERROR(VLOOKUP(TAB_CORRECAO_U[[#This Row],[DT_EVE]], TAB_AMORTIZACAO_U[[DT_EVE]:[V_PU_AMTC]], 2, FALSE), 0)</f>
        <v>531.32271000000003</v>
      </c>
      <c r="K291" s="48">
        <f>NETWORKDAYS(DT_CALCULO_U, TAB_CORRECAO_U[[#This Row],[dt_eve_u]], TAB_FERIADOS[FER_DATA]) -1</f>
        <v>2499</v>
      </c>
      <c r="L291" s="48">
        <f>NETWORKDAYS(DT_CALCULO_U, TAB_CORRECAO_U[[#This Row],[dt_lqdc_eve_u]], TAB_FERIADOS[FER_DATA]) -1</f>
        <v>2503</v>
      </c>
      <c r="M291" s="48">
        <f>NETWORKDAYS(IF(ISTEXT(G290), DT_B_CORC, G290), TAB_CORRECAO_U[[#This Row],[dt_eve_u]], TAB_FERIADOS[FER_DATA]) -1</f>
        <v>20</v>
      </c>
      <c r="N291" s="78">
        <f>(TX_EMISSAO/100 +1)^(TAB_CORRECAO_U[[#This Row],[dias_periodo_u]]/252)</f>
        <v>1.0019616526860928</v>
      </c>
      <c r="O291" s="78">
        <f>(TIR_U/100 +1)^(TAB_CORRECAO_U[[#This Row],[Q_DIAS_U_PARC_TIR]]/252)</f>
        <v>1.2779877484681559</v>
      </c>
      <c r="P291" s="116" t="str">
        <f>"TX_CENARIO" &amp; TEXT(DT_CALCULO_C, "-AAAAMMDD") &amp; TEXT(TAB_CORRECAO_U[[#This Row],[DT_EVE]], "-AAAAMMDD")</f>
        <v>TX_CENARIO-20151228-20251208</v>
      </c>
      <c r="Q291" s="44">
        <f>IFERROR(VLOOKUP(TAB_CORRECAO_U[[#This Row],[Chave-CENARIO]],CENARIO[],2,FALSE), 0)</f>
        <v>16.3232</v>
      </c>
      <c r="R291" s="116" t="str">
        <f>"CORRECAO_CORC_U" &amp; TEXT(DT_CALCULO_C, "-AAAAMMDD") &amp; TEXT(TAB_CORRECAO_U[[#This Row],[DT_EVE]], "-AAAAMMDD")</f>
        <v>CORRECAO_CORC_U-20151228-20251208</v>
      </c>
      <c r="S291" s="44">
        <f>IFERROR(VLOOKUP(TAB_CORRECAO_U[[#This Row],[Chave-CORC]],CORRECAO_CORC_U[],2, FALSE), 0)</f>
        <v>1.0118169800000001</v>
      </c>
      <c r="T291" s="78">
        <f>MAX(0, IF(TAB_CORRECAO_U[[#This Row],[ID_T_EVE]]= 5, TAB_CORRECAO_U[[#This Row],[PU_AMORT]],TAB_CORRECAO_U[[#This Row],[V_NOML_PCPL]]) * (TAB_CORRECAO_U[[#This Row],[CORRECAO_U]] -1))</f>
        <v>155.95205785061603</v>
      </c>
      <c r="U291" s="78">
        <f>MAX(0, TAB_CORRECAO_U[[#This Row],[V_FUT_U_CORC-01]]/((((TAB_CORRECAO_U[[#This Row],[TX_CENARIO]]/100 +1)^(1/252) -1) * PC_IDXR/100 +1)^TAB_CORRECAO_U[[#This Row],[Q_DIAS_U_PARC_TIR]]))</f>
        <v>34.734221762532655</v>
      </c>
      <c r="V291" s="78">
        <f>TAB_CORRECAO_U[[#This Row],[V_FUT_U_CORC-02]]/TAB_CORRECAO_U[[#This Row],[VAR_DESCAP_U]]</f>
        <v>27.178837828583568</v>
      </c>
      <c r="W291" s="78"/>
      <c r="X291" s="101">
        <f>TAB_CORRECAO_U[[#This Row],[dt_eve_u]]- DT_CALCULO_C</f>
        <v>3633</v>
      </c>
      <c r="Y291" s="48" t="str">
        <f>"CORRECAO_CORC_C" &amp; TEXT(DT_CALCULO_C, "-AAAAMMDD") &amp; TEXT(TAB_CORRECAO_U[[#This Row],[DT_EVE]], "-AAAAMMDD")</f>
        <v>CORRECAO_CORC_C-20151228-20251208</v>
      </c>
      <c r="Z291" s="44">
        <f>IFERROR(VLOOKUP(TAB_CORRECAO_C[[#This Row],[Chave-CORC]],CORRECAO_CORC_C[],2, FALSE), 0)</f>
        <v>1</v>
      </c>
      <c r="AA29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1" s="44">
        <f>(TIR_C/100 +1)^(TAB_CORRECAO_C[[#This Row],[DIAS_CORRIDOS]]/360)</f>
        <v>1.2784732532589593</v>
      </c>
      <c r="AC291" s="78">
        <f>IF(TAB_CORRECAO_C[[#This Row],[DIAS_CORRIDOS]]&lt;0, 0, TAB_CORRECAO_C[[#This Row],[V_FUT_C_CORC]]/TAB_CORRECAO_C[[#This Row],[VAR_DESCAP_C]])</f>
        <v>0</v>
      </c>
      <c r="AD291" s="113">
        <f>TAB_CORRECAO_U[[#This Row],[V_FUT_U_CORC-02]]</f>
        <v>34.734221762532655</v>
      </c>
      <c r="AE291" s="126">
        <f>IF(TAB_CORRECAO_C[[#This Row],[DIAS_CORRIDOS]]&lt;0, 0, TAB_CORRECAO_C[[#This Row],[V_FUT_UTEIS]]/TAB_CORRECAO_C[[#This Row],[VAR_DESCAP_C]])</f>
        <v>27.168516567704145</v>
      </c>
      <c r="AF291" s="64"/>
    </row>
    <row r="292" spans="1:32">
      <c r="A292" s="82">
        <f t="shared" si="5"/>
        <v>121</v>
      </c>
      <c r="B292" s="24">
        <f>VLOOKUP($A292, CAD_ATUALIZACAO[#Data], MATCH(B$171, CAD_ATUALIZACAO[#Headers],0), FALSE)</f>
        <v>3</v>
      </c>
      <c r="C292" s="24" t="str">
        <f>VLOOKUP($A292, CAD_ATUALIZACAO[#Data], MATCH(C$171, CAD_ATUALIZACAO[#Headers],0), FALSE)</f>
        <v xml:space="preserve">ATUALIZACAO SOBRE PRINCIPAL                       </v>
      </c>
      <c r="D292" s="36">
        <f>VLOOKUP($A292, CAD_ATUALIZACAO[#Data], MATCH(D$171, CAD_ATUALIZACAO[#Headers],0), FALSE)</f>
        <v>46031</v>
      </c>
      <c r="E292" s="48">
        <f>VLOOKUP($A292, CAD_ATUALIZACAO[#Data], MATCH(E$171, CAD_ATUALIZACAO[#Headers],0), FALSE)</f>
        <v>0</v>
      </c>
      <c r="F292" s="36">
        <f>VLOOKUP($A292, CAD_ATUALIZACAO[#Data], MATCH(F$171, CAD_ATUALIZACAO[#Headers],0), FALSE)</f>
        <v>46037</v>
      </c>
      <c r="G292" s="47">
        <f>WORKDAY(WORKDAY(TAB_CORRECAO_U[[#This Row],[DT_EVE]], -1, TAB_FERIADOS[FER_DATA]), 1, TAB_FERIADOS[FER_DATA])</f>
        <v>46031</v>
      </c>
      <c r="H292" s="75">
        <f>WORKDAY(WORKDAY(TAB_CORRECAO_U[[#This Row],[DT_LQDC_EVE]], -1, TAB_FERIADOS[FER_DATA]), 1, TAB_FERIADOS[FER_DATA])</f>
        <v>46037</v>
      </c>
      <c r="I292" s="48">
        <f>PU_EMISSAO - SUMIF(TAB_AMORTIZACAO_U[dt_eve_u], "&lt;" &amp; TAB_CORRECAO_U[[#This Row],[dt_eve_u]], TAB_AMORTIZACAO_U[V_PU_AMTC])</f>
        <v>12665.962709000029</v>
      </c>
      <c r="J292" s="48">
        <f>IFERROR(VLOOKUP(TAB_CORRECAO_U[[#This Row],[DT_EVE]], TAB_AMORTIZACAO_U[[DT_EVE]:[V_PU_AMTC]], 2, FALSE), 0)</f>
        <v>568.98037599999998</v>
      </c>
      <c r="K292" s="48">
        <f>NETWORKDAYS(DT_CALCULO_U, TAB_CORRECAO_U[[#This Row],[dt_eve_u]], TAB_FERIADOS[FER_DATA]) -1</f>
        <v>2521</v>
      </c>
      <c r="L292" s="48">
        <f>NETWORKDAYS(DT_CALCULO_U, TAB_CORRECAO_U[[#This Row],[dt_lqdc_eve_u]], TAB_FERIADOS[FER_DATA]) -1</f>
        <v>2525</v>
      </c>
      <c r="M292" s="48">
        <f>NETWORKDAYS(IF(ISTEXT(G291), DT_B_CORC, G291), TAB_CORRECAO_U[[#This Row],[dt_eve_u]], TAB_FERIADOS[FER_DATA]) -1</f>
        <v>22</v>
      </c>
      <c r="N292" s="78">
        <f>(TX_EMISSAO/100 +1)^(TAB_CORRECAO_U[[#This Row],[dias_periodo_u]]/252)</f>
        <v>1.0021580294747356</v>
      </c>
      <c r="O292" s="78">
        <f>(TIR_U/100 +1)^(TAB_CORRECAO_U[[#This Row],[Q_DIAS_U_PARC_TIR]]/252)</f>
        <v>1.2807459810528257</v>
      </c>
      <c r="P292" s="116" t="str">
        <f>"TX_CENARIO" &amp; TEXT(DT_CALCULO_C, "-AAAAMMDD") &amp; TEXT(TAB_CORRECAO_U[[#This Row],[DT_EVE]], "-AAAAMMDD")</f>
        <v>TX_CENARIO-20151228-20260109</v>
      </c>
      <c r="Q292" s="44">
        <f>IFERROR(VLOOKUP(TAB_CORRECAO_U[[#This Row],[Chave-CENARIO]],CENARIO[],2,FALSE), 0)</f>
        <v>16.321300000000001</v>
      </c>
      <c r="R292" s="116" t="str">
        <f>"CORRECAO_CORC_U" &amp; TEXT(DT_CALCULO_C, "-AAAAMMDD") &amp; TEXT(TAB_CORRECAO_U[[#This Row],[DT_EVE]], "-AAAAMMDD")</f>
        <v>CORRECAO_CORC_U-20151228-20260109</v>
      </c>
      <c r="S292" s="44">
        <f>IFERROR(VLOOKUP(TAB_CORRECAO_U[[#This Row],[Chave-CORC]],CORRECAO_CORC_U[],2, FALSE), 0)</f>
        <v>1.01314086</v>
      </c>
      <c r="T292" s="78">
        <f>MAX(0, IF(TAB_CORRECAO_U[[#This Row],[ID_T_EVE]]= 5, TAB_CORRECAO_U[[#This Row],[PU_AMORT]],TAB_CORRECAO_U[[#This Row],[V_NOML_PCPL]]) * (TAB_CORRECAO_U[[#This Row],[CORRECAO_U]] -1))</f>
        <v>166.44164272419053</v>
      </c>
      <c r="U292" s="78">
        <f>MAX(0, TAB_CORRECAO_U[[#This Row],[V_FUT_U_CORC-01]]/((((TAB_CORRECAO_U[[#This Row],[TX_CENARIO]]/100 +1)^(1/252) -1) * PC_IDXR/100 +1)^TAB_CORRECAO_U[[#This Row],[Q_DIAS_U_PARC_TIR]]))</f>
        <v>36.590366432338634</v>
      </c>
      <c r="V292" s="78">
        <f>TAB_CORRECAO_U[[#This Row],[V_FUT_U_CORC-02]]/TAB_CORRECAO_U[[#This Row],[VAR_DESCAP_U]]</f>
        <v>28.569573493613351</v>
      </c>
      <c r="W292" s="78"/>
      <c r="X292" s="101">
        <f>TAB_CORRECAO_U[[#This Row],[dt_eve_u]]- DT_CALCULO_C</f>
        <v>3665</v>
      </c>
      <c r="Y292" s="48" t="str">
        <f>"CORRECAO_CORC_C" &amp; TEXT(DT_CALCULO_C, "-AAAAMMDD") &amp; TEXT(TAB_CORRECAO_U[[#This Row],[DT_EVE]], "-AAAAMMDD")</f>
        <v>CORRECAO_CORC_C-20151228-20260109</v>
      </c>
      <c r="Z292" s="44">
        <f>IFERROR(VLOOKUP(TAB_CORRECAO_C[[#This Row],[Chave-CORC]],CORRECAO_CORC_C[],2, FALSE), 0)</f>
        <v>1</v>
      </c>
      <c r="AA29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2" s="44">
        <f>(TIR_C/100 +1)^(TAB_CORRECAO_C[[#This Row],[DIAS_CORRIDOS]]/360)</f>
        <v>1.2812426954003104</v>
      </c>
      <c r="AC292" s="78">
        <f>IF(TAB_CORRECAO_C[[#This Row],[DIAS_CORRIDOS]]&lt;0, 0, TAB_CORRECAO_C[[#This Row],[V_FUT_C_CORC]]/TAB_CORRECAO_C[[#This Row],[VAR_DESCAP_C]])</f>
        <v>0</v>
      </c>
      <c r="AD292" s="113">
        <f>TAB_CORRECAO_U[[#This Row],[V_FUT_U_CORC-02]]</f>
        <v>36.590366432338634</v>
      </c>
      <c r="AE292" s="126">
        <f>IF(TAB_CORRECAO_C[[#This Row],[DIAS_CORRIDOS]]&lt;0, 0, TAB_CORRECAO_C[[#This Row],[V_FUT_UTEIS]]/TAB_CORRECAO_C[[#This Row],[VAR_DESCAP_C]])</f>
        <v>28.558497592765882</v>
      </c>
      <c r="AF292" s="64"/>
    </row>
    <row r="293" spans="1:32">
      <c r="A293" s="82">
        <f t="shared" si="5"/>
        <v>122</v>
      </c>
      <c r="B293" s="24">
        <f>VLOOKUP($A293, CAD_ATUALIZACAO[#Data], MATCH(B$171, CAD_ATUALIZACAO[#Headers],0), FALSE)</f>
        <v>3</v>
      </c>
      <c r="C293" s="24" t="str">
        <f>VLOOKUP($A293, CAD_ATUALIZACAO[#Data], MATCH(C$171, CAD_ATUALIZACAO[#Headers],0), FALSE)</f>
        <v xml:space="preserve">ATUALIZACAO SOBRE PRINCIPAL                       </v>
      </c>
      <c r="D293" s="36">
        <f>VLOOKUP($A293, CAD_ATUALIZACAO[#Data], MATCH(D$171, CAD_ATUALIZACAO[#Headers],0), FALSE)</f>
        <v>46062</v>
      </c>
      <c r="E293" s="48">
        <f>VLOOKUP($A293, CAD_ATUALIZACAO[#Data], MATCH(E$171, CAD_ATUALIZACAO[#Headers],0), FALSE)</f>
        <v>0</v>
      </c>
      <c r="F293" s="36">
        <f>VLOOKUP($A293, CAD_ATUALIZACAO[#Data], MATCH(F$171, CAD_ATUALIZACAO[#Headers],0), FALSE)</f>
        <v>46066</v>
      </c>
      <c r="G293" s="47">
        <f>WORKDAY(WORKDAY(TAB_CORRECAO_U[[#This Row],[DT_EVE]], -1, TAB_FERIADOS[FER_DATA]), 1, TAB_FERIADOS[FER_DATA])</f>
        <v>46062</v>
      </c>
      <c r="H293" s="75">
        <f>WORKDAY(WORKDAY(TAB_CORRECAO_U[[#This Row],[DT_LQDC_EVE]], -1, TAB_FERIADOS[FER_DATA]), 1, TAB_FERIADOS[FER_DATA])</f>
        <v>46066</v>
      </c>
      <c r="I293" s="48">
        <f>PU_EMISSAO - SUMIF(TAB_AMORTIZACAO_U[dt_eve_u], "&lt;" &amp; TAB_CORRECAO_U[[#This Row],[dt_eve_u]], TAB_AMORTIZACAO_U[V_PU_AMTC])</f>
        <v>12096.982333000022</v>
      </c>
      <c r="J293" s="48">
        <f>IFERROR(VLOOKUP(TAB_CORRECAO_U[[#This Row],[DT_EVE]], TAB_AMORTIZACAO_U[[DT_EVE]:[V_PU_AMTC]], 2, FALSE), 0)</f>
        <v>564.166965</v>
      </c>
      <c r="K293" s="48">
        <f>NETWORKDAYS(DT_CALCULO_U, TAB_CORRECAO_U[[#This Row],[dt_eve_u]], TAB_FERIADOS[FER_DATA]) -1</f>
        <v>2542</v>
      </c>
      <c r="L293" s="48">
        <f>NETWORKDAYS(DT_CALCULO_U, TAB_CORRECAO_U[[#This Row],[dt_lqdc_eve_u]], TAB_FERIADOS[FER_DATA]) -1</f>
        <v>2546</v>
      </c>
      <c r="M293" s="48">
        <f>NETWORKDAYS(IF(ISTEXT(G292), DT_B_CORC, G292), TAB_CORRECAO_U[[#This Row],[dt_eve_u]], TAB_FERIADOS[FER_DATA]) -1</f>
        <v>21</v>
      </c>
      <c r="N293" s="78">
        <f>(TX_EMISSAO/100 +1)^(TAB_CORRECAO_U[[#This Row],[dias_periodo_u]]/252)</f>
        <v>1.0020598362698427</v>
      </c>
      <c r="O293" s="78">
        <f>(TIR_U/100 +1)^(TAB_CORRECAO_U[[#This Row],[Q_DIAS_U_PARC_TIR]]/252)</f>
        <v>1.2833843925007624</v>
      </c>
      <c r="P293" s="116" t="str">
        <f>"TX_CENARIO" &amp; TEXT(DT_CALCULO_C, "-AAAAMMDD") &amp; TEXT(TAB_CORRECAO_U[[#This Row],[DT_EVE]], "-AAAAMMDD")</f>
        <v>TX_CENARIO-20151228-20260209</v>
      </c>
      <c r="Q293" s="44">
        <f>IFERROR(VLOOKUP(TAB_CORRECAO_U[[#This Row],[Chave-CENARIO]],CENARIO[],2,FALSE), 0)</f>
        <v>16.322399999999998</v>
      </c>
      <c r="R293" s="116" t="str">
        <f>"CORRECAO_CORC_U" &amp; TEXT(DT_CALCULO_C, "-AAAAMMDD") &amp; TEXT(TAB_CORRECAO_U[[#This Row],[DT_EVE]], "-AAAAMMDD")</f>
        <v>CORRECAO_CORC_U-20151228-20260209</v>
      </c>
      <c r="S293" s="44">
        <f>IFERROR(VLOOKUP(TAB_CORRECAO_U[[#This Row],[Chave-CORC]],CORRECAO_CORC_U[],2, FALSE), 0)</f>
        <v>1.0129762499999999</v>
      </c>
      <c r="T293" s="78">
        <f>MAX(0, IF(TAB_CORRECAO_U[[#This Row],[ID_T_EVE]]= 5, TAB_CORRECAO_U[[#This Row],[PU_AMORT]],TAB_CORRECAO_U[[#This Row],[V_NOML_PCPL]]) * (TAB_CORRECAO_U[[#This Row],[CORRECAO_U]] -1))</f>
        <v>156.97346699859045</v>
      </c>
      <c r="U293" s="78">
        <f>MAX(0, TAB_CORRECAO_U[[#This Row],[V_FUT_U_CORC-01]]/((((TAB_CORRECAO_U[[#This Row],[TX_CENARIO]]/100 +1)^(1/252) -1) * PC_IDXR/100 +1)^TAB_CORRECAO_U[[#This Row],[Q_DIAS_U_PARC_TIR]]))</f>
        <v>34.073592003710374</v>
      </c>
      <c r="V293" s="78">
        <f>TAB_CORRECAO_U[[#This Row],[V_FUT_U_CORC-02]]/TAB_CORRECAO_U[[#This Row],[VAR_DESCAP_U]]</f>
        <v>26.54979459218422</v>
      </c>
      <c r="W293" s="78"/>
      <c r="X293" s="101">
        <f>TAB_CORRECAO_U[[#This Row],[dt_eve_u]]- DT_CALCULO_C</f>
        <v>3696</v>
      </c>
      <c r="Y293" s="48" t="str">
        <f>"CORRECAO_CORC_C" &amp; TEXT(DT_CALCULO_C, "-AAAAMMDD") &amp; TEXT(TAB_CORRECAO_U[[#This Row],[DT_EVE]], "-AAAAMMDD")</f>
        <v>CORRECAO_CORC_C-20151228-20260209</v>
      </c>
      <c r="Z293" s="44">
        <f>IFERROR(VLOOKUP(TAB_CORRECAO_C[[#This Row],[Chave-CORC]],CORRECAO_CORC_C[],2, FALSE), 0)</f>
        <v>1</v>
      </c>
      <c r="AA29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3" s="44">
        <f>(TIR_C/100 +1)^(TAB_CORRECAO_C[[#This Row],[DIAS_CORRIDOS]]/360)</f>
        <v>1.2839313132573262</v>
      </c>
      <c r="AC293" s="78">
        <f>IF(TAB_CORRECAO_C[[#This Row],[DIAS_CORRIDOS]]&lt;0, 0, TAB_CORRECAO_C[[#This Row],[V_FUT_C_CORC]]/TAB_CORRECAO_C[[#This Row],[VAR_DESCAP_C]])</f>
        <v>0</v>
      </c>
      <c r="AD293" s="113">
        <f>TAB_CORRECAO_U[[#This Row],[V_FUT_U_CORC-02]]</f>
        <v>34.073592003710374</v>
      </c>
      <c r="AE293" s="126">
        <f>IF(TAB_CORRECAO_C[[#This Row],[DIAS_CORRIDOS]]&lt;0, 0, TAB_CORRECAO_C[[#This Row],[V_FUT_UTEIS]]/TAB_CORRECAO_C[[#This Row],[VAR_DESCAP_C]])</f>
        <v>26.538485082403568</v>
      </c>
      <c r="AF293" s="64"/>
    </row>
    <row r="294" spans="1:32">
      <c r="A294" s="82">
        <f t="shared" si="5"/>
        <v>123</v>
      </c>
      <c r="B294" s="24">
        <f>VLOOKUP($A294, CAD_ATUALIZACAO[#Data], MATCH(B$171, CAD_ATUALIZACAO[#Headers],0), FALSE)</f>
        <v>3</v>
      </c>
      <c r="C294" s="24" t="str">
        <f>VLOOKUP($A294, CAD_ATUALIZACAO[#Data], MATCH(C$171, CAD_ATUALIZACAO[#Headers],0), FALSE)</f>
        <v xml:space="preserve">ATUALIZACAO SOBRE PRINCIPAL                       </v>
      </c>
      <c r="D294" s="36">
        <f>VLOOKUP($A294, CAD_ATUALIZACAO[#Data], MATCH(D$171, CAD_ATUALIZACAO[#Headers],0), FALSE)</f>
        <v>46090</v>
      </c>
      <c r="E294" s="48">
        <f>VLOOKUP($A294, CAD_ATUALIZACAO[#Data], MATCH(E$171, CAD_ATUALIZACAO[#Headers],0), FALSE)</f>
        <v>0</v>
      </c>
      <c r="F294" s="36">
        <f>VLOOKUP($A294, CAD_ATUALIZACAO[#Data], MATCH(F$171, CAD_ATUALIZACAO[#Headers],0), FALSE)</f>
        <v>46094</v>
      </c>
      <c r="G294" s="47">
        <f>WORKDAY(WORKDAY(TAB_CORRECAO_U[[#This Row],[DT_EVE]], -1, TAB_FERIADOS[FER_DATA]), 1, TAB_FERIADOS[FER_DATA])</f>
        <v>46090</v>
      </c>
      <c r="H294" s="75">
        <f>WORKDAY(WORKDAY(TAB_CORRECAO_U[[#This Row],[DT_LQDC_EVE]], -1, TAB_FERIADOS[FER_DATA]), 1, TAB_FERIADOS[FER_DATA])</f>
        <v>46094</v>
      </c>
      <c r="I294" s="48">
        <f>PU_EMISSAO - SUMIF(TAB_AMORTIZACAO_U[dt_eve_u], "&lt;" &amp; TAB_CORRECAO_U[[#This Row],[dt_eve_u]], TAB_AMORTIZACAO_U[V_PU_AMTC])</f>
        <v>11532.815368000025</v>
      </c>
      <c r="J294" s="48">
        <f>IFERROR(VLOOKUP(TAB_CORRECAO_U[[#This Row],[DT_EVE]], TAB_AMORTIZACAO_U[[DT_EVE]:[V_PU_AMTC]], 2, FALSE), 0)</f>
        <v>562.490003</v>
      </c>
      <c r="K294" s="48">
        <f>NETWORKDAYS(DT_CALCULO_U, TAB_CORRECAO_U[[#This Row],[dt_eve_u]], TAB_FERIADOS[FER_DATA]) -1</f>
        <v>2560</v>
      </c>
      <c r="L294" s="48">
        <f>NETWORKDAYS(DT_CALCULO_U, TAB_CORRECAO_U[[#This Row],[dt_lqdc_eve_u]], TAB_FERIADOS[FER_DATA]) -1</f>
        <v>2564</v>
      </c>
      <c r="M294" s="48">
        <f>NETWORKDAYS(IF(ISTEXT(G293), DT_B_CORC, G293), TAB_CORRECAO_U[[#This Row],[dt_eve_u]], TAB_FERIADOS[FER_DATA]) -1</f>
        <v>18</v>
      </c>
      <c r="N294" s="78">
        <f>(TX_EMISSAO/100 +1)^(TAB_CORRECAO_U[[#This Row],[dias_periodo_u]]/252)</f>
        <v>1.0017653143782506</v>
      </c>
      <c r="O294" s="78">
        <f>(TIR_U/100 +1)^(TAB_CORRECAO_U[[#This Row],[Q_DIAS_U_PARC_TIR]]/252)</f>
        <v>1.2856502136438364</v>
      </c>
      <c r="P294" s="116" t="str">
        <f>"TX_CENARIO" &amp; TEXT(DT_CALCULO_C, "-AAAAMMDD") &amp; TEXT(TAB_CORRECAO_U[[#This Row],[DT_EVE]], "-AAAAMMDD")</f>
        <v>TX_CENARIO-20151228-20260309</v>
      </c>
      <c r="Q294" s="44">
        <f>IFERROR(VLOOKUP(TAB_CORRECAO_U[[#This Row],[Chave-CENARIO]],CENARIO[],2,FALSE), 0)</f>
        <v>16.3233</v>
      </c>
      <c r="R294" s="116" t="str">
        <f>"CORRECAO_CORC_U" &amp; TEXT(DT_CALCULO_C, "-AAAAMMDD") &amp; TEXT(TAB_CORRECAO_U[[#This Row],[DT_EVE]], "-AAAAMMDD")</f>
        <v>CORRECAO_CORC_U-20151228-20260309</v>
      </c>
      <c r="S294" s="44">
        <f>IFERROR(VLOOKUP(TAB_CORRECAO_U[[#This Row],[Chave-CORC]],CORRECAO_CORC_U[],2, FALSE), 0)</f>
        <v>1.0111122400000001</v>
      </c>
      <c r="T294" s="78">
        <f>MAX(0, IF(TAB_CORRECAO_U[[#This Row],[ID_T_EVE]]= 5, TAB_CORRECAO_U[[#This Row],[PU_AMORT]],TAB_CORRECAO_U[[#This Row],[V_NOML_PCPL]]) * (TAB_CORRECAO_U[[#This Row],[CORRECAO_U]] -1))</f>
        <v>128.15541224490582</v>
      </c>
      <c r="U294" s="78">
        <f>MAX(0, TAB_CORRECAO_U[[#This Row],[V_FUT_U_CORC-01]]/((((TAB_CORRECAO_U[[#This Row],[TX_CENARIO]]/100 +1)^(1/252) -1) * PC_IDXR/100 +1)^TAB_CORRECAO_U[[#This Row],[Q_DIAS_U_PARC_TIR]]))</f>
        <v>27.517196960013926</v>
      </c>
      <c r="V294" s="78">
        <f>TAB_CORRECAO_U[[#This Row],[V_FUT_U_CORC-02]]/TAB_CORRECAO_U[[#This Row],[VAR_DESCAP_U]]</f>
        <v>21.403330912242211</v>
      </c>
      <c r="W294" s="78"/>
      <c r="X294" s="101">
        <f>TAB_CORRECAO_U[[#This Row],[dt_eve_u]]- DT_CALCULO_C</f>
        <v>3724</v>
      </c>
      <c r="Y294" s="48" t="str">
        <f>"CORRECAO_CORC_C" &amp; TEXT(DT_CALCULO_C, "-AAAAMMDD") &amp; TEXT(TAB_CORRECAO_U[[#This Row],[DT_EVE]], "-AAAAMMDD")</f>
        <v>CORRECAO_CORC_C-20151228-20260309</v>
      </c>
      <c r="Z294" s="44">
        <f>IFERROR(VLOOKUP(TAB_CORRECAO_C[[#This Row],[Chave-CORC]],CORRECAO_CORC_C[],2, FALSE), 0)</f>
        <v>1</v>
      </c>
      <c r="AA29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4" s="44">
        <f>(TIR_C/100 +1)^(TAB_CORRECAO_C[[#This Row],[DIAS_CORRIDOS]]/360)</f>
        <v>1.2863645913101072</v>
      </c>
      <c r="AC294" s="78">
        <f>IF(TAB_CORRECAO_C[[#This Row],[DIAS_CORRIDOS]]&lt;0, 0, TAB_CORRECAO_C[[#This Row],[V_FUT_C_CORC]]/TAB_CORRECAO_C[[#This Row],[VAR_DESCAP_C]])</f>
        <v>0</v>
      </c>
      <c r="AD294" s="113">
        <f>TAB_CORRECAO_U[[#This Row],[V_FUT_U_CORC-02]]</f>
        <v>27.517196960013926</v>
      </c>
      <c r="AE294" s="126">
        <f>IF(TAB_CORRECAO_C[[#This Row],[DIAS_CORRIDOS]]&lt;0, 0, TAB_CORRECAO_C[[#This Row],[V_FUT_UTEIS]]/TAB_CORRECAO_C[[#This Row],[VAR_DESCAP_C]])</f>
        <v>21.39144465410762</v>
      </c>
      <c r="AF294" s="64"/>
    </row>
    <row r="295" spans="1:32">
      <c r="A295" s="82">
        <f t="shared" si="5"/>
        <v>124</v>
      </c>
      <c r="B295" s="24">
        <f>VLOOKUP($A295, CAD_ATUALIZACAO[#Data], MATCH(B$171, CAD_ATUALIZACAO[#Headers],0), FALSE)</f>
        <v>3</v>
      </c>
      <c r="C295" s="24" t="str">
        <f>VLOOKUP($A295, CAD_ATUALIZACAO[#Data], MATCH(C$171, CAD_ATUALIZACAO[#Headers],0), FALSE)</f>
        <v xml:space="preserve">ATUALIZACAO SOBRE PRINCIPAL                       </v>
      </c>
      <c r="D295" s="36">
        <f>VLOOKUP($A295, CAD_ATUALIZACAO[#Data], MATCH(D$171, CAD_ATUALIZACAO[#Headers],0), FALSE)</f>
        <v>46121</v>
      </c>
      <c r="E295" s="48">
        <f>VLOOKUP($A295, CAD_ATUALIZACAO[#Data], MATCH(E$171, CAD_ATUALIZACAO[#Headers],0), FALSE)</f>
        <v>0</v>
      </c>
      <c r="F295" s="36">
        <f>VLOOKUP($A295, CAD_ATUALIZACAO[#Data], MATCH(F$171, CAD_ATUALIZACAO[#Headers],0), FALSE)</f>
        <v>46127</v>
      </c>
      <c r="G295" s="47">
        <f>WORKDAY(WORKDAY(TAB_CORRECAO_U[[#This Row],[DT_EVE]], -1, TAB_FERIADOS[FER_DATA]), 1, TAB_FERIADOS[FER_DATA])</f>
        <v>46121</v>
      </c>
      <c r="H295" s="75">
        <f>WORKDAY(WORKDAY(TAB_CORRECAO_U[[#This Row],[DT_LQDC_EVE]], -1, TAB_FERIADOS[FER_DATA]), 1, TAB_FERIADOS[FER_DATA])</f>
        <v>46127</v>
      </c>
      <c r="I295" s="48">
        <f>PU_EMISSAO - SUMIF(TAB_AMORTIZACAO_U[dt_eve_u], "&lt;" &amp; TAB_CORRECAO_U[[#This Row],[dt_eve_u]], TAB_AMORTIZACAO_U[V_PU_AMTC])</f>
        <v>10970.325365000026</v>
      </c>
      <c r="J295" s="48">
        <f>IFERROR(VLOOKUP(TAB_CORRECAO_U[[#This Row],[DT_EVE]], TAB_AMORTIZACAO_U[[DT_EVE]:[V_PU_AMTC]], 2, FALSE), 0)</f>
        <v>551.53310699999997</v>
      </c>
      <c r="K295" s="48">
        <f>NETWORKDAYS(DT_CALCULO_U, TAB_CORRECAO_U[[#This Row],[dt_eve_u]], TAB_FERIADOS[FER_DATA]) -1</f>
        <v>2582</v>
      </c>
      <c r="L295" s="48">
        <f>NETWORKDAYS(DT_CALCULO_U, TAB_CORRECAO_U[[#This Row],[dt_lqdc_eve_u]], TAB_FERIADOS[FER_DATA]) -1</f>
        <v>2586</v>
      </c>
      <c r="M295" s="48">
        <f>NETWORKDAYS(IF(ISTEXT(G294), DT_B_CORC, G294), TAB_CORRECAO_U[[#This Row],[dt_eve_u]], TAB_FERIADOS[FER_DATA]) -1</f>
        <v>22</v>
      </c>
      <c r="N295" s="78">
        <f>(TX_EMISSAO/100 +1)^(TAB_CORRECAO_U[[#This Row],[dias_periodo_u]]/252)</f>
        <v>1.0021580294747356</v>
      </c>
      <c r="O295" s="78">
        <f>(TIR_U/100 +1)^(TAB_CORRECAO_U[[#This Row],[Q_DIAS_U_PARC_TIR]]/252)</f>
        <v>1.2884249838370643</v>
      </c>
      <c r="P295" s="116" t="str">
        <f>"TX_CENARIO" &amp; TEXT(DT_CALCULO_C, "-AAAAMMDD") &amp; TEXT(TAB_CORRECAO_U[[#This Row],[DT_EVE]], "-AAAAMMDD")</f>
        <v>TX_CENARIO-20151228-20260409</v>
      </c>
      <c r="Q295" s="44">
        <f>IFERROR(VLOOKUP(TAB_CORRECAO_U[[#This Row],[Chave-CENARIO]],CENARIO[],2,FALSE), 0)</f>
        <v>16.324400000000001</v>
      </c>
      <c r="R295" s="116" t="str">
        <f>"CORRECAO_CORC_U" &amp; TEXT(DT_CALCULO_C, "-AAAAMMDD") &amp; TEXT(TAB_CORRECAO_U[[#This Row],[DT_EVE]], "-AAAAMMDD")</f>
        <v>CORRECAO_CORC_U-20151228-20260409</v>
      </c>
      <c r="S295" s="44">
        <f>IFERROR(VLOOKUP(TAB_CORRECAO_U[[#This Row],[Chave-CORC]],CORRECAO_CORC_U[],2, FALSE), 0)</f>
        <v>1.0135983500000001</v>
      </c>
      <c r="T295" s="78">
        <f>MAX(0, IF(TAB_CORRECAO_U[[#This Row],[ID_T_EVE]]= 5, TAB_CORRECAO_U[[#This Row],[PU_AMORT]],TAB_CORRECAO_U[[#This Row],[V_NOML_PCPL]]) * (TAB_CORRECAO_U[[#This Row],[CORRECAO_U]] -1))</f>
        <v>149.17832392714911</v>
      </c>
      <c r="U295" s="78">
        <f>MAX(0, TAB_CORRECAO_U[[#This Row],[V_FUT_U_CORC-01]]/((((TAB_CORRECAO_U[[#This Row],[TX_CENARIO]]/100 +1)^(1/252) -1) * PC_IDXR/100 +1)^TAB_CORRECAO_U[[#This Row],[Q_DIAS_U_PARC_TIR]]))</f>
        <v>31.608072394027236</v>
      </c>
      <c r="V295" s="78">
        <f>TAB_CORRECAO_U[[#This Row],[V_FUT_U_CORC-02]]/TAB_CORRECAO_U[[#This Row],[VAR_DESCAP_U]]</f>
        <v>24.532334276765646</v>
      </c>
      <c r="W295" s="78"/>
      <c r="X295" s="101">
        <f>TAB_CORRECAO_U[[#This Row],[dt_eve_u]]- DT_CALCULO_C</f>
        <v>3755</v>
      </c>
      <c r="Y295" s="48" t="str">
        <f>"CORRECAO_CORC_C" &amp; TEXT(DT_CALCULO_C, "-AAAAMMDD") &amp; TEXT(TAB_CORRECAO_U[[#This Row],[DT_EVE]], "-AAAAMMDD")</f>
        <v>CORRECAO_CORC_C-20151228-20260409</v>
      </c>
      <c r="Z295" s="44">
        <f>IFERROR(VLOOKUP(TAB_CORRECAO_C[[#This Row],[Chave-CORC]],CORRECAO_CORC_C[],2, FALSE), 0)</f>
        <v>1</v>
      </c>
      <c r="AA29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5" s="44">
        <f>(TIR_C/100 +1)^(TAB_CORRECAO_C[[#This Row],[DIAS_CORRIDOS]]/360)</f>
        <v>1.2890639571861002</v>
      </c>
      <c r="AC295" s="78">
        <f>IF(TAB_CORRECAO_C[[#This Row],[DIAS_CORRIDOS]]&lt;0, 0, TAB_CORRECAO_C[[#This Row],[V_FUT_C_CORC]]/TAB_CORRECAO_C[[#This Row],[VAR_DESCAP_C]])</f>
        <v>0</v>
      </c>
      <c r="AD295" s="113">
        <f>TAB_CORRECAO_U[[#This Row],[V_FUT_U_CORC-02]]</f>
        <v>31.608072394027236</v>
      </c>
      <c r="AE295" s="126">
        <f>IF(TAB_CORRECAO_C[[#This Row],[DIAS_CORRIDOS]]&lt;0, 0, TAB_CORRECAO_C[[#This Row],[V_FUT_UTEIS]]/TAB_CORRECAO_C[[#This Row],[VAR_DESCAP_C]])</f>
        <v>24.520173896588147</v>
      </c>
      <c r="AF295" s="64"/>
    </row>
    <row r="296" spans="1:32">
      <c r="A296" s="82">
        <f t="shared" si="5"/>
        <v>125</v>
      </c>
      <c r="B296" s="24">
        <f>VLOOKUP($A296, CAD_ATUALIZACAO[#Data], MATCH(B$171, CAD_ATUALIZACAO[#Headers],0), FALSE)</f>
        <v>3</v>
      </c>
      <c r="C296" s="24" t="str">
        <f>VLOOKUP($A296, CAD_ATUALIZACAO[#Data], MATCH(C$171, CAD_ATUALIZACAO[#Headers],0), FALSE)</f>
        <v xml:space="preserve">ATUALIZACAO SOBRE PRINCIPAL                       </v>
      </c>
      <c r="D296" s="36">
        <f>VLOOKUP($A296, CAD_ATUALIZACAO[#Data], MATCH(D$171, CAD_ATUALIZACAO[#Headers],0), FALSE)</f>
        <v>46153</v>
      </c>
      <c r="E296" s="48">
        <f>VLOOKUP($A296, CAD_ATUALIZACAO[#Data], MATCH(E$171, CAD_ATUALIZACAO[#Headers],0), FALSE)</f>
        <v>0</v>
      </c>
      <c r="F296" s="36">
        <f>VLOOKUP($A296, CAD_ATUALIZACAO[#Data], MATCH(F$171, CAD_ATUALIZACAO[#Headers],0), FALSE)</f>
        <v>46157</v>
      </c>
      <c r="G296" s="47">
        <f>WORKDAY(WORKDAY(TAB_CORRECAO_U[[#This Row],[DT_EVE]], -1, TAB_FERIADOS[FER_DATA]), 1, TAB_FERIADOS[FER_DATA])</f>
        <v>46153</v>
      </c>
      <c r="H296" s="75">
        <f>WORKDAY(WORKDAY(TAB_CORRECAO_U[[#This Row],[DT_LQDC_EVE]], -1, TAB_FERIADOS[FER_DATA]), 1, TAB_FERIADOS[FER_DATA])</f>
        <v>46157</v>
      </c>
      <c r="I296" s="48">
        <f>PU_EMISSAO - SUMIF(TAB_AMORTIZACAO_U[dt_eve_u], "&lt;" &amp; TAB_CORRECAO_U[[#This Row],[dt_eve_u]], TAB_AMORTIZACAO_U[V_PU_AMTC])</f>
        <v>10418.79225800003</v>
      </c>
      <c r="J296" s="48">
        <f>IFERROR(VLOOKUP(TAB_CORRECAO_U[[#This Row],[DT_EVE]], TAB_AMORTIZACAO_U[[DT_EVE]:[V_PU_AMTC]], 2, FALSE), 0)</f>
        <v>547.94512199999997</v>
      </c>
      <c r="K296" s="48">
        <f>NETWORKDAYS(DT_CALCULO_U, TAB_CORRECAO_U[[#This Row],[dt_eve_u]], TAB_FERIADOS[FER_DATA]) -1</f>
        <v>2602</v>
      </c>
      <c r="L296" s="48">
        <f>NETWORKDAYS(DT_CALCULO_U, TAB_CORRECAO_U[[#This Row],[dt_lqdc_eve_u]], TAB_FERIADOS[FER_DATA]) -1</f>
        <v>2606</v>
      </c>
      <c r="M296" s="48">
        <f>NETWORKDAYS(IF(ISTEXT(G295), DT_B_CORC, G295), TAB_CORRECAO_U[[#This Row],[dt_eve_u]], TAB_FERIADOS[FER_DATA]) -1</f>
        <v>20</v>
      </c>
      <c r="N296" s="78">
        <f>(TX_EMISSAO/100 +1)^(TAB_CORRECAO_U[[#This Row],[dias_periodo_u]]/252)</f>
        <v>1.0019616526860928</v>
      </c>
      <c r="O296" s="78">
        <f>(TIR_U/100 +1)^(TAB_CORRECAO_U[[#This Row],[Q_DIAS_U_PARC_TIR]]/252)</f>
        <v>1.2909526986445792</v>
      </c>
      <c r="P296" s="116" t="str">
        <f>"TX_CENARIO" &amp; TEXT(DT_CALCULO_C, "-AAAAMMDD") &amp; TEXT(TAB_CORRECAO_U[[#This Row],[DT_EVE]], "-AAAAMMDD")</f>
        <v>TX_CENARIO-20151228-20260511</v>
      </c>
      <c r="Q296" s="44">
        <f>IFERROR(VLOOKUP(TAB_CORRECAO_U[[#This Row],[Chave-CENARIO]],CENARIO[],2,FALSE), 0)</f>
        <v>16.325399999999998</v>
      </c>
      <c r="R296" s="116" t="str">
        <f>"CORRECAO_CORC_U" &amp; TEXT(DT_CALCULO_C, "-AAAAMMDD") &amp; TEXT(TAB_CORRECAO_U[[#This Row],[DT_EVE]], "-AAAAMMDD")</f>
        <v>CORRECAO_CORC_U-20151228-20260511</v>
      </c>
      <c r="S296" s="44">
        <f>IFERROR(VLOOKUP(TAB_CORRECAO_U[[#This Row],[Chave-CORC]],CORRECAO_CORC_U[],2, FALSE), 0)</f>
        <v>1.01235454</v>
      </c>
      <c r="T296" s="78">
        <f>MAX(0, IF(TAB_CORRECAO_U[[#This Row],[ID_T_EVE]]= 5, TAB_CORRECAO_U[[#This Row],[PU_AMORT]],TAB_CORRECAO_U[[#This Row],[V_NOML_PCPL]]) * (TAB_CORRECAO_U[[#This Row],[CORRECAO_U]] -1))</f>
        <v>128.71938570315194</v>
      </c>
      <c r="U296" s="78">
        <f>MAX(0, TAB_CORRECAO_U[[#This Row],[V_FUT_U_CORC-01]]/((((TAB_CORRECAO_U[[#This Row],[TX_CENARIO]]/100 +1)^(1/252) -1) * PC_IDXR/100 +1)^TAB_CORRECAO_U[[#This Row],[Q_DIAS_U_PARC_TIR]]))</f>
        <v>26.945464078809838</v>
      </c>
      <c r="V296" s="78">
        <f>TAB_CORRECAO_U[[#This Row],[V_FUT_U_CORC-02]]/TAB_CORRECAO_U[[#This Row],[VAR_DESCAP_U]]</f>
        <v>20.872541733791575</v>
      </c>
      <c r="W296" s="78"/>
      <c r="X296" s="101">
        <f>TAB_CORRECAO_U[[#This Row],[dt_eve_u]]- DT_CALCULO_C</f>
        <v>3787</v>
      </c>
      <c r="Y296" s="48" t="str">
        <f>"CORRECAO_CORC_C" &amp; TEXT(DT_CALCULO_C, "-AAAAMMDD") &amp; TEXT(TAB_CORRECAO_U[[#This Row],[DT_EVE]], "-AAAAMMDD")</f>
        <v>CORRECAO_CORC_C-20151228-20260511</v>
      </c>
      <c r="Z296" s="44">
        <f>IFERROR(VLOOKUP(TAB_CORRECAO_C[[#This Row],[Chave-CORC]],CORRECAO_CORC_C[],2, FALSE), 0)</f>
        <v>1</v>
      </c>
      <c r="AA29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6" s="44">
        <f>(TIR_C/100 +1)^(TAB_CORRECAO_C[[#This Row],[DIAS_CORRIDOS]]/360)</f>
        <v>1.2918563410211377</v>
      </c>
      <c r="AC296" s="78">
        <f>IF(TAB_CORRECAO_C[[#This Row],[DIAS_CORRIDOS]]&lt;0, 0, TAB_CORRECAO_C[[#This Row],[V_FUT_C_CORC]]/TAB_CORRECAO_C[[#This Row],[VAR_DESCAP_C]])</f>
        <v>0</v>
      </c>
      <c r="AD296" s="113">
        <f>TAB_CORRECAO_U[[#This Row],[V_FUT_U_CORC-02]]</f>
        <v>26.945464078809838</v>
      </c>
      <c r="AE296" s="126">
        <f>IF(TAB_CORRECAO_C[[#This Row],[DIAS_CORRIDOS]]&lt;0, 0, TAB_CORRECAO_C[[#This Row],[V_FUT_UTEIS]]/TAB_CORRECAO_C[[#This Row],[VAR_DESCAP_C]])</f>
        <v>20.85794157074076</v>
      </c>
      <c r="AF296" s="64"/>
    </row>
    <row r="297" spans="1:32">
      <c r="A297" s="82">
        <f t="shared" si="5"/>
        <v>126</v>
      </c>
      <c r="B297" s="24">
        <f>VLOOKUP($A297, CAD_ATUALIZACAO[#Data], MATCH(B$171, CAD_ATUALIZACAO[#Headers],0), FALSE)</f>
        <v>3</v>
      </c>
      <c r="C297" s="24" t="str">
        <f>VLOOKUP($A297, CAD_ATUALIZACAO[#Data], MATCH(C$171, CAD_ATUALIZACAO[#Headers],0), FALSE)</f>
        <v xml:space="preserve">ATUALIZACAO SOBRE PRINCIPAL                       </v>
      </c>
      <c r="D297" s="36">
        <f>VLOOKUP($A297, CAD_ATUALIZACAO[#Data], MATCH(D$171, CAD_ATUALIZACAO[#Headers],0), FALSE)</f>
        <v>46182</v>
      </c>
      <c r="E297" s="48">
        <f>VLOOKUP($A297, CAD_ATUALIZACAO[#Data], MATCH(E$171, CAD_ATUALIZACAO[#Headers],0), FALSE)</f>
        <v>0</v>
      </c>
      <c r="F297" s="36">
        <f>VLOOKUP($A297, CAD_ATUALIZACAO[#Data], MATCH(F$171, CAD_ATUALIZACAO[#Headers],0), FALSE)</f>
        <v>46188</v>
      </c>
      <c r="G297" s="47">
        <f>WORKDAY(WORKDAY(TAB_CORRECAO_U[[#This Row],[DT_EVE]], -1, TAB_FERIADOS[FER_DATA]), 1, TAB_FERIADOS[FER_DATA])</f>
        <v>46182</v>
      </c>
      <c r="H297" s="75">
        <f>WORKDAY(WORKDAY(TAB_CORRECAO_U[[#This Row],[DT_LQDC_EVE]], -1, TAB_FERIADOS[FER_DATA]), 1, TAB_FERIADOS[FER_DATA])</f>
        <v>46188</v>
      </c>
      <c r="I297" s="48">
        <f>PU_EMISSAO - SUMIF(TAB_AMORTIZACAO_U[dt_eve_u], "&lt;" &amp; TAB_CORRECAO_U[[#This Row],[dt_eve_u]], TAB_AMORTIZACAO_U[V_PU_AMTC])</f>
        <v>9870.8471360000258</v>
      </c>
      <c r="J297" s="48">
        <f>IFERROR(VLOOKUP(TAB_CORRECAO_U[[#This Row],[DT_EVE]], TAB_AMORTIZACAO_U[[DT_EVE]:[V_PU_AMTC]], 2, FALSE), 0)</f>
        <v>542.40305000000001</v>
      </c>
      <c r="K297" s="48">
        <f>NETWORKDAYS(DT_CALCULO_U, TAB_CORRECAO_U[[#This Row],[dt_eve_u]], TAB_FERIADOS[FER_DATA]) -1</f>
        <v>2622</v>
      </c>
      <c r="L297" s="48">
        <f>NETWORKDAYS(DT_CALCULO_U, TAB_CORRECAO_U[[#This Row],[dt_lqdc_eve_u]], TAB_FERIADOS[FER_DATA]) -1</f>
        <v>2626</v>
      </c>
      <c r="M297" s="48">
        <f>NETWORKDAYS(IF(ISTEXT(G296), DT_B_CORC, G296), TAB_CORRECAO_U[[#This Row],[dt_eve_u]], TAB_FERIADOS[FER_DATA]) -1</f>
        <v>20</v>
      </c>
      <c r="N297" s="78">
        <f>(TX_EMISSAO/100 +1)^(TAB_CORRECAO_U[[#This Row],[dias_periodo_u]]/252)</f>
        <v>1.0019616526860928</v>
      </c>
      <c r="O297" s="78">
        <f>(TIR_U/100 +1)^(TAB_CORRECAO_U[[#This Row],[Q_DIAS_U_PARC_TIR]]/252)</f>
        <v>1.2934853724851989</v>
      </c>
      <c r="P297" s="116" t="str">
        <f>"TX_CENARIO" &amp; TEXT(DT_CALCULO_C, "-AAAAMMDD") &amp; TEXT(TAB_CORRECAO_U[[#This Row],[DT_EVE]], "-AAAAMMDD")</f>
        <v>TX_CENARIO-20151228-20260609</v>
      </c>
      <c r="Q297" s="44">
        <f>IFERROR(VLOOKUP(TAB_CORRECAO_U[[#This Row],[Chave-CENARIO]],CENARIO[],2,FALSE), 0)</f>
        <v>16.3263</v>
      </c>
      <c r="R297" s="116" t="str">
        <f>"CORRECAO_CORC_U" &amp; TEXT(DT_CALCULO_C, "-AAAAMMDD") &amp; TEXT(TAB_CORRECAO_U[[#This Row],[DT_EVE]], "-AAAAMMDD")</f>
        <v>CORRECAO_CORC_U-20151228-20260609</v>
      </c>
      <c r="S297" s="44">
        <f>IFERROR(VLOOKUP(TAB_CORRECAO_U[[#This Row],[Chave-CORC]],CORRECAO_CORC_U[],2, FALSE), 0)</f>
        <v>1.01235454</v>
      </c>
      <c r="T297" s="78">
        <f>MAX(0, IF(TAB_CORRECAO_U[[#This Row],[ID_T_EVE]]= 5, TAB_CORRECAO_U[[#This Row],[PU_AMORT]],TAB_CORRECAO_U[[#This Row],[V_NOML_PCPL]]) * (TAB_CORRECAO_U[[#This Row],[CORRECAO_U]] -1))</f>
        <v>121.949775775598</v>
      </c>
      <c r="U297" s="78">
        <f>MAX(0, TAB_CORRECAO_U[[#This Row],[V_FUT_U_CORC-01]]/((((TAB_CORRECAO_U[[#This Row],[TX_CENARIO]]/100 +1)^(1/252) -1) * PC_IDXR/100 +1)^TAB_CORRECAO_U[[#This Row],[Q_DIAS_U_PARC_TIR]]))</f>
        <v>25.221762681105357</v>
      </c>
      <c r="V297" s="78">
        <f>TAB_CORRECAO_U[[#This Row],[V_FUT_U_CORC-02]]/TAB_CORRECAO_U[[#This Row],[VAR_DESCAP_U]]</f>
        <v>19.499070664128414</v>
      </c>
      <c r="W297" s="78"/>
      <c r="X297" s="101">
        <f>TAB_CORRECAO_U[[#This Row],[dt_eve_u]]- DT_CALCULO_C</f>
        <v>3816</v>
      </c>
      <c r="Y297" s="48" t="str">
        <f>"CORRECAO_CORC_C" &amp; TEXT(DT_CALCULO_C, "-AAAAMMDD") &amp; TEXT(TAB_CORRECAO_U[[#This Row],[DT_EVE]], "-AAAAMMDD")</f>
        <v>CORRECAO_CORC_C-20151228-20260609</v>
      </c>
      <c r="Z297" s="44">
        <f>IFERROR(VLOOKUP(TAB_CORRECAO_C[[#This Row],[Chave-CORC]],CORRECAO_CORC_C[],2, FALSE), 0)</f>
        <v>1</v>
      </c>
      <c r="AA29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7" s="44">
        <f>(TIR_C/100 +1)^(TAB_CORRECAO_C[[#This Row],[DIAS_CORRIDOS]]/360)</f>
        <v>1.2943921633659778</v>
      </c>
      <c r="AC297" s="78">
        <f>IF(TAB_CORRECAO_C[[#This Row],[DIAS_CORRIDOS]]&lt;0, 0, TAB_CORRECAO_C[[#This Row],[V_FUT_C_CORC]]/TAB_CORRECAO_C[[#This Row],[VAR_DESCAP_C]])</f>
        <v>0</v>
      </c>
      <c r="AD297" s="113">
        <f>TAB_CORRECAO_U[[#This Row],[V_FUT_U_CORC-02]]</f>
        <v>25.221762681105357</v>
      </c>
      <c r="AE297" s="126">
        <f>IF(TAB_CORRECAO_C[[#This Row],[DIAS_CORRIDOS]]&lt;0, 0, TAB_CORRECAO_C[[#This Row],[V_FUT_UTEIS]]/TAB_CORRECAO_C[[#This Row],[VAR_DESCAP_C]])</f>
        <v>19.485410523127626</v>
      </c>
      <c r="AF297" s="64"/>
    </row>
    <row r="298" spans="1:32">
      <c r="A298" s="82">
        <f t="shared" si="5"/>
        <v>127</v>
      </c>
      <c r="B298" s="24">
        <f>VLOOKUP($A298, CAD_ATUALIZACAO[#Data], MATCH(B$171, CAD_ATUALIZACAO[#Headers],0), FALSE)</f>
        <v>3</v>
      </c>
      <c r="C298" s="24" t="str">
        <f>VLOOKUP($A298, CAD_ATUALIZACAO[#Data], MATCH(C$171, CAD_ATUALIZACAO[#Headers],0), FALSE)</f>
        <v xml:space="preserve">ATUALIZACAO SOBRE PRINCIPAL                       </v>
      </c>
      <c r="D298" s="36">
        <f>VLOOKUP($A298, CAD_ATUALIZACAO[#Data], MATCH(D$171, CAD_ATUALIZACAO[#Headers],0), FALSE)</f>
        <v>46211</v>
      </c>
      <c r="E298" s="48">
        <f>VLOOKUP($A298, CAD_ATUALIZACAO[#Data], MATCH(E$171, CAD_ATUALIZACAO[#Headers],0), FALSE)</f>
        <v>0</v>
      </c>
      <c r="F298" s="36">
        <f>VLOOKUP($A298, CAD_ATUALIZACAO[#Data], MATCH(F$171, CAD_ATUALIZACAO[#Headers],0), FALSE)</f>
        <v>46217</v>
      </c>
      <c r="G298" s="47">
        <f>WORKDAY(WORKDAY(TAB_CORRECAO_U[[#This Row],[DT_EVE]], -1, TAB_FERIADOS[FER_DATA]), 1, TAB_FERIADOS[FER_DATA])</f>
        <v>46211</v>
      </c>
      <c r="H298" s="75">
        <f>WORKDAY(WORKDAY(TAB_CORRECAO_U[[#This Row],[DT_LQDC_EVE]], -1, TAB_FERIADOS[FER_DATA]), 1, TAB_FERIADOS[FER_DATA])</f>
        <v>46217</v>
      </c>
      <c r="I298" s="48">
        <f>PU_EMISSAO - SUMIF(TAB_AMORTIZACAO_U[dt_eve_u], "&lt;" &amp; TAB_CORRECAO_U[[#This Row],[dt_eve_u]], TAB_AMORTIZACAO_U[V_PU_AMTC])</f>
        <v>9328.4440860000323</v>
      </c>
      <c r="J298" s="48">
        <f>IFERROR(VLOOKUP(TAB_CORRECAO_U[[#This Row],[DT_EVE]], TAB_AMORTIZACAO_U[[DT_EVE]:[V_PU_AMTC]], 2, FALSE), 0)</f>
        <v>535.75120000000004</v>
      </c>
      <c r="K298" s="48">
        <f>NETWORKDAYS(DT_CALCULO_U, TAB_CORRECAO_U[[#This Row],[dt_eve_u]], TAB_FERIADOS[FER_DATA]) -1</f>
        <v>2643</v>
      </c>
      <c r="L298" s="48">
        <f>NETWORKDAYS(DT_CALCULO_U, TAB_CORRECAO_U[[#This Row],[dt_lqdc_eve_u]], TAB_FERIADOS[FER_DATA]) -1</f>
        <v>2647</v>
      </c>
      <c r="M298" s="48">
        <f>NETWORKDAYS(IF(ISTEXT(G297), DT_B_CORC, G297), TAB_CORRECAO_U[[#This Row],[dt_eve_u]], TAB_FERIADOS[FER_DATA]) -1</f>
        <v>21</v>
      </c>
      <c r="N298" s="78">
        <f>(TX_EMISSAO/100 +1)^(TAB_CORRECAO_U[[#This Row],[dias_periodo_u]]/252)</f>
        <v>1.0020598362698427</v>
      </c>
      <c r="O298" s="78">
        <f>(TIR_U/100 +1)^(TAB_CORRECAO_U[[#This Row],[Q_DIAS_U_PARC_TIR]]/252)</f>
        <v>1.2961500278227847</v>
      </c>
      <c r="P298" s="116" t="str">
        <f>"TX_CENARIO" &amp; TEXT(DT_CALCULO_C, "-AAAAMMDD") &amp; TEXT(TAB_CORRECAO_U[[#This Row],[DT_EVE]], "-AAAAMMDD")</f>
        <v>TX_CENARIO-20151228-20260708</v>
      </c>
      <c r="Q298" s="44">
        <f>IFERROR(VLOOKUP(TAB_CORRECAO_U[[#This Row],[Chave-CENARIO]],CENARIO[],2,FALSE), 0)</f>
        <v>16.327300000000001</v>
      </c>
      <c r="R298" s="116" t="str">
        <f>"CORRECAO_CORC_U" &amp; TEXT(DT_CALCULO_C, "-AAAAMMDD") &amp; TEXT(TAB_CORRECAO_U[[#This Row],[DT_EVE]], "-AAAAMMDD")</f>
        <v>CORRECAO_CORC_U-20151228-20260708</v>
      </c>
      <c r="S298" s="44">
        <f>IFERROR(VLOOKUP(TAB_CORRECAO_U[[#This Row],[Chave-CORC]],CORRECAO_CORC_U[],2, FALSE), 0)</f>
        <v>1.0129762499999999</v>
      </c>
      <c r="T298" s="78">
        <f>MAX(0, IF(TAB_CORRECAO_U[[#This Row],[ID_T_EVE]]= 5, TAB_CORRECAO_U[[#This Row],[PU_AMORT]],TAB_CORRECAO_U[[#This Row],[V_NOML_PCPL]]) * (TAB_CORRECAO_U[[#This Row],[CORRECAO_U]] -1))</f>
        <v>121.04822257095709</v>
      </c>
      <c r="U298" s="78">
        <f>MAX(0, TAB_CORRECAO_U[[#This Row],[V_FUT_U_CORC-01]]/((((TAB_CORRECAO_U[[#This Row],[TX_CENARIO]]/100 +1)^(1/252) -1) * PC_IDXR/100 +1)^TAB_CORRECAO_U[[#This Row],[Q_DIAS_U_PARC_TIR]]))</f>
        <v>24.719544881217129</v>
      </c>
      <c r="V298" s="78">
        <f>TAB_CORRECAO_U[[#This Row],[V_FUT_U_CORC-02]]/TAB_CORRECAO_U[[#This Row],[VAR_DESCAP_U]]</f>
        <v>19.071515141453126</v>
      </c>
      <c r="W298" s="78"/>
      <c r="X298" s="101">
        <f>TAB_CORRECAO_U[[#This Row],[dt_eve_u]]- DT_CALCULO_C</f>
        <v>3845</v>
      </c>
      <c r="Y298" s="48" t="str">
        <f>"CORRECAO_CORC_C" &amp; TEXT(DT_CALCULO_C, "-AAAAMMDD") &amp; TEXT(TAB_CORRECAO_U[[#This Row],[DT_EVE]], "-AAAAMMDD")</f>
        <v>CORRECAO_CORC_C-20151228-20260708</v>
      </c>
      <c r="Z298" s="44">
        <f>IFERROR(VLOOKUP(TAB_CORRECAO_C[[#This Row],[Chave-CORC]],CORRECAO_CORC_C[],2, FALSE), 0)</f>
        <v>1</v>
      </c>
      <c r="AA29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8" s="44">
        <f>(TIR_C/100 +1)^(TAB_CORRECAO_C[[#This Row],[DIAS_CORRIDOS]]/360)</f>
        <v>1.2969329633501734</v>
      </c>
      <c r="AC298" s="78">
        <f>IF(TAB_CORRECAO_C[[#This Row],[DIAS_CORRIDOS]]&lt;0, 0, TAB_CORRECAO_C[[#This Row],[V_FUT_C_CORC]]/TAB_CORRECAO_C[[#This Row],[VAR_DESCAP_C]])</f>
        <v>0</v>
      </c>
      <c r="AD298" s="113">
        <f>TAB_CORRECAO_U[[#This Row],[V_FUT_U_CORC-02]]</f>
        <v>24.719544881217129</v>
      </c>
      <c r="AE298" s="126">
        <f>IF(TAB_CORRECAO_C[[#This Row],[DIAS_CORRIDOS]]&lt;0, 0, TAB_CORRECAO_C[[#This Row],[V_FUT_UTEIS]]/TAB_CORRECAO_C[[#This Row],[VAR_DESCAP_C]])</f>
        <v>19.060002004546803</v>
      </c>
      <c r="AF298" s="64"/>
    </row>
    <row r="299" spans="1:32">
      <c r="A299" s="82">
        <f t="shared" si="5"/>
        <v>128</v>
      </c>
      <c r="B299" s="24">
        <f>VLOOKUP($A299, CAD_ATUALIZACAO[#Data], MATCH(B$171, CAD_ATUALIZACAO[#Headers],0), FALSE)</f>
        <v>3</v>
      </c>
      <c r="C299" s="24" t="str">
        <f>VLOOKUP($A299, CAD_ATUALIZACAO[#Data], MATCH(C$171, CAD_ATUALIZACAO[#Headers],0), FALSE)</f>
        <v xml:space="preserve">ATUALIZACAO SOBRE PRINCIPAL                       </v>
      </c>
      <c r="D299" s="36">
        <f>VLOOKUP($A299, CAD_ATUALIZACAO[#Data], MATCH(D$171, CAD_ATUALIZACAO[#Headers],0), FALSE)</f>
        <v>46244</v>
      </c>
      <c r="E299" s="48">
        <f>VLOOKUP($A299, CAD_ATUALIZACAO[#Data], MATCH(E$171, CAD_ATUALIZACAO[#Headers],0), FALSE)</f>
        <v>0</v>
      </c>
      <c r="F299" s="36">
        <f>VLOOKUP($A299, CAD_ATUALIZACAO[#Data], MATCH(F$171, CAD_ATUALIZACAO[#Headers],0), FALSE)</f>
        <v>46248</v>
      </c>
      <c r="G299" s="47">
        <f>WORKDAY(WORKDAY(TAB_CORRECAO_U[[#This Row],[DT_EVE]], -1, TAB_FERIADOS[FER_DATA]), 1, TAB_FERIADOS[FER_DATA])</f>
        <v>46244</v>
      </c>
      <c r="H299" s="75">
        <f>WORKDAY(WORKDAY(TAB_CORRECAO_U[[#This Row],[DT_LQDC_EVE]], -1, TAB_FERIADOS[FER_DATA]), 1, TAB_FERIADOS[FER_DATA])</f>
        <v>46248</v>
      </c>
      <c r="I299" s="48">
        <f>PU_EMISSAO - SUMIF(TAB_AMORTIZACAO_U[dt_eve_u], "&lt;" &amp; TAB_CORRECAO_U[[#This Row],[dt_eve_u]], TAB_AMORTIZACAO_U[V_PU_AMTC])</f>
        <v>8792.6928860000335</v>
      </c>
      <c r="J299" s="48">
        <f>IFERROR(VLOOKUP(TAB_CORRECAO_U[[#This Row],[DT_EVE]], TAB_AMORTIZACAO_U[[DT_EVE]:[V_PU_AMTC]], 2, FALSE), 0)</f>
        <v>527.75501199999997</v>
      </c>
      <c r="K299" s="48">
        <f>NETWORKDAYS(DT_CALCULO_U, TAB_CORRECAO_U[[#This Row],[dt_eve_u]], TAB_FERIADOS[FER_DATA]) -1</f>
        <v>2666</v>
      </c>
      <c r="L299" s="48">
        <f>NETWORKDAYS(DT_CALCULO_U, TAB_CORRECAO_U[[#This Row],[dt_lqdc_eve_u]], TAB_FERIADOS[FER_DATA]) -1</f>
        <v>2670</v>
      </c>
      <c r="M299" s="48">
        <f>NETWORKDAYS(IF(ISTEXT(G298), DT_B_CORC, G298), TAB_CORRECAO_U[[#This Row],[dt_eve_u]], TAB_FERIADOS[FER_DATA]) -1</f>
        <v>23</v>
      </c>
      <c r="N299" s="78">
        <f>(TX_EMISSAO/100 +1)^(TAB_CORRECAO_U[[#This Row],[dias_periodo_u]]/252)</f>
        <v>1.0022562323017139</v>
      </c>
      <c r="O299" s="78">
        <f>(TIR_U/100 +1)^(TAB_CORRECAO_U[[#This Row],[Q_DIAS_U_PARC_TIR]]/252)</f>
        <v>1.2990747587035745</v>
      </c>
      <c r="P299" s="116" t="str">
        <f>"TX_CENARIO" &amp; TEXT(DT_CALCULO_C, "-AAAAMMDD") &amp; TEXT(TAB_CORRECAO_U[[#This Row],[DT_EVE]], "-AAAAMMDD")</f>
        <v>TX_CENARIO-20151228-20260810</v>
      </c>
      <c r="Q299" s="44">
        <f>IFERROR(VLOOKUP(TAB_CORRECAO_U[[#This Row],[Chave-CENARIO]],CENARIO[],2,FALSE), 0)</f>
        <v>16.328399999999998</v>
      </c>
      <c r="R299" s="116" t="str">
        <f>"CORRECAO_CORC_U" &amp; TEXT(DT_CALCULO_C, "-AAAAMMDD") &amp; TEXT(TAB_CORRECAO_U[[#This Row],[DT_EVE]], "-AAAAMMDD")</f>
        <v>CORRECAO_CORC_U-20151228-20260810</v>
      </c>
      <c r="S299" s="44">
        <f>IFERROR(VLOOKUP(TAB_CORRECAO_U[[#This Row],[Chave-CORC]],CORRECAO_CORC_U[],2, FALSE), 0)</f>
        <v>1.0142208399999999</v>
      </c>
      <c r="T299" s="78">
        <f>MAX(0, IF(TAB_CORRECAO_U[[#This Row],[ID_T_EVE]]= 5, TAB_CORRECAO_U[[#This Row],[PU_AMORT]],TAB_CORRECAO_U[[#This Row],[V_NOML_PCPL]]) * (TAB_CORRECAO_U[[#This Row],[CORRECAO_U]] -1))</f>
        <v>125.03947870094385</v>
      </c>
      <c r="U299" s="78">
        <f>MAX(0, TAB_CORRECAO_U[[#This Row],[V_FUT_U_CORC-01]]/((((TAB_CORRECAO_U[[#This Row],[TX_CENARIO]]/100 +1)^(1/252) -1) * PC_IDXR/100 +1)^TAB_CORRECAO_U[[#This Row],[Q_DIAS_U_PARC_TIR]]))</f>
        <v>25.182041950752652</v>
      </c>
      <c r="V299" s="78">
        <f>TAB_CORRECAO_U[[#This Row],[V_FUT_U_CORC-02]]/TAB_CORRECAO_U[[#This Row],[VAR_DESCAP_U]]</f>
        <v>19.384597985633512</v>
      </c>
      <c r="W299" s="78"/>
      <c r="X299" s="101">
        <f>TAB_CORRECAO_U[[#This Row],[dt_eve_u]]- DT_CALCULO_C</f>
        <v>3878</v>
      </c>
      <c r="Y299" s="48" t="str">
        <f>"CORRECAO_CORC_C" &amp; TEXT(DT_CALCULO_C, "-AAAAMMDD") &amp; TEXT(TAB_CORRECAO_U[[#This Row],[DT_EVE]], "-AAAAMMDD")</f>
        <v>CORRECAO_CORC_C-20151228-20260810</v>
      </c>
      <c r="Z299" s="44">
        <f>IFERROR(VLOOKUP(TAB_CORRECAO_C[[#This Row],[Chave-CORC]],CORRECAO_CORC_C[],2, FALSE), 0)</f>
        <v>1</v>
      </c>
      <c r="AA29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299" s="44">
        <f>(TIR_C/100 +1)^(TAB_CORRECAO_C[[#This Row],[DIAS_CORRIDOS]]/360)</f>
        <v>1.2998302857826178</v>
      </c>
      <c r="AC299" s="78">
        <f>IF(TAB_CORRECAO_C[[#This Row],[DIAS_CORRIDOS]]&lt;0, 0, TAB_CORRECAO_C[[#This Row],[V_FUT_C_CORC]]/TAB_CORRECAO_C[[#This Row],[VAR_DESCAP_C]])</f>
        <v>0</v>
      </c>
      <c r="AD299" s="113">
        <f>TAB_CORRECAO_U[[#This Row],[V_FUT_U_CORC-02]]</f>
        <v>25.182041950752652</v>
      </c>
      <c r="AE299" s="126">
        <f>IF(TAB_CORRECAO_C[[#This Row],[DIAS_CORRIDOS]]&lt;0, 0, TAB_CORRECAO_C[[#This Row],[V_FUT_UTEIS]]/TAB_CORRECAO_C[[#This Row],[VAR_DESCAP_C]])</f>
        <v>19.373330677235867</v>
      </c>
      <c r="AF299" s="64"/>
    </row>
    <row r="300" spans="1:32">
      <c r="A300" s="82">
        <f t="shared" si="5"/>
        <v>129</v>
      </c>
      <c r="B300" s="24">
        <f>VLOOKUP($A300, CAD_ATUALIZACAO[#Data], MATCH(B$171, CAD_ATUALIZACAO[#Headers],0), FALSE)</f>
        <v>3</v>
      </c>
      <c r="C300" s="24" t="str">
        <f>VLOOKUP($A300, CAD_ATUALIZACAO[#Data], MATCH(C$171, CAD_ATUALIZACAO[#Headers],0), FALSE)</f>
        <v xml:space="preserve">ATUALIZACAO SOBRE PRINCIPAL                       </v>
      </c>
      <c r="D300" s="36">
        <f>VLOOKUP($A300, CAD_ATUALIZACAO[#Data], MATCH(D$171, CAD_ATUALIZACAO[#Headers],0), FALSE)</f>
        <v>46274</v>
      </c>
      <c r="E300" s="48">
        <f>VLOOKUP($A300, CAD_ATUALIZACAO[#Data], MATCH(E$171, CAD_ATUALIZACAO[#Headers],0), FALSE)</f>
        <v>0</v>
      </c>
      <c r="F300" s="36">
        <f>VLOOKUP($A300, CAD_ATUALIZACAO[#Data], MATCH(F$171, CAD_ATUALIZACAO[#Headers],0), FALSE)</f>
        <v>46280</v>
      </c>
      <c r="G300" s="47">
        <f>WORKDAY(WORKDAY(TAB_CORRECAO_U[[#This Row],[DT_EVE]], -1, TAB_FERIADOS[FER_DATA]), 1, TAB_FERIADOS[FER_DATA])</f>
        <v>46274</v>
      </c>
      <c r="H300" s="75">
        <f>WORKDAY(WORKDAY(TAB_CORRECAO_U[[#This Row],[DT_LQDC_EVE]], -1, TAB_FERIADOS[FER_DATA]), 1, TAB_FERIADOS[FER_DATA])</f>
        <v>46280</v>
      </c>
      <c r="I300" s="48">
        <f>PU_EMISSAO - SUMIF(TAB_AMORTIZACAO_U[dt_eve_u], "&lt;" &amp; TAB_CORRECAO_U[[#This Row],[dt_eve_u]], TAB_AMORTIZACAO_U[V_PU_AMTC])</f>
        <v>8264.9378740000393</v>
      </c>
      <c r="J300" s="48">
        <f>IFERROR(VLOOKUP(TAB_CORRECAO_U[[#This Row],[DT_EVE]], TAB_AMORTIZACAO_U[[DT_EVE]:[V_PU_AMTC]], 2, FALSE), 0)</f>
        <v>523.91441099999997</v>
      </c>
      <c r="K300" s="48">
        <f>NETWORKDAYS(DT_CALCULO_U, TAB_CORRECAO_U[[#This Row],[dt_eve_u]], TAB_FERIADOS[FER_DATA]) -1</f>
        <v>2687</v>
      </c>
      <c r="L300" s="48">
        <f>NETWORKDAYS(DT_CALCULO_U, TAB_CORRECAO_U[[#This Row],[dt_lqdc_eve_u]], TAB_FERIADOS[FER_DATA]) -1</f>
        <v>2691</v>
      </c>
      <c r="M300" s="48">
        <f>NETWORKDAYS(IF(ISTEXT(G299), DT_B_CORC, G299), TAB_CORRECAO_U[[#This Row],[dt_eve_u]], TAB_FERIADOS[FER_DATA]) -1</f>
        <v>21</v>
      </c>
      <c r="N300" s="78">
        <f>(TX_EMISSAO/100 +1)^(TAB_CORRECAO_U[[#This Row],[dias_periodo_u]]/252)</f>
        <v>1.0020598362698427</v>
      </c>
      <c r="O300" s="78">
        <f>(TIR_U/100 +1)^(TAB_CORRECAO_U[[#This Row],[Q_DIAS_U_PARC_TIR]]/252)</f>
        <v>1.3017509285028908</v>
      </c>
      <c r="P300" s="116" t="str">
        <f>"TX_CENARIO" &amp; TEXT(DT_CALCULO_C, "-AAAAMMDD") &amp; TEXT(TAB_CORRECAO_U[[#This Row],[DT_EVE]], "-AAAAMMDD")</f>
        <v>TX_CENARIO-20151228-20260909</v>
      </c>
      <c r="Q300" s="44">
        <f>IFERROR(VLOOKUP(TAB_CORRECAO_U[[#This Row],[Chave-CENARIO]],CENARIO[],2,FALSE), 0)</f>
        <v>16.3293</v>
      </c>
      <c r="R300" s="116" t="str">
        <f>"CORRECAO_CORC_U" &amp; TEXT(DT_CALCULO_C, "-AAAAMMDD") &amp; TEXT(TAB_CORRECAO_U[[#This Row],[DT_EVE]], "-AAAAMMDD")</f>
        <v>CORRECAO_CORC_U-20151228-20260909</v>
      </c>
      <c r="S300" s="44">
        <f>IFERROR(VLOOKUP(TAB_CORRECAO_U[[#This Row],[Chave-CORC]],CORRECAO_CORC_U[],2, FALSE), 0)</f>
        <v>1.0129762499999999</v>
      </c>
      <c r="T300" s="78">
        <f>MAX(0, IF(TAB_CORRECAO_U[[#This Row],[ID_T_EVE]]= 5, TAB_CORRECAO_U[[#This Row],[PU_AMORT]],TAB_CORRECAO_U[[#This Row],[V_NOML_PCPL]]) * (TAB_CORRECAO_U[[#This Row],[CORRECAO_U]] -1))</f>
        <v>107.24790008749228</v>
      </c>
      <c r="U300" s="78">
        <f>MAX(0, TAB_CORRECAO_U[[#This Row],[V_FUT_U_CORC-01]]/((((TAB_CORRECAO_U[[#This Row],[TX_CENARIO]]/100 +1)^(1/252) -1) * PC_IDXR/100 +1)^TAB_CORRECAO_U[[#This Row],[Q_DIAS_U_PARC_TIR]]))</f>
        <v>21.326662355247766</v>
      </c>
      <c r="V300" s="78">
        <f>TAB_CORRECAO_U[[#This Row],[V_FUT_U_CORC-02]]/TAB_CORRECAO_U[[#This Row],[VAR_DESCAP_U]]</f>
        <v>16.383059069352839</v>
      </c>
      <c r="W300" s="78"/>
      <c r="X300" s="101">
        <f>TAB_CORRECAO_U[[#This Row],[dt_eve_u]]- DT_CALCULO_C</f>
        <v>3908</v>
      </c>
      <c r="Y300" s="48" t="str">
        <f>"CORRECAO_CORC_C" &amp; TEXT(DT_CALCULO_C, "-AAAAMMDD") &amp; TEXT(TAB_CORRECAO_U[[#This Row],[DT_EVE]], "-AAAAMMDD")</f>
        <v>CORRECAO_CORC_C-20151228-20260909</v>
      </c>
      <c r="Z300" s="44">
        <f>IFERROR(VLOOKUP(TAB_CORRECAO_C[[#This Row],[Chave-CORC]],CORRECAO_CORC_C[],2, FALSE), 0)</f>
        <v>1</v>
      </c>
      <c r="AA30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0" s="44">
        <f>(TIR_C/100 +1)^(TAB_CORRECAO_C[[#This Row],[DIAS_CORRIDOS]]/360)</f>
        <v>1.3024698315715308</v>
      </c>
      <c r="AC300" s="78">
        <f>IF(TAB_CORRECAO_C[[#This Row],[DIAS_CORRIDOS]]&lt;0, 0, TAB_CORRECAO_C[[#This Row],[V_FUT_C_CORC]]/TAB_CORRECAO_C[[#This Row],[VAR_DESCAP_C]])</f>
        <v>0</v>
      </c>
      <c r="AD300" s="113">
        <f>TAB_CORRECAO_U[[#This Row],[V_FUT_U_CORC-02]]</f>
        <v>21.326662355247766</v>
      </c>
      <c r="AE300" s="126">
        <f>IF(TAB_CORRECAO_C[[#This Row],[DIAS_CORRIDOS]]&lt;0, 0, TAB_CORRECAO_C[[#This Row],[V_FUT_UTEIS]]/TAB_CORRECAO_C[[#This Row],[VAR_DESCAP_C]])</f>
        <v>16.374016378955584</v>
      </c>
      <c r="AF300" s="64"/>
    </row>
    <row r="301" spans="1:32">
      <c r="A301" s="82">
        <f t="shared" si="5"/>
        <v>130</v>
      </c>
      <c r="B301" s="24">
        <f>VLOOKUP($A301, CAD_ATUALIZACAO[#Data], MATCH(B$171, CAD_ATUALIZACAO[#Headers],0), FALSE)</f>
        <v>3</v>
      </c>
      <c r="C301" s="24" t="str">
        <f>VLOOKUP($A301, CAD_ATUALIZACAO[#Data], MATCH(C$171, CAD_ATUALIZACAO[#Headers],0), FALSE)</f>
        <v xml:space="preserve">ATUALIZACAO SOBRE PRINCIPAL                       </v>
      </c>
      <c r="D301" s="36">
        <f>VLOOKUP($A301, CAD_ATUALIZACAO[#Data], MATCH(D$171, CAD_ATUALIZACAO[#Headers],0), FALSE)</f>
        <v>46304</v>
      </c>
      <c r="E301" s="48">
        <f>VLOOKUP($A301, CAD_ATUALIZACAO[#Data], MATCH(E$171, CAD_ATUALIZACAO[#Headers],0), FALSE)</f>
        <v>0</v>
      </c>
      <c r="F301" s="36">
        <f>VLOOKUP($A301, CAD_ATUALIZACAO[#Data], MATCH(F$171, CAD_ATUALIZACAO[#Headers],0), FALSE)</f>
        <v>46310</v>
      </c>
      <c r="G301" s="47">
        <f>WORKDAY(WORKDAY(TAB_CORRECAO_U[[#This Row],[DT_EVE]], -1, TAB_FERIADOS[FER_DATA]), 1, TAB_FERIADOS[FER_DATA])</f>
        <v>46304</v>
      </c>
      <c r="H301" s="75">
        <f>WORKDAY(WORKDAY(TAB_CORRECAO_U[[#This Row],[DT_LQDC_EVE]], -1, TAB_FERIADOS[FER_DATA]), 1, TAB_FERIADOS[FER_DATA])</f>
        <v>46310</v>
      </c>
      <c r="I301" s="48">
        <f>PU_EMISSAO - SUMIF(TAB_AMORTIZACAO_U[dt_eve_u], "&lt;" &amp; TAB_CORRECAO_U[[#This Row],[dt_eve_u]], TAB_AMORTIZACAO_U[V_PU_AMTC])</f>
        <v>7741.0234630000341</v>
      </c>
      <c r="J301" s="48">
        <f>IFERROR(VLOOKUP(TAB_CORRECAO_U[[#This Row],[DT_EVE]], TAB_AMORTIZACAO_U[[DT_EVE]:[V_PU_AMTC]], 2, FALSE), 0)</f>
        <v>518.424082</v>
      </c>
      <c r="K301" s="48">
        <f>NETWORKDAYS(DT_CALCULO_U, TAB_CORRECAO_U[[#This Row],[dt_eve_u]], TAB_FERIADOS[FER_DATA]) -1</f>
        <v>2709</v>
      </c>
      <c r="L301" s="48">
        <f>NETWORKDAYS(DT_CALCULO_U, TAB_CORRECAO_U[[#This Row],[dt_lqdc_eve_u]], TAB_FERIADOS[FER_DATA]) -1</f>
        <v>2712</v>
      </c>
      <c r="M301" s="48">
        <f>NETWORKDAYS(IF(ISTEXT(G300), DT_B_CORC, G300), TAB_CORRECAO_U[[#This Row],[dt_eve_u]], TAB_FERIADOS[FER_DATA]) -1</f>
        <v>22</v>
      </c>
      <c r="N301" s="78">
        <f>(TX_EMISSAO/100 +1)^(TAB_CORRECAO_U[[#This Row],[dias_periodo_u]]/252)</f>
        <v>1.0021580294747356</v>
      </c>
      <c r="O301" s="78">
        <f>(TIR_U/100 +1)^(TAB_CORRECAO_U[[#This Row],[Q_DIAS_U_PARC_TIR]]/252)</f>
        <v>1.3044326113681388</v>
      </c>
      <c r="P301" s="116" t="str">
        <f>"TX_CENARIO" &amp; TEXT(DT_CALCULO_C, "-AAAAMMDD") &amp; TEXT(TAB_CORRECAO_U[[#This Row],[DT_EVE]], "-AAAAMMDD")</f>
        <v>TX_CENARIO-20151228-20261009</v>
      </c>
      <c r="Q301" s="44">
        <f>IFERROR(VLOOKUP(TAB_CORRECAO_U[[#This Row],[Chave-CENARIO]],CENARIO[],2,FALSE), 0)</f>
        <v>16.330300000000001</v>
      </c>
      <c r="R301" s="116" t="str">
        <f>"CORRECAO_CORC_U" &amp; TEXT(DT_CALCULO_C, "-AAAAMMDD") &amp; TEXT(TAB_CORRECAO_U[[#This Row],[DT_EVE]], "-AAAAMMDD")</f>
        <v>CORRECAO_CORC_U-20151228-20261009</v>
      </c>
      <c r="S301" s="44">
        <f>IFERROR(VLOOKUP(TAB_CORRECAO_U[[#This Row],[Chave-CORC]],CORRECAO_CORC_U[],2, FALSE), 0)</f>
        <v>1.0135983500000001</v>
      </c>
      <c r="T301" s="78">
        <f>MAX(0, IF(TAB_CORRECAO_U[[#This Row],[ID_T_EVE]]= 5, TAB_CORRECAO_U[[#This Row],[PU_AMORT]],TAB_CORRECAO_U[[#This Row],[V_NOML_PCPL]]) * (TAB_CORRECAO_U[[#This Row],[CORRECAO_U]] -1))</f>
        <v>105.26514640808723</v>
      </c>
      <c r="U301" s="78">
        <f>MAX(0, TAB_CORRECAO_U[[#This Row],[V_FUT_U_CORC-01]]/((((TAB_CORRECAO_U[[#This Row],[TX_CENARIO]]/100 +1)^(1/252) -1) * PC_IDXR/100 +1)^TAB_CORRECAO_U[[#This Row],[Q_DIAS_U_PARC_TIR]]))</f>
        <v>20.668284178767355</v>
      </c>
      <c r="V301" s="78">
        <f>TAB_CORRECAO_U[[#This Row],[V_FUT_U_CORC-02]]/TAB_CORRECAO_U[[#This Row],[VAR_DESCAP_U]]</f>
        <v>15.844654602041624</v>
      </c>
      <c r="W301" s="78"/>
      <c r="X301" s="101">
        <f>TAB_CORRECAO_U[[#This Row],[dt_eve_u]]- DT_CALCULO_C</f>
        <v>3938</v>
      </c>
      <c r="Y301" s="48" t="str">
        <f>"CORRECAO_CORC_C" &amp; TEXT(DT_CALCULO_C, "-AAAAMMDD") &amp; TEXT(TAB_CORRECAO_U[[#This Row],[DT_EVE]], "-AAAAMMDD")</f>
        <v>CORRECAO_CORC_C-20151228-20261009</v>
      </c>
      <c r="Z301" s="44">
        <f>IFERROR(VLOOKUP(TAB_CORRECAO_C[[#This Row],[Chave-CORC]],CORRECAO_CORC_C[],2, FALSE), 0)</f>
        <v>1</v>
      </c>
      <c r="AA30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1" s="44">
        <f>(TIR_C/100 +1)^(TAB_CORRECAO_C[[#This Row],[DIAS_CORRIDOS]]/360)</f>
        <v>1.3051147374463319</v>
      </c>
      <c r="AC301" s="78">
        <f>IF(TAB_CORRECAO_C[[#This Row],[DIAS_CORRIDOS]]&lt;0, 0, TAB_CORRECAO_C[[#This Row],[V_FUT_C_CORC]]/TAB_CORRECAO_C[[#This Row],[VAR_DESCAP_C]])</f>
        <v>0</v>
      </c>
      <c r="AD301" s="113">
        <f>TAB_CORRECAO_U[[#This Row],[V_FUT_U_CORC-02]]</f>
        <v>20.668284178767355</v>
      </c>
      <c r="AE301" s="126">
        <f>IF(TAB_CORRECAO_C[[#This Row],[DIAS_CORRIDOS]]&lt;0, 0, TAB_CORRECAO_C[[#This Row],[V_FUT_UTEIS]]/TAB_CORRECAO_C[[#This Row],[VAR_DESCAP_C]])</f>
        <v>15.836373297881989</v>
      </c>
      <c r="AF301" s="64"/>
    </row>
    <row r="302" spans="1:32">
      <c r="A302" s="82">
        <f t="shared" ref="A302:A315" si="6">+A301+1</f>
        <v>131</v>
      </c>
      <c r="B302" s="24">
        <f>VLOOKUP($A302, CAD_ATUALIZACAO[#Data], MATCH(B$171, CAD_ATUALIZACAO[#Headers],0), FALSE)</f>
        <v>3</v>
      </c>
      <c r="C302" s="24" t="str">
        <f>VLOOKUP($A302, CAD_ATUALIZACAO[#Data], MATCH(C$171, CAD_ATUALIZACAO[#Headers],0), FALSE)</f>
        <v xml:space="preserve">ATUALIZACAO SOBRE PRINCIPAL                       </v>
      </c>
      <c r="D302" s="36">
        <f>VLOOKUP($A302, CAD_ATUALIZACAO[#Data], MATCH(D$171, CAD_ATUALIZACAO[#Headers],0), FALSE)</f>
        <v>46336</v>
      </c>
      <c r="E302" s="48">
        <f>VLOOKUP($A302, CAD_ATUALIZACAO[#Data], MATCH(E$171, CAD_ATUALIZACAO[#Headers],0), FALSE)</f>
        <v>0</v>
      </c>
      <c r="F302" s="36">
        <f>VLOOKUP($A302, CAD_ATUALIZACAO[#Data], MATCH(F$171, CAD_ATUALIZACAO[#Headers],0), FALSE)</f>
        <v>46342</v>
      </c>
      <c r="G302" s="47">
        <f>WORKDAY(WORKDAY(TAB_CORRECAO_U[[#This Row],[DT_EVE]], -1, TAB_FERIADOS[FER_DATA]), 1, TAB_FERIADOS[FER_DATA])</f>
        <v>46336</v>
      </c>
      <c r="H302" s="75">
        <f>WORKDAY(WORKDAY(TAB_CORRECAO_U[[#This Row],[DT_LQDC_EVE]], -1, TAB_FERIADOS[FER_DATA]), 1, TAB_FERIADOS[FER_DATA])</f>
        <v>46342</v>
      </c>
      <c r="I302" s="48">
        <f>PU_EMISSAO - SUMIF(TAB_AMORTIZACAO_U[dt_eve_u], "&lt;" &amp; TAB_CORRECAO_U[[#This Row],[dt_eve_u]], TAB_AMORTIZACAO_U[V_PU_AMTC])</f>
        <v>7222.5993810000364</v>
      </c>
      <c r="J302" s="48">
        <f>IFERROR(VLOOKUP(TAB_CORRECAO_U[[#This Row],[DT_EVE]], TAB_AMORTIZACAO_U[[DT_EVE]:[V_PU_AMTC]], 2, FALSE), 0)</f>
        <v>513.00678800000003</v>
      </c>
      <c r="K302" s="48">
        <f>NETWORKDAYS(DT_CALCULO_U, TAB_CORRECAO_U[[#This Row],[dt_eve_u]], TAB_FERIADOS[FER_DATA]) -1</f>
        <v>2729</v>
      </c>
      <c r="L302" s="48">
        <f>NETWORKDAYS(DT_CALCULO_U, TAB_CORRECAO_U[[#This Row],[dt_lqdc_eve_u]], TAB_FERIADOS[FER_DATA]) -1</f>
        <v>2733</v>
      </c>
      <c r="M302" s="48">
        <f>NETWORKDAYS(IF(ISTEXT(G301), DT_B_CORC, G301), TAB_CORRECAO_U[[#This Row],[dt_eve_u]], TAB_FERIADOS[FER_DATA]) -1</f>
        <v>20</v>
      </c>
      <c r="N302" s="78">
        <f>(TX_EMISSAO/100 +1)^(TAB_CORRECAO_U[[#This Row],[dias_periodo_u]]/252)</f>
        <v>1.0019616526860928</v>
      </c>
      <c r="O302" s="78">
        <f>(TIR_U/100 +1)^(TAB_CORRECAO_U[[#This Row],[Q_DIAS_U_PARC_TIR]]/252)</f>
        <v>1.3071198186565558</v>
      </c>
      <c r="P302" s="116" t="str">
        <f>"TX_CENARIO" &amp; TEXT(DT_CALCULO_C, "-AAAAMMDD") &amp; TEXT(TAB_CORRECAO_U[[#This Row],[DT_EVE]], "-AAAAMMDD")</f>
        <v>TX_CENARIO-20151228-20261110</v>
      </c>
      <c r="Q302" s="44">
        <f>IFERROR(VLOOKUP(TAB_CORRECAO_U[[#This Row],[Chave-CENARIO]],CENARIO[],2,FALSE), 0)</f>
        <v>16.331199999999999</v>
      </c>
      <c r="R302" s="116" t="str">
        <f>"CORRECAO_CORC_U" &amp; TEXT(DT_CALCULO_C, "-AAAAMMDD") &amp; TEXT(TAB_CORRECAO_U[[#This Row],[DT_EVE]], "-AAAAMMDD")</f>
        <v>CORRECAO_CORC_U-20151228-20261110</v>
      </c>
      <c r="S302" s="44">
        <f>IFERROR(VLOOKUP(TAB_CORRECAO_U[[#This Row],[Chave-CORC]],CORRECAO_CORC_U[],2, FALSE), 0)</f>
        <v>1.01235454</v>
      </c>
      <c r="T302" s="78">
        <f>MAX(0, IF(TAB_CORRECAO_U[[#This Row],[ID_T_EVE]]= 5, TAB_CORRECAO_U[[#This Row],[PU_AMORT]],TAB_CORRECAO_U[[#This Row],[V_NOML_PCPL]]) * (TAB_CORRECAO_U[[#This Row],[CORRECAO_U]] -1))</f>
        <v>89.231892956540364</v>
      </c>
      <c r="U302" s="78">
        <f>MAX(0, TAB_CORRECAO_U[[#This Row],[V_FUT_U_CORC-01]]/((((TAB_CORRECAO_U[[#This Row],[TX_CENARIO]]/100 +1)^(1/252) -1) * PC_IDXR/100 +1)^TAB_CORRECAO_U[[#This Row],[Q_DIAS_U_PARC_TIR]]))</f>
        <v>17.299322226597237</v>
      </c>
      <c r="V302" s="78">
        <f>TAB_CORRECAO_U[[#This Row],[V_FUT_U_CORC-02]]/TAB_CORRECAO_U[[#This Row],[VAR_DESCAP_U]]</f>
        <v>13.234687424736089</v>
      </c>
      <c r="W302" s="78"/>
      <c r="X302" s="101">
        <f>TAB_CORRECAO_U[[#This Row],[dt_eve_u]]- DT_CALCULO_C</f>
        <v>3970</v>
      </c>
      <c r="Y302" s="48" t="str">
        <f>"CORRECAO_CORC_C" &amp; TEXT(DT_CALCULO_C, "-AAAAMMDD") &amp; TEXT(TAB_CORRECAO_U[[#This Row],[DT_EVE]], "-AAAAMMDD")</f>
        <v>CORRECAO_CORC_C-20151228-20261110</v>
      </c>
      <c r="Z302" s="44">
        <f>IFERROR(VLOOKUP(TAB_CORRECAO_C[[#This Row],[Chave-CORC]],CORRECAO_CORC_C[],2, FALSE), 0)</f>
        <v>1</v>
      </c>
      <c r="AA30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2" s="44">
        <f>(TIR_C/100 +1)^(TAB_CORRECAO_C[[#This Row],[DIAS_CORRIDOS]]/360)</f>
        <v>1.3079418906495521</v>
      </c>
      <c r="AC302" s="78">
        <f>IF(TAB_CORRECAO_C[[#This Row],[DIAS_CORRIDOS]]&lt;0, 0, TAB_CORRECAO_C[[#This Row],[V_FUT_C_CORC]]/TAB_CORRECAO_C[[#This Row],[VAR_DESCAP_C]])</f>
        <v>0</v>
      </c>
      <c r="AD302" s="113">
        <f>TAB_CORRECAO_U[[#This Row],[V_FUT_U_CORC-02]]</f>
        <v>17.299322226597237</v>
      </c>
      <c r="AE302" s="126">
        <f>IF(TAB_CORRECAO_C[[#This Row],[DIAS_CORRIDOS]]&lt;0, 0, TAB_CORRECAO_C[[#This Row],[V_FUT_UTEIS]]/TAB_CORRECAO_C[[#This Row],[VAR_DESCAP_C]])</f>
        <v>13.226369114919946</v>
      </c>
      <c r="AF302" s="64"/>
    </row>
    <row r="303" spans="1:32">
      <c r="A303" s="82">
        <f t="shared" si="6"/>
        <v>132</v>
      </c>
      <c r="B303" s="24">
        <f>VLOOKUP($A303, CAD_ATUALIZACAO[#Data], MATCH(B$171, CAD_ATUALIZACAO[#Headers],0), FALSE)</f>
        <v>3</v>
      </c>
      <c r="C303" s="24" t="str">
        <f>VLOOKUP($A303, CAD_ATUALIZACAO[#Data], MATCH(C$171, CAD_ATUALIZACAO[#Headers],0), FALSE)</f>
        <v xml:space="preserve">ATUALIZACAO SOBRE PRINCIPAL                       </v>
      </c>
      <c r="D303" s="36">
        <f>VLOOKUP($A303, CAD_ATUALIZACAO[#Data], MATCH(D$171, CAD_ATUALIZACAO[#Headers],0), FALSE)</f>
        <v>46364</v>
      </c>
      <c r="E303" s="48">
        <f>VLOOKUP($A303, CAD_ATUALIZACAO[#Data], MATCH(E$171, CAD_ATUALIZACAO[#Headers],0), FALSE)</f>
        <v>0</v>
      </c>
      <c r="F303" s="36">
        <f>VLOOKUP($A303, CAD_ATUALIZACAO[#Data], MATCH(F$171, CAD_ATUALIZACAO[#Headers],0), FALSE)</f>
        <v>46370</v>
      </c>
      <c r="G303" s="47">
        <f>WORKDAY(WORKDAY(TAB_CORRECAO_U[[#This Row],[DT_EVE]], -1, TAB_FERIADOS[FER_DATA]), 1, TAB_FERIADOS[FER_DATA])</f>
        <v>46364</v>
      </c>
      <c r="H303" s="75">
        <f>WORKDAY(WORKDAY(TAB_CORRECAO_U[[#This Row],[DT_LQDC_EVE]], -1, TAB_FERIADOS[FER_DATA]), 1, TAB_FERIADOS[FER_DATA])</f>
        <v>46370</v>
      </c>
      <c r="I303" s="48">
        <f>PU_EMISSAO - SUMIF(TAB_AMORTIZACAO_U[dt_eve_u], "&lt;" &amp; TAB_CORRECAO_U[[#This Row],[dt_eve_u]], TAB_AMORTIZACAO_U[V_PU_AMTC])</f>
        <v>6709.5925930000376</v>
      </c>
      <c r="J303" s="48">
        <f>IFERROR(VLOOKUP(TAB_CORRECAO_U[[#This Row],[DT_EVE]], TAB_AMORTIZACAO_U[[DT_EVE]:[V_PU_AMTC]], 2, FALSE), 0)</f>
        <v>508.60724699999997</v>
      </c>
      <c r="K303" s="48">
        <f>NETWORKDAYS(DT_CALCULO_U, TAB_CORRECAO_U[[#This Row],[dt_eve_u]], TAB_FERIADOS[FER_DATA]) -1</f>
        <v>2749</v>
      </c>
      <c r="L303" s="48">
        <f>NETWORKDAYS(DT_CALCULO_U, TAB_CORRECAO_U[[#This Row],[dt_lqdc_eve_u]], TAB_FERIADOS[FER_DATA]) -1</f>
        <v>2753</v>
      </c>
      <c r="M303" s="48">
        <f>NETWORKDAYS(IF(ISTEXT(G302), DT_B_CORC, G302), TAB_CORRECAO_U[[#This Row],[dt_eve_u]], TAB_FERIADOS[FER_DATA]) -1</f>
        <v>20</v>
      </c>
      <c r="N303" s="78">
        <f>(TX_EMISSAO/100 +1)^(TAB_CORRECAO_U[[#This Row],[dias_periodo_u]]/252)</f>
        <v>1.0019616526860928</v>
      </c>
      <c r="O303" s="78">
        <f>(TIR_U/100 +1)^(TAB_CORRECAO_U[[#This Row],[Q_DIAS_U_PARC_TIR]]/252)</f>
        <v>1.3096842101906088</v>
      </c>
      <c r="P303" s="116" t="str">
        <f>"TX_CENARIO" &amp; TEXT(DT_CALCULO_C, "-AAAAMMDD") &amp; TEXT(TAB_CORRECAO_U[[#This Row],[DT_EVE]], "-AAAAMMDD")</f>
        <v>TX_CENARIO-20151228-20261208</v>
      </c>
      <c r="Q303" s="44">
        <f>IFERROR(VLOOKUP(TAB_CORRECAO_U[[#This Row],[Chave-CENARIO]],CENARIO[],2,FALSE), 0)</f>
        <v>16.332000000000001</v>
      </c>
      <c r="R303" s="116" t="str">
        <f>"CORRECAO_CORC_U" &amp; TEXT(DT_CALCULO_C, "-AAAAMMDD") &amp; TEXT(TAB_CORRECAO_U[[#This Row],[DT_EVE]], "-AAAAMMDD")</f>
        <v>CORRECAO_CORC_U-20151228-20261208</v>
      </c>
      <c r="S303" s="44">
        <f>IFERROR(VLOOKUP(TAB_CORRECAO_U[[#This Row],[Chave-CORC]],CORRECAO_CORC_U[],2, FALSE), 0)</f>
        <v>1.01235454</v>
      </c>
      <c r="T303" s="78">
        <f>MAX(0, IF(TAB_CORRECAO_U[[#This Row],[ID_T_EVE]]= 5, TAB_CORRECAO_U[[#This Row],[PU_AMORT]],TAB_CORRECAO_U[[#This Row],[V_NOML_PCPL]]) * (TAB_CORRECAO_U[[#This Row],[CORRECAO_U]] -1))</f>
        <v>82.893930073922846</v>
      </c>
      <c r="U303" s="78">
        <f>MAX(0, TAB_CORRECAO_U[[#This Row],[V_FUT_U_CORC-01]]/((((TAB_CORRECAO_U[[#This Row],[TX_CENARIO]]/100 +1)^(1/252) -1) * PC_IDXR/100 +1)^TAB_CORRECAO_U[[#This Row],[Q_DIAS_U_PARC_TIR]]))</f>
        <v>15.877608904641017</v>
      </c>
      <c r="V303" s="78">
        <f>TAB_CORRECAO_U[[#This Row],[V_FUT_U_CORC-02]]/TAB_CORRECAO_U[[#This Row],[VAR_DESCAP_U]]</f>
        <v>12.123234579067134</v>
      </c>
      <c r="W303" s="78"/>
      <c r="X303" s="101">
        <f>TAB_CORRECAO_U[[#This Row],[dt_eve_u]]- DT_CALCULO_C</f>
        <v>3998</v>
      </c>
      <c r="Y303" s="48" t="str">
        <f>"CORRECAO_CORC_C" &amp; TEXT(DT_CALCULO_C, "-AAAAMMDD") &amp; TEXT(TAB_CORRECAO_U[[#This Row],[DT_EVE]], "-AAAAMMDD")</f>
        <v>CORRECAO_CORC_C-20151228-20261208</v>
      </c>
      <c r="Z303" s="44">
        <f>IFERROR(VLOOKUP(TAB_CORRECAO_C[[#This Row],[Chave-CORC]],CORRECAO_CORC_C[],2, FALSE), 0)</f>
        <v>1</v>
      </c>
      <c r="AA30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3" s="44">
        <f>(TIR_C/100 +1)^(TAB_CORRECAO_C[[#This Row],[DIAS_CORRIDOS]]/360)</f>
        <v>1.3104206730142847</v>
      </c>
      <c r="AC303" s="78">
        <f>IF(TAB_CORRECAO_C[[#This Row],[DIAS_CORRIDOS]]&lt;0, 0, TAB_CORRECAO_C[[#This Row],[V_FUT_C_CORC]]/TAB_CORRECAO_C[[#This Row],[VAR_DESCAP_C]])</f>
        <v>0</v>
      </c>
      <c r="AD303" s="113">
        <f>TAB_CORRECAO_U[[#This Row],[V_FUT_U_CORC-02]]</f>
        <v>15.877608904641017</v>
      </c>
      <c r="AE303" s="126">
        <f>IF(TAB_CORRECAO_C[[#This Row],[DIAS_CORRIDOS]]&lt;0, 0, TAB_CORRECAO_C[[#This Row],[V_FUT_UTEIS]]/TAB_CORRECAO_C[[#This Row],[VAR_DESCAP_C]])</f>
        <v>12.116421261974351</v>
      </c>
      <c r="AF303" s="64"/>
    </row>
    <row r="304" spans="1:32">
      <c r="A304" s="82">
        <f t="shared" si="6"/>
        <v>133</v>
      </c>
      <c r="B304" s="24">
        <f>VLOOKUP($A304, CAD_ATUALIZACAO[#Data], MATCH(B$171, CAD_ATUALIZACAO[#Headers],0), FALSE)</f>
        <v>3</v>
      </c>
      <c r="C304" s="24" t="str">
        <f>VLOOKUP($A304, CAD_ATUALIZACAO[#Data], MATCH(C$171, CAD_ATUALIZACAO[#Headers],0), FALSE)</f>
        <v xml:space="preserve">ATUALIZACAO SOBRE PRINCIPAL                       </v>
      </c>
      <c r="D304" s="36">
        <f>VLOOKUP($A304, CAD_ATUALIZACAO[#Data], MATCH(D$171, CAD_ATUALIZACAO[#Headers],0), FALSE)</f>
        <v>46398</v>
      </c>
      <c r="E304" s="48">
        <f>VLOOKUP($A304, CAD_ATUALIZACAO[#Data], MATCH(E$171, CAD_ATUALIZACAO[#Headers],0), FALSE)</f>
        <v>0</v>
      </c>
      <c r="F304" s="36">
        <f>VLOOKUP($A304, CAD_ATUALIZACAO[#Data], MATCH(F$171, CAD_ATUALIZACAO[#Headers],0), FALSE)</f>
        <v>46402</v>
      </c>
      <c r="G304" s="47">
        <f>WORKDAY(WORKDAY(TAB_CORRECAO_U[[#This Row],[DT_EVE]], -1, TAB_FERIADOS[FER_DATA]), 1, TAB_FERIADOS[FER_DATA])</f>
        <v>46398</v>
      </c>
      <c r="H304" s="75">
        <f>WORKDAY(WORKDAY(TAB_CORRECAO_U[[#This Row],[DT_LQDC_EVE]], -1, TAB_FERIADOS[FER_DATA]), 1, TAB_FERIADOS[FER_DATA])</f>
        <v>46402</v>
      </c>
      <c r="I304" s="48">
        <f>PU_EMISSAO - SUMIF(TAB_AMORTIZACAO_U[dt_eve_u], "&lt;" &amp; TAB_CORRECAO_U[[#This Row],[dt_eve_u]], TAB_AMORTIZACAO_U[V_PU_AMTC])</f>
        <v>6200.9853460000304</v>
      </c>
      <c r="J304" s="48">
        <f>IFERROR(VLOOKUP(TAB_CORRECAO_U[[#This Row],[DT_EVE]], TAB_AMORTIZACAO_U[[DT_EVE]:[V_PU_AMTC]], 2, FALSE), 0)</f>
        <v>545.64950399999998</v>
      </c>
      <c r="K304" s="48">
        <f>NETWORKDAYS(DT_CALCULO_U, TAB_CORRECAO_U[[#This Row],[dt_eve_u]], TAB_FERIADOS[FER_DATA]) -1</f>
        <v>2771</v>
      </c>
      <c r="L304" s="48">
        <f>NETWORKDAYS(DT_CALCULO_U, TAB_CORRECAO_U[[#This Row],[dt_lqdc_eve_u]], TAB_FERIADOS[FER_DATA]) -1</f>
        <v>2775</v>
      </c>
      <c r="M304" s="48">
        <f>NETWORKDAYS(IF(ISTEXT(G303), DT_B_CORC, G303), TAB_CORRECAO_U[[#This Row],[dt_eve_u]], TAB_FERIADOS[FER_DATA]) -1</f>
        <v>22</v>
      </c>
      <c r="N304" s="78">
        <f>(TX_EMISSAO/100 +1)^(TAB_CORRECAO_U[[#This Row],[dias_periodo_u]]/252)</f>
        <v>1.0021580294747356</v>
      </c>
      <c r="O304" s="78">
        <f>(TIR_U/100 +1)^(TAB_CORRECAO_U[[#This Row],[Q_DIAS_U_PARC_TIR]]/252)</f>
        <v>1.3125108520488777</v>
      </c>
      <c r="P304" s="116" t="str">
        <f>"TX_CENARIO" &amp; TEXT(DT_CALCULO_C, "-AAAAMMDD") &amp; TEXT(TAB_CORRECAO_U[[#This Row],[DT_EVE]], "-AAAAMMDD")</f>
        <v>TX_CENARIO-20151228-20270111</v>
      </c>
      <c r="Q304" s="44">
        <f>IFERROR(VLOOKUP(TAB_CORRECAO_U[[#This Row],[Chave-CENARIO]],CENARIO[],2,FALSE), 0)</f>
        <v>16.332999999999998</v>
      </c>
      <c r="R304" s="116" t="str">
        <f>"CORRECAO_CORC_U" &amp; TEXT(DT_CALCULO_C, "-AAAAMMDD") &amp; TEXT(TAB_CORRECAO_U[[#This Row],[DT_EVE]], "-AAAAMMDD")</f>
        <v>CORRECAO_CORC_U-20151228-20270111</v>
      </c>
      <c r="S304" s="44">
        <f>IFERROR(VLOOKUP(TAB_CORRECAO_U[[#This Row],[Chave-CORC]],CORRECAO_CORC_U[],2, FALSE), 0)</f>
        <v>1.0135462</v>
      </c>
      <c r="T304" s="78">
        <f>MAX(0, IF(TAB_CORRECAO_U[[#This Row],[ID_T_EVE]]= 5, TAB_CORRECAO_U[[#This Row],[PU_AMORT]],TAB_CORRECAO_U[[#This Row],[V_NOML_PCPL]]) * (TAB_CORRECAO_U[[#This Row],[CORRECAO_U]] -1))</f>
        <v>83.999787693985326</v>
      </c>
      <c r="U304" s="78">
        <f>MAX(0, TAB_CORRECAO_U[[#This Row],[V_FUT_U_CORC-01]]/((((TAB_CORRECAO_U[[#This Row],[TX_CENARIO]]/100 +1)^(1/252) -1) * PC_IDXR/100 +1)^TAB_CORRECAO_U[[#This Row],[Q_DIAS_U_PARC_TIR]]))</f>
        <v>15.8768303585427</v>
      </c>
      <c r="V304" s="78">
        <f>TAB_CORRECAO_U[[#This Row],[V_FUT_U_CORC-02]]/TAB_CORRECAO_U[[#This Row],[VAR_DESCAP_U]]</f>
        <v>12.096532637241348</v>
      </c>
      <c r="W304" s="78"/>
      <c r="X304" s="101">
        <f>TAB_CORRECAO_U[[#This Row],[dt_eve_u]]- DT_CALCULO_C</f>
        <v>4032</v>
      </c>
      <c r="Y304" s="48" t="str">
        <f>"CORRECAO_CORC_C" &amp; TEXT(DT_CALCULO_C, "-AAAAMMDD") &amp; TEXT(TAB_CORRECAO_U[[#This Row],[DT_EVE]], "-AAAAMMDD")</f>
        <v>CORRECAO_CORC_C-20151228-20270111</v>
      </c>
      <c r="Z304" s="44">
        <f>IFERROR(VLOOKUP(TAB_CORRECAO_C[[#This Row],[Chave-CORC]],CORRECAO_CORC_C[],2, FALSE), 0)</f>
        <v>1</v>
      </c>
      <c r="AA30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4" s="44">
        <f>(TIR_C/100 +1)^(TAB_CORRECAO_C[[#This Row],[DIAS_CORRIDOS]]/360)</f>
        <v>1.3134369394581817</v>
      </c>
      <c r="AC304" s="78">
        <f>IF(TAB_CORRECAO_C[[#This Row],[DIAS_CORRIDOS]]&lt;0, 0, TAB_CORRECAO_C[[#This Row],[V_FUT_C_CORC]]/TAB_CORRECAO_C[[#This Row],[VAR_DESCAP_C]])</f>
        <v>0</v>
      </c>
      <c r="AD304" s="113">
        <f>TAB_CORRECAO_U[[#This Row],[V_FUT_U_CORC-02]]</f>
        <v>15.8768303585427</v>
      </c>
      <c r="AE304" s="126">
        <f>IF(TAB_CORRECAO_C[[#This Row],[DIAS_CORRIDOS]]&lt;0, 0, TAB_CORRECAO_C[[#This Row],[V_FUT_UTEIS]]/TAB_CORRECAO_C[[#This Row],[VAR_DESCAP_C]])</f>
        <v>12.088003528431445</v>
      </c>
      <c r="AF304" s="64"/>
    </row>
    <row r="305" spans="1:32">
      <c r="A305" s="82">
        <f t="shared" si="6"/>
        <v>134</v>
      </c>
      <c r="B305" s="24">
        <f>VLOOKUP($A305, CAD_ATUALIZACAO[#Data], MATCH(B$171, CAD_ATUALIZACAO[#Headers],0), FALSE)</f>
        <v>3</v>
      </c>
      <c r="C305" s="24" t="str">
        <f>VLOOKUP($A305, CAD_ATUALIZACAO[#Data], MATCH(C$171, CAD_ATUALIZACAO[#Headers],0), FALSE)</f>
        <v xml:space="preserve">ATUALIZACAO SOBRE PRINCIPAL                       </v>
      </c>
      <c r="D305" s="36">
        <f>VLOOKUP($A305, CAD_ATUALIZACAO[#Data], MATCH(D$171, CAD_ATUALIZACAO[#Headers],0), FALSE)</f>
        <v>46428</v>
      </c>
      <c r="E305" s="48">
        <f>VLOOKUP($A305, CAD_ATUALIZACAO[#Data], MATCH(E$171, CAD_ATUALIZACAO[#Headers],0), FALSE)</f>
        <v>0</v>
      </c>
      <c r="F305" s="36">
        <f>VLOOKUP($A305, CAD_ATUALIZACAO[#Data], MATCH(F$171, CAD_ATUALIZACAO[#Headers],0), FALSE)</f>
        <v>46434</v>
      </c>
      <c r="G305" s="47">
        <f>WORKDAY(WORKDAY(TAB_CORRECAO_U[[#This Row],[DT_EVE]], -1, TAB_FERIADOS[FER_DATA]), 1, TAB_FERIADOS[FER_DATA])</f>
        <v>46428</v>
      </c>
      <c r="H305" s="75">
        <f>WORKDAY(WORKDAY(TAB_CORRECAO_U[[#This Row],[DT_LQDC_EVE]], -1, TAB_FERIADOS[FER_DATA]), 1, TAB_FERIADOS[FER_DATA])</f>
        <v>46434</v>
      </c>
      <c r="I305" s="48">
        <f>PU_EMISSAO - SUMIF(TAB_AMORTIZACAO_U[dt_eve_u], "&lt;" &amp; TAB_CORRECAO_U[[#This Row],[dt_eve_u]], TAB_AMORTIZACAO_U[V_PU_AMTC])</f>
        <v>5655.3358420000295</v>
      </c>
      <c r="J305" s="48">
        <f>IFERROR(VLOOKUP(TAB_CORRECAO_U[[#This Row],[DT_EVE]], TAB_AMORTIZACAO_U[[DT_EVE]:[V_PU_AMTC]], 2, FALSE), 0)</f>
        <v>541.47578499999997</v>
      </c>
      <c r="K305" s="48">
        <f>NETWORKDAYS(DT_CALCULO_U, TAB_CORRECAO_U[[#This Row],[dt_eve_u]], TAB_FERIADOS[FER_DATA]) -1</f>
        <v>2791</v>
      </c>
      <c r="L305" s="48">
        <f>NETWORKDAYS(DT_CALCULO_U, TAB_CORRECAO_U[[#This Row],[dt_lqdc_eve_u]], TAB_FERIADOS[FER_DATA]) -1</f>
        <v>2795</v>
      </c>
      <c r="M305" s="48">
        <f>NETWORKDAYS(IF(ISTEXT(G304), DT_B_CORC, G304), TAB_CORRECAO_U[[#This Row],[dt_eve_u]], TAB_FERIADOS[FER_DATA]) -1</f>
        <v>20</v>
      </c>
      <c r="N305" s="78">
        <f>(TX_EMISSAO/100 +1)^(TAB_CORRECAO_U[[#This Row],[dias_periodo_u]]/252)</f>
        <v>1.0019616526860928</v>
      </c>
      <c r="O305" s="78">
        <f>(TIR_U/100 +1)^(TAB_CORRECAO_U[[#This Row],[Q_DIAS_U_PARC_TIR]]/252)</f>
        <v>1.3150858200581657</v>
      </c>
      <c r="P305" s="116" t="str">
        <f>"TX_CENARIO" &amp; TEXT(DT_CALCULO_C, "-AAAAMMDD") &amp; TEXT(TAB_CORRECAO_U[[#This Row],[DT_EVE]], "-AAAAMMDD")</f>
        <v>TX_CENARIO-20151228-20270210</v>
      </c>
      <c r="Q305" s="44">
        <f>IFERROR(VLOOKUP(TAB_CORRECAO_U[[#This Row],[Chave-CENARIO]],CENARIO[],2,FALSE), 0)</f>
        <v>16.3338</v>
      </c>
      <c r="R305" s="116" t="str">
        <f>"CORRECAO_CORC_U" &amp; TEXT(DT_CALCULO_C, "-AAAAMMDD") &amp; TEXT(TAB_CORRECAO_U[[#This Row],[DT_EVE]], "-AAAAMMDD")</f>
        <v>CORRECAO_CORC_U-20151228-20270210</v>
      </c>
      <c r="S305" s="44">
        <f>IFERROR(VLOOKUP(TAB_CORRECAO_U[[#This Row],[Chave-CORC]],CORRECAO_CORC_U[],2, FALSE), 0)</f>
        <v>1.01214618</v>
      </c>
      <c r="T305" s="78">
        <f>MAX(0, IF(TAB_CORRECAO_U[[#This Row],[ID_T_EVE]]= 5, TAB_CORRECAO_U[[#This Row],[PU_AMORT]],TAB_CORRECAO_U[[#This Row],[V_NOML_PCPL]]) * (TAB_CORRECAO_U[[#This Row],[CORRECAO_U]] -1))</f>
        <v>68.690727097383956</v>
      </c>
      <c r="U305" s="78">
        <f>MAX(0, TAB_CORRECAO_U[[#This Row],[V_FUT_U_CORC-01]]/((((TAB_CORRECAO_U[[#This Row],[TX_CENARIO]]/100 +1)^(1/252) -1) * PC_IDXR/100 +1)^TAB_CORRECAO_U[[#This Row],[Q_DIAS_U_PARC_TIR]]))</f>
        <v>12.827324656368823</v>
      </c>
      <c r="V305" s="78">
        <f>TAB_CORRECAO_U[[#This Row],[V_FUT_U_CORC-02]]/TAB_CORRECAO_U[[#This Row],[VAR_DESCAP_U]]</f>
        <v>9.7539829421942041</v>
      </c>
      <c r="W305" s="78"/>
      <c r="X305" s="101">
        <f>TAB_CORRECAO_U[[#This Row],[dt_eve_u]]- DT_CALCULO_C</f>
        <v>4062</v>
      </c>
      <c r="Y305" s="48" t="str">
        <f>"CORRECAO_CORC_C" &amp; TEXT(DT_CALCULO_C, "-AAAAMMDD") &amp; TEXT(TAB_CORRECAO_U[[#This Row],[DT_EVE]], "-AAAAMMDD")</f>
        <v>CORRECAO_CORC_C-20151228-20270210</v>
      </c>
      <c r="Z305" s="44">
        <f>IFERROR(VLOOKUP(TAB_CORRECAO_C[[#This Row],[Chave-CORC]],CORRECAO_CORC_C[],2, FALSE), 0)</f>
        <v>1</v>
      </c>
      <c r="AA30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5" s="44">
        <f>(TIR_C/100 +1)^(TAB_CORRECAO_C[[#This Row],[DIAS_CORRIDOS]]/360)</f>
        <v>1.3161041160738292</v>
      </c>
      <c r="AC305" s="78">
        <f>IF(TAB_CORRECAO_C[[#This Row],[DIAS_CORRIDOS]]&lt;0, 0, TAB_CORRECAO_C[[#This Row],[V_FUT_C_CORC]]/TAB_CORRECAO_C[[#This Row],[VAR_DESCAP_C]])</f>
        <v>0</v>
      </c>
      <c r="AD305" s="113">
        <f>TAB_CORRECAO_U[[#This Row],[V_FUT_U_CORC-02]]</f>
        <v>12.827324656368823</v>
      </c>
      <c r="AE305" s="126">
        <f>IF(TAB_CORRECAO_C[[#This Row],[DIAS_CORRIDOS]]&lt;0, 0, TAB_CORRECAO_C[[#This Row],[V_FUT_UTEIS]]/TAB_CORRECAO_C[[#This Row],[VAR_DESCAP_C]])</f>
        <v>9.7464360909644423</v>
      </c>
      <c r="AF305" s="64"/>
    </row>
    <row r="306" spans="1:32">
      <c r="A306" s="82">
        <f t="shared" si="6"/>
        <v>135</v>
      </c>
      <c r="B306" s="24">
        <f>VLOOKUP($A306, CAD_ATUALIZACAO[#Data], MATCH(B$171, CAD_ATUALIZACAO[#Headers],0), FALSE)</f>
        <v>3</v>
      </c>
      <c r="C306" s="24" t="str">
        <f>VLOOKUP($A306, CAD_ATUALIZACAO[#Data], MATCH(C$171, CAD_ATUALIZACAO[#Headers],0), FALSE)</f>
        <v xml:space="preserve">ATUALIZACAO SOBRE PRINCIPAL                       </v>
      </c>
      <c r="D306" s="36">
        <f>VLOOKUP($A306, CAD_ATUALIZACAO[#Data], MATCH(D$171, CAD_ATUALIZACAO[#Headers],0), FALSE)</f>
        <v>46454</v>
      </c>
      <c r="E306" s="48">
        <f>VLOOKUP($A306, CAD_ATUALIZACAO[#Data], MATCH(E$171, CAD_ATUALIZACAO[#Headers],0), FALSE)</f>
        <v>0</v>
      </c>
      <c r="F306" s="36">
        <f>VLOOKUP($A306, CAD_ATUALIZACAO[#Data], MATCH(F$171, CAD_ATUALIZACAO[#Headers],0), FALSE)</f>
        <v>46458</v>
      </c>
      <c r="G306" s="47">
        <f>WORKDAY(WORKDAY(TAB_CORRECAO_U[[#This Row],[DT_EVE]], -1, TAB_FERIADOS[FER_DATA]), 1, TAB_FERIADOS[FER_DATA])</f>
        <v>46454</v>
      </c>
      <c r="H306" s="75">
        <f>WORKDAY(WORKDAY(TAB_CORRECAO_U[[#This Row],[DT_LQDC_EVE]], -1, TAB_FERIADOS[FER_DATA]), 1, TAB_FERIADOS[FER_DATA])</f>
        <v>46458</v>
      </c>
      <c r="I306" s="48">
        <f>PU_EMISSAO - SUMIF(TAB_AMORTIZACAO_U[dt_eve_u], "&lt;" &amp; TAB_CORRECAO_U[[#This Row],[dt_eve_u]], TAB_AMORTIZACAO_U[V_PU_AMTC])</f>
        <v>5113.8600570000272</v>
      </c>
      <c r="J306" s="48">
        <f>IFERROR(VLOOKUP(TAB_CORRECAO_U[[#This Row],[DT_EVE]], TAB_AMORTIZACAO_U[[DT_EVE]:[V_PU_AMTC]], 2, FALSE), 0)</f>
        <v>537.68147399999998</v>
      </c>
      <c r="K306" s="48">
        <f>NETWORKDAYS(DT_CALCULO_U, TAB_CORRECAO_U[[#This Row],[dt_eve_u]], TAB_FERIADOS[FER_DATA]) -1</f>
        <v>2809</v>
      </c>
      <c r="L306" s="48">
        <f>NETWORKDAYS(DT_CALCULO_U, TAB_CORRECAO_U[[#This Row],[dt_lqdc_eve_u]], TAB_FERIADOS[FER_DATA]) -1</f>
        <v>2813</v>
      </c>
      <c r="M306" s="48">
        <f>NETWORKDAYS(IF(ISTEXT(G305), DT_B_CORC, G305), TAB_CORRECAO_U[[#This Row],[dt_eve_u]], TAB_FERIADOS[FER_DATA]) -1</f>
        <v>18</v>
      </c>
      <c r="N306" s="78">
        <f>(TX_EMISSAO/100 +1)^(TAB_CORRECAO_U[[#This Row],[dias_periodo_u]]/252)</f>
        <v>1.0017653143782506</v>
      </c>
      <c r="O306" s="78">
        <f>(TIR_U/100 +1)^(TAB_CORRECAO_U[[#This Row],[Q_DIAS_U_PARC_TIR]]/252)</f>
        <v>1.3174076102197541</v>
      </c>
      <c r="P306" s="116" t="str">
        <f>"TX_CENARIO" &amp; TEXT(DT_CALCULO_C, "-AAAAMMDD") &amp; TEXT(TAB_CORRECAO_U[[#This Row],[DT_EVE]], "-AAAAMMDD")</f>
        <v>TX_CENARIO-20151228-20270308</v>
      </c>
      <c r="Q306" s="44">
        <f>IFERROR(VLOOKUP(TAB_CORRECAO_U[[#This Row],[Chave-CENARIO]],CENARIO[],2,FALSE), 0)</f>
        <v>16.334599999999998</v>
      </c>
      <c r="R306" s="116" t="str">
        <f>"CORRECAO_CORC_U" &amp; TEXT(DT_CALCULO_C, "-AAAAMMDD") &amp; TEXT(TAB_CORRECAO_U[[#This Row],[DT_EVE]], "-AAAAMMDD")</f>
        <v>CORRECAO_CORC_U-20151228-20270308</v>
      </c>
      <c r="S306" s="44">
        <f>IFERROR(VLOOKUP(TAB_CORRECAO_U[[#This Row],[Chave-CORC]],CORRECAO_CORC_U[],2, FALSE), 0)</f>
        <v>1.0109249499999999</v>
      </c>
      <c r="T306" s="78">
        <f>MAX(0, IF(TAB_CORRECAO_U[[#This Row],[ID_T_EVE]]= 5, TAB_CORRECAO_U[[#This Row],[PU_AMORT]],TAB_CORRECAO_U[[#This Row],[V_NOML_PCPL]]) * (TAB_CORRECAO_U[[#This Row],[CORRECAO_U]] -1))</f>
        <v>55.868665429722107</v>
      </c>
      <c r="U306" s="78">
        <f>MAX(0, TAB_CORRECAO_U[[#This Row],[V_FUT_U_CORC-01]]/((((TAB_CORRECAO_U[[#This Row],[TX_CENARIO]]/100 +1)^(1/252) -1) * PC_IDXR/100 +1)^TAB_CORRECAO_U[[#This Row],[Q_DIAS_U_PARC_TIR]]))</f>
        <v>10.319998952236272</v>
      </c>
      <c r="V306" s="78">
        <f>TAB_CORRECAO_U[[#This Row],[V_FUT_U_CORC-02]]/TAB_CORRECAO_U[[#This Row],[VAR_DESCAP_U]]</f>
        <v>7.8335656118722543</v>
      </c>
      <c r="W306" s="78"/>
      <c r="X306" s="101">
        <f>TAB_CORRECAO_U[[#This Row],[dt_eve_u]]- DT_CALCULO_C</f>
        <v>4088</v>
      </c>
      <c r="Y306" s="48" t="str">
        <f>"CORRECAO_CORC_C" &amp; TEXT(DT_CALCULO_C, "-AAAAMMDD") &amp; TEXT(TAB_CORRECAO_U[[#This Row],[DT_EVE]], "-AAAAMMDD")</f>
        <v>CORRECAO_CORC_C-20151228-20270308</v>
      </c>
      <c r="Z306" s="44">
        <f>IFERROR(VLOOKUP(TAB_CORRECAO_C[[#This Row],[Chave-CORC]],CORRECAO_CORC_C[],2, FALSE), 0)</f>
        <v>1</v>
      </c>
      <c r="AA306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6" s="44">
        <f>(TIR_C/100 +1)^(TAB_CORRECAO_C[[#This Row],[DIAS_CORRIDOS]]/360)</f>
        <v>1.3184200498458174</v>
      </c>
      <c r="AC306" s="78">
        <f>IF(TAB_CORRECAO_C[[#This Row],[DIAS_CORRIDOS]]&lt;0, 0, TAB_CORRECAO_C[[#This Row],[V_FUT_C_CORC]]/TAB_CORRECAO_C[[#This Row],[VAR_DESCAP_C]])</f>
        <v>0</v>
      </c>
      <c r="AD306" s="113">
        <f>TAB_CORRECAO_U[[#This Row],[V_FUT_U_CORC-02]]</f>
        <v>10.319998952236272</v>
      </c>
      <c r="AE306" s="126">
        <f>IF(TAB_CORRECAO_C[[#This Row],[DIAS_CORRIDOS]]&lt;0, 0, TAB_CORRECAO_C[[#This Row],[V_FUT_UTEIS]]/TAB_CORRECAO_C[[#This Row],[VAR_DESCAP_C]])</f>
        <v>7.8275500690717985</v>
      </c>
      <c r="AF306" s="64"/>
    </row>
    <row r="307" spans="1:32">
      <c r="A307" s="82">
        <f t="shared" si="6"/>
        <v>136</v>
      </c>
      <c r="B307" s="24">
        <f>VLOOKUP($A307, CAD_ATUALIZACAO[#Data], MATCH(B$171, CAD_ATUALIZACAO[#Headers],0), FALSE)</f>
        <v>3</v>
      </c>
      <c r="C307" s="24" t="str">
        <f>VLOOKUP($A307, CAD_ATUALIZACAO[#Data], MATCH(C$171, CAD_ATUALIZACAO[#Headers],0), FALSE)</f>
        <v xml:space="preserve">ATUALIZACAO SOBRE PRINCIPAL                       </v>
      </c>
      <c r="D307" s="36">
        <f>VLOOKUP($A307, CAD_ATUALIZACAO[#Data], MATCH(D$171, CAD_ATUALIZACAO[#Headers],0), FALSE)</f>
        <v>46485</v>
      </c>
      <c r="E307" s="48">
        <f>VLOOKUP($A307, CAD_ATUALIZACAO[#Data], MATCH(E$171, CAD_ATUALIZACAO[#Headers],0), FALSE)</f>
        <v>0</v>
      </c>
      <c r="F307" s="36">
        <f>VLOOKUP($A307, CAD_ATUALIZACAO[#Data], MATCH(F$171, CAD_ATUALIZACAO[#Headers],0), FALSE)</f>
        <v>46491</v>
      </c>
      <c r="G307" s="47">
        <f>WORKDAY(WORKDAY(TAB_CORRECAO_U[[#This Row],[DT_EVE]], -1, TAB_FERIADOS[FER_DATA]), 1, TAB_FERIADOS[FER_DATA])</f>
        <v>46485</v>
      </c>
      <c r="H307" s="75">
        <f>WORKDAY(WORKDAY(TAB_CORRECAO_U[[#This Row],[DT_LQDC_EVE]], -1, TAB_FERIADOS[FER_DATA]), 1, TAB_FERIADOS[FER_DATA])</f>
        <v>46491</v>
      </c>
      <c r="I307" s="48">
        <f>PU_EMISSAO - SUMIF(TAB_AMORTIZACAO_U[dt_eve_u], "&lt;" &amp; TAB_CORRECAO_U[[#This Row],[dt_eve_u]], TAB_AMORTIZACAO_U[V_PU_AMTC])</f>
        <v>4576.1785830000299</v>
      </c>
      <c r="J307" s="48">
        <f>IFERROR(VLOOKUP(TAB_CORRECAO_U[[#This Row],[DT_EVE]], TAB_AMORTIZACAO_U[[DT_EVE]:[V_PU_AMTC]], 2, FALSE), 0)</f>
        <v>529.65606100000002</v>
      </c>
      <c r="K307" s="48">
        <f>NETWORKDAYS(DT_CALCULO_U, TAB_CORRECAO_U[[#This Row],[dt_eve_u]], TAB_FERIADOS[FER_DATA]) -1</f>
        <v>2831</v>
      </c>
      <c r="L307" s="48">
        <f>NETWORKDAYS(DT_CALCULO_U, TAB_CORRECAO_U[[#This Row],[dt_lqdc_eve_u]], TAB_FERIADOS[FER_DATA]) -1</f>
        <v>2835</v>
      </c>
      <c r="M307" s="48">
        <f>NETWORKDAYS(IF(ISTEXT(G306), DT_B_CORC, G306), TAB_CORRECAO_U[[#This Row],[dt_eve_u]], TAB_FERIADOS[FER_DATA]) -1</f>
        <v>22</v>
      </c>
      <c r="N307" s="78">
        <f>(TX_EMISSAO/100 +1)^(TAB_CORRECAO_U[[#This Row],[dias_periodo_u]]/252)</f>
        <v>1.0021580294747356</v>
      </c>
      <c r="O307" s="78">
        <f>(TIR_U/100 +1)^(TAB_CORRECAO_U[[#This Row],[Q_DIAS_U_PARC_TIR]]/252)</f>
        <v>1.3202509211999693</v>
      </c>
      <c r="P307" s="116" t="str">
        <f>"TX_CENARIO" &amp; TEXT(DT_CALCULO_C, "-AAAAMMDD") &amp; TEXT(TAB_CORRECAO_U[[#This Row],[DT_EVE]], "-AAAAMMDD")</f>
        <v>TX_CENARIO-20151228-20270408</v>
      </c>
      <c r="Q307" s="44">
        <f>IFERROR(VLOOKUP(TAB_CORRECAO_U[[#This Row],[Chave-CENARIO]],CENARIO[],2,FALSE), 0)</f>
        <v>16.3355</v>
      </c>
      <c r="R307" s="116" t="str">
        <f>"CORRECAO_CORC_U" &amp; TEXT(DT_CALCULO_C, "-AAAAMMDD") &amp; TEXT(TAB_CORRECAO_U[[#This Row],[DT_EVE]], "-AAAAMMDD")</f>
        <v>CORRECAO_CORC_U-20151228-20270408</v>
      </c>
      <c r="S307" s="44">
        <f>IFERROR(VLOOKUP(TAB_CORRECAO_U[[#This Row],[Chave-CORC]],CORRECAO_CORC_U[],2, FALSE), 0)</f>
        <v>1.01336888</v>
      </c>
      <c r="T307" s="78">
        <f>MAX(0, IF(TAB_CORRECAO_U[[#This Row],[ID_T_EVE]]= 5, TAB_CORRECAO_U[[#This Row],[PU_AMORT]],TAB_CORRECAO_U[[#This Row],[V_NOML_PCPL]]) * (TAB_CORRECAO_U[[#This Row],[CORRECAO_U]] -1))</f>
        <v>61.178382334697567</v>
      </c>
      <c r="U307" s="78">
        <f>MAX(0, TAB_CORRECAO_U[[#This Row],[V_FUT_U_CORC-01]]/((((TAB_CORRECAO_U[[#This Row],[TX_CENARIO]]/100 +1)^(1/252) -1) * PC_IDXR/100 +1)^TAB_CORRECAO_U[[#This Row],[Q_DIAS_U_PARC_TIR]]))</f>
        <v>11.151545376910166</v>
      </c>
      <c r="V307" s="78">
        <f>TAB_CORRECAO_U[[#This Row],[V_FUT_U_CORC-02]]/TAB_CORRECAO_U[[#This Row],[VAR_DESCAP_U]]</f>
        <v>8.4465348198921024</v>
      </c>
      <c r="W307" s="78"/>
      <c r="X307" s="101">
        <f>TAB_CORRECAO_U[[#This Row],[dt_eve_u]]- DT_CALCULO_C</f>
        <v>4119</v>
      </c>
      <c r="Y307" s="48" t="str">
        <f>"CORRECAO_CORC_C" &amp; TEXT(DT_CALCULO_C, "-AAAAMMDD") &amp; TEXT(TAB_CORRECAO_U[[#This Row],[DT_EVE]], "-AAAAMMDD")</f>
        <v>CORRECAO_CORC_C-20151228-20270408</v>
      </c>
      <c r="Z307" s="44">
        <f>IFERROR(VLOOKUP(TAB_CORRECAO_C[[#This Row],[Chave-CORC]],CORRECAO_CORC_C[],2, FALSE), 0)</f>
        <v>1</v>
      </c>
      <c r="AA307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7" s="44">
        <f>(TIR_C/100 +1)^(TAB_CORRECAO_C[[#This Row],[DIAS_CORRIDOS]]/360)</f>
        <v>1.3211866823517342</v>
      </c>
      <c r="AC307" s="78">
        <f>IF(TAB_CORRECAO_C[[#This Row],[DIAS_CORRIDOS]]&lt;0, 0, TAB_CORRECAO_C[[#This Row],[V_FUT_C_CORC]]/TAB_CORRECAO_C[[#This Row],[VAR_DESCAP_C]])</f>
        <v>0</v>
      </c>
      <c r="AD307" s="113">
        <f>TAB_CORRECAO_U[[#This Row],[V_FUT_U_CORC-02]]</f>
        <v>11.151545376910166</v>
      </c>
      <c r="AE307" s="126">
        <f>IF(TAB_CORRECAO_C[[#This Row],[DIAS_CORRIDOS]]&lt;0, 0, TAB_CORRECAO_C[[#This Row],[V_FUT_UTEIS]]/TAB_CORRECAO_C[[#This Row],[VAR_DESCAP_C]])</f>
        <v>8.4405523654387959</v>
      </c>
      <c r="AF307" s="64"/>
    </row>
    <row r="308" spans="1:32">
      <c r="A308" s="82">
        <f t="shared" si="6"/>
        <v>137</v>
      </c>
      <c r="B308" s="24">
        <f>VLOOKUP($A308, CAD_ATUALIZACAO[#Data], MATCH(B$171, CAD_ATUALIZACAO[#Headers],0), FALSE)</f>
        <v>3</v>
      </c>
      <c r="C308" s="24" t="str">
        <f>VLOOKUP($A308, CAD_ATUALIZACAO[#Data], MATCH(C$171, CAD_ATUALIZACAO[#Headers],0), FALSE)</f>
        <v xml:space="preserve">ATUALIZACAO SOBRE PRINCIPAL                       </v>
      </c>
      <c r="D308" s="36">
        <f>VLOOKUP($A308, CAD_ATUALIZACAO[#Data], MATCH(D$171, CAD_ATUALIZACAO[#Headers],0), FALSE)</f>
        <v>46517</v>
      </c>
      <c r="E308" s="48">
        <f>VLOOKUP($A308, CAD_ATUALIZACAO[#Data], MATCH(E$171, CAD_ATUALIZACAO[#Headers],0), FALSE)</f>
        <v>0</v>
      </c>
      <c r="F308" s="36">
        <f>VLOOKUP($A308, CAD_ATUALIZACAO[#Data], MATCH(F$171, CAD_ATUALIZACAO[#Headers],0), FALSE)</f>
        <v>46521</v>
      </c>
      <c r="G308" s="47">
        <f>WORKDAY(WORKDAY(TAB_CORRECAO_U[[#This Row],[DT_EVE]], -1, TAB_FERIADOS[FER_DATA]), 1, TAB_FERIADOS[FER_DATA])</f>
        <v>46517</v>
      </c>
      <c r="H308" s="75">
        <f>WORKDAY(WORKDAY(TAB_CORRECAO_U[[#This Row],[DT_LQDC_EVE]], -1, TAB_FERIADOS[FER_DATA]), 1, TAB_FERIADOS[FER_DATA])</f>
        <v>46521</v>
      </c>
      <c r="I308" s="48">
        <f>PU_EMISSAO - SUMIF(TAB_AMORTIZACAO_U[dt_eve_u], "&lt;" &amp; TAB_CORRECAO_U[[#This Row],[dt_eve_u]], TAB_AMORTIZACAO_U[V_PU_AMTC])</f>
        <v>4046.5225220000284</v>
      </c>
      <c r="J308" s="48">
        <f>IFERROR(VLOOKUP(TAB_CORRECAO_U[[#This Row],[DT_EVE]], TAB_AMORTIZACAO_U[[DT_EVE]:[V_PU_AMTC]], 2, FALSE), 0)</f>
        <v>524.46169099999997</v>
      </c>
      <c r="K308" s="48">
        <f>NETWORKDAYS(DT_CALCULO_U, TAB_CORRECAO_U[[#This Row],[dt_eve_u]], TAB_FERIADOS[FER_DATA]) -1</f>
        <v>2852</v>
      </c>
      <c r="L308" s="48">
        <f>NETWORKDAYS(DT_CALCULO_U, TAB_CORRECAO_U[[#This Row],[dt_lqdc_eve_u]], TAB_FERIADOS[FER_DATA]) -1</f>
        <v>2856</v>
      </c>
      <c r="M308" s="48">
        <f>NETWORKDAYS(IF(ISTEXT(G307), DT_B_CORC, G307), TAB_CORRECAO_U[[#This Row],[dt_eve_u]], TAB_FERIADOS[FER_DATA]) -1</f>
        <v>21</v>
      </c>
      <c r="N308" s="78">
        <f>(TX_EMISSAO/100 +1)^(TAB_CORRECAO_U[[#This Row],[dias_periodo_u]]/252)</f>
        <v>1.0020598362698427</v>
      </c>
      <c r="O308" s="78">
        <f>(TIR_U/100 +1)^(TAB_CORRECAO_U[[#This Row],[Q_DIAS_U_PARC_TIR]]/252)</f>
        <v>1.322970715129582</v>
      </c>
      <c r="P308" s="116" t="str">
        <f>"TX_CENARIO" &amp; TEXT(DT_CALCULO_C, "-AAAAMMDD") &amp; TEXT(TAB_CORRECAO_U[[#This Row],[DT_EVE]], "-AAAAMMDD")</f>
        <v>TX_CENARIO-20151228-20270510</v>
      </c>
      <c r="Q308" s="44">
        <f>IFERROR(VLOOKUP(TAB_CORRECAO_U[[#This Row],[Chave-CENARIO]],CENARIO[],2,FALSE), 0)</f>
        <v>16.336300000000001</v>
      </c>
      <c r="R308" s="116" t="str">
        <f>"CORRECAO_CORC_U" &amp; TEXT(DT_CALCULO_C, "-AAAAMMDD") &amp; TEXT(TAB_CORRECAO_U[[#This Row],[DT_EVE]], "-AAAAMMDD")</f>
        <v>CORRECAO_CORC_U-20151228-20270510</v>
      </c>
      <c r="S308" s="44">
        <f>IFERROR(VLOOKUP(TAB_CORRECAO_U[[#This Row],[Chave-CORC]],CORRECAO_CORC_U[],2, FALSE), 0)</f>
        <v>1.0127573400000001</v>
      </c>
      <c r="T308" s="78">
        <f>MAX(0, IF(TAB_CORRECAO_U[[#This Row],[ID_T_EVE]]= 5, TAB_CORRECAO_U[[#This Row],[PU_AMORT]],TAB_CORRECAO_U[[#This Row],[V_NOML_PCPL]]) * (TAB_CORRECAO_U[[#This Row],[CORRECAO_U]] -1))</f>
        <v>51.622863630812091</v>
      </c>
      <c r="U308" s="78">
        <f>MAX(0, TAB_CORRECAO_U[[#This Row],[V_FUT_U_CORC-01]]/((((TAB_CORRECAO_U[[#This Row],[TX_CENARIO]]/100 +1)^(1/252) -1) * PC_IDXR/100 +1)^TAB_CORRECAO_U[[#This Row],[Q_DIAS_U_PARC_TIR]]))</f>
        <v>9.2911461198050702</v>
      </c>
      <c r="V308" s="78">
        <f>TAB_CORRECAO_U[[#This Row],[V_FUT_U_CORC-02]]/TAB_CORRECAO_U[[#This Row],[VAR_DESCAP_U]]</f>
        <v>7.0229416369923374</v>
      </c>
      <c r="W308" s="78"/>
      <c r="X308" s="101">
        <f>TAB_CORRECAO_U[[#This Row],[dt_eve_u]]- DT_CALCULO_C</f>
        <v>4151</v>
      </c>
      <c r="Y308" s="48" t="str">
        <f>"CORRECAO_CORC_C" &amp; TEXT(DT_CALCULO_C, "-AAAAMMDD") &amp; TEXT(TAB_CORRECAO_U[[#This Row],[DT_EVE]], "-AAAAMMDD")</f>
        <v>CORRECAO_CORC_C-20151228-20270510</v>
      </c>
      <c r="Z308" s="44">
        <f>IFERROR(VLOOKUP(TAB_CORRECAO_C[[#This Row],[Chave-CORC]],CORRECAO_CORC_C[],2, FALSE), 0)</f>
        <v>1</v>
      </c>
      <c r="AA308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8" s="44">
        <f>(TIR_C/100 +1)^(TAB_CORRECAO_C[[#This Row],[DIAS_CORRIDOS]]/360)</f>
        <v>1.3240486507702129</v>
      </c>
      <c r="AC308" s="78">
        <f>IF(TAB_CORRECAO_C[[#This Row],[DIAS_CORRIDOS]]&lt;0, 0, TAB_CORRECAO_C[[#This Row],[V_FUT_C_CORC]]/TAB_CORRECAO_C[[#This Row],[VAR_DESCAP_C]])</f>
        <v>0</v>
      </c>
      <c r="AD308" s="113">
        <f>TAB_CORRECAO_U[[#This Row],[V_FUT_U_CORC-02]]</f>
        <v>9.2911461198050702</v>
      </c>
      <c r="AE308" s="126">
        <f>IF(TAB_CORRECAO_C[[#This Row],[DIAS_CORRIDOS]]&lt;0, 0, TAB_CORRECAO_C[[#This Row],[V_FUT_UTEIS]]/TAB_CORRECAO_C[[#This Row],[VAR_DESCAP_C]])</f>
        <v>7.0172241136308049</v>
      </c>
      <c r="AF308" s="64"/>
    </row>
    <row r="309" spans="1:32">
      <c r="A309" s="82">
        <f t="shared" si="6"/>
        <v>138</v>
      </c>
      <c r="B309" s="24">
        <f>VLOOKUP($A309, CAD_ATUALIZACAO[#Data], MATCH(B$171, CAD_ATUALIZACAO[#Headers],0), FALSE)</f>
        <v>3</v>
      </c>
      <c r="C309" s="24" t="str">
        <f>VLOOKUP($A309, CAD_ATUALIZACAO[#Data], MATCH(C$171, CAD_ATUALIZACAO[#Headers],0), FALSE)</f>
        <v xml:space="preserve">ATUALIZACAO SOBRE PRINCIPAL                       </v>
      </c>
      <c r="D309" s="36">
        <f>VLOOKUP($A309, CAD_ATUALIZACAO[#Data], MATCH(D$171, CAD_ATUALIZACAO[#Headers],0), FALSE)</f>
        <v>46546</v>
      </c>
      <c r="E309" s="48">
        <f>VLOOKUP($A309, CAD_ATUALIZACAO[#Data], MATCH(E$171, CAD_ATUALIZACAO[#Headers],0), FALSE)</f>
        <v>0</v>
      </c>
      <c r="F309" s="36">
        <f>VLOOKUP($A309, CAD_ATUALIZACAO[#Data], MATCH(F$171, CAD_ATUALIZACAO[#Headers],0), FALSE)</f>
        <v>46552</v>
      </c>
      <c r="G309" s="47">
        <f>WORKDAY(WORKDAY(TAB_CORRECAO_U[[#This Row],[DT_EVE]], -1, TAB_FERIADOS[FER_DATA]), 1, TAB_FERIADOS[FER_DATA])</f>
        <v>46546</v>
      </c>
      <c r="H309" s="75">
        <f>WORKDAY(WORKDAY(TAB_CORRECAO_U[[#This Row],[DT_LQDC_EVE]], -1, TAB_FERIADOS[FER_DATA]), 1, TAB_FERIADOS[FER_DATA])</f>
        <v>46552</v>
      </c>
      <c r="I309" s="48">
        <f>PU_EMISSAO - SUMIF(TAB_AMORTIZACAO_U[dt_eve_u], "&lt;" &amp; TAB_CORRECAO_U[[#This Row],[dt_eve_u]], TAB_AMORTIZACAO_U[V_PU_AMTC])</f>
        <v>3522.0608310000243</v>
      </c>
      <c r="J309" s="48">
        <f>IFERROR(VLOOKUP(TAB_CORRECAO_U[[#This Row],[DT_EVE]], TAB_AMORTIZACAO_U[[DT_EVE]:[V_PU_AMTC]], 2, FALSE), 0)</f>
        <v>519.67655300000001</v>
      </c>
      <c r="K309" s="48">
        <f>NETWORKDAYS(DT_CALCULO_U, TAB_CORRECAO_U[[#This Row],[dt_eve_u]], TAB_FERIADOS[FER_DATA]) -1</f>
        <v>2872</v>
      </c>
      <c r="L309" s="48">
        <f>NETWORKDAYS(DT_CALCULO_U, TAB_CORRECAO_U[[#This Row],[dt_lqdc_eve_u]], TAB_FERIADOS[FER_DATA]) -1</f>
        <v>2876</v>
      </c>
      <c r="M309" s="48">
        <f>NETWORKDAYS(IF(ISTEXT(G308), DT_B_CORC, G308), TAB_CORRECAO_U[[#This Row],[dt_eve_u]], TAB_FERIADOS[FER_DATA]) -1</f>
        <v>20</v>
      </c>
      <c r="N309" s="78">
        <f>(TX_EMISSAO/100 +1)^(TAB_CORRECAO_U[[#This Row],[dias_periodo_u]]/252)</f>
        <v>1.0019616526860928</v>
      </c>
      <c r="O309" s="78">
        <f>(TIR_U/100 +1)^(TAB_CORRECAO_U[[#This Row],[Q_DIAS_U_PARC_TIR]]/252)</f>
        <v>1.3255662039694385</v>
      </c>
      <c r="P309" s="116" t="str">
        <f>"TX_CENARIO" &amp; TEXT(DT_CALCULO_C, "-AAAAMMDD") &amp; TEXT(TAB_CORRECAO_U[[#This Row],[DT_EVE]], "-AAAAMMDD")</f>
        <v>TX_CENARIO-20151228-20270608</v>
      </c>
      <c r="Q309" s="44">
        <f>IFERROR(VLOOKUP(TAB_CORRECAO_U[[#This Row],[Chave-CENARIO]],CENARIO[],2,FALSE), 0)</f>
        <v>16.3371</v>
      </c>
      <c r="R309" s="116" t="str">
        <f>"CORRECAO_CORC_U" &amp; TEXT(DT_CALCULO_C, "-AAAAMMDD") &amp; TEXT(TAB_CORRECAO_U[[#This Row],[DT_EVE]], "-AAAAMMDD")</f>
        <v>CORRECAO_CORC_U-20151228-20270608</v>
      </c>
      <c r="S309" s="44">
        <f>IFERROR(VLOOKUP(TAB_CORRECAO_U[[#This Row],[Chave-CORC]],CORRECAO_CORC_U[],2, FALSE), 0)</f>
        <v>1.01214618</v>
      </c>
      <c r="T309" s="78">
        <f>MAX(0, IF(TAB_CORRECAO_U[[#This Row],[ID_T_EVE]]= 5, TAB_CORRECAO_U[[#This Row],[PU_AMORT]],TAB_CORRECAO_U[[#This Row],[V_NOML_PCPL]]) * (TAB_CORRECAO_U[[#This Row],[CORRECAO_U]] -1))</f>
        <v>42.779584824275901</v>
      </c>
      <c r="U309" s="78">
        <f>MAX(0, TAB_CORRECAO_U[[#This Row],[V_FUT_U_CORC-01]]/((((TAB_CORRECAO_U[[#This Row],[TX_CENARIO]]/100 +1)^(1/252) -1) * PC_IDXR/100 +1)^TAB_CORRECAO_U[[#This Row],[Q_DIAS_U_PARC_TIR]]))</f>
        <v>7.6070134484525331</v>
      </c>
      <c r="V309" s="78">
        <f>TAB_CORRECAO_U[[#This Row],[V_FUT_U_CORC-02]]/TAB_CORRECAO_U[[#This Row],[VAR_DESCAP_U]]</f>
        <v>5.7386899467360868</v>
      </c>
      <c r="W309" s="78"/>
      <c r="X309" s="101">
        <f>TAB_CORRECAO_U[[#This Row],[dt_eve_u]]- DT_CALCULO_C</f>
        <v>4180</v>
      </c>
      <c r="Y309" s="48" t="str">
        <f>"CORRECAO_CORC_C" &amp; TEXT(DT_CALCULO_C, "-AAAAMMDD") &amp; TEXT(TAB_CORRECAO_U[[#This Row],[DT_EVE]], "-AAAAMMDD")</f>
        <v>CORRECAO_CORC_C-20151228-20270608</v>
      </c>
      <c r="Z309" s="44">
        <f>IFERROR(VLOOKUP(TAB_CORRECAO_C[[#This Row],[Chave-CORC]],CORRECAO_CORC_C[],2, FALSE), 0)</f>
        <v>1</v>
      </c>
      <c r="AA309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09" s="44">
        <f>(TIR_C/100 +1)^(TAB_CORRECAO_C[[#This Row],[DIAS_CORRIDOS]]/360)</f>
        <v>1.3266476643351612</v>
      </c>
      <c r="AC309" s="78">
        <f>IF(TAB_CORRECAO_C[[#This Row],[DIAS_CORRIDOS]]&lt;0, 0, TAB_CORRECAO_C[[#This Row],[V_FUT_C_CORC]]/TAB_CORRECAO_C[[#This Row],[VAR_DESCAP_C]])</f>
        <v>0</v>
      </c>
      <c r="AD309" s="113">
        <f>TAB_CORRECAO_U[[#This Row],[V_FUT_U_CORC-02]]</f>
        <v>7.6070134484525331</v>
      </c>
      <c r="AE309" s="126">
        <f>IF(TAB_CORRECAO_C[[#This Row],[DIAS_CORRIDOS]]&lt;0, 0, TAB_CORRECAO_C[[#This Row],[V_FUT_UTEIS]]/TAB_CORRECAO_C[[#This Row],[VAR_DESCAP_C]])</f>
        <v>5.7340118653619507</v>
      </c>
      <c r="AF309" s="64"/>
    </row>
    <row r="310" spans="1:32">
      <c r="A310" s="82">
        <f t="shared" si="6"/>
        <v>139</v>
      </c>
      <c r="B310" s="24">
        <f>VLOOKUP($A310, CAD_ATUALIZACAO[#Data], MATCH(B$171, CAD_ATUALIZACAO[#Headers],0), FALSE)</f>
        <v>3</v>
      </c>
      <c r="C310" s="24" t="str">
        <f>VLOOKUP($A310, CAD_ATUALIZACAO[#Data], MATCH(C$171, CAD_ATUALIZACAO[#Headers],0), FALSE)</f>
        <v xml:space="preserve">ATUALIZACAO SOBRE PRINCIPAL                       </v>
      </c>
      <c r="D310" s="36">
        <f>VLOOKUP($A310, CAD_ATUALIZACAO[#Data], MATCH(D$171, CAD_ATUALIZACAO[#Headers],0), FALSE)</f>
        <v>46576</v>
      </c>
      <c r="E310" s="48">
        <f>VLOOKUP($A310, CAD_ATUALIZACAO[#Data], MATCH(E$171, CAD_ATUALIZACAO[#Headers],0), FALSE)</f>
        <v>0</v>
      </c>
      <c r="F310" s="36">
        <f>VLOOKUP($A310, CAD_ATUALIZACAO[#Data], MATCH(F$171, CAD_ATUALIZACAO[#Headers],0), FALSE)</f>
        <v>46582</v>
      </c>
      <c r="G310" s="47">
        <f>WORKDAY(WORKDAY(TAB_CORRECAO_U[[#This Row],[DT_EVE]], -1, TAB_FERIADOS[FER_DATA]), 1, TAB_FERIADOS[FER_DATA])</f>
        <v>46576</v>
      </c>
      <c r="H310" s="75">
        <f>WORKDAY(WORKDAY(TAB_CORRECAO_U[[#This Row],[DT_LQDC_EVE]], -1, TAB_FERIADOS[FER_DATA]), 1, TAB_FERIADOS[FER_DATA])</f>
        <v>46582</v>
      </c>
      <c r="I310" s="48">
        <f>PU_EMISSAO - SUMIF(TAB_AMORTIZACAO_U[dt_eve_u], "&lt;" &amp; TAB_CORRECAO_U[[#This Row],[dt_eve_u]], TAB_AMORTIZACAO_U[V_PU_AMTC])</f>
        <v>3002.3842780000268</v>
      </c>
      <c r="J310" s="48">
        <f>IFERROR(VLOOKUP(TAB_CORRECAO_U[[#This Row],[DT_EVE]], TAB_AMORTIZACAO_U[[DT_EVE]:[V_PU_AMTC]], 2, FALSE), 0)</f>
        <v>513.43173000000002</v>
      </c>
      <c r="K310" s="48">
        <f>NETWORKDAYS(DT_CALCULO_U, TAB_CORRECAO_U[[#This Row],[dt_eve_u]], TAB_FERIADOS[FER_DATA]) -1</f>
        <v>2894</v>
      </c>
      <c r="L310" s="48">
        <f>NETWORKDAYS(DT_CALCULO_U, TAB_CORRECAO_U[[#This Row],[dt_lqdc_eve_u]], TAB_FERIADOS[FER_DATA]) -1</f>
        <v>2898</v>
      </c>
      <c r="M310" s="48">
        <f>NETWORKDAYS(IF(ISTEXT(G309), DT_B_CORC, G309), TAB_CORRECAO_U[[#This Row],[dt_eve_u]], TAB_FERIADOS[FER_DATA]) -1</f>
        <v>22</v>
      </c>
      <c r="N310" s="78">
        <f>(TX_EMISSAO/100 +1)^(TAB_CORRECAO_U[[#This Row],[dias_periodo_u]]/252)</f>
        <v>1.0021580294747356</v>
      </c>
      <c r="O310" s="78">
        <f>(TIR_U/100 +1)^(TAB_CORRECAO_U[[#This Row],[Q_DIAS_U_PARC_TIR]]/252)</f>
        <v>1.3284271233337344</v>
      </c>
      <c r="P310" s="116" t="str">
        <f>"TX_CENARIO" &amp; TEXT(DT_CALCULO_C, "-AAAAMMDD") &amp; TEXT(TAB_CORRECAO_U[[#This Row],[DT_EVE]], "-AAAAMMDD")</f>
        <v>TX_CENARIO-20151228-20270708</v>
      </c>
      <c r="Q310" s="44">
        <f>IFERROR(VLOOKUP(TAB_CORRECAO_U[[#This Row],[Chave-CENARIO]],CENARIO[],2,FALSE), 0)</f>
        <v>16.338000000000001</v>
      </c>
      <c r="R310" s="116" t="str">
        <f>"CORRECAO_CORC_U" &amp; TEXT(DT_CALCULO_C, "-AAAAMMDD") &amp; TEXT(TAB_CORRECAO_U[[#This Row],[DT_EVE]], "-AAAAMMDD")</f>
        <v>CORRECAO_CORC_U-20151228-20270708</v>
      </c>
      <c r="S310" s="44">
        <f>IFERROR(VLOOKUP(TAB_CORRECAO_U[[#This Row],[Chave-CORC]],CORRECAO_CORC_U[],2, FALSE), 0)</f>
        <v>1.01336888</v>
      </c>
      <c r="T310" s="78">
        <f>MAX(0, IF(TAB_CORRECAO_U[[#This Row],[ID_T_EVE]]= 5, TAB_CORRECAO_U[[#This Row],[PU_AMORT]],TAB_CORRECAO_U[[#This Row],[V_NOML_PCPL]]) * (TAB_CORRECAO_U[[#This Row],[CORRECAO_U]] -1))</f>
        <v>40.13851512646908</v>
      </c>
      <c r="U310" s="78">
        <f>MAX(0, TAB_CORRECAO_U[[#This Row],[V_FUT_U_CORC-01]]/((((TAB_CORRECAO_U[[#This Row],[TX_CENARIO]]/100 +1)^(1/252) -1) * PC_IDXR/100 +1)^TAB_CORRECAO_U[[#This Row],[Q_DIAS_U_PARC_TIR]]))</f>
        <v>7.0430857770456381</v>
      </c>
      <c r="V310" s="78">
        <f>TAB_CORRECAO_U[[#This Row],[V_FUT_U_CORC-02]]/TAB_CORRECAO_U[[#This Row],[VAR_DESCAP_U]]</f>
        <v>5.3018232263812619</v>
      </c>
      <c r="W310" s="78"/>
      <c r="X310" s="101">
        <f>TAB_CORRECAO_U[[#This Row],[dt_eve_u]]- DT_CALCULO_C</f>
        <v>4210</v>
      </c>
      <c r="Y310" s="48" t="str">
        <f>"CORRECAO_CORC_C" &amp; TEXT(DT_CALCULO_C, "-AAAAMMDD") &amp; TEXT(TAB_CORRECAO_U[[#This Row],[DT_EVE]], "-AAAAMMDD")</f>
        <v>CORRECAO_CORC_C-20151228-20270708</v>
      </c>
      <c r="Z310" s="44">
        <f>IFERROR(VLOOKUP(TAB_CORRECAO_C[[#This Row],[Chave-CORC]],CORRECAO_CORC_C[],2, FALSE), 0)</f>
        <v>1</v>
      </c>
      <c r="AA310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10" s="44">
        <f>(TIR_C/100 +1)^(TAB_CORRECAO_C[[#This Row],[DIAS_CORRIDOS]]/360)</f>
        <v>1.3293416677708936</v>
      </c>
      <c r="AC310" s="78">
        <f>IF(TAB_CORRECAO_C[[#This Row],[DIAS_CORRIDOS]]&lt;0, 0, TAB_CORRECAO_C[[#This Row],[V_FUT_C_CORC]]/TAB_CORRECAO_C[[#This Row],[VAR_DESCAP_C]])</f>
        <v>0</v>
      </c>
      <c r="AD310" s="113">
        <f>TAB_CORRECAO_U[[#This Row],[V_FUT_U_CORC-02]]</f>
        <v>7.0430857770456381</v>
      </c>
      <c r="AE310" s="126">
        <f>IF(TAB_CORRECAO_C[[#This Row],[DIAS_CORRIDOS]]&lt;0, 0, TAB_CORRECAO_C[[#This Row],[V_FUT_UTEIS]]/TAB_CORRECAO_C[[#This Row],[VAR_DESCAP_C]])</f>
        <v>5.2981757420241218</v>
      </c>
      <c r="AF310" s="64"/>
    </row>
    <row r="311" spans="1:32">
      <c r="A311" s="82">
        <f t="shared" si="6"/>
        <v>140</v>
      </c>
      <c r="B311" s="24">
        <f>VLOOKUP($A311, CAD_ATUALIZACAO[#Data], MATCH(B$171, CAD_ATUALIZACAO[#Headers],0), FALSE)</f>
        <v>3</v>
      </c>
      <c r="C311" s="24" t="str">
        <f>VLOOKUP($A311, CAD_ATUALIZACAO[#Data], MATCH(C$171, CAD_ATUALIZACAO[#Headers],0), FALSE)</f>
        <v xml:space="preserve">ATUALIZACAO SOBRE PRINCIPAL                       </v>
      </c>
      <c r="D311" s="36">
        <f>VLOOKUP($A311, CAD_ATUALIZACAO[#Data], MATCH(D$171, CAD_ATUALIZACAO[#Headers],0), FALSE)</f>
        <v>46608</v>
      </c>
      <c r="E311" s="48">
        <f>VLOOKUP($A311, CAD_ATUALIZACAO[#Data], MATCH(E$171, CAD_ATUALIZACAO[#Headers],0), FALSE)</f>
        <v>0</v>
      </c>
      <c r="F311" s="36">
        <f>VLOOKUP($A311, CAD_ATUALIZACAO[#Data], MATCH(F$171, CAD_ATUALIZACAO[#Headers],0), FALSE)</f>
        <v>46612</v>
      </c>
      <c r="G311" s="47">
        <f>WORKDAY(WORKDAY(TAB_CORRECAO_U[[#This Row],[DT_EVE]], -1, TAB_FERIADOS[FER_DATA]), 1, TAB_FERIADOS[FER_DATA])</f>
        <v>46608</v>
      </c>
      <c r="H311" s="75">
        <f>WORKDAY(WORKDAY(TAB_CORRECAO_U[[#This Row],[DT_LQDC_EVE]], -1, TAB_FERIADOS[FER_DATA]), 1, TAB_FERIADOS[FER_DATA])</f>
        <v>46612</v>
      </c>
      <c r="I311" s="48">
        <f>PU_EMISSAO - SUMIF(TAB_AMORTIZACAO_U[dt_eve_u], "&lt;" &amp; TAB_CORRECAO_U[[#This Row],[dt_eve_u]], TAB_AMORTIZACAO_U[V_PU_AMTC])</f>
        <v>2488.9525480000302</v>
      </c>
      <c r="J311" s="48">
        <f>IFERROR(VLOOKUP(TAB_CORRECAO_U[[#This Row],[DT_EVE]], TAB_AMORTIZACAO_U[[DT_EVE]:[V_PU_AMTC]], 2, FALSE), 0)</f>
        <v>507.920546</v>
      </c>
      <c r="K311" s="48">
        <f>NETWORKDAYS(DT_CALCULO_U, TAB_CORRECAO_U[[#This Row],[dt_eve_u]], TAB_FERIADOS[FER_DATA]) -1</f>
        <v>2916</v>
      </c>
      <c r="L311" s="48">
        <f>NETWORKDAYS(DT_CALCULO_U, TAB_CORRECAO_U[[#This Row],[dt_lqdc_eve_u]], TAB_FERIADOS[FER_DATA]) -1</f>
        <v>2920</v>
      </c>
      <c r="M311" s="48">
        <f>NETWORKDAYS(IF(ISTEXT(G310), DT_B_CORC, G310), TAB_CORRECAO_U[[#This Row],[dt_eve_u]], TAB_FERIADOS[FER_DATA]) -1</f>
        <v>22</v>
      </c>
      <c r="N311" s="78">
        <f>(TX_EMISSAO/100 +1)^(TAB_CORRECAO_U[[#This Row],[dias_periodo_u]]/252)</f>
        <v>1.0021580294747356</v>
      </c>
      <c r="O311" s="78">
        <f>(TIR_U/100 +1)^(TAB_CORRECAO_U[[#This Row],[Q_DIAS_U_PARC_TIR]]/252)</f>
        <v>1.3312942173120059</v>
      </c>
      <c r="P311" s="116" t="str">
        <f>"TX_CENARIO" &amp; TEXT(DT_CALCULO_C, "-AAAAMMDD") &amp; TEXT(TAB_CORRECAO_U[[#This Row],[DT_EVE]], "-AAAAMMDD")</f>
        <v>TX_CENARIO-20151228-20270809</v>
      </c>
      <c r="Q311" s="44">
        <f>IFERROR(VLOOKUP(TAB_CORRECAO_U[[#This Row],[Chave-CENARIO]],CENARIO[],2,FALSE), 0)</f>
        <v>16.338799999999999</v>
      </c>
      <c r="R311" s="116" t="str">
        <f>"CORRECAO_CORC_U" &amp; TEXT(DT_CALCULO_C, "-AAAAMMDD") &amp; TEXT(TAB_CORRECAO_U[[#This Row],[DT_EVE]], "-AAAAMMDD")</f>
        <v>CORRECAO_CORC_U-20151228-20270809</v>
      </c>
      <c r="S311" s="44">
        <f>IFERROR(VLOOKUP(TAB_CORRECAO_U[[#This Row],[Chave-CORC]],CORRECAO_CORC_U[],2, FALSE), 0)</f>
        <v>1.01336888</v>
      </c>
      <c r="T311" s="78">
        <f>MAX(0, IF(TAB_CORRECAO_U[[#This Row],[ID_T_EVE]]= 5, TAB_CORRECAO_U[[#This Row],[PU_AMORT]],TAB_CORRECAO_U[[#This Row],[V_NOML_PCPL]]) * (TAB_CORRECAO_U[[#This Row],[CORRECAO_U]] -1))</f>
        <v>33.274507939906712</v>
      </c>
      <c r="U311" s="78">
        <f>MAX(0, TAB_CORRECAO_U[[#This Row],[V_FUT_U_CORC-01]]/((((TAB_CORRECAO_U[[#This Row],[TX_CENARIO]]/100 +1)^(1/252) -1) * PC_IDXR/100 +1)^TAB_CORRECAO_U[[#This Row],[Q_DIAS_U_PARC_TIR]]))</f>
        <v>5.761573589498405</v>
      </c>
      <c r="V311" s="78">
        <f>TAB_CORRECAO_U[[#This Row],[V_FUT_U_CORC-02]]/TAB_CORRECAO_U[[#This Row],[VAR_DESCAP_U]]</f>
        <v>4.3277988551107081</v>
      </c>
      <c r="W311" s="78"/>
      <c r="X311" s="101">
        <f>TAB_CORRECAO_U[[#This Row],[dt_eve_u]]- DT_CALCULO_C</f>
        <v>4242</v>
      </c>
      <c r="Y311" s="48" t="str">
        <f>"CORRECAO_CORC_C" &amp; TEXT(DT_CALCULO_C, "-AAAAMMDD") &amp; TEXT(TAB_CORRECAO_U[[#This Row],[DT_EVE]], "-AAAAMMDD")</f>
        <v>CORRECAO_CORC_C-20151228-20270809</v>
      </c>
      <c r="Z311" s="44">
        <f>IFERROR(VLOOKUP(TAB_CORRECAO_C[[#This Row],[Chave-CORC]],CORRECAO_CORC_C[],2, FALSE), 0)</f>
        <v>1</v>
      </c>
      <c r="AA311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11" s="44">
        <f>(TIR_C/100 +1)^(TAB_CORRECAO_C[[#This Row],[DIAS_CORRIDOS]]/360)</f>
        <v>1.3322213016041349</v>
      </c>
      <c r="AC311" s="78">
        <f>IF(TAB_CORRECAO_C[[#This Row],[DIAS_CORRIDOS]]&lt;0, 0, TAB_CORRECAO_C[[#This Row],[V_FUT_C_CORC]]/TAB_CORRECAO_C[[#This Row],[VAR_DESCAP_C]])</f>
        <v>0</v>
      </c>
      <c r="AD311" s="113">
        <f>TAB_CORRECAO_U[[#This Row],[V_FUT_U_CORC-02]]</f>
        <v>5.761573589498405</v>
      </c>
      <c r="AE311" s="126">
        <f>IF(TAB_CORRECAO_C[[#This Row],[DIAS_CORRIDOS]]&lt;0, 0, TAB_CORRECAO_C[[#This Row],[V_FUT_UTEIS]]/TAB_CORRECAO_C[[#This Row],[VAR_DESCAP_C]])</f>
        <v>4.3247871675380534</v>
      </c>
      <c r="AF311" s="64"/>
    </row>
    <row r="312" spans="1:32">
      <c r="A312" s="82">
        <f t="shared" si="6"/>
        <v>141</v>
      </c>
      <c r="B312" s="24">
        <f>VLOOKUP($A312, CAD_ATUALIZACAO[#Data], MATCH(B$171, CAD_ATUALIZACAO[#Headers],0), FALSE)</f>
        <v>3</v>
      </c>
      <c r="C312" s="24" t="str">
        <f>VLOOKUP($A312, CAD_ATUALIZACAO[#Data], MATCH(C$171, CAD_ATUALIZACAO[#Headers],0), FALSE)</f>
        <v xml:space="preserve">ATUALIZACAO SOBRE PRINCIPAL                       </v>
      </c>
      <c r="D312" s="36">
        <f>VLOOKUP($A312, CAD_ATUALIZACAO[#Data], MATCH(D$171, CAD_ATUALIZACAO[#Headers],0), FALSE)</f>
        <v>46639</v>
      </c>
      <c r="E312" s="48">
        <f>VLOOKUP($A312, CAD_ATUALIZACAO[#Data], MATCH(E$171, CAD_ATUALIZACAO[#Headers],0), FALSE)</f>
        <v>0</v>
      </c>
      <c r="F312" s="36">
        <f>VLOOKUP($A312, CAD_ATUALIZACAO[#Data], MATCH(F$171, CAD_ATUALIZACAO[#Headers],0), FALSE)</f>
        <v>46645</v>
      </c>
      <c r="G312" s="47">
        <f>WORKDAY(WORKDAY(TAB_CORRECAO_U[[#This Row],[DT_EVE]], -1, TAB_FERIADOS[FER_DATA]), 1, TAB_FERIADOS[FER_DATA])</f>
        <v>46639</v>
      </c>
      <c r="H312" s="75">
        <f>WORKDAY(WORKDAY(TAB_CORRECAO_U[[#This Row],[DT_LQDC_EVE]], -1, TAB_FERIADOS[FER_DATA]), 1, TAB_FERIADOS[FER_DATA])</f>
        <v>46645</v>
      </c>
      <c r="I312" s="48">
        <f>PU_EMISSAO - SUMIF(TAB_AMORTIZACAO_U[dt_eve_u], "&lt;" &amp; TAB_CORRECAO_U[[#This Row],[dt_eve_u]], TAB_AMORTIZACAO_U[V_PU_AMTC])</f>
        <v>1981.0320020000363</v>
      </c>
      <c r="J312" s="48">
        <f>IFERROR(VLOOKUP(TAB_CORRECAO_U[[#This Row],[DT_EVE]], TAB_AMORTIZACAO_U[[DT_EVE]:[V_PU_AMTC]], 2, FALSE), 0)</f>
        <v>502.48084299999999</v>
      </c>
      <c r="K312" s="48">
        <f>NETWORKDAYS(DT_CALCULO_U, TAB_CORRECAO_U[[#This Row],[dt_eve_u]], TAB_FERIADOS[FER_DATA]) -1</f>
        <v>2938</v>
      </c>
      <c r="L312" s="48">
        <f>NETWORKDAYS(DT_CALCULO_U, TAB_CORRECAO_U[[#This Row],[dt_lqdc_eve_u]], TAB_FERIADOS[FER_DATA]) -1</f>
        <v>2942</v>
      </c>
      <c r="M312" s="48">
        <f>NETWORKDAYS(IF(ISTEXT(G311), DT_B_CORC, G311), TAB_CORRECAO_U[[#This Row],[dt_eve_u]], TAB_FERIADOS[FER_DATA]) -1</f>
        <v>22</v>
      </c>
      <c r="N312" s="78">
        <f>(TX_EMISSAO/100 +1)^(TAB_CORRECAO_U[[#This Row],[dias_periodo_u]]/252)</f>
        <v>1.0021580294747356</v>
      </c>
      <c r="O312" s="78">
        <f>(TIR_U/100 +1)^(TAB_CORRECAO_U[[#This Row],[Q_DIAS_U_PARC_TIR]]/252)</f>
        <v>1.3341674992306893</v>
      </c>
      <c r="P312" s="116" t="str">
        <f>"TX_CENARIO" &amp; TEXT(DT_CALCULO_C, "-AAAAMMDD") &amp; TEXT(TAB_CORRECAO_U[[#This Row],[DT_EVE]], "-AAAAMMDD")</f>
        <v>TX_CENARIO-20151228-20270909</v>
      </c>
      <c r="Q312" s="44">
        <f>IFERROR(VLOOKUP(TAB_CORRECAO_U[[#This Row],[Chave-CENARIO]],CENARIO[],2,FALSE), 0)</f>
        <v>16.339700000000001</v>
      </c>
      <c r="R312" s="116" t="str">
        <f>"CORRECAO_CORC_U" &amp; TEXT(DT_CALCULO_C, "-AAAAMMDD") &amp; TEXT(TAB_CORRECAO_U[[#This Row],[DT_EVE]], "-AAAAMMDD")</f>
        <v>CORRECAO_CORC_U-20151228-20270909</v>
      </c>
      <c r="S312" s="44">
        <f>IFERROR(VLOOKUP(TAB_CORRECAO_U[[#This Row],[Chave-CORC]],CORRECAO_CORC_U[],2, FALSE), 0)</f>
        <v>1.01336888</v>
      </c>
      <c r="T312" s="78">
        <f>MAX(0, IF(TAB_CORRECAO_U[[#This Row],[ID_T_EVE]]= 5, TAB_CORRECAO_U[[#This Row],[PU_AMORT]],TAB_CORRECAO_U[[#This Row],[V_NOML_PCPL]]) * (TAB_CORRECAO_U[[#This Row],[CORRECAO_U]] -1))</f>
        <v>26.4841791108983</v>
      </c>
      <c r="U312" s="78">
        <f>MAX(0, TAB_CORRECAO_U[[#This Row],[V_FUT_U_CORC-01]]/((((TAB_CORRECAO_U[[#This Row],[TX_CENARIO]]/100 +1)^(1/252) -1) * PC_IDXR/100 +1)^TAB_CORRECAO_U[[#This Row],[Q_DIAS_U_PARC_TIR]]))</f>
        <v>4.5252117318530463</v>
      </c>
      <c r="V312" s="78">
        <f>TAB_CORRECAO_U[[#This Row],[V_FUT_U_CORC-02]]/TAB_CORRECAO_U[[#This Row],[VAR_DESCAP_U]]</f>
        <v>3.3917868142211409</v>
      </c>
      <c r="W312" s="78"/>
      <c r="X312" s="101">
        <f>TAB_CORRECAO_U[[#This Row],[dt_eve_u]]- DT_CALCULO_C</f>
        <v>4273</v>
      </c>
      <c r="Y312" s="48" t="str">
        <f>"CORRECAO_CORC_C" &amp; TEXT(DT_CALCULO_C, "-AAAAMMDD") &amp; TEXT(TAB_CORRECAO_U[[#This Row],[DT_EVE]], "-AAAAMMDD")</f>
        <v>CORRECAO_CORC_C-20151228-20270909</v>
      </c>
      <c r="Z312" s="44">
        <f>IFERROR(VLOOKUP(TAB_CORRECAO_C[[#This Row],[Chave-CORC]],CORRECAO_CORC_C[],2, FALSE), 0)</f>
        <v>1</v>
      </c>
      <c r="AA312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12" s="44">
        <f>(TIR_C/100 +1)^(TAB_CORRECAO_C[[#This Row],[DIAS_CORRIDOS]]/360)</f>
        <v>1.3350168952834969</v>
      </c>
      <c r="AC312" s="78">
        <f>IF(TAB_CORRECAO_C[[#This Row],[DIAS_CORRIDOS]]&lt;0, 0, TAB_CORRECAO_C[[#This Row],[V_FUT_C_CORC]]/TAB_CORRECAO_C[[#This Row],[VAR_DESCAP_C]])</f>
        <v>0</v>
      </c>
      <c r="AD312" s="113">
        <f>TAB_CORRECAO_U[[#This Row],[V_FUT_U_CORC-02]]</f>
        <v>4.5252117318530463</v>
      </c>
      <c r="AE312" s="126">
        <f>IF(TAB_CORRECAO_C[[#This Row],[DIAS_CORRIDOS]]&lt;0, 0, TAB_CORRECAO_C[[#This Row],[V_FUT_UTEIS]]/TAB_CORRECAO_C[[#This Row],[VAR_DESCAP_C]])</f>
        <v>3.3896288113208461</v>
      </c>
      <c r="AF312" s="64"/>
    </row>
    <row r="313" spans="1:32">
      <c r="A313" s="82">
        <f t="shared" si="6"/>
        <v>142</v>
      </c>
      <c r="B313" s="24">
        <f>VLOOKUP($A313, CAD_ATUALIZACAO[#Data], MATCH(B$171, CAD_ATUALIZACAO[#Headers],0), FALSE)</f>
        <v>3</v>
      </c>
      <c r="C313" s="24" t="str">
        <f>VLOOKUP($A313, CAD_ATUALIZACAO[#Data], MATCH(C$171, CAD_ATUALIZACAO[#Headers],0), FALSE)</f>
        <v xml:space="preserve">ATUALIZACAO SOBRE PRINCIPAL                       </v>
      </c>
      <c r="D313" s="36">
        <f>VLOOKUP($A313, CAD_ATUALIZACAO[#Data], MATCH(D$171, CAD_ATUALIZACAO[#Headers],0), FALSE)</f>
        <v>46671</v>
      </c>
      <c r="E313" s="48">
        <f>VLOOKUP($A313, CAD_ATUALIZACAO[#Data], MATCH(E$171, CAD_ATUALIZACAO[#Headers],0), FALSE)</f>
        <v>0</v>
      </c>
      <c r="F313" s="36">
        <f>VLOOKUP($A313, CAD_ATUALIZACAO[#Data], MATCH(F$171, CAD_ATUALIZACAO[#Headers],0), FALSE)</f>
        <v>46675</v>
      </c>
      <c r="G313" s="47">
        <f>WORKDAY(WORKDAY(TAB_CORRECAO_U[[#This Row],[DT_EVE]], -1, TAB_FERIADOS[FER_DATA]), 1, TAB_FERIADOS[FER_DATA])</f>
        <v>46671</v>
      </c>
      <c r="H313" s="75">
        <f>WORKDAY(WORKDAY(TAB_CORRECAO_U[[#This Row],[DT_LQDC_EVE]], -1, TAB_FERIADOS[FER_DATA]), 1, TAB_FERIADOS[FER_DATA])</f>
        <v>46675</v>
      </c>
      <c r="I313" s="48">
        <f>PU_EMISSAO - SUMIF(TAB_AMORTIZACAO_U[dt_eve_u], "&lt;" &amp; TAB_CORRECAO_U[[#This Row],[dt_eve_u]], TAB_AMORTIZACAO_U[V_PU_AMTC])</f>
        <v>1478.5511590000388</v>
      </c>
      <c r="J313" s="48">
        <f>IFERROR(VLOOKUP(TAB_CORRECAO_U[[#This Row],[DT_EVE]], TAB_AMORTIZACAO_U[[DT_EVE]:[V_PU_AMTC]], 2, FALSE), 0)</f>
        <v>497.554643</v>
      </c>
      <c r="K313" s="48">
        <f>NETWORKDAYS(DT_CALCULO_U, TAB_CORRECAO_U[[#This Row],[dt_eve_u]], TAB_FERIADOS[FER_DATA]) -1</f>
        <v>2960</v>
      </c>
      <c r="L313" s="48">
        <f>NETWORKDAYS(DT_CALCULO_U, TAB_CORRECAO_U[[#This Row],[dt_lqdc_eve_u]], TAB_FERIADOS[FER_DATA]) -1</f>
        <v>2963</v>
      </c>
      <c r="M313" s="48">
        <f>NETWORKDAYS(IF(ISTEXT(G312), DT_B_CORC, G312), TAB_CORRECAO_U[[#This Row],[dt_eve_u]], TAB_FERIADOS[FER_DATA]) -1</f>
        <v>22</v>
      </c>
      <c r="N313" s="78">
        <f>(TX_EMISSAO/100 +1)^(TAB_CORRECAO_U[[#This Row],[dias_periodo_u]]/252)</f>
        <v>1.0021580294747356</v>
      </c>
      <c r="O313" s="78">
        <f>(TIR_U/100 +1)^(TAB_CORRECAO_U[[#This Row],[Q_DIAS_U_PARC_TIR]]/252)</f>
        <v>1.336915962123028</v>
      </c>
      <c r="P313" s="116" t="str">
        <f>"TX_CENARIO" &amp; TEXT(DT_CALCULO_C, "-AAAAMMDD") &amp; TEXT(TAB_CORRECAO_U[[#This Row],[DT_EVE]], "-AAAAMMDD")</f>
        <v>TX_CENARIO-20151228-20271011</v>
      </c>
      <c r="Q313" s="44">
        <f>IFERROR(VLOOKUP(TAB_CORRECAO_U[[#This Row],[Chave-CENARIO]],CENARIO[],2,FALSE), 0)</f>
        <v>16.340499999999999</v>
      </c>
      <c r="R313" s="116" t="str">
        <f>"CORRECAO_CORC_U" &amp; TEXT(DT_CALCULO_C, "-AAAAMMDD") &amp; TEXT(TAB_CORRECAO_U[[#This Row],[DT_EVE]], "-AAAAMMDD")</f>
        <v>CORRECAO_CORC_U-20151228-20271011</v>
      </c>
      <c r="S313" s="44">
        <f>IFERROR(VLOOKUP(TAB_CORRECAO_U[[#This Row],[Chave-CORC]],CORRECAO_CORC_U[],2, FALSE), 0)</f>
        <v>1.01336888</v>
      </c>
      <c r="T313" s="78">
        <f>MAX(0, IF(TAB_CORRECAO_U[[#This Row],[ID_T_EVE]]= 5, TAB_CORRECAO_U[[#This Row],[PU_AMORT]],TAB_CORRECAO_U[[#This Row],[V_NOML_PCPL]]) * (TAB_CORRECAO_U[[#This Row],[CORRECAO_U]] -1))</f>
        <v>19.76657301853248</v>
      </c>
      <c r="U313" s="78">
        <f>MAX(0, TAB_CORRECAO_U[[#This Row],[V_FUT_U_CORC-01]]/((((TAB_CORRECAO_U[[#This Row],[TX_CENARIO]]/100 +1)^(1/252) -1) * PC_IDXR/100 +1)^TAB_CORRECAO_U[[#This Row],[Q_DIAS_U_PARC_TIR]]))</f>
        <v>3.3348117819956702</v>
      </c>
      <c r="V313" s="78">
        <f>TAB_CORRECAO_U[[#This Row],[V_FUT_U_CORC-02]]/TAB_CORRECAO_U[[#This Row],[VAR_DESCAP_U]]</f>
        <v>2.4944064372602566</v>
      </c>
      <c r="W313" s="78"/>
      <c r="X313" s="101">
        <f>TAB_CORRECAO_U[[#This Row],[dt_eve_u]]- DT_CALCULO_C</f>
        <v>4305</v>
      </c>
      <c r="Y313" s="48" t="str">
        <f>"CORRECAO_CORC_C" &amp; TEXT(DT_CALCULO_C, "-AAAAMMDD") &amp; TEXT(TAB_CORRECAO_U[[#This Row],[DT_EVE]], "-AAAAMMDD")</f>
        <v>CORRECAO_CORC_C-20151228-20271011</v>
      </c>
      <c r="Z313" s="44">
        <f>IFERROR(VLOOKUP(TAB_CORRECAO_C[[#This Row],[Chave-CORC]],CORRECAO_CORC_C[],2, FALSE), 0)</f>
        <v>1</v>
      </c>
      <c r="AA313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13" s="44">
        <f>(TIR_C/100 +1)^(TAB_CORRECAO_C[[#This Row],[DIAS_CORRIDOS]]/360)</f>
        <v>1.3379088228539713</v>
      </c>
      <c r="AC313" s="78">
        <f>IF(TAB_CORRECAO_C[[#This Row],[DIAS_CORRIDOS]]&lt;0, 0, TAB_CORRECAO_C[[#This Row],[V_FUT_C_CORC]]/TAB_CORRECAO_C[[#This Row],[VAR_DESCAP_C]])</f>
        <v>0</v>
      </c>
      <c r="AD313" s="113">
        <f>TAB_CORRECAO_U[[#This Row],[V_FUT_U_CORC-02]]</f>
        <v>3.3348117819956702</v>
      </c>
      <c r="AE313" s="126">
        <f>IF(TAB_CORRECAO_C[[#This Row],[DIAS_CORRIDOS]]&lt;0, 0, TAB_CORRECAO_C[[#This Row],[V_FUT_UTEIS]]/TAB_CORRECAO_C[[#This Row],[VAR_DESCAP_C]])</f>
        <v>2.4925553408654477</v>
      </c>
      <c r="AF313" s="64"/>
    </row>
    <row r="314" spans="1:32">
      <c r="A314" s="82">
        <f t="shared" si="6"/>
        <v>143</v>
      </c>
      <c r="B314" s="24">
        <f>VLOOKUP($A314, CAD_ATUALIZACAO[#Data], MATCH(B$171, CAD_ATUALIZACAO[#Headers],0), FALSE)</f>
        <v>3</v>
      </c>
      <c r="C314" s="24" t="str">
        <f>VLOOKUP($A314, CAD_ATUALIZACAO[#Data], MATCH(C$171, CAD_ATUALIZACAO[#Headers],0), FALSE)</f>
        <v xml:space="preserve">ATUALIZACAO SOBRE PRINCIPAL                       </v>
      </c>
      <c r="D314" s="36">
        <f>VLOOKUP($A314, CAD_ATUALIZACAO[#Data], MATCH(D$171, CAD_ATUALIZACAO[#Headers],0), FALSE)</f>
        <v>46701</v>
      </c>
      <c r="E314" s="48">
        <f>VLOOKUP($A314, CAD_ATUALIZACAO[#Data], MATCH(E$171, CAD_ATUALIZACAO[#Headers],0), FALSE)</f>
        <v>0</v>
      </c>
      <c r="F314" s="36">
        <f>VLOOKUP($A314, CAD_ATUALIZACAO[#Data], MATCH(F$171, CAD_ATUALIZACAO[#Headers],0), FALSE)</f>
        <v>46707</v>
      </c>
      <c r="G314" s="47">
        <f>WORKDAY(WORKDAY(TAB_CORRECAO_U[[#This Row],[DT_EVE]], -1, TAB_FERIADOS[FER_DATA]), 1, TAB_FERIADOS[FER_DATA])</f>
        <v>46701</v>
      </c>
      <c r="H314" s="75">
        <f>WORKDAY(WORKDAY(TAB_CORRECAO_U[[#This Row],[DT_LQDC_EVE]], -1, TAB_FERIADOS[FER_DATA]), 1, TAB_FERIADOS[FER_DATA])</f>
        <v>46707</v>
      </c>
      <c r="I314" s="48">
        <f>PU_EMISSAO - SUMIF(TAB_AMORTIZACAO_U[dt_eve_u], "&lt;" &amp; TAB_CORRECAO_U[[#This Row],[dt_eve_u]], TAB_AMORTIZACAO_U[V_PU_AMTC])</f>
        <v>980.9965160000429</v>
      </c>
      <c r="J314" s="48">
        <f>IFERROR(VLOOKUP(TAB_CORRECAO_U[[#This Row],[DT_EVE]], TAB_AMORTIZACAO_U[[DT_EVE]:[V_PU_AMTC]], 2, FALSE), 0)</f>
        <v>492.88306</v>
      </c>
      <c r="K314" s="48">
        <f>NETWORKDAYS(DT_CALCULO_U, TAB_CORRECAO_U[[#This Row],[dt_eve_u]], TAB_FERIADOS[FER_DATA]) -1</f>
        <v>2980</v>
      </c>
      <c r="L314" s="48">
        <f>NETWORKDAYS(DT_CALCULO_U, TAB_CORRECAO_U[[#This Row],[dt_lqdc_eve_u]], TAB_FERIADOS[FER_DATA]) -1</f>
        <v>2983</v>
      </c>
      <c r="M314" s="48">
        <f>NETWORKDAYS(IF(ISTEXT(G313), DT_B_CORC, G313), TAB_CORRECAO_U[[#This Row],[dt_eve_u]], TAB_FERIADOS[FER_DATA]) -1</f>
        <v>20</v>
      </c>
      <c r="N314" s="78">
        <f>(TX_EMISSAO/100 +1)^(TAB_CORRECAO_U[[#This Row],[dias_periodo_u]]/252)</f>
        <v>1.0019616526860928</v>
      </c>
      <c r="O314" s="78">
        <f>(TIR_U/100 +1)^(TAB_CORRECAO_U[[#This Row],[Q_DIAS_U_PARC_TIR]]/252)</f>
        <v>1.3395388096432594</v>
      </c>
      <c r="P314" s="116" t="str">
        <f>"TX_CENARIO" &amp; TEXT(DT_CALCULO_C, "-AAAAMMDD") &amp; TEXT(TAB_CORRECAO_U[[#This Row],[DT_EVE]], "-AAAAMMDD")</f>
        <v>TX_CENARIO-20151228-20271110</v>
      </c>
      <c r="Q314" s="44">
        <f>IFERROR(VLOOKUP(TAB_CORRECAO_U[[#This Row],[Chave-CENARIO]],CENARIO[],2,FALSE), 0)</f>
        <v>16.341200000000001</v>
      </c>
      <c r="R314" s="116" t="str">
        <f>"CORRECAO_CORC_U" &amp; TEXT(DT_CALCULO_C, "-AAAAMMDD") &amp; TEXT(TAB_CORRECAO_U[[#This Row],[DT_EVE]], "-AAAAMMDD")</f>
        <v>CORRECAO_CORC_U-20151228-20271110</v>
      </c>
      <c r="S314" s="44">
        <f>IFERROR(VLOOKUP(TAB_CORRECAO_U[[#This Row],[Chave-CORC]],CORRECAO_CORC_U[],2, FALSE), 0)</f>
        <v>1.01214618</v>
      </c>
      <c r="T314" s="78">
        <f>MAX(0, IF(TAB_CORRECAO_U[[#This Row],[ID_T_EVE]]= 5, TAB_CORRECAO_U[[#This Row],[PU_AMORT]],TAB_CORRECAO_U[[#This Row],[V_NOML_PCPL]]) * (TAB_CORRECAO_U[[#This Row],[CORRECAO_U]] -1))</f>
        <v>11.915360262709408</v>
      </c>
      <c r="U314" s="78">
        <f>MAX(0, TAB_CORRECAO_U[[#This Row],[V_FUT_U_CORC-01]]/((((TAB_CORRECAO_U[[#This Row],[TX_CENARIO]]/100 +1)^(1/252) -1) * PC_IDXR/100 +1)^TAB_CORRECAO_U[[#This Row],[Q_DIAS_U_PARC_TIR]]))</f>
        <v>1.986092412030942</v>
      </c>
      <c r="V314" s="78">
        <f>TAB_CORRECAO_U[[#This Row],[V_FUT_U_CORC-02]]/TAB_CORRECAO_U[[#This Row],[VAR_DESCAP_U]]</f>
        <v>1.4826688093940854</v>
      </c>
      <c r="W314" s="78"/>
      <c r="X314" s="101">
        <f>TAB_CORRECAO_U[[#This Row],[dt_eve_u]]- DT_CALCULO_C</f>
        <v>4335</v>
      </c>
      <c r="Y314" s="48" t="str">
        <f>"CORRECAO_CORC_C" &amp; TEXT(DT_CALCULO_C, "-AAAAMMDD") &amp; TEXT(TAB_CORRECAO_U[[#This Row],[DT_EVE]], "-AAAAMMDD")</f>
        <v>CORRECAO_CORC_C-20151228-20271110</v>
      </c>
      <c r="Z314" s="44">
        <f>IFERROR(VLOOKUP(TAB_CORRECAO_C[[#This Row],[Chave-CORC]],CORRECAO_CORC_C[],2, FALSE), 0)</f>
        <v>1</v>
      </c>
      <c r="AA314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14" s="44">
        <f>(TIR_C/100 +1)^(TAB_CORRECAO_C[[#This Row],[DIAS_CORRIDOS]]/360)</f>
        <v>1.3406256941547408</v>
      </c>
      <c r="AC314" s="78">
        <f>IF(TAB_CORRECAO_C[[#This Row],[DIAS_CORRIDOS]]&lt;0, 0, TAB_CORRECAO_C[[#This Row],[V_FUT_C_CORC]]/TAB_CORRECAO_C[[#This Row],[VAR_DESCAP_C]])</f>
        <v>0</v>
      </c>
      <c r="AD314" s="113">
        <f>TAB_CORRECAO_U[[#This Row],[V_FUT_U_CORC-02]]</f>
        <v>1.986092412030942</v>
      </c>
      <c r="AE314" s="126">
        <f>IF(TAB_CORRECAO_C[[#This Row],[DIAS_CORRIDOS]]&lt;0, 0, TAB_CORRECAO_C[[#This Row],[V_FUT_UTEIS]]/TAB_CORRECAO_C[[#This Row],[VAR_DESCAP_C]])</f>
        <v>1.4814667663692405</v>
      </c>
      <c r="AF314" s="64"/>
    </row>
    <row r="315" spans="1:32">
      <c r="A315" s="82">
        <f t="shared" si="6"/>
        <v>144</v>
      </c>
      <c r="B315" s="24">
        <f>VLOOKUP($A315, CAD_ATUALIZACAO[#Data], MATCH(B$171, CAD_ATUALIZACAO[#Headers],0), FALSE)</f>
        <v>3</v>
      </c>
      <c r="C315" s="24" t="str">
        <f>VLOOKUP($A315, CAD_ATUALIZACAO[#Data], MATCH(C$171, CAD_ATUALIZACAO[#Headers],0), FALSE)</f>
        <v xml:space="preserve">ATUALIZACAO SOBRE PRINCIPAL                       </v>
      </c>
      <c r="D315" s="36">
        <f>VLOOKUP($A315, CAD_ATUALIZACAO[#Data], MATCH(D$171, CAD_ATUALIZACAO[#Headers],0), FALSE)</f>
        <v>46729</v>
      </c>
      <c r="E315" s="48">
        <f>VLOOKUP($A315, CAD_ATUALIZACAO[#Data], MATCH(E$171, CAD_ATUALIZACAO[#Headers],0), FALSE)</f>
        <v>0</v>
      </c>
      <c r="F315" s="36">
        <f>VLOOKUP($A315, CAD_ATUALIZACAO[#Data], MATCH(F$171, CAD_ATUALIZACAO[#Headers],0), FALSE)</f>
        <v>46735</v>
      </c>
      <c r="G315" s="47">
        <f>WORKDAY(WORKDAY(TAB_CORRECAO_U[[#This Row],[DT_EVE]], -1, TAB_FERIADOS[FER_DATA]), 1, TAB_FERIADOS[FER_DATA])</f>
        <v>46729</v>
      </c>
      <c r="H315" s="75">
        <f>WORKDAY(WORKDAY(TAB_CORRECAO_U[[#This Row],[DT_LQDC_EVE]], -1, TAB_FERIADOS[FER_DATA]), 1, TAB_FERIADOS[FER_DATA])</f>
        <v>46735</v>
      </c>
      <c r="I315" s="48">
        <f>PU_EMISSAO - SUMIF(TAB_AMORTIZACAO_U[dt_eve_u], "&lt;" &amp; TAB_CORRECAO_U[[#This Row],[dt_eve_u]], TAB_AMORTIZACAO_U[V_PU_AMTC])</f>
        <v>488.11345600005006</v>
      </c>
      <c r="J315" s="48">
        <f>IFERROR(VLOOKUP(TAB_CORRECAO_U[[#This Row],[DT_EVE]], TAB_AMORTIZACAO_U[[DT_EVE]:[V_PU_AMTC]], 2, FALSE), 0)</f>
        <v>488.11345599999999</v>
      </c>
      <c r="K315" s="48">
        <f>NETWORKDAYS(DT_CALCULO_U, TAB_CORRECAO_U[[#This Row],[dt_eve_u]], TAB_FERIADOS[FER_DATA]) -1</f>
        <v>2999</v>
      </c>
      <c r="L315" s="48">
        <f>NETWORKDAYS(DT_CALCULO_U, TAB_CORRECAO_U[[#This Row],[dt_lqdc_eve_u]], TAB_FERIADOS[FER_DATA]) -1</f>
        <v>3003</v>
      </c>
      <c r="M315" s="48">
        <f>NETWORKDAYS(IF(ISTEXT(G314), DT_B_CORC, G314), TAB_CORRECAO_U[[#This Row],[dt_eve_u]], TAB_FERIADOS[FER_DATA]) -1</f>
        <v>19</v>
      </c>
      <c r="N315" s="78">
        <f>(TX_EMISSAO/100 +1)^(TAB_CORRECAO_U[[#This Row],[dias_periodo_u]]/252)</f>
        <v>1.0018634787225431</v>
      </c>
      <c r="O315" s="78">
        <f>(TIR_U/100 +1)^(TAB_CORRECAO_U[[#This Row],[Q_DIAS_U_PARC_TIR]]/252)</f>
        <v>1.3421668028340559</v>
      </c>
      <c r="P315" s="116" t="str">
        <f>"TX_CENARIO" &amp; TEXT(DT_CALCULO_C, "-AAAAMMDD") &amp; TEXT(TAB_CORRECAO_U[[#This Row],[DT_EVE]], "-AAAAMMDD")</f>
        <v>TX_CENARIO-20151228-20271208</v>
      </c>
      <c r="Q315" s="44">
        <f>IFERROR(VLOOKUP(TAB_CORRECAO_U[[#This Row],[Chave-CENARIO]],CENARIO[],2,FALSE), 0)</f>
        <v>16.341899999999999</v>
      </c>
      <c r="R315" s="116" t="str">
        <f>"CORRECAO_CORC_U" &amp; TEXT(DT_CALCULO_C, "-AAAAMMDD") &amp; TEXT(TAB_CORRECAO_U[[#This Row],[DT_EVE]], "-AAAAMMDD")</f>
        <v>CORRECAO_CORC_U-20151228-20271208</v>
      </c>
      <c r="S315" s="44">
        <f>IFERROR(VLOOKUP(TAB_CORRECAO_U[[#This Row],[Chave-CORC]],CORRECAO_CORC_U[],2, FALSE), 0)</f>
        <v>1.01153538</v>
      </c>
      <c r="T315" s="78">
        <f>MAX(0, IF(TAB_CORRECAO_U[[#This Row],[ID_T_EVE]]= 5, TAB_CORRECAO_U[[#This Row],[PU_AMORT]],TAB_CORRECAO_U[[#This Row],[V_NOML_PCPL]]) * (TAB_CORRECAO_U[[#This Row],[CORRECAO_U]] -1))</f>
        <v>5.63057419807385</v>
      </c>
      <c r="U315" s="78">
        <f>MAX(0, TAB_CORRECAO_U[[#This Row],[V_FUT_U_CORC-01]]/((((TAB_CORRECAO_U[[#This Row],[TX_CENARIO]]/100 +1)^(1/252) -1) * PC_IDXR/100 +1)^TAB_CORRECAO_U[[#This Row],[Q_DIAS_U_PARC_TIR]]))</f>
        <v>0.92725006791103803</v>
      </c>
      <c r="V315" s="78">
        <f>TAB_CORRECAO_U[[#This Row],[V_FUT_U_CORC-02]]/TAB_CORRECAO_U[[#This Row],[VAR_DESCAP_U]]</f>
        <v>0.69086052937168518</v>
      </c>
      <c r="W315" s="78"/>
      <c r="X315" s="101">
        <f>TAB_CORRECAO_U[[#This Row],[dt_eve_u]]- DT_CALCULO_C</f>
        <v>4363</v>
      </c>
      <c r="Y315" s="48" t="str">
        <f>"CORRECAO_CORC_C" &amp; TEXT(DT_CALCULO_C, "-AAAAMMDD") &amp; TEXT(TAB_CORRECAO_U[[#This Row],[DT_EVE]], "-AAAAMMDD")</f>
        <v>CORRECAO_CORC_C-20151228-20271208</v>
      </c>
      <c r="Z315" s="44">
        <f>IFERROR(VLOOKUP(TAB_CORRECAO_C[[#This Row],[Chave-CORC]],CORRECAO_CORC_C[],2, FALSE), 0)</f>
        <v>1</v>
      </c>
      <c r="AA315" s="78">
        <f>IF(TAB_CORRECAO_U[[#This Row],[Q_DIAS_U_PARC]] &lt; 0, 0, IF(TAB_CORRECAO_U[[#This Row],[ID_T_EVE]]=5, TAB_CORRECAO_U[[#This Row],[PU_AMORT]],TAB_CORRECAO_U[[#This Row],[V_NOML_PCPL]]) * (TAB_CORRECAO_C[[#This Row],[CORRECAO_C]] -1))</f>
        <v>0</v>
      </c>
      <c r="AB315" s="44">
        <f>(TIR_C/100 +1)^(TAB_CORRECAO_C[[#This Row],[DIAS_CORRIDOS]]/360)</f>
        <v>1.3431664181365441</v>
      </c>
      <c r="AC315" s="78">
        <f>IF(TAB_CORRECAO_C[[#This Row],[DIAS_CORRIDOS]]&lt;0, 0, TAB_CORRECAO_C[[#This Row],[V_FUT_C_CORC]]/TAB_CORRECAO_C[[#This Row],[VAR_DESCAP_C]])</f>
        <v>0</v>
      </c>
      <c r="AD315" s="113">
        <f>TAB_CORRECAO_U[[#This Row],[V_FUT_U_CORC-02]]</f>
        <v>0.92725006791103803</v>
      </c>
      <c r="AE315" s="126">
        <f>IF(TAB_CORRECAO_C[[#This Row],[DIAS_CORRIDOS]]&lt;0, 0, TAB_CORRECAO_C[[#This Row],[V_FUT_UTEIS]]/TAB_CORRECAO_C[[#This Row],[VAR_DESCAP_C]])</f>
        <v>0.69034637509584851</v>
      </c>
      <c r="AF315" s="64"/>
    </row>
    <row r="316" spans="1:32">
      <c r="A316" s="82"/>
      <c r="D316" s="36"/>
      <c r="E316" s="48"/>
      <c r="F316" s="36"/>
      <c r="G316" s="75"/>
      <c r="H316" s="75"/>
      <c r="I316" s="48"/>
      <c r="J316" s="48"/>
      <c r="K316" s="48"/>
      <c r="L316" s="78"/>
      <c r="M316" s="78"/>
      <c r="N316" s="48"/>
      <c r="O316" s="44"/>
      <c r="P316" s="48"/>
      <c r="Q316" s="44"/>
      <c r="R316" s="78"/>
      <c r="S316" s="78"/>
      <c r="T316" s="78"/>
      <c r="U316" s="78"/>
      <c r="V316" s="78"/>
      <c r="W316" s="78"/>
      <c r="X316" s="78"/>
      <c r="Z316" s="48"/>
      <c r="AA316" s="48"/>
      <c r="AB316" s="44"/>
      <c r="AC316" s="78"/>
      <c r="AD316" s="63"/>
      <c r="AE316" s="64"/>
    </row>
    <row r="317" spans="1:32">
      <c r="U317" s="24" t="s">
        <v>961</v>
      </c>
      <c r="W317" s="78"/>
      <c r="X317" s="78"/>
      <c r="Z317" s="48"/>
      <c r="AA317" s="48"/>
      <c r="AB317" s="44"/>
      <c r="AC317" s="78"/>
      <c r="AD317" s="63"/>
      <c r="AE317" s="64"/>
    </row>
    <row r="318" spans="1:32">
      <c r="A318" s="84" t="s">
        <v>226</v>
      </c>
      <c r="B318" s="24" t="s">
        <v>76</v>
      </c>
      <c r="C318" s="24" t="s">
        <v>77</v>
      </c>
      <c r="D318" s="24" t="s">
        <v>78</v>
      </c>
      <c r="E318" s="24" t="s">
        <v>79</v>
      </c>
      <c r="F318" s="24" t="s">
        <v>80</v>
      </c>
      <c r="G318" s="45" t="s">
        <v>85</v>
      </c>
      <c r="H318" s="76" t="s">
        <v>223</v>
      </c>
      <c r="I318" s="24" t="s">
        <v>90</v>
      </c>
      <c r="J318" s="102" t="s">
        <v>240</v>
      </c>
      <c r="K318" s="24" t="s">
        <v>93</v>
      </c>
      <c r="L318" s="121" t="s">
        <v>256</v>
      </c>
      <c r="M318" s="24" t="s">
        <v>86</v>
      </c>
      <c r="N318" s="24" t="s">
        <v>89</v>
      </c>
      <c r="O318" s="24" t="s">
        <v>84</v>
      </c>
      <c r="P318" s="24" t="s">
        <v>99</v>
      </c>
      <c r="Q318" s="24" t="s">
        <v>92</v>
      </c>
      <c r="R318" s="24" t="s">
        <v>100</v>
      </c>
      <c r="S318" s="24" t="s">
        <v>91</v>
      </c>
      <c r="T318" s="24" t="s">
        <v>97</v>
      </c>
      <c r="U318" s="24" t="s">
        <v>98</v>
      </c>
      <c r="V318" s="24" t="s">
        <v>83</v>
      </c>
      <c r="X318" s="24" t="s">
        <v>138</v>
      </c>
      <c r="Y318" s="24" t="s">
        <v>100</v>
      </c>
      <c r="Z318" s="84" t="s">
        <v>232</v>
      </c>
      <c r="AA318" s="24" t="s">
        <v>140</v>
      </c>
      <c r="AB318" s="24" t="s">
        <v>137</v>
      </c>
      <c r="AC318" s="24" t="s">
        <v>130</v>
      </c>
      <c r="AD318" s="114" t="s">
        <v>255</v>
      </c>
      <c r="AE318" s="127" t="s">
        <v>257</v>
      </c>
      <c r="AF318" s="64"/>
    </row>
    <row r="319" spans="1:32">
      <c r="A319" s="82">
        <v>1</v>
      </c>
      <c r="B319" s="24">
        <f>VLOOKUP($A319, CAD_AMORTIZACAO[#Data], MATCH(B$318, CAD_ATUALIZACAO[#Headers],0), FALSE)</f>
        <v>4</v>
      </c>
      <c r="C319" s="24" t="str">
        <f>VLOOKUP($A319, CAD_AMORTIZACAO[#Data], MATCH(C$318, CAD_ATUALIZACAO[#Headers],0), FALSE)</f>
        <v xml:space="preserve">AMORTIZACAO                                       </v>
      </c>
      <c r="D319" s="36">
        <f>VLOOKUP($A319, CAD_AMORTIZACAO[#Data], MATCH(D$318, CAD_ATUALIZACAO[#Headers],0), FALSE)</f>
        <v>42380</v>
      </c>
      <c r="E319" s="48">
        <f>VLOOKUP($A319, CAD_AMORTIZACAO[#Data], MATCH(E$318, CAD_ATUALIZACAO[#Headers],0), FALSE)</f>
        <v>1007.6</v>
      </c>
      <c r="F319" s="36">
        <f>VLOOKUP($A319, CAD_AMORTIZACAO[#Data], MATCH(F$318, CAD_ATUALIZACAO[#Headers],0), FALSE)</f>
        <v>42384</v>
      </c>
      <c r="G319" s="47">
        <f>WORKDAY(WORKDAY(TAB_AMORTIZACAO_U[[#This Row],[DT_EVE]], -1, TAB_FERIADOS[FER_DATA]), 1, TAB_FERIADOS[FER_DATA])</f>
        <v>42380</v>
      </c>
      <c r="H319" s="75">
        <f>WORKDAY(WORKDAY(TAB_AMORTIZACAO_U[[#This Row],[DT_LQDC_EVE]], -1, TAB_FERIADOS[FER_DATA]), 1, TAB_FERIADOS[FER_DATA])</f>
        <v>42384</v>
      </c>
      <c r="I319" s="48">
        <f>PU_EMISSAO - SUMIF(TAB_AMORTIZACAO_U[dt_eve_u], "&lt;" &amp; TAB_AMORTIZACAO_U[[#This Row],[dt_eve_u]], TAB_AMORTIZACAO_U[V_PU_AMTC])</f>
        <v>100000</v>
      </c>
      <c r="J319" s="48">
        <f>IFERROR(VLOOKUP(TAB_AMORTIZACAO_U[[#This Row],[DT_EVE]], TAB_AMORTIZACAO_U[[DT_EVE]:[V_PU_AMTC]], 2, FALSE), 0)</f>
        <v>1007.6</v>
      </c>
      <c r="K319" s="48">
        <f>NETWORKDAYS(DT_CALCULO_U, TAB_AMORTIZACAO_U[[#This Row],[dt_eve_u]], TAB_FERIADOS[FER_DATA]) -1</f>
        <v>9</v>
      </c>
      <c r="L319" s="48">
        <f>NETWORKDAYS(DT_CALCULO_U, TAB_AMORTIZACAO_U[[#This Row],[dt_lqdc_eve_u]], TAB_FERIADOS[FER_DATA]) -1</f>
        <v>13</v>
      </c>
      <c r="M319" s="48">
        <f>NETWORKDAYS(IF(ISTEXT(G318), DT_B_CORC, G318), TAB_AMORTIZACAO_U[[#This Row],[dt_eve_u]], TAB_FERIADOS[FER_DATA]) -1</f>
        <v>20</v>
      </c>
      <c r="N319" s="78">
        <f>(TX_EMISSAO/100 +1)^(TAB_AMORTIZACAO_U[[#This Row],[dias_periodo_u]]/252)</f>
        <v>1.0019616526860928</v>
      </c>
      <c r="O319" s="78">
        <f>(TIR_U/100 +1)^(TAB_AMORTIZACAO_U[[#This Row],[Q_DIAS_U_PARC_TIR]]/252)</f>
        <v>1.0012747742809247</v>
      </c>
      <c r="P319" s="116" t="str">
        <f>"TX_CENARIO" &amp; TEXT(DT_CALCULO_C, "-AAAAMMDD") &amp; TEXT(TAB_AMORTIZACAO_U[[#This Row],[DT_EVE]], "-AAAAMMDD")</f>
        <v>TX_CENARIO-20151228-20160111</v>
      </c>
      <c r="Q319" s="44">
        <f>IFERROR(VLOOKUP(TAB_AMORTIZACAO_U[[#This Row],[Chave-CENARIO]],CENARIO[],2,FALSE), 0)</f>
        <v>14.271121239999999</v>
      </c>
      <c r="R319" s="117" t="str">
        <f t="shared" ref="R319:S334" si="7">"n/a"</f>
        <v>n/a</v>
      </c>
      <c r="S319" s="49" t="str">
        <f t="shared" si="7"/>
        <v>n/a</v>
      </c>
      <c r="T319" s="78">
        <f>IF(TAB_AMORTIZACAO_U[[#This Row],[Q_DIAS_U_PARC_TIR]]&lt;0, 0, TAB_AMORTIZACAO_U[[#This Row],[PU_AMORT]])</f>
        <v>1007.6</v>
      </c>
      <c r="U319" s="78">
        <f>MAX(0, TAB_AMORTIZACAO_U[[#This Row],[V_FUT_U_PCPL-01]]/((((TAB_AMORTIZACAO_U[[#This Row],[TX_CENARIO]]/100 +1)^(1/252) -1) * PC_IDXR/100 +1)^TAB_AMORTIZACAO_U[[#This Row],[Q_DIAS_U_PARC_TIR]]))</f>
        <v>1000.6895664746243</v>
      </c>
      <c r="V319" s="78">
        <f>+TAB_AMORTIZACAO_U[[#This Row],[V_FUT_U_PCPL-02]]/TAB_AMORTIZACAO_U[[#This Row],[VAR_DESCAP_U]]</f>
        <v>999.41553725177914</v>
      </c>
      <c r="W319" s="78"/>
      <c r="X319" s="101">
        <f>TAB_AMORTIZACAO_U[[#This Row],[dt_eve_u]]- DT_CALCULO_C</f>
        <v>14</v>
      </c>
      <c r="Y319" s="49" t="str">
        <f t="shared" ref="Y319:Z334" si="8">"n/a"</f>
        <v>n/a</v>
      </c>
      <c r="Z319" s="49" t="str">
        <f t="shared" si="8"/>
        <v>n/a</v>
      </c>
      <c r="AA319" s="44">
        <f>TAB_AMORTIZACAO_U[[#This Row],[V_PU_AMTC]]</f>
        <v>1007.6</v>
      </c>
      <c r="AB319" s="44">
        <f>(TIR_C/100 +1)^(TAB_AMORTIZACAO_C[[#This Row],[DIAS_CORRIDOS]]/360)</f>
        <v>1.0009471403357881</v>
      </c>
      <c r="AC319" s="44">
        <f>IF(TAB_AMORTIZACAO_C[[#This Row],[DIAS_CORRIDOS]]&lt;0, 0, TAB_AMORTIZACAO_C[[#This Row],[V_FUT_C_PCPL]]/TAB_AMORTIZACAO_C[[#This Row],[VAR_DESCAP_C]])</f>
        <v>1006.6465644349412</v>
      </c>
      <c r="AD319" s="115">
        <f>TAB_AMORTIZACAO_U[[#This Row],[V_FUT_U_PCPL-02]]</f>
        <v>1000.6895664746243</v>
      </c>
      <c r="AE319" s="127">
        <f>IF(TAB_AMORTIZACAO_C[[#This Row],[DIAS_CORRIDOS]]&lt;0, 0, TAB_AMORTIZACAO_C[[#This Row],[V_FUT_UTEIS]]/TAB_AMORTIZACAO_C[[#This Row],[VAR_DESCAP_C]])</f>
        <v>999.74266986658506</v>
      </c>
      <c r="AF319" s="64"/>
    </row>
    <row r="320" spans="1:32">
      <c r="A320" s="82">
        <f>+A319+1</f>
        <v>2</v>
      </c>
      <c r="B320" s="24">
        <f>VLOOKUP($A320, CAD_AMORTIZACAO[#Data], MATCH(B$318, CAD_ATUALIZACAO[#Headers],0), FALSE)</f>
        <v>4</v>
      </c>
      <c r="C320" s="24" t="str">
        <f>VLOOKUP($A320, CAD_AMORTIZACAO[#Data], MATCH(C$318, CAD_ATUALIZACAO[#Headers],0), FALSE)</f>
        <v xml:space="preserve">AMORTIZACAO                                       </v>
      </c>
      <c r="D320" s="36">
        <f>VLOOKUP($A320, CAD_AMORTIZACAO[#Data], MATCH(D$318, CAD_ATUALIZACAO[#Headers],0), FALSE)</f>
        <v>42410</v>
      </c>
      <c r="E320" s="48">
        <f>VLOOKUP($A320, CAD_AMORTIZACAO[#Data], MATCH(E$318, CAD_ATUALIZACAO[#Headers],0), FALSE)</f>
        <v>996.75447499999996</v>
      </c>
      <c r="F320" s="36">
        <f>VLOOKUP($A320, CAD_AMORTIZACAO[#Data], MATCH(F$318, CAD_ATUALIZACAO[#Headers],0), FALSE)</f>
        <v>42416</v>
      </c>
      <c r="G320" s="47">
        <f>WORKDAY(WORKDAY(TAB_AMORTIZACAO_U[[#This Row],[DT_EVE]], -1, TAB_FERIADOS[FER_DATA]), 1, TAB_FERIADOS[FER_DATA])</f>
        <v>42410</v>
      </c>
      <c r="H320" s="75">
        <f>WORKDAY(WORKDAY(TAB_AMORTIZACAO_U[[#This Row],[DT_LQDC_EVE]], -1, TAB_FERIADOS[FER_DATA]), 1, TAB_FERIADOS[FER_DATA])</f>
        <v>42416</v>
      </c>
      <c r="I320" s="48">
        <f>PU_EMISSAO - SUMIF(TAB_AMORTIZACAO_U[dt_eve_u], "&lt;" &amp; TAB_AMORTIZACAO_U[[#This Row],[dt_eve_u]], TAB_AMORTIZACAO_U[V_PU_AMTC])</f>
        <v>98992.4</v>
      </c>
      <c r="J320" s="48">
        <f>IFERROR(VLOOKUP(TAB_AMORTIZACAO_U[[#This Row],[DT_EVE]], TAB_AMORTIZACAO_U[[DT_EVE]:[V_PU_AMTC]], 2, FALSE), 0)</f>
        <v>996.75447499999996</v>
      </c>
      <c r="K320" s="48">
        <f>NETWORKDAYS(DT_CALCULO_U, TAB_AMORTIZACAO_U[[#This Row],[dt_eve_u]], TAB_FERIADOS[FER_DATA]) -1</f>
        <v>29</v>
      </c>
      <c r="L320" s="48">
        <f>NETWORKDAYS(DT_CALCULO_U, TAB_AMORTIZACAO_U[[#This Row],[dt_lqdc_eve_u]], TAB_FERIADOS[FER_DATA]) -1</f>
        <v>33</v>
      </c>
      <c r="M320" s="48">
        <f>NETWORKDAYS(IF(ISTEXT(G319), DT_B_CORC, G319), TAB_AMORTIZACAO_U[[#This Row],[dt_eve_u]], TAB_FERIADOS[FER_DATA]) -1</f>
        <v>20</v>
      </c>
      <c r="N320" s="78">
        <f>(TX_EMISSAO/100 +1)^(TAB_AMORTIZACAO_U[[#This Row],[dias_periodo_u]]/252)</f>
        <v>1.0019616526860928</v>
      </c>
      <c r="O320" s="78">
        <f>(TIR_U/100 +1)^(TAB_AMORTIZACAO_U[[#This Row],[Q_DIAS_U_PARC_TIR]]/252)</f>
        <v>1.0032391393817965</v>
      </c>
      <c r="P320" s="116" t="str">
        <f>"TX_CENARIO" &amp; TEXT(DT_CALCULO_C, "-AAAAMMDD") &amp; TEXT(TAB_AMORTIZACAO_U[[#This Row],[DT_EVE]], "-AAAAMMDD")</f>
        <v>TX_CENARIO-20151228-20160210</v>
      </c>
      <c r="Q320" s="44">
        <f>IFERROR(VLOOKUP(TAB_AMORTIZACAO_U[[#This Row],[Chave-CENARIO]],CENARIO[],2,FALSE), 0)</f>
        <v>14.408799999999999</v>
      </c>
      <c r="R320" s="117" t="str">
        <f t="shared" si="7"/>
        <v>n/a</v>
      </c>
      <c r="S320" s="49" t="str">
        <f t="shared" si="7"/>
        <v>n/a</v>
      </c>
      <c r="T320" s="78">
        <f>IF(TAB_AMORTIZACAO_U[[#This Row],[Q_DIAS_U_PARC_TIR]]&lt;0, 0, TAB_AMORTIZACAO_U[[#This Row],[PU_AMORT]])</f>
        <v>996.75447499999996</v>
      </c>
      <c r="U320" s="78">
        <f>MAX(0, TAB_AMORTIZACAO_U[[#This Row],[V_FUT_U_PCPL-01]]/((((TAB_AMORTIZACAO_U[[#This Row],[TX_CENARIO]]/100 +1)^(1/252) -1) * PC_IDXR/100 +1)^TAB_AMORTIZACAO_U[[#This Row],[Q_DIAS_U_PARC_TIR]]))</f>
        <v>979.33842016031622</v>
      </c>
      <c r="V320" s="78">
        <f>+TAB_AMORTIZACAO_U[[#This Row],[V_FUT_U_PCPL-02]]/TAB_AMORTIZACAO_U[[#This Row],[VAR_DESCAP_U]]</f>
        <v>976.17644858213157</v>
      </c>
      <c r="W320" s="78"/>
      <c r="X320" s="101">
        <f>TAB_AMORTIZACAO_U[[#This Row],[dt_eve_u]]- DT_CALCULO_C</f>
        <v>44</v>
      </c>
      <c r="Y320" s="49" t="str">
        <f t="shared" si="8"/>
        <v>n/a</v>
      </c>
      <c r="Z320" s="49" t="str">
        <f t="shared" si="8"/>
        <v>n/a</v>
      </c>
      <c r="AA320" s="44">
        <f>TAB_AMORTIZACAO_U[[#This Row],[V_PU_AMTC]]</f>
        <v>996.75447499999996</v>
      </c>
      <c r="AB320" s="44">
        <f>(TIR_C/100 +1)^(TAB_AMORTIZACAO_C[[#This Row],[DIAS_CORRIDOS]]/360)</f>
        <v>1.0029797486217285</v>
      </c>
      <c r="AC320" s="44">
        <f>IF(TAB_AMORTIZACAO_C[[#This Row],[DIAS_CORRIDOS]]&lt;0, 0, TAB_AMORTIZACAO_C[[#This Row],[V_FUT_C_PCPL]]/TAB_AMORTIZACAO_C[[#This Row],[VAR_DESCAP_C]])</f>
        <v>993.79322101938442</v>
      </c>
      <c r="AD320" s="115">
        <f>TAB_AMORTIZACAO_U[[#This Row],[V_FUT_U_PCPL-02]]</f>
        <v>979.33842016031622</v>
      </c>
      <c r="AE320" s="127">
        <f>IF(TAB_AMORTIZACAO_C[[#This Row],[DIAS_CORRIDOS]]&lt;0, 0, TAB_AMORTIZACAO_C[[#This Row],[V_FUT_UTEIS]]/TAB_AMORTIZACAO_C[[#This Row],[VAR_DESCAP_C]])</f>
        <v>976.42890746906949</v>
      </c>
      <c r="AF320" s="64"/>
    </row>
    <row r="321" spans="1:32">
      <c r="A321" s="82">
        <f t="shared" ref="A321:A384" si="9">+A320+1</f>
        <v>3</v>
      </c>
      <c r="B321" s="24">
        <f>VLOOKUP($A321, CAD_AMORTIZACAO[#Data], MATCH(B$318, CAD_ATUALIZACAO[#Headers],0), FALSE)</f>
        <v>4</v>
      </c>
      <c r="C321" s="24" t="str">
        <f>VLOOKUP($A321, CAD_AMORTIZACAO[#Data], MATCH(C$318, CAD_ATUALIZACAO[#Headers],0), FALSE)</f>
        <v xml:space="preserve">AMORTIZACAO                                       </v>
      </c>
      <c r="D321" s="36">
        <f>VLOOKUP($A321, CAD_AMORTIZACAO[#Data], MATCH(D$318, CAD_ATUALIZACAO[#Headers],0), FALSE)</f>
        <v>42437</v>
      </c>
      <c r="E321" s="48">
        <f>VLOOKUP($A321, CAD_AMORTIZACAO[#Data], MATCH(E$318, CAD_ATUALIZACAO[#Headers],0), FALSE)</f>
        <v>996.02774099999999</v>
      </c>
      <c r="F321" s="36">
        <f>VLOOKUP($A321, CAD_AMORTIZACAO[#Data], MATCH(F$318, CAD_ATUALIZACAO[#Headers],0), FALSE)</f>
        <v>42443</v>
      </c>
      <c r="G321" s="47">
        <f>WORKDAY(WORKDAY(TAB_AMORTIZACAO_U[[#This Row],[DT_EVE]], -1, TAB_FERIADOS[FER_DATA]), 1, TAB_FERIADOS[FER_DATA])</f>
        <v>42437</v>
      </c>
      <c r="H321" s="75">
        <f>WORKDAY(WORKDAY(TAB_AMORTIZACAO_U[[#This Row],[DT_LQDC_EVE]], -1, TAB_FERIADOS[FER_DATA]), 1, TAB_FERIADOS[FER_DATA])</f>
        <v>42443</v>
      </c>
      <c r="I321" s="48">
        <f>PU_EMISSAO - SUMIF(TAB_AMORTIZACAO_U[dt_eve_u], "&lt;" &amp; TAB_AMORTIZACAO_U[[#This Row],[dt_eve_u]], TAB_AMORTIZACAO_U[V_PU_AMTC])</f>
        <v>97995.645525</v>
      </c>
      <c r="J321" s="48">
        <f>IFERROR(VLOOKUP(TAB_AMORTIZACAO_U[[#This Row],[DT_EVE]], TAB_AMORTIZACAO_U[[DT_EVE]:[V_PU_AMTC]], 2, FALSE), 0)</f>
        <v>996.02774099999999</v>
      </c>
      <c r="K321" s="48">
        <f>NETWORKDAYS(DT_CALCULO_U, TAB_AMORTIZACAO_U[[#This Row],[dt_eve_u]], TAB_FERIADOS[FER_DATA]) -1</f>
        <v>48</v>
      </c>
      <c r="L321" s="48">
        <f>NETWORKDAYS(DT_CALCULO_U, TAB_AMORTIZACAO_U[[#This Row],[dt_lqdc_eve_u]], TAB_FERIADOS[FER_DATA]) -1</f>
        <v>52</v>
      </c>
      <c r="M321" s="48">
        <f>NETWORKDAYS(IF(ISTEXT(G320), DT_B_CORC, G320), TAB_AMORTIZACAO_U[[#This Row],[dt_eve_u]], TAB_FERIADOS[FER_DATA]) -1</f>
        <v>19</v>
      </c>
      <c r="N321" s="78">
        <f>(TX_EMISSAO/100 +1)^(TAB_AMORTIZACAO_U[[#This Row],[dias_periodo_u]]/252)</f>
        <v>1.0018634787225431</v>
      </c>
      <c r="O321" s="78">
        <f>(TIR_U/100 +1)^(TAB_AMORTIZACAO_U[[#This Row],[Q_DIAS_U_PARC_TIR]]/252)</f>
        <v>1.0051088557094283</v>
      </c>
      <c r="P321" s="116" t="str">
        <f>"TX_CENARIO" &amp; TEXT(DT_CALCULO_C, "-AAAAMMDD") &amp; TEXT(TAB_AMORTIZACAO_U[[#This Row],[DT_EVE]], "-AAAAMMDD")</f>
        <v>TX_CENARIO-20151228-20160308</v>
      </c>
      <c r="Q321" s="44">
        <f>IFERROR(VLOOKUP(TAB_AMORTIZACAO_U[[#This Row],[Chave-CENARIO]],CENARIO[],2,FALSE), 0)</f>
        <v>14.592700000000001</v>
      </c>
      <c r="R321" s="117" t="str">
        <f t="shared" si="7"/>
        <v>n/a</v>
      </c>
      <c r="S321" s="49" t="str">
        <f t="shared" si="7"/>
        <v>n/a</v>
      </c>
      <c r="T321" s="78">
        <f>IF(TAB_AMORTIZACAO_U[[#This Row],[Q_DIAS_U_PARC_TIR]]&lt;0, 0, TAB_AMORTIZACAO_U[[#This Row],[PU_AMORT]])</f>
        <v>996.02774099999999</v>
      </c>
      <c r="U321" s="78">
        <f>MAX(0, TAB_AMORTIZACAO_U[[#This Row],[V_FUT_U_PCPL-01]]/((((TAB_AMORTIZACAO_U[[#This Row],[TX_CENARIO]]/100 +1)^(1/252) -1) * PC_IDXR/100 +1)^TAB_AMORTIZACAO_U[[#This Row],[Q_DIAS_U_PARC_TIR]]))</f>
        <v>968.42154810013108</v>
      </c>
      <c r="V321" s="78">
        <f>+TAB_AMORTIZACAO_U[[#This Row],[V_FUT_U_PCPL-02]]/TAB_AMORTIZACAO_U[[#This Row],[VAR_DESCAP_U]]</f>
        <v>963.49916986513608</v>
      </c>
      <c r="W321" s="78"/>
      <c r="X321" s="101">
        <f>TAB_AMORTIZACAO_U[[#This Row],[dt_eve_u]]- DT_CALCULO_C</f>
        <v>71</v>
      </c>
      <c r="Y321" s="49" t="str">
        <f t="shared" si="8"/>
        <v>n/a</v>
      </c>
      <c r="Z321" s="49" t="str">
        <f t="shared" si="8"/>
        <v>n/a</v>
      </c>
      <c r="AA321" s="44">
        <f>TAB_AMORTIZACAO_U[[#This Row],[V_PU_AMTC]]</f>
        <v>996.02774099999999</v>
      </c>
      <c r="AB321" s="44">
        <f>(TIR_C/100 +1)^(TAB_AMORTIZACAO_C[[#This Row],[DIAS_CORRIDOS]]/360)</f>
        <v>1.0048126249272449</v>
      </c>
      <c r="AC321" s="44">
        <f>IF(TAB_AMORTIZACAO_C[[#This Row],[DIAS_CORRIDOS]]&lt;0, 0, TAB_AMORTIZACAO_C[[#This Row],[V_FUT_C_PCPL]]/TAB_AMORTIZACAO_C[[#This Row],[VAR_DESCAP_C]])</f>
        <v>991.25719192881263</v>
      </c>
      <c r="AD321" s="115">
        <f>TAB_AMORTIZACAO_U[[#This Row],[V_FUT_U_PCPL-02]]</f>
        <v>968.42154810013108</v>
      </c>
      <c r="AE321" s="127">
        <f>IF(TAB_AMORTIZACAO_C[[#This Row],[DIAS_CORRIDOS]]&lt;0, 0, TAB_AMORTIZACAO_C[[#This Row],[V_FUT_UTEIS]]/TAB_AMORTIZACAO_C[[#This Row],[VAR_DESCAP_C]])</f>
        <v>963.78322094654334</v>
      </c>
      <c r="AF321" s="64"/>
    </row>
    <row r="322" spans="1:32">
      <c r="A322" s="82">
        <f t="shared" si="9"/>
        <v>4</v>
      </c>
      <c r="B322" s="24">
        <f>VLOOKUP($A322, CAD_AMORTIZACAO[#Data], MATCH(B$318, CAD_ATUALIZACAO[#Headers],0), FALSE)</f>
        <v>4</v>
      </c>
      <c r="C322" s="24" t="str">
        <f>VLOOKUP($A322, CAD_AMORTIZACAO[#Data], MATCH(C$318, CAD_ATUALIZACAO[#Headers],0), FALSE)</f>
        <v xml:space="preserve">AMORTIZACAO                                       </v>
      </c>
      <c r="D322" s="36">
        <f>VLOOKUP($A322, CAD_AMORTIZACAO[#Data], MATCH(D$318, CAD_ATUALIZACAO[#Headers],0), FALSE)</f>
        <v>42468</v>
      </c>
      <c r="E322" s="48">
        <f>VLOOKUP($A322, CAD_AMORTIZACAO[#Data], MATCH(E$318, CAD_ATUALIZACAO[#Headers],0), FALSE)</f>
        <v>954.76723700000002</v>
      </c>
      <c r="F322" s="36">
        <f>VLOOKUP($A322, CAD_AMORTIZACAO[#Data], MATCH(F$318, CAD_ATUALIZACAO[#Headers],0), FALSE)</f>
        <v>42474</v>
      </c>
      <c r="G322" s="47">
        <f>WORKDAY(WORKDAY(TAB_AMORTIZACAO_U[[#This Row],[DT_EVE]], -1, TAB_FERIADOS[FER_DATA]), 1, TAB_FERIADOS[FER_DATA])</f>
        <v>42468</v>
      </c>
      <c r="H322" s="75">
        <f>WORKDAY(WORKDAY(TAB_AMORTIZACAO_U[[#This Row],[DT_LQDC_EVE]], -1, TAB_FERIADOS[FER_DATA]), 1, TAB_FERIADOS[FER_DATA])</f>
        <v>42474</v>
      </c>
      <c r="I322" s="48">
        <f>PU_EMISSAO - SUMIF(TAB_AMORTIZACAO_U[dt_eve_u], "&lt;" &amp; TAB_AMORTIZACAO_U[[#This Row],[dt_eve_u]], TAB_AMORTIZACAO_U[V_PU_AMTC])</f>
        <v>96999.617784000002</v>
      </c>
      <c r="J322" s="48">
        <f>IFERROR(VLOOKUP(TAB_AMORTIZACAO_U[[#This Row],[DT_EVE]], TAB_AMORTIZACAO_U[[DT_EVE]:[V_PU_AMTC]], 2, FALSE), 0)</f>
        <v>954.76723700000002</v>
      </c>
      <c r="K322" s="48">
        <f>NETWORKDAYS(DT_CALCULO_U, TAB_AMORTIZACAO_U[[#This Row],[dt_eve_u]], TAB_FERIADOS[FER_DATA]) -1</f>
        <v>70</v>
      </c>
      <c r="L322" s="48">
        <f>NETWORKDAYS(DT_CALCULO_U, TAB_AMORTIZACAO_U[[#This Row],[dt_lqdc_eve_u]], TAB_FERIADOS[FER_DATA]) -1</f>
        <v>74</v>
      </c>
      <c r="M322" s="48">
        <f>NETWORKDAYS(IF(ISTEXT(G321), DT_B_CORC, G321), TAB_AMORTIZACAO_U[[#This Row],[dt_eve_u]], TAB_FERIADOS[FER_DATA]) -1</f>
        <v>22</v>
      </c>
      <c r="N322" s="78">
        <f>(TX_EMISSAO/100 +1)^(TAB_AMORTIZACAO_U[[#This Row],[dias_periodo_u]]/252)</f>
        <v>1.0021580294747356</v>
      </c>
      <c r="O322" s="78">
        <f>(TIR_U/100 +1)^(TAB_AMORTIZACAO_U[[#This Row],[Q_DIAS_U_PARC_TIR]]/252)</f>
        <v>1.0072781441085392</v>
      </c>
      <c r="P322" s="116" t="str">
        <f>"TX_CENARIO" &amp; TEXT(DT_CALCULO_C, "-AAAAMMDD") &amp; TEXT(TAB_AMORTIZACAO_U[[#This Row],[DT_EVE]], "-AAAAMMDD")</f>
        <v>TX_CENARIO-20151228-20160408</v>
      </c>
      <c r="Q322" s="44">
        <f>IFERROR(VLOOKUP(TAB_AMORTIZACAO_U[[#This Row],[Chave-CENARIO]],CENARIO[],2,FALSE), 0)</f>
        <v>14.805999999999999</v>
      </c>
      <c r="R322" s="117" t="str">
        <f t="shared" si="7"/>
        <v>n/a</v>
      </c>
      <c r="S322" s="49" t="str">
        <f t="shared" si="7"/>
        <v>n/a</v>
      </c>
      <c r="T322" s="78">
        <f>IF(TAB_AMORTIZACAO_U[[#This Row],[Q_DIAS_U_PARC_TIR]]&lt;0, 0, TAB_AMORTIZACAO_U[[#This Row],[PU_AMORT]])</f>
        <v>954.76723700000002</v>
      </c>
      <c r="U322" s="78">
        <f>MAX(0, TAB_AMORTIZACAO_U[[#This Row],[V_FUT_U_PCPL-01]]/((((TAB_AMORTIZACAO_U[[#This Row],[TX_CENARIO]]/100 +1)^(1/252) -1) * PC_IDXR/100 +1)^TAB_AMORTIZACAO_U[[#This Row],[Q_DIAS_U_PARC_TIR]]))</f>
        <v>916.83009266915053</v>
      </c>
      <c r="V322" s="78">
        <f>+TAB_AMORTIZACAO_U[[#This Row],[V_FUT_U_PCPL-02]]/TAB_AMORTIZACAO_U[[#This Row],[VAR_DESCAP_U]]</f>
        <v>910.20548597384993</v>
      </c>
      <c r="W322" s="78"/>
      <c r="X322" s="101">
        <f>TAB_AMORTIZACAO_U[[#This Row],[dt_eve_u]]- DT_CALCULO_C</f>
        <v>102</v>
      </c>
      <c r="Y322" s="49" t="str">
        <f t="shared" si="8"/>
        <v>n/a</v>
      </c>
      <c r="Z322" s="49" t="str">
        <f t="shared" si="8"/>
        <v>n/a</v>
      </c>
      <c r="AA322" s="44">
        <f>TAB_AMORTIZACAO_U[[#This Row],[V_PU_AMTC]]</f>
        <v>954.76723700000002</v>
      </c>
      <c r="AB322" s="44">
        <f>(TIR_C/100 +1)^(TAB_AMORTIZACAO_C[[#This Row],[DIAS_CORRIDOS]]/360)</f>
        <v>1.0069211693708799</v>
      </c>
      <c r="AC322" s="44">
        <f>IF(TAB_AMORTIZACAO_C[[#This Row],[DIAS_CORRIDOS]]&lt;0, 0, TAB_AMORTIZACAO_C[[#This Row],[V_FUT_C_PCPL]]/TAB_AMORTIZACAO_C[[#This Row],[VAR_DESCAP_C]])</f>
        <v>948.20455269257525</v>
      </c>
      <c r="AD322" s="115">
        <f>TAB_AMORTIZACAO_U[[#This Row],[V_FUT_U_PCPL-02]]</f>
        <v>916.83009266915053</v>
      </c>
      <c r="AE322" s="127">
        <f>IF(TAB_AMORTIZACAO_C[[#This Row],[DIAS_CORRIDOS]]&lt;0, 0, TAB_AMORTIZACAO_C[[#This Row],[V_FUT_UTEIS]]/TAB_AMORTIZACAO_C[[#This Row],[VAR_DESCAP_C]])</f>
        <v>910.52817296708747</v>
      </c>
      <c r="AF322" s="64"/>
    </row>
    <row r="323" spans="1:32">
      <c r="A323" s="82">
        <f t="shared" si="9"/>
        <v>5</v>
      </c>
      <c r="B323" s="24">
        <f>VLOOKUP($A323, CAD_AMORTIZACAO[#Data], MATCH(B$318, CAD_ATUALIZACAO[#Headers],0), FALSE)</f>
        <v>4</v>
      </c>
      <c r="C323" s="24" t="str">
        <f>VLOOKUP($A323, CAD_AMORTIZACAO[#Data], MATCH(C$318, CAD_ATUALIZACAO[#Headers],0), FALSE)</f>
        <v xml:space="preserve">AMORTIZACAO                                       </v>
      </c>
      <c r="D323" s="36">
        <f>VLOOKUP($A323, CAD_AMORTIZACAO[#Data], MATCH(D$318, CAD_ATUALIZACAO[#Headers],0), FALSE)</f>
        <v>42499</v>
      </c>
      <c r="E323" s="48">
        <f>VLOOKUP($A323, CAD_AMORTIZACAO[#Data], MATCH(E$318, CAD_ATUALIZACAO[#Headers],0), FALSE)</f>
        <v>962.46544700000004</v>
      </c>
      <c r="F323" s="36">
        <f>VLOOKUP($A323, CAD_AMORTIZACAO[#Data], MATCH(F$318, CAD_ATUALIZACAO[#Headers],0), FALSE)</f>
        <v>42503</v>
      </c>
      <c r="G323" s="47">
        <f>WORKDAY(WORKDAY(TAB_AMORTIZACAO_U[[#This Row],[DT_EVE]], -1, TAB_FERIADOS[FER_DATA]), 1, TAB_FERIADOS[FER_DATA])</f>
        <v>42499</v>
      </c>
      <c r="H323" s="75">
        <f>WORKDAY(WORKDAY(TAB_AMORTIZACAO_U[[#This Row],[DT_LQDC_EVE]], -1, TAB_FERIADOS[FER_DATA]), 1, TAB_FERIADOS[FER_DATA])</f>
        <v>42503</v>
      </c>
      <c r="I323" s="48">
        <f>PU_EMISSAO - SUMIF(TAB_AMORTIZACAO_U[dt_eve_u], "&lt;" &amp; TAB_AMORTIZACAO_U[[#This Row],[dt_eve_u]], TAB_AMORTIZACAO_U[V_PU_AMTC])</f>
        <v>96044.850546999995</v>
      </c>
      <c r="J323" s="48">
        <f>IFERROR(VLOOKUP(TAB_AMORTIZACAO_U[[#This Row],[DT_EVE]], TAB_AMORTIZACAO_U[[DT_EVE]:[V_PU_AMTC]], 2, FALSE), 0)</f>
        <v>962.46544700000004</v>
      </c>
      <c r="K323" s="48">
        <f>NETWORKDAYS(DT_CALCULO_U, TAB_AMORTIZACAO_U[[#This Row],[dt_eve_u]], TAB_FERIADOS[FER_DATA]) -1</f>
        <v>90</v>
      </c>
      <c r="L323" s="48">
        <f>NETWORKDAYS(DT_CALCULO_U, TAB_AMORTIZACAO_U[[#This Row],[dt_lqdc_eve_u]], TAB_FERIADOS[FER_DATA]) -1</f>
        <v>94</v>
      </c>
      <c r="M323" s="48">
        <f>NETWORKDAYS(IF(ISTEXT(G322), DT_B_CORC, G322), TAB_AMORTIZACAO_U[[#This Row],[dt_eve_u]], TAB_FERIADOS[FER_DATA]) -1</f>
        <v>20</v>
      </c>
      <c r="N323" s="78">
        <f>(TX_EMISSAO/100 +1)^(TAB_AMORTIZACAO_U[[#This Row],[dias_periodo_u]]/252)</f>
        <v>1.0019616526860928</v>
      </c>
      <c r="O323" s="78">
        <f>(TIR_U/100 +1)^(TAB_AMORTIZACAO_U[[#This Row],[Q_DIAS_U_PARC_TIR]]/252)</f>
        <v>1.0092542870055565</v>
      </c>
      <c r="P323" s="116" t="str">
        <f>"TX_CENARIO" &amp; TEXT(DT_CALCULO_C, "-AAAAMMDD") &amp; TEXT(TAB_AMORTIZACAO_U[[#This Row],[DT_EVE]], "-AAAAMMDD")</f>
        <v>TX_CENARIO-20151228-20160509</v>
      </c>
      <c r="Q323" s="44">
        <f>IFERROR(VLOOKUP(TAB_AMORTIZACAO_U[[#This Row],[Chave-CENARIO]],CENARIO[],2,FALSE), 0)</f>
        <v>14.962899999999999</v>
      </c>
      <c r="R323" s="117" t="str">
        <f t="shared" si="7"/>
        <v>n/a</v>
      </c>
      <c r="S323" s="49" t="str">
        <f t="shared" si="7"/>
        <v>n/a</v>
      </c>
      <c r="T323" s="78">
        <f>IF(TAB_AMORTIZACAO_U[[#This Row],[Q_DIAS_U_PARC_TIR]]&lt;0, 0, TAB_AMORTIZACAO_U[[#This Row],[PU_AMORT]])</f>
        <v>962.46544700000004</v>
      </c>
      <c r="U323" s="78">
        <f>MAX(0, TAB_AMORTIZACAO_U[[#This Row],[V_FUT_U_PCPL-01]]/((((TAB_AMORTIZACAO_U[[#This Row],[TX_CENARIO]]/100 +1)^(1/252) -1) * PC_IDXR/100 +1)^TAB_AMORTIZACAO_U[[#This Row],[Q_DIAS_U_PARC_TIR]]))</f>
        <v>913.68429447462142</v>
      </c>
      <c r="V323" s="78">
        <f>+TAB_AMORTIZACAO_U[[#This Row],[V_FUT_U_PCPL-02]]/TAB_AMORTIZACAO_U[[#This Row],[VAR_DESCAP_U]]</f>
        <v>905.30632987005686</v>
      </c>
      <c r="W323" s="78"/>
      <c r="X323" s="101">
        <f>TAB_AMORTIZACAO_U[[#This Row],[dt_eve_u]]- DT_CALCULO_C</f>
        <v>133</v>
      </c>
      <c r="Y323" s="49" t="str">
        <f t="shared" si="8"/>
        <v>n/a</v>
      </c>
      <c r="Z323" s="49" t="str">
        <f t="shared" si="8"/>
        <v>n/a</v>
      </c>
      <c r="AA323" s="44">
        <f>TAB_AMORTIZACAO_U[[#This Row],[V_PU_AMTC]]</f>
        <v>962.46544700000004</v>
      </c>
      <c r="AB323" s="44">
        <f>(TIR_C/100 +1)^(TAB_AMORTIZACAO_C[[#This Row],[DIAS_CORRIDOS]]/360)</f>
        <v>1.0090341384799306</v>
      </c>
      <c r="AC323" s="44">
        <f>IF(TAB_AMORTIZACAO_C[[#This Row],[DIAS_CORRIDOS]]&lt;0, 0, TAB_AMORTIZACAO_C[[#This Row],[V_FUT_C_PCPL]]/TAB_AMORTIZACAO_C[[#This Row],[VAR_DESCAP_C]])</f>
        <v>953.84824982226621</v>
      </c>
      <c r="AD323" s="115">
        <f>TAB_AMORTIZACAO_U[[#This Row],[V_FUT_U_PCPL-02]]</f>
        <v>913.68429447462142</v>
      </c>
      <c r="AE323" s="127">
        <f>IF(TAB_AMORTIZACAO_C[[#This Row],[DIAS_CORRIDOS]]&lt;0, 0, TAB_AMORTIZACAO_C[[#This Row],[V_FUT_UTEIS]]/TAB_AMORTIZACAO_C[[#This Row],[VAR_DESCAP_C]])</f>
        <v>905.50384732378836</v>
      </c>
      <c r="AF323" s="64"/>
    </row>
    <row r="324" spans="1:32">
      <c r="A324" s="82">
        <f t="shared" si="9"/>
        <v>6</v>
      </c>
      <c r="B324" s="24">
        <f>VLOOKUP($A324, CAD_AMORTIZACAO[#Data], MATCH(B$318, CAD_ATUALIZACAO[#Headers],0), FALSE)</f>
        <v>4</v>
      </c>
      <c r="C324" s="24" t="str">
        <f>VLOOKUP($A324, CAD_AMORTIZACAO[#Data], MATCH(C$318, CAD_ATUALIZACAO[#Headers],0), FALSE)</f>
        <v xml:space="preserve">AMORTIZACAO                                       </v>
      </c>
      <c r="D324" s="36">
        <f>VLOOKUP($A324, CAD_AMORTIZACAO[#Data], MATCH(D$318, CAD_ATUALIZACAO[#Headers],0), FALSE)</f>
        <v>42529</v>
      </c>
      <c r="E324" s="48">
        <f>VLOOKUP($A324, CAD_AMORTIZACAO[#Data], MATCH(E$318, CAD_ATUALIZACAO[#Headers],0), FALSE)</f>
        <v>940.74511800000005</v>
      </c>
      <c r="F324" s="36">
        <f>VLOOKUP($A324, CAD_AMORTIZACAO[#Data], MATCH(F$318, CAD_ATUALIZACAO[#Headers],0), FALSE)</f>
        <v>42535</v>
      </c>
      <c r="G324" s="47">
        <f>WORKDAY(WORKDAY(TAB_AMORTIZACAO_U[[#This Row],[DT_EVE]], -1, TAB_FERIADOS[FER_DATA]), 1, TAB_FERIADOS[FER_DATA])</f>
        <v>42529</v>
      </c>
      <c r="H324" s="75">
        <f>WORKDAY(WORKDAY(TAB_AMORTIZACAO_U[[#This Row],[DT_LQDC_EVE]], -1, TAB_FERIADOS[FER_DATA]), 1, TAB_FERIADOS[FER_DATA])</f>
        <v>42535</v>
      </c>
      <c r="I324" s="48">
        <f>PU_EMISSAO - SUMIF(TAB_AMORTIZACAO_U[dt_eve_u], "&lt;" &amp; TAB_AMORTIZACAO_U[[#This Row],[dt_eve_u]], TAB_AMORTIZACAO_U[V_PU_AMTC])</f>
        <v>95082.3851</v>
      </c>
      <c r="J324" s="48">
        <f>IFERROR(VLOOKUP(TAB_AMORTIZACAO_U[[#This Row],[DT_EVE]], TAB_AMORTIZACAO_U[[DT_EVE]:[V_PU_AMTC]], 2, FALSE), 0)</f>
        <v>940.74511800000005</v>
      </c>
      <c r="K324" s="48">
        <f>NETWORKDAYS(DT_CALCULO_U, TAB_AMORTIZACAO_U[[#This Row],[dt_eve_u]], TAB_FERIADOS[FER_DATA]) -1</f>
        <v>111</v>
      </c>
      <c r="L324" s="48">
        <f>NETWORKDAYS(DT_CALCULO_U, TAB_AMORTIZACAO_U[[#This Row],[dt_lqdc_eve_u]], TAB_FERIADOS[FER_DATA]) -1</f>
        <v>115</v>
      </c>
      <c r="M324" s="48">
        <f>NETWORKDAYS(IF(ISTEXT(G323), DT_B_CORC, G323), TAB_AMORTIZACAO_U[[#This Row],[dt_eve_u]], TAB_FERIADOS[FER_DATA]) -1</f>
        <v>21</v>
      </c>
      <c r="N324" s="78">
        <f>(TX_EMISSAO/100 +1)^(TAB_AMORTIZACAO_U[[#This Row],[dias_periodo_u]]/252)</f>
        <v>1.0020598362698427</v>
      </c>
      <c r="O324" s="78">
        <f>(TIR_U/100 +1)^(TAB_AMORTIZACAO_U[[#This Row],[Q_DIAS_U_PARC_TIR]]/252)</f>
        <v>1.0113334097231823</v>
      </c>
      <c r="P324" s="116" t="str">
        <f>"TX_CENARIO" &amp; TEXT(DT_CALCULO_C, "-AAAAMMDD") &amp; TEXT(TAB_AMORTIZACAO_U[[#This Row],[DT_EVE]], "-AAAAMMDD")</f>
        <v>TX_CENARIO-20151228-20160608</v>
      </c>
      <c r="Q324" s="44">
        <f>IFERROR(VLOOKUP(TAB_AMORTIZACAO_U[[#This Row],[Chave-CENARIO]],CENARIO[],2,FALSE), 0)</f>
        <v>15.119300000000001</v>
      </c>
      <c r="R324" s="117" t="str">
        <f t="shared" si="7"/>
        <v>n/a</v>
      </c>
      <c r="S324" s="49" t="str">
        <f t="shared" si="7"/>
        <v>n/a</v>
      </c>
      <c r="T324" s="78">
        <f>IF(TAB_AMORTIZACAO_U[[#This Row],[Q_DIAS_U_PARC_TIR]]&lt;0, 0, TAB_AMORTIZACAO_U[[#This Row],[PU_AMORT]])</f>
        <v>940.74511800000005</v>
      </c>
      <c r="U324" s="78">
        <f>MAX(0, TAB_AMORTIZACAO_U[[#This Row],[V_FUT_U_PCPL-01]]/((((TAB_AMORTIZACAO_U[[#This Row],[TX_CENARIO]]/100 +1)^(1/252) -1) * PC_IDXR/100 +1)^TAB_AMORTIZACAO_U[[#This Row],[Q_DIAS_U_PARC_TIR]]))</f>
        <v>882.20002957227098</v>
      </c>
      <c r="V324" s="78">
        <f>+TAB_AMORTIZACAO_U[[#This Row],[V_FUT_U_PCPL-02]]/TAB_AMORTIZACAO_U[[#This Row],[VAR_DESCAP_U]]</f>
        <v>872.31374054352943</v>
      </c>
      <c r="W324" s="78"/>
      <c r="X324" s="101">
        <f>TAB_AMORTIZACAO_U[[#This Row],[dt_eve_u]]- DT_CALCULO_C</f>
        <v>163</v>
      </c>
      <c r="Y324" s="49" t="str">
        <f t="shared" si="8"/>
        <v>n/a</v>
      </c>
      <c r="Z324" s="49" t="str">
        <f t="shared" si="8"/>
        <v>n/a</v>
      </c>
      <c r="AA324" s="44">
        <f>TAB_AMORTIZACAO_U[[#This Row],[V_PU_AMTC]]</f>
        <v>940.74511800000005</v>
      </c>
      <c r="AB324" s="44">
        <f>(TIR_C/100 +1)^(TAB_AMORTIZACAO_C[[#This Row],[DIAS_CORRIDOS]]/360)</f>
        <v>1.011083168911231</v>
      </c>
      <c r="AC324" s="44">
        <f>IF(TAB_AMORTIZACAO_C[[#This Row],[DIAS_CORRIDOS]]&lt;0, 0, TAB_AMORTIZACAO_C[[#This Row],[V_FUT_C_PCPL]]/TAB_AMORTIZACAO_C[[#This Row],[VAR_DESCAP_C]])</f>
        <v>930.43297220843533</v>
      </c>
      <c r="AD324" s="115">
        <f>TAB_AMORTIZACAO_U[[#This Row],[V_FUT_U_PCPL-02]]</f>
        <v>882.20002957227098</v>
      </c>
      <c r="AE324" s="127">
        <f>IF(TAB_AMORTIZACAO_C[[#This Row],[DIAS_CORRIDOS]]&lt;0, 0, TAB_AMORTIZACAO_C[[#This Row],[V_FUT_UTEIS]]/TAB_AMORTIZACAO_C[[#This Row],[VAR_DESCAP_C]])</f>
        <v>872.52963623383641</v>
      </c>
      <c r="AF324" s="64"/>
    </row>
    <row r="325" spans="1:32">
      <c r="A325" s="82">
        <f t="shared" si="9"/>
        <v>7</v>
      </c>
      <c r="B325" s="24">
        <f>VLOOKUP($A325, CAD_AMORTIZACAO[#Data], MATCH(B$318, CAD_ATUALIZACAO[#Headers],0), FALSE)</f>
        <v>4</v>
      </c>
      <c r="C325" s="24" t="str">
        <f>VLOOKUP($A325, CAD_AMORTIZACAO[#Data], MATCH(C$318, CAD_ATUALIZACAO[#Headers],0), FALSE)</f>
        <v xml:space="preserve">AMORTIZACAO                                       </v>
      </c>
      <c r="D325" s="36">
        <f>VLOOKUP($A325, CAD_AMORTIZACAO[#Data], MATCH(D$318, CAD_ATUALIZACAO[#Headers],0), FALSE)</f>
        <v>42559</v>
      </c>
      <c r="E325" s="48">
        <f>VLOOKUP($A325, CAD_AMORTIZACAO[#Data], MATCH(E$318, CAD_ATUALIZACAO[#Headers],0), FALSE)</f>
        <v>918.63412200000005</v>
      </c>
      <c r="F325" s="36">
        <f>VLOOKUP($A325, CAD_AMORTIZACAO[#Data], MATCH(F$318, CAD_ATUALIZACAO[#Headers],0), FALSE)</f>
        <v>42565</v>
      </c>
      <c r="G325" s="47">
        <f>WORKDAY(WORKDAY(TAB_AMORTIZACAO_U[[#This Row],[DT_EVE]], -1, TAB_FERIADOS[FER_DATA]), 1, TAB_FERIADOS[FER_DATA])</f>
        <v>42559</v>
      </c>
      <c r="H325" s="75">
        <f>WORKDAY(WORKDAY(TAB_AMORTIZACAO_U[[#This Row],[DT_LQDC_EVE]], -1, TAB_FERIADOS[FER_DATA]), 1, TAB_FERIADOS[FER_DATA])</f>
        <v>42565</v>
      </c>
      <c r="I325" s="48">
        <f>PU_EMISSAO - SUMIF(TAB_AMORTIZACAO_U[dt_eve_u], "&lt;" &amp; TAB_AMORTIZACAO_U[[#This Row],[dt_eve_u]], TAB_AMORTIZACAO_U[V_PU_AMTC])</f>
        <v>94141.639981999993</v>
      </c>
      <c r="J325" s="48">
        <f>IFERROR(VLOOKUP(TAB_AMORTIZACAO_U[[#This Row],[DT_EVE]], TAB_AMORTIZACAO_U[[DT_EVE]:[V_PU_AMTC]], 2, FALSE), 0)</f>
        <v>918.63412200000005</v>
      </c>
      <c r="K325" s="48">
        <f>NETWORKDAYS(DT_CALCULO_U, TAB_AMORTIZACAO_U[[#This Row],[dt_eve_u]], TAB_FERIADOS[FER_DATA]) -1</f>
        <v>133</v>
      </c>
      <c r="L325" s="48">
        <f>NETWORKDAYS(DT_CALCULO_U, TAB_AMORTIZACAO_U[[#This Row],[dt_lqdc_eve_u]], TAB_FERIADOS[FER_DATA]) -1</f>
        <v>137</v>
      </c>
      <c r="M325" s="48">
        <f>NETWORKDAYS(IF(ISTEXT(G324), DT_B_CORC, G324), TAB_AMORTIZACAO_U[[#This Row],[dt_eve_u]], TAB_FERIADOS[FER_DATA]) -1</f>
        <v>22</v>
      </c>
      <c r="N325" s="78">
        <f>(TX_EMISSAO/100 +1)^(TAB_AMORTIZACAO_U[[#This Row],[dias_periodo_u]]/252)</f>
        <v>1.0021580294747356</v>
      </c>
      <c r="O325" s="78">
        <f>(TIR_U/100 +1)^(TAB_AMORTIZACAO_U[[#This Row],[Q_DIAS_U_PARC_TIR]]/252)</f>
        <v>1.0135161323416166</v>
      </c>
      <c r="P325" s="116" t="str">
        <f>"TX_CENARIO" &amp; TEXT(DT_CALCULO_C, "-AAAAMMDD") &amp; TEXT(TAB_AMORTIZACAO_U[[#This Row],[DT_EVE]], "-AAAAMMDD")</f>
        <v>TX_CENARIO-20151228-20160708</v>
      </c>
      <c r="Q325" s="44">
        <f>IFERROR(VLOOKUP(TAB_AMORTIZACAO_U[[#This Row],[Chave-CENARIO]],CENARIO[],2,FALSE), 0)</f>
        <v>15.2698</v>
      </c>
      <c r="R325" s="117" t="str">
        <f t="shared" si="7"/>
        <v>n/a</v>
      </c>
      <c r="S325" s="49" t="str">
        <f t="shared" si="7"/>
        <v>n/a</v>
      </c>
      <c r="T325" s="78">
        <f>IF(TAB_AMORTIZACAO_U[[#This Row],[Q_DIAS_U_PARC_TIR]]&lt;0, 0, TAB_AMORTIZACAO_U[[#This Row],[PU_AMORT]])</f>
        <v>918.63412200000005</v>
      </c>
      <c r="U325" s="78">
        <f>MAX(0, TAB_AMORTIZACAO_U[[#This Row],[V_FUT_U_PCPL-01]]/((((TAB_AMORTIZACAO_U[[#This Row],[TX_CENARIO]]/100 +1)^(1/252) -1) * PC_IDXR/100 +1)^TAB_AMORTIZACAO_U[[#This Row],[Q_DIAS_U_PARC_TIR]]))</f>
        <v>850.33659715613715</v>
      </c>
      <c r="V325" s="78">
        <f>+TAB_AMORTIZACAO_U[[#This Row],[V_FUT_U_PCPL-02]]/TAB_AMORTIZACAO_U[[#This Row],[VAR_DESCAP_U]]</f>
        <v>838.99660796866522</v>
      </c>
      <c r="W325" s="78"/>
      <c r="X325" s="101">
        <f>TAB_AMORTIZACAO_U[[#This Row],[dt_eve_u]]- DT_CALCULO_C</f>
        <v>193</v>
      </c>
      <c r="Y325" s="49" t="str">
        <f t="shared" si="8"/>
        <v>n/a</v>
      </c>
      <c r="Z325" s="49" t="str">
        <f t="shared" si="8"/>
        <v>n/a</v>
      </c>
      <c r="AA325" s="44">
        <f>TAB_AMORTIZACAO_U[[#This Row],[V_PU_AMTC]]</f>
        <v>918.63412200000005</v>
      </c>
      <c r="AB325" s="44">
        <f>(TIR_C/100 +1)^(TAB_AMORTIZACAO_C[[#This Row],[DIAS_CORRIDOS]]/360)</f>
        <v>1.0131363602777743</v>
      </c>
      <c r="AC325" s="44">
        <f>IF(TAB_AMORTIZACAO_C[[#This Row],[DIAS_CORRIDOS]]&lt;0, 0, TAB_AMORTIZACAO_C[[#This Row],[V_FUT_C_PCPL]]/TAB_AMORTIZACAO_C[[#This Row],[VAR_DESCAP_C]])</f>
        <v>906.72308093664276</v>
      </c>
      <c r="AD325" s="115">
        <f>TAB_AMORTIZACAO_U[[#This Row],[V_FUT_U_PCPL-02]]</f>
        <v>850.33659715613715</v>
      </c>
      <c r="AE325" s="127">
        <f>IF(TAB_AMORTIZACAO_C[[#This Row],[DIAS_CORRIDOS]]&lt;0, 0, TAB_AMORTIZACAO_C[[#This Row],[V_FUT_UTEIS]]/TAB_AMORTIZACAO_C[[#This Row],[VAR_DESCAP_C]])</f>
        <v>839.3111041074452</v>
      </c>
      <c r="AF325" s="64"/>
    </row>
    <row r="326" spans="1:32">
      <c r="A326" s="82">
        <f t="shared" si="9"/>
        <v>8</v>
      </c>
      <c r="B326" s="24">
        <f>VLOOKUP($A326, CAD_AMORTIZACAO[#Data], MATCH(B$318, CAD_ATUALIZACAO[#Headers],0), FALSE)</f>
        <v>4</v>
      </c>
      <c r="C326" s="24" t="str">
        <f>VLOOKUP($A326, CAD_AMORTIZACAO[#Data], MATCH(C$318, CAD_ATUALIZACAO[#Headers],0), FALSE)</f>
        <v xml:space="preserve">AMORTIZACAO                                       </v>
      </c>
      <c r="D326" s="36">
        <f>VLOOKUP($A326, CAD_AMORTIZACAO[#Data], MATCH(D$318, CAD_ATUALIZACAO[#Headers],0), FALSE)</f>
        <v>42590</v>
      </c>
      <c r="E326" s="48">
        <f>VLOOKUP($A326, CAD_AMORTIZACAO[#Data], MATCH(E$318, CAD_ATUALIZACAO[#Headers],0), FALSE)</f>
        <v>915.35669399999995</v>
      </c>
      <c r="F326" s="36">
        <f>VLOOKUP($A326, CAD_AMORTIZACAO[#Data], MATCH(F$318, CAD_ATUALIZACAO[#Headers],0), FALSE)</f>
        <v>42594</v>
      </c>
      <c r="G326" s="47">
        <f>WORKDAY(WORKDAY(TAB_AMORTIZACAO_U[[#This Row],[DT_EVE]], -1, TAB_FERIADOS[FER_DATA]), 1, TAB_FERIADOS[FER_DATA])</f>
        <v>42590</v>
      </c>
      <c r="H326" s="75">
        <f>WORKDAY(WORKDAY(TAB_AMORTIZACAO_U[[#This Row],[DT_LQDC_EVE]], -1, TAB_FERIADOS[FER_DATA]), 1, TAB_FERIADOS[FER_DATA])</f>
        <v>42594</v>
      </c>
      <c r="I326" s="48">
        <f>PU_EMISSAO - SUMIF(TAB_AMORTIZACAO_U[dt_eve_u], "&lt;" &amp; TAB_AMORTIZACAO_U[[#This Row],[dt_eve_u]], TAB_AMORTIZACAO_U[V_PU_AMTC])</f>
        <v>93223.005860000005</v>
      </c>
      <c r="J326" s="48">
        <f>IFERROR(VLOOKUP(TAB_AMORTIZACAO_U[[#This Row],[DT_EVE]], TAB_AMORTIZACAO_U[[DT_EVE]:[V_PU_AMTC]], 2, FALSE), 0)</f>
        <v>915.35669399999995</v>
      </c>
      <c r="K326" s="48">
        <f>NETWORKDAYS(DT_CALCULO_U, TAB_AMORTIZACAO_U[[#This Row],[dt_eve_u]], TAB_FERIADOS[FER_DATA]) -1</f>
        <v>154</v>
      </c>
      <c r="L326" s="48">
        <f>NETWORKDAYS(DT_CALCULO_U, TAB_AMORTIZACAO_U[[#This Row],[dt_lqdc_eve_u]], TAB_FERIADOS[FER_DATA]) -1</f>
        <v>158</v>
      </c>
      <c r="M326" s="48">
        <f>NETWORKDAYS(IF(ISTEXT(G325), DT_B_CORC, G325), TAB_AMORTIZACAO_U[[#This Row],[dt_eve_u]], TAB_FERIADOS[FER_DATA]) -1</f>
        <v>21</v>
      </c>
      <c r="N326" s="78">
        <f>(TX_EMISSAO/100 +1)^(TAB_AMORTIZACAO_U[[#This Row],[dias_periodo_u]]/252)</f>
        <v>1.0020598362698427</v>
      </c>
      <c r="O326" s="78">
        <f>(TIR_U/100 +1)^(TAB_AMORTIZACAO_U[[#This Row],[Q_DIAS_U_PARC_TIR]]/252)</f>
        <v>1.0156040347092983</v>
      </c>
      <c r="P326" s="116" t="str">
        <f>"TX_CENARIO" &amp; TEXT(DT_CALCULO_C, "-AAAAMMDD") &amp; TEXT(TAB_AMORTIZACAO_U[[#This Row],[DT_EVE]], "-AAAAMMDD")</f>
        <v>TX_CENARIO-20151228-20160808</v>
      </c>
      <c r="Q326" s="44">
        <f>IFERROR(VLOOKUP(TAB_AMORTIZACAO_U[[#This Row],[Chave-CENARIO]],CENARIO[],2,FALSE), 0)</f>
        <v>15.4056</v>
      </c>
      <c r="R326" s="117" t="str">
        <f t="shared" si="7"/>
        <v>n/a</v>
      </c>
      <c r="S326" s="49" t="str">
        <f t="shared" si="7"/>
        <v>n/a</v>
      </c>
      <c r="T326" s="78">
        <f>IF(TAB_AMORTIZACAO_U[[#This Row],[Q_DIAS_U_PARC_TIR]]&lt;0, 0, TAB_AMORTIZACAO_U[[#This Row],[PU_AMORT]])</f>
        <v>915.35669399999995</v>
      </c>
      <c r="U326" s="78">
        <f>MAX(0, TAB_AMORTIZACAO_U[[#This Row],[V_FUT_U_PCPL-01]]/((((TAB_AMORTIZACAO_U[[#This Row],[TX_CENARIO]]/100 +1)^(1/252) -1) * PC_IDXR/100 +1)^TAB_AMORTIZACAO_U[[#This Row],[Q_DIAS_U_PARC_TIR]]))</f>
        <v>836.71025871779955</v>
      </c>
      <c r="V326" s="78">
        <f>+TAB_AMORTIZACAO_U[[#This Row],[V_FUT_U_PCPL-02]]/TAB_AMORTIZACAO_U[[#This Row],[VAR_DESCAP_U]]</f>
        <v>823.85479982589436</v>
      </c>
      <c r="W326" s="78"/>
      <c r="X326" s="101">
        <f>TAB_AMORTIZACAO_U[[#This Row],[dt_eve_u]]- DT_CALCULO_C</f>
        <v>224</v>
      </c>
      <c r="Y326" s="49" t="str">
        <f t="shared" si="8"/>
        <v>n/a</v>
      </c>
      <c r="Z326" s="49" t="str">
        <f t="shared" si="8"/>
        <v>n/a</v>
      </c>
      <c r="AA326" s="44">
        <f>TAB_AMORTIZACAO_U[[#This Row],[V_PU_AMTC]]</f>
        <v>915.35669399999995</v>
      </c>
      <c r="AB326" s="44">
        <f>(TIR_C/100 +1)^(TAB_AMORTIZACAO_C[[#This Row],[DIAS_CORRIDOS]]/360)</f>
        <v>1.0152623716256741</v>
      </c>
      <c r="AC326" s="44">
        <f>IF(TAB_AMORTIZACAO_C[[#This Row],[DIAS_CORRIDOS]]&lt;0, 0, TAB_AMORTIZACAO_C[[#This Row],[V_FUT_C_PCPL]]/TAB_AMORTIZACAO_C[[#This Row],[VAR_DESCAP_C]])</f>
        <v>901.59619777328919</v>
      </c>
      <c r="AD326" s="115">
        <f>TAB_AMORTIZACAO_U[[#This Row],[V_FUT_U_PCPL-02]]</f>
        <v>836.71025871779955</v>
      </c>
      <c r="AE326" s="127">
        <f>IF(TAB_AMORTIZACAO_C[[#This Row],[DIAS_CORRIDOS]]&lt;0, 0, TAB_AMORTIZACAO_C[[#This Row],[V_FUT_UTEIS]]/TAB_AMORTIZACAO_C[[#This Row],[VAR_DESCAP_C]])</f>
        <v>824.13204911556943</v>
      </c>
      <c r="AF326" s="64"/>
    </row>
    <row r="327" spans="1:32">
      <c r="A327" s="82">
        <f t="shared" si="9"/>
        <v>9</v>
      </c>
      <c r="B327" s="24">
        <f>VLOOKUP($A327, CAD_AMORTIZACAO[#Data], MATCH(B$318, CAD_ATUALIZACAO[#Headers],0), FALSE)</f>
        <v>4</v>
      </c>
      <c r="C327" s="24" t="str">
        <f>VLOOKUP($A327, CAD_AMORTIZACAO[#Data], MATCH(C$318, CAD_ATUALIZACAO[#Headers],0), FALSE)</f>
        <v xml:space="preserve">AMORTIZACAO                                       </v>
      </c>
      <c r="D327" s="36">
        <f>VLOOKUP($A327, CAD_AMORTIZACAO[#Data], MATCH(D$318, CAD_ATUALIZACAO[#Headers],0), FALSE)</f>
        <v>42622</v>
      </c>
      <c r="E327" s="48">
        <f>VLOOKUP($A327, CAD_AMORTIZACAO[#Data], MATCH(E$318, CAD_ATUALIZACAO[#Headers],0), FALSE)</f>
        <v>883.56881699999997</v>
      </c>
      <c r="F327" s="36">
        <f>VLOOKUP($A327, CAD_AMORTIZACAO[#Data], MATCH(F$318, CAD_ATUALIZACAO[#Headers],0), FALSE)</f>
        <v>42628</v>
      </c>
      <c r="G327" s="47">
        <f>WORKDAY(WORKDAY(TAB_AMORTIZACAO_U[[#This Row],[DT_EVE]], -1, TAB_FERIADOS[FER_DATA]), 1, TAB_FERIADOS[FER_DATA])</f>
        <v>42622</v>
      </c>
      <c r="H327" s="75">
        <f>WORKDAY(WORKDAY(TAB_AMORTIZACAO_U[[#This Row],[DT_LQDC_EVE]], -1, TAB_FERIADOS[FER_DATA]), 1, TAB_FERIADOS[FER_DATA])</f>
        <v>42628</v>
      </c>
      <c r="I327" s="48">
        <f>PU_EMISSAO - SUMIF(TAB_AMORTIZACAO_U[dt_eve_u], "&lt;" &amp; TAB_AMORTIZACAO_U[[#This Row],[dt_eve_u]], TAB_AMORTIZACAO_U[V_PU_AMTC])</f>
        <v>92307.649166000003</v>
      </c>
      <c r="J327" s="48">
        <f>IFERROR(VLOOKUP(TAB_AMORTIZACAO_U[[#This Row],[DT_EVE]], TAB_AMORTIZACAO_U[[DT_EVE]:[V_PU_AMTC]], 2, FALSE), 0)</f>
        <v>883.56881699999997</v>
      </c>
      <c r="K327" s="48">
        <f>NETWORKDAYS(DT_CALCULO_U, TAB_AMORTIZACAO_U[[#This Row],[dt_eve_u]], TAB_FERIADOS[FER_DATA]) -1</f>
        <v>177</v>
      </c>
      <c r="L327" s="48">
        <f>NETWORKDAYS(DT_CALCULO_U, TAB_AMORTIZACAO_U[[#This Row],[dt_lqdc_eve_u]], TAB_FERIADOS[FER_DATA]) -1</f>
        <v>181</v>
      </c>
      <c r="M327" s="48">
        <f>NETWORKDAYS(IF(ISTEXT(G326), DT_B_CORC, G326), TAB_AMORTIZACAO_U[[#This Row],[dt_eve_u]], TAB_FERIADOS[FER_DATA]) -1</f>
        <v>23</v>
      </c>
      <c r="N327" s="78">
        <f>(TX_EMISSAO/100 +1)^(TAB_AMORTIZACAO_U[[#This Row],[dias_periodo_u]]/252)</f>
        <v>1.0022562323017139</v>
      </c>
      <c r="O327" s="78">
        <f>(TIR_U/100 +1)^(TAB_AMORTIZACAO_U[[#This Row],[Q_DIAS_U_PARC_TIR]]/252)</f>
        <v>1.0178957204086447</v>
      </c>
      <c r="P327" s="116" t="str">
        <f>"TX_CENARIO" &amp; TEXT(DT_CALCULO_C, "-AAAAMMDD") &amp; TEXT(TAB_AMORTIZACAO_U[[#This Row],[DT_EVE]], "-AAAAMMDD")</f>
        <v>TX_CENARIO-20151228-20160909</v>
      </c>
      <c r="Q327" s="44">
        <f>IFERROR(VLOOKUP(TAB_AMORTIZACAO_U[[#This Row],[Chave-CENARIO]],CENARIO[],2,FALSE), 0)</f>
        <v>15.546200000000001</v>
      </c>
      <c r="R327" s="117" t="str">
        <f t="shared" si="7"/>
        <v>n/a</v>
      </c>
      <c r="S327" s="49" t="str">
        <f t="shared" si="7"/>
        <v>n/a</v>
      </c>
      <c r="T327" s="78">
        <f>IF(TAB_AMORTIZACAO_U[[#This Row],[Q_DIAS_U_PARC_TIR]]&lt;0, 0, TAB_AMORTIZACAO_U[[#This Row],[PU_AMORT]])</f>
        <v>883.56881699999997</v>
      </c>
      <c r="U327" s="78">
        <f>MAX(0, TAB_AMORTIZACAO_U[[#This Row],[V_FUT_U_PCPL-01]]/((((TAB_AMORTIZACAO_U[[#This Row],[TX_CENARIO]]/100 +1)^(1/252) -1) * PC_IDXR/100 +1)^TAB_AMORTIZACAO_U[[#This Row],[Q_DIAS_U_PARC_TIR]]))</f>
        <v>796.46349141879557</v>
      </c>
      <c r="V327" s="78">
        <f>+TAB_AMORTIZACAO_U[[#This Row],[V_FUT_U_PCPL-02]]/TAB_AMORTIZACAO_U[[#This Row],[VAR_DESCAP_U]]</f>
        <v>782.46079185699602</v>
      </c>
      <c r="W327" s="78"/>
      <c r="X327" s="101">
        <f>TAB_AMORTIZACAO_U[[#This Row],[dt_eve_u]]- DT_CALCULO_C</f>
        <v>256</v>
      </c>
      <c r="Y327" s="49" t="str">
        <f t="shared" si="8"/>
        <v>n/a</v>
      </c>
      <c r="Z327" s="49" t="str">
        <f t="shared" si="8"/>
        <v>n/a</v>
      </c>
      <c r="AA327" s="44">
        <f>TAB_AMORTIZACAO_U[[#This Row],[V_PU_AMTC]]</f>
        <v>883.56881699999997</v>
      </c>
      <c r="AB327" s="44">
        <f>(TIR_C/100 +1)^(TAB_AMORTIZACAO_C[[#This Row],[DIAS_CORRIDOS]]/360)</f>
        <v>1.0174616436005401</v>
      </c>
      <c r="AC327" s="44">
        <f>IF(TAB_AMORTIZACAO_C[[#This Row],[DIAS_CORRIDOS]]&lt;0, 0, TAB_AMORTIZACAO_C[[#This Row],[V_FUT_C_PCPL]]/TAB_AMORTIZACAO_C[[#This Row],[VAR_DESCAP_C]])</f>
        <v>868.40503773024091</v>
      </c>
      <c r="AD327" s="115">
        <f>TAB_AMORTIZACAO_U[[#This Row],[V_FUT_U_PCPL-02]]</f>
        <v>796.46349141879557</v>
      </c>
      <c r="AE327" s="127">
        <f>IF(TAB_AMORTIZACAO_C[[#This Row],[DIAS_CORRIDOS]]&lt;0, 0, TAB_AMORTIZACAO_C[[#This Row],[V_FUT_UTEIS]]/TAB_AMORTIZACAO_C[[#This Row],[VAR_DESCAP_C]])</f>
        <v>782.79461091065025</v>
      </c>
      <c r="AF327" s="64"/>
    </row>
    <row r="328" spans="1:32">
      <c r="A328" s="82">
        <f t="shared" si="9"/>
        <v>10</v>
      </c>
      <c r="B328" s="24">
        <f>VLOOKUP($A328, CAD_AMORTIZACAO[#Data], MATCH(B$318, CAD_ATUALIZACAO[#Headers],0), FALSE)</f>
        <v>4</v>
      </c>
      <c r="C328" s="24" t="str">
        <f>VLOOKUP($A328, CAD_AMORTIZACAO[#Data], MATCH(C$318, CAD_ATUALIZACAO[#Headers],0), FALSE)</f>
        <v xml:space="preserve">AMORTIZACAO                                       </v>
      </c>
      <c r="D328" s="36">
        <f>VLOOKUP($A328, CAD_AMORTIZACAO[#Data], MATCH(D$318, CAD_ATUALIZACAO[#Headers],0), FALSE)</f>
        <v>42654</v>
      </c>
      <c r="E328" s="48">
        <f>VLOOKUP($A328, CAD_AMORTIZACAO[#Data], MATCH(E$318, CAD_ATUALIZACAO[#Headers],0), FALSE)</f>
        <v>889.64772500000004</v>
      </c>
      <c r="F328" s="36">
        <f>VLOOKUP($A328, CAD_AMORTIZACAO[#Data], MATCH(F$318, CAD_ATUALIZACAO[#Headers],0), FALSE)</f>
        <v>42660</v>
      </c>
      <c r="G328" s="47">
        <f>WORKDAY(WORKDAY(TAB_AMORTIZACAO_U[[#This Row],[DT_EVE]], -1, TAB_FERIADOS[FER_DATA]), 1, TAB_FERIADOS[FER_DATA])</f>
        <v>42654</v>
      </c>
      <c r="H328" s="75">
        <f>WORKDAY(WORKDAY(TAB_AMORTIZACAO_U[[#This Row],[DT_LQDC_EVE]], -1, TAB_FERIADOS[FER_DATA]), 1, TAB_FERIADOS[FER_DATA])</f>
        <v>42660</v>
      </c>
      <c r="I328" s="48">
        <f>PU_EMISSAO - SUMIF(TAB_AMORTIZACAO_U[dt_eve_u], "&lt;" &amp; TAB_AMORTIZACAO_U[[#This Row],[dt_eve_u]], TAB_AMORTIZACAO_U[V_PU_AMTC])</f>
        <v>91424.080348999996</v>
      </c>
      <c r="J328" s="48">
        <f>IFERROR(VLOOKUP(TAB_AMORTIZACAO_U[[#This Row],[DT_EVE]], TAB_AMORTIZACAO_U[[DT_EVE]:[V_PU_AMTC]], 2, FALSE), 0)</f>
        <v>889.64772500000004</v>
      </c>
      <c r="K328" s="48">
        <f>NETWORKDAYS(DT_CALCULO_U, TAB_AMORTIZACAO_U[[#This Row],[dt_eve_u]], TAB_FERIADOS[FER_DATA]) -1</f>
        <v>199</v>
      </c>
      <c r="L328" s="48">
        <f>NETWORKDAYS(DT_CALCULO_U, TAB_AMORTIZACAO_U[[#This Row],[dt_lqdc_eve_u]], TAB_FERIADOS[FER_DATA]) -1</f>
        <v>202</v>
      </c>
      <c r="M328" s="48">
        <f>NETWORKDAYS(IF(ISTEXT(G327), DT_B_CORC, G327), TAB_AMORTIZACAO_U[[#This Row],[dt_eve_u]], TAB_FERIADOS[FER_DATA]) -1</f>
        <v>22</v>
      </c>
      <c r="N328" s="78">
        <f>(TX_EMISSAO/100 +1)^(TAB_AMORTIZACAO_U[[#This Row],[dias_periodo_u]]/252)</f>
        <v>1.0021580294747356</v>
      </c>
      <c r="O328" s="78">
        <f>(TIR_U/100 +1)^(TAB_AMORTIZACAO_U[[#This Row],[Q_DIAS_U_PARC_TIR]]/252)</f>
        <v>1.0199926449832779</v>
      </c>
      <c r="P328" s="116" t="str">
        <f>"TX_CENARIO" &amp; TEXT(DT_CALCULO_C, "-AAAAMMDD") &amp; TEXT(TAB_AMORTIZACAO_U[[#This Row],[DT_EVE]], "-AAAAMMDD")</f>
        <v>TX_CENARIO-20151228-20161011</v>
      </c>
      <c r="Q328" s="44">
        <f>IFERROR(VLOOKUP(TAB_AMORTIZACAO_U[[#This Row],[Chave-CENARIO]],CENARIO[],2,FALSE), 0)</f>
        <v>15.672599999999999</v>
      </c>
      <c r="R328" s="117" t="str">
        <f t="shared" si="7"/>
        <v>n/a</v>
      </c>
      <c r="S328" s="49" t="str">
        <f t="shared" si="7"/>
        <v>n/a</v>
      </c>
      <c r="T328" s="78">
        <f>IF(TAB_AMORTIZACAO_U[[#This Row],[Q_DIAS_U_PARC_TIR]]&lt;0, 0, TAB_AMORTIZACAO_U[[#This Row],[PU_AMORT]])</f>
        <v>889.64772500000004</v>
      </c>
      <c r="U328" s="78">
        <f>MAX(0, TAB_AMORTIZACAO_U[[#This Row],[V_FUT_U_PCPL-01]]/((((TAB_AMORTIZACAO_U[[#This Row],[TX_CENARIO]]/100 +1)^(1/252) -1) * PC_IDXR/100 +1)^TAB_AMORTIZACAO_U[[#This Row],[Q_DIAS_U_PARC_TIR]]))</f>
        <v>791.65016879489281</v>
      </c>
      <c r="V328" s="78">
        <f>+TAB_AMORTIZACAO_U[[#This Row],[V_FUT_U_PCPL-02]]/TAB_AMORTIZACAO_U[[#This Row],[VAR_DESCAP_U]]</f>
        <v>776.13321300750295</v>
      </c>
      <c r="W328" s="78"/>
      <c r="X328" s="101">
        <f>TAB_AMORTIZACAO_U[[#This Row],[dt_eve_u]]- DT_CALCULO_C</f>
        <v>288</v>
      </c>
      <c r="Y328" s="49" t="str">
        <f t="shared" si="8"/>
        <v>n/a</v>
      </c>
      <c r="Z328" s="49" t="str">
        <f t="shared" si="8"/>
        <v>n/a</v>
      </c>
      <c r="AA328" s="44">
        <f>TAB_AMORTIZACAO_U[[#This Row],[V_PU_AMTC]]</f>
        <v>889.64772500000004</v>
      </c>
      <c r="AB328" s="44">
        <f>(TIR_C/100 +1)^(TAB_AMORTIZACAO_C[[#This Row],[DIAS_CORRIDOS]]/360)</f>
        <v>1.019665679661375</v>
      </c>
      <c r="AC328" s="44">
        <f>IF(TAB_AMORTIZACAO_C[[#This Row],[DIAS_CORRIDOS]]&lt;0, 0, TAB_AMORTIZACAO_C[[#This Row],[V_FUT_C_PCPL]]/TAB_AMORTIZACAO_C[[#This Row],[VAR_DESCAP_C]])</f>
        <v>872.48962355528806</v>
      </c>
      <c r="AD328" s="115">
        <f>TAB_AMORTIZACAO_U[[#This Row],[V_FUT_U_PCPL-02]]</f>
        <v>791.65016879489281</v>
      </c>
      <c r="AE328" s="127">
        <f>IF(TAB_AMORTIZACAO_C[[#This Row],[DIAS_CORRIDOS]]&lt;0, 0, TAB_AMORTIZACAO_C[[#This Row],[V_FUT_UTEIS]]/TAB_AMORTIZACAO_C[[#This Row],[VAR_DESCAP_C]])</f>
        <v>776.38208736984768</v>
      </c>
      <c r="AF328" s="64"/>
    </row>
    <row r="329" spans="1:32">
      <c r="A329" s="82">
        <f t="shared" si="9"/>
        <v>11</v>
      </c>
      <c r="B329" s="24">
        <f>VLOOKUP($A329, CAD_AMORTIZACAO[#Data], MATCH(B$318, CAD_ATUALIZACAO[#Headers],0), FALSE)</f>
        <v>4</v>
      </c>
      <c r="C329" s="24" t="str">
        <f>VLOOKUP($A329, CAD_AMORTIZACAO[#Data], MATCH(C$318, CAD_ATUALIZACAO[#Headers],0), FALSE)</f>
        <v xml:space="preserve">AMORTIZACAO                                       </v>
      </c>
      <c r="D329" s="36">
        <f>VLOOKUP($A329, CAD_AMORTIZACAO[#Data], MATCH(D$318, CAD_ATUALIZACAO[#Headers],0), FALSE)</f>
        <v>42684</v>
      </c>
      <c r="E329" s="48">
        <f>VLOOKUP($A329, CAD_AMORTIZACAO[#Data], MATCH(E$318, CAD_ATUALIZACAO[#Headers],0), FALSE)</f>
        <v>886.96583599999997</v>
      </c>
      <c r="F329" s="36">
        <f>VLOOKUP($A329, CAD_AMORTIZACAO[#Data], MATCH(F$318, CAD_ATUALIZACAO[#Headers],0), FALSE)</f>
        <v>42690</v>
      </c>
      <c r="G329" s="47">
        <f>WORKDAY(WORKDAY(TAB_AMORTIZACAO_U[[#This Row],[DT_EVE]], -1, TAB_FERIADOS[FER_DATA]), 1, TAB_FERIADOS[FER_DATA])</f>
        <v>42684</v>
      </c>
      <c r="H329" s="75">
        <f>WORKDAY(WORKDAY(TAB_AMORTIZACAO_U[[#This Row],[DT_LQDC_EVE]], -1, TAB_FERIADOS[FER_DATA]), 1, TAB_FERIADOS[FER_DATA])</f>
        <v>42690</v>
      </c>
      <c r="I329" s="48">
        <f>PU_EMISSAO - SUMIF(TAB_AMORTIZACAO_U[dt_eve_u], "&lt;" &amp; TAB_AMORTIZACAO_U[[#This Row],[dt_eve_u]], TAB_AMORTIZACAO_U[V_PU_AMTC])</f>
        <v>90534.432623999994</v>
      </c>
      <c r="J329" s="48">
        <f>IFERROR(VLOOKUP(TAB_AMORTIZACAO_U[[#This Row],[DT_EVE]], TAB_AMORTIZACAO_U[[DT_EVE]:[V_PU_AMTC]], 2, FALSE), 0)</f>
        <v>886.96583599999997</v>
      </c>
      <c r="K329" s="48">
        <f>NETWORKDAYS(DT_CALCULO_U, TAB_AMORTIZACAO_U[[#This Row],[dt_eve_u]], TAB_FERIADOS[FER_DATA]) -1</f>
        <v>219</v>
      </c>
      <c r="L329" s="48">
        <f>NETWORKDAYS(DT_CALCULO_U, TAB_AMORTIZACAO_U[[#This Row],[dt_lqdc_eve_u]], TAB_FERIADOS[FER_DATA]) -1</f>
        <v>222</v>
      </c>
      <c r="M329" s="48">
        <f>NETWORKDAYS(IF(ISTEXT(G328), DT_B_CORC, G328), TAB_AMORTIZACAO_U[[#This Row],[dt_eve_u]], TAB_FERIADOS[FER_DATA]) -1</f>
        <v>20</v>
      </c>
      <c r="N329" s="78">
        <f>(TX_EMISSAO/100 +1)^(TAB_AMORTIZACAO_U[[#This Row],[dias_periodo_u]]/252)</f>
        <v>1.0019616526860928</v>
      </c>
      <c r="O329" s="78">
        <f>(TIR_U/100 +1)^(TAB_AMORTIZACAO_U[[#This Row],[Q_DIAS_U_PARC_TIR]]/252)</f>
        <v>1.0219937320039612</v>
      </c>
      <c r="P329" s="116" t="str">
        <f>"TX_CENARIO" &amp; TEXT(DT_CALCULO_C, "-AAAAMMDD") &amp; TEXT(TAB_AMORTIZACAO_U[[#This Row],[DT_EVE]], "-AAAAMMDD")</f>
        <v>TX_CENARIO-20151228-20161110</v>
      </c>
      <c r="Q329" s="44">
        <f>IFERROR(VLOOKUP(TAB_AMORTIZACAO_U[[#This Row],[Chave-CENARIO]],CENARIO[],2,FALSE), 0)</f>
        <v>15.7506</v>
      </c>
      <c r="R329" s="117" t="str">
        <f t="shared" si="7"/>
        <v>n/a</v>
      </c>
      <c r="S329" s="49" t="str">
        <f t="shared" si="7"/>
        <v>n/a</v>
      </c>
      <c r="T329" s="78">
        <f>IF(TAB_AMORTIZACAO_U[[#This Row],[Q_DIAS_U_PARC_TIR]]&lt;0, 0, TAB_AMORTIZACAO_U[[#This Row],[PU_AMORT]])</f>
        <v>886.96583599999997</v>
      </c>
      <c r="U329" s="78">
        <f>MAX(0, TAB_AMORTIZACAO_U[[#This Row],[V_FUT_U_PCPL-01]]/((((TAB_AMORTIZACAO_U[[#This Row],[TX_CENARIO]]/100 +1)^(1/252) -1) * PC_IDXR/100 +1)^TAB_AMORTIZACAO_U[[#This Row],[Q_DIAS_U_PARC_TIR]]))</f>
        <v>779.73303242388317</v>
      </c>
      <c r="V329" s="78">
        <f>+TAB_AMORTIZACAO_U[[#This Row],[V_FUT_U_PCPL-02]]/TAB_AMORTIZACAO_U[[#This Row],[VAR_DESCAP_U]]</f>
        <v>762.95285186823537</v>
      </c>
      <c r="W329" s="78"/>
      <c r="X329" s="101">
        <f>TAB_AMORTIZACAO_U[[#This Row],[dt_eve_u]]- DT_CALCULO_C</f>
        <v>318</v>
      </c>
      <c r="Y329" s="49" t="str">
        <f t="shared" si="8"/>
        <v>n/a</v>
      </c>
      <c r="Z329" s="49" t="str">
        <f t="shared" si="8"/>
        <v>n/a</v>
      </c>
      <c r="AA329" s="44">
        <f>TAB_AMORTIZACAO_U[[#This Row],[V_PU_AMTC]]</f>
        <v>886.96583599999997</v>
      </c>
      <c r="AB329" s="44">
        <f>(TIR_C/100 +1)^(TAB_AMORTIZACAO_C[[#This Row],[DIAS_CORRIDOS]]/360)</f>
        <v>1.0217362994032659</v>
      </c>
      <c r="AC329" s="44">
        <f>IF(TAB_AMORTIZACAO_C[[#This Row],[DIAS_CORRIDOS]]&lt;0, 0, TAB_AMORTIZACAO_C[[#This Row],[V_FUT_C_PCPL]]/TAB_AMORTIZACAO_C[[#This Row],[VAR_DESCAP_C]])</f>
        <v>868.09662778744655</v>
      </c>
      <c r="AD329" s="115">
        <f>TAB_AMORTIZACAO_U[[#This Row],[V_FUT_U_PCPL-02]]</f>
        <v>779.73303242388317</v>
      </c>
      <c r="AE329" s="127">
        <f>IF(TAB_AMORTIZACAO_C[[#This Row],[DIAS_CORRIDOS]]&lt;0, 0, TAB_AMORTIZACAO_C[[#This Row],[V_FUT_UTEIS]]/TAB_AMORTIZACAO_C[[#This Row],[VAR_DESCAP_C]])</f>
        <v>763.14508242418117</v>
      </c>
      <c r="AF329" s="64"/>
    </row>
    <row r="330" spans="1:32">
      <c r="A330" s="82">
        <f t="shared" si="9"/>
        <v>12</v>
      </c>
      <c r="B330" s="24">
        <f>VLOOKUP($A330, CAD_AMORTIZACAO[#Data], MATCH(B$318, CAD_ATUALIZACAO[#Headers],0), FALSE)</f>
        <v>4</v>
      </c>
      <c r="C330" s="24" t="str">
        <f>VLOOKUP($A330, CAD_AMORTIZACAO[#Data], MATCH(C$318, CAD_ATUALIZACAO[#Headers],0), FALSE)</f>
        <v xml:space="preserve">AMORTIZACAO                                       </v>
      </c>
      <c r="D330" s="36">
        <f>VLOOKUP($A330, CAD_AMORTIZACAO[#Data], MATCH(D$318, CAD_ATUALIZACAO[#Headers],0), FALSE)</f>
        <v>42712</v>
      </c>
      <c r="E330" s="48">
        <f>VLOOKUP($A330, CAD_AMORTIZACAO[#Data], MATCH(E$318, CAD_ATUALIZACAO[#Headers],0), FALSE)</f>
        <v>875.58680800000002</v>
      </c>
      <c r="F330" s="36">
        <f>VLOOKUP($A330, CAD_AMORTIZACAO[#Data], MATCH(F$318, CAD_ATUALIZACAO[#Headers],0), FALSE)</f>
        <v>42718</v>
      </c>
      <c r="G330" s="47">
        <f>WORKDAY(WORKDAY(TAB_AMORTIZACAO_U[[#This Row],[DT_EVE]], -1, TAB_FERIADOS[FER_DATA]), 1, TAB_FERIADOS[FER_DATA])</f>
        <v>42712</v>
      </c>
      <c r="H330" s="75">
        <f>WORKDAY(WORKDAY(TAB_AMORTIZACAO_U[[#This Row],[DT_LQDC_EVE]], -1, TAB_FERIADOS[FER_DATA]), 1, TAB_FERIADOS[FER_DATA])</f>
        <v>42718</v>
      </c>
      <c r="I330" s="48">
        <f>PU_EMISSAO - SUMIF(TAB_AMORTIZACAO_U[dt_eve_u], "&lt;" &amp; TAB_AMORTIZACAO_U[[#This Row],[dt_eve_u]], TAB_AMORTIZACAO_U[V_PU_AMTC])</f>
        <v>89647.466788000005</v>
      </c>
      <c r="J330" s="48">
        <f>IFERROR(VLOOKUP(TAB_AMORTIZACAO_U[[#This Row],[DT_EVE]], TAB_AMORTIZACAO_U[[DT_EVE]:[V_PU_AMTC]], 2, FALSE), 0)</f>
        <v>875.58680800000002</v>
      </c>
      <c r="K330" s="48">
        <f>NETWORKDAYS(DT_CALCULO_U, TAB_AMORTIZACAO_U[[#This Row],[dt_eve_u]], TAB_FERIADOS[FER_DATA]) -1</f>
        <v>238</v>
      </c>
      <c r="L330" s="48">
        <f>NETWORKDAYS(DT_CALCULO_U, TAB_AMORTIZACAO_U[[#This Row],[dt_lqdc_eve_u]], TAB_FERIADOS[FER_DATA]) -1</f>
        <v>242</v>
      </c>
      <c r="M330" s="48">
        <f>NETWORKDAYS(IF(ISTEXT(G329), DT_B_CORC, G329), TAB_AMORTIZACAO_U[[#This Row],[dt_eve_u]], TAB_FERIADOS[FER_DATA]) -1</f>
        <v>19</v>
      </c>
      <c r="N330" s="78">
        <f>(TX_EMISSAO/100 +1)^(TAB_AMORTIZACAO_U[[#This Row],[dias_periodo_u]]/252)</f>
        <v>1.0018634787225431</v>
      </c>
      <c r="O330" s="78">
        <f>(TIR_U/100 +1)^(TAB_AMORTIZACAO_U[[#This Row],[Q_DIAS_U_PARC_TIR]]/252)</f>
        <v>1.023998744885565</v>
      </c>
      <c r="P330" s="116" t="str">
        <f>"TX_CENARIO" &amp; TEXT(DT_CALCULO_C, "-AAAAMMDD") &amp; TEXT(TAB_AMORTIZACAO_U[[#This Row],[DT_EVE]], "-AAAAMMDD")</f>
        <v>TX_CENARIO-20151228-20161208</v>
      </c>
      <c r="Q330" s="44">
        <f>IFERROR(VLOOKUP(TAB_AMORTIZACAO_U[[#This Row],[Chave-CENARIO]],CENARIO[],2,FALSE), 0)</f>
        <v>15.8056</v>
      </c>
      <c r="R330" s="117" t="str">
        <f t="shared" si="7"/>
        <v>n/a</v>
      </c>
      <c r="S330" s="49" t="str">
        <f t="shared" si="7"/>
        <v>n/a</v>
      </c>
      <c r="T330" s="78">
        <f>IF(TAB_AMORTIZACAO_U[[#This Row],[Q_DIAS_U_PARC_TIR]]&lt;0, 0, TAB_AMORTIZACAO_U[[#This Row],[PU_AMORT]])</f>
        <v>875.58680800000002</v>
      </c>
      <c r="U330" s="78">
        <f>MAX(0, TAB_AMORTIZACAO_U[[#This Row],[V_FUT_U_PCPL-01]]/((((TAB_AMORTIZACAO_U[[#This Row],[TX_CENARIO]]/100 +1)^(1/252) -1) * PC_IDXR/100 +1)^TAB_AMORTIZACAO_U[[#This Row],[Q_DIAS_U_PARC_TIR]]))</f>
        <v>760.49891618705578</v>
      </c>
      <c r="V330" s="78">
        <f>+TAB_AMORTIZACAO_U[[#This Row],[V_FUT_U_PCPL-02]]/TAB_AMORTIZACAO_U[[#This Row],[VAR_DESCAP_U]]</f>
        <v>742.67563313472999</v>
      </c>
      <c r="W330" s="78"/>
      <c r="X330" s="101">
        <f>TAB_AMORTIZACAO_U[[#This Row],[dt_eve_u]]- DT_CALCULO_C</f>
        <v>346</v>
      </c>
      <c r="Y330" s="49" t="str">
        <f t="shared" si="8"/>
        <v>n/a</v>
      </c>
      <c r="Z330" s="49" t="str">
        <f t="shared" si="8"/>
        <v>n/a</v>
      </c>
      <c r="AA330" s="44">
        <f>TAB_AMORTIZACAO_U[[#This Row],[V_PU_AMTC]]</f>
        <v>875.58680800000002</v>
      </c>
      <c r="AB330" s="44">
        <f>(TIR_C/100 +1)^(TAB_AMORTIZACAO_C[[#This Row],[DIAS_CORRIDOS]]/360)</f>
        <v>1.0236726713005759</v>
      </c>
      <c r="AC330" s="44">
        <f>IF(TAB_AMORTIZACAO_C[[#This Row],[DIAS_CORRIDOS]]&lt;0, 0, TAB_AMORTIZACAO_C[[#This Row],[V_FUT_C_PCPL]]/TAB_AMORTIZACAO_C[[#This Row],[VAR_DESCAP_C]])</f>
        <v>855.33865711933788</v>
      </c>
      <c r="AD330" s="115">
        <f>TAB_AMORTIZACAO_U[[#This Row],[V_FUT_U_PCPL-02]]</f>
        <v>760.49891618705578</v>
      </c>
      <c r="AE330" s="127">
        <f>IF(TAB_AMORTIZACAO_C[[#This Row],[DIAS_CORRIDOS]]&lt;0, 0, TAB_AMORTIZACAO_C[[#This Row],[V_FUT_UTEIS]]/TAB_AMORTIZACAO_C[[#This Row],[VAR_DESCAP_C]])</f>
        <v>742.91219987424506</v>
      </c>
      <c r="AF330" s="64"/>
    </row>
    <row r="331" spans="1:32">
      <c r="A331" s="82">
        <f t="shared" si="9"/>
        <v>13</v>
      </c>
      <c r="B331" s="24">
        <f>VLOOKUP($A331, CAD_AMORTIZACAO[#Data], MATCH(B$318, CAD_ATUALIZACAO[#Headers],0), FALSE)</f>
        <v>4</v>
      </c>
      <c r="C331" s="24" t="str">
        <f>VLOOKUP($A331, CAD_AMORTIZACAO[#Data], MATCH(C$318, CAD_ATUALIZACAO[#Headers],0), FALSE)</f>
        <v xml:space="preserve">AMORTIZACAO                                       </v>
      </c>
      <c r="D331" s="36">
        <f>VLOOKUP($A331, CAD_AMORTIZACAO[#Data], MATCH(D$318, CAD_ATUALIZACAO[#Headers],0), FALSE)</f>
        <v>42744</v>
      </c>
      <c r="E331" s="48">
        <f>VLOOKUP($A331, CAD_AMORTIZACAO[#Data], MATCH(E$318, CAD_ATUALIZACAO[#Headers],0), FALSE)</f>
        <v>928.64263600000004</v>
      </c>
      <c r="F331" s="36">
        <f>VLOOKUP($A331, CAD_AMORTIZACAO[#Data], MATCH(F$318, CAD_ATUALIZACAO[#Headers],0), FALSE)</f>
        <v>42748</v>
      </c>
      <c r="G331" s="47">
        <f>WORKDAY(WORKDAY(TAB_AMORTIZACAO_U[[#This Row],[DT_EVE]], -1, TAB_FERIADOS[FER_DATA]), 1, TAB_FERIADOS[FER_DATA])</f>
        <v>42744</v>
      </c>
      <c r="H331" s="75">
        <f>WORKDAY(WORKDAY(TAB_AMORTIZACAO_U[[#This Row],[DT_LQDC_EVE]], -1, TAB_FERIADOS[FER_DATA]), 1, TAB_FERIADOS[FER_DATA])</f>
        <v>42748</v>
      </c>
      <c r="I331" s="48">
        <f>PU_EMISSAO - SUMIF(TAB_AMORTIZACAO_U[dt_eve_u], "&lt;" &amp; TAB_AMORTIZACAO_U[[#This Row],[dt_eve_u]], TAB_AMORTIZACAO_U[V_PU_AMTC])</f>
        <v>88771.879979999998</v>
      </c>
      <c r="J331" s="48">
        <f>IFERROR(VLOOKUP(TAB_AMORTIZACAO_U[[#This Row],[DT_EVE]], TAB_AMORTIZACAO_U[[DT_EVE]:[V_PU_AMTC]], 2, FALSE), 0)</f>
        <v>928.64263600000004</v>
      </c>
      <c r="K331" s="48">
        <f>NETWORKDAYS(DT_CALCULO_U, TAB_AMORTIZACAO_U[[#This Row],[dt_eve_u]], TAB_FERIADOS[FER_DATA]) -1</f>
        <v>260</v>
      </c>
      <c r="L331" s="48">
        <f>NETWORKDAYS(DT_CALCULO_U, TAB_AMORTIZACAO_U[[#This Row],[dt_lqdc_eve_u]], TAB_FERIADOS[FER_DATA]) -1</f>
        <v>264</v>
      </c>
      <c r="M331" s="48">
        <f>NETWORKDAYS(IF(ISTEXT(G330), DT_B_CORC, G330), TAB_AMORTIZACAO_U[[#This Row],[dt_eve_u]], TAB_FERIADOS[FER_DATA]) -1</f>
        <v>22</v>
      </c>
      <c r="N331" s="78">
        <f>(TX_EMISSAO/100 +1)^(TAB_AMORTIZACAO_U[[#This Row],[dias_periodo_u]]/252)</f>
        <v>1.0021580294747356</v>
      </c>
      <c r="O331" s="78">
        <f>(TIR_U/100 +1)^(TAB_AMORTIZACAO_U[[#This Row],[Q_DIAS_U_PARC_TIR]]/252)</f>
        <v>1.0262088026174876</v>
      </c>
      <c r="P331" s="116" t="str">
        <f>"TX_CENARIO" &amp; TEXT(DT_CALCULO_C, "-AAAAMMDD") &amp; TEXT(TAB_AMORTIZACAO_U[[#This Row],[DT_EVE]], "-AAAAMMDD")</f>
        <v>TX_CENARIO-20151228-20170109</v>
      </c>
      <c r="Q331" s="44">
        <f>IFERROR(VLOOKUP(TAB_AMORTIZACAO_U[[#This Row],[Chave-CENARIO]],CENARIO[],2,FALSE), 0)</f>
        <v>15.8864</v>
      </c>
      <c r="R331" s="117" t="str">
        <f t="shared" si="7"/>
        <v>n/a</v>
      </c>
      <c r="S331" s="49" t="str">
        <f t="shared" si="7"/>
        <v>n/a</v>
      </c>
      <c r="T331" s="78">
        <f>IF(TAB_AMORTIZACAO_U[[#This Row],[Q_DIAS_U_PARC_TIR]]&lt;0, 0, TAB_AMORTIZACAO_U[[#This Row],[PU_AMORT]])</f>
        <v>928.64263600000004</v>
      </c>
      <c r="U331" s="78">
        <f>MAX(0, TAB_AMORTIZACAO_U[[#This Row],[V_FUT_U_PCPL-01]]/((((TAB_AMORTIZACAO_U[[#This Row],[TX_CENARIO]]/100 +1)^(1/252) -1) * PC_IDXR/100 +1)^TAB_AMORTIZACAO_U[[#This Row],[Q_DIAS_U_PARC_TIR]]))</f>
        <v>795.73229085831099</v>
      </c>
      <c r="V331" s="78">
        <f>+TAB_AMORTIZACAO_U[[#This Row],[V_FUT_U_PCPL-02]]/TAB_AMORTIZACAO_U[[#This Row],[VAR_DESCAP_U]]</f>
        <v>775.40973028947485</v>
      </c>
      <c r="W331" s="78"/>
      <c r="X331" s="101">
        <f>TAB_AMORTIZACAO_U[[#This Row],[dt_eve_u]]- DT_CALCULO_C</f>
        <v>378</v>
      </c>
      <c r="Y331" s="49" t="str">
        <f t="shared" si="8"/>
        <v>n/a</v>
      </c>
      <c r="Z331" s="49" t="str">
        <f t="shared" si="8"/>
        <v>n/a</v>
      </c>
      <c r="AA331" s="44">
        <f>TAB_AMORTIZACAO_U[[#This Row],[V_PU_AMTC]]</f>
        <v>928.64263600000004</v>
      </c>
      <c r="AB331" s="44">
        <f>(TIR_C/100 +1)^(TAB_AMORTIZACAO_C[[#This Row],[DIAS_CORRIDOS]]/360)</f>
        <v>1.0258901617546174</v>
      </c>
      <c r="AC331" s="44">
        <f>IF(TAB_AMORTIZACAO_C[[#This Row],[DIAS_CORRIDOS]]&lt;0, 0, TAB_AMORTIZACAO_C[[#This Row],[V_FUT_C_PCPL]]/TAB_AMORTIZACAO_C[[#This Row],[VAR_DESCAP_C]])</f>
        <v>905.2066884155596</v>
      </c>
      <c r="AD331" s="115">
        <f>TAB_AMORTIZACAO_U[[#This Row],[V_FUT_U_PCPL-02]]</f>
        <v>795.73229085831099</v>
      </c>
      <c r="AE331" s="127">
        <f>IF(TAB_AMORTIZACAO_C[[#This Row],[DIAS_CORRIDOS]]&lt;0, 0, TAB_AMORTIZACAO_C[[#This Row],[V_FUT_UTEIS]]/TAB_AMORTIZACAO_C[[#This Row],[VAR_DESCAP_C]])</f>
        <v>775.6505720820453</v>
      </c>
      <c r="AF331" s="64"/>
    </row>
    <row r="332" spans="1:32">
      <c r="A332" s="82">
        <f t="shared" si="9"/>
        <v>14</v>
      </c>
      <c r="B332" s="24">
        <f>VLOOKUP($A332, CAD_AMORTIZACAO[#Data], MATCH(B$318, CAD_ATUALIZACAO[#Headers],0), FALSE)</f>
        <v>4</v>
      </c>
      <c r="C332" s="24" t="str">
        <f>VLOOKUP($A332, CAD_AMORTIZACAO[#Data], MATCH(C$318, CAD_ATUALIZACAO[#Headers],0), FALSE)</f>
        <v xml:space="preserve">AMORTIZACAO                                       </v>
      </c>
      <c r="D332" s="36">
        <f>VLOOKUP($A332, CAD_AMORTIZACAO[#Data], MATCH(D$318, CAD_ATUALIZACAO[#Headers],0), FALSE)</f>
        <v>42774</v>
      </c>
      <c r="E332" s="48">
        <f>VLOOKUP($A332, CAD_AMORTIZACAO[#Data], MATCH(E$318, CAD_ATUALIZACAO[#Headers],0), FALSE)</f>
        <v>915.50221899999997</v>
      </c>
      <c r="F332" s="36">
        <f>VLOOKUP($A332, CAD_AMORTIZACAO[#Data], MATCH(F$318, CAD_ATUALIZACAO[#Headers],0), FALSE)</f>
        <v>42780</v>
      </c>
      <c r="G332" s="47">
        <f>WORKDAY(WORKDAY(TAB_AMORTIZACAO_U[[#This Row],[DT_EVE]], -1, TAB_FERIADOS[FER_DATA]), 1, TAB_FERIADOS[FER_DATA])</f>
        <v>42774</v>
      </c>
      <c r="H332" s="75">
        <f>WORKDAY(WORKDAY(TAB_AMORTIZACAO_U[[#This Row],[DT_LQDC_EVE]], -1, TAB_FERIADOS[FER_DATA]), 1, TAB_FERIADOS[FER_DATA])</f>
        <v>42780</v>
      </c>
      <c r="I332" s="48">
        <f>PU_EMISSAO - SUMIF(TAB_AMORTIZACAO_U[dt_eve_u], "&lt;" &amp; TAB_AMORTIZACAO_U[[#This Row],[dt_eve_u]], TAB_AMORTIZACAO_U[V_PU_AMTC])</f>
        <v>87843.237343999994</v>
      </c>
      <c r="J332" s="48">
        <f>IFERROR(VLOOKUP(TAB_AMORTIZACAO_U[[#This Row],[DT_EVE]], TAB_AMORTIZACAO_U[[DT_EVE]:[V_PU_AMTC]], 2, FALSE), 0)</f>
        <v>915.50221899999997</v>
      </c>
      <c r="K332" s="48">
        <f>NETWORKDAYS(DT_CALCULO_U, TAB_AMORTIZACAO_U[[#This Row],[dt_eve_u]], TAB_FERIADOS[FER_DATA]) -1</f>
        <v>282</v>
      </c>
      <c r="L332" s="48">
        <f>NETWORKDAYS(DT_CALCULO_U, TAB_AMORTIZACAO_U[[#This Row],[dt_lqdc_eve_u]], TAB_FERIADOS[FER_DATA]) -1</f>
        <v>286</v>
      </c>
      <c r="M332" s="48">
        <f>NETWORKDAYS(IF(ISTEXT(G331), DT_B_CORC, G331), TAB_AMORTIZACAO_U[[#This Row],[dt_eve_u]], TAB_FERIADOS[FER_DATA]) -1</f>
        <v>22</v>
      </c>
      <c r="N332" s="78">
        <f>(TX_EMISSAO/100 +1)^(TAB_AMORTIZACAO_U[[#This Row],[dias_periodo_u]]/252)</f>
        <v>1.0021580294747356</v>
      </c>
      <c r="O332" s="78">
        <f>(TIR_U/100 +1)^(TAB_AMORTIZACAO_U[[#This Row],[Q_DIAS_U_PARC_TIR]]/252)</f>
        <v>1.0284236302333605</v>
      </c>
      <c r="P332" s="116" t="str">
        <f>"TX_CENARIO" &amp; TEXT(DT_CALCULO_C, "-AAAAMMDD") &amp; TEXT(TAB_AMORTIZACAO_U[[#This Row],[DT_EVE]], "-AAAAMMDD")</f>
        <v>TX_CENARIO-20151228-20170208</v>
      </c>
      <c r="Q332" s="44">
        <f>IFERROR(VLOOKUP(TAB_AMORTIZACAO_U[[#This Row],[Chave-CENARIO]],CENARIO[],2,FALSE), 0)</f>
        <v>15.9948</v>
      </c>
      <c r="R332" s="117" t="str">
        <f t="shared" si="7"/>
        <v>n/a</v>
      </c>
      <c r="S332" s="49" t="str">
        <f t="shared" si="7"/>
        <v>n/a</v>
      </c>
      <c r="T332" s="78">
        <f>IF(TAB_AMORTIZACAO_U[[#This Row],[Q_DIAS_U_PARC_TIR]]&lt;0, 0, TAB_AMORTIZACAO_U[[#This Row],[PU_AMORT]])</f>
        <v>915.50221899999997</v>
      </c>
      <c r="U332" s="78">
        <f>MAX(0, TAB_AMORTIZACAO_U[[#This Row],[V_FUT_U_PCPL-01]]/((((TAB_AMORTIZACAO_U[[#This Row],[TX_CENARIO]]/100 +1)^(1/252) -1) * PC_IDXR/100 +1)^TAB_AMORTIZACAO_U[[#This Row],[Q_DIAS_U_PARC_TIR]]))</f>
        <v>773.61840743833818</v>
      </c>
      <c r="V332" s="78">
        <f>+TAB_AMORTIZACAO_U[[#This Row],[V_FUT_U_PCPL-02]]/TAB_AMORTIZACAO_U[[#This Row],[VAR_DESCAP_U]]</f>
        <v>752.23709830820962</v>
      </c>
      <c r="W332" s="78"/>
      <c r="X332" s="101">
        <f>TAB_AMORTIZACAO_U[[#This Row],[dt_eve_u]]- DT_CALCULO_C</f>
        <v>408</v>
      </c>
      <c r="Y332" s="49" t="str">
        <f t="shared" si="8"/>
        <v>n/a</v>
      </c>
      <c r="Z332" s="49" t="str">
        <f t="shared" si="8"/>
        <v>n/a</v>
      </c>
      <c r="AA332" s="44">
        <f>TAB_AMORTIZACAO_U[[#This Row],[V_PU_AMTC]]</f>
        <v>915.50221899999997</v>
      </c>
      <c r="AB332" s="44">
        <f>(TIR_C/100 +1)^(TAB_AMORTIZACAO_C[[#This Row],[DIAS_CORRIDOS]]/360)</f>
        <v>1.027973421458569</v>
      </c>
      <c r="AC332" s="44">
        <f>IF(TAB_AMORTIZACAO_C[[#This Row],[DIAS_CORRIDOS]]&lt;0, 0, TAB_AMORTIZACAO_C[[#This Row],[V_FUT_C_PCPL]]/TAB_AMORTIZACAO_C[[#This Row],[VAR_DESCAP_C]])</f>
        <v>890.58938673824264</v>
      </c>
      <c r="AD332" s="115">
        <f>TAB_AMORTIZACAO_U[[#This Row],[V_FUT_U_PCPL-02]]</f>
        <v>773.61840743833818</v>
      </c>
      <c r="AE332" s="127">
        <f>IF(TAB_AMORTIZACAO_C[[#This Row],[DIAS_CORRIDOS]]&lt;0, 0, TAB_AMORTIZACAO_C[[#This Row],[V_FUT_UTEIS]]/TAB_AMORTIZACAO_C[[#This Row],[VAR_DESCAP_C]])</f>
        <v>752.56654626407362</v>
      </c>
      <c r="AF332" s="64"/>
    </row>
    <row r="333" spans="1:32">
      <c r="A333" s="82">
        <f t="shared" si="9"/>
        <v>15</v>
      </c>
      <c r="B333" s="24">
        <f>VLOOKUP($A333, CAD_AMORTIZACAO[#Data], MATCH(B$318, CAD_ATUALIZACAO[#Headers],0), FALSE)</f>
        <v>4</v>
      </c>
      <c r="C333" s="24" t="str">
        <f>VLOOKUP($A333, CAD_AMORTIZACAO[#Data], MATCH(C$318, CAD_ATUALIZACAO[#Headers],0), FALSE)</f>
        <v xml:space="preserve">AMORTIZACAO                                       </v>
      </c>
      <c r="D333" s="36">
        <f>VLOOKUP($A333, CAD_AMORTIZACAO[#Data], MATCH(D$318, CAD_ATUALIZACAO[#Headers],0), FALSE)</f>
        <v>42802</v>
      </c>
      <c r="E333" s="48">
        <f>VLOOKUP($A333, CAD_AMORTIZACAO[#Data], MATCH(E$318, CAD_ATUALIZACAO[#Headers],0), FALSE)</f>
        <v>939.25417800000002</v>
      </c>
      <c r="F333" s="36">
        <f>VLOOKUP($A333, CAD_AMORTIZACAO[#Data], MATCH(F$318, CAD_ATUALIZACAO[#Headers],0), FALSE)</f>
        <v>42808</v>
      </c>
      <c r="G333" s="47">
        <f>WORKDAY(WORKDAY(TAB_AMORTIZACAO_U[[#This Row],[DT_EVE]], -1, TAB_FERIADOS[FER_DATA]), 1, TAB_FERIADOS[FER_DATA])</f>
        <v>42802</v>
      </c>
      <c r="H333" s="75">
        <f>WORKDAY(WORKDAY(TAB_AMORTIZACAO_U[[#This Row],[DT_LQDC_EVE]], -1, TAB_FERIADOS[FER_DATA]), 1, TAB_FERIADOS[FER_DATA])</f>
        <v>42808</v>
      </c>
      <c r="I333" s="48">
        <f>PU_EMISSAO - SUMIF(TAB_AMORTIZACAO_U[dt_eve_u], "&lt;" &amp; TAB_AMORTIZACAO_U[[#This Row],[dt_eve_u]], TAB_AMORTIZACAO_U[V_PU_AMTC])</f>
        <v>86927.735125000007</v>
      </c>
      <c r="J333" s="48">
        <f>IFERROR(VLOOKUP(TAB_AMORTIZACAO_U[[#This Row],[DT_EVE]], TAB_AMORTIZACAO_U[[DT_EVE]:[V_PU_AMTC]], 2, FALSE), 0)</f>
        <v>939.25417800000002</v>
      </c>
      <c r="K333" s="48">
        <f>NETWORKDAYS(DT_CALCULO_U, TAB_AMORTIZACAO_U[[#This Row],[dt_eve_u]], TAB_FERIADOS[FER_DATA]) -1</f>
        <v>300</v>
      </c>
      <c r="L333" s="48">
        <f>NETWORKDAYS(DT_CALCULO_U, TAB_AMORTIZACAO_U[[#This Row],[dt_lqdc_eve_u]], TAB_FERIADOS[FER_DATA]) -1</f>
        <v>304</v>
      </c>
      <c r="M333" s="48">
        <f>NETWORKDAYS(IF(ISTEXT(G332), DT_B_CORC, G332), TAB_AMORTIZACAO_U[[#This Row],[dt_eve_u]], TAB_FERIADOS[FER_DATA]) -1</f>
        <v>18</v>
      </c>
      <c r="N333" s="78">
        <f>(TX_EMISSAO/100 +1)^(TAB_AMORTIZACAO_U[[#This Row],[dias_periodo_u]]/252)</f>
        <v>1.0017653143782506</v>
      </c>
      <c r="O333" s="78">
        <f>(TIR_U/100 +1)^(TAB_AMORTIZACAO_U[[#This Row],[Q_DIAS_U_PARC_TIR]]/252)</f>
        <v>1.0302393169590489</v>
      </c>
      <c r="P333" s="116" t="str">
        <f>"TX_CENARIO" &amp; TEXT(DT_CALCULO_C, "-AAAAMMDD") &amp; TEXT(TAB_AMORTIZACAO_U[[#This Row],[DT_EVE]], "-AAAAMMDD")</f>
        <v>TX_CENARIO-20151228-20170308</v>
      </c>
      <c r="Q333" s="44">
        <f>IFERROR(VLOOKUP(TAB_AMORTIZACAO_U[[#This Row],[Chave-CENARIO]],CENARIO[],2,FALSE), 0)</f>
        <v>16.071999999999999</v>
      </c>
      <c r="R333" s="117" t="str">
        <f t="shared" si="7"/>
        <v>n/a</v>
      </c>
      <c r="S333" s="49" t="str">
        <f t="shared" si="7"/>
        <v>n/a</v>
      </c>
      <c r="T333" s="78">
        <f>IF(TAB_AMORTIZACAO_U[[#This Row],[Q_DIAS_U_PARC_TIR]]&lt;0, 0, TAB_AMORTIZACAO_U[[#This Row],[PU_AMORT]])</f>
        <v>939.25417800000002</v>
      </c>
      <c r="U333" s="78">
        <f>MAX(0, TAB_AMORTIZACAO_U[[#This Row],[V_FUT_U_PCPL-01]]/((((TAB_AMORTIZACAO_U[[#This Row],[TX_CENARIO]]/100 +1)^(1/252) -1) * PC_IDXR/100 +1)^TAB_AMORTIZACAO_U[[#This Row],[Q_DIAS_U_PARC_TIR]]))</f>
        <v>784.69196625693178</v>
      </c>
      <c r="V333" s="78">
        <f>+TAB_AMORTIZACAO_U[[#This Row],[V_FUT_U_PCPL-02]]/TAB_AMORTIZACAO_U[[#This Row],[VAR_DESCAP_U]]</f>
        <v>761.65989138630653</v>
      </c>
      <c r="W333" s="78"/>
      <c r="X333" s="101">
        <f>TAB_AMORTIZACAO_U[[#This Row],[dt_eve_u]]- DT_CALCULO_C</f>
        <v>436</v>
      </c>
      <c r="Y333" s="49" t="str">
        <f t="shared" si="8"/>
        <v>n/a</v>
      </c>
      <c r="Z333" s="49" t="str">
        <f t="shared" si="8"/>
        <v>n/a</v>
      </c>
      <c r="AA333" s="44">
        <f>TAB_AMORTIZACAO_U[[#This Row],[V_PU_AMTC]]</f>
        <v>939.25417800000002</v>
      </c>
      <c r="AB333" s="44">
        <f>(TIR_C/100 +1)^(TAB_AMORTIZACAO_C[[#This Row],[DIAS_CORRIDOS]]/360)</f>
        <v>1.0299216138107996</v>
      </c>
      <c r="AC333" s="44">
        <f>IF(TAB_AMORTIZACAO_C[[#This Row],[DIAS_CORRIDOS]]&lt;0, 0, TAB_AMORTIZACAO_C[[#This Row],[V_FUT_C_PCPL]]/TAB_AMORTIZACAO_C[[#This Row],[VAR_DESCAP_C]])</f>
        <v>911.96666368101342</v>
      </c>
      <c r="AD333" s="115">
        <f>TAB_AMORTIZACAO_U[[#This Row],[V_FUT_U_PCPL-02]]</f>
        <v>784.69196625693178</v>
      </c>
      <c r="AE333" s="127">
        <f>IF(TAB_AMORTIZACAO_C[[#This Row],[DIAS_CORRIDOS]]&lt;0, 0, TAB_AMORTIZACAO_C[[#This Row],[V_FUT_UTEIS]]/TAB_AMORTIZACAO_C[[#This Row],[VAR_DESCAP_C]])</f>
        <v>761.89484300023878</v>
      </c>
      <c r="AF333" s="64"/>
    </row>
    <row r="334" spans="1:32">
      <c r="A334" s="82">
        <f t="shared" si="9"/>
        <v>16</v>
      </c>
      <c r="B334" s="24">
        <f>VLOOKUP($A334, CAD_AMORTIZACAO[#Data], MATCH(B$318, CAD_ATUALIZACAO[#Headers],0), FALSE)</f>
        <v>4</v>
      </c>
      <c r="C334" s="24" t="str">
        <f>VLOOKUP($A334, CAD_AMORTIZACAO[#Data], MATCH(C$318, CAD_ATUALIZACAO[#Headers],0), FALSE)</f>
        <v xml:space="preserve">AMORTIZACAO                                       </v>
      </c>
      <c r="D334" s="36">
        <f>VLOOKUP($A334, CAD_AMORTIZACAO[#Data], MATCH(D$318, CAD_ATUALIZACAO[#Headers],0), FALSE)</f>
        <v>42836</v>
      </c>
      <c r="E334" s="48">
        <f>VLOOKUP($A334, CAD_AMORTIZACAO[#Data], MATCH(E$318, CAD_ATUALIZACAO[#Headers],0), FALSE)</f>
        <v>883.27367600000002</v>
      </c>
      <c r="F334" s="36">
        <f>VLOOKUP($A334, CAD_AMORTIZACAO[#Data], MATCH(F$318, CAD_ATUALIZACAO[#Headers],0), FALSE)</f>
        <v>42842</v>
      </c>
      <c r="G334" s="47">
        <f>WORKDAY(WORKDAY(TAB_AMORTIZACAO_U[[#This Row],[DT_EVE]], -1, TAB_FERIADOS[FER_DATA]), 1, TAB_FERIADOS[FER_DATA])</f>
        <v>42836</v>
      </c>
      <c r="H334" s="75">
        <f>WORKDAY(WORKDAY(TAB_AMORTIZACAO_U[[#This Row],[DT_LQDC_EVE]], -1, TAB_FERIADOS[FER_DATA]), 1, TAB_FERIADOS[FER_DATA])</f>
        <v>42842</v>
      </c>
      <c r="I334" s="48">
        <f>PU_EMISSAO - SUMIF(TAB_AMORTIZACAO_U[dt_eve_u], "&lt;" &amp; TAB_AMORTIZACAO_U[[#This Row],[dt_eve_u]], TAB_AMORTIZACAO_U[V_PU_AMTC])</f>
        <v>85988.480947000004</v>
      </c>
      <c r="J334" s="48">
        <f>IFERROR(VLOOKUP(TAB_AMORTIZACAO_U[[#This Row],[DT_EVE]], TAB_AMORTIZACAO_U[[DT_EVE]:[V_PU_AMTC]], 2, FALSE), 0)</f>
        <v>883.27367600000002</v>
      </c>
      <c r="K334" s="48">
        <f>NETWORKDAYS(DT_CALCULO_U, TAB_AMORTIZACAO_U[[#This Row],[dt_eve_u]], TAB_FERIADOS[FER_DATA]) -1</f>
        <v>324</v>
      </c>
      <c r="L334" s="48">
        <f>NETWORKDAYS(DT_CALCULO_U, TAB_AMORTIZACAO_U[[#This Row],[dt_lqdc_eve_u]], TAB_FERIADOS[FER_DATA]) -1</f>
        <v>327</v>
      </c>
      <c r="M334" s="48">
        <f>NETWORKDAYS(IF(ISTEXT(G333), DT_B_CORC, G333), TAB_AMORTIZACAO_U[[#This Row],[dt_eve_u]], TAB_FERIADOS[FER_DATA]) -1</f>
        <v>24</v>
      </c>
      <c r="N334" s="78">
        <f>(TX_EMISSAO/100 +1)^(TAB_AMORTIZACAO_U[[#This Row],[dias_periodo_u]]/252)</f>
        <v>1.0023544447517205</v>
      </c>
      <c r="O334" s="78">
        <f>(TIR_U/100 +1)^(TAB_AMORTIZACAO_U[[#This Row],[Q_DIAS_U_PARC_TIR]]/252)</f>
        <v>1.0325640268153418</v>
      </c>
      <c r="P334" s="116" t="str">
        <f>"TX_CENARIO" &amp; TEXT(DT_CALCULO_C, "-AAAAMMDD") &amp; TEXT(TAB_AMORTIZACAO_U[[#This Row],[DT_EVE]], "-AAAAMMDD")</f>
        <v>TX_CENARIO-20151228-20170411</v>
      </c>
      <c r="Q334" s="44">
        <f>IFERROR(VLOOKUP(TAB_AMORTIZACAO_U[[#This Row],[Chave-CENARIO]],CENARIO[],2,FALSE), 0)</f>
        <v>16.1586</v>
      </c>
      <c r="R334" s="117" t="str">
        <f t="shared" si="7"/>
        <v>n/a</v>
      </c>
      <c r="S334" s="49" t="str">
        <f t="shared" si="7"/>
        <v>n/a</v>
      </c>
      <c r="T334" s="78">
        <f>IF(TAB_AMORTIZACAO_U[[#This Row],[Q_DIAS_U_PARC_TIR]]&lt;0, 0, TAB_AMORTIZACAO_U[[#This Row],[PU_AMORT]])</f>
        <v>883.27367600000002</v>
      </c>
      <c r="U334" s="78">
        <f>MAX(0, TAB_AMORTIZACAO_U[[#This Row],[V_FUT_U_PCPL-01]]/((((TAB_AMORTIZACAO_U[[#This Row],[TX_CENARIO]]/100 +1)^(1/252) -1) * PC_IDXR/100 +1)^TAB_AMORTIZACAO_U[[#This Row],[Q_DIAS_U_PARC_TIR]]))</f>
        <v>727.24943394791944</v>
      </c>
      <c r="V334" s="78">
        <f>+TAB_AMORTIZACAO_U[[#This Row],[V_FUT_U_PCPL-02]]/TAB_AMORTIZACAO_U[[#This Row],[VAR_DESCAP_U]]</f>
        <v>704.31412974062175</v>
      </c>
      <c r="W334" s="78"/>
      <c r="X334" s="101">
        <f>TAB_AMORTIZACAO_U[[#This Row],[dt_eve_u]]- DT_CALCULO_C</f>
        <v>470</v>
      </c>
      <c r="Y334" s="49" t="str">
        <f t="shared" si="8"/>
        <v>n/a</v>
      </c>
      <c r="Z334" s="49" t="str">
        <f t="shared" si="8"/>
        <v>n/a</v>
      </c>
      <c r="AA334" s="44">
        <f>TAB_AMORTIZACAO_U[[#This Row],[V_PU_AMTC]]</f>
        <v>883.27367600000002</v>
      </c>
      <c r="AB334" s="44">
        <f>(TIR_C/100 +1)^(TAB_AMORTIZACAO_C[[#This Row],[DIAS_CORRIDOS]]/360)</f>
        <v>1.0322922403336825</v>
      </c>
      <c r="AC334" s="44">
        <f>IF(TAB_AMORTIZACAO_C[[#This Row],[DIAS_CORRIDOS]]&lt;0, 0, TAB_AMORTIZACAO_C[[#This Row],[V_FUT_C_PCPL]]/TAB_AMORTIZACAO_C[[#This Row],[VAR_DESCAP_C]])</f>
        <v>855.64304514629202</v>
      </c>
      <c r="AD334" s="115">
        <f>TAB_AMORTIZACAO_U[[#This Row],[V_FUT_U_PCPL-02]]</f>
        <v>727.24943394791944</v>
      </c>
      <c r="AE334" s="127">
        <f>IF(TAB_AMORTIZACAO_C[[#This Row],[DIAS_CORRIDOS]]&lt;0, 0, TAB_AMORTIZACAO_C[[#This Row],[V_FUT_UTEIS]]/TAB_AMORTIZACAO_C[[#This Row],[VAR_DESCAP_C]])</f>
        <v>704.49956468997607</v>
      </c>
      <c r="AF334" s="64"/>
    </row>
    <row r="335" spans="1:32">
      <c r="A335" s="82">
        <f t="shared" si="9"/>
        <v>17</v>
      </c>
      <c r="B335" s="24">
        <f>VLOOKUP($A335, CAD_AMORTIZACAO[#Data], MATCH(B$318, CAD_ATUALIZACAO[#Headers],0), FALSE)</f>
        <v>4</v>
      </c>
      <c r="C335" s="24" t="str">
        <f>VLOOKUP($A335, CAD_AMORTIZACAO[#Data], MATCH(C$318, CAD_ATUALIZACAO[#Headers],0), FALSE)</f>
        <v xml:space="preserve">AMORTIZACAO                                       </v>
      </c>
      <c r="D335" s="36">
        <f>VLOOKUP($A335, CAD_AMORTIZACAO[#Data], MATCH(D$318, CAD_ATUALIZACAO[#Headers],0), FALSE)</f>
        <v>42864</v>
      </c>
      <c r="E335" s="48">
        <f>VLOOKUP($A335, CAD_AMORTIZACAO[#Data], MATCH(E$318, CAD_ATUALIZACAO[#Headers],0), FALSE)</f>
        <v>914.79587200000003</v>
      </c>
      <c r="F335" s="36">
        <f>VLOOKUP($A335, CAD_AMORTIZACAO[#Data], MATCH(F$318, CAD_ATUALIZACAO[#Headers],0), FALSE)</f>
        <v>42870</v>
      </c>
      <c r="G335" s="47">
        <f>WORKDAY(WORKDAY(TAB_AMORTIZACAO_U[[#This Row],[DT_EVE]], -1, TAB_FERIADOS[FER_DATA]), 1, TAB_FERIADOS[FER_DATA])</f>
        <v>42864</v>
      </c>
      <c r="H335" s="75">
        <f>WORKDAY(WORKDAY(TAB_AMORTIZACAO_U[[#This Row],[DT_LQDC_EVE]], -1, TAB_FERIADOS[FER_DATA]), 1, TAB_FERIADOS[FER_DATA])</f>
        <v>42870</v>
      </c>
      <c r="I335" s="48">
        <f>PU_EMISSAO - SUMIF(TAB_AMORTIZACAO_U[dt_eve_u], "&lt;" &amp; TAB_AMORTIZACAO_U[[#This Row],[dt_eve_u]], TAB_AMORTIZACAO_U[V_PU_AMTC])</f>
        <v>85105.207270999992</v>
      </c>
      <c r="J335" s="48">
        <f>IFERROR(VLOOKUP(TAB_AMORTIZACAO_U[[#This Row],[DT_EVE]], TAB_AMORTIZACAO_U[[DT_EVE]:[V_PU_AMTC]], 2, FALSE), 0)</f>
        <v>914.79587200000003</v>
      </c>
      <c r="K335" s="48">
        <f>NETWORKDAYS(DT_CALCULO_U, TAB_AMORTIZACAO_U[[#This Row],[dt_eve_u]], TAB_FERIADOS[FER_DATA]) -1</f>
        <v>341</v>
      </c>
      <c r="L335" s="48">
        <f>NETWORKDAYS(DT_CALCULO_U, TAB_AMORTIZACAO_U[[#This Row],[dt_lqdc_eve_u]], TAB_FERIADOS[FER_DATA]) -1</f>
        <v>345</v>
      </c>
      <c r="M335" s="48">
        <f>NETWORKDAYS(IF(ISTEXT(G334), DT_B_CORC, G334), TAB_AMORTIZACAO_U[[#This Row],[dt_eve_u]], TAB_FERIADOS[FER_DATA]) -1</f>
        <v>17</v>
      </c>
      <c r="N335" s="78">
        <f>(TX_EMISSAO/100 +1)^(TAB_AMORTIZACAO_U[[#This Row],[dias_periodo_u]]/252)</f>
        <v>1.0016671596522733</v>
      </c>
      <c r="O335" s="78">
        <f>(TIR_U/100 +1)^(TAB_AMORTIZACAO_U[[#This Row],[Q_DIAS_U_PARC_TIR]]/252)</f>
        <v>1.0343870234305468</v>
      </c>
      <c r="P335" s="116" t="str">
        <f>"TX_CENARIO" &amp; TEXT(DT_CALCULO_C, "-AAAAMMDD") &amp; TEXT(TAB_AMORTIZACAO_U[[#This Row],[DT_EVE]], "-AAAAMMDD")</f>
        <v>TX_CENARIO-20151228-20170509</v>
      </c>
      <c r="Q335" s="44">
        <f>IFERROR(VLOOKUP(TAB_AMORTIZACAO_U[[#This Row],[Chave-CENARIO]],CENARIO[],2,FALSE), 0)</f>
        <v>16.218299999999999</v>
      </c>
      <c r="R335" s="117" t="str">
        <f t="shared" ref="R335:S398" si="10">"n/a"</f>
        <v>n/a</v>
      </c>
      <c r="S335" s="49" t="str">
        <f t="shared" si="10"/>
        <v>n/a</v>
      </c>
      <c r="T335" s="78">
        <f>IF(TAB_AMORTIZACAO_U[[#This Row],[Q_DIAS_U_PARC_TIR]]&lt;0, 0, TAB_AMORTIZACAO_U[[#This Row],[PU_AMORT]])</f>
        <v>914.79587200000003</v>
      </c>
      <c r="U335" s="78">
        <f>MAX(0, TAB_AMORTIZACAO_U[[#This Row],[V_FUT_U_PCPL-01]]/((((TAB_AMORTIZACAO_U[[#This Row],[TX_CENARIO]]/100 +1)^(1/252) -1) * PC_IDXR/100 +1)^TAB_AMORTIZACAO_U[[#This Row],[Q_DIAS_U_PARC_TIR]]))</f>
        <v>744.66385132829805</v>
      </c>
      <c r="V335" s="78">
        <f>+TAB_AMORTIZACAO_U[[#This Row],[V_FUT_U_PCPL-02]]/TAB_AMORTIZACAO_U[[#This Row],[VAR_DESCAP_U]]</f>
        <v>719.90834616101313</v>
      </c>
      <c r="W335" s="78"/>
      <c r="X335" s="101">
        <f>TAB_AMORTIZACAO_U[[#This Row],[dt_eve_u]]- DT_CALCULO_C</f>
        <v>498</v>
      </c>
      <c r="Y335" s="49" t="str">
        <f t="shared" ref="Y335:Z398" si="11">"n/a"</f>
        <v>n/a</v>
      </c>
      <c r="Z335" s="49" t="str">
        <f t="shared" si="11"/>
        <v>n/a</v>
      </c>
      <c r="AA335" s="44">
        <f>TAB_AMORTIZACAO_U[[#This Row],[V_PU_AMTC]]</f>
        <v>914.79587200000003</v>
      </c>
      <c r="AB335" s="44">
        <f>(TIR_C/100 +1)^(TAB_AMORTIZACAO_C[[#This Row],[DIAS_CORRIDOS]]/360)</f>
        <v>1.0342486176153358</v>
      </c>
      <c r="AC335" s="44">
        <f>IF(TAB_AMORTIZACAO_C[[#This Row],[DIAS_CORRIDOS]]&lt;0, 0, TAB_AMORTIZACAO_C[[#This Row],[V_FUT_C_PCPL]]/TAB_AMORTIZACAO_C[[#This Row],[VAR_DESCAP_C]])</f>
        <v>884.50287137849148</v>
      </c>
      <c r="AD335" s="115">
        <f>TAB_AMORTIZACAO_U[[#This Row],[V_FUT_U_PCPL-02]]</f>
        <v>744.66385132829805</v>
      </c>
      <c r="AE335" s="127">
        <f>IF(TAB_AMORTIZACAO_C[[#This Row],[DIAS_CORRIDOS]]&lt;0, 0, TAB_AMORTIZACAO_C[[#This Row],[V_FUT_UTEIS]]/TAB_AMORTIZACAO_C[[#This Row],[VAR_DESCAP_C]])</f>
        <v>720.00468615106047</v>
      </c>
      <c r="AF335" s="64"/>
    </row>
    <row r="336" spans="1:32">
      <c r="A336" s="82">
        <f t="shared" si="9"/>
        <v>18</v>
      </c>
      <c r="B336" s="24">
        <f>VLOOKUP($A336, CAD_AMORTIZACAO[#Data], MATCH(B$318, CAD_ATUALIZACAO[#Headers],0), FALSE)</f>
        <v>4</v>
      </c>
      <c r="C336" s="24" t="str">
        <f>VLOOKUP($A336, CAD_AMORTIZACAO[#Data], MATCH(C$318, CAD_ATUALIZACAO[#Headers],0), FALSE)</f>
        <v xml:space="preserve">AMORTIZACAO                                       </v>
      </c>
      <c r="D336" s="36">
        <f>VLOOKUP($A336, CAD_AMORTIZACAO[#Data], MATCH(D$318, CAD_ATUALIZACAO[#Headers],0), FALSE)</f>
        <v>42894</v>
      </c>
      <c r="E336" s="48">
        <f>VLOOKUP($A336, CAD_AMORTIZACAO[#Data], MATCH(E$318, CAD_ATUALIZACAO[#Headers],0), FALSE)</f>
        <v>868.92923599999995</v>
      </c>
      <c r="F336" s="36">
        <f>VLOOKUP($A336, CAD_AMORTIZACAO[#Data], MATCH(F$318, CAD_ATUALIZACAO[#Headers],0), FALSE)</f>
        <v>42900</v>
      </c>
      <c r="G336" s="47">
        <f>WORKDAY(WORKDAY(TAB_AMORTIZACAO_U[[#This Row],[DT_EVE]], -1, TAB_FERIADOS[FER_DATA]), 1, TAB_FERIADOS[FER_DATA])</f>
        <v>42894</v>
      </c>
      <c r="H336" s="75">
        <f>WORKDAY(WORKDAY(TAB_AMORTIZACAO_U[[#This Row],[DT_LQDC_EVE]], -1, TAB_FERIADOS[FER_DATA]), 1, TAB_FERIADOS[FER_DATA])</f>
        <v>42900</v>
      </c>
      <c r="I336" s="48">
        <f>PU_EMISSAO - SUMIF(TAB_AMORTIZACAO_U[dt_eve_u], "&lt;" &amp; TAB_AMORTIZACAO_U[[#This Row],[dt_eve_u]], TAB_AMORTIZACAO_U[V_PU_AMTC])</f>
        <v>84190.411399000004</v>
      </c>
      <c r="J336" s="48">
        <f>IFERROR(VLOOKUP(TAB_AMORTIZACAO_U[[#This Row],[DT_EVE]], TAB_AMORTIZACAO_U[[DT_EVE]:[V_PU_AMTC]], 2, FALSE), 0)</f>
        <v>868.92923599999995</v>
      </c>
      <c r="K336" s="48">
        <f>NETWORKDAYS(DT_CALCULO_U, TAB_AMORTIZACAO_U[[#This Row],[dt_eve_u]], TAB_FERIADOS[FER_DATA]) -1</f>
        <v>363</v>
      </c>
      <c r="L336" s="48">
        <f>NETWORKDAYS(DT_CALCULO_U, TAB_AMORTIZACAO_U[[#This Row],[dt_lqdc_eve_u]], TAB_FERIADOS[FER_DATA]) -1</f>
        <v>367</v>
      </c>
      <c r="M336" s="48">
        <f>NETWORKDAYS(IF(ISTEXT(G335), DT_B_CORC, G335), TAB_AMORTIZACAO_U[[#This Row],[dt_eve_u]], TAB_FERIADOS[FER_DATA]) -1</f>
        <v>22</v>
      </c>
      <c r="N336" s="78">
        <f>(TX_EMISSAO/100 +1)^(TAB_AMORTIZACAO_U[[#This Row],[dias_periodo_u]]/252)</f>
        <v>1.0021580294747356</v>
      </c>
      <c r="O336" s="78">
        <f>(TIR_U/100 +1)^(TAB_AMORTIZACAO_U[[#This Row],[Q_DIAS_U_PARC_TIR]]/252)</f>
        <v>1.0366195017908482</v>
      </c>
      <c r="P336" s="116" t="str">
        <f>"TX_CENARIO" &amp; TEXT(DT_CALCULO_C, "-AAAAMMDD") &amp; TEXT(TAB_AMORTIZACAO_U[[#This Row],[DT_EVE]], "-AAAAMMDD")</f>
        <v>TX_CENARIO-20151228-20170608</v>
      </c>
      <c r="Q336" s="44">
        <f>IFERROR(VLOOKUP(TAB_AMORTIZACAO_U[[#This Row],[Chave-CENARIO]],CENARIO[],2,FALSE), 0)</f>
        <v>16.2834</v>
      </c>
      <c r="R336" s="117" t="str">
        <f t="shared" si="10"/>
        <v>n/a</v>
      </c>
      <c r="S336" s="49" t="str">
        <f t="shared" si="10"/>
        <v>n/a</v>
      </c>
      <c r="T336" s="78">
        <f>IF(TAB_AMORTIZACAO_U[[#This Row],[Q_DIAS_U_PARC_TIR]]&lt;0, 0, TAB_AMORTIZACAO_U[[#This Row],[PU_AMORT]])</f>
        <v>868.92923599999995</v>
      </c>
      <c r="U336" s="78">
        <f>MAX(0, TAB_AMORTIZACAO_U[[#This Row],[V_FUT_U_PCPL-01]]/((((TAB_AMORTIZACAO_U[[#This Row],[TX_CENARIO]]/100 +1)^(1/252) -1) * PC_IDXR/100 +1)^TAB_AMORTIZACAO_U[[#This Row],[Q_DIAS_U_PARC_TIR]]))</f>
        <v>697.53776892107703</v>
      </c>
      <c r="V336" s="78">
        <f>+TAB_AMORTIZACAO_U[[#This Row],[V_FUT_U_PCPL-02]]/TAB_AMORTIZACAO_U[[#This Row],[VAR_DESCAP_U]]</f>
        <v>672.89662958879444</v>
      </c>
      <c r="W336" s="78"/>
      <c r="X336" s="101">
        <f>TAB_AMORTIZACAO_U[[#This Row],[dt_eve_u]]- DT_CALCULO_C</f>
        <v>528</v>
      </c>
      <c r="Y336" s="49" t="str">
        <f t="shared" si="11"/>
        <v>n/a</v>
      </c>
      <c r="Z336" s="49" t="str">
        <f t="shared" si="11"/>
        <v>n/a</v>
      </c>
      <c r="AA336" s="44">
        <f>TAB_AMORTIZACAO_U[[#This Row],[V_PU_AMTC]]</f>
        <v>868.92923599999995</v>
      </c>
      <c r="AB336" s="44">
        <f>(TIR_C/100 +1)^(TAB_AMORTIZACAO_C[[#This Row],[DIAS_CORRIDOS]]/360)</f>
        <v>1.0363488507097447</v>
      </c>
      <c r="AC336" s="44">
        <f>IF(TAB_AMORTIZACAO_C[[#This Row],[DIAS_CORRIDOS]]&lt;0, 0, TAB_AMORTIZACAO_C[[#This Row],[V_FUT_C_PCPL]]/TAB_AMORTIZACAO_C[[#This Row],[VAR_DESCAP_C]])</f>
        <v>838.45245296013286</v>
      </c>
      <c r="AD336" s="115">
        <f>TAB_AMORTIZACAO_U[[#This Row],[V_FUT_U_PCPL-02]]</f>
        <v>697.53776892107703</v>
      </c>
      <c r="AE336" s="127">
        <f>IF(TAB_AMORTIZACAO_C[[#This Row],[DIAS_CORRIDOS]]&lt;0, 0, TAB_AMORTIZACAO_C[[#This Row],[V_FUT_UTEIS]]/TAB_AMORTIZACAO_C[[#This Row],[VAR_DESCAP_C]])</f>
        <v>673.07236211374914</v>
      </c>
      <c r="AF336" s="64"/>
    </row>
    <row r="337" spans="1:32">
      <c r="A337" s="82">
        <f t="shared" si="9"/>
        <v>19</v>
      </c>
      <c r="B337" s="24">
        <f>VLOOKUP($A337, CAD_AMORTIZACAO[#Data], MATCH(B$318, CAD_ATUALIZACAO[#Headers],0), FALSE)</f>
        <v>4</v>
      </c>
      <c r="C337" s="24" t="str">
        <f>VLOOKUP($A337, CAD_AMORTIZACAO[#Data], MATCH(C$318, CAD_ATUALIZACAO[#Headers],0), FALSE)</f>
        <v xml:space="preserve">AMORTIZACAO                                       </v>
      </c>
      <c r="D337" s="36">
        <f>VLOOKUP($A337, CAD_AMORTIZACAO[#Data], MATCH(D$318, CAD_ATUALIZACAO[#Headers],0), FALSE)</f>
        <v>42926</v>
      </c>
      <c r="E337" s="48">
        <f>VLOOKUP($A337, CAD_AMORTIZACAO[#Data], MATCH(E$318, CAD_ATUALIZACAO[#Headers],0), FALSE)</f>
        <v>865.12694899999997</v>
      </c>
      <c r="F337" s="36">
        <f>VLOOKUP($A337, CAD_AMORTIZACAO[#Data], MATCH(F$318, CAD_ATUALIZACAO[#Headers],0), FALSE)</f>
        <v>42930</v>
      </c>
      <c r="G337" s="47">
        <f>WORKDAY(WORKDAY(TAB_AMORTIZACAO_U[[#This Row],[DT_EVE]], -1, TAB_FERIADOS[FER_DATA]), 1, TAB_FERIADOS[FER_DATA])</f>
        <v>42926</v>
      </c>
      <c r="H337" s="75">
        <f>WORKDAY(WORKDAY(TAB_AMORTIZACAO_U[[#This Row],[DT_LQDC_EVE]], -1, TAB_FERIADOS[FER_DATA]), 1, TAB_FERIADOS[FER_DATA])</f>
        <v>42930</v>
      </c>
      <c r="I337" s="48">
        <f>PU_EMISSAO - SUMIF(TAB_AMORTIZACAO_U[dt_eve_u], "&lt;" &amp; TAB_AMORTIZACAO_U[[#This Row],[dt_eve_u]], TAB_AMORTIZACAO_U[V_PU_AMTC])</f>
        <v>83321.482163000008</v>
      </c>
      <c r="J337" s="48">
        <f>IFERROR(VLOOKUP(TAB_AMORTIZACAO_U[[#This Row],[DT_EVE]], TAB_AMORTIZACAO_U[[DT_EVE]:[V_PU_AMTC]], 2, FALSE), 0)</f>
        <v>865.12694899999997</v>
      </c>
      <c r="K337" s="48">
        <f>NETWORKDAYS(DT_CALCULO_U, TAB_AMORTIZACAO_U[[#This Row],[dt_eve_u]], TAB_FERIADOS[FER_DATA]) -1</f>
        <v>384</v>
      </c>
      <c r="L337" s="48">
        <f>NETWORKDAYS(DT_CALCULO_U, TAB_AMORTIZACAO_U[[#This Row],[dt_lqdc_eve_u]], TAB_FERIADOS[FER_DATA]) -1</f>
        <v>388</v>
      </c>
      <c r="M337" s="48">
        <f>NETWORKDAYS(IF(ISTEXT(G336), DT_B_CORC, G336), TAB_AMORTIZACAO_U[[#This Row],[dt_eve_u]], TAB_FERIADOS[FER_DATA]) -1</f>
        <v>21</v>
      </c>
      <c r="N337" s="78">
        <f>(TX_EMISSAO/100 +1)^(TAB_AMORTIZACAO_U[[#This Row],[dias_periodo_u]]/252)</f>
        <v>1.0020598362698427</v>
      </c>
      <c r="O337" s="78">
        <f>(TIR_U/100 +1)^(TAB_AMORTIZACAO_U[[#This Row],[Q_DIAS_U_PARC_TIR]]/252)</f>
        <v>1.0387549984475946</v>
      </c>
      <c r="P337" s="116" t="str">
        <f>"TX_CENARIO" &amp; TEXT(DT_CALCULO_C, "-AAAAMMDD") &amp; TEXT(TAB_AMORTIZACAO_U[[#This Row],[DT_EVE]], "-AAAAMMDD")</f>
        <v>TX_CENARIO-20151228-20170710</v>
      </c>
      <c r="Q337" s="44">
        <f>IFERROR(VLOOKUP(TAB_AMORTIZACAO_U[[#This Row],[Chave-CENARIO]],CENARIO[],2,FALSE), 0)</f>
        <v>16.336500000000001</v>
      </c>
      <c r="R337" s="117" t="str">
        <f t="shared" si="10"/>
        <v>n/a</v>
      </c>
      <c r="S337" s="49" t="str">
        <f t="shared" si="10"/>
        <v>n/a</v>
      </c>
      <c r="T337" s="78">
        <f>IF(TAB_AMORTIZACAO_U[[#This Row],[Q_DIAS_U_PARC_TIR]]&lt;0, 0, TAB_AMORTIZACAO_U[[#This Row],[PU_AMORT]])</f>
        <v>865.12694899999997</v>
      </c>
      <c r="U337" s="78">
        <f>MAX(0, TAB_AMORTIZACAO_U[[#This Row],[V_FUT_U_PCPL-01]]/((((TAB_AMORTIZACAO_U[[#This Row],[TX_CENARIO]]/100 +1)^(1/252) -1) * PC_IDXR/100 +1)^TAB_AMORTIZACAO_U[[#This Row],[Q_DIAS_U_PARC_TIR]]))</f>
        <v>685.3273632302438</v>
      </c>
      <c r="V337" s="78">
        <f>+TAB_AMORTIZACAO_U[[#This Row],[V_FUT_U_PCPL-02]]/TAB_AMORTIZACAO_U[[#This Row],[VAR_DESCAP_U]]</f>
        <v>659.75842643785722</v>
      </c>
      <c r="W337" s="78"/>
      <c r="X337" s="101">
        <f>TAB_AMORTIZACAO_U[[#This Row],[dt_eve_u]]- DT_CALCULO_C</f>
        <v>560</v>
      </c>
      <c r="Y337" s="49" t="str">
        <f t="shared" si="11"/>
        <v>n/a</v>
      </c>
      <c r="Z337" s="49" t="str">
        <f t="shared" si="11"/>
        <v>n/a</v>
      </c>
      <c r="AA337" s="44">
        <f>TAB_AMORTIZACAO_U[[#This Row],[V_PU_AMTC]]</f>
        <v>865.12694899999997</v>
      </c>
      <c r="AB337" s="44">
        <f>(TIR_C/100 +1)^(TAB_AMORTIZACAO_C[[#This Row],[DIAS_CORRIDOS]]/360)</f>
        <v>1.0385938004362878</v>
      </c>
      <c r="AC337" s="44">
        <f>IF(TAB_AMORTIZACAO_C[[#This Row],[DIAS_CORRIDOS]]&lt;0, 0, TAB_AMORTIZACAO_C[[#This Row],[V_FUT_C_PCPL]]/TAB_AMORTIZACAO_C[[#This Row],[VAR_DESCAP_C]])</f>
        <v>832.97911910949335</v>
      </c>
      <c r="AD337" s="115">
        <f>TAB_AMORTIZACAO_U[[#This Row],[V_FUT_U_PCPL-02]]</f>
        <v>685.3273632302438</v>
      </c>
      <c r="AE337" s="127">
        <f>IF(TAB_AMORTIZACAO_C[[#This Row],[DIAS_CORRIDOS]]&lt;0, 0, TAB_AMORTIZACAO_C[[#This Row],[V_FUT_UTEIS]]/TAB_AMORTIZACAO_C[[#This Row],[VAR_DESCAP_C]])</f>
        <v>659.86082618859712</v>
      </c>
      <c r="AF337" s="64"/>
    </row>
    <row r="338" spans="1:32">
      <c r="A338" s="82">
        <f t="shared" si="9"/>
        <v>20</v>
      </c>
      <c r="B338" s="24">
        <f>VLOOKUP($A338, CAD_AMORTIZACAO[#Data], MATCH(B$318, CAD_ATUALIZACAO[#Headers],0), FALSE)</f>
        <v>4</v>
      </c>
      <c r="C338" s="24" t="str">
        <f>VLOOKUP($A338, CAD_AMORTIZACAO[#Data], MATCH(C$318, CAD_ATUALIZACAO[#Headers],0), FALSE)</f>
        <v xml:space="preserve">AMORTIZACAO                                       </v>
      </c>
      <c r="D338" s="36">
        <f>VLOOKUP($A338, CAD_AMORTIZACAO[#Data], MATCH(D$318, CAD_ATUALIZACAO[#Headers],0), FALSE)</f>
        <v>42955</v>
      </c>
      <c r="E338" s="48">
        <f>VLOOKUP($A338, CAD_AMORTIZACAO[#Data], MATCH(E$318, CAD_ATUALIZACAO[#Headers],0), FALSE)</f>
        <v>853.83555799999999</v>
      </c>
      <c r="F338" s="36">
        <f>VLOOKUP($A338, CAD_AMORTIZACAO[#Data], MATCH(F$318, CAD_ATUALIZACAO[#Headers],0), FALSE)</f>
        <v>42961</v>
      </c>
      <c r="G338" s="47">
        <f>WORKDAY(WORKDAY(TAB_AMORTIZACAO_U[[#This Row],[DT_EVE]], -1, TAB_FERIADOS[FER_DATA]), 1, TAB_FERIADOS[FER_DATA])</f>
        <v>42955</v>
      </c>
      <c r="H338" s="75">
        <f>WORKDAY(WORKDAY(TAB_AMORTIZACAO_U[[#This Row],[DT_LQDC_EVE]], -1, TAB_FERIADOS[FER_DATA]), 1, TAB_FERIADOS[FER_DATA])</f>
        <v>42961</v>
      </c>
      <c r="I338" s="48">
        <f>PU_EMISSAO - SUMIF(TAB_AMORTIZACAO_U[dt_eve_u], "&lt;" &amp; TAB_AMORTIZACAO_U[[#This Row],[dt_eve_u]], TAB_AMORTIZACAO_U[V_PU_AMTC])</f>
        <v>82456.355213999996</v>
      </c>
      <c r="J338" s="48">
        <f>IFERROR(VLOOKUP(TAB_AMORTIZACAO_U[[#This Row],[DT_EVE]], TAB_AMORTIZACAO_U[[DT_EVE]:[V_PU_AMTC]], 2, FALSE), 0)</f>
        <v>853.83555799999999</v>
      </c>
      <c r="K338" s="48">
        <f>NETWORKDAYS(DT_CALCULO_U, TAB_AMORTIZACAO_U[[#This Row],[dt_eve_u]], TAB_FERIADOS[FER_DATA]) -1</f>
        <v>405</v>
      </c>
      <c r="L338" s="48">
        <f>NETWORKDAYS(DT_CALCULO_U, TAB_AMORTIZACAO_U[[#This Row],[dt_lqdc_eve_u]], TAB_FERIADOS[FER_DATA]) -1</f>
        <v>409</v>
      </c>
      <c r="M338" s="48">
        <f>NETWORKDAYS(IF(ISTEXT(G337), DT_B_CORC, G337), TAB_AMORTIZACAO_U[[#This Row],[dt_eve_u]], TAB_FERIADOS[FER_DATA]) -1</f>
        <v>21</v>
      </c>
      <c r="N338" s="78">
        <f>(TX_EMISSAO/100 +1)^(TAB_AMORTIZACAO_U[[#This Row],[dias_periodo_u]]/252)</f>
        <v>1.0020598362698427</v>
      </c>
      <c r="O338" s="78">
        <f>(TIR_U/100 +1)^(TAB_AMORTIZACAO_U[[#This Row],[Q_DIAS_U_PARC_TIR]]/252)</f>
        <v>1.0408948943520524</v>
      </c>
      <c r="P338" s="116" t="str">
        <f>"TX_CENARIO" &amp; TEXT(DT_CALCULO_C, "-AAAAMMDD") &amp; TEXT(TAB_AMORTIZACAO_U[[#This Row],[DT_EVE]], "-AAAAMMDD")</f>
        <v>TX_CENARIO-20151228-20170808</v>
      </c>
      <c r="Q338" s="44">
        <f>IFERROR(VLOOKUP(TAB_AMORTIZACAO_U[[#This Row],[Chave-CENARIO]],CENARIO[],2,FALSE), 0)</f>
        <v>16.381499999999999</v>
      </c>
      <c r="R338" s="117" t="str">
        <f t="shared" si="10"/>
        <v>n/a</v>
      </c>
      <c r="S338" s="49" t="str">
        <f t="shared" si="10"/>
        <v>n/a</v>
      </c>
      <c r="T338" s="78">
        <f>IF(TAB_AMORTIZACAO_U[[#This Row],[Q_DIAS_U_PARC_TIR]]&lt;0, 0, TAB_AMORTIZACAO_U[[#This Row],[PU_AMORT]])</f>
        <v>853.83555799999999</v>
      </c>
      <c r="U338" s="78">
        <f>MAX(0, TAB_AMORTIZACAO_U[[#This Row],[V_FUT_U_PCPL-01]]/((((TAB_AMORTIZACAO_U[[#This Row],[TX_CENARIO]]/100 +1)^(1/252) -1) * PC_IDXR/100 +1)^TAB_AMORTIZACAO_U[[#This Row],[Q_DIAS_U_PARC_TIR]]))</f>
        <v>667.48811897306757</v>
      </c>
      <c r="V338" s="78">
        <f>+TAB_AMORTIZACAO_U[[#This Row],[V_FUT_U_PCPL-02]]/TAB_AMORTIZACAO_U[[#This Row],[VAR_DESCAP_U]]</f>
        <v>641.26370740685866</v>
      </c>
      <c r="W338" s="78"/>
      <c r="X338" s="101">
        <f>TAB_AMORTIZACAO_U[[#This Row],[dt_eve_u]]- DT_CALCULO_C</f>
        <v>589</v>
      </c>
      <c r="Y338" s="49" t="str">
        <f t="shared" si="11"/>
        <v>n/a</v>
      </c>
      <c r="Z338" s="49" t="str">
        <f t="shared" si="11"/>
        <v>n/a</v>
      </c>
      <c r="AA338" s="44">
        <f>TAB_AMORTIZACAO_U[[#This Row],[V_PU_AMTC]]</f>
        <v>853.83555799999999</v>
      </c>
      <c r="AB338" s="44">
        <f>(TIR_C/100 +1)^(TAB_AMORTIZACAO_C[[#This Row],[DIAS_CORRIDOS]]/360)</f>
        <v>1.0406324863820309</v>
      </c>
      <c r="AC338" s="44">
        <f>IF(TAB_AMORTIZACAO_C[[#This Row],[DIAS_CORRIDOS]]&lt;0, 0, TAB_AMORTIZACAO_C[[#This Row],[V_FUT_C_PCPL]]/TAB_AMORTIZACAO_C[[#This Row],[VAR_DESCAP_C]])</f>
        <v>820.4967355656288</v>
      </c>
      <c r="AD338" s="115">
        <f>TAB_AMORTIZACAO_U[[#This Row],[V_FUT_U_PCPL-02]]</f>
        <v>667.48811897306757</v>
      </c>
      <c r="AE338" s="127">
        <f>IF(TAB_AMORTIZACAO_C[[#This Row],[DIAS_CORRIDOS]]&lt;0, 0, TAB_AMORTIZACAO_C[[#This Row],[V_FUT_UTEIS]]/TAB_AMORTIZACAO_C[[#This Row],[VAR_DESCAP_C]])</f>
        <v>641.42540974645613</v>
      </c>
      <c r="AF338" s="64"/>
    </row>
    <row r="339" spans="1:32">
      <c r="A339" s="82">
        <f t="shared" si="9"/>
        <v>21</v>
      </c>
      <c r="B339" s="24">
        <f>VLOOKUP($A339, CAD_AMORTIZACAO[#Data], MATCH(B$318, CAD_ATUALIZACAO[#Headers],0), FALSE)</f>
        <v>4</v>
      </c>
      <c r="C339" s="24" t="str">
        <f>VLOOKUP($A339, CAD_AMORTIZACAO[#Data], MATCH(C$318, CAD_ATUALIZACAO[#Headers],0), FALSE)</f>
        <v xml:space="preserve">AMORTIZACAO                                       </v>
      </c>
      <c r="D339" s="36">
        <f>VLOOKUP($A339, CAD_AMORTIZACAO[#Data], MATCH(D$318, CAD_ATUALIZACAO[#Headers],0), FALSE)</f>
        <v>42989</v>
      </c>
      <c r="E339" s="48">
        <f>VLOOKUP($A339, CAD_AMORTIZACAO[#Data], MATCH(E$318, CAD_ATUALIZACAO[#Headers],0), FALSE)</f>
        <v>825.49108799999999</v>
      </c>
      <c r="F339" s="36">
        <f>VLOOKUP($A339, CAD_AMORTIZACAO[#Data], MATCH(F$318, CAD_ATUALIZACAO[#Headers],0), FALSE)</f>
        <v>42993</v>
      </c>
      <c r="G339" s="47">
        <f>WORKDAY(WORKDAY(TAB_AMORTIZACAO_U[[#This Row],[DT_EVE]], -1, TAB_FERIADOS[FER_DATA]), 1, TAB_FERIADOS[FER_DATA])</f>
        <v>42989</v>
      </c>
      <c r="H339" s="75">
        <f>WORKDAY(WORKDAY(TAB_AMORTIZACAO_U[[#This Row],[DT_LQDC_EVE]], -1, TAB_FERIADOS[FER_DATA]), 1, TAB_FERIADOS[FER_DATA])</f>
        <v>42993</v>
      </c>
      <c r="I339" s="48">
        <f>PU_EMISSAO - SUMIF(TAB_AMORTIZACAO_U[dt_eve_u], "&lt;" &amp; TAB_AMORTIZACAO_U[[#This Row],[dt_eve_u]], TAB_AMORTIZACAO_U[V_PU_AMTC])</f>
        <v>81602.519656000004</v>
      </c>
      <c r="J339" s="48">
        <f>IFERROR(VLOOKUP(TAB_AMORTIZACAO_U[[#This Row],[DT_EVE]], TAB_AMORTIZACAO_U[[DT_EVE]:[V_PU_AMTC]], 2, FALSE), 0)</f>
        <v>825.49108799999999</v>
      </c>
      <c r="K339" s="48">
        <f>NETWORKDAYS(DT_CALCULO_U, TAB_AMORTIZACAO_U[[#This Row],[dt_eve_u]], TAB_FERIADOS[FER_DATA]) -1</f>
        <v>428</v>
      </c>
      <c r="L339" s="48">
        <f>NETWORKDAYS(DT_CALCULO_U, TAB_AMORTIZACAO_U[[#This Row],[dt_lqdc_eve_u]], TAB_FERIADOS[FER_DATA]) -1</f>
        <v>432</v>
      </c>
      <c r="M339" s="48">
        <f>NETWORKDAYS(IF(ISTEXT(G338), DT_B_CORC, G338), TAB_AMORTIZACAO_U[[#This Row],[dt_eve_u]], TAB_FERIADOS[FER_DATA]) -1</f>
        <v>23</v>
      </c>
      <c r="N339" s="78">
        <f>(TX_EMISSAO/100 +1)^(TAB_AMORTIZACAO_U[[#This Row],[dias_periodo_u]]/252)</f>
        <v>1.0022562323017139</v>
      </c>
      <c r="O339" s="78">
        <f>(TIR_U/100 +1)^(TAB_AMORTIZACAO_U[[#This Row],[Q_DIAS_U_PARC_TIR]]/252)</f>
        <v>1.0432436482584824</v>
      </c>
      <c r="P339" s="116" t="str">
        <f>"TX_CENARIO" &amp; TEXT(DT_CALCULO_C, "-AAAAMMDD") &amp; TEXT(TAB_AMORTIZACAO_U[[#This Row],[DT_EVE]], "-AAAAMMDD")</f>
        <v>TX_CENARIO-20151228-20170911</v>
      </c>
      <c r="Q339" s="44">
        <f>IFERROR(VLOOKUP(TAB_AMORTIZACAO_U[[#This Row],[Chave-CENARIO]],CENARIO[],2,FALSE), 0)</f>
        <v>16.425699999999999</v>
      </c>
      <c r="R339" s="117" t="str">
        <f t="shared" si="10"/>
        <v>n/a</v>
      </c>
      <c r="S339" s="49" t="str">
        <f t="shared" si="10"/>
        <v>n/a</v>
      </c>
      <c r="T339" s="78">
        <f>IF(TAB_AMORTIZACAO_U[[#This Row],[Q_DIAS_U_PARC_TIR]]&lt;0, 0, TAB_AMORTIZACAO_U[[#This Row],[PU_AMORT]])</f>
        <v>825.49108799999999</v>
      </c>
      <c r="U339" s="78">
        <f>MAX(0, TAB_AMORTIZACAO_U[[#This Row],[V_FUT_U_PCPL-01]]/((((TAB_AMORTIZACAO_U[[#This Row],[TX_CENARIO]]/100 +1)^(1/252) -1) * PC_IDXR/100 +1)^TAB_AMORTIZACAO_U[[#This Row],[Q_DIAS_U_PARC_TIR]]))</f>
        <v>636.04197236629864</v>
      </c>
      <c r="V339" s="78">
        <f>+TAB_AMORTIZACAO_U[[#This Row],[V_FUT_U_PCPL-02]]/TAB_AMORTIZACAO_U[[#This Row],[VAR_DESCAP_U]]</f>
        <v>609.67730158536062</v>
      </c>
      <c r="W339" s="78"/>
      <c r="X339" s="101">
        <f>TAB_AMORTIZACAO_U[[#This Row],[dt_eve_u]]- DT_CALCULO_C</f>
        <v>623</v>
      </c>
      <c r="Y339" s="49" t="str">
        <f t="shared" si="11"/>
        <v>n/a</v>
      </c>
      <c r="Z339" s="49" t="str">
        <f t="shared" si="11"/>
        <v>n/a</v>
      </c>
      <c r="AA339" s="44">
        <f>TAB_AMORTIZACAO_U[[#This Row],[V_PU_AMTC]]</f>
        <v>825.49108799999999</v>
      </c>
      <c r="AB339" s="44">
        <f>(TIR_C/100 +1)^(TAB_AMORTIZACAO_C[[#This Row],[DIAS_CORRIDOS]]/360)</f>
        <v>1.0430277667021155</v>
      </c>
      <c r="AC339" s="44">
        <f>IF(TAB_AMORTIZACAO_C[[#This Row],[DIAS_CORRIDOS]]&lt;0, 0, TAB_AMORTIZACAO_C[[#This Row],[V_FUT_C_PCPL]]/TAB_AMORTIZACAO_C[[#This Row],[VAR_DESCAP_C]])</f>
        <v>791.43730814575417</v>
      </c>
      <c r="AD339" s="115">
        <f>TAB_AMORTIZACAO_U[[#This Row],[V_FUT_U_PCPL-02]]</f>
        <v>636.04197236629864</v>
      </c>
      <c r="AE339" s="127">
        <f>IF(TAB_AMORTIZACAO_C[[#This Row],[DIAS_CORRIDOS]]&lt;0, 0, TAB_AMORTIZACAO_C[[#This Row],[V_FUT_UTEIS]]/TAB_AMORTIZACAO_C[[#This Row],[VAR_DESCAP_C]])</f>
        <v>609.80349006178437</v>
      </c>
      <c r="AF339" s="64"/>
    </row>
    <row r="340" spans="1:32">
      <c r="A340" s="82">
        <f t="shared" si="9"/>
        <v>22</v>
      </c>
      <c r="B340" s="24">
        <f>VLOOKUP($A340, CAD_AMORTIZACAO[#Data], MATCH(B$318, CAD_ATUALIZACAO[#Headers],0), FALSE)</f>
        <v>4</v>
      </c>
      <c r="C340" s="24" t="str">
        <f>VLOOKUP($A340, CAD_AMORTIZACAO[#Data], MATCH(C$318, CAD_ATUALIZACAO[#Headers],0), FALSE)</f>
        <v xml:space="preserve">AMORTIZACAO                                       </v>
      </c>
      <c r="D340" s="36">
        <f>VLOOKUP($A340, CAD_AMORTIZACAO[#Data], MATCH(D$318, CAD_ATUALIZACAO[#Headers],0), FALSE)</f>
        <v>43018</v>
      </c>
      <c r="E340" s="48">
        <f>VLOOKUP($A340, CAD_AMORTIZACAO[#Data], MATCH(E$318, CAD_ATUALIZACAO[#Headers],0), FALSE)</f>
        <v>838.95021799999995</v>
      </c>
      <c r="F340" s="36">
        <f>VLOOKUP($A340, CAD_AMORTIZACAO[#Data], MATCH(F$318, CAD_ATUALIZACAO[#Headers],0), FALSE)</f>
        <v>43024</v>
      </c>
      <c r="G340" s="47">
        <f>WORKDAY(WORKDAY(TAB_AMORTIZACAO_U[[#This Row],[DT_EVE]], -1, TAB_FERIADOS[FER_DATA]), 1, TAB_FERIADOS[FER_DATA])</f>
        <v>43018</v>
      </c>
      <c r="H340" s="75">
        <f>WORKDAY(WORKDAY(TAB_AMORTIZACAO_U[[#This Row],[DT_LQDC_EVE]], -1, TAB_FERIADOS[FER_DATA]), 1, TAB_FERIADOS[FER_DATA])</f>
        <v>43024</v>
      </c>
      <c r="I340" s="48">
        <f>PU_EMISSAO - SUMIF(TAB_AMORTIZACAO_U[dt_eve_u], "&lt;" &amp; TAB_AMORTIZACAO_U[[#This Row],[dt_eve_u]], TAB_AMORTIZACAO_U[V_PU_AMTC])</f>
        <v>80777.028568000009</v>
      </c>
      <c r="J340" s="48">
        <f>IFERROR(VLOOKUP(TAB_AMORTIZACAO_U[[#This Row],[DT_EVE]], TAB_AMORTIZACAO_U[[DT_EVE]:[V_PU_AMTC]], 2, FALSE), 0)</f>
        <v>838.95021799999995</v>
      </c>
      <c r="K340" s="48">
        <f>NETWORKDAYS(DT_CALCULO_U, TAB_AMORTIZACAO_U[[#This Row],[dt_eve_u]], TAB_FERIADOS[FER_DATA]) -1</f>
        <v>449</v>
      </c>
      <c r="L340" s="48">
        <f>NETWORKDAYS(DT_CALCULO_U, TAB_AMORTIZACAO_U[[#This Row],[dt_lqdc_eve_u]], TAB_FERIADOS[FER_DATA]) -1</f>
        <v>452</v>
      </c>
      <c r="M340" s="48">
        <f>NETWORKDAYS(IF(ISTEXT(G339), DT_B_CORC, G339), TAB_AMORTIZACAO_U[[#This Row],[dt_eve_u]], TAB_FERIADOS[FER_DATA]) -1</f>
        <v>21</v>
      </c>
      <c r="N340" s="78">
        <f>(TX_EMISSAO/100 +1)^(TAB_AMORTIZACAO_U[[#This Row],[dias_periodo_u]]/252)</f>
        <v>1.0020598362698427</v>
      </c>
      <c r="O340" s="78">
        <f>(TIR_U/100 +1)^(TAB_AMORTIZACAO_U[[#This Row],[Q_DIAS_U_PARC_TIR]]/252)</f>
        <v>1.0452903505893354</v>
      </c>
      <c r="P340" s="116" t="str">
        <f>"TX_CENARIO" &amp; TEXT(DT_CALCULO_C, "-AAAAMMDD") &amp; TEXT(TAB_AMORTIZACAO_U[[#This Row],[DT_EVE]], "-AAAAMMDD")</f>
        <v>TX_CENARIO-20151228-20171010</v>
      </c>
      <c r="Q340" s="44">
        <f>IFERROR(VLOOKUP(TAB_AMORTIZACAO_U[[#This Row],[Chave-CENARIO]],CENARIO[],2,FALSE), 0)</f>
        <v>16.454999999999998</v>
      </c>
      <c r="R340" s="117" t="str">
        <f t="shared" si="10"/>
        <v>n/a</v>
      </c>
      <c r="S340" s="49" t="str">
        <f t="shared" si="10"/>
        <v>n/a</v>
      </c>
      <c r="T340" s="78">
        <f>IF(TAB_AMORTIZACAO_U[[#This Row],[Q_DIAS_U_PARC_TIR]]&lt;0, 0, TAB_AMORTIZACAO_U[[#This Row],[PU_AMORT]])</f>
        <v>838.95021799999995</v>
      </c>
      <c r="U340" s="78">
        <f>MAX(0, TAB_AMORTIZACAO_U[[#This Row],[V_FUT_U_PCPL-01]]/((((TAB_AMORTIZACAO_U[[#This Row],[TX_CENARIO]]/100 +1)^(1/252) -1) * PC_IDXR/100 +1)^TAB_AMORTIZACAO_U[[#This Row],[Q_DIAS_U_PARC_TIR]]))</f>
        <v>638.36870961716215</v>
      </c>
      <c r="V340" s="78">
        <f>+TAB_AMORTIZACAO_U[[#This Row],[V_FUT_U_PCPL-02]]/TAB_AMORTIZACAO_U[[#This Row],[VAR_DESCAP_U]]</f>
        <v>610.70946388938671</v>
      </c>
      <c r="W340" s="78"/>
      <c r="X340" s="101">
        <f>TAB_AMORTIZACAO_U[[#This Row],[dt_eve_u]]- DT_CALCULO_C</f>
        <v>652</v>
      </c>
      <c r="Y340" s="49" t="str">
        <f t="shared" si="11"/>
        <v>n/a</v>
      </c>
      <c r="Z340" s="49" t="str">
        <f t="shared" si="11"/>
        <v>n/a</v>
      </c>
      <c r="AA340" s="44">
        <f>TAB_AMORTIZACAO_U[[#This Row],[V_PU_AMTC]]</f>
        <v>838.95021799999995</v>
      </c>
      <c r="AB340" s="44">
        <f>(TIR_C/100 +1)^(TAB_AMORTIZACAO_C[[#This Row],[DIAS_CORRIDOS]]/360)</f>
        <v>1.0450751562090643</v>
      </c>
      <c r="AC340" s="44">
        <f>IF(TAB_AMORTIZACAO_C[[#This Row],[DIAS_CORRIDOS]]&lt;0, 0, TAB_AMORTIZACAO_C[[#This Row],[V_FUT_C_PCPL]]/TAB_AMORTIZACAO_C[[#This Row],[VAR_DESCAP_C]])</f>
        <v>802.76544037582153</v>
      </c>
      <c r="AD340" s="115">
        <f>TAB_AMORTIZACAO_U[[#This Row],[V_FUT_U_PCPL-02]]</f>
        <v>638.36870961716215</v>
      </c>
      <c r="AE340" s="127">
        <f>IF(TAB_AMORTIZACAO_C[[#This Row],[DIAS_CORRIDOS]]&lt;0, 0, TAB_AMORTIZACAO_C[[#This Row],[V_FUT_UTEIS]]/TAB_AMORTIZACAO_C[[#This Row],[VAR_DESCAP_C]])</f>
        <v>610.8352168018223</v>
      </c>
      <c r="AF340" s="64"/>
    </row>
    <row r="341" spans="1:32">
      <c r="A341" s="82">
        <f t="shared" si="9"/>
        <v>23</v>
      </c>
      <c r="B341" s="24">
        <f>VLOOKUP($A341, CAD_AMORTIZACAO[#Data], MATCH(B$318, CAD_ATUALIZACAO[#Headers],0), FALSE)</f>
        <v>4</v>
      </c>
      <c r="C341" s="24" t="str">
        <f>VLOOKUP($A341, CAD_AMORTIZACAO[#Data], MATCH(C$318, CAD_ATUALIZACAO[#Headers],0), FALSE)</f>
        <v xml:space="preserve">AMORTIZACAO                                       </v>
      </c>
      <c r="D341" s="36">
        <f>VLOOKUP($A341, CAD_AMORTIZACAO[#Data], MATCH(D$318, CAD_ATUALIZACAO[#Headers],0), FALSE)</f>
        <v>43049</v>
      </c>
      <c r="E341" s="48">
        <f>VLOOKUP($A341, CAD_AMORTIZACAO[#Data], MATCH(E$318, CAD_ATUALIZACAO[#Headers],0), FALSE)</f>
        <v>820.24462100000005</v>
      </c>
      <c r="F341" s="36">
        <f>VLOOKUP($A341, CAD_AMORTIZACAO[#Data], MATCH(F$318, CAD_ATUALIZACAO[#Headers],0), FALSE)</f>
        <v>43055</v>
      </c>
      <c r="G341" s="47">
        <f>WORKDAY(WORKDAY(TAB_AMORTIZACAO_U[[#This Row],[DT_EVE]], -1, TAB_FERIADOS[FER_DATA]), 1, TAB_FERIADOS[FER_DATA])</f>
        <v>43049</v>
      </c>
      <c r="H341" s="75">
        <f>WORKDAY(WORKDAY(TAB_AMORTIZACAO_U[[#This Row],[DT_LQDC_EVE]], -1, TAB_FERIADOS[FER_DATA]), 1, TAB_FERIADOS[FER_DATA])</f>
        <v>43055</v>
      </c>
      <c r="I341" s="48">
        <f>PU_EMISSAO - SUMIF(TAB_AMORTIZACAO_U[dt_eve_u], "&lt;" &amp; TAB_AMORTIZACAO_U[[#This Row],[dt_eve_u]], TAB_AMORTIZACAO_U[V_PU_AMTC])</f>
        <v>79938.078349999996</v>
      </c>
      <c r="J341" s="48">
        <f>IFERROR(VLOOKUP(TAB_AMORTIZACAO_U[[#This Row],[DT_EVE]], TAB_AMORTIZACAO_U[[DT_EVE]:[V_PU_AMTC]], 2, FALSE), 0)</f>
        <v>820.24462100000005</v>
      </c>
      <c r="K341" s="48">
        <f>NETWORKDAYS(DT_CALCULO_U, TAB_AMORTIZACAO_U[[#This Row],[dt_eve_u]], TAB_FERIADOS[FER_DATA]) -1</f>
        <v>470</v>
      </c>
      <c r="L341" s="48">
        <f>NETWORKDAYS(DT_CALCULO_U, TAB_AMORTIZACAO_U[[#This Row],[dt_lqdc_eve_u]], TAB_FERIADOS[FER_DATA]) -1</f>
        <v>473</v>
      </c>
      <c r="M341" s="48">
        <f>NETWORKDAYS(IF(ISTEXT(G340), DT_B_CORC, G340), TAB_AMORTIZACAO_U[[#This Row],[dt_eve_u]], TAB_FERIADOS[FER_DATA]) -1</f>
        <v>21</v>
      </c>
      <c r="N341" s="78">
        <f>(TX_EMISSAO/100 +1)^(TAB_AMORTIZACAO_U[[#This Row],[dias_periodo_u]]/252)</f>
        <v>1.0020598362698427</v>
      </c>
      <c r="O341" s="78">
        <f>(TIR_U/100 +1)^(TAB_AMORTIZACAO_U[[#This Row],[Q_DIAS_U_PARC_TIR]]/252)</f>
        <v>1.0474437097005198</v>
      </c>
      <c r="P341" s="116" t="str">
        <f>"TX_CENARIO" &amp; TEXT(DT_CALCULO_C, "-AAAAMMDD") &amp; TEXT(TAB_AMORTIZACAO_U[[#This Row],[DT_EVE]], "-AAAAMMDD")</f>
        <v>TX_CENARIO-20151228-20171110</v>
      </c>
      <c r="Q341" s="44">
        <f>IFERROR(VLOOKUP(TAB_AMORTIZACAO_U[[#This Row],[Chave-CENARIO]],CENARIO[],2,FALSE), 0)</f>
        <v>16.476400000000002</v>
      </c>
      <c r="R341" s="117" t="str">
        <f t="shared" si="10"/>
        <v>n/a</v>
      </c>
      <c r="S341" s="49" t="str">
        <f t="shared" si="10"/>
        <v>n/a</v>
      </c>
      <c r="T341" s="78">
        <f>IF(TAB_AMORTIZACAO_U[[#This Row],[Q_DIAS_U_PARC_TIR]]&lt;0, 0, TAB_AMORTIZACAO_U[[#This Row],[PU_AMORT]])</f>
        <v>820.24462100000005</v>
      </c>
      <c r="U341" s="78">
        <f>MAX(0, TAB_AMORTIZACAO_U[[#This Row],[V_FUT_U_PCPL-01]]/((((TAB_AMORTIZACAO_U[[#This Row],[TX_CENARIO]]/100 +1)^(1/252) -1) * PC_IDXR/100 +1)^TAB_AMORTIZACAO_U[[#This Row],[Q_DIAS_U_PARC_TIR]]))</f>
        <v>616.04981369603468</v>
      </c>
      <c r="V341" s="78">
        <f>+TAB_AMORTIZACAO_U[[#This Row],[V_FUT_U_PCPL-02]]/TAB_AMORTIZACAO_U[[#This Row],[VAR_DESCAP_U]]</f>
        <v>588.1459862622811</v>
      </c>
      <c r="W341" s="78"/>
      <c r="X341" s="101">
        <f>TAB_AMORTIZACAO_U[[#This Row],[dt_eve_u]]- DT_CALCULO_C</f>
        <v>683</v>
      </c>
      <c r="Y341" s="49" t="str">
        <f t="shared" si="11"/>
        <v>n/a</v>
      </c>
      <c r="Z341" s="49" t="str">
        <f t="shared" si="11"/>
        <v>n/a</v>
      </c>
      <c r="AA341" s="44">
        <f>TAB_AMORTIZACAO_U[[#This Row],[V_PU_AMTC]]</f>
        <v>820.24462100000005</v>
      </c>
      <c r="AB341" s="44">
        <f>(TIR_C/100 +1)^(TAB_AMORTIZACAO_C[[#This Row],[DIAS_CORRIDOS]]/360)</f>
        <v>1.0472681893767806</v>
      </c>
      <c r="AC341" s="44">
        <f>IF(TAB_AMORTIZACAO_C[[#This Row],[DIAS_CORRIDOS]]&lt;0, 0, TAB_AMORTIZACAO_C[[#This Row],[V_FUT_C_PCPL]]/TAB_AMORTIZACAO_C[[#This Row],[VAR_DESCAP_C]])</f>
        <v>783.22308394387483</v>
      </c>
      <c r="AD341" s="115">
        <f>TAB_AMORTIZACAO_U[[#This Row],[V_FUT_U_PCPL-02]]</f>
        <v>616.04981369603468</v>
      </c>
      <c r="AE341" s="127">
        <f>IF(TAB_AMORTIZACAO_C[[#This Row],[DIAS_CORRIDOS]]&lt;0, 0, TAB_AMORTIZACAO_C[[#This Row],[V_FUT_UTEIS]]/TAB_AMORTIZACAO_C[[#This Row],[VAR_DESCAP_C]])</f>
        <v>588.24455850477045</v>
      </c>
      <c r="AF341" s="64"/>
    </row>
    <row r="342" spans="1:32">
      <c r="A342" s="82">
        <f t="shared" si="9"/>
        <v>24</v>
      </c>
      <c r="B342" s="24">
        <f>VLOOKUP($A342, CAD_AMORTIZACAO[#Data], MATCH(B$318, CAD_ATUALIZACAO[#Headers],0), FALSE)</f>
        <v>4</v>
      </c>
      <c r="C342" s="24" t="str">
        <f>VLOOKUP($A342, CAD_AMORTIZACAO[#Data], MATCH(C$318, CAD_ATUALIZACAO[#Headers],0), FALSE)</f>
        <v xml:space="preserve">AMORTIZACAO                                       </v>
      </c>
      <c r="D342" s="36">
        <f>VLOOKUP($A342, CAD_AMORTIZACAO[#Data], MATCH(D$318, CAD_ATUALIZACAO[#Headers],0), FALSE)</f>
        <v>43077</v>
      </c>
      <c r="E342" s="48">
        <f>VLOOKUP($A342, CAD_AMORTIZACAO[#Data], MATCH(E$318, CAD_ATUALIZACAO[#Headers],0), FALSE)</f>
        <v>818.07839999999999</v>
      </c>
      <c r="F342" s="36">
        <f>VLOOKUP($A342, CAD_AMORTIZACAO[#Data], MATCH(F$318, CAD_ATUALIZACAO[#Headers],0), FALSE)</f>
        <v>43083</v>
      </c>
      <c r="G342" s="47">
        <f>WORKDAY(WORKDAY(TAB_AMORTIZACAO_U[[#This Row],[DT_EVE]], -1, TAB_FERIADOS[FER_DATA]), 1, TAB_FERIADOS[FER_DATA])</f>
        <v>43077</v>
      </c>
      <c r="H342" s="75">
        <f>WORKDAY(WORKDAY(TAB_AMORTIZACAO_U[[#This Row],[DT_LQDC_EVE]], -1, TAB_FERIADOS[FER_DATA]), 1, TAB_FERIADOS[FER_DATA])</f>
        <v>43083</v>
      </c>
      <c r="I342" s="48">
        <f>PU_EMISSAO - SUMIF(TAB_AMORTIZACAO_U[dt_eve_u], "&lt;" &amp; TAB_AMORTIZACAO_U[[#This Row],[dt_eve_u]], TAB_AMORTIZACAO_U[V_PU_AMTC])</f>
        <v>79117.833729000005</v>
      </c>
      <c r="J342" s="48">
        <f>IFERROR(VLOOKUP(TAB_AMORTIZACAO_U[[#This Row],[DT_EVE]], TAB_AMORTIZACAO_U[[DT_EVE]:[V_PU_AMTC]], 2, FALSE), 0)</f>
        <v>818.07839999999999</v>
      </c>
      <c r="K342" s="48">
        <f>NETWORKDAYS(DT_CALCULO_U, TAB_AMORTIZACAO_U[[#This Row],[dt_eve_u]], TAB_FERIADOS[FER_DATA]) -1</f>
        <v>489</v>
      </c>
      <c r="L342" s="48">
        <f>NETWORKDAYS(DT_CALCULO_U, TAB_AMORTIZACAO_U[[#This Row],[dt_lqdc_eve_u]], TAB_FERIADOS[FER_DATA]) -1</f>
        <v>493</v>
      </c>
      <c r="M342" s="48">
        <f>NETWORKDAYS(IF(ISTEXT(G341), DT_B_CORC, G341), TAB_AMORTIZACAO_U[[#This Row],[dt_eve_u]], TAB_FERIADOS[FER_DATA]) -1</f>
        <v>19</v>
      </c>
      <c r="N342" s="78">
        <f>(TX_EMISSAO/100 +1)^(TAB_AMORTIZACAO_U[[#This Row],[dias_periodo_u]]/252)</f>
        <v>1.0018634787225431</v>
      </c>
      <c r="O342" s="78">
        <f>(TIR_U/100 +1)^(TAB_AMORTIZACAO_U[[#This Row],[Q_DIAS_U_PARC_TIR]]/252)</f>
        <v>1.0494986519814147</v>
      </c>
      <c r="P342" s="116" t="str">
        <f>"TX_CENARIO" &amp; TEXT(DT_CALCULO_C, "-AAAAMMDD") &amp; TEXT(TAB_AMORTIZACAO_U[[#This Row],[DT_EVE]], "-AAAAMMDD")</f>
        <v>TX_CENARIO-20151228-20171208</v>
      </c>
      <c r="Q342" s="44">
        <f>IFERROR(VLOOKUP(TAB_AMORTIZACAO_U[[#This Row],[Chave-CENARIO]],CENARIO[],2,FALSE), 0)</f>
        <v>16.495100000000001</v>
      </c>
      <c r="R342" s="117" t="str">
        <f t="shared" si="10"/>
        <v>n/a</v>
      </c>
      <c r="S342" s="49" t="str">
        <f t="shared" si="10"/>
        <v>n/a</v>
      </c>
      <c r="T342" s="78">
        <f>IF(TAB_AMORTIZACAO_U[[#This Row],[Q_DIAS_U_PARC_TIR]]&lt;0, 0, TAB_AMORTIZACAO_U[[#This Row],[PU_AMORT]])</f>
        <v>818.07839999999999</v>
      </c>
      <c r="U342" s="78">
        <f>MAX(0, TAB_AMORTIZACAO_U[[#This Row],[V_FUT_U_PCPL-01]]/((((TAB_AMORTIZACAO_U[[#This Row],[TX_CENARIO]]/100 +1)^(1/252) -1) * PC_IDXR/100 +1)^TAB_AMORTIZACAO_U[[#This Row],[Q_DIAS_U_PARC_TIR]]))</f>
        <v>606.83970824183643</v>
      </c>
      <c r="V342" s="78">
        <f>+TAB_AMORTIZACAO_U[[#This Row],[V_FUT_U_PCPL-02]]/TAB_AMORTIZACAO_U[[#This Row],[VAR_DESCAP_U]]</f>
        <v>578.21866383167378</v>
      </c>
      <c r="W342" s="78"/>
      <c r="X342" s="101">
        <f>TAB_AMORTIZACAO_U[[#This Row],[dt_eve_u]]- DT_CALCULO_C</f>
        <v>711</v>
      </c>
      <c r="Y342" s="49" t="str">
        <f t="shared" si="11"/>
        <v>n/a</v>
      </c>
      <c r="Z342" s="49" t="str">
        <f t="shared" si="11"/>
        <v>n/a</v>
      </c>
      <c r="AA342" s="44">
        <f>TAB_AMORTIZACAO_U[[#This Row],[V_PU_AMTC]]</f>
        <v>818.07839999999999</v>
      </c>
      <c r="AB342" s="44">
        <f>(TIR_C/100 +1)^(TAB_AMORTIZACAO_C[[#This Row],[DIAS_CORRIDOS]]/360)</f>
        <v>1.0492529487437916</v>
      </c>
      <c r="AC342" s="44">
        <f>IF(TAB_AMORTIZACAO_C[[#This Row],[DIAS_CORRIDOS]]&lt;0, 0, TAB_AMORTIZACAO_C[[#This Row],[V_FUT_C_PCPL]]/TAB_AMORTIZACAO_C[[#This Row],[VAR_DESCAP_C]])</f>
        <v>779.67700827473186</v>
      </c>
      <c r="AD342" s="115">
        <f>TAB_AMORTIZACAO_U[[#This Row],[V_FUT_U_PCPL-02]]</f>
        <v>606.83970824183643</v>
      </c>
      <c r="AE342" s="127">
        <f>IF(TAB_AMORTIZACAO_C[[#This Row],[DIAS_CORRIDOS]]&lt;0, 0, TAB_AMORTIZACAO_C[[#This Row],[V_FUT_UTEIS]]/TAB_AMORTIZACAO_C[[#This Row],[VAR_DESCAP_C]])</f>
        <v>578.35406511687165</v>
      </c>
      <c r="AF342" s="64"/>
    </row>
    <row r="343" spans="1:32">
      <c r="A343" s="82">
        <f t="shared" si="9"/>
        <v>25</v>
      </c>
      <c r="B343" s="24">
        <f>VLOOKUP($A343, CAD_AMORTIZACAO[#Data], MATCH(B$318, CAD_ATUALIZACAO[#Headers],0), FALSE)</f>
        <v>4</v>
      </c>
      <c r="C343" s="24" t="str">
        <f>VLOOKUP($A343, CAD_AMORTIZACAO[#Data], MATCH(C$318, CAD_ATUALIZACAO[#Headers],0), FALSE)</f>
        <v xml:space="preserve">AMORTIZACAO                                       </v>
      </c>
      <c r="D343" s="36">
        <f>VLOOKUP($A343, CAD_AMORTIZACAO[#Data], MATCH(D$318, CAD_ATUALIZACAO[#Headers],0), FALSE)</f>
        <v>43109</v>
      </c>
      <c r="E343" s="48">
        <f>VLOOKUP($A343, CAD_AMORTIZACAO[#Data], MATCH(E$318, CAD_ATUALIZACAO[#Headers],0), FALSE)</f>
        <v>900.91698399999996</v>
      </c>
      <c r="F343" s="36">
        <f>VLOOKUP($A343, CAD_AMORTIZACAO[#Data], MATCH(F$318, CAD_ATUALIZACAO[#Headers],0), FALSE)</f>
        <v>43115</v>
      </c>
      <c r="G343" s="47">
        <f>WORKDAY(WORKDAY(TAB_AMORTIZACAO_U[[#This Row],[DT_EVE]], -1, TAB_FERIADOS[FER_DATA]), 1, TAB_FERIADOS[FER_DATA])</f>
        <v>43109</v>
      </c>
      <c r="H343" s="75">
        <f>WORKDAY(WORKDAY(TAB_AMORTIZACAO_U[[#This Row],[DT_LQDC_EVE]], -1, TAB_FERIADOS[FER_DATA]), 1, TAB_FERIADOS[FER_DATA])</f>
        <v>43115</v>
      </c>
      <c r="I343" s="48">
        <f>PU_EMISSAO - SUMIF(TAB_AMORTIZACAO_U[dt_eve_u], "&lt;" &amp; TAB_AMORTIZACAO_U[[#This Row],[dt_eve_u]], TAB_AMORTIZACAO_U[V_PU_AMTC])</f>
        <v>78299.755329000007</v>
      </c>
      <c r="J343" s="48">
        <f>IFERROR(VLOOKUP(TAB_AMORTIZACAO_U[[#This Row],[DT_EVE]], TAB_AMORTIZACAO_U[[DT_EVE]:[V_PU_AMTC]], 2, FALSE), 0)</f>
        <v>900.91698399999996</v>
      </c>
      <c r="K343" s="48">
        <f>NETWORKDAYS(DT_CALCULO_U, TAB_AMORTIZACAO_U[[#This Row],[dt_eve_u]], TAB_FERIADOS[FER_DATA]) -1</f>
        <v>509</v>
      </c>
      <c r="L343" s="48">
        <f>NETWORKDAYS(DT_CALCULO_U, TAB_AMORTIZACAO_U[[#This Row],[dt_lqdc_eve_u]], TAB_FERIADOS[FER_DATA]) -1</f>
        <v>513</v>
      </c>
      <c r="M343" s="48">
        <f>NETWORKDAYS(IF(ISTEXT(G342), DT_B_CORC, G342), TAB_AMORTIZACAO_U[[#This Row],[dt_eve_u]], TAB_FERIADOS[FER_DATA]) -1</f>
        <v>20</v>
      </c>
      <c r="N343" s="78">
        <f>(TX_EMISSAO/100 +1)^(TAB_AMORTIZACAO_U[[#This Row],[dias_periodo_u]]/252)</f>
        <v>1.0019616526860928</v>
      </c>
      <c r="O343" s="78">
        <f>(TIR_U/100 +1)^(TAB_AMORTIZACAO_U[[#This Row],[Q_DIAS_U_PARC_TIR]]/252)</f>
        <v>1.0515576257799357</v>
      </c>
      <c r="P343" s="116" t="str">
        <f>"TX_CENARIO" &amp; TEXT(DT_CALCULO_C, "-AAAAMMDD") &amp; TEXT(TAB_AMORTIZACAO_U[[#This Row],[DT_EVE]], "-AAAAMMDD")</f>
        <v>TX_CENARIO-20151228-20180109</v>
      </c>
      <c r="Q343" s="44">
        <f>IFERROR(VLOOKUP(TAB_AMORTIZACAO_U[[#This Row],[Chave-CENARIO]],CENARIO[],2,FALSE), 0)</f>
        <v>16.518799999999999</v>
      </c>
      <c r="R343" s="117" t="str">
        <f t="shared" si="10"/>
        <v>n/a</v>
      </c>
      <c r="S343" s="49" t="str">
        <f t="shared" si="10"/>
        <v>n/a</v>
      </c>
      <c r="T343" s="78">
        <f>IF(TAB_AMORTIZACAO_U[[#This Row],[Q_DIAS_U_PARC_TIR]]&lt;0, 0, TAB_AMORTIZACAO_U[[#This Row],[PU_AMORT]])</f>
        <v>900.91698399999996</v>
      </c>
      <c r="U343" s="78">
        <f>MAX(0, TAB_AMORTIZACAO_U[[#This Row],[V_FUT_U_PCPL-01]]/((((TAB_AMORTIZACAO_U[[#This Row],[TX_CENARIO]]/100 +1)^(1/252) -1) * PC_IDXR/100 +1)^TAB_AMORTIZACAO_U[[#This Row],[Q_DIAS_U_PARC_TIR]]))</f>
        <v>659.96587791415106</v>
      </c>
      <c r="V343" s="78">
        <f>+TAB_AMORTIZACAO_U[[#This Row],[V_FUT_U_PCPL-02]]/TAB_AMORTIZACAO_U[[#This Row],[VAR_DESCAP_U]]</f>
        <v>627.60790444047916</v>
      </c>
      <c r="W343" s="78"/>
      <c r="X343" s="101">
        <f>TAB_AMORTIZACAO_U[[#This Row],[dt_eve_u]]- DT_CALCULO_C</f>
        <v>743</v>
      </c>
      <c r="Y343" s="49" t="str">
        <f t="shared" si="11"/>
        <v>n/a</v>
      </c>
      <c r="Z343" s="49" t="str">
        <f t="shared" si="11"/>
        <v>n/a</v>
      </c>
      <c r="AA343" s="44">
        <f>TAB_AMORTIZACAO_U[[#This Row],[V_PU_AMTC]]</f>
        <v>900.91698399999996</v>
      </c>
      <c r="AB343" s="44">
        <f>(TIR_C/100 +1)^(TAB_AMORTIZACAO_C[[#This Row],[DIAS_CORRIDOS]]/360)</f>
        <v>1.0515258514625467</v>
      </c>
      <c r="AC343" s="44">
        <f>IF(TAB_AMORTIZACAO_C[[#This Row],[DIAS_CORRIDOS]]&lt;0, 0, TAB_AMORTIZACAO_C[[#This Row],[V_FUT_C_PCPL]]/TAB_AMORTIZACAO_C[[#This Row],[VAR_DESCAP_C]])</f>
        <v>856.77112240933707</v>
      </c>
      <c r="AD343" s="115">
        <f>TAB_AMORTIZACAO_U[[#This Row],[V_FUT_U_PCPL-02]]</f>
        <v>659.96587791415106</v>
      </c>
      <c r="AE343" s="127">
        <f>IF(TAB_AMORTIZACAO_C[[#This Row],[DIAS_CORRIDOS]]&lt;0, 0, TAB_AMORTIZACAO_C[[#This Row],[V_FUT_UTEIS]]/TAB_AMORTIZACAO_C[[#This Row],[VAR_DESCAP_C]])</f>
        <v>627.62686908383421</v>
      </c>
      <c r="AF343" s="64"/>
    </row>
    <row r="344" spans="1:32">
      <c r="A344" s="82">
        <f t="shared" si="9"/>
        <v>26</v>
      </c>
      <c r="B344" s="24">
        <f>VLOOKUP($A344, CAD_AMORTIZACAO[#Data], MATCH(B$318, CAD_ATUALIZACAO[#Headers],0), FALSE)</f>
        <v>4</v>
      </c>
      <c r="C344" s="24" t="str">
        <f>VLOOKUP($A344, CAD_AMORTIZACAO[#Data], MATCH(C$318, CAD_ATUALIZACAO[#Headers],0), FALSE)</f>
        <v xml:space="preserve">AMORTIZACAO                                       </v>
      </c>
      <c r="D344" s="36">
        <f>VLOOKUP($A344, CAD_AMORTIZACAO[#Data], MATCH(D$318, CAD_ATUALIZACAO[#Headers],0), FALSE)</f>
        <v>43143</v>
      </c>
      <c r="E344" s="48">
        <f>VLOOKUP($A344, CAD_AMORTIZACAO[#Data], MATCH(E$318, CAD_ATUALIZACAO[#Headers],0), FALSE)</f>
        <v>873.678087</v>
      </c>
      <c r="F344" s="36">
        <f>VLOOKUP($A344, CAD_AMORTIZACAO[#Data], MATCH(F$318, CAD_ATUALIZACAO[#Headers],0), FALSE)</f>
        <v>43147</v>
      </c>
      <c r="G344" s="47">
        <f>WORKDAY(WORKDAY(TAB_AMORTIZACAO_U[[#This Row],[DT_EVE]], -1, TAB_FERIADOS[FER_DATA]), 1, TAB_FERIADOS[FER_DATA])</f>
        <v>43145</v>
      </c>
      <c r="H344" s="75">
        <f>WORKDAY(WORKDAY(TAB_AMORTIZACAO_U[[#This Row],[DT_LQDC_EVE]], -1, TAB_FERIADOS[FER_DATA]), 1, TAB_FERIADOS[FER_DATA])</f>
        <v>43147</v>
      </c>
      <c r="I344" s="48">
        <f>PU_EMISSAO - SUMIF(TAB_AMORTIZACAO_U[dt_eve_u], "&lt;" &amp; TAB_AMORTIZACAO_U[[#This Row],[dt_eve_u]], TAB_AMORTIZACAO_U[V_PU_AMTC])</f>
        <v>77398.838344999996</v>
      </c>
      <c r="J344" s="48">
        <f>IFERROR(VLOOKUP(TAB_AMORTIZACAO_U[[#This Row],[DT_EVE]], TAB_AMORTIZACAO_U[[DT_EVE]:[V_PU_AMTC]], 2, FALSE), 0)</f>
        <v>873.678087</v>
      </c>
      <c r="K344" s="48">
        <f>NETWORKDAYS(DT_CALCULO_U, TAB_AMORTIZACAO_U[[#This Row],[dt_eve_u]], TAB_FERIADOS[FER_DATA]) -1</f>
        <v>533</v>
      </c>
      <c r="L344" s="48">
        <f>NETWORKDAYS(DT_CALCULO_U, TAB_AMORTIZACAO_U[[#This Row],[dt_lqdc_eve_u]], TAB_FERIADOS[FER_DATA]) -1</f>
        <v>535</v>
      </c>
      <c r="M344" s="48">
        <f>NETWORKDAYS(IF(ISTEXT(G343), DT_B_CORC, G343), TAB_AMORTIZACAO_U[[#This Row],[dt_eve_u]], TAB_FERIADOS[FER_DATA]) -1</f>
        <v>24</v>
      </c>
      <c r="N344" s="78">
        <f>(TX_EMISSAO/100 +1)^(TAB_AMORTIZACAO_U[[#This Row],[dias_periodo_u]]/252)</f>
        <v>1.0023544447517205</v>
      </c>
      <c r="O344" s="78">
        <f>(TIR_U/100 +1)^(TAB_AMORTIZACAO_U[[#This Row],[Q_DIAS_U_PARC_TIR]]/252)</f>
        <v>1.0538271628013669</v>
      </c>
      <c r="P344" s="116" t="str">
        <f>"TX_CENARIO" &amp; TEXT(DT_CALCULO_C, "-AAAAMMDD") &amp; TEXT(TAB_AMORTIZACAO_U[[#This Row],[DT_EVE]], "-AAAAMMDD")</f>
        <v>TX_CENARIO-20151228-20180212</v>
      </c>
      <c r="Q344" s="44">
        <f>IFERROR(VLOOKUP(TAB_AMORTIZACAO_U[[#This Row],[Chave-CENARIO]],CENARIO[],2,FALSE), 0)</f>
        <v>16.551200000000001</v>
      </c>
      <c r="R344" s="117" t="str">
        <f t="shared" si="10"/>
        <v>n/a</v>
      </c>
      <c r="S344" s="49" t="str">
        <f t="shared" si="10"/>
        <v>n/a</v>
      </c>
      <c r="T344" s="78">
        <f>IF(TAB_AMORTIZACAO_U[[#This Row],[Q_DIAS_U_PARC_TIR]]&lt;0, 0, TAB_AMORTIZACAO_U[[#This Row],[PU_AMORT]])</f>
        <v>873.678087</v>
      </c>
      <c r="U344" s="78">
        <f>MAX(0, TAB_AMORTIZACAO_U[[#This Row],[V_FUT_U_PCPL-01]]/((((TAB_AMORTIZACAO_U[[#This Row],[TX_CENARIO]]/100 +1)^(1/252) -1) * PC_IDXR/100 +1)^TAB_AMORTIZACAO_U[[#This Row],[Q_DIAS_U_PARC_TIR]]))</f>
        <v>631.15398484011882</v>
      </c>
      <c r="V344" s="78">
        <f>+TAB_AMORTIZACAO_U[[#This Row],[V_FUT_U_PCPL-02]]/TAB_AMORTIZACAO_U[[#This Row],[VAR_DESCAP_U]]</f>
        <v>598.91603397499762</v>
      </c>
      <c r="W344" s="78"/>
      <c r="X344" s="101">
        <f>TAB_AMORTIZACAO_U[[#This Row],[dt_eve_u]]- DT_CALCULO_C</f>
        <v>779</v>
      </c>
      <c r="Y344" s="49" t="str">
        <f t="shared" si="11"/>
        <v>n/a</v>
      </c>
      <c r="Z344" s="49" t="str">
        <f t="shared" si="11"/>
        <v>n/a</v>
      </c>
      <c r="AA344" s="44">
        <f>TAB_AMORTIZACAO_U[[#This Row],[V_PU_AMTC]]</f>
        <v>873.678087</v>
      </c>
      <c r="AB344" s="44">
        <f>(TIR_C/100 +1)^(TAB_AMORTIZACAO_C[[#This Row],[DIAS_CORRIDOS]]/360)</f>
        <v>1.0540887527755682</v>
      </c>
      <c r="AC344" s="44">
        <f>IF(TAB_AMORTIZACAO_C[[#This Row],[DIAS_CORRIDOS]]&lt;0, 0, TAB_AMORTIZACAO_C[[#This Row],[V_FUT_C_PCPL]]/TAB_AMORTIZACAO_C[[#This Row],[VAR_DESCAP_C]])</f>
        <v>828.8467974821657</v>
      </c>
      <c r="AD344" s="115">
        <f>TAB_AMORTIZACAO_U[[#This Row],[V_FUT_U_PCPL-02]]</f>
        <v>631.15398484011882</v>
      </c>
      <c r="AE344" s="127">
        <f>IF(TAB_AMORTIZACAO_C[[#This Row],[DIAS_CORRIDOS]]&lt;0, 0, TAB_AMORTIZACAO_C[[#This Row],[V_FUT_UTEIS]]/TAB_AMORTIZACAO_C[[#This Row],[VAR_DESCAP_C]])</f>
        <v>598.76740281897423</v>
      </c>
      <c r="AF344" s="64"/>
    </row>
    <row r="345" spans="1:32">
      <c r="A345" s="82">
        <f t="shared" si="9"/>
        <v>27</v>
      </c>
      <c r="B345" s="24">
        <f>VLOOKUP($A345, CAD_AMORTIZACAO[#Data], MATCH(B$318, CAD_ATUALIZACAO[#Headers],0), FALSE)</f>
        <v>4</v>
      </c>
      <c r="C345" s="24" t="str">
        <f>VLOOKUP($A345, CAD_AMORTIZACAO[#Data], MATCH(C$318, CAD_ATUALIZACAO[#Headers],0), FALSE)</f>
        <v xml:space="preserve">AMORTIZACAO                                       </v>
      </c>
      <c r="D345" s="36">
        <f>VLOOKUP($A345, CAD_AMORTIZACAO[#Data], MATCH(D$318, CAD_ATUALIZACAO[#Headers],0), FALSE)</f>
        <v>43167</v>
      </c>
      <c r="E345" s="48">
        <f>VLOOKUP($A345, CAD_AMORTIZACAO[#Data], MATCH(E$318, CAD_ATUALIZACAO[#Headers],0), FALSE)</f>
        <v>894.42607299999997</v>
      </c>
      <c r="F345" s="36">
        <f>VLOOKUP($A345, CAD_AMORTIZACAO[#Data], MATCH(F$318, CAD_ATUALIZACAO[#Headers],0), FALSE)</f>
        <v>43173</v>
      </c>
      <c r="G345" s="47">
        <f>WORKDAY(WORKDAY(TAB_AMORTIZACAO_U[[#This Row],[DT_EVE]], -1, TAB_FERIADOS[FER_DATA]), 1, TAB_FERIADOS[FER_DATA])</f>
        <v>43167</v>
      </c>
      <c r="H345" s="75">
        <f>WORKDAY(WORKDAY(TAB_AMORTIZACAO_U[[#This Row],[DT_LQDC_EVE]], -1, TAB_FERIADOS[FER_DATA]), 1, TAB_FERIADOS[FER_DATA])</f>
        <v>43173</v>
      </c>
      <c r="I345" s="48">
        <f>PU_EMISSAO - SUMIF(TAB_AMORTIZACAO_U[dt_eve_u], "&lt;" &amp; TAB_AMORTIZACAO_U[[#This Row],[dt_eve_u]], TAB_AMORTIZACAO_U[V_PU_AMTC])</f>
        <v>76525.160258000004</v>
      </c>
      <c r="J345" s="48">
        <f>IFERROR(VLOOKUP(TAB_AMORTIZACAO_U[[#This Row],[DT_EVE]], TAB_AMORTIZACAO_U[[DT_EVE]:[V_PU_AMTC]], 2, FALSE), 0)</f>
        <v>894.42607299999997</v>
      </c>
      <c r="K345" s="48">
        <f>NETWORKDAYS(DT_CALCULO_U, TAB_AMORTIZACAO_U[[#This Row],[dt_eve_u]], TAB_FERIADOS[FER_DATA]) -1</f>
        <v>549</v>
      </c>
      <c r="L345" s="48">
        <f>NETWORKDAYS(DT_CALCULO_U, TAB_AMORTIZACAO_U[[#This Row],[dt_lqdc_eve_u]], TAB_FERIADOS[FER_DATA]) -1</f>
        <v>553</v>
      </c>
      <c r="M345" s="48">
        <f>NETWORKDAYS(IF(ISTEXT(G344), DT_B_CORC, G344), TAB_AMORTIZACAO_U[[#This Row],[dt_eve_u]], TAB_FERIADOS[FER_DATA]) -1</f>
        <v>16</v>
      </c>
      <c r="N345" s="78">
        <f>(TX_EMISSAO/100 +1)^(TAB_AMORTIZACAO_U[[#This Row],[dias_periodo_u]]/252)</f>
        <v>1.0015690145436684</v>
      </c>
      <c r="O345" s="78">
        <f>(TIR_U/100 +1)^(TAB_AMORTIZACAO_U[[#This Row],[Q_DIAS_U_PARC_TIR]]/252)</f>
        <v>1.0556876995825319</v>
      </c>
      <c r="P345" s="116" t="str">
        <f>"TX_CENARIO" &amp; TEXT(DT_CALCULO_C, "-AAAAMMDD") &amp; TEXT(TAB_AMORTIZACAO_U[[#This Row],[DT_EVE]], "-AAAAMMDD")</f>
        <v>TX_CENARIO-20151228-20180308</v>
      </c>
      <c r="Q345" s="44">
        <f>IFERROR(VLOOKUP(TAB_AMORTIZACAO_U[[#This Row],[Chave-CENARIO]],CENARIO[],2,FALSE), 0)</f>
        <v>16.575800000000001</v>
      </c>
      <c r="R345" s="117" t="str">
        <f t="shared" si="10"/>
        <v>n/a</v>
      </c>
      <c r="S345" s="49" t="str">
        <f t="shared" si="10"/>
        <v>n/a</v>
      </c>
      <c r="T345" s="78">
        <f>IF(TAB_AMORTIZACAO_U[[#This Row],[Q_DIAS_U_PARC_TIR]]&lt;0, 0, TAB_AMORTIZACAO_U[[#This Row],[PU_AMORT]])</f>
        <v>894.42607299999997</v>
      </c>
      <c r="U345" s="78">
        <f>MAX(0, TAB_AMORTIZACAO_U[[#This Row],[V_FUT_U_PCPL-01]]/((((TAB_AMORTIZACAO_U[[#This Row],[TX_CENARIO]]/100 +1)^(1/252) -1) * PC_IDXR/100 +1)^TAB_AMORTIZACAO_U[[#This Row],[Q_DIAS_U_PARC_TIR]]))</f>
        <v>638.81632713071701</v>
      </c>
      <c r="V345" s="78">
        <f>+TAB_AMORTIZACAO_U[[#This Row],[V_FUT_U_PCPL-02]]/TAB_AMORTIZACAO_U[[#This Row],[VAR_DESCAP_U]]</f>
        <v>605.11866092911259</v>
      </c>
      <c r="W345" s="78"/>
      <c r="X345" s="101">
        <f>TAB_AMORTIZACAO_U[[#This Row],[dt_eve_u]]- DT_CALCULO_C</f>
        <v>801</v>
      </c>
      <c r="Y345" s="49" t="str">
        <f t="shared" si="11"/>
        <v>n/a</v>
      </c>
      <c r="Z345" s="49" t="str">
        <f t="shared" si="11"/>
        <v>n/a</v>
      </c>
      <c r="AA345" s="44">
        <f>TAB_AMORTIZACAO_U[[#This Row],[V_PU_AMTC]]</f>
        <v>894.42607299999997</v>
      </c>
      <c r="AB345" s="44">
        <f>(TIR_C/100 +1)^(TAB_AMORTIZACAO_C[[#This Row],[DIAS_CORRIDOS]]/360)</f>
        <v>1.0556580443756329</v>
      </c>
      <c r="AC345" s="44">
        <f>IF(TAB_AMORTIZACAO_C[[#This Row],[DIAS_CORRIDOS]]&lt;0, 0, TAB_AMORTIZACAO_C[[#This Row],[V_FUT_C_PCPL]]/TAB_AMORTIZACAO_C[[#This Row],[VAR_DESCAP_C]])</f>
        <v>847.26875124511241</v>
      </c>
      <c r="AD345" s="115">
        <f>TAB_AMORTIZACAO_U[[#This Row],[V_FUT_U_PCPL-02]]</f>
        <v>638.81632713071701</v>
      </c>
      <c r="AE345" s="127">
        <f>IF(TAB_AMORTIZACAO_C[[#This Row],[DIAS_CORRIDOS]]&lt;0, 0, TAB_AMORTIZACAO_C[[#This Row],[V_FUT_UTEIS]]/TAB_AMORTIZACAO_C[[#This Row],[VAR_DESCAP_C]])</f>
        <v>605.13565972828235</v>
      </c>
      <c r="AF345" s="64"/>
    </row>
    <row r="346" spans="1:32">
      <c r="A346" s="82">
        <f t="shared" si="9"/>
        <v>28</v>
      </c>
      <c r="B346" s="24">
        <f>VLOOKUP($A346, CAD_AMORTIZACAO[#Data], MATCH(B$318, CAD_ATUALIZACAO[#Headers],0), FALSE)</f>
        <v>4</v>
      </c>
      <c r="C346" s="24" t="str">
        <f>VLOOKUP($A346, CAD_AMORTIZACAO[#Data], MATCH(C$318, CAD_ATUALIZACAO[#Headers],0), FALSE)</f>
        <v xml:space="preserve">AMORTIZACAO                                       </v>
      </c>
      <c r="D346" s="36">
        <f>VLOOKUP($A346, CAD_AMORTIZACAO[#Data], MATCH(D$318, CAD_ATUALIZACAO[#Headers],0), FALSE)</f>
        <v>43199</v>
      </c>
      <c r="E346" s="48">
        <f>VLOOKUP($A346, CAD_AMORTIZACAO[#Data], MATCH(E$318, CAD_ATUALIZACAO[#Headers],0), FALSE)</f>
        <v>860.82901600000002</v>
      </c>
      <c r="F346" s="36">
        <f>VLOOKUP($A346, CAD_AMORTIZACAO[#Data], MATCH(F$318, CAD_ATUALIZACAO[#Headers],0), FALSE)</f>
        <v>43203</v>
      </c>
      <c r="G346" s="47">
        <f>WORKDAY(WORKDAY(TAB_AMORTIZACAO_U[[#This Row],[DT_EVE]], -1, TAB_FERIADOS[FER_DATA]), 1, TAB_FERIADOS[FER_DATA])</f>
        <v>43199</v>
      </c>
      <c r="H346" s="75">
        <f>WORKDAY(WORKDAY(TAB_AMORTIZACAO_U[[#This Row],[DT_LQDC_EVE]], -1, TAB_FERIADOS[FER_DATA]), 1, TAB_FERIADOS[FER_DATA])</f>
        <v>43203</v>
      </c>
      <c r="I346" s="48">
        <f>PU_EMISSAO - SUMIF(TAB_AMORTIZACAO_U[dt_eve_u], "&lt;" &amp; TAB_AMORTIZACAO_U[[#This Row],[dt_eve_u]], TAB_AMORTIZACAO_U[V_PU_AMTC])</f>
        <v>75630.734185000008</v>
      </c>
      <c r="J346" s="48">
        <f>IFERROR(VLOOKUP(TAB_AMORTIZACAO_U[[#This Row],[DT_EVE]], TAB_AMORTIZACAO_U[[DT_EVE]:[V_PU_AMTC]], 2, FALSE), 0)</f>
        <v>860.82901600000002</v>
      </c>
      <c r="K346" s="48">
        <f>NETWORKDAYS(DT_CALCULO_U, TAB_AMORTIZACAO_U[[#This Row],[dt_eve_u]], TAB_FERIADOS[FER_DATA]) -1</f>
        <v>570</v>
      </c>
      <c r="L346" s="48">
        <f>NETWORKDAYS(DT_CALCULO_U, TAB_AMORTIZACAO_U[[#This Row],[dt_lqdc_eve_u]], TAB_FERIADOS[FER_DATA]) -1</f>
        <v>574</v>
      </c>
      <c r="M346" s="48">
        <f>NETWORKDAYS(IF(ISTEXT(G345), DT_B_CORC, G345), TAB_AMORTIZACAO_U[[#This Row],[dt_eve_u]], TAB_FERIADOS[FER_DATA]) -1</f>
        <v>21</v>
      </c>
      <c r="N346" s="78">
        <f>(TX_EMISSAO/100 +1)^(TAB_AMORTIZACAO_U[[#This Row],[dias_periodo_u]]/252)</f>
        <v>1.0020598362698427</v>
      </c>
      <c r="O346" s="78">
        <f>(TIR_U/100 +1)^(TAB_AMORTIZACAO_U[[#This Row],[Q_DIAS_U_PARC_TIR]]/252)</f>
        <v>1.0578624778392907</v>
      </c>
      <c r="P346" s="116" t="str">
        <f>"TX_CENARIO" &amp; TEXT(DT_CALCULO_C, "-AAAAMMDD") &amp; TEXT(TAB_AMORTIZACAO_U[[#This Row],[DT_EVE]], "-AAAAMMDD")</f>
        <v>TX_CENARIO-20151228-20180409</v>
      </c>
      <c r="Q346" s="44">
        <f>IFERROR(VLOOKUP(TAB_AMORTIZACAO_U[[#This Row],[Chave-CENARIO]],CENARIO[],2,FALSE), 0)</f>
        <v>16.602699999999999</v>
      </c>
      <c r="R346" s="117" t="str">
        <f t="shared" si="10"/>
        <v>n/a</v>
      </c>
      <c r="S346" s="49" t="str">
        <f t="shared" si="10"/>
        <v>n/a</v>
      </c>
      <c r="T346" s="78">
        <f>IF(TAB_AMORTIZACAO_U[[#This Row],[Q_DIAS_U_PARC_TIR]]&lt;0, 0, TAB_AMORTIZACAO_U[[#This Row],[PU_AMORT]])</f>
        <v>860.82901600000002</v>
      </c>
      <c r="U346" s="78">
        <f>MAX(0, TAB_AMORTIZACAO_U[[#This Row],[V_FUT_U_PCPL-01]]/((((TAB_AMORTIZACAO_U[[#This Row],[TX_CENARIO]]/100 +1)^(1/252) -1) * PC_IDXR/100 +1)^TAB_AMORTIZACAO_U[[#This Row],[Q_DIAS_U_PARC_TIR]]))</f>
        <v>606.69374170360959</v>
      </c>
      <c r="V346" s="78">
        <f>+TAB_AMORTIZACAO_U[[#This Row],[V_FUT_U_PCPL-02]]/TAB_AMORTIZACAO_U[[#This Row],[VAR_DESCAP_U]]</f>
        <v>573.50908498314072</v>
      </c>
      <c r="W346" s="78"/>
      <c r="X346" s="101">
        <f>TAB_AMORTIZACAO_U[[#This Row],[dt_eve_u]]- DT_CALCULO_C</f>
        <v>833</v>
      </c>
      <c r="Y346" s="49" t="str">
        <f t="shared" si="11"/>
        <v>n/a</v>
      </c>
      <c r="Z346" s="49" t="str">
        <f t="shared" si="11"/>
        <v>n/a</v>
      </c>
      <c r="AA346" s="44">
        <f>TAB_AMORTIZACAO_U[[#This Row],[V_PU_AMTC]]</f>
        <v>860.82901600000002</v>
      </c>
      <c r="AB346" s="44">
        <f>(TIR_C/100 +1)^(TAB_AMORTIZACAO_C[[#This Row],[DIAS_CORRIDOS]]/360)</f>
        <v>1.0579448218795797</v>
      </c>
      <c r="AC346" s="44">
        <f>IF(TAB_AMORTIZACAO_C[[#This Row],[DIAS_CORRIDOS]]&lt;0, 0, TAB_AMORTIZACAO_C[[#This Row],[V_FUT_C_PCPL]]/TAB_AMORTIZACAO_C[[#This Row],[VAR_DESCAP_C]])</f>
        <v>813.68044740804419</v>
      </c>
      <c r="AD346" s="115">
        <f>TAB_AMORTIZACAO_U[[#This Row],[V_FUT_U_PCPL-02]]</f>
        <v>606.69374170360959</v>
      </c>
      <c r="AE346" s="127">
        <f>IF(TAB_AMORTIZACAO_C[[#This Row],[DIAS_CORRIDOS]]&lt;0, 0, TAB_AMORTIZACAO_C[[#This Row],[V_FUT_UTEIS]]/TAB_AMORTIZACAO_C[[#This Row],[VAR_DESCAP_C]])</f>
        <v>573.46444649706541</v>
      </c>
      <c r="AF346" s="64"/>
    </row>
    <row r="347" spans="1:32">
      <c r="A347" s="82">
        <f t="shared" si="9"/>
        <v>29</v>
      </c>
      <c r="B347" s="24">
        <f>VLOOKUP($A347, CAD_AMORTIZACAO[#Data], MATCH(B$318, CAD_ATUALIZACAO[#Headers],0), FALSE)</f>
        <v>4</v>
      </c>
      <c r="C347" s="24" t="str">
        <f>VLOOKUP($A347, CAD_AMORTIZACAO[#Data], MATCH(C$318, CAD_ATUALIZACAO[#Headers],0), FALSE)</f>
        <v xml:space="preserve">AMORTIZACAO                                       </v>
      </c>
      <c r="D347" s="36">
        <f>VLOOKUP($A347, CAD_AMORTIZACAO[#Data], MATCH(D$318, CAD_ATUALIZACAO[#Headers],0), FALSE)</f>
        <v>43229</v>
      </c>
      <c r="E347" s="48">
        <f>VLOOKUP($A347, CAD_AMORTIZACAO[#Data], MATCH(E$318, CAD_ATUALIZACAO[#Headers],0), FALSE)</f>
        <v>849.75997199999995</v>
      </c>
      <c r="F347" s="36">
        <f>VLOOKUP($A347, CAD_AMORTIZACAO[#Data], MATCH(F$318, CAD_ATUALIZACAO[#Headers],0), FALSE)</f>
        <v>43235</v>
      </c>
      <c r="G347" s="47">
        <f>WORKDAY(WORKDAY(TAB_AMORTIZACAO_U[[#This Row],[DT_EVE]], -1, TAB_FERIADOS[FER_DATA]), 1, TAB_FERIADOS[FER_DATA])</f>
        <v>43229</v>
      </c>
      <c r="H347" s="75">
        <f>WORKDAY(WORKDAY(TAB_AMORTIZACAO_U[[#This Row],[DT_LQDC_EVE]], -1, TAB_FERIADOS[FER_DATA]), 1, TAB_FERIADOS[FER_DATA])</f>
        <v>43235</v>
      </c>
      <c r="I347" s="48">
        <f>PU_EMISSAO - SUMIF(TAB_AMORTIZACAO_U[dt_eve_u], "&lt;" &amp; TAB_AMORTIZACAO_U[[#This Row],[dt_eve_u]], TAB_AMORTIZACAO_U[V_PU_AMTC])</f>
        <v>74769.905169000005</v>
      </c>
      <c r="J347" s="48">
        <f>IFERROR(VLOOKUP(TAB_AMORTIZACAO_U[[#This Row],[DT_EVE]], TAB_AMORTIZACAO_U[[DT_EVE]:[V_PU_AMTC]], 2, FALSE), 0)</f>
        <v>849.75997199999995</v>
      </c>
      <c r="K347" s="48">
        <f>NETWORKDAYS(DT_CALCULO_U, TAB_AMORTIZACAO_U[[#This Row],[dt_eve_u]], TAB_FERIADOS[FER_DATA]) -1</f>
        <v>591</v>
      </c>
      <c r="L347" s="48">
        <f>NETWORKDAYS(DT_CALCULO_U, TAB_AMORTIZACAO_U[[#This Row],[dt_lqdc_eve_u]], TAB_FERIADOS[FER_DATA]) -1</f>
        <v>595</v>
      </c>
      <c r="M347" s="48">
        <f>NETWORKDAYS(IF(ISTEXT(G346), DT_B_CORC, G346), TAB_AMORTIZACAO_U[[#This Row],[dt_eve_u]], TAB_FERIADOS[FER_DATA]) -1</f>
        <v>21</v>
      </c>
      <c r="N347" s="78">
        <f>(TX_EMISSAO/100 +1)^(TAB_AMORTIZACAO_U[[#This Row],[dias_periodo_u]]/252)</f>
        <v>1.0020598362698427</v>
      </c>
      <c r="O347" s="78">
        <f>(TIR_U/100 +1)^(TAB_AMORTIZACAO_U[[#This Row],[Q_DIAS_U_PARC_TIR]]/252)</f>
        <v>1.0600417362661487</v>
      </c>
      <c r="P347" s="116" t="str">
        <f>"TX_CENARIO" &amp; TEXT(DT_CALCULO_C, "-AAAAMMDD") &amp; TEXT(TAB_AMORTIZACAO_U[[#This Row],[DT_EVE]], "-AAAAMMDD")</f>
        <v>TX_CENARIO-20151228-20180509</v>
      </c>
      <c r="Q347" s="44">
        <f>IFERROR(VLOOKUP(TAB_AMORTIZACAO_U[[#This Row],[Chave-CENARIO]],CENARIO[],2,FALSE), 0)</f>
        <v>16.6279</v>
      </c>
      <c r="R347" s="117" t="str">
        <f t="shared" si="10"/>
        <v>n/a</v>
      </c>
      <c r="S347" s="49" t="str">
        <f t="shared" si="10"/>
        <v>n/a</v>
      </c>
      <c r="T347" s="78">
        <f>IF(TAB_AMORTIZACAO_U[[#This Row],[Q_DIAS_U_PARC_TIR]]&lt;0, 0, TAB_AMORTIZACAO_U[[#This Row],[PU_AMORT]])</f>
        <v>849.75997199999995</v>
      </c>
      <c r="U347" s="78">
        <f>MAX(0, TAB_AMORTIZACAO_U[[#This Row],[V_FUT_U_PCPL-01]]/((((TAB_AMORTIZACAO_U[[#This Row],[TX_CENARIO]]/100 +1)^(1/252) -1) * PC_IDXR/100 +1)^TAB_AMORTIZACAO_U[[#This Row],[Q_DIAS_U_PARC_TIR]]))</f>
        <v>590.97382948165682</v>
      </c>
      <c r="V347" s="78">
        <f>+TAB_AMORTIZACAO_U[[#This Row],[V_FUT_U_PCPL-02]]/TAB_AMORTIZACAO_U[[#This Row],[VAR_DESCAP_U]]</f>
        <v>557.5005297086517</v>
      </c>
      <c r="W347" s="78"/>
      <c r="X347" s="101">
        <f>TAB_AMORTIZACAO_U[[#This Row],[dt_eve_u]]- DT_CALCULO_C</f>
        <v>863</v>
      </c>
      <c r="Y347" s="49" t="str">
        <f t="shared" si="11"/>
        <v>n/a</v>
      </c>
      <c r="Z347" s="49" t="str">
        <f t="shared" si="11"/>
        <v>n/a</v>
      </c>
      <c r="AA347" s="44">
        <f>TAB_AMORTIZACAO_U[[#This Row],[V_PU_AMTC]]</f>
        <v>849.75997199999995</v>
      </c>
      <c r="AB347" s="44">
        <f>(TIR_C/100 +1)^(TAB_AMORTIZACAO_C[[#This Row],[DIAS_CORRIDOS]]/360)</f>
        <v>1.0600931744991782</v>
      </c>
      <c r="AC347" s="44">
        <f>IF(TAB_AMORTIZACAO_C[[#This Row],[DIAS_CORRIDOS]]&lt;0, 0, TAB_AMORTIZACAO_C[[#This Row],[V_FUT_C_PCPL]]/TAB_AMORTIZACAO_C[[#This Row],[VAR_DESCAP_C]])</f>
        <v>801.58989081450659</v>
      </c>
      <c r="AD347" s="115">
        <f>TAB_AMORTIZACAO_U[[#This Row],[V_FUT_U_PCPL-02]]</f>
        <v>590.97382948165682</v>
      </c>
      <c r="AE347" s="127">
        <f>IF(TAB_AMORTIZACAO_C[[#This Row],[DIAS_CORRIDOS]]&lt;0, 0, TAB_AMORTIZACAO_C[[#This Row],[V_FUT_UTEIS]]/TAB_AMORTIZACAO_C[[#This Row],[VAR_DESCAP_C]])</f>
        <v>557.47347846178866</v>
      </c>
      <c r="AF347" s="64"/>
    </row>
    <row r="348" spans="1:32">
      <c r="A348" s="82">
        <f t="shared" si="9"/>
        <v>30</v>
      </c>
      <c r="B348" s="24">
        <f>VLOOKUP($A348, CAD_AMORTIZACAO[#Data], MATCH(B$318, CAD_ATUALIZACAO[#Headers],0), FALSE)</f>
        <v>4</v>
      </c>
      <c r="C348" s="24" t="str">
        <f>VLOOKUP($A348, CAD_AMORTIZACAO[#Data], MATCH(C$318, CAD_ATUALIZACAO[#Headers],0), FALSE)</f>
        <v xml:space="preserve">AMORTIZACAO                                       </v>
      </c>
      <c r="D348" s="36">
        <f>VLOOKUP($A348, CAD_AMORTIZACAO[#Data], MATCH(D$318, CAD_ATUALIZACAO[#Headers],0), FALSE)</f>
        <v>43259</v>
      </c>
      <c r="E348" s="48">
        <f>VLOOKUP($A348, CAD_AMORTIZACAO[#Data], MATCH(E$318, CAD_ATUALIZACAO[#Headers],0), FALSE)</f>
        <v>838.84580700000004</v>
      </c>
      <c r="F348" s="36">
        <f>VLOOKUP($A348, CAD_AMORTIZACAO[#Data], MATCH(F$318, CAD_ATUALIZACAO[#Headers],0), FALSE)</f>
        <v>43265</v>
      </c>
      <c r="G348" s="47">
        <f>WORKDAY(WORKDAY(TAB_AMORTIZACAO_U[[#This Row],[DT_EVE]], -1, TAB_FERIADOS[FER_DATA]), 1, TAB_FERIADOS[FER_DATA])</f>
        <v>43259</v>
      </c>
      <c r="H348" s="75">
        <f>WORKDAY(WORKDAY(TAB_AMORTIZACAO_U[[#This Row],[DT_LQDC_EVE]], -1, TAB_FERIADOS[FER_DATA]), 1, TAB_FERIADOS[FER_DATA])</f>
        <v>43265</v>
      </c>
      <c r="I348" s="48">
        <f>PU_EMISSAO - SUMIF(TAB_AMORTIZACAO_U[dt_eve_u], "&lt;" &amp; TAB_AMORTIZACAO_U[[#This Row],[dt_eve_u]], TAB_AMORTIZACAO_U[V_PU_AMTC])</f>
        <v>73920.145197000005</v>
      </c>
      <c r="J348" s="48">
        <f>IFERROR(VLOOKUP(TAB_AMORTIZACAO_U[[#This Row],[DT_EVE]], TAB_AMORTIZACAO_U[[DT_EVE]:[V_PU_AMTC]], 2, FALSE), 0)</f>
        <v>838.84580700000004</v>
      </c>
      <c r="K348" s="48">
        <f>NETWORKDAYS(DT_CALCULO_U, TAB_AMORTIZACAO_U[[#This Row],[dt_eve_u]], TAB_FERIADOS[FER_DATA]) -1</f>
        <v>612</v>
      </c>
      <c r="L348" s="48">
        <f>NETWORKDAYS(DT_CALCULO_U, TAB_AMORTIZACAO_U[[#This Row],[dt_lqdc_eve_u]], TAB_FERIADOS[FER_DATA]) -1</f>
        <v>616</v>
      </c>
      <c r="M348" s="48">
        <f>NETWORKDAYS(IF(ISTEXT(G347), DT_B_CORC, G347), TAB_AMORTIZACAO_U[[#This Row],[dt_eve_u]], TAB_FERIADOS[FER_DATA]) -1</f>
        <v>21</v>
      </c>
      <c r="N348" s="78">
        <f>(TX_EMISSAO/100 +1)^(TAB_AMORTIZACAO_U[[#This Row],[dias_periodo_u]]/252)</f>
        <v>1.0020598362698427</v>
      </c>
      <c r="O348" s="78">
        <f>(TIR_U/100 +1)^(TAB_AMORTIZACAO_U[[#This Row],[Q_DIAS_U_PARC_TIR]]/252)</f>
        <v>1.0622254840925183</v>
      </c>
      <c r="P348" s="116" t="str">
        <f>"TX_CENARIO" &amp; TEXT(DT_CALCULO_C, "-AAAAMMDD") &amp; TEXT(TAB_AMORTIZACAO_U[[#This Row],[DT_EVE]], "-AAAAMMDD")</f>
        <v>TX_CENARIO-20151228-20180608</v>
      </c>
      <c r="Q348" s="44">
        <f>IFERROR(VLOOKUP(TAB_AMORTIZACAO_U[[#This Row],[Chave-CENARIO]],CENARIO[],2,FALSE), 0)</f>
        <v>16.651399999999999</v>
      </c>
      <c r="R348" s="117" t="str">
        <f t="shared" si="10"/>
        <v>n/a</v>
      </c>
      <c r="S348" s="49" t="str">
        <f t="shared" si="10"/>
        <v>n/a</v>
      </c>
      <c r="T348" s="78">
        <f>IF(TAB_AMORTIZACAO_U[[#This Row],[Q_DIAS_U_PARC_TIR]]&lt;0, 0, TAB_AMORTIZACAO_U[[#This Row],[PU_AMORT]])</f>
        <v>838.84580700000004</v>
      </c>
      <c r="U348" s="78">
        <f>MAX(0, TAB_AMORTIZACAO_U[[#This Row],[V_FUT_U_PCPL-01]]/((((TAB_AMORTIZACAO_U[[#This Row],[TX_CENARIO]]/100 +1)^(1/252) -1) * PC_IDXR/100 +1)^TAB_AMORTIZACAO_U[[#This Row],[Q_DIAS_U_PARC_TIR]]))</f>
        <v>575.66968273668135</v>
      </c>
      <c r="V348" s="78">
        <f>+TAB_AMORTIZACAO_U[[#This Row],[V_FUT_U_PCPL-02]]/TAB_AMORTIZACAO_U[[#This Row],[VAR_DESCAP_U]]</f>
        <v>541.94678188170951</v>
      </c>
      <c r="W348" s="78"/>
      <c r="X348" s="101">
        <f>TAB_AMORTIZACAO_U[[#This Row],[dt_eve_u]]- DT_CALCULO_C</f>
        <v>893</v>
      </c>
      <c r="Y348" s="49" t="str">
        <f t="shared" si="11"/>
        <v>n/a</v>
      </c>
      <c r="Z348" s="49" t="str">
        <f t="shared" si="11"/>
        <v>n/a</v>
      </c>
      <c r="AA348" s="44">
        <f>TAB_AMORTIZACAO_U[[#This Row],[V_PU_AMTC]]</f>
        <v>838.84580700000004</v>
      </c>
      <c r="AB348" s="44">
        <f>(TIR_C/100 +1)^(TAB_AMORTIZACAO_C[[#This Row],[DIAS_CORRIDOS]]/360)</f>
        <v>1.0622458897460922</v>
      </c>
      <c r="AC348" s="44">
        <f>IF(TAB_AMORTIZACAO_C[[#This Row],[DIAS_CORRIDOS]]&lt;0, 0, TAB_AMORTIZACAO_C[[#This Row],[V_FUT_C_PCPL]]/TAB_AMORTIZACAO_C[[#This Row],[VAR_DESCAP_C]])</f>
        <v>789.69080049865727</v>
      </c>
      <c r="AD348" s="115">
        <f>TAB_AMORTIZACAO_U[[#This Row],[V_FUT_U_PCPL-02]]</f>
        <v>575.66968273668135</v>
      </c>
      <c r="AE348" s="127">
        <f>IF(TAB_AMORTIZACAO_C[[#This Row],[DIAS_CORRIDOS]]&lt;0, 0, TAB_AMORTIZACAO_C[[#This Row],[V_FUT_UTEIS]]/TAB_AMORTIZACAO_C[[#This Row],[VAR_DESCAP_C]])</f>
        <v>541.93637112993042</v>
      </c>
      <c r="AF348" s="64"/>
    </row>
    <row r="349" spans="1:32">
      <c r="A349" s="82">
        <f t="shared" si="9"/>
        <v>31</v>
      </c>
      <c r="B349" s="24">
        <f>VLOOKUP($A349, CAD_AMORTIZACAO[#Data], MATCH(B$318, CAD_ATUALIZACAO[#Headers],0), FALSE)</f>
        <v>4</v>
      </c>
      <c r="C349" s="24" t="str">
        <f>VLOOKUP($A349, CAD_AMORTIZACAO[#Data], MATCH(C$318, CAD_ATUALIZACAO[#Headers],0), FALSE)</f>
        <v xml:space="preserve">AMORTIZACAO                                       </v>
      </c>
      <c r="D349" s="36">
        <f>VLOOKUP($A349, CAD_AMORTIZACAO[#Data], MATCH(D$318, CAD_ATUALIZACAO[#Headers],0), FALSE)</f>
        <v>43290</v>
      </c>
      <c r="E349" s="48">
        <f>VLOOKUP($A349, CAD_AMORTIZACAO[#Data], MATCH(E$318, CAD_ATUALIZACAO[#Headers],0), FALSE)</f>
        <v>828.084203</v>
      </c>
      <c r="F349" s="36">
        <f>VLOOKUP($A349, CAD_AMORTIZACAO[#Data], MATCH(F$318, CAD_ATUALIZACAO[#Headers],0), FALSE)</f>
        <v>43294</v>
      </c>
      <c r="G349" s="47">
        <f>WORKDAY(WORKDAY(TAB_AMORTIZACAO_U[[#This Row],[DT_EVE]], -1, TAB_FERIADOS[FER_DATA]), 1, TAB_FERIADOS[FER_DATA])</f>
        <v>43290</v>
      </c>
      <c r="H349" s="75">
        <f>WORKDAY(WORKDAY(TAB_AMORTIZACAO_U[[#This Row],[DT_LQDC_EVE]], -1, TAB_FERIADOS[FER_DATA]), 1, TAB_FERIADOS[FER_DATA])</f>
        <v>43294</v>
      </c>
      <c r="I349" s="48">
        <f>PU_EMISSAO - SUMIF(TAB_AMORTIZACAO_U[dt_eve_u], "&lt;" &amp; TAB_AMORTIZACAO_U[[#This Row],[dt_eve_u]], TAB_AMORTIZACAO_U[V_PU_AMTC])</f>
        <v>73081.29939</v>
      </c>
      <c r="J349" s="48">
        <f>IFERROR(VLOOKUP(TAB_AMORTIZACAO_U[[#This Row],[DT_EVE]], TAB_AMORTIZACAO_U[[DT_EVE]:[V_PU_AMTC]], 2, FALSE), 0)</f>
        <v>828.084203</v>
      </c>
      <c r="K349" s="48">
        <f>NETWORKDAYS(DT_CALCULO_U, TAB_AMORTIZACAO_U[[#This Row],[dt_eve_u]], TAB_FERIADOS[FER_DATA]) -1</f>
        <v>633</v>
      </c>
      <c r="L349" s="48">
        <f>NETWORKDAYS(DT_CALCULO_U, TAB_AMORTIZACAO_U[[#This Row],[dt_lqdc_eve_u]], TAB_FERIADOS[FER_DATA]) -1</f>
        <v>637</v>
      </c>
      <c r="M349" s="48">
        <f>NETWORKDAYS(IF(ISTEXT(G348), DT_B_CORC, G348), TAB_AMORTIZACAO_U[[#This Row],[dt_eve_u]], TAB_FERIADOS[FER_DATA]) -1</f>
        <v>21</v>
      </c>
      <c r="N349" s="78">
        <f>(TX_EMISSAO/100 +1)^(TAB_AMORTIZACAO_U[[#This Row],[dias_periodo_u]]/252)</f>
        <v>1.0020598362698427</v>
      </c>
      <c r="O349" s="78">
        <f>(TIR_U/100 +1)^(TAB_AMORTIZACAO_U[[#This Row],[Q_DIAS_U_PARC_TIR]]/252)</f>
        <v>1.064413730566824</v>
      </c>
      <c r="P349" s="116" t="str">
        <f>"TX_CENARIO" &amp; TEXT(DT_CALCULO_C, "-AAAAMMDD") &amp; TEXT(TAB_AMORTIZACAO_U[[#This Row],[DT_EVE]], "-AAAAMMDD")</f>
        <v>TX_CENARIO-20151228-20180709</v>
      </c>
      <c r="Q349" s="44">
        <f>IFERROR(VLOOKUP(TAB_AMORTIZACAO_U[[#This Row],[Chave-CENARIO]],CENARIO[],2,FALSE), 0)</f>
        <v>16.662500000000001</v>
      </c>
      <c r="R349" s="117" t="str">
        <f t="shared" si="10"/>
        <v>n/a</v>
      </c>
      <c r="S349" s="49" t="str">
        <f t="shared" si="10"/>
        <v>n/a</v>
      </c>
      <c r="T349" s="78">
        <f>IF(TAB_AMORTIZACAO_U[[#This Row],[Q_DIAS_U_PARC_TIR]]&lt;0, 0, TAB_AMORTIZACAO_U[[#This Row],[PU_AMORT]])</f>
        <v>828.084203</v>
      </c>
      <c r="U349" s="78">
        <f>MAX(0, TAB_AMORTIZACAO_U[[#This Row],[V_FUT_U_PCPL-01]]/((((TAB_AMORTIZACAO_U[[#This Row],[TX_CENARIO]]/100 +1)^(1/252) -1) * PC_IDXR/100 +1)^TAB_AMORTIZACAO_U[[#This Row],[Q_DIAS_U_PARC_TIR]]))</f>
        <v>560.90214468269539</v>
      </c>
      <c r="V349" s="78">
        <f>+TAB_AMORTIZACAO_U[[#This Row],[V_FUT_U_PCPL-02]]/TAB_AMORTIZACAO_U[[#This Row],[VAR_DESCAP_U]]</f>
        <v>526.958764787826</v>
      </c>
      <c r="W349" s="78"/>
      <c r="X349" s="101">
        <f>TAB_AMORTIZACAO_U[[#This Row],[dt_eve_u]]- DT_CALCULO_C</f>
        <v>924</v>
      </c>
      <c r="Y349" s="49" t="str">
        <f t="shared" si="11"/>
        <v>n/a</v>
      </c>
      <c r="Z349" s="49" t="str">
        <f t="shared" si="11"/>
        <v>n/a</v>
      </c>
      <c r="AA349" s="44">
        <f>TAB_AMORTIZACAO_U[[#This Row],[V_PU_AMTC]]</f>
        <v>828.084203</v>
      </c>
      <c r="AB349" s="44">
        <f>(TIR_C/100 +1)^(TAB_AMORTIZACAO_C[[#This Row],[DIAS_CORRIDOS]]/360)</f>
        <v>1.0644749547608361</v>
      </c>
      <c r="AC349" s="44">
        <f>IF(TAB_AMORTIZACAO_C[[#This Row],[DIAS_CORRIDOS]]&lt;0, 0, TAB_AMORTIZACAO_C[[#This Row],[V_FUT_C_PCPL]]/TAB_AMORTIZACAO_C[[#This Row],[VAR_DESCAP_C]])</f>
        <v>777.92737095073517</v>
      </c>
      <c r="AD349" s="115">
        <f>TAB_AMORTIZACAO_U[[#This Row],[V_FUT_U_PCPL-02]]</f>
        <v>560.90214468269539</v>
      </c>
      <c r="AE349" s="127">
        <f>IF(TAB_AMORTIZACAO_C[[#This Row],[DIAS_CORRIDOS]]&lt;0, 0, TAB_AMORTIZACAO_C[[#This Row],[V_FUT_UTEIS]]/TAB_AMORTIZACAO_C[[#This Row],[VAR_DESCAP_C]])</f>
        <v>526.92845630052204</v>
      </c>
      <c r="AF349" s="64"/>
    </row>
    <row r="350" spans="1:32">
      <c r="A350" s="82">
        <f t="shared" si="9"/>
        <v>32</v>
      </c>
      <c r="B350" s="24">
        <f>VLOOKUP($A350, CAD_AMORTIZACAO[#Data], MATCH(B$318, CAD_ATUALIZACAO[#Headers],0), FALSE)</f>
        <v>4</v>
      </c>
      <c r="C350" s="24" t="str">
        <f>VLOOKUP($A350, CAD_AMORTIZACAO[#Data], MATCH(C$318, CAD_ATUALIZACAO[#Headers],0), FALSE)</f>
        <v xml:space="preserve">AMORTIZACAO                                       </v>
      </c>
      <c r="D350" s="36">
        <f>VLOOKUP($A350, CAD_AMORTIZACAO[#Data], MATCH(D$318, CAD_ATUALIZACAO[#Headers],0), FALSE)</f>
        <v>43320</v>
      </c>
      <c r="E350" s="48">
        <f>VLOOKUP($A350, CAD_AMORTIZACAO[#Data], MATCH(E$318, CAD_ATUALIZACAO[#Headers],0), FALSE)</f>
        <v>810.10304799999994</v>
      </c>
      <c r="F350" s="36">
        <f>VLOOKUP($A350, CAD_AMORTIZACAO[#Data], MATCH(F$318, CAD_ATUALIZACAO[#Headers],0), FALSE)</f>
        <v>43326</v>
      </c>
      <c r="G350" s="47">
        <f>WORKDAY(WORKDAY(TAB_AMORTIZACAO_U[[#This Row],[DT_EVE]], -1, TAB_FERIADOS[FER_DATA]), 1, TAB_FERIADOS[FER_DATA])</f>
        <v>43320</v>
      </c>
      <c r="H350" s="75">
        <f>WORKDAY(WORKDAY(TAB_AMORTIZACAO_U[[#This Row],[DT_LQDC_EVE]], -1, TAB_FERIADOS[FER_DATA]), 1, TAB_FERIADOS[FER_DATA])</f>
        <v>43326</v>
      </c>
      <c r="I350" s="48">
        <f>PU_EMISSAO - SUMIF(TAB_AMORTIZACAO_U[dt_eve_u], "&lt;" &amp; TAB_AMORTIZACAO_U[[#This Row],[dt_eve_u]], TAB_AMORTIZACAO_U[V_PU_AMTC])</f>
        <v>72253.215187000009</v>
      </c>
      <c r="J350" s="48">
        <f>IFERROR(VLOOKUP(TAB_AMORTIZACAO_U[[#This Row],[DT_EVE]], TAB_AMORTIZACAO_U[[DT_EVE]:[V_PU_AMTC]], 2, FALSE), 0)</f>
        <v>810.10304799999994</v>
      </c>
      <c r="K350" s="48">
        <f>NETWORKDAYS(DT_CALCULO_U, TAB_AMORTIZACAO_U[[#This Row],[dt_eve_u]], TAB_FERIADOS[FER_DATA]) -1</f>
        <v>655</v>
      </c>
      <c r="L350" s="48">
        <f>NETWORKDAYS(DT_CALCULO_U, TAB_AMORTIZACAO_U[[#This Row],[dt_lqdc_eve_u]], TAB_FERIADOS[FER_DATA]) -1</f>
        <v>659</v>
      </c>
      <c r="M350" s="48">
        <f>NETWORKDAYS(IF(ISTEXT(G349), DT_B_CORC, G349), TAB_AMORTIZACAO_U[[#This Row],[dt_eve_u]], TAB_FERIADOS[FER_DATA]) -1</f>
        <v>22</v>
      </c>
      <c r="N350" s="78">
        <f>(TX_EMISSAO/100 +1)^(TAB_AMORTIZACAO_U[[#This Row],[dias_periodo_u]]/252)</f>
        <v>1.0021580294747356</v>
      </c>
      <c r="O350" s="78">
        <f>(TIR_U/100 +1)^(TAB_AMORTIZACAO_U[[#This Row],[Q_DIAS_U_PARC_TIR]]/252)</f>
        <v>1.0667110144326029</v>
      </c>
      <c r="P350" s="116" t="str">
        <f>"TX_CENARIO" &amp; TEXT(DT_CALCULO_C, "-AAAAMMDD") &amp; TEXT(TAB_AMORTIZACAO_U[[#This Row],[DT_EVE]], "-AAAAMMDD")</f>
        <v>TX_CENARIO-20151228-20180808</v>
      </c>
      <c r="Q350" s="44">
        <f>IFERROR(VLOOKUP(TAB_AMORTIZACAO_U[[#This Row],[Chave-CENARIO]],CENARIO[],2,FALSE), 0)</f>
        <v>16.658799999999999</v>
      </c>
      <c r="R350" s="117" t="str">
        <f t="shared" si="10"/>
        <v>n/a</v>
      </c>
      <c r="S350" s="49" t="str">
        <f t="shared" si="10"/>
        <v>n/a</v>
      </c>
      <c r="T350" s="78">
        <f>IF(TAB_AMORTIZACAO_U[[#This Row],[Q_DIAS_U_PARC_TIR]]&lt;0, 0, TAB_AMORTIZACAO_U[[#This Row],[PU_AMORT]])</f>
        <v>810.10304799999994</v>
      </c>
      <c r="U350" s="78">
        <f>MAX(0, TAB_AMORTIZACAO_U[[#This Row],[V_FUT_U_PCPL-01]]/((((TAB_AMORTIZACAO_U[[#This Row],[TX_CENARIO]]/100 +1)^(1/252) -1) * PC_IDXR/100 +1)^TAB_AMORTIZACAO_U[[#This Row],[Q_DIAS_U_PARC_TIR]]))</f>
        <v>541.43419440369723</v>
      </c>
      <c r="V350" s="78">
        <f>+TAB_AMORTIZACAO_U[[#This Row],[V_FUT_U_PCPL-02]]/TAB_AMORTIZACAO_U[[#This Row],[VAR_DESCAP_U]]</f>
        <v>507.57345436401346</v>
      </c>
      <c r="W350" s="78"/>
      <c r="X350" s="101">
        <f>TAB_AMORTIZACAO_U[[#This Row],[dt_eve_u]]- DT_CALCULO_C</f>
        <v>954</v>
      </c>
      <c r="Y350" s="49" t="str">
        <f t="shared" si="11"/>
        <v>n/a</v>
      </c>
      <c r="Z350" s="49" t="str">
        <f t="shared" si="11"/>
        <v>n/a</v>
      </c>
      <c r="AA350" s="44">
        <f>TAB_AMORTIZACAO_U[[#This Row],[V_PU_AMTC]]</f>
        <v>810.10304799999994</v>
      </c>
      <c r="AB350" s="44">
        <f>(TIR_C/100 +1)^(TAB_AMORTIZACAO_C[[#This Row],[DIAS_CORRIDOS]]/360)</f>
        <v>1.0666365680229479</v>
      </c>
      <c r="AC350" s="44">
        <f>IF(TAB_AMORTIZACAO_C[[#This Row],[DIAS_CORRIDOS]]&lt;0, 0, TAB_AMORTIZACAO_C[[#This Row],[V_FUT_C_PCPL]]/TAB_AMORTIZACAO_C[[#This Row],[VAR_DESCAP_C]])</f>
        <v>759.49303847847375</v>
      </c>
      <c r="AD350" s="115">
        <f>TAB_AMORTIZACAO_U[[#This Row],[V_FUT_U_PCPL-02]]</f>
        <v>541.43419440369723</v>
      </c>
      <c r="AE350" s="127">
        <f>IF(TAB_AMORTIZACAO_C[[#This Row],[DIAS_CORRIDOS]]&lt;0, 0, TAB_AMORTIZACAO_C[[#This Row],[V_FUT_UTEIS]]/TAB_AMORTIZACAO_C[[#This Row],[VAR_DESCAP_C]])</f>
        <v>507.60888069613668</v>
      </c>
      <c r="AF350" s="64"/>
    </row>
    <row r="351" spans="1:32">
      <c r="A351" s="82">
        <f t="shared" si="9"/>
        <v>33</v>
      </c>
      <c r="B351" s="24">
        <f>VLOOKUP($A351, CAD_AMORTIZACAO[#Data], MATCH(B$318, CAD_ATUALIZACAO[#Headers],0), FALSE)</f>
        <v>4</v>
      </c>
      <c r="C351" s="24" t="str">
        <f>VLOOKUP($A351, CAD_AMORTIZACAO[#Data], MATCH(C$318, CAD_ATUALIZACAO[#Headers],0), FALSE)</f>
        <v xml:space="preserve">AMORTIZACAO                                       </v>
      </c>
      <c r="D351" s="36">
        <f>VLOOKUP($A351, CAD_AMORTIZACAO[#Data], MATCH(D$318, CAD_ATUALIZACAO[#Headers],0), FALSE)</f>
        <v>43354</v>
      </c>
      <c r="E351" s="48">
        <f>VLOOKUP($A351, CAD_AMORTIZACAO[#Data], MATCH(E$318, CAD_ATUALIZACAO[#Headers],0), FALSE)</f>
        <v>791.73256800000001</v>
      </c>
      <c r="F351" s="36">
        <f>VLOOKUP($A351, CAD_AMORTIZACAO[#Data], MATCH(F$318, CAD_ATUALIZACAO[#Headers],0), FALSE)</f>
        <v>43360</v>
      </c>
      <c r="G351" s="47">
        <f>WORKDAY(WORKDAY(TAB_AMORTIZACAO_U[[#This Row],[DT_EVE]], -1, TAB_FERIADOS[FER_DATA]), 1, TAB_FERIADOS[FER_DATA])</f>
        <v>43354</v>
      </c>
      <c r="H351" s="75">
        <f>WORKDAY(WORKDAY(TAB_AMORTIZACAO_U[[#This Row],[DT_LQDC_EVE]], -1, TAB_FERIADOS[FER_DATA]), 1, TAB_FERIADOS[FER_DATA])</f>
        <v>43360</v>
      </c>
      <c r="I351" s="48">
        <f>PU_EMISSAO - SUMIF(TAB_AMORTIZACAO_U[dt_eve_u], "&lt;" &amp; TAB_AMORTIZACAO_U[[#This Row],[dt_eve_u]], TAB_AMORTIZACAO_U[V_PU_AMTC])</f>
        <v>71443.112139000004</v>
      </c>
      <c r="J351" s="48">
        <f>IFERROR(VLOOKUP(TAB_AMORTIZACAO_U[[#This Row],[DT_EVE]], TAB_AMORTIZACAO_U[[DT_EVE]:[V_PU_AMTC]], 2, FALSE), 0)</f>
        <v>791.73256800000001</v>
      </c>
      <c r="K351" s="48">
        <f>NETWORKDAYS(DT_CALCULO_U, TAB_AMORTIZACAO_U[[#This Row],[dt_eve_u]], TAB_FERIADOS[FER_DATA]) -1</f>
        <v>678</v>
      </c>
      <c r="L351" s="48">
        <f>NETWORKDAYS(DT_CALCULO_U, TAB_AMORTIZACAO_U[[#This Row],[dt_lqdc_eve_u]], TAB_FERIADOS[FER_DATA]) -1</f>
        <v>682</v>
      </c>
      <c r="M351" s="48">
        <f>NETWORKDAYS(IF(ISTEXT(G350), DT_B_CORC, G350), TAB_AMORTIZACAO_U[[#This Row],[dt_eve_u]], TAB_FERIADOS[FER_DATA]) -1</f>
        <v>23</v>
      </c>
      <c r="N351" s="78">
        <f>(TX_EMISSAO/100 +1)^(TAB_AMORTIZACAO_U[[#This Row],[dias_periodo_u]]/252)</f>
        <v>1.0022562323017139</v>
      </c>
      <c r="O351" s="78">
        <f>(TIR_U/100 +1)^(TAB_AMORTIZACAO_U[[#This Row],[Q_DIAS_U_PARC_TIR]]/252)</f>
        <v>1.0691180217834653</v>
      </c>
      <c r="P351" s="116" t="str">
        <f>"TX_CENARIO" &amp; TEXT(DT_CALCULO_C, "-AAAAMMDD") &amp; TEXT(TAB_AMORTIZACAO_U[[#This Row],[DT_EVE]], "-AAAAMMDD")</f>
        <v>TX_CENARIO-20151228-20180911</v>
      </c>
      <c r="Q351" s="44">
        <f>IFERROR(VLOOKUP(TAB_AMORTIZACAO_U[[#This Row],[Chave-CENARIO]],CENARIO[],2,FALSE), 0)</f>
        <v>16.655200000000001</v>
      </c>
      <c r="R351" s="117" t="str">
        <f t="shared" si="10"/>
        <v>n/a</v>
      </c>
      <c r="S351" s="49" t="str">
        <f t="shared" si="10"/>
        <v>n/a</v>
      </c>
      <c r="T351" s="78">
        <f>IF(TAB_AMORTIZACAO_U[[#This Row],[Q_DIAS_U_PARC_TIR]]&lt;0, 0, TAB_AMORTIZACAO_U[[#This Row],[PU_AMORT]])</f>
        <v>791.73256800000001</v>
      </c>
      <c r="U351" s="78">
        <f>MAX(0, TAB_AMORTIZACAO_U[[#This Row],[V_FUT_U_PCPL-01]]/((((TAB_AMORTIZACAO_U[[#This Row],[TX_CENARIO]]/100 +1)^(1/252) -1) * PC_IDXR/100 +1)^TAB_AMORTIZACAO_U[[#This Row],[Q_DIAS_U_PARC_TIR]]))</f>
        <v>521.81029727758801</v>
      </c>
      <c r="V351" s="78">
        <f>+TAB_AMORTIZACAO_U[[#This Row],[V_FUT_U_PCPL-02]]/TAB_AMORTIZACAO_U[[#This Row],[VAR_DESCAP_U]]</f>
        <v>488.07548525570854</v>
      </c>
      <c r="W351" s="78"/>
      <c r="X351" s="101">
        <f>TAB_AMORTIZACAO_U[[#This Row],[dt_eve_u]]- DT_CALCULO_C</f>
        <v>988</v>
      </c>
      <c r="Y351" s="49" t="str">
        <f t="shared" si="11"/>
        <v>n/a</v>
      </c>
      <c r="Z351" s="49" t="str">
        <f t="shared" si="11"/>
        <v>n/a</v>
      </c>
      <c r="AA351" s="44">
        <f>TAB_AMORTIZACAO_U[[#This Row],[V_PU_AMTC]]</f>
        <v>791.73256800000001</v>
      </c>
      <c r="AB351" s="44">
        <f>(TIR_C/100 +1)^(TAB_AMORTIZACAO_C[[#This Row],[DIAS_CORRIDOS]]/360)</f>
        <v>1.0690917033502627</v>
      </c>
      <c r="AC351" s="44">
        <f>IF(TAB_AMORTIZACAO_C[[#This Row],[DIAS_CORRIDOS]]&lt;0, 0, TAB_AMORTIZACAO_C[[#This Row],[V_FUT_C_PCPL]]/TAB_AMORTIZACAO_C[[#This Row],[VAR_DESCAP_C]])</f>
        <v>740.56562736284513</v>
      </c>
      <c r="AD351" s="115">
        <f>TAB_AMORTIZACAO_U[[#This Row],[V_FUT_U_PCPL-02]]</f>
        <v>521.81029727758801</v>
      </c>
      <c r="AE351" s="127">
        <f>IF(TAB_AMORTIZACAO_C[[#This Row],[DIAS_CORRIDOS]]&lt;0, 0, TAB_AMORTIZACAO_C[[#This Row],[V_FUT_UTEIS]]/TAB_AMORTIZACAO_C[[#This Row],[VAR_DESCAP_C]])</f>
        <v>488.08750048510024</v>
      </c>
      <c r="AF351" s="64"/>
    </row>
    <row r="352" spans="1:32">
      <c r="A352" s="82">
        <f t="shared" si="9"/>
        <v>34</v>
      </c>
      <c r="B352" s="24">
        <f>VLOOKUP($A352, CAD_AMORTIZACAO[#Data], MATCH(B$318, CAD_ATUALIZACAO[#Headers],0), FALSE)</f>
        <v>4</v>
      </c>
      <c r="C352" s="24" t="str">
        <f>VLOOKUP($A352, CAD_AMORTIZACAO[#Data], MATCH(C$318, CAD_ATUALIZACAO[#Headers],0), FALSE)</f>
        <v xml:space="preserve">AMORTIZACAO                                       </v>
      </c>
      <c r="D352" s="36">
        <f>VLOOKUP($A352, CAD_AMORTIZACAO[#Data], MATCH(D$318, CAD_ATUALIZACAO[#Headers],0), FALSE)</f>
        <v>43382</v>
      </c>
      <c r="E352" s="48">
        <f>VLOOKUP($A352, CAD_AMORTIZACAO[#Data], MATCH(E$318, CAD_ATUALIZACAO[#Headers],0), FALSE)</f>
        <v>810.72457999999995</v>
      </c>
      <c r="F352" s="36">
        <f>VLOOKUP($A352, CAD_AMORTIZACAO[#Data], MATCH(F$318, CAD_ATUALIZACAO[#Headers],0), FALSE)</f>
        <v>43388</v>
      </c>
      <c r="G352" s="47">
        <f>WORKDAY(WORKDAY(TAB_AMORTIZACAO_U[[#This Row],[DT_EVE]], -1, TAB_FERIADOS[FER_DATA]), 1, TAB_FERIADOS[FER_DATA])</f>
        <v>43382</v>
      </c>
      <c r="H352" s="75">
        <f>WORKDAY(WORKDAY(TAB_AMORTIZACAO_U[[#This Row],[DT_LQDC_EVE]], -1, TAB_FERIADOS[FER_DATA]), 1, TAB_FERIADOS[FER_DATA])</f>
        <v>43388</v>
      </c>
      <c r="I352" s="48">
        <f>PU_EMISSAO - SUMIF(TAB_AMORTIZACAO_U[dt_eve_u], "&lt;" &amp; TAB_AMORTIZACAO_U[[#This Row],[dt_eve_u]], TAB_AMORTIZACAO_U[V_PU_AMTC])</f>
        <v>70651.379570999998</v>
      </c>
      <c r="J352" s="48">
        <f>IFERROR(VLOOKUP(TAB_AMORTIZACAO_U[[#This Row],[DT_EVE]], TAB_AMORTIZACAO_U[[DT_EVE]:[V_PU_AMTC]], 2, FALSE), 0)</f>
        <v>810.72457999999995</v>
      </c>
      <c r="K352" s="48">
        <f>NETWORKDAYS(DT_CALCULO_U, TAB_AMORTIZACAO_U[[#This Row],[dt_eve_u]], TAB_FERIADOS[FER_DATA]) -1</f>
        <v>698</v>
      </c>
      <c r="L352" s="48">
        <f>NETWORKDAYS(DT_CALCULO_U, TAB_AMORTIZACAO_U[[#This Row],[dt_lqdc_eve_u]], TAB_FERIADOS[FER_DATA]) -1</f>
        <v>701</v>
      </c>
      <c r="M352" s="48">
        <f>NETWORKDAYS(IF(ISTEXT(G351), DT_B_CORC, G351), TAB_AMORTIZACAO_U[[#This Row],[dt_eve_u]], TAB_FERIADOS[FER_DATA]) -1</f>
        <v>20</v>
      </c>
      <c r="N352" s="78">
        <f>(TX_EMISSAO/100 +1)^(TAB_AMORTIZACAO_U[[#This Row],[dias_periodo_u]]/252)</f>
        <v>1.0019616526860928</v>
      </c>
      <c r="O352" s="78">
        <f>(TIR_U/100 +1)^(TAB_AMORTIZACAO_U[[#This Row],[Q_DIAS_U_PARC_TIR]]/252)</f>
        <v>1.0711105152409333</v>
      </c>
      <c r="P352" s="116" t="str">
        <f>"TX_CENARIO" &amp; TEXT(DT_CALCULO_C, "-AAAAMMDD") &amp; TEXT(TAB_AMORTIZACAO_U[[#This Row],[DT_EVE]], "-AAAAMMDD")</f>
        <v>TX_CENARIO-20151228-20181009</v>
      </c>
      <c r="Q352" s="44">
        <f>IFERROR(VLOOKUP(TAB_AMORTIZACAO_U[[#This Row],[Chave-CENARIO]],CENARIO[],2,FALSE), 0)</f>
        <v>16.653600000000001</v>
      </c>
      <c r="R352" s="117" t="str">
        <f t="shared" si="10"/>
        <v>n/a</v>
      </c>
      <c r="S352" s="49" t="str">
        <f t="shared" si="10"/>
        <v>n/a</v>
      </c>
      <c r="T352" s="78">
        <f>IF(TAB_AMORTIZACAO_U[[#This Row],[Q_DIAS_U_PARC_TIR]]&lt;0, 0, TAB_AMORTIZACAO_U[[#This Row],[PU_AMORT]])</f>
        <v>810.72457999999995</v>
      </c>
      <c r="U352" s="78">
        <f>MAX(0, TAB_AMORTIZACAO_U[[#This Row],[V_FUT_U_PCPL-01]]/((((TAB_AMORTIZACAO_U[[#This Row],[TX_CENARIO]]/100 +1)^(1/252) -1) * PC_IDXR/100 +1)^TAB_AMORTIZACAO_U[[#This Row],[Q_DIAS_U_PARC_TIR]]))</f>
        <v>528.17724682331232</v>
      </c>
      <c r="V352" s="78">
        <f>+TAB_AMORTIZACAO_U[[#This Row],[V_FUT_U_PCPL-02]]/TAB_AMORTIZACAO_U[[#This Row],[VAR_DESCAP_U]]</f>
        <v>493.11181181384001</v>
      </c>
      <c r="W352" s="78"/>
      <c r="X352" s="101">
        <f>TAB_AMORTIZACAO_U[[#This Row],[dt_eve_u]]- DT_CALCULO_C</f>
        <v>1016</v>
      </c>
      <c r="Y352" s="49" t="str">
        <f t="shared" si="11"/>
        <v>n/a</v>
      </c>
      <c r="Z352" s="49" t="str">
        <f t="shared" si="11"/>
        <v>n/a</v>
      </c>
      <c r="AA352" s="44">
        <f>TAB_AMORTIZACAO_U[[#This Row],[V_PU_AMTC]]</f>
        <v>810.72457999999995</v>
      </c>
      <c r="AB352" s="44">
        <f>(TIR_C/100 +1)^(TAB_AMORTIZACAO_C[[#This Row],[DIAS_CORRIDOS]]/360)</f>
        <v>1.0711178221553042</v>
      </c>
      <c r="AC352" s="44">
        <f>IF(TAB_AMORTIZACAO_C[[#This Row],[DIAS_CORRIDOS]]&lt;0, 0, TAB_AMORTIZACAO_C[[#This Row],[V_FUT_C_PCPL]]/TAB_AMORTIZACAO_C[[#This Row],[VAR_DESCAP_C]])</f>
        <v>756.89579916489424</v>
      </c>
      <c r="AD352" s="115">
        <f>TAB_AMORTIZACAO_U[[#This Row],[V_FUT_U_PCPL-02]]</f>
        <v>528.17724682331232</v>
      </c>
      <c r="AE352" s="127">
        <f>IF(TAB_AMORTIZACAO_C[[#This Row],[DIAS_CORRIDOS]]&lt;0, 0, TAB_AMORTIZACAO_C[[#This Row],[V_FUT_UTEIS]]/TAB_AMORTIZACAO_C[[#This Row],[VAR_DESCAP_C]])</f>
        <v>493.10844792080263</v>
      </c>
      <c r="AF352" s="64"/>
    </row>
    <row r="353" spans="1:32">
      <c r="A353" s="82">
        <f t="shared" si="9"/>
        <v>35</v>
      </c>
      <c r="B353" s="24">
        <f>VLOOKUP($A353, CAD_AMORTIZACAO[#Data], MATCH(B$318, CAD_ATUALIZACAO[#Headers],0), FALSE)</f>
        <v>4</v>
      </c>
      <c r="C353" s="24" t="str">
        <f>VLOOKUP($A353, CAD_AMORTIZACAO[#Data], MATCH(C$318, CAD_ATUALIZACAO[#Headers],0), FALSE)</f>
        <v xml:space="preserve">AMORTIZACAO                                       </v>
      </c>
      <c r="D353" s="36">
        <f>VLOOKUP($A353, CAD_AMORTIZACAO[#Data], MATCH(D$318, CAD_ATUALIZACAO[#Headers],0), FALSE)</f>
        <v>43416</v>
      </c>
      <c r="E353" s="48">
        <f>VLOOKUP($A353, CAD_AMORTIZACAO[#Data], MATCH(E$318, CAD_ATUALIZACAO[#Headers],0), FALSE)</f>
        <v>779.70107199999995</v>
      </c>
      <c r="F353" s="36">
        <f>VLOOKUP($A353, CAD_AMORTIZACAO[#Data], MATCH(F$318, CAD_ATUALIZACAO[#Headers],0), FALSE)</f>
        <v>43420</v>
      </c>
      <c r="G353" s="47">
        <f>WORKDAY(WORKDAY(TAB_AMORTIZACAO_U[[#This Row],[DT_EVE]], -1, TAB_FERIADOS[FER_DATA]), 1, TAB_FERIADOS[FER_DATA])</f>
        <v>43416</v>
      </c>
      <c r="H353" s="75">
        <f>WORKDAY(WORKDAY(TAB_AMORTIZACAO_U[[#This Row],[DT_LQDC_EVE]], -1, TAB_FERIADOS[FER_DATA]), 1, TAB_FERIADOS[FER_DATA])</f>
        <v>43420</v>
      </c>
      <c r="I353" s="48">
        <f>PU_EMISSAO - SUMIF(TAB_AMORTIZACAO_U[dt_eve_u], "&lt;" &amp; TAB_AMORTIZACAO_U[[#This Row],[dt_eve_u]], TAB_AMORTIZACAO_U[V_PU_AMTC])</f>
        <v>69840.654991000003</v>
      </c>
      <c r="J353" s="48">
        <f>IFERROR(VLOOKUP(TAB_AMORTIZACAO_U[[#This Row],[DT_EVE]], TAB_AMORTIZACAO_U[[DT_EVE]:[V_PU_AMTC]], 2, FALSE), 0)</f>
        <v>779.70107199999995</v>
      </c>
      <c r="K353" s="48">
        <f>NETWORKDAYS(DT_CALCULO_U, TAB_AMORTIZACAO_U[[#This Row],[dt_eve_u]], TAB_FERIADOS[FER_DATA]) -1</f>
        <v>720</v>
      </c>
      <c r="L353" s="48">
        <f>NETWORKDAYS(DT_CALCULO_U, TAB_AMORTIZACAO_U[[#This Row],[dt_lqdc_eve_u]], TAB_FERIADOS[FER_DATA]) -1</f>
        <v>723</v>
      </c>
      <c r="M353" s="48">
        <f>NETWORKDAYS(IF(ISTEXT(G352), DT_B_CORC, G352), TAB_AMORTIZACAO_U[[#This Row],[dt_eve_u]], TAB_FERIADOS[FER_DATA]) -1</f>
        <v>22</v>
      </c>
      <c r="N353" s="78">
        <f>(TX_EMISSAO/100 +1)^(TAB_AMORTIZACAO_U[[#This Row],[dias_periodo_u]]/252)</f>
        <v>1.0021580294747356</v>
      </c>
      <c r="O353" s="78">
        <f>(TIR_U/100 +1)^(TAB_AMORTIZACAO_U[[#This Row],[Q_DIAS_U_PARC_TIR]]/252)</f>
        <v>1.0734222525235957</v>
      </c>
      <c r="P353" s="116" t="str">
        <f>"TX_CENARIO" &amp; TEXT(DT_CALCULO_C, "-AAAAMMDD") &amp; TEXT(TAB_AMORTIZACAO_U[[#This Row],[DT_EVE]], "-AAAAMMDD")</f>
        <v>TX_CENARIO-20151228-20181112</v>
      </c>
      <c r="Q353" s="44">
        <f>IFERROR(VLOOKUP(TAB_AMORTIZACAO_U[[#This Row],[Chave-CENARIO]],CENARIO[],2,FALSE), 0)</f>
        <v>16.653500000000001</v>
      </c>
      <c r="R353" s="117" t="str">
        <f t="shared" si="10"/>
        <v>n/a</v>
      </c>
      <c r="S353" s="49" t="str">
        <f t="shared" si="10"/>
        <v>n/a</v>
      </c>
      <c r="T353" s="78">
        <f>IF(TAB_AMORTIZACAO_U[[#This Row],[Q_DIAS_U_PARC_TIR]]&lt;0, 0, TAB_AMORTIZACAO_U[[#This Row],[PU_AMORT]])</f>
        <v>779.70107199999995</v>
      </c>
      <c r="U353" s="78">
        <f>MAX(0, TAB_AMORTIZACAO_U[[#This Row],[V_FUT_U_PCPL-01]]/((((TAB_AMORTIZACAO_U[[#This Row],[TX_CENARIO]]/100 +1)^(1/252) -1) * PC_IDXR/100 +1)^TAB_AMORTIZACAO_U[[#This Row],[Q_DIAS_U_PARC_TIR]]))</f>
        <v>501.18173261386607</v>
      </c>
      <c r="V353" s="78">
        <f>+TAB_AMORTIZACAO_U[[#This Row],[V_FUT_U_PCPL-02]]/TAB_AMORTIZACAO_U[[#This Row],[VAR_DESCAP_U]]</f>
        <v>466.90082251937406</v>
      </c>
      <c r="W353" s="78"/>
      <c r="X353" s="101">
        <f>TAB_AMORTIZACAO_U[[#This Row],[dt_eve_u]]- DT_CALCULO_C</f>
        <v>1050</v>
      </c>
      <c r="Y353" s="49" t="str">
        <f t="shared" si="11"/>
        <v>n/a</v>
      </c>
      <c r="Z353" s="49" t="str">
        <f t="shared" si="11"/>
        <v>n/a</v>
      </c>
      <c r="AA353" s="44">
        <f>TAB_AMORTIZACAO_U[[#This Row],[V_PU_AMTC]]</f>
        <v>779.70107199999995</v>
      </c>
      <c r="AB353" s="44">
        <f>(TIR_C/100 +1)^(TAB_AMORTIZACAO_C[[#This Row],[DIAS_CORRIDOS]]/360)</f>
        <v>1.0735832722286729</v>
      </c>
      <c r="AC353" s="44">
        <f>IF(TAB_AMORTIZACAO_C[[#This Row],[DIAS_CORRIDOS]]&lt;0, 0, TAB_AMORTIZACAO_C[[#This Row],[V_FUT_C_PCPL]]/TAB_AMORTIZACAO_C[[#This Row],[VAR_DESCAP_C]])</f>
        <v>726.26045148915466</v>
      </c>
      <c r="AD353" s="115">
        <f>TAB_AMORTIZACAO_U[[#This Row],[V_FUT_U_PCPL-02]]</f>
        <v>501.18173261386607</v>
      </c>
      <c r="AE353" s="127">
        <f>IF(TAB_AMORTIZACAO_C[[#This Row],[DIAS_CORRIDOS]]&lt;0, 0, TAB_AMORTIZACAO_C[[#This Row],[V_FUT_UTEIS]]/TAB_AMORTIZACAO_C[[#This Row],[VAR_DESCAP_C]])</f>
        <v>466.83079513101291</v>
      </c>
      <c r="AF353" s="64"/>
    </row>
    <row r="354" spans="1:32">
      <c r="A354" s="82">
        <f t="shared" si="9"/>
        <v>36</v>
      </c>
      <c r="B354" s="24">
        <f>VLOOKUP($A354, CAD_AMORTIZACAO[#Data], MATCH(B$318, CAD_ATUALIZACAO[#Headers],0), FALSE)</f>
        <v>4</v>
      </c>
      <c r="C354" s="24" t="str">
        <f>VLOOKUP($A354, CAD_AMORTIZACAO[#Data], MATCH(C$318, CAD_ATUALIZACAO[#Headers],0), FALSE)</f>
        <v xml:space="preserve">AMORTIZACAO                                       </v>
      </c>
      <c r="D354" s="36">
        <f>VLOOKUP($A354, CAD_AMORTIZACAO[#Data], MATCH(D$318, CAD_ATUALIZACAO[#Headers],0), FALSE)</f>
        <v>43444</v>
      </c>
      <c r="E354" s="48">
        <f>VLOOKUP($A354, CAD_AMORTIZACAO[#Data], MATCH(E$318, CAD_ATUALIZACAO[#Headers],0), FALSE)</f>
        <v>784.25619200000006</v>
      </c>
      <c r="F354" s="36">
        <f>VLOOKUP($A354, CAD_AMORTIZACAO[#Data], MATCH(F$318, CAD_ATUALIZACAO[#Headers],0), FALSE)</f>
        <v>43448</v>
      </c>
      <c r="G354" s="47">
        <f>WORKDAY(WORKDAY(TAB_AMORTIZACAO_U[[#This Row],[DT_EVE]], -1, TAB_FERIADOS[FER_DATA]), 1, TAB_FERIADOS[FER_DATA])</f>
        <v>43444</v>
      </c>
      <c r="H354" s="75">
        <f>WORKDAY(WORKDAY(TAB_AMORTIZACAO_U[[#This Row],[DT_LQDC_EVE]], -1, TAB_FERIADOS[FER_DATA]), 1, TAB_FERIADOS[FER_DATA])</f>
        <v>43448</v>
      </c>
      <c r="I354" s="48">
        <f>PU_EMISSAO - SUMIF(TAB_AMORTIZACAO_U[dt_eve_u], "&lt;" &amp; TAB_AMORTIZACAO_U[[#This Row],[dt_eve_u]], TAB_AMORTIZACAO_U[V_PU_AMTC])</f>
        <v>69060.953919000007</v>
      </c>
      <c r="J354" s="48">
        <f>IFERROR(VLOOKUP(TAB_AMORTIZACAO_U[[#This Row],[DT_EVE]], TAB_AMORTIZACAO_U[[DT_EVE]:[V_PU_AMTC]], 2, FALSE), 0)</f>
        <v>784.25619200000006</v>
      </c>
      <c r="K354" s="48">
        <f>NETWORKDAYS(DT_CALCULO_U, TAB_AMORTIZACAO_U[[#This Row],[dt_eve_u]], TAB_FERIADOS[FER_DATA]) -1</f>
        <v>739</v>
      </c>
      <c r="L354" s="48">
        <f>NETWORKDAYS(DT_CALCULO_U, TAB_AMORTIZACAO_U[[#This Row],[dt_lqdc_eve_u]], TAB_FERIADOS[FER_DATA]) -1</f>
        <v>743</v>
      </c>
      <c r="M354" s="48">
        <f>NETWORKDAYS(IF(ISTEXT(G353), DT_B_CORC, G353), TAB_AMORTIZACAO_U[[#This Row],[dt_eve_u]], TAB_FERIADOS[FER_DATA]) -1</f>
        <v>19</v>
      </c>
      <c r="N354" s="78">
        <f>(TX_EMISSAO/100 +1)^(TAB_AMORTIZACAO_U[[#This Row],[dias_periodo_u]]/252)</f>
        <v>1.0018634787225431</v>
      </c>
      <c r="O354" s="78">
        <f>(TIR_U/100 +1)^(TAB_AMORTIZACAO_U[[#This Row],[Q_DIAS_U_PARC_TIR]]/252)</f>
        <v>1.0755281611767633</v>
      </c>
      <c r="P354" s="116" t="str">
        <f>"TX_CENARIO" &amp; TEXT(DT_CALCULO_C, "-AAAAMMDD") &amp; TEXT(TAB_AMORTIZACAO_U[[#This Row],[DT_EVE]], "-AAAAMMDD")</f>
        <v>TX_CENARIO-20151228-20181210</v>
      </c>
      <c r="Q354" s="44">
        <f>IFERROR(VLOOKUP(TAB_AMORTIZACAO_U[[#This Row],[Chave-CENARIO]],CENARIO[],2,FALSE), 0)</f>
        <v>16.653400000000001</v>
      </c>
      <c r="R354" s="117" t="str">
        <f t="shared" si="10"/>
        <v>n/a</v>
      </c>
      <c r="S354" s="49" t="str">
        <f t="shared" si="10"/>
        <v>n/a</v>
      </c>
      <c r="T354" s="78">
        <f>IF(TAB_AMORTIZACAO_U[[#This Row],[Q_DIAS_U_PARC_TIR]]&lt;0, 0, TAB_AMORTIZACAO_U[[#This Row],[PU_AMORT]])</f>
        <v>784.25619200000006</v>
      </c>
      <c r="U354" s="78">
        <f>MAX(0, TAB_AMORTIZACAO_U[[#This Row],[V_FUT_U_PCPL-01]]/((((TAB_AMORTIZACAO_U[[#This Row],[TX_CENARIO]]/100 +1)^(1/252) -1) * PC_IDXR/100 +1)^TAB_AMORTIZACAO_U[[#This Row],[Q_DIAS_U_PARC_TIR]]))</f>
        <v>497.98562757536411</v>
      </c>
      <c r="V354" s="78">
        <f>+TAB_AMORTIZACAO_U[[#This Row],[V_FUT_U_PCPL-02]]/TAB_AMORTIZACAO_U[[#This Row],[VAR_DESCAP_U]]</f>
        <v>463.01495911599852</v>
      </c>
      <c r="W354" s="78"/>
      <c r="X354" s="101">
        <f>TAB_AMORTIZACAO_U[[#This Row],[dt_eve_u]]- DT_CALCULO_C</f>
        <v>1078</v>
      </c>
      <c r="Y354" s="49" t="str">
        <f t="shared" si="11"/>
        <v>n/a</v>
      </c>
      <c r="Z354" s="49" t="str">
        <f t="shared" si="11"/>
        <v>n/a</v>
      </c>
      <c r="AA354" s="44">
        <f>TAB_AMORTIZACAO_U[[#This Row],[V_PU_AMTC]]</f>
        <v>784.25619200000006</v>
      </c>
      <c r="AB354" s="44">
        <f>(TIR_C/100 +1)^(TAB_AMORTIZACAO_C[[#This Row],[DIAS_CORRIDOS]]/360)</f>
        <v>1.0756179033550992</v>
      </c>
      <c r="AC354" s="44">
        <f>IF(TAB_AMORTIZACAO_C[[#This Row],[DIAS_CORRIDOS]]&lt;0, 0, TAB_AMORTIZACAO_C[[#This Row],[V_FUT_C_PCPL]]/TAB_AMORTIZACAO_C[[#This Row],[VAR_DESCAP_C]])</f>
        <v>729.12154916139355</v>
      </c>
      <c r="AD354" s="115">
        <f>TAB_AMORTIZACAO_U[[#This Row],[V_FUT_U_PCPL-02]]</f>
        <v>497.98562757536411</v>
      </c>
      <c r="AE354" s="127">
        <f>IF(TAB_AMORTIZACAO_C[[#This Row],[DIAS_CORRIDOS]]&lt;0, 0, TAB_AMORTIZACAO_C[[#This Row],[V_FUT_UTEIS]]/TAB_AMORTIZACAO_C[[#This Row],[VAR_DESCAP_C]])</f>
        <v>462.97632832442878</v>
      </c>
      <c r="AF354" s="64"/>
    </row>
    <row r="355" spans="1:32">
      <c r="A355" s="82">
        <f t="shared" si="9"/>
        <v>37</v>
      </c>
      <c r="B355" s="24">
        <f>VLOOKUP($A355, CAD_AMORTIZACAO[#Data], MATCH(B$318, CAD_ATUALIZACAO[#Headers],0), FALSE)</f>
        <v>4</v>
      </c>
      <c r="C355" s="24" t="str">
        <f>VLOOKUP($A355, CAD_AMORTIZACAO[#Data], MATCH(C$318, CAD_ATUALIZACAO[#Headers],0), FALSE)</f>
        <v xml:space="preserve">AMORTIZACAO                                       </v>
      </c>
      <c r="D355" s="36">
        <f>VLOOKUP($A355, CAD_AMORTIZACAO[#Data], MATCH(D$318, CAD_ATUALIZACAO[#Headers],0), FALSE)</f>
        <v>43474</v>
      </c>
      <c r="E355" s="48">
        <f>VLOOKUP($A355, CAD_AMORTIZACAO[#Data], MATCH(E$318, CAD_ATUALIZACAO[#Headers],0), FALSE)</f>
        <v>843.08066299999996</v>
      </c>
      <c r="F355" s="36">
        <f>VLOOKUP($A355, CAD_AMORTIZACAO[#Data], MATCH(F$318, CAD_ATUALIZACAO[#Headers],0), FALSE)</f>
        <v>43480</v>
      </c>
      <c r="G355" s="47">
        <f>WORKDAY(WORKDAY(TAB_AMORTIZACAO_U[[#This Row],[DT_EVE]], -1, TAB_FERIADOS[FER_DATA]), 1, TAB_FERIADOS[FER_DATA])</f>
        <v>43474</v>
      </c>
      <c r="H355" s="75">
        <f>WORKDAY(WORKDAY(TAB_AMORTIZACAO_U[[#This Row],[DT_LQDC_EVE]], -1, TAB_FERIADOS[FER_DATA]), 1, TAB_FERIADOS[FER_DATA])</f>
        <v>43480</v>
      </c>
      <c r="I355" s="48">
        <f>PU_EMISSAO - SUMIF(TAB_AMORTIZACAO_U[dt_eve_u], "&lt;" &amp; TAB_AMORTIZACAO_U[[#This Row],[dt_eve_u]], TAB_AMORTIZACAO_U[V_PU_AMTC])</f>
        <v>68276.697727000006</v>
      </c>
      <c r="J355" s="48">
        <f>IFERROR(VLOOKUP(TAB_AMORTIZACAO_U[[#This Row],[DT_EVE]], TAB_AMORTIZACAO_U[[DT_EVE]:[V_PU_AMTC]], 2, FALSE), 0)</f>
        <v>843.08066299999996</v>
      </c>
      <c r="K355" s="48">
        <f>NETWORKDAYS(DT_CALCULO_U, TAB_AMORTIZACAO_U[[#This Row],[dt_eve_u]], TAB_FERIADOS[FER_DATA]) -1</f>
        <v>759</v>
      </c>
      <c r="L355" s="48">
        <f>NETWORKDAYS(DT_CALCULO_U, TAB_AMORTIZACAO_U[[#This Row],[dt_lqdc_eve_u]], TAB_FERIADOS[FER_DATA]) -1</f>
        <v>763</v>
      </c>
      <c r="M355" s="48">
        <f>NETWORKDAYS(IF(ISTEXT(G354), DT_B_CORC, G354), TAB_AMORTIZACAO_U[[#This Row],[dt_eve_u]], TAB_FERIADOS[FER_DATA]) -1</f>
        <v>20</v>
      </c>
      <c r="N355" s="78">
        <f>(TX_EMISSAO/100 +1)^(TAB_AMORTIZACAO_U[[#This Row],[dias_periodo_u]]/252)</f>
        <v>1.0019616526860928</v>
      </c>
      <c r="O355" s="78">
        <f>(TIR_U/100 +1)^(TAB_AMORTIZACAO_U[[#This Row],[Q_DIAS_U_PARC_TIR]]/252)</f>
        <v>1.0776382013366563</v>
      </c>
      <c r="P355" s="116" t="str">
        <f>"TX_CENARIO" &amp; TEXT(DT_CALCULO_C, "-AAAAMMDD") &amp; TEXT(TAB_AMORTIZACAO_U[[#This Row],[DT_EVE]], "-AAAAMMDD")</f>
        <v>TX_CENARIO-20151228-20190109</v>
      </c>
      <c r="Q355" s="44">
        <f>IFERROR(VLOOKUP(TAB_AMORTIZACAO_U[[#This Row],[Chave-CENARIO]],CENARIO[],2,FALSE), 0)</f>
        <v>16.655100000000001</v>
      </c>
      <c r="R355" s="117" t="str">
        <f t="shared" si="10"/>
        <v>n/a</v>
      </c>
      <c r="S355" s="49" t="str">
        <f t="shared" si="10"/>
        <v>n/a</v>
      </c>
      <c r="T355" s="78">
        <f>IF(TAB_AMORTIZACAO_U[[#This Row],[Q_DIAS_U_PARC_TIR]]&lt;0, 0, TAB_AMORTIZACAO_U[[#This Row],[PU_AMORT]])</f>
        <v>843.08066299999996</v>
      </c>
      <c r="U355" s="78">
        <f>MAX(0, TAB_AMORTIZACAO_U[[#This Row],[V_FUT_U_PCPL-01]]/((((TAB_AMORTIZACAO_U[[#This Row],[TX_CENARIO]]/100 +1)^(1/252) -1) * PC_IDXR/100 +1)^TAB_AMORTIZACAO_U[[#This Row],[Q_DIAS_U_PARC_TIR]]))</f>
        <v>528.80980676318723</v>
      </c>
      <c r="V355" s="78">
        <f>+TAB_AMORTIZACAO_U[[#This Row],[V_FUT_U_PCPL-02]]/TAB_AMORTIZACAO_U[[#This Row],[VAR_DESCAP_U]]</f>
        <v>490.71182341835521</v>
      </c>
      <c r="W355" s="78"/>
      <c r="X355" s="101">
        <f>TAB_AMORTIZACAO_U[[#This Row],[dt_eve_u]]- DT_CALCULO_C</f>
        <v>1108</v>
      </c>
      <c r="Y355" s="49" t="str">
        <f t="shared" si="11"/>
        <v>n/a</v>
      </c>
      <c r="Z355" s="49" t="str">
        <f t="shared" si="11"/>
        <v>n/a</v>
      </c>
      <c r="AA355" s="44">
        <f>TAB_AMORTIZACAO_U[[#This Row],[V_PU_AMTC]]</f>
        <v>843.08066299999996</v>
      </c>
      <c r="AB355" s="44">
        <f>(TIR_C/100 +1)^(TAB_AMORTIZACAO_C[[#This Row],[DIAS_CORRIDOS]]/360)</f>
        <v>1.0778021444351347</v>
      </c>
      <c r="AC355" s="44">
        <f>IF(TAB_AMORTIZACAO_C[[#This Row],[DIAS_CORRIDOS]]&lt;0, 0, TAB_AMORTIZACAO_C[[#This Row],[V_FUT_C_PCPL]]/TAB_AMORTIZACAO_C[[#This Row],[VAR_DESCAP_C]])</f>
        <v>782.22210574822168</v>
      </c>
      <c r="AD355" s="115">
        <f>TAB_AMORTIZACAO_U[[#This Row],[V_FUT_U_PCPL-02]]</f>
        <v>528.80980676318723</v>
      </c>
      <c r="AE355" s="127">
        <f>IF(TAB_AMORTIZACAO_C[[#This Row],[DIAS_CORRIDOS]]&lt;0, 0, TAB_AMORTIZACAO_C[[#This Row],[V_FUT_UTEIS]]/TAB_AMORTIZACAO_C[[#This Row],[VAR_DESCAP_C]])</f>
        <v>490.63718187379482</v>
      </c>
      <c r="AF355" s="64"/>
    </row>
    <row r="356" spans="1:32">
      <c r="A356" s="82">
        <f t="shared" si="9"/>
        <v>38</v>
      </c>
      <c r="B356" s="24">
        <f>VLOOKUP($A356, CAD_AMORTIZACAO[#Data], MATCH(B$318, CAD_ATUALIZACAO[#Headers],0), FALSE)</f>
        <v>4</v>
      </c>
      <c r="C356" s="24" t="str">
        <f>VLOOKUP($A356, CAD_AMORTIZACAO[#Data], MATCH(C$318, CAD_ATUALIZACAO[#Headers],0), FALSE)</f>
        <v xml:space="preserve">AMORTIZACAO                                       </v>
      </c>
      <c r="D356" s="36">
        <f>VLOOKUP($A356, CAD_AMORTIZACAO[#Data], MATCH(D$318, CAD_ATUALIZACAO[#Headers],0), FALSE)</f>
        <v>43504</v>
      </c>
      <c r="E356" s="48">
        <f>VLOOKUP($A356, CAD_AMORTIZACAO[#Data], MATCH(E$318, CAD_ATUALIZACAO[#Headers],0), FALSE)</f>
        <v>819.45331399999998</v>
      </c>
      <c r="F356" s="36">
        <f>VLOOKUP($A356, CAD_AMORTIZACAO[#Data], MATCH(F$318, CAD_ATUALIZACAO[#Headers],0), FALSE)</f>
        <v>43510</v>
      </c>
      <c r="G356" s="47">
        <f>WORKDAY(WORKDAY(TAB_AMORTIZACAO_U[[#This Row],[DT_EVE]], -1, TAB_FERIADOS[FER_DATA]), 1, TAB_FERIADOS[FER_DATA])</f>
        <v>43504</v>
      </c>
      <c r="H356" s="75">
        <f>WORKDAY(WORKDAY(TAB_AMORTIZACAO_U[[#This Row],[DT_LQDC_EVE]], -1, TAB_FERIADOS[FER_DATA]), 1, TAB_FERIADOS[FER_DATA])</f>
        <v>43510</v>
      </c>
      <c r="I356" s="48">
        <f>PU_EMISSAO - SUMIF(TAB_AMORTIZACAO_U[dt_eve_u], "&lt;" &amp; TAB_AMORTIZACAO_U[[#This Row],[dt_eve_u]], TAB_AMORTIZACAO_U[V_PU_AMTC])</f>
        <v>67433.617064000005</v>
      </c>
      <c r="J356" s="48">
        <f>IFERROR(VLOOKUP(TAB_AMORTIZACAO_U[[#This Row],[DT_EVE]], TAB_AMORTIZACAO_U[[DT_EVE]:[V_PU_AMTC]], 2, FALSE), 0)</f>
        <v>819.45331399999998</v>
      </c>
      <c r="K356" s="48">
        <f>NETWORKDAYS(DT_CALCULO_U, TAB_AMORTIZACAO_U[[#This Row],[dt_eve_u]], TAB_FERIADOS[FER_DATA]) -1</f>
        <v>781</v>
      </c>
      <c r="L356" s="48">
        <f>NETWORKDAYS(DT_CALCULO_U, TAB_AMORTIZACAO_U[[#This Row],[dt_lqdc_eve_u]], TAB_FERIADOS[FER_DATA]) -1</f>
        <v>785</v>
      </c>
      <c r="M356" s="48">
        <f>NETWORKDAYS(IF(ISTEXT(G355), DT_B_CORC, G355), TAB_AMORTIZACAO_U[[#This Row],[dt_eve_u]], TAB_FERIADOS[FER_DATA]) -1</f>
        <v>22</v>
      </c>
      <c r="N356" s="78">
        <f>(TX_EMISSAO/100 +1)^(TAB_AMORTIZACAO_U[[#This Row],[dias_periodo_u]]/252)</f>
        <v>1.0021580294747356</v>
      </c>
      <c r="O356" s="78">
        <f>(TIR_U/100 +1)^(TAB_AMORTIZACAO_U[[#This Row],[Q_DIAS_U_PARC_TIR]]/252)</f>
        <v>1.0799640270771413</v>
      </c>
      <c r="P356" s="116" t="str">
        <f>"TX_CENARIO" &amp; TEXT(DT_CALCULO_C, "-AAAAMMDD") &amp; TEXT(TAB_AMORTIZACAO_U[[#This Row],[DT_EVE]], "-AAAAMMDD")</f>
        <v>TX_CENARIO-20151228-20190208</v>
      </c>
      <c r="Q356" s="44">
        <f>IFERROR(VLOOKUP(TAB_AMORTIZACAO_U[[#This Row],[Chave-CENARIO]],CENARIO[],2,FALSE), 0)</f>
        <v>16.658999999999999</v>
      </c>
      <c r="R356" s="117" t="str">
        <f t="shared" si="10"/>
        <v>n/a</v>
      </c>
      <c r="S356" s="49" t="str">
        <f t="shared" si="10"/>
        <v>n/a</v>
      </c>
      <c r="T356" s="78">
        <f>IF(TAB_AMORTIZACAO_U[[#This Row],[Q_DIAS_U_PARC_TIR]]&lt;0, 0, TAB_AMORTIZACAO_U[[#This Row],[PU_AMORT]])</f>
        <v>819.45331399999998</v>
      </c>
      <c r="U356" s="78">
        <f>MAX(0, TAB_AMORTIZACAO_U[[#This Row],[V_FUT_U_PCPL-01]]/((((TAB_AMORTIZACAO_U[[#This Row],[TX_CENARIO]]/100 +1)^(1/252) -1) * PC_IDXR/100 +1)^TAB_AMORTIZACAO_U[[#This Row],[Q_DIAS_U_PARC_TIR]]))</f>
        <v>507.07074876776898</v>
      </c>
      <c r="V356" s="78">
        <f>+TAB_AMORTIZACAO_U[[#This Row],[V_FUT_U_PCPL-02]]/TAB_AMORTIZACAO_U[[#This Row],[VAR_DESCAP_U]]</f>
        <v>469.52559164412719</v>
      </c>
      <c r="W356" s="78"/>
      <c r="X356" s="101">
        <f>TAB_AMORTIZACAO_U[[#This Row],[dt_eve_u]]- DT_CALCULO_C</f>
        <v>1138</v>
      </c>
      <c r="Y356" s="49" t="str">
        <f t="shared" si="11"/>
        <v>n/a</v>
      </c>
      <c r="Z356" s="49" t="str">
        <f t="shared" si="11"/>
        <v>n/a</v>
      </c>
      <c r="AA356" s="44">
        <f>TAB_AMORTIZACAO_U[[#This Row],[V_PU_AMTC]]</f>
        <v>819.45331399999998</v>
      </c>
      <c r="AB356" s="44">
        <f>(TIR_C/100 +1)^(TAB_AMORTIZACAO_C[[#This Row],[DIAS_CORRIDOS]]/360)</f>
        <v>1.0799908210206415</v>
      </c>
      <c r="AC356" s="44">
        <f>IF(TAB_AMORTIZACAO_C[[#This Row],[DIAS_CORRIDOS]]&lt;0, 0, TAB_AMORTIZACAO_C[[#This Row],[V_FUT_C_PCPL]]/TAB_AMORTIZACAO_C[[#This Row],[VAR_DESCAP_C]])</f>
        <v>758.75951725735831</v>
      </c>
      <c r="AD356" s="115">
        <f>TAB_AMORTIZACAO_U[[#This Row],[V_FUT_U_PCPL-02]]</f>
        <v>507.07074876776898</v>
      </c>
      <c r="AE356" s="127">
        <f>IF(TAB_AMORTIZACAO_C[[#This Row],[DIAS_CORRIDOS]]&lt;0, 0, TAB_AMORTIZACAO_C[[#This Row],[V_FUT_UTEIS]]/TAB_AMORTIZACAO_C[[#This Row],[VAR_DESCAP_C]])</f>
        <v>469.51394298755577</v>
      </c>
      <c r="AF356" s="64"/>
    </row>
    <row r="357" spans="1:32">
      <c r="A357" s="82">
        <f t="shared" si="9"/>
        <v>39</v>
      </c>
      <c r="B357" s="24">
        <f>VLOOKUP($A357, CAD_AMORTIZACAO[#Data], MATCH(B$318, CAD_ATUALIZACAO[#Headers],0), FALSE)</f>
        <v>4</v>
      </c>
      <c r="C357" s="24" t="str">
        <f>VLOOKUP($A357, CAD_AMORTIZACAO[#Data], MATCH(C$318, CAD_ATUALIZACAO[#Headers],0), FALSE)</f>
        <v xml:space="preserve">AMORTIZACAO                                       </v>
      </c>
      <c r="D357" s="36">
        <f>VLOOKUP($A357, CAD_AMORTIZACAO[#Data], MATCH(D$318, CAD_ATUALIZACAO[#Headers],0), FALSE)</f>
        <v>43536</v>
      </c>
      <c r="E357" s="48">
        <f>VLOOKUP($A357, CAD_AMORTIZACAO[#Data], MATCH(E$318, CAD_ATUALIZACAO[#Headers],0), FALSE)</f>
        <v>823.817363</v>
      </c>
      <c r="F357" s="36">
        <f>VLOOKUP($A357, CAD_AMORTIZACAO[#Data], MATCH(F$318, CAD_ATUALIZACAO[#Headers],0), FALSE)</f>
        <v>43542</v>
      </c>
      <c r="G357" s="47">
        <f>WORKDAY(WORKDAY(TAB_AMORTIZACAO_U[[#This Row],[DT_EVE]], -1, TAB_FERIADOS[FER_DATA]), 1, TAB_FERIADOS[FER_DATA])</f>
        <v>43536</v>
      </c>
      <c r="H357" s="75">
        <f>WORKDAY(WORKDAY(TAB_AMORTIZACAO_U[[#This Row],[DT_LQDC_EVE]], -1, TAB_FERIADOS[FER_DATA]), 1, TAB_FERIADOS[FER_DATA])</f>
        <v>43542</v>
      </c>
      <c r="I357" s="48">
        <f>PU_EMISSAO - SUMIF(TAB_AMORTIZACAO_U[dt_eve_u], "&lt;" &amp; TAB_AMORTIZACAO_U[[#This Row],[dt_eve_u]], TAB_AMORTIZACAO_U[V_PU_AMTC])</f>
        <v>66614.163750000007</v>
      </c>
      <c r="J357" s="48">
        <f>IFERROR(VLOOKUP(TAB_AMORTIZACAO_U[[#This Row],[DT_EVE]], TAB_AMORTIZACAO_U[[DT_EVE]:[V_PU_AMTC]], 2, FALSE), 0)</f>
        <v>823.817363</v>
      </c>
      <c r="K357" s="48">
        <f>NETWORKDAYS(DT_CALCULO_U, TAB_AMORTIZACAO_U[[#This Row],[dt_eve_u]], TAB_FERIADOS[FER_DATA]) -1</f>
        <v>801</v>
      </c>
      <c r="L357" s="48">
        <f>NETWORKDAYS(DT_CALCULO_U, TAB_AMORTIZACAO_U[[#This Row],[dt_lqdc_eve_u]], TAB_FERIADOS[FER_DATA]) -1</f>
        <v>805</v>
      </c>
      <c r="M357" s="48">
        <f>NETWORKDAYS(IF(ISTEXT(G356), DT_B_CORC, G356), TAB_AMORTIZACAO_U[[#This Row],[dt_eve_u]], TAB_FERIADOS[FER_DATA]) -1</f>
        <v>20</v>
      </c>
      <c r="N357" s="78">
        <f>(TX_EMISSAO/100 +1)^(TAB_AMORTIZACAO_U[[#This Row],[dias_periodo_u]]/252)</f>
        <v>1.0019616526860928</v>
      </c>
      <c r="O357" s="78">
        <f>(TIR_U/100 +1)^(TAB_AMORTIZACAO_U[[#This Row],[Q_DIAS_U_PARC_TIR]]/252)</f>
        <v>1.0820827698033932</v>
      </c>
      <c r="P357" s="116" t="str">
        <f>"TX_CENARIO" &amp; TEXT(DT_CALCULO_C, "-AAAAMMDD") &amp; TEXT(TAB_AMORTIZACAO_U[[#This Row],[DT_EVE]], "-AAAAMMDD")</f>
        <v>TX_CENARIO-20151228-20190312</v>
      </c>
      <c r="Q357" s="44">
        <f>IFERROR(VLOOKUP(TAB_AMORTIZACAO_U[[#This Row],[Chave-CENARIO]],CENARIO[],2,FALSE), 0)</f>
        <v>16.662500000000001</v>
      </c>
      <c r="R357" s="117" t="str">
        <f t="shared" si="10"/>
        <v>n/a</v>
      </c>
      <c r="S357" s="49" t="str">
        <f t="shared" si="10"/>
        <v>n/a</v>
      </c>
      <c r="T357" s="78">
        <f>IF(TAB_AMORTIZACAO_U[[#This Row],[Q_DIAS_U_PARC_TIR]]&lt;0, 0, TAB_AMORTIZACAO_U[[#This Row],[PU_AMORT]])</f>
        <v>823.817363</v>
      </c>
      <c r="U357" s="78">
        <f>MAX(0, TAB_AMORTIZACAO_U[[#This Row],[V_FUT_U_PCPL-01]]/((((TAB_AMORTIZACAO_U[[#This Row],[TX_CENARIO]]/100 +1)^(1/252) -1) * PC_IDXR/100 +1)^TAB_AMORTIZACAO_U[[#This Row],[Q_DIAS_U_PARC_TIR]]))</f>
        <v>503.52691425256791</v>
      </c>
      <c r="V357" s="78">
        <f>+TAB_AMORTIZACAO_U[[#This Row],[V_FUT_U_PCPL-02]]/TAB_AMORTIZACAO_U[[#This Row],[VAR_DESCAP_U]]</f>
        <v>465.33123740992119</v>
      </c>
      <c r="W357" s="78"/>
      <c r="X357" s="101">
        <f>TAB_AMORTIZACAO_U[[#This Row],[dt_eve_u]]- DT_CALCULO_C</f>
        <v>1170</v>
      </c>
      <c r="Y357" s="49" t="str">
        <f t="shared" si="11"/>
        <v>n/a</v>
      </c>
      <c r="Z357" s="49" t="str">
        <f t="shared" si="11"/>
        <v>n/a</v>
      </c>
      <c r="AA357" s="44">
        <f>TAB_AMORTIZACAO_U[[#This Row],[V_PU_AMTC]]</f>
        <v>823.817363</v>
      </c>
      <c r="AB357" s="44">
        <f>(TIR_C/100 +1)^(TAB_AMORTIZACAO_C[[#This Row],[DIAS_CORRIDOS]]/360)</f>
        <v>1.0823303084400167</v>
      </c>
      <c r="AC357" s="44">
        <f>IF(TAB_AMORTIZACAO_C[[#This Row],[DIAS_CORRIDOS]]&lt;0, 0, TAB_AMORTIZACAO_C[[#This Row],[V_FUT_C_PCPL]]/TAB_AMORTIZACAO_C[[#This Row],[VAR_DESCAP_C]])</f>
        <v>761.15152331581999</v>
      </c>
      <c r="AD357" s="115">
        <f>TAB_AMORTIZACAO_U[[#This Row],[V_FUT_U_PCPL-02]]</f>
        <v>503.52691425256791</v>
      </c>
      <c r="AE357" s="127">
        <f>IF(TAB_AMORTIZACAO_C[[#This Row],[DIAS_CORRIDOS]]&lt;0, 0, TAB_AMORTIZACAO_C[[#This Row],[V_FUT_UTEIS]]/TAB_AMORTIZACAO_C[[#This Row],[VAR_DESCAP_C]])</f>
        <v>465.22481198767395</v>
      </c>
      <c r="AF357" s="64"/>
    </row>
    <row r="358" spans="1:32">
      <c r="A358" s="82">
        <f t="shared" si="9"/>
        <v>40</v>
      </c>
      <c r="B358" s="24">
        <f>VLOOKUP($A358, CAD_AMORTIZACAO[#Data], MATCH(B$318, CAD_ATUALIZACAO[#Headers],0), FALSE)</f>
        <v>4</v>
      </c>
      <c r="C358" s="24" t="str">
        <f>VLOOKUP($A358, CAD_AMORTIZACAO[#Data], MATCH(C$318, CAD_ATUALIZACAO[#Headers],0), FALSE)</f>
        <v xml:space="preserve">AMORTIZACAO                                       </v>
      </c>
      <c r="D358" s="36">
        <f>VLOOKUP($A358, CAD_AMORTIZACAO[#Data], MATCH(D$318, CAD_ATUALIZACAO[#Headers],0), FALSE)</f>
        <v>43563</v>
      </c>
      <c r="E358" s="48">
        <f>VLOOKUP($A358, CAD_AMORTIZACAO[#Data], MATCH(E$318, CAD_ATUALIZACAO[#Headers],0), FALSE)</f>
        <v>821.52405499999998</v>
      </c>
      <c r="F358" s="36">
        <f>VLOOKUP($A358, CAD_AMORTIZACAO[#Data], MATCH(F$318, CAD_ATUALIZACAO[#Headers],0), FALSE)</f>
        <v>43567</v>
      </c>
      <c r="G358" s="47">
        <f>WORKDAY(WORKDAY(TAB_AMORTIZACAO_U[[#This Row],[DT_EVE]], -1, TAB_FERIADOS[FER_DATA]), 1, TAB_FERIADOS[FER_DATA])</f>
        <v>43563</v>
      </c>
      <c r="H358" s="75">
        <f>WORKDAY(WORKDAY(TAB_AMORTIZACAO_U[[#This Row],[DT_LQDC_EVE]], -1, TAB_FERIADOS[FER_DATA]), 1, TAB_FERIADOS[FER_DATA])</f>
        <v>43567</v>
      </c>
      <c r="I358" s="48">
        <f>PU_EMISSAO - SUMIF(TAB_AMORTIZACAO_U[dt_eve_u], "&lt;" &amp; TAB_AMORTIZACAO_U[[#This Row],[dt_eve_u]], TAB_AMORTIZACAO_U[V_PU_AMTC])</f>
        <v>65790.346386999998</v>
      </c>
      <c r="J358" s="48">
        <f>IFERROR(VLOOKUP(TAB_AMORTIZACAO_U[[#This Row],[DT_EVE]], TAB_AMORTIZACAO_U[[DT_EVE]:[V_PU_AMTC]], 2, FALSE), 0)</f>
        <v>821.52405499999998</v>
      </c>
      <c r="K358" s="48">
        <f>NETWORKDAYS(DT_CALCULO_U, TAB_AMORTIZACAO_U[[#This Row],[dt_eve_u]], TAB_FERIADOS[FER_DATA]) -1</f>
        <v>820</v>
      </c>
      <c r="L358" s="48">
        <f>NETWORKDAYS(DT_CALCULO_U, TAB_AMORTIZACAO_U[[#This Row],[dt_lqdc_eve_u]], TAB_FERIADOS[FER_DATA]) -1</f>
        <v>824</v>
      </c>
      <c r="M358" s="48">
        <f>NETWORKDAYS(IF(ISTEXT(G357), DT_B_CORC, G357), TAB_AMORTIZACAO_U[[#This Row],[dt_eve_u]], TAB_FERIADOS[FER_DATA]) -1</f>
        <v>19</v>
      </c>
      <c r="N358" s="78">
        <f>(TX_EMISSAO/100 +1)^(TAB_AMORTIZACAO_U[[#This Row],[dias_periodo_u]]/252)</f>
        <v>1.0018634787225431</v>
      </c>
      <c r="O358" s="78">
        <f>(TIR_U/100 +1)^(TAB_AMORTIZACAO_U[[#This Row],[Q_DIAS_U_PARC_TIR]]/252)</f>
        <v>1.0840994253973897</v>
      </c>
      <c r="P358" s="116" t="str">
        <f>"TX_CENARIO" &amp; TEXT(DT_CALCULO_C, "-AAAAMMDD") &amp; TEXT(TAB_AMORTIZACAO_U[[#This Row],[DT_EVE]], "-AAAAMMDD")</f>
        <v>TX_CENARIO-20151228-20190408</v>
      </c>
      <c r="Q358" s="44">
        <f>IFERROR(VLOOKUP(TAB_AMORTIZACAO_U[[#This Row],[Chave-CENARIO]],CENARIO[],2,FALSE), 0)</f>
        <v>16.665500000000002</v>
      </c>
      <c r="R358" s="117" t="str">
        <f t="shared" si="10"/>
        <v>n/a</v>
      </c>
      <c r="S358" s="49" t="str">
        <f t="shared" si="10"/>
        <v>n/a</v>
      </c>
      <c r="T358" s="78">
        <f>IF(TAB_AMORTIZACAO_U[[#This Row],[Q_DIAS_U_PARC_TIR]]&lt;0, 0, TAB_AMORTIZACAO_U[[#This Row],[PU_AMORT]])</f>
        <v>821.52405499999998</v>
      </c>
      <c r="U358" s="78">
        <f>MAX(0, TAB_AMORTIZACAO_U[[#This Row],[V_FUT_U_PCPL-01]]/((((TAB_AMORTIZACAO_U[[#This Row],[TX_CENARIO]]/100 +1)^(1/252) -1) * PC_IDXR/100 +1)^TAB_AMORTIZACAO_U[[#This Row],[Q_DIAS_U_PARC_TIR]]))</f>
        <v>496.28266958584345</v>
      </c>
      <c r="V358" s="78">
        <f>+TAB_AMORTIZACAO_U[[#This Row],[V_FUT_U_PCPL-02]]/TAB_AMORTIZACAO_U[[#This Row],[VAR_DESCAP_U]]</f>
        <v>457.78335266982094</v>
      </c>
      <c r="W358" s="78"/>
      <c r="X358" s="101">
        <f>TAB_AMORTIZACAO_U[[#This Row],[dt_eve_u]]- DT_CALCULO_C</f>
        <v>1197</v>
      </c>
      <c r="Y358" s="49" t="str">
        <f t="shared" si="11"/>
        <v>n/a</v>
      </c>
      <c r="Z358" s="49" t="str">
        <f t="shared" si="11"/>
        <v>n/a</v>
      </c>
      <c r="AA358" s="44">
        <f>TAB_AMORTIZACAO_U[[#This Row],[V_PU_AMTC]]</f>
        <v>821.52405499999998</v>
      </c>
      <c r="AB358" s="44">
        <f>(TIR_C/100 +1)^(TAB_AMORTIZACAO_C[[#This Row],[DIAS_CORRIDOS]]/360)</f>
        <v>1.0843081924200355</v>
      </c>
      <c r="AC358" s="44">
        <f>IF(TAB_AMORTIZACAO_C[[#This Row],[DIAS_CORRIDOS]]&lt;0, 0, TAB_AMORTIZACAO_C[[#This Row],[V_FUT_C_PCPL]]/TAB_AMORTIZACAO_C[[#This Row],[VAR_DESCAP_C]])</f>
        <v>757.64811217230101</v>
      </c>
      <c r="AD358" s="115">
        <f>TAB_AMORTIZACAO_U[[#This Row],[V_FUT_U_PCPL-02]]</f>
        <v>496.28266958584345</v>
      </c>
      <c r="AE358" s="127">
        <f>IF(TAB_AMORTIZACAO_C[[#This Row],[DIAS_CORRIDOS]]&lt;0, 0, TAB_AMORTIZACAO_C[[#This Row],[V_FUT_UTEIS]]/TAB_AMORTIZACAO_C[[#This Row],[VAR_DESCAP_C]])</f>
        <v>457.69521345974965</v>
      </c>
      <c r="AF358" s="64"/>
    </row>
    <row r="359" spans="1:32">
      <c r="A359" s="82">
        <f t="shared" si="9"/>
        <v>41</v>
      </c>
      <c r="B359" s="24">
        <f>VLOOKUP($A359, CAD_AMORTIZACAO[#Data], MATCH(B$318, CAD_ATUALIZACAO[#Headers],0), FALSE)</f>
        <v>4</v>
      </c>
      <c r="C359" s="24" t="str">
        <f>VLOOKUP($A359, CAD_AMORTIZACAO[#Data], MATCH(C$318, CAD_ATUALIZACAO[#Headers],0), FALSE)</f>
        <v xml:space="preserve">AMORTIZACAO                                       </v>
      </c>
      <c r="D359" s="36">
        <f>VLOOKUP($A359, CAD_AMORTIZACAO[#Data], MATCH(D$318, CAD_ATUALIZACAO[#Headers],0), FALSE)</f>
        <v>43594</v>
      </c>
      <c r="E359" s="48">
        <f>VLOOKUP($A359, CAD_AMORTIZACAO[#Data], MATCH(E$318, CAD_ATUALIZACAO[#Headers],0), FALSE)</f>
        <v>798.46682599999997</v>
      </c>
      <c r="F359" s="36">
        <f>VLOOKUP($A359, CAD_AMORTIZACAO[#Data], MATCH(F$318, CAD_ATUALIZACAO[#Headers],0), FALSE)</f>
        <v>43600</v>
      </c>
      <c r="G359" s="47">
        <f>WORKDAY(WORKDAY(TAB_AMORTIZACAO_U[[#This Row],[DT_EVE]], -1, TAB_FERIADOS[FER_DATA]), 1, TAB_FERIADOS[FER_DATA])</f>
        <v>43594</v>
      </c>
      <c r="H359" s="75">
        <f>WORKDAY(WORKDAY(TAB_AMORTIZACAO_U[[#This Row],[DT_LQDC_EVE]], -1, TAB_FERIADOS[FER_DATA]), 1, TAB_FERIADOS[FER_DATA])</f>
        <v>43600</v>
      </c>
      <c r="I359" s="48">
        <f>PU_EMISSAO - SUMIF(TAB_AMORTIZACAO_U[dt_eve_u], "&lt;" &amp; TAB_AMORTIZACAO_U[[#This Row],[dt_eve_u]], TAB_AMORTIZACAO_U[V_PU_AMTC])</f>
        <v>64968.822332000003</v>
      </c>
      <c r="J359" s="48">
        <f>IFERROR(VLOOKUP(TAB_AMORTIZACAO_U[[#This Row],[DT_EVE]], TAB_AMORTIZACAO_U[[DT_EVE]:[V_PU_AMTC]], 2, FALSE), 0)</f>
        <v>798.46682599999997</v>
      </c>
      <c r="K359" s="48">
        <f>NETWORKDAYS(DT_CALCULO_U, TAB_AMORTIZACAO_U[[#This Row],[dt_eve_u]], TAB_FERIADOS[FER_DATA]) -1</f>
        <v>841</v>
      </c>
      <c r="L359" s="48">
        <f>NETWORKDAYS(DT_CALCULO_U, TAB_AMORTIZACAO_U[[#This Row],[dt_lqdc_eve_u]], TAB_FERIADOS[FER_DATA]) -1</f>
        <v>845</v>
      </c>
      <c r="M359" s="48">
        <f>NETWORKDAYS(IF(ISTEXT(G358), DT_B_CORC, G358), TAB_AMORTIZACAO_U[[#This Row],[dt_eve_u]], TAB_FERIADOS[FER_DATA]) -1</f>
        <v>21</v>
      </c>
      <c r="N359" s="78">
        <f>(TX_EMISSAO/100 +1)^(TAB_AMORTIZACAO_U[[#This Row],[dias_periodo_u]]/252)</f>
        <v>1.0020598362698427</v>
      </c>
      <c r="O359" s="78">
        <f>(TIR_U/100 +1)^(TAB_AMORTIZACAO_U[[#This Row],[Q_DIAS_U_PARC_TIR]]/252)</f>
        <v>1.0863327334670501</v>
      </c>
      <c r="P359" s="116" t="str">
        <f>"TX_CENARIO" &amp; TEXT(DT_CALCULO_C, "-AAAAMMDD") &amp; TEXT(TAB_AMORTIZACAO_U[[#This Row],[DT_EVE]], "-AAAAMMDD")</f>
        <v>TX_CENARIO-20151228-20190509</v>
      </c>
      <c r="Q359" s="44">
        <f>IFERROR(VLOOKUP(TAB_AMORTIZACAO_U[[#This Row],[Chave-CENARIO]],CENARIO[],2,FALSE), 0)</f>
        <v>16.668500000000002</v>
      </c>
      <c r="R359" s="117" t="str">
        <f t="shared" si="10"/>
        <v>n/a</v>
      </c>
      <c r="S359" s="49" t="str">
        <f t="shared" si="10"/>
        <v>n/a</v>
      </c>
      <c r="T359" s="78">
        <f>IF(TAB_AMORTIZACAO_U[[#This Row],[Q_DIAS_U_PARC_TIR]]&lt;0, 0, TAB_AMORTIZACAO_U[[#This Row],[PU_AMORT]])</f>
        <v>798.46682599999997</v>
      </c>
      <c r="U359" s="78">
        <f>MAX(0, TAB_AMORTIZACAO_U[[#This Row],[V_FUT_U_PCPL-01]]/((((TAB_AMORTIZACAO_U[[#This Row],[TX_CENARIO]]/100 +1)^(1/252) -1) * PC_IDXR/100 +1)^TAB_AMORTIZACAO_U[[#This Row],[Q_DIAS_U_PARC_TIR]]))</f>
        <v>476.15650128494366</v>
      </c>
      <c r="V359" s="78">
        <f>+TAB_AMORTIZACAO_U[[#This Row],[V_FUT_U_PCPL-02]]/TAB_AMORTIZACAO_U[[#This Row],[VAR_DESCAP_U]]</f>
        <v>438.31552397881063</v>
      </c>
      <c r="W359" s="78"/>
      <c r="X359" s="101">
        <f>TAB_AMORTIZACAO_U[[#This Row],[dt_eve_u]]- DT_CALCULO_C</f>
        <v>1228</v>
      </c>
      <c r="Y359" s="49" t="str">
        <f t="shared" si="11"/>
        <v>n/a</v>
      </c>
      <c r="Z359" s="49" t="str">
        <f t="shared" si="11"/>
        <v>n/a</v>
      </c>
      <c r="AA359" s="44">
        <f>TAB_AMORTIZACAO_U[[#This Row],[V_PU_AMTC]]</f>
        <v>798.46682599999997</v>
      </c>
      <c r="AB359" s="44">
        <f>(TIR_C/100 +1)^(TAB_AMORTIZACAO_C[[#This Row],[DIAS_CORRIDOS]]/360)</f>
        <v>1.0865835539726241</v>
      </c>
      <c r="AC359" s="44">
        <f>IF(TAB_AMORTIZACAO_C[[#This Row],[DIAS_CORRIDOS]]&lt;0, 0, TAB_AMORTIZACAO_C[[#This Row],[V_FUT_C_PCPL]]/TAB_AMORTIZACAO_C[[#This Row],[VAR_DESCAP_C]])</f>
        <v>734.84162638091698</v>
      </c>
      <c r="AD359" s="115">
        <f>TAB_AMORTIZACAO_U[[#This Row],[V_FUT_U_PCPL-02]]</f>
        <v>476.15650128494366</v>
      </c>
      <c r="AE359" s="127">
        <f>IF(TAB_AMORTIZACAO_C[[#This Row],[DIAS_CORRIDOS]]&lt;0, 0, TAB_AMORTIZACAO_C[[#This Row],[V_FUT_UTEIS]]/TAB_AMORTIZACAO_C[[#This Row],[VAR_DESCAP_C]])</f>
        <v>438.21434582189545</v>
      </c>
      <c r="AF359" s="64"/>
    </row>
    <row r="360" spans="1:32">
      <c r="A360" s="82">
        <f t="shared" si="9"/>
        <v>42</v>
      </c>
      <c r="B360" s="24">
        <f>VLOOKUP($A360, CAD_AMORTIZACAO[#Data], MATCH(B$318, CAD_ATUALIZACAO[#Headers],0), FALSE)</f>
        <v>4</v>
      </c>
      <c r="C360" s="24" t="str">
        <f>VLOOKUP($A360, CAD_AMORTIZACAO[#Data], MATCH(C$318, CAD_ATUALIZACAO[#Headers],0), FALSE)</f>
        <v xml:space="preserve">AMORTIZACAO                                       </v>
      </c>
      <c r="D360" s="36">
        <f>VLOOKUP($A360, CAD_AMORTIZACAO[#Data], MATCH(D$318, CAD_ATUALIZACAO[#Headers],0), FALSE)</f>
        <v>43626</v>
      </c>
      <c r="E360" s="48">
        <f>VLOOKUP($A360, CAD_AMORTIZACAO[#Data], MATCH(E$318, CAD_ATUALIZACAO[#Headers],0), FALSE)</f>
        <v>781.59492999999998</v>
      </c>
      <c r="F360" s="36">
        <f>VLOOKUP($A360, CAD_AMORTIZACAO[#Data], MATCH(F$318, CAD_ATUALIZACAO[#Headers],0), FALSE)</f>
        <v>43630</v>
      </c>
      <c r="G360" s="47">
        <f>WORKDAY(WORKDAY(TAB_AMORTIZACAO_U[[#This Row],[DT_EVE]], -1, TAB_FERIADOS[FER_DATA]), 1, TAB_FERIADOS[FER_DATA])</f>
        <v>43626</v>
      </c>
      <c r="H360" s="75">
        <f>WORKDAY(WORKDAY(TAB_AMORTIZACAO_U[[#This Row],[DT_LQDC_EVE]], -1, TAB_FERIADOS[FER_DATA]), 1, TAB_FERIADOS[FER_DATA])</f>
        <v>43630</v>
      </c>
      <c r="I360" s="48">
        <f>PU_EMISSAO - SUMIF(TAB_AMORTIZACAO_U[dt_eve_u], "&lt;" &amp; TAB_AMORTIZACAO_U[[#This Row],[dt_eve_u]], TAB_AMORTIZACAO_U[V_PU_AMTC])</f>
        <v>64170.355506</v>
      </c>
      <c r="J360" s="48">
        <f>IFERROR(VLOOKUP(TAB_AMORTIZACAO_U[[#This Row],[DT_EVE]], TAB_AMORTIZACAO_U[[DT_EVE]:[V_PU_AMTC]], 2, FALSE), 0)</f>
        <v>781.59492999999998</v>
      </c>
      <c r="K360" s="48">
        <f>NETWORKDAYS(DT_CALCULO_U, TAB_AMORTIZACAO_U[[#This Row],[dt_eve_u]], TAB_FERIADOS[FER_DATA]) -1</f>
        <v>863</v>
      </c>
      <c r="L360" s="48">
        <f>NETWORKDAYS(DT_CALCULO_U, TAB_AMORTIZACAO_U[[#This Row],[dt_lqdc_eve_u]], TAB_FERIADOS[FER_DATA]) -1</f>
        <v>867</v>
      </c>
      <c r="M360" s="48">
        <f>NETWORKDAYS(IF(ISTEXT(G359), DT_B_CORC, G359), TAB_AMORTIZACAO_U[[#This Row],[dt_eve_u]], TAB_FERIADOS[FER_DATA]) -1</f>
        <v>22</v>
      </c>
      <c r="N360" s="78">
        <f>(TX_EMISSAO/100 +1)^(TAB_AMORTIZACAO_U[[#This Row],[dias_periodo_u]]/252)</f>
        <v>1.0021580294747356</v>
      </c>
      <c r="O360" s="78">
        <f>(TIR_U/100 +1)^(TAB_AMORTIZACAO_U[[#This Row],[Q_DIAS_U_PARC_TIR]]/252)</f>
        <v>1.088677324287137</v>
      </c>
      <c r="P360" s="116" t="str">
        <f>"TX_CENARIO" &amp; TEXT(DT_CALCULO_C, "-AAAAMMDD") &amp; TEXT(TAB_AMORTIZACAO_U[[#This Row],[DT_EVE]], "-AAAAMMDD")</f>
        <v>TX_CENARIO-20151228-20190610</v>
      </c>
      <c r="Q360" s="44">
        <f>IFERROR(VLOOKUP(TAB_AMORTIZACAO_U[[#This Row],[Chave-CENARIO]],CENARIO[],2,FALSE), 0)</f>
        <v>16.671600000000002</v>
      </c>
      <c r="R360" s="117" t="str">
        <f t="shared" si="10"/>
        <v>n/a</v>
      </c>
      <c r="S360" s="49" t="str">
        <f t="shared" si="10"/>
        <v>n/a</v>
      </c>
      <c r="T360" s="78">
        <f>IF(TAB_AMORTIZACAO_U[[#This Row],[Q_DIAS_U_PARC_TIR]]&lt;0, 0, TAB_AMORTIZACAO_U[[#This Row],[PU_AMORT]])</f>
        <v>781.59492999999998</v>
      </c>
      <c r="U360" s="78">
        <f>MAX(0, TAB_AMORTIZACAO_U[[#This Row],[V_FUT_U_PCPL-01]]/((((TAB_AMORTIZACAO_U[[#This Row],[TX_CENARIO]]/100 +1)^(1/252) -1) * PC_IDXR/100 +1)^TAB_AMORTIZACAO_U[[#This Row],[Q_DIAS_U_PARC_TIR]]))</f>
        <v>459.82196888400392</v>
      </c>
      <c r="V360" s="78">
        <f>+TAB_AMORTIZACAO_U[[#This Row],[V_FUT_U_PCPL-02]]/TAB_AMORTIZACAO_U[[#This Row],[VAR_DESCAP_U]]</f>
        <v>422.36754511727713</v>
      </c>
      <c r="W360" s="78"/>
      <c r="X360" s="101">
        <f>TAB_AMORTIZACAO_U[[#This Row],[dt_eve_u]]- DT_CALCULO_C</f>
        <v>1260</v>
      </c>
      <c r="Y360" s="49" t="str">
        <f t="shared" si="11"/>
        <v>n/a</v>
      </c>
      <c r="Z360" s="49" t="str">
        <f t="shared" si="11"/>
        <v>n/a</v>
      </c>
      <c r="AA360" s="44">
        <f>TAB_AMORTIZACAO_U[[#This Row],[V_PU_AMTC]]</f>
        <v>781.59492999999998</v>
      </c>
      <c r="AB360" s="44">
        <f>(TIR_C/100 +1)^(TAB_AMORTIZACAO_C[[#This Row],[DIAS_CORRIDOS]]/360)</f>
        <v>1.0889373226391175</v>
      </c>
      <c r="AC360" s="44">
        <f>IF(TAB_AMORTIZACAO_C[[#This Row],[DIAS_CORRIDOS]]&lt;0, 0, TAB_AMORTIZACAO_C[[#This Row],[V_FUT_C_PCPL]]/TAB_AMORTIZACAO_C[[#This Row],[VAR_DESCAP_C]])</f>
        <v>717.75933632777765</v>
      </c>
      <c r="AD360" s="115">
        <f>TAB_AMORTIZACAO_U[[#This Row],[V_FUT_U_PCPL-02]]</f>
        <v>459.82196888400392</v>
      </c>
      <c r="AE360" s="127">
        <f>IF(TAB_AMORTIZACAO_C[[#This Row],[DIAS_CORRIDOS]]&lt;0, 0, TAB_AMORTIZACAO_C[[#This Row],[V_FUT_UTEIS]]/TAB_AMORTIZACAO_C[[#This Row],[VAR_DESCAP_C]])</f>
        <v>422.26669921606918</v>
      </c>
      <c r="AF360" s="64"/>
    </row>
    <row r="361" spans="1:32">
      <c r="A361" s="82">
        <f t="shared" si="9"/>
        <v>43</v>
      </c>
      <c r="B361" s="24">
        <f>VLOOKUP($A361, CAD_AMORTIZACAO[#Data], MATCH(B$318, CAD_ATUALIZACAO[#Headers],0), FALSE)</f>
        <v>4</v>
      </c>
      <c r="C361" s="24" t="str">
        <f>VLOOKUP($A361, CAD_AMORTIZACAO[#Data], MATCH(C$318, CAD_ATUALIZACAO[#Headers],0), FALSE)</f>
        <v xml:space="preserve">AMORTIZACAO                                       </v>
      </c>
      <c r="D361" s="36">
        <f>VLOOKUP($A361, CAD_AMORTIZACAO[#Data], MATCH(D$318, CAD_ATUALIZACAO[#Headers],0), FALSE)</f>
        <v>43654</v>
      </c>
      <c r="E361" s="48">
        <f>VLOOKUP($A361, CAD_AMORTIZACAO[#Data], MATCH(E$318, CAD_ATUALIZACAO[#Headers],0), FALSE)</f>
        <v>791.78900799999997</v>
      </c>
      <c r="F361" s="36">
        <f>VLOOKUP($A361, CAD_AMORTIZACAO[#Data], MATCH(F$318, CAD_ATUALIZACAO[#Headers],0), FALSE)</f>
        <v>43658</v>
      </c>
      <c r="G361" s="47">
        <f>WORKDAY(WORKDAY(TAB_AMORTIZACAO_U[[#This Row],[DT_EVE]], -1, TAB_FERIADOS[FER_DATA]), 1, TAB_FERIADOS[FER_DATA])</f>
        <v>43654</v>
      </c>
      <c r="H361" s="75">
        <f>WORKDAY(WORKDAY(TAB_AMORTIZACAO_U[[#This Row],[DT_LQDC_EVE]], -1, TAB_FERIADOS[FER_DATA]), 1, TAB_FERIADOS[FER_DATA])</f>
        <v>43658</v>
      </c>
      <c r="I361" s="48">
        <f>PU_EMISSAO - SUMIF(TAB_AMORTIZACAO_U[dt_eve_u], "&lt;" &amp; TAB_AMORTIZACAO_U[[#This Row],[dt_eve_u]], TAB_AMORTIZACAO_U[V_PU_AMTC])</f>
        <v>63388.760576000001</v>
      </c>
      <c r="J361" s="48">
        <f>IFERROR(VLOOKUP(TAB_AMORTIZACAO_U[[#This Row],[DT_EVE]], TAB_AMORTIZACAO_U[[DT_EVE]:[V_PU_AMTC]], 2, FALSE), 0)</f>
        <v>791.78900799999997</v>
      </c>
      <c r="K361" s="48">
        <f>NETWORKDAYS(DT_CALCULO_U, TAB_AMORTIZACAO_U[[#This Row],[dt_eve_u]], TAB_FERIADOS[FER_DATA]) -1</f>
        <v>882</v>
      </c>
      <c r="L361" s="48">
        <f>NETWORKDAYS(DT_CALCULO_U, TAB_AMORTIZACAO_U[[#This Row],[dt_lqdc_eve_u]], TAB_FERIADOS[FER_DATA]) -1</f>
        <v>886</v>
      </c>
      <c r="M361" s="48">
        <f>NETWORKDAYS(IF(ISTEXT(G360), DT_B_CORC, G360), TAB_AMORTIZACAO_U[[#This Row],[dt_eve_u]], TAB_FERIADOS[FER_DATA]) -1</f>
        <v>19</v>
      </c>
      <c r="N361" s="78">
        <f>(TX_EMISSAO/100 +1)^(TAB_AMORTIZACAO_U[[#This Row],[dias_periodo_u]]/252)</f>
        <v>1.0018634787225431</v>
      </c>
      <c r="O361" s="78">
        <f>(TIR_U/100 +1)^(TAB_AMORTIZACAO_U[[#This Row],[Q_DIAS_U_PARC_TIR]]/252)</f>
        <v>1.0907062700178594</v>
      </c>
      <c r="P361" s="116" t="str">
        <f>"TX_CENARIO" &amp; TEXT(DT_CALCULO_C, "-AAAAMMDD") &amp; TEXT(TAB_AMORTIZACAO_U[[#This Row],[DT_EVE]], "-AAAAMMDD")</f>
        <v>TX_CENARIO-20151228-20190708</v>
      </c>
      <c r="Q361" s="44">
        <f>IFERROR(VLOOKUP(TAB_AMORTIZACAO_U[[#This Row],[Chave-CENARIO]],CENARIO[],2,FALSE), 0)</f>
        <v>16.667400000000001</v>
      </c>
      <c r="R361" s="117" t="str">
        <f t="shared" si="10"/>
        <v>n/a</v>
      </c>
      <c r="S361" s="49" t="str">
        <f t="shared" si="10"/>
        <v>n/a</v>
      </c>
      <c r="T361" s="78">
        <f>IF(TAB_AMORTIZACAO_U[[#This Row],[Q_DIAS_U_PARC_TIR]]&lt;0, 0, TAB_AMORTIZACAO_U[[#This Row],[PU_AMORT]])</f>
        <v>791.78900799999997</v>
      </c>
      <c r="U361" s="78">
        <f>MAX(0, TAB_AMORTIZACAO_U[[#This Row],[V_FUT_U_PCPL-01]]/((((TAB_AMORTIZACAO_U[[#This Row],[TX_CENARIO]]/100 +1)^(1/252) -1) * PC_IDXR/100 +1)^TAB_AMORTIZACAO_U[[#This Row],[Q_DIAS_U_PARC_TIR]]))</f>
        <v>460.49345233510996</v>
      </c>
      <c r="V361" s="78">
        <f>+TAB_AMORTIZACAO_U[[#This Row],[V_FUT_U_PCPL-02]]/TAB_AMORTIZACAO_U[[#This Row],[VAR_DESCAP_U]]</f>
        <v>422.19749257292688</v>
      </c>
      <c r="W361" s="78"/>
      <c r="X361" s="101">
        <f>TAB_AMORTIZACAO_U[[#This Row],[dt_eve_u]]- DT_CALCULO_C</f>
        <v>1288</v>
      </c>
      <c r="Y361" s="49" t="str">
        <f t="shared" si="11"/>
        <v>n/a</v>
      </c>
      <c r="Z361" s="49" t="str">
        <f t="shared" si="11"/>
        <v>n/a</v>
      </c>
      <c r="AA361" s="44">
        <f>TAB_AMORTIZACAO_U[[#This Row],[V_PU_AMTC]]</f>
        <v>791.78900799999997</v>
      </c>
      <c r="AB361" s="44">
        <f>(TIR_C/100 +1)^(TAB_AMORTIZACAO_C[[#This Row],[DIAS_CORRIDOS]]/360)</f>
        <v>1.0910010524201987</v>
      </c>
      <c r="AC361" s="44">
        <f>IF(TAB_AMORTIZACAO_C[[#This Row],[DIAS_CORRIDOS]]&lt;0, 0, TAB_AMORTIZACAO_C[[#This Row],[V_FUT_C_PCPL]]/TAB_AMORTIZACAO_C[[#This Row],[VAR_DESCAP_C]])</f>
        <v>725.74541174231854</v>
      </c>
      <c r="AD361" s="115">
        <f>TAB_AMORTIZACAO_U[[#This Row],[V_FUT_U_PCPL-02]]</f>
        <v>460.49345233510996</v>
      </c>
      <c r="AE361" s="127">
        <f>IF(TAB_AMORTIZACAO_C[[#This Row],[DIAS_CORRIDOS]]&lt;0, 0, TAB_AMORTIZACAO_C[[#This Row],[V_FUT_UTEIS]]/TAB_AMORTIZACAO_C[[#This Row],[VAR_DESCAP_C]])</f>
        <v>422.08341716406619</v>
      </c>
      <c r="AF361" s="64"/>
    </row>
    <row r="362" spans="1:32">
      <c r="A362" s="82">
        <f t="shared" si="9"/>
        <v>44</v>
      </c>
      <c r="B362" s="24">
        <f>VLOOKUP($A362, CAD_AMORTIZACAO[#Data], MATCH(B$318, CAD_ATUALIZACAO[#Headers],0), FALSE)</f>
        <v>4</v>
      </c>
      <c r="C362" s="24" t="str">
        <f>VLOOKUP($A362, CAD_AMORTIZACAO[#Data], MATCH(C$318, CAD_ATUALIZACAO[#Headers],0), FALSE)</f>
        <v xml:space="preserve">AMORTIZACAO                                       </v>
      </c>
      <c r="D362" s="36">
        <f>VLOOKUP($A362, CAD_AMORTIZACAO[#Data], MATCH(D$318, CAD_ATUALIZACAO[#Headers],0), FALSE)</f>
        <v>43685</v>
      </c>
      <c r="E362" s="48">
        <f>VLOOKUP($A362, CAD_AMORTIZACAO[#Data], MATCH(E$318, CAD_ATUALIZACAO[#Headers],0), FALSE)</f>
        <v>757.17296799999997</v>
      </c>
      <c r="F362" s="36">
        <f>VLOOKUP($A362, CAD_AMORTIZACAO[#Data], MATCH(F$318, CAD_ATUALIZACAO[#Headers],0), FALSE)</f>
        <v>43691</v>
      </c>
      <c r="G362" s="47">
        <f>WORKDAY(WORKDAY(TAB_AMORTIZACAO_U[[#This Row],[DT_EVE]], -1, TAB_FERIADOS[FER_DATA]), 1, TAB_FERIADOS[FER_DATA])</f>
        <v>43685</v>
      </c>
      <c r="H362" s="75">
        <f>WORKDAY(WORKDAY(TAB_AMORTIZACAO_U[[#This Row],[DT_LQDC_EVE]], -1, TAB_FERIADOS[FER_DATA]), 1, TAB_FERIADOS[FER_DATA])</f>
        <v>43691</v>
      </c>
      <c r="I362" s="48">
        <f>PU_EMISSAO - SUMIF(TAB_AMORTIZACAO_U[dt_eve_u], "&lt;" &amp; TAB_AMORTIZACAO_U[[#This Row],[dt_eve_u]], TAB_AMORTIZACAO_U[V_PU_AMTC])</f>
        <v>62596.971568000001</v>
      </c>
      <c r="J362" s="48">
        <f>IFERROR(VLOOKUP(TAB_AMORTIZACAO_U[[#This Row],[DT_EVE]], TAB_AMORTIZACAO_U[[DT_EVE]:[V_PU_AMTC]], 2, FALSE), 0)</f>
        <v>757.17296799999997</v>
      </c>
      <c r="K362" s="48">
        <f>NETWORKDAYS(DT_CALCULO_U, TAB_AMORTIZACAO_U[[#This Row],[dt_eve_u]], TAB_FERIADOS[FER_DATA]) -1</f>
        <v>905</v>
      </c>
      <c r="L362" s="48">
        <f>NETWORKDAYS(DT_CALCULO_U, TAB_AMORTIZACAO_U[[#This Row],[dt_lqdc_eve_u]], TAB_FERIADOS[FER_DATA]) -1</f>
        <v>909</v>
      </c>
      <c r="M362" s="48">
        <f>NETWORKDAYS(IF(ISTEXT(G361), DT_B_CORC, G361), TAB_AMORTIZACAO_U[[#This Row],[dt_eve_u]], TAB_FERIADOS[FER_DATA]) -1</f>
        <v>23</v>
      </c>
      <c r="N362" s="78">
        <f>(TX_EMISSAO/100 +1)^(TAB_AMORTIZACAO_U[[#This Row],[dias_periodo_u]]/252)</f>
        <v>1.0022562323017139</v>
      </c>
      <c r="O362" s="78">
        <f>(TIR_U/100 +1)^(TAB_AMORTIZACAO_U[[#This Row],[Q_DIAS_U_PARC_TIR]]/252)</f>
        <v>1.0931674220768928</v>
      </c>
      <c r="P362" s="116" t="str">
        <f>"TX_CENARIO" &amp; TEXT(DT_CALCULO_C, "-AAAAMMDD") &amp; TEXT(TAB_AMORTIZACAO_U[[#This Row],[DT_EVE]], "-AAAAMMDD")</f>
        <v>TX_CENARIO-20151228-20190808</v>
      </c>
      <c r="Q362" s="44">
        <f>IFERROR(VLOOKUP(TAB_AMORTIZACAO_U[[#This Row],[Chave-CENARIO]],CENARIO[],2,FALSE), 0)</f>
        <v>16.653700000000001</v>
      </c>
      <c r="R362" s="117" t="str">
        <f t="shared" si="10"/>
        <v>n/a</v>
      </c>
      <c r="S362" s="49" t="str">
        <f t="shared" si="10"/>
        <v>n/a</v>
      </c>
      <c r="T362" s="78">
        <f>IF(TAB_AMORTIZACAO_U[[#This Row],[Q_DIAS_U_PARC_TIR]]&lt;0, 0, TAB_AMORTIZACAO_U[[#This Row],[PU_AMORT]])</f>
        <v>757.17296799999997</v>
      </c>
      <c r="U362" s="78">
        <f>MAX(0, TAB_AMORTIZACAO_U[[#This Row],[V_FUT_U_PCPL-01]]/((((TAB_AMORTIZACAO_U[[#This Row],[TX_CENARIO]]/100 +1)^(1/252) -1) * PC_IDXR/100 +1)^TAB_AMORTIZACAO_U[[#This Row],[Q_DIAS_U_PARC_TIR]]))</f>
        <v>434.39277030294085</v>
      </c>
      <c r="V362" s="78">
        <f>+TAB_AMORTIZACAO_U[[#This Row],[V_FUT_U_PCPL-02]]/TAB_AMORTIZACAO_U[[#This Row],[VAR_DESCAP_U]]</f>
        <v>397.37076090105609</v>
      </c>
      <c r="W362" s="78"/>
      <c r="X362" s="101">
        <f>TAB_AMORTIZACAO_U[[#This Row],[dt_eve_u]]- DT_CALCULO_C</f>
        <v>1319</v>
      </c>
      <c r="Y362" s="49" t="str">
        <f t="shared" si="11"/>
        <v>n/a</v>
      </c>
      <c r="Z362" s="49" t="str">
        <f t="shared" si="11"/>
        <v>n/a</v>
      </c>
      <c r="AA362" s="44">
        <f>TAB_AMORTIZACAO_U[[#This Row],[V_PU_AMTC]]</f>
        <v>757.17296799999997</v>
      </c>
      <c r="AB362" s="44">
        <f>(TIR_C/100 +1)^(TAB_AMORTIZACAO_C[[#This Row],[DIAS_CORRIDOS]]/360)</f>
        <v>1.0932904585741541</v>
      </c>
      <c r="AC362" s="44">
        <f>IF(TAB_AMORTIZACAO_C[[#This Row],[DIAS_CORRIDOS]]&lt;0, 0, TAB_AMORTIZACAO_C[[#This Row],[V_FUT_C_PCPL]]/TAB_AMORTIZACAO_C[[#This Row],[VAR_DESCAP_C]])</f>
        <v>692.56340989885587</v>
      </c>
      <c r="AD362" s="115">
        <f>TAB_AMORTIZACAO_U[[#This Row],[V_FUT_U_PCPL-02]]</f>
        <v>434.39277030294085</v>
      </c>
      <c r="AE362" s="127">
        <f>IF(TAB_AMORTIZACAO_C[[#This Row],[DIAS_CORRIDOS]]&lt;0, 0, TAB_AMORTIZACAO_C[[#This Row],[V_FUT_UTEIS]]/TAB_AMORTIZACAO_C[[#This Row],[VAR_DESCAP_C]])</f>
        <v>397.32604167191448</v>
      </c>
      <c r="AF362" s="64"/>
    </row>
    <row r="363" spans="1:32">
      <c r="A363" s="82">
        <f t="shared" si="9"/>
        <v>45</v>
      </c>
      <c r="B363" s="24">
        <f>VLOOKUP($A363, CAD_AMORTIZACAO[#Data], MATCH(B$318, CAD_ATUALIZACAO[#Headers],0), FALSE)</f>
        <v>4</v>
      </c>
      <c r="C363" s="24" t="str">
        <f>VLOOKUP($A363, CAD_AMORTIZACAO[#Data], MATCH(C$318, CAD_ATUALIZACAO[#Headers],0), FALSE)</f>
        <v xml:space="preserve">AMORTIZACAO                                       </v>
      </c>
      <c r="D363" s="36">
        <f>VLOOKUP($A363, CAD_AMORTIZACAO[#Data], MATCH(D$318, CAD_ATUALIZACAO[#Headers],0), FALSE)</f>
        <v>43717</v>
      </c>
      <c r="E363" s="48">
        <f>VLOOKUP($A363, CAD_AMORTIZACAO[#Data], MATCH(E$318, CAD_ATUALIZACAO[#Headers],0), FALSE)</f>
        <v>753.88898400000005</v>
      </c>
      <c r="F363" s="36">
        <f>VLOOKUP($A363, CAD_AMORTIZACAO[#Data], MATCH(F$318, CAD_ATUALIZACAO[#Headers],0), FALSE)</f>
        <v>43721</v>
      </c>
      <c r="G363" s="47">
        <f>WORKDAY(WORKDAY(TAB_AMORTIZACAO_U[[#This Row],[DT_EVE]], -1, TAB_FERIADOS[FER_DATA]), 1, TAB_FERIADOS[FER_DATA])</f>
        <v>43717</v>
      </c>
      <c r="H363" s="75">
        <f>WORKDAY(WORKDAY(TAB_AMORTIZACAO_U[[#This Row],[DT_LQDC_EVE]], -1, TAB_FERIADOS[FER_DATA]), 1, TAB_FERIADOS[FER_DATA])</f>
        <v>43721</v>
      </c>
      <c r="I363" s="48">
        <f>PU_EMISSAO - SUMIF(TAB_AMORTIZACAO_U[dt_eve_u], "&lt;" &amp; TAB_AMORTIZACAO_U[[#This Row],[dt_eve_u]], TAB_AMORTIZACAO_U[V_PU_AMTC])</f>
        <v>61839.798600000002</v>
      </c>
      <c r="J363" s="48">
        <f>IFERROR(VLOOKUP(TAB_AMORTIZACAO_U[[#This Row],[DT_EVE]], TAB_AMORTIZACAO_U[[DT_EVE]:[V_PU_AMTC]], 2, FALSE), 0)</f>
        <v>753.88898400000005</v>
      </c>
      <c r="K363" s="48">
        <f>NETWORKDAYS(DT_CALCULO_U, TAB_AMORTIZACAO_U[[#This Row],[dt_eve_u]], TAB_FERIADOS[FER_DATA]) -1</f>
        <v>927</v>
      </c>
      <c r="L363" s="48">
        <f>NETWORKDAYS(DT_CALCULO_U, TAB_AMORTIZACAO_U[[#This Row],[dt_lqdc_eve_u]], TAB_FERIADOS[FER_DATA]) -1</f>
        <v>931</v>
      </c>
      <c r="M363" s="48">
        <f>NETWORKDAYS(IF(ISTEXT(G362), DT_B_CORC, G362), TAB_AMORTIZACAO_U[[#This Row],[dt_eve_u]], TAB_FERIADOS[FER_DATA]) -1</f>
        <v>22</v>
      </c>
      <c r="N363" s="78">
        <f>(TX_EMISSAO/100 +1)^(TAB_AMORTIZACAO_U[[#This Row],[dias_periodo_u]]/252)</f>
        <v>1.0021580294747356</v>
      </c>
      <c r="O363" s="78">
        <f>(TIR_U/100 +1)^(TAB_AMORTIZACAO_U[[#This Row],[Q_DIAS_U_PARC_TIR]]/252)</f>
        <v>1.0955267639467081</v>
      </c>
      <c r="P363" s="116" t="str">
        <f>"TX_CENARIO" &amp; TEXT(DT_CALCULO_C, "-AAAAMMDD") &amp; TEXT(TAB_AMORTIZACAO_U[[#This Row],[DT_EVE]], "-AAAAMMDD")</f>
        <v>TX_CENARIO-20151228-20190909</v>
      </c>
      <c r="Q363" s="44">
        <f>IFERROR(VLOOKUP(TAB_AMORTIZACAO_U[[#This Row],[Chave-CENARIO]],CENARIO[],2,FALSE), 0)</f>
        <v>16.641200000000001</v>
      </c>
      <c r="R363" s="117" t="str">
        <f t="shared" si="10"/>
        <v>n/a</v>
      </c>
      <c r="S363" s="49" t="str">
        <f t="shared" si="10"/>
        <v>n/a</v>
      </c>
      <c r="T363" s="78">
        <f>IF(TAB_AMORTIZACAO_U[[#This Row],[Q_DIAS_U_PARC_TIR]]&lt;0, 0, TAB_AMORTIZACAO_U[[#This Row],[PU_AMORT]])</f>
        <v>753.88898400000005</v>
      </c>
      <c r="U363" s="78">
        <f>MAX(0, TAB_AMORTIZACAO_U[[#This Row],[V_FUT_U_PCPL-01]]/((((TAB_AMORTIZACAO_U[[#This Row],[TX_CENARIO]]/100 +1)^(1/252) -1) * PC_IDXR/100 +1)^TAB_AMORTIZACAO_U[[#This Row],[Q_DIAS_U_PARC_TIR]]))</f>
        <v>426.90031467204591</v>
      </c>
      <c r="V363" s="78">
        <f>+TAB_AMORTIZACAO_U[[#This Row],[V_FUT_U_PCPL-02]]/TAB_AMORTIZACAO_U[[#This Row],[VAR_DESCAP_U]]</f>
        <v>389.67584245418988</v>
      </c>
      <c r="W363" s="78"/>
      <c r="X363" s="101">
        <f>TAB_AMORTIZACAO_U[[#This Row],[dt_eve_u]]- DT_CALCULO_C</f>
        <v>1351</v>
      </c>
      <c r="Y363" s="49" t="str">
        <f t="shared" si="11"/>
        <v>n/a</v>
      </c>
      <c r="Z363" s="49" t="str">
        <f t="shared" si="11"/>
        <v>n/a</v>
      </c>
      <c r="AA363" s="44">
        <f>TAB_AMORTIZACAO_U[[#This Row],[V_PU_AMTC]]</f>
        <v>753.88898400000005</v>
      </c>
      <c r="AB363" s="44">
        <f>(TIR_C/100 +1)^(TAB_AMORTIZACAO_C[[#This Row],[DIAS_CORRIDOS]]/360)</f>
        <v>1.0956587558075881</v>
      </c>
      <c r="AC363" s="44">
        <f>IF(TAB_AMORTIZACAO_C[[#This Row],[DIAS_CORRIDOS]]&lt;0, 0, TAB_AMORTIZACAO_C[[#This Row],[V_FUT_C_PCPL]]/TAB_AMORTIZACAO_C[[#This Row],[VAR_DESCAP_C]])</f>
        <v>688.0691456203657</v>
      </c>
      <c r="AD363" s="115">
        <f>TAB_AMORTIZACAO_U[[#This Row],[V_FUT_U_PCPL-02]]</f>
        <v>426.90031467204591</v>
      </c>
      <c r="AE363" s="127">
        <f>IF(TAB_AMORTIZACAO_C[[#This Row],[DIAS_CORRIDOS]]&lt;0, 0, TAB_AMORTIZACAO_C[[#This Row],[V_FUT_UTEIS]]/TAB_AMORTIZACAO_C[[#This Row],[VAR_DESCAP_C]])</f>
        <v>389.62889896990441</v>
      </c>
      <c r="AF363" s="64"/>
    </row>
    <row r="364" spans="1:32">
      <c r="A364" s="82">
        <f t="shared" si="9"/>
        <v>46</v>
      </c>
      <c r="B364" s="24">
        <f>VLOOKUP($A364, CAD_AMORTIZACAO[#Data], MATCH(B$318, CAD_ATUALIZACAO[#Headers],0), FALSE)</f>
        <v>4</v>
      </c>
      <c r="C364" s="24" t="str">
        <f>VLOOKUP($A364, CAD_AMORTIZACAO[#Data], MATCH(C$318, CAD_ATUALIZACAO[#Headers],0), FALSE)</f>
        <v xml:space="preserve">AMORTIZACAO                                       </v>
      </c>
      <c r="D364" s="36">
        <f>VLOOKUP($A364, CAD_AMORTIZACAO[#Data], MATCH(D$318, CAD_ATUALIZACAO[#Headers],0), FALSE)</f>
        <v>43746</v>
      </c>
      <c r="E364" s="48">
        <f>VLOOKUP($A364, CAD_AMORTIZACAO[#Data], MATCH(E$318, CAD_ATUALIZACAO[#Headers],0), FALSE)</f>
        <v>750.92908599999998</v>
      </c>
      <c r="F364" s="36">
        <f>VLOOKUP($A364, CAD_AMORTIZACAO[#Data], MATCH(F$318, CAD_ATUALIZACAO[#Headers],0), FALSE)</f>
        <v>43752</v>
      </c>
      <c r="G364" s="47">
        <f>WORKDAY(WORKDAY(TAB_AMORTIZACAO_U[[#This Row],[DT_EVE]], -1, TAB_FERIADOS[FER_DATA]), 1, TAB_FERIADOS[FER_DATA])</f>
        <v>43746</v>
      </c>
      <c r="H364" s="75">
        <f>WORKDAY(WORKDAY(TAB_AMORTIZACAO_U[[#This Row],[DT_LQDC_EVE]], -1, TAB_FERIADOS[FER_DATA]), 1, TAB_FERIADOS[FER_DATA])</f>
        <v>43752</v>
      </c>
      <c r="I364" s="48">
        <f>PU_EMISSAO - SUMIF(TAB_AMORTIZACAO_U[dt_eve_u], "&lt;" &amp; TAB_AMORTIZACAO_U[[#This Row],[dt_eve_u]], TAB_AMORTIZACAO_U[V_PU_AMTC])</f>
        <v>61085.909616000004</v>
      </c>
      <c r="J364" s="48">
        <f>IFERROR(VLOOKUP(TAB_AMORTIZACAO_U[[#This Row],[DT_EVE]], TAB_AMORTIZACAO_U[[DT_EVE]:[V_PU_AMTC]], 2, FALSE), 0)</f>
        <v>750.92908599999998</v>
      </c>
      <c r="K364" s="48">
        <f>NETWORKDAYS(DT_CALCULO_U, TAB_AMORTIZACAO_U[[#This Row],[dt_eve_u]], TAB_FERIADOS[FER_DATA]) -1</f>
        <v>948</v>
      </c>
      <c r="L364" s="48">
        <f>NETWORKDAYS(DT_CALCULO_U, TAB_AMORTIZACAO_U[[#This Row],[dt_lqdc_eve_u]], TAB_FERIADOS[FER_DATA]) -1</f>
        <v>952</v>
      </c>
      <c r="M364" s="48">
        <f>NETWORKDAYS(IF(ISTEXT(G363), DT_B_CORC, G363), TAB_AMORTIZACAO_U[[#This Row],[dt_eve_u]], TAB_FERIADOS[FER_DATA]) -1</f>
        <v>21</v>
      </c>
      <c r="N364" s="78">
        <f>(TX_EMISSAO/100 +1)^(TAB_AMORTIZACAO_U[[#This Row],[dias_periodo_u]]/252)</f>
        <v>1.0020598362698427</v>
      </c>
      <c r="O364" s="78">
        <f>(TIR_U/100 +1)^(TAB_AMORTIZACAO_U[[#This Row],[Q_DIAS_U_PARC_TIR]]/252)</f>
        <v>1.0977836130005245</v>
      </c>
      <c r="P364" s="116" t="str">
        <f>"TX_CENARIO" &amp; TEXT(DT_CALCULO_C, "-AAAAMMDD") &amp; TEXT(TAB_AMORTIZACAO_U[[#This Row],[DT_EVE]], "-AAAAMMDD")</f>
        <v>TX_CENARIO-20151228-20191008</v>
      </c>
      <c r="Q364" s="44">
        <f>IFERROR(VLOOKUP(TAB_AMORTIZACAO_U[[#This Row],[Chave-CENARIO]],CENARIO[],2,FALSE), 0)</f>
        <v>16.629899999999999</v>
      </c>
      <c r="R364" s="117" t="str">
        <f t="shared" si="10"/>
        <v>n/a</v>
      </c>
      <c r="S364" s="49" t="str">
        <f t="shared" si="10"/>
        <v>n/a</v>
      </c>
      <c r="T364" s="78">
        <f>IF(TAB_AMORTIZACAO_U[[#This Row],[Q_DIAS_U_PARC_TIR]]&lt;0, 0, TAB_AMORTIZACAO_U[[#This Row],[PU_AMORT]])</f>
        <v>750.92908599999998</v>
      </c>
      <c r="U364" s="78">
        <f>MAX(0, TAB_AMORTIZACAO_U[[#This Row],[V_FUT_U_PCPL-01]]/((((TAB_AMORTIZACAO_U[[#This Row],[TX_CENARIO]]/100 +1)^(1/252) -1) * PC_IDXR/100 +1)^TAB_AMORTIZACAO_U[[#This Row],[Q_DIAS_U_PARC_TIR]]))</f>
        <v>419.95809640821562</v>
      </c>
      <c r="V364" s="78">
        <f>+TAB_AMORTIZACAO_U[[#This Row],[V_FUT_U_PCPL-02]]/TAB_AMORTIZACAO_U[[#This Row],[VAR_DESCAP_U]]</f>
        <v>382.55088838533698</v>
      </c>
      <c r="W364" s="78"/>
      <c r="X364" s="101">
        <f>TAB_AMORTIZACAO_U[[#This Row],[dt_eve_u]]- DT_CALCULO_C</f>
        <v>1380</v>
      </c>
      <c r="Y364" s="49" t="str">
        <f t="shared" si="11"/>
        <v>n/a</v>
      </c>
      <c r="Z364" s="49" t="str">
        <f t="shared" si="11"/>
        <v>n/a</v>
      </c>
      <c r="AA364" s="44">
        <f>TAB_AMORTIZACAO_U[[#This Row],[V_PU_AMTC]]</f>
        <v>750.92908599999998</v>
      </c>
      <c r="AB364" s="44">
        <f>(TIR_C/100 +1)^(TAB_AMORTIZACAO_C[[#This Row],[DIAS_CORRIDOS]]/360)</f>
        <v>1.0978094562121705</v>
      </c>
      <c r="AC364" s="44">
        <f>IF(TAB_AMORTIZACAO_C[[#This Row],[DIAS_CORRIDOS]]&lt;0, 0, TAB_AMORTIZACAO_C[[#This Row],[V_FUT_C_PCPL]]/TAB_AMORTIZACAO_C[[#This Row],[VAR_DESCAP_C]])</f>
        <v>684.02497514547736</v>
      </c>
      <c r="AD364" s="115">
        <f>TAB_AMORTIZACAO_U[[#This Row],[V_FUT_U_PCPL-02]]</f>
        <v>419.95809640821562</v>
      </c>
      <c r="AE364" s="127">
        <f>IF(TAB_AMORTIZACAO_C[[#This Row],[DIAS_CORRIDOS]]&lt;0, 0, TAB_AMORTIZACAO_C[[#This Row],[V_FUT_UTEIS]]/TAB_AMORTIZACAO_C[[#This Row],[VAR_DESCAP_C]])</f>
        <v>382.54188286664885</v>
      </c>
      <c r="AF364" s="64"/>
    </row>
    <row r="365" spans="1:32">
      <c r="A365" s="82">
        <f t="shared" si="9"/>
        <v>47</v>
      </c>
      <c r="B365" s="24">
        <f>VLOOKUP($A365, CAD_AMORTIZACAO[#Data], MATCH(B$318, CAD_ATUALIZACAO[#Headers],0), FALSE)</f>
        <v>4</v>
      </c>
      <c r="C365" s="24" t="str">
        <f>VLOOKUP($A365, CAD_AMORTIZACAO[#Data], MATCH(C$318, CAD_ATUALIZACAO[#Headers],0), FALSE)</f>
        <v xml:space="preserve">AMORTIZACAO                                       </v>
      </c>
      <c r="D365" s="36">
        <f>VLOOKUP($A365, CAD_AMORTIZACAO[#Data], MATCH(D$318, CAD_ATUALIZACAO[#Headers],0), FALSE)</f>
        <v>43777</v>
      </c>
      <c r="E365" s="48">
        <f>VLOOKUP($A365, CAD_AMORTIZACAO[#Data], MATCH(E$318, CAD_ATUALIZACAO[#Headers],0), FALSE)</f>
        <v>729.02756899999997</v>
      </c>
      <c r="F365" s="36">
        <f>VLOOKUP($A365, CAD_AMORTIZACAO[#Data], MATCH(F$318, CAD_ATUALIZACAO[#Headers],0), FALSE)</f>
        <v>43783</v>
      </c>
      <c r="G365" s="47">
        <f>WORKDAY(WORKDAY(TAB_AMORTIZACAO_U[[#This Row],[DT_EVE]], -1, TAB_FERIADOS[FER_DATA]), 1, TAB_FERIADOS[FER_DATA])</f>
        <v>43777</v>
      </c>
      <c r="H365" s="75">
        <f>WORKDAY(WORKDAY(TAB_AMORTIZACAO_U[[#This Row],[DT_LQDC_EVE]], -1, TAB_FERIADOS[FER_DATA]), 1, TAB_FERIADOS[FER_DATA])</f>
        <v>43783</v>
      </c>
      <c r="I365" s="48">
        <f>PU_EMISSAO - SUMIF(TAB_AMORTIZACAO_U[dt_eve_u], "&lt;" &amp; TAB_AMORTIZACAO_U[[#This Row],[dt_eve_u]], TAB_AMORTIZACAO_U[V_PU_AMTC])</f>
        <v>60334.980530000008</v>
      </c>
      <c r="J365" s="48">
        <f>IFERROR(VLOOKUP(TAB_AMORTIZACAO_U[[#This Row],[DT_EVE]], TAB_AMORTIZACAO_U[[DT_EVE]:[V_PU_AMTC]], 2, FALSE), 0)</f>
        <v>729.02756899999997</v>
      </c>
      <c r="K365" s="48">
        <f>NETWORKDAYS(DT_CALCULO_U, TAB_AMORTIZACAO_U[[#This Row],[dt_eve_u]], TAB_FERIADOS[FER_DATA]) -1</f>
        <v>971</v>
      </c>
      <c r="L365" s="48">
        <f>NETWORKDAYS(DT_CALCULO_U, TAB_AMORTIZACAO_U[[#This Row],[dt_lqdc_eve_u]], TAB_FERIADOS[FER_DATA]) -1</f>
        <v>975</v>
      </c>
      <c r="M365" s="48">
        <f>NETWORKDAYS(IF(ISTEXT(G364), DT_B_CORC, G364), TAB_AMORTIZACAO_U[[#This Row],[dt_eve_u]], TAB_FERIADOS[FER_DATA]) -1</f>
        <v>23</v>
      </c>
      <c r="N365" s="78">
        <f>(TX_EMISSAO/100 +1)^(TAB_AMORTIZACAO_U[[#This Row],[dias_periodo_u]]/252)</f>
        <v>1.0022562323017139</v>
      </c>
      <c r="O365" s="78">
        <f>(TIR_U/100 +1)^(TAB_AMORTIZACAO_U[[#This Row],[Q_DIAS_U_PARC_TIR]]/252)</f>
        <v>1.1002607349111424</v>
      </c>
      <c r="P365" s="116" t="str">
        <f>"TX_CENARIO" &amp; TEXT(DT_CALCULO_C, "-AAAAMMDD") &amp; TEXT(TAB_AMORTIZACAO_U[[#This Row],[DT_EVE]], "-AAAAMMDD")</f>
        <v>TX_CENARIO-20151228-20191108</v>
      </c>
      <c r="Q365" s="44">
        <f>IFERROR(VLOOKUP(TAB_AMORTIZACAO_U[[#This Row],[Chave-CENARIO]],CENARIO[],2,FALSE), 0)</f>
        <v>16.617999999999999</v>
      </c>
      <c r="R365" s="117" t="str">
        <f t="shared" si="10"/>
        <v>n/a</v>
      </c>
      <c r="S365" s="49" t="str">
        <f t="shared" si="10"/>
        <v>n/a</v>
      </c>
      <c r="T365" s="78">
        <f>IF(TAB_AMORTIZACAO_U[[#This Row],[Q_DIAS_U_PARC_TIR]]&lt;0, 0, TAB_AMORTIZACAO_U[[#This Row],[PU_AMORT]])</f>
        <v>729.02756899999997</v>
      </c>
      <c r="U365" s="78">
        <f>MAX(0, TAB_AMORTIZACAO_U[[#This Row],[V_FUT_U_PCPL-01]]/((((TAB_AMORTIZACAO_U[[#This Row],[TX_CENARIO]]/100 +1)^(1/252) -1) * PC_IDXR/100 +1)^TAB_AMORTIZACAO_U[[#This Row],[Q_DIAS_U_PARC_TIR]]))</f>
        <v>402.1839256131006</v>
      </c>
      <c r="V365" s="78">
        <f>+TAB_AMORTIZACAO_U[[#This Row],[V_FUT_U_PCPL-02]]/TAB_AMORTIZACAO_U[[#This Row],[VAR_DESCAP_U]]</f>
        <v>365.5351071358383</v>
      </c>
      <c r="W365" s="78"/>
      <c r="X365" s="101">
        <f>TAB_AMORTIZACAO_U[[#This Row],[dt_eve_u]]- DT_CALCULO_C</f>
        <v>1411</v>
      </c>
      <c r="Y365" s="49" t="str">
        <f t="shared" si="11"/>
        <v>n/a</v>
      </c>
      <c r="Z365" s="49" t="str">
        <f t="shared" si="11"/>
        <v>n/a</v>
      </c>
      <c r="AA365" s="44">
        <f>TAB_AMORTIZACAO_U[[#This Row],[V_PU_AMTC]]</f>
        <v>729.02756899999997</v>
      </c>
      <c r="AB365" s="44">
        <f>(TIR_C/100 +1)^(TAB_AMORTIZACAO_C[[#This Row],[DIAS_CORRIDOS]]/360)</f>
        <v>1.1001131494298326</v>
      </c>
      <c r="AC365" s="44">
        <f>IF(TAB_AMORTIZACAO_C[[#This Row],[DIAS_CORRIDOS]]&lt;0, 0, TAB_AMORTIZACAO_C[[#This Row],[V_FUT_C_PCPL]]/TAB_AMORTIZACAO_C[[#This Row],[VAR_DESCAP_C]])</f>
        <v>662.68416969458178</v>
      </c>
      <c r="AD365" s="115">
        <f>TAB_AMORTIZACAO_U[[#This Row],[V_FUT_U_PCPL-02]]</f>
        <v>402.1839256131006</v>
      </c>
      <c r="AE365" s="127">
        <f>IF(TAB_AMORTIZACAO_C[[#This Row],[DIAS_CORRIDOS]]&lt;0, 0, TAB_AMORTIZACAO_C[[#This Row],[V_FUT_UTEIS]]/TAB_AMORTIZACAO_C[[#This Row],[VAR_DESCAP_C]])</f>
        <v>365.5841454322628</v>
      </c>
      <c r="AF365" s="64"/>
    </row>
    <row r="366" spans="1:32">
      <c r="A366" s="82">
        <f t="shared" si="9"/>
        <v>48</v>
      </c>
      <c r="B366" s="24">
        <f>VLOOKUP($A366, CAD_AMORTIZACAO[#Data], MATCH(B$318, CAD_ATUALIZACAO[#Headers],0), FALSE)</f>
        <v>4</v>
      </c>
      <c r="C366" s="24" t="str">
        <f>VLOOKUP($A366, CAD_AMORTIZACAO[#Data], MATCH(C$318, CAD_ATUALIZACAO[#Headers],0), FALSE)</f>
        <v xml:space="preserve">AMORTIZACAO                                       </v>
      </c>
      <c r="D366" s="36">
        <f>VLOOKUP($A366, CAD_AMORTIZACAO[#Data], MATCH(D$318, CAD_ATUALIZACAO[#Headers],0), FALSE)</f>
        <v>43808</v>
      </c>
      <c r="E366" s="48">
        <f>VLOOKUP($A366, CAD_AMORTIZACAO[#Data], MATCH(E$318, CAD_ATUALIZACAO[#Headers],0), FALSE)</f>
        <v>738.10051499999997</v>
      </c>
      <c r="F366" s="36">
        <f>VLOOKUP($A366, CAD_AMORTIZACAO[#Data], MATCH(F$318, CAD_ATUALIZACAO[#Headers],0), FALSE)</f>
        <v>43812</v>
      </c>
      <c r="G366" s="47">
        <f>WORKDAY(WORKDAY(TAB_AMORTIZACAO_U[[#This Row],[DT_EVE]], -1, TAB_FERIADOS[FER_DATA]), 1, TAB_FERIADOS[FER_DATA])</f>
        <v>43808</v>
      </c>
      <c r="H366" s="75">
        <f>WORKDAY(WORKDAY(TAB_AMORTIZACAO_U[[#This Row],[DT_LQDC_EVE]], -1, TAB_FERIADOS[FER_DATA]), 1, TAB_FERIADOS[FER_DATA])</f>
        <v>43812</v>
      </c>
      <c r="I366" s="48">
        <f>PU_EMISSAO - SUMIF(TAB_AMORTIZACAO_U[dt_eve_u], "&lt;" &amp; TAB_AMORTIZACAO_U[[#This Row],[dt_eve_u]], TAB_AMORTIZACAO_U[V_PU_AMTC])</f>
        <v>59605.95296100001</v>
      </c>
      <c r="J366" s="48">
        <f>IFERROR(VLOOKUP(TAB_AMORTIZACAO_U[[#This Row],[DT_EVE]], TAB_AMORTIZACAO_U[[DT_EVE]:[V_PU_AMTC]], 2, FALSE), 0)</f>
        <v>738.10051499999997</v>
      </c>
      <c r="K366" s="48">
        <f>NETWORKDAYS(DT_CALCULO_U, TAB_AMORTIZACAO_U[[#This Row],[dt_eve_u]], TAB_FERIADOS[FER_DATA]) -1</f>
        <v>991</v>
      </c>
      <c r="L366" s="48">
        <f>NETWORKDAYS(DT_CALCULO_U, TAB_AMORTIZACAO_U[[#This Row],[dt_lqdc_eve_u]], TAB_FERIADOS[FER_DATA]) -1</f>
        <v>995</v>
      </c>
      <c r="M366" s="48">
        <f>NETWORKDAYS(IF(ISTEXT(G365), DT_B_CORC, G365), TAB_AMORTIZACAO_U[[#This Row],[dt_eve_u]], TAB_FERIADOS[FER_DATA]) -1</f>
        <v>20</v>
      </c>
      <c r="N366" s="78">
        <f>(TX_EMISSAO/100 +1)^(TAB_AMORTIZACAO_U[[#This Row],[dias_periodo_u]]/252)</f>
        <v>1.0019616526860928</v>
      </c>
      <c r="O366" s="78">
        <f>(TIR_U/100 +1)^(TAB_AMORTIZACAO_U[[#This Row],[Q_DIAS_U_PARC_TIR]]/252)</f>
        <v>1.1024192970211999</v>
      </c>
      <c r="P366" s="116" t="str">
        <f>"TX_CENARIO" &amp; TEXT(DT_CALCULO_C, "-AAAAMMDD") &amp; TEXT(TAB_AMORTIZACAO_U[[#This Row],[DT_EVE]], "-AAAAMMDD")</f>
        <v>TX_CENARIO-20151228-20191209</v>
      </c>
      <c r="Q366" s="44">
        <f>IFERROR(VLOOKUP(TAB_AMORTIZACAO_U[[#This Row],[Chave-CENARIO]],CENARIO[],2,FALSE), 0)</f>
        <v>16.6082</v>
      </c>
      <c r="R366" s="117" t="str">
        <f t="shared" si="10"/>
        <v>n/a</v>
      </c>
      <c r="S366" s="49" t="str">
        <f t="shared" si="10"/>
        <v>n/a</v>
      </c>
      <c r="T366" s="78">
        <f>IF(TAB_AMORTIZACAO_U[[#This Row],[Q_DIAS_U_PARC_TIR]]&lt;0, 0, TAB_AMORTIZACAO_U[[#This Row],[PU_AMORT]])</f>
        <v>738.10051499999997</v>
      </c>
      <c r="U366" s="78">
        <f>MAX(0, TAB_AMORTIZACAO_U[[#This Row],[V_FUT_U_PCPL-01]]/((((TAB_AMORTIZACAO_U[[#This Row],[TX_CENARIO]]/100 +1)^(1/252) -1) * PC_IDXR/100 +1)^TAB_AMORTIZACAO_U[[#This Row],[Q_DIAS_U_PARC_TIR]]))</f>
        <v>402.38475288032851</v>
      </c>
      <c r="V366" s="78">
        <f>+TAB_AMORTIZACAO_U[[#This Row],[V_FUT_U_PCPL-02]]/TAB_AMORTIZACAO_U[[#This Row],[VAR_DESCAP_U]]</f>
        <v>365.00155065100472</v>
      </c>
      <c r="W366" s="78"/>
      <c r="X366" s="101">
        <f>TAB_AMORTIZACAO_U[[#This Row],[dt_eve_u]]- DT_CALCULO_C</f>
        <v>1442</v>
      </c>
      <c r="Y366" s="49" t="str">
        <f t="shared" si="11"/>
        <v>n/a</v>
      </c>
      <c r="Z366" s="49" t="str">
        <f t="shared" si="11"/>
        <v>n/a</v>
      </c>
      <c r="AA366" s="44">
        <f>TAB_AMORTIZACAO_U[[#This Row],[V_PU_AMTC]]</f>
        <v>738.10051499999997</v>
      </c>
      <c r="AB366" s="44">
        <f>(TIR_C/100 +1)^(TAB_AMORTIZACAO_C[[#This Row],[DIAS_CORRIDOS]]/360)</f>
        <v>1.1024216768219601</v>
      </c>
      <c r="AC366" s="44">
        <f>IF(TAB_AMORTIZACAO_C[[#This Row],[DIAS_CORRIDOS]]&lt;0, 0, TAB_AMORTIZACAO_C[[#This Row],[V_FUT_C_PCPL]]/TAB_AMORTIZACAO_C[[#This Row],[VAR_DESCAP_C]])</f>
        <v>669.5264892901796</v>
      </c>
      <c r="AD366" s="115">
        <f>TAB_AMORTIZACAO_U[[#This Row],[V_FUT_U_PCPL-02]]</f>
        <v>402.38475288032851</v>
      </c>
      <c r="AE366" s="127">
        <f>IF(TAB_AMORTIZACAO_C[[#This Row],[DIAS_CORRIDOS]]&lt;0, 0, TAB_AMORTIZACAO_C[[#This Row],[V_FUT_UTEIS]]/TAB_AMORTIZACAO_C[[#This Row],[VAR_DESCAP_C]])</f>
        <v>365.0007627211354</v>
      </c>
      <c r="AF366" s="64"/>
    </row>
    <row r="367" spans="1:32">
      <c r="A367" s="82">
        <f t="shared" si="9"/>
        <v>49</v>
      </c>
      <c r="B367" s="24">
        <f>VLOOKUP($A367, CAD_AMORTIZACAO[#Data], MATCH(B$318, CAD_ATUALIZACAO[#Headers],0), FALSE)</f>
        <v>4</v>
      </c>
      <c r="C367" s="24" t="str">
        <f>VLOOKUP($A367, CAD_AMORTIZACAO[#Data], MATCH(C$318, CAD_ATUALIZACAO[#Headers],0), FALSE)</f>
        <v xml:space="preserve">AMORTIZACAO                                       </v>
      </c>
      <c r="D367" s="36">
        <f>VLOOKUP($A367, CAD_AMORTIZACAO[#Data], MATCH(D$318, CAD_ATUALIZACAO[#Headers],0), FALSE)</f>
        <v>43839</v>
      </c>
      <c r="E367" s="48">
        <f>VLOOKUP($A367, CAD_AMORTIZACAO[#Data], MATCH(E$318, CAD_ATUALIZACAO[#Headers],0), FALSE)</f>
        <v>782.11828700000001</v>
      </c>
      <c r="F367" s="36">
        <f>VLOOKUP($A367, CAD_AMORTIZACAO[#Data], MATCH(F$318, CAD_ATUALIZACAO[#Headers],0), FALSE)</f>
        <v>43845</v>
      </c>
      <c r="G367" s="47">
        <f>WORKDAY(WORKDAY(TAB_AMORTIZACAO_U[[#This Row],[DT_EVE]], -1, TAB_FERIADOS[FER_DATA]), 1, TAB_FERIADOS[FER_DATA])</f>
        <v>43839</v>
      </c>
      <c r="H367" s="75">
        <f>WORKDAY(WORKDAY(TAB_AMORTIZACAO_U[[#This Row],[DT_LQDC_EVE]], -1, TAB_FERIADOS[FER_DATA]), 1, TAB_FERIADOS[FER_DATA])</f>
        <v>43845</v>
      </c>
      <c r="I367" s="48">
        <f>PU_EMISSAO - SUMIF(TAB_AMORTIZACAO_U[dt_eve_u], "&lt;" &amp; TAB_AMORTIZACAO_U[[#This Row],[dt_eve_u]], TAB_AMORTIZACAO_U[V_PU_AMTC])</f>
        <v>58867.852446000012</v>
      </c>
      <c r="J367" s="48">
        <f>IFERROR(VLOOKUP(TAB_AMORTIZACAO_U[[#This Row],[DT_EVE]], TAB_AMORTIZACAO_U[[DT_EVE]:[V_PU_AMTC]], 2, FALSE), 0)</f>
        <v>782.11828700000001</v>
      </c>
      <c r="K367" s="48">
        <f>NETWORKDAYS(DT_CALCULO_U, TAB_AMORTIZACAO_U[[#This Row],[dt_eve_u]], TAB_FERIADOS[FER_DATA]) -1</f>
        <v>1012</v>
      </c>
      <c r="L367" s="48">
        <f>NETWORKDAYS(DT_CALCULO_U, TAB_AMORTIZACAO_U[[#This Row],[dt_lqdc_eve_u]], TAB_FERIADOS[FER_DATA]) -1</f>
        <v>1016</v>
      </c>
      <c r="M367" s="48">
        <f>NETWORKDAYS(IF(ISTEXT(G366), DT_B_CORC, G366), TAB_AMORTIZACAO_U[[#This Row],[dt_eve_u]], TAB_FERIADOS[FER_DATA]) -1</f>
        <v>21</v>
      </c>
      <c r="N367" s="78">
        <f>(TX_EMISSAO/100 +1)^(TAB_AMORTIZACAO_U[[#This Row],[dias_periodo_u]]/252)</f>
        <v>1.0020598362698427</v>
      </c>
      <c r="O367" s="78">
        <f>(TIR_U/100 +1)^(TAB_AMORTIZACAO_U[[#This Row],[Q_DIAS_U_PARC_TIR]]/252)</f>
        <v>1.1046903450953045</v>
      </c>
      <c r="P367" s="116" t="str">
        <f>"TX_CENARIO" &amp; TEXT(DT_CALCULO_C, "-AAAAMMDD") &amp; TEXT(TAB_AMORTIZACAO_U[[#This Row],[DT_EVE]], "-AAAAMMDD")</f>
        <v>TX_CENARIO-20151228-20200109</v>
      </c>
      <c r="Q367" s="44">
        <f>IFERROR(VLOOKUP(TAB_AMORTIZACAO_U[[#This Row],[Chave-CENARIO]],CENARIO[],2,FALSE), 0)</f>
        <v>16.5974</v>
      </c>
      <c r="R367" s="117" t="str">
        <f t="shared" si="10"/>
        <v>n/a</v>
      </c>
      <c r="S367" s="49" t="str">
        <f t="shared" si="10"/>
        <v>n/a</v>
      </c>
      <c r="T367" s="78">
        <f>IF(TAB_AMORTIZACAO_U[[#This Row],[Q_DIAS_U_PARC_TIR]]&lt;0, 0, TAB_AMORTIZACAO_U[[#This Row],[PU_AMORT]])</f>
        <v>782.11828700000001</v>
      </c>
      <c r="U367" s="78">
        <f>MAX(0, TAB_AMORTIZACAO_U[[#This Row],[V_FUT_U_PCPL-01]]/((((TAB_AMORTIZACAO_U[[#This Row],[TX_CENARIO]]/100 +1)^(1/252) -1) * PC_IDXR/100 +1)^TAB_AMORTIZACAO_U[[#This Row],[Q_DIAS_U_PARC_TIR]]))</f>
        <v>421.11418309218033</v>
      </c>
      <c r="V367" s="78">
        <f>+TAB_AMORTIZACAO_U[[#This Row],[V_FUT_U_PCPL-02]]/TAB_AMORTIZACAO_U[[#This Row],[VAR_DESCAP_U]]</f>
        <v>381.20563374331812</v>
      </c>
      <c r="W367" s="78"/>
      <c r="X367" s="101">
        <f>TAB_AMORTIZACAO_U[[#This Row],[dt_eve_u]]- DT_CALCULO_C</f>
        <v>1473</v>
      </c>
      <c r="Y367" s="49" t="str">
        <f t="shared" si="11"/>
        <v>n/a</v>
      </c>
      <c r="Z367" s="49" t="str">
        <f t="shared" si="11"/>
        <v>n/a</v>
      </c>
      <c r="AA367" s="44">
        <f>TAB_AMORTIZACAO_U[[#This Row],[V_PU_AMTC]]</f>
        <v>782.11828700000001</v>
      </c>
      <c r="AB367" s="44">
        <f>(TIR_C/100 +1)^(TAB_AMORTIZACAO_C[[#This Row],[DIAS_CORRIDOS]]/360)</f>
        <v>1.1047350485328042</v>
      </c>
      <c r="AC367" s="44">
        <f>IF(TAB_AMORTIZACAO_C[[#This Row],[DIAS_CORRIDOS]]&lt;0, 0, TAB_AMORTIZACAO_C[[#This Row],[V_FUT_C_PCPL]]/TAB_AMORTIZACAO_C[[#This Row],[VAR_DESCAP_C]])</f>
        <v>707.96910810309612</v>
      </c>
      <c r="AD367" s="115">
        <f>TAB_AMORTIZACAO_U[[#This Row],[V_FUT_U_PCPL-02]]</f>
        <v>421.11418309218033</v>
      </c>
      <c r="AE367" s="127">
        <f>IF(TAB_AMORTIZACAO_C[[#This Row],[DIAS_CORRIDOS]]&lt;0, 0, TAB_AMORTIZACAO_C[[#This Row],[V_FUT_UTEIS]]/TAB_AMORTIZACAO_C[[#This Row],[VAR_DESCAP_C]])</f>
        <v>381.19020814217942</v>
      </c>
      <c r="AF367" s="64"/>
    </row>
    <row r="368" spans="1:32">
      <c r="A368" s="82">
        <f t="shared" si="9"/>
        <v>50</v>
      </c>
      <c r="B368" s="24">
        <f>VLOOKUP($A368, CAD_AMORTIZACAO[#Data], MATCH(B$318, CAD_ATUALIZACAO[#Headers],0), FALSE)</f>
        <v>4</v>
      </c>
      <c r="C368" s="24" t="str">
        <f>VLOOKUP($A368, CAD_AMORTIZACAO[#Data], MATCH(C$318, CAD_ATUALIZACAO[#Headers],0), FALSE)</f>
        <v xml:space="preserve">AMORTIZACAO                                       </v>
      </c>
      <c r="D368" s="36">
        <f>VLOOKUP($A368, CAD_AMORTIZACAO[#Data], MATCH(D$318, CAD_ATUALIZACAO[#Headers],0), FALSE)</f>
        <v>43871</v>
      </c>
      <c r="E368" s="48">
        <f>VLOOKUP($A368, CAD_AMORTIZACAO[#Data], MATCH(E$318, CAD_ATUALIZACAO[#Headers],0), FALSE)</f>
        <v>766.96403299999997</v>
      </c>
      <c r="F368" s="36">
        <f>VLOOKUP($A368, CAD_AMORTIZACAO[#Data], MATCH(F$318, CAD_ATUALIZACAO[#Headers],0), FALSE)</f>
        <v>43875</v>
      </c>
      <c r="G368" s="47">
        <f>WORKDAY(WORKDAY(TAB_AMORTIZACAO_U[[#This Row],[DT_EVE]], -1, TAB_FERIADOS[FER_DATA]), 1, TAB_FERIADOS[FER_DATA])</f>
        <v>43871</v>
      </c>
      <c r="H368" s="75">
        <f>WORKDAY(WORKDAY(TAB_AMORTIZACAO_U[[#This Row],[DT_LQDC_EVE]], -1, TAB_FERIADOS[FER_DATA]), 1, TAB_FERIADOS[FER_DATA])</f>
        <v>43875</v>
      </c>
      <c r="I368" s="48">
        <f>PU_EMISSAO - SUMIF(TAB_AMORTIZACAO_U[dt_eve_u], "&lt;" &amp; TAB_AMORTIZACAO_U[[#This Row],[dt_eve_u]], TAB_AMORTIZACAO_U[V_PU_AMTC])</f>
        <v>58085.734159000014</v>
      </c>
      <c r="J368" s="48">
        <f>IFERROR(VLOOKUP(TAB_AMORTIZACAO_U[[#This Row],[DT_EVE]], TAB_AMORTIZACAO_U[[DT_EVE]:[V_PU_AMTC]], 2, FALSE), 0)</f>
        <v>766.96403299999997</v>
      </c>
      <c r="K368" s="48">
        <f>NETWORKDAYS(DT_CALCULO_U, TAB_AMORTIZACAO_U[[#This Row],[dt_eve_u]], TAB_FERIADOS[FER_DATA]) -1</f>
        <v>1034</v>
      </c>
      <c r="L368" s="48">
        <f>NETWORKDAYS(DT_CALCULO_U, TAB_AMORTIZACAO_U[[#This Row],[dt_lqdc_eve_u]], TAB_FERIADOS[FER_DATA]) -1</f>
        <v>1038</v>
      </c>
      <c r="M368" s="48">
        <f>NETWORKDAYS(IF(ISTEXT(G367), DT_B_CORC, G367), TAB_AMORTIZACAO_U[[#This Row],[dt_eve_u]], TAB_FERIADOS[FER_DATA]) -1</f>
        <v>22</v>
      </c>
      <c r="N368" s="78">
        <f>(TX_EMISSAO/100 +1)^(TAB_AMORTIZACAO_U[[#This Row],[dias_periodo_u]]/252)</f>
        <v>1.0021580294747356</v>
      </c>
      <c r="O368" s="78">
        <f>(TIR_U/100 +1)^(TAB_AMORTIZACAO_U[[#This Row],[Q_DIAS_U_PARC_TIR]]/252)</f>
        <v>1.1070745564537186</v>
      </c>
      <c r="P368" s="116" t="str">
        <f>"TX_CENARIO" &amp; TEXT(DT_CALCULO_C, "-AAAAMMDD") &amp; TEXT(TAB_AMORTIZACAO_U[[#This Row],[DT_EVE]], "-AAAAMMDD")</f>
        <v>TX_CENARIO-20151228-20200210</v>
      </c>
      <c r="Q368" s="44">
        <f>IFERROR(VLOOKUP(TAB_AMORTIZACAO_U[[#This Row],[Chave-CENARIO]],CENARIO[],2,FALSE), 0)</f>
        <v>16.5854</v>
      </c>
      <c r="R368" s="117" t="str">
        <f t="shared" si="10"/>
        <v>n/a</v>
      </c>
      <c r="S368" s="49" t="str">
        <f t="shared" si="10"/>
        <v>n/a</v>
      </c>
      <c r="T368" s="78">
        <f>IF(TAB_AMORTIZACAO_U[[#This Row],[Q_DIAS_U_PARC_TIR]]&lt;0, 0, TAB_AMORTIZACAO_U[[#This Row],[PU_AMORT]])</f>
        <v>766.96403299999997</v>
      </c>
      <c r="U368" s="78">
        <f>MAX(0, TAB_AMORTIZACAO_U[[#This Row],[V_FUT_U_PCPL-01]]/((((TAB_AMORTIZACAO_U[[#This Row],[TX_CENARIO]]/100 +1)^(1/252) -1) * PC_IDXR/100 +1)^TAB_AMORTIZACAO_U[[#This Row],[Q_DIAS_U_PARC_TIR]]))</f>
        <v>407.62846197590784</v>
      </c>
      <c r="V368" s="78">
        <f>+TAB_AMORTIZACAO_U[[#This Row],[V_FUT_U_PCPL-02]]/TAB_AMORTIZACAO_U[[#This Row],[VAR_DESCAP_U]]</f>
        <v>368.20326110796026</v>
      </c>
      <c r="W368" s="78"/>
      <c r="X368" s="101">
        <f>TAB_AMORTIZACAO_U[[#This Row],[dt_eve_u]]- DT_CALCULO_C</f>
        <v>1505</v>
      </c>
      <c r="Y368" s="49" t="str">
        <f t="shared" si="11"/>
        <v>n/a</v>
      </c>
      <c r="Z368" s="49" t="str">
        <f t="shared" si="11"/>
        <v>n/a</v>
      </c>
      <c r="AA368" s="44">
        <f>TAB_AMORTIZACAO_U[[#This Row],[V_PU_AMTC]]</f>
        <v>766.96403299999997</v>
      </c>
      <c r="AB368" s="44">
        <f>(TIR_C/100 +1)^(TAB_AMORTIZACAO_C[[#This Row],[DIAS_CORRIDOS]]/360)</f>
        <v>1.1071281371567823</v>
      </c>
      <c r="AC368" s="44">
        <f>IF(TAB_AMORTIZACAO_C[[#This Row],[DIAS_CORRIDOS]]&lt;0, 0, TAB_AMORTIZACAO_C[[#This Row],[V_FUT_C_PCPL]]/TAB_AMORTIZACAO_C[[#This Row],[VAR_DESCAP_C]])</f>
        <v>692.75091767574588</v>
      </c>
      <c r="AD368" s="115">
        <f>TAB_AMORTIZACAO_U[[#This Row],[V_FUT_U_PCPL-02]]</f>
        <v>407.62846197590784</v>
      </c>
      <c r="AE368" s="127">
        <f>IF(TAB_AMORTIZACAO_C[[#This Row],[DIAS_CORRIDOS]]&lt;0, 0, TAB_AMORTIZACAO_C[[#This Row],[V_FUT_UTEIS]]/TAB_AMORTIZACAO_C[[#This Row],[VAR_DESCAP_C]])</f>
        <v>368.18544149978811</v>
      </c>
      <c r="AF368" s="64"/>
    </row>
    <row r="369" spans="1:32">
      <c r="A369" s="82">
        <f t="shared" si="9"/>
        <v>51</v>
      </c>
      <c r="B369" s="24">
        <f>VLOOKUP($A369, CAD_AMORTIZACAO[#Data], MATCH(B$318, CAD_ATUALIZACAO[#Headers],0), FALSE)</f>
        <v>4</v>
      </c>
      <c r="C369" s="24" t="str">
        <f>VLOOKUP($A369, CAD_AMORTIZACAO[#Data], MATCH(C$318, CAD_ATUALIZACAO[#Headers],0), FALSE)</f>
        <v xml:space="preserve">AMORTIZACAO                                       </v>
      </c>
      <c r="D369" s="36">
        <f>VLOOKUP($A369, CAD_AMORTIZACAO[#Data], MATCH(D$318, CAD_ATUALIZACAO[#Headers],0), FALSE)</f>
        <v>43899</v>
      </c>
      <c r="E369" s="48">
        <f>VLOOKUP($A369, CAD_AMORTIZACAO[#Data], MATCH(E$318, CAD_ATUALIZACAO[#Headers],0), FALSE)</f>
        <v>782.34389299999998</v>
      </c>
      <c r="F369" s="36">
        <f>VLOOKUP($A369, CAD_AMORTIZACAO[#Data], MATCH(F$318, CAD_ATUALIZACAO[#Headers],0), FALSE)</f>
        <v>43903</v>
      </c>
      <c r="G369" s="47">
        <f>WORKDAY(WORKDAY(TAB_AMORTIZACAO_U[[#This Row],[DT_EVE]], -1, TAB_FERIADOS[FER_DATA]), 1, TAB_FERIADOS[FER_DATA])</f>
        <v>43899</v>
      </c>
      <c r="H369" s="75">
        <f>WORKDAY(WORKDAY(TAB_AMORTIZACAO_U[[#This Row],[DT_LQDC_EVE]], -1, TAB_FERIADOS[FER_DATA]), 1, TAB_FERIADOS[FER_DATA])</f>
        <v>43903</v>
      </c>
      <c r="I369" s="48">
        <f>PU_EMISSAO - SUMIF(TAB_AMORTIZACAO_U[dt_eve_u], "&lt;" &amp; TAB_AMORTIZACAO_U[[#This Row],[dt_eve_u]], TAB_AMORTIZACAO_U[V_PU_AMTC])</f>
        <v>57318.770126000018</v>
      </c>
      <c r="J369" s="48">
        <f>IFERROR(VLOOKUP(TAB_AMORTIZACAO_U[[#This Row],[DT_EVE]], TAB_AMORTIZACAO_U[[DT_EVE]:[V_PU_AMTC]], 2, FALSE), 0)</f>
        <v>782.34389299999998</v>
      </c>
      <c r="K369" s="48">
        <f>NETWORKDAYS(DT_CALCULO_U, TAB_AMORTIZACAO_U[[#This Row],[dt_eve_u]], TAB_FERIADOS[FER_DATA]) -1</f>
        <v>1052</v>
      </c>
      <c r="L369" s="48">
        <f>NETWORKDAYS(DT_CALCULO_U, TAB_AMORTIZACAO_U[[#This Row],[dt_lqdc_eve_u]], TAB_FERIADOS[FER_DATA]) -1</f>
        <v>1056</v>
      </c>
      <c r="M369" s="48">
        <f>NETWORKDAYS(IF(ISTEXT(G368), DT_B_CORC, G368), TAB_AMORTIZACAO_U[[#This Row],[dt_eve_u]], TAB_FERIADOS[FER_DATA]) -1</f>
        <v>18</v>
      </c>
      <c r="N369" s="78">
        <f>(TX_EMISSAO/100 +1)^(TAB_AMORTIZACAO_U[[#This Row],[dias_periodo_u]]/252)</f>
        <v>1.0017653143782506</v>
      </c>
      <c r="O369" s="78">
        <f>(TIR_U/100 +1)^(TAB_AMORTIZACAO_U[[#This Row],[Q_DIAS_U_PARC_TIR]]/252)</f>
        <v>1.1090291017572376</v>
      </c>
      <c r="P369" s="116" t="str">
        <f>"TX_CENARIO" &amp; TEXT(DT_CALCULO_C, "-AAAAMMDD") &amp; TEXT(TAB_AMORTIZACAO_U[[#This Row],[DT_EVE]], "-AAAAMMDD")</f>
        <v>TX_CENARIO-20151228-20200309</v>
      </c>
      <c r="Q369" s="44">
        <f>IFERROR(VLOOKUP(TAB_AMORTIZACAO_U[[#This Row],[Chave-CENARIO]],CENARIO[],2,FALSE), 0)</f>
        <v>16.575900000000001</v>
      </c>
      <c r="R369" s="117" t="str">
        <f t="shared" si="10"/>
        <v>n/a</v>
      </c>
      <c r="S369" s="49" t="str">
        <f t="shared" si="10"/>
        <v>n/a</v>
      </c>
      <c r="T369" s="78">
        <f>IF(TAB_AMORTIZACAO_U[[#This Row],[Q_DIAS_U_PARC_TIR]]&lt;0, 0, TAB_AMORTIZACAO_U[[#This Row],[PU_AMORT]])</f>
        <v>782.34389299999998</v>
      </c>
      <c r="U369" s="78">
        <f>MAX(0, TAB_AMORTIZACAO_U[[#This Row],[V_FUT_U_PCPL-01]]/((((TAB_AMORTIZACAO_U[[#This Row],[TX_CENARIO]]/100 +1)^(1/252) -1) * PC_IDXR/100 +1)^TAB_AMORTIZACAO_U[[#This Row],[Q_DIAS_U_PARC_TIR]]))</f>
        <v>411.41033997625652</v>
      </c>
      <c r="V369" s="78">
        <f>+TAB_AMORTIZACAO_U[[#This Row],[V_FUT_U_PCPL-02]]/TAB_AMORTIZACAO_U[[#This Row],[VAR_DESCAP_U]]</f>
        <v>370.96442223597552</v>
      </c>
      <c r="W369" s="78"/>
      <c r="X369" s="101">
        <f>TAB_AMORTIZACAO_U[[#This Row],[dt_eve_u]]- DT_CALCULO_C</f>
        <v>1533</v>
      </c>
      <c r="Y369" s="49" t="str">
        <f t="shared" si="11"/>
        <v>n/a</v>
      </c>
      <c r="Z369" s="49" t="str">
        <f t="shared" si="11"/>
        <v>n/a</v>
      </c>
      <c r="AA369" s="44">
        <f>TAB_AMORTIZACAO_U[[#This Row],[V_PU_AMTC]]</f>
        <v>782.34389299999998</v>
      </c>
      <c r="AB369" s="44">
        <f>(TIR_C/100 +1)^(TAB_AMORTIZACAO_C[[#This Row],[DIAS_CORRIDOS]]/360)</f>
        <v>1.1092263417647261</v>
      </c>
      <c r="AC369" s="44">
        <f>IF(TAB_AMORTIZACAO_C[[#This Row],[DIAS_CORRIDOS]]&lt;0, 0, TAB_AMORTIZACAO_C[[#This Row],[V_FUT_C_PCPL]]/TAB_AMORTIZACAO_C[[#This Row],[VAR_DESCAP_C]])</f>
        <v>705.3059087609912</v>
      </c>
      <c r="AD369" s="115">
        <f>TAB_AMORTIZACAO_U[[#This Row],[V_FUT_U_PCPL-02]]</f>
        <v>411.41033997625652</v>
      </c>
      <c r="AE369" s="127">
        <f>IF(TAB_AMORTIZACAO_C[[#This Row],[DIAS_CORRIDOS]]&lt;0, 0, TAB_AMORTIZACAO_C[[#This Row],[V_FUT_UTEIS]]/TAB_AMORTIZACAO_C[[#This Row],[VAR_DESCAP_C]])</f>
        <v>370.89845821883597</v>
      </c>
      <c r="AF369" s="64"/>
    </row>
    <row r="370" spans="1:32">
      <c r="A370" s="82">
        <f t="shared" si="9"/>
        <v>52</v>
      </c>
      <c r="B370" s="24">
        <f>VLOOKUP($A370, CAD_AMORTIZACAO[#Data], MATCH(B$318, CAD_ATUALIZACAO[#Headers],0), FALSE)</f>
        <v>4</v>
      </c>
      <c r="C370" s="24" t="str">
        <f>VLOOKUP($A370, CAD_AMORTIZACAO[#Data], MATCH(C$318, CAD_ATUALIZACAO[#Headers],0), FALSE)</f>
        <v xml:space="preserve">AMORTIZACAO                                       </v>
      </c>
      <c r="D370" s="36">
        <f>VLOOKUP($A370, CAD_AMORTIZACAO[#Data], MATCH(D$318, CAD_ATUALIZACAO[#Headers],0), FALSE)</f>
        <v>43930</v>
      </c>
      <c r="E370" s="48">
        <f>VLOOKUP($A370, CAD_AMORTIZACAO[#Data], MATCH(E$318, CAD_ATUALIZACAO[#Headers],0), FALSE)</f>
        <v>750.74720300000001</v>
      </c>
      <c r="F370" s="36">
        <f>VLOOKUP($A370, CAD_AMORTIZACAO[#Data], MATCH(F$318, CAD_ATUALIZACAO[#Headers],0), FALSE)</f>
        <v>43936</v>
      </c>
      <c r="G370" s="47">
        <f>WORKDAY(WORKDAY(TAB_AMORTIZACAO_U[[#This Row],[DT_EVE]], -1, TAB_FERIADOS[FER_DATA]), 1, TAB_FERIADOS[FER_DATA])</f>
        <v>43930</v>
      </c>
      <c r="H370" s="75">
        <f>WORKDAY(WORKDAY(TAB_AMORTIZACAO_U[[#This Row],[DT_LQDC_EVE]], -1, TAB_FERIADOS[FER_DATA]), 1, TAB_FERIADOS[FER_DATA])</f>
        <v>43936</v>
      </c>
      <c r="I370" s="48">
        <f>PU_EMISSAO - SUMIF(TAB_AMORTIZACAO_U[dt_eve_u], "&lt;" &amp; TAB_AMORTIZACAO_U[[#This Row],[dt_eve_u]], TAB_AMORTIZACAO_U[V_PU_AMTC])</f>
        <v>56536.42623300002</v>
      </c>
      <c r="J370" s="48">
        <f>IFERROR(VLOOKUP(TAB_AMORTIZACAO_U[[#This Row],[DT_EVE]], TAB_AMORTIZACAO_U[[DT_EVE]:[V_PU_AMTC]], 2, FALSE), 0)</f>
        <v>750.74720300000001</v>
      </c>
      <c r="K370" s="48">
        <f>NETWORKDAYS(DT_CALCULO_U, TAB_AMORTIZACAO_U[[#This Row],[dt_eve_u]], TAB_FERIADOS[FER_DATA]) -1</f>
        <v>1075</v>
      </c>
      <c r="L370" s="48">
        <f>NETWORKDAYS(DT_CALCULO_U, TAB_AMORTIZACAO_U[[#This Row],[dt_lqdc_eve_u]], TAB_FERIADOS[FER_DATA]) -1</f>
        <v>1078</v>
      </c>
      <c r="M370" s="48">
        <f>NETWORKDAYS(IF(ISTEXT(G369), DT_B_CORC, G369), TAB_AMORTIZACAO_U[[#This Row],[dt_eve_u]], TAB_FERIADOS[FER_DATA]) -1</f>
        <v>23</v>
      </c>
      <c r="N370" s="78">
        <f>(TX_EMISSAO/100 +1)^(TAB_AMORTIZACAO_U[[#This Row],[dias_periodo_u]]/252)</f>
        <v>1.0022562323017139</v>
      </c>
      <c r="O370" s="78">
        <f>(TIR_U/100 +1)^(TAB_AMORTIZACAO_U[[#This Row],[Q_DIAS_U_PARC_TIR]]/252)</f>
        <v>1.1114226772899296</v>
      </c>
      <c r="P370" s="116" t="str">
        <f>"TX_CENARIO" &amp; TEXT(DT_CALCULO_C, "-AAAAMMDD") &amp; TEXT(TAB_AMORTIZACAO_U[[#This Row],[DT_EVE]], "-AAAAMMDD")</f>
        <v>TX_CENARIO-20151228-20200409</v>
      </c>
      <c r="Q370" s="44">
        <f>IFERROR(VLOOKUP(TAB_AMORTIZACAO_U[[#This Row],[Chave-CENARIO]],CENARIO[],2,FALSE), 0)</f>
        <v>16.564800000000002</v>
      </c>
      <c r="R370" s="117" t="str">
        <f t="shared" si="10"/>
        <v>n/a</v>
      </c>
      <c r="S370" s="49" t="str">
        <f t="shared" si="10"/>
        <v>n/a</v>
      </c>
      <c r="T370" s="78">
        <f>IF(TAB_AMORTIZACAO_U[[#This Row],[Q_DIAS_U_PARC_TIR]]&lt;0, 0, TAB_AMORTIZACAO_U[[#This Row],[PU_AMORT]])</f>
        <v>750.74720300000001</v>
      </c>
      <c r="U370" s="78">
        <f>MAX(0, TAB_AMORTIZACAO_U[[#This Row],[V_FUT_U_PCPL-01]]/((((TAB_AMORTIZACAO_U[[#This Row],[TX_CENARIO]]/100 +1)^(1/252) -1) * PC_IDXR/100 +1)^TAB_AMORTIZACAO_U[[#This Row],[Q_DIAS_U_PARC_TIR]]))</f>
        <v>389.70240017493052</v>
      </c>
      <c r="V370" s="78">
        <f>+TAB_AMORTIZACAO_U[[#This Row],[V_FUT_U_PCPL-02]]/TAB_AMORTIZACAO_U[[#This Row],[VAR_DESCAP_U]]</f>
        <v>350.63383907657249</v>
      </c>
      <c r="W370" s="78"/>
      <c r="X370" s="101">
        <f>TAB_AMORTIZACAO_U[[#This Row],[dt_eve_u]]- DT_CALCULO_C</f>
        <v>1564</v>
      </c>
      <c r="Y370" s="49" t="str">
        <f t="shared" si="11"/>
        <v>n/a</v>
      </c>
      <c r="Z370" s="49" t="str">
        <f t="shared" si="11"/>
        <v>n/a</v>
      </c>
      <c r="AA370" s="44">
        <f>TAB_AMORTIZACAO_U[[#This Row],[V_PU_AMTC]]</f>
        <v>750.74720300000001</v>
      </c>
      <c r="AB370" s="44">
        <f>(TIR_C/100 +1)^(TAB_AMORTIZACAO_C[[#This Row],[DIAS_CORRIDOS]]/360)</f>
        <v>1.1115539926935059</v>
      </c>
      <c r="AC370" s="44">
        <f>IF(TAB_AMORTIZACAO_C[[#This Row],[DIAS_CORRIDOS]]&lt;0, 0, TAB_AMORTIZACAO_C[[#This Row],[V_FUT_C_PCPL]]/TAB_AMORTIZACAO_C[[#This Row],[VAR_DESCAP_C]])</f>
        <v>675.40327139736803</v>
      </c>
      <c r="AD370" s="115">
        <f>TAB_AMORTIZACAO_U[[#This Row],[V_FUT_U_PCPL-02]]</f>
        <v>389.70240017493052</v>
      </c>
      <c r="AE370" s="127">
        <f>IF(TAB_AMORTIZACAO_C[[#This Row],[DIAS_CORRIDOS]]&lt;0, 0, TAB_AMORTIZACAO_C[[#This Row],[V_FUT_UTEIS]]/TAB_AMORTIZACAO_C[[#This Row],[VAR_DESCAP_C]])</f>
        <v>350.59241632573134</v>
      </c>
      <c r="AF370" s="64"/>
    </row>
    <row r="371" spans="1:32">
      <c r="A371" s="82">
        <f t="shared" si="9"/>
        <v>53</v>
      </c>
      <c r="B371" s="24">
        <f>VLOOKUP($A371, CAD_AMORTIZACAO[#Data], MATCH(B$318, CAD_ATUALIZACAO[#Headers],0), FALSE)</f>
        <v>4</v>
      </c>
      <c r="C371" s="24" t="str">
        <f>VLOOKUP($A371, CAD_AMORTIZACAO[#Data], MATCH(C$318, CAD_ATUALIZACAO[#Headers],0), FALSE)</f>
        <v xml:space="preserve">AMORTIZACAO                                       </v>
      </c>
      <c r="D371" s="36">
        <f>VLOOKUP($A371, CAD_AMORTIZACAO[#Data], MATCH(D$318, CAD_ATUALIZACAO[#Headers],0), FALSE)</f>
        <v>43962</v>
      </c>
      <c r="E371" s="48">
        <f>VLOOKUP($A371, CAD_AMORTIZACAO[#Data], MATCH(E$318, CAD_ATUALIZACAO[#Headers],0), FALSE)</f>
        <v>753.77609500000005</v>
      </c>
      <c r="F371" s="36">
        <f>VLOOKUP($A371, CAD_AMORTIZACAO[#Data], MATCH(F$318, CAD_ATUALIZACAO[#Headers],0), FALSE)</f>
        <v>43966</v>
      </c>
      <c r="G371" s="47">
        <f>WORKDAY(WORKDAY(TAB_AMORTIZACAO_U[[#This Row],[DT_EVE]], -1, TAB_FERIADOS[FER_DATA]), 1, TAB_FERIADOS[FER_DATA])</f>
        <v>43962</v>
      </c>
      <c r="H371" s="75">
        <f>WORKDAY(WORKDAY(TAB_AMORTIZACAO_U[[#This Row],[DT_LQDC_EVE]], -1, TAB_FERIADOS[FER_DATA]), 1, TAB_FERIADOS[FER_DATA])</f>
        <v>43966</v>
      </c>
      <c r="I371" s="48">
        <f>PU_EMISSAO - SUMIF(TAB_AMORTIZACAO_U[dt_eve_u], "&lt;" &amp; TAB_AMORTIZACAO_U[[#This Row],[dt_eve_u]], TAB_AMORTIZACAO_U[V_PU_AMTC])</f>
        <v>55785.679030000021</v>
      </c>
      <c r="J371" s="48">
        <f>IFERROR(VLOOKUP(TAB_AMORTIZACAO_U[[#This Row],[DT_EVE]], TAB_AMORTIZACAO_U[[DT_EVE]:[V_PU_AMTC]], 2, FALSE), 0)</f>
        <v>753.77609500000005</v>
      </c>
      <c r="K371" s="48">
        <f>NETWORKDAYS(DT_CALCULO_U, TAB_AMORTIZACAO_U[[#This Row],[dt_eve_u]], TAB_FERIADOS[FER_DATA]) -1</f>
        <v>1094</v>
      </c>
      <c r="L371" s="48">
        <f>NETWORKDAYS(DT_CALCULO_U, TAB_AMORTIZACAO_U[[#This Row],[dt_lqdc_eve_u]], TAB_FERIADOS[FER_DATA]) -1</f>
        <v>1098</v>
      </c>
      <c r="M371" s="48">
        <f>NETWORKDAYS(IF(ISTEXT(G370), DT_B_CORC, G370), TAB_AMORTIZACAO_U[[#This Row],[dt_eve_u]], TAB_FERIADOS[FER_DATA]) -1</f>
        <v>19</v>
      </c>
      <c r="N371" s="78">
        <f>(TX_EMISSAO/100 +1)^(TAB_AMORTIZACAO_U[[#This Row],[dias_periodo_u]]/252)</f>
        <v>1.0018634787225431</v>
      </c>
      <c r="O371" s="78">
        <f>(TIR_U/100 +1)^(TAB_AMORTIZACAO_U[[#This Row],[Q_DIAS_U_PARC_TIR]]/252)</f>
        <v>1.1136031376147728</v>
      </c>
      <c r="P371" s="116" t="str">
        <f>"TX_CENARIO" &amp; TEXT(DT_CALCULO_C, "-AAAAMMDD") &amp; TEXT(TAB_AMORTIZACAO_U[[#This Row],[DT_EVE]], "-AAAAMMDD")</f>
        <v>TX_CENARIO-20151228-20200511</v>
      </c>
      <c r="Q371" s="44">
        <f>IFERROR(VLOOKUP(TAB_AMORTIZACAO_U[[#This Row],[Chave-CENARIO]],CENARIO[],2,FALSE), 0)</f>
        <v>16.555</v>
      </c>
      <c r="R371" s="117" t="str">
        <f t="shared" si="10"/>
        <v>n/a</v>
      </c>
      <c r="S371" s="49" t="str">
        <f t="shared" si="10"/>
        <v>n/a</v>
      </c>
      <c r="T371" s="78">
        <f>IF(TAB_AMORTIZACAO_U[[#This Row],[Q_DIAS_U_PARC_TIR]]&lt;0, 0, TAB_AMORTIZACAO_U[[#This Row],[PU_AMORT]])</f>
        <v>753.77609500000005</v>
      </c>
      <c r="U371" s="78">
        <f>MAX(0, TAB_AMORTIZACAO_U[[#This Row],[V_FUT_U_PCPL-01]]/((((TAB_AMORTIZACAO_U[[#This Row],[TX_CENARIO]]/100 +1)^(1/252) -1) * PC_IDXR/100 +1)^TAB_AMORTIZACAO_U[[#This Row],[Q_DIAS_U_PARC_TIR]]))</f>
        <v>386.68532145745246</v>
      </c>
      <c r="V371" s="78">
        <f>+TAB_AMORTIZACAO_U[[#This Row],[V_FUT_U_PCPL-02]]/TAB_AMORTIZACAO_U[[#This Row],[VAR_DESCAP_U]]</f>
        <v>347.23799565228774</v>
      </c>
      <c r="W371" s="78"/>
      <c r="X371" s="101">
        <f>TAB_AMORTIZACAO_U[[#This Row],[dt_eve_u]]- DT_CALCULO_C</f>
        <v>1596</v>
      </c>
      <c r="Y371" s="49" t="str">
        <f t="shared" si="11"/>
        <v>n/a</v>
      </c>
      <c r="Z371" s="49" t="str">
        <f t="shared" si="11"/>
        <v>n/a</v>
      </c>
      <c r="AA371" s="44">
        <f>TAB_AMORTIZACAO_U[[#This Row],[V_PU_AMTC]]</f>
        <v>753.77609500000005</v>
      </c>
      <c r="AB371" s="44">
        <f>(TIR_C/100 +1)^(TAB_AMORTIZACAO_C[[#This Row],[DIAS_CORRIDOS]]/360)</f>
        <v>1.1139618525856902</v>
      </c>
      <c r="AC371" s="44">
        <f>IF(TAB_AMORTIZACAO_C[[#This Row],[DIAS_CORRIDOS]]&lt;0, 0, TAB_AMORTIZACAO_C[[#This Row],[V_FUT_C_PCPL]]/TAB_AMORTIZACAO_C[[#This Row],[VAR_DESCAP_C]])</f>
        <v>676.66239490190867</v>
      </c>
      <c r="AD371" s="115">
        <f>TAB_AMORTIZACAO_U[[#This Row],[V_FUT_U_PCPL-02]]</f>
        <v>386.68532145745246</v>
      </c>
      <c r="AE371" s="127">
        <f>IF(TAB_AMORTIZACAO_C[[#This Row],[DIAS_CORRIDOS]]&lt;0, 0, TAB_AMORTIZACAO_C[[#This Row],[V_FUT_UTEIS]]/TAB_AMORTIZACAO_C[[#This Row],[VAR_DESCAP_C]])</f>
        <v>347.12617901581791</v>
      </c>
      <c r="AF371" s="64"/>
    </row>
    <row r="372" spans="1:32">
      <c r="A372" s="82">
        <f t="shared" si="9"/>
        <v>54</v>
      </c>
      <c r="B372" s="24">
        <f>VLOOKUP($A372, CAD_AMORTIZACAO[#Data], MATCH(B$318, CAD_ATUALIZACAO[#Headers],0), FALSE)</f>
        <v>4</v>
      </c>
      <c r="C372" s="24" t="str">
        <f>VLOOKUP($A372, CAD_AMORTIZACAO[#Data], MATCH(C$318, CAD_ATUALIZACAO[#Headers],0), FALSE)</f>
        <v xml:space="preserve">AMORTIZACAO                                       </v>
      </c>
      <c r="D372" s="36">
        <f>VLOOKUP($A372, CAD_AMORTIZACAO[#Data], MATCH(D$318, CAD_ATUALIZACAO[#Headers],0), FALSE)</f>
        <v>43991</v>
      </c>
      <c r="E372" s="48">
        <f>VLOOKUP($A372, CAD_AMORTIZACAO[#Data], MATCH(E$318, CAD_ATUALIZACAO[#Headers],0), FALSE)</f>
        <v>745.73731599999996</v>
      </c>
      <c r="F372" s="36">
        <f>VLOOKUP($A372, CAD_AMORTIZACAO[#Data], MATCH(F$318, CAD_ATUALIZACAO[#Headers],0), FALSE)</f>
        <v>43997</v>
      </c>
      <c r="G372" s="47">
        <f>WORKDAY(WORKDAY(TAB_AMORTIZACAO_U[[#This Row],[DT_EVE]], -1, TAB_FERIADOS[FER_DATA]), 1, TAB_FERIADOS[FER_DATA])</f>
        <v>43991</v>
      </c>
      <c r="H372" s="75">
        <f>WORKDAY(WORKDAY(TAB_AMORTIZACAO_U[[#This Row],[DT_LQDC_EVE]], -1, TAB_FERIADOS[FER_DATA]), 1, TAB_FERIADOS[FER_DATA])</f>
        <v>43997</v>
      </c>
      <c r="I372" s="48">
        <f>PU_EMISSAO - SUMIF(TAB_AMORTIZACAO_U[dt_eve_u], "&lt;" &amp; TAB_AMORTIZACAO_U[[#This Row],[dt_eve_u]], TAB_AMORTIZACAO_U[V_PU_AMTC])</f>
        <v>55031.90293500002</v>
      </c>
      <c r="J372" s="48">
        <f>IFERROR(VLOOKUP(TAB_AMORTIZACAO_U[[#This Row],[DT_EVE]], TAB_AMORTIZACAO_U[[DT_EVE]:[V_PU_AMTC]], 2, FALSE), 0)</f>
        <v>745.73731599999996</v>
      </c>
      <c r="K372" s="48">
        <f>NETWORKDAYS(DT_CALCULO_U, TAB_AMORTIZACAO_U[[#This Row],[dt_eve_u]], TAB_FERIADOS[FER_DATA]) -1</f>
        <v>1115</v>
      </c>
      <c r="L372" s="48">
        <f>NETWORKDAYS(DT_CALCULO_U, TAB_AMORTIZACAO_U[[#This Row],[dt_lqdc_eve_u]], TAB_FERIADOS[FER_DATA]) -1</f>
        <v>1118</v>
      </c>
      <c r="M372" s="48">
        <f>NETWORKDAYS(IF(ISTEXT(G371), DT_B_CORC, G371), TAB_AMORTIZACAO_U[[#This Row],[dt_eve_u]], TAB_FERIADOS[FER_DATA]) -1</f>
        <v>21</v>
      </c>
      <c r="N372" s="78">
        <f>(TX_EMISSAO/100 +1)^(TAB_AMORTIZACAO_U[[#This Row],[dias_periodo_u]]/252)</f>
        <v>1.0020598362698427</v>
      </c>
      <c r="O372" s="78">
        <f>(TIR_U/100 +1)^(TAB_AMORTIZACAO_U[[#This Row],[Q_DIAS_U_PARC_TIR]]/252)</f>
        <v>1.1157878757065947</v>
      </c>
      <c r="P372" s="116" t="str">
        <f>"TX_CENARIO" &amp; TEXT(DT_CALCULO_C, "-AAAAMMDD") &amp; TEXT(TAB_AMORTIZACAO_U[[#This Row],[DT_EVE]], "-AAAAMMDD")</f>
        <v>TX_CENARIO-20151228-20200609</v>
      </c>
      <c r="Q372" s="44">
        <f>IFERROR(VLOOKUP(TAB_AMORTIZACAO_U[[#This Row],[Chave-CENARIO]],CENARIO[],2,FALSE), 0)</f>
        <v>16.5456</v>
      </c>
      <c r="R372" s="117" t="str">
        <f t="shared" si="10"/>
        <v>n/a</v>
      </c>
      <c r="S372" s="49" t="str">
        <f t="shared" si="10"/>
        <v>n/a</v>
      </c>
      <c r="T372" s="78">
        <f>IF(TAB_AMORTIZACAO_U[[#This Row],[Q_DIAS_U_PARC_TIR]]&lt;0, 0, TAB_AMORTIZACAO_U[[#This Row],[PU_AMORT]])</f>
        <v>745.73731599999996</v>
      </c>
      <c r="U372" s="78">
        <f>MAX(0, TAB_AMORTIZACAO_U[[#This Row],[V_FUT_U_PCPL-01]]/((((TAB_AMORTIZACAO_U[[#This Row],[TX_CENARIO]]/100 +1)^(1/252) -1) * PC_IDXR/100 +1)^TAB_AMORTIZACAO_U[[#This Row],[Q_DIAS_U_PARC_TIR]]))</f>
        <v>378.07361239468531</v>
      </c>
      <c r="V372" s="78">
        <f>+TAB_AMORTIZACAO_U[[#This Row],[V_FUT_U_PCPL-02]]/TAB_AMORTIZACAO_U[[#This Row],[VAR_DESCAP_U]]</f>
        <v>338.84004354793939</v>
      </c>
      <c r="W372" s="78"/>
      <c r="X372" s="101">
        <f>TAB_AMORTIZACAO_U[[#This Row],[dt_eve_u]]- DT_CALCULO_C</f>
        <v>1625</v>
      </c>
      <c r="Y372" s="49" t="str">
        <f t="shared" si="11"/>
        <v>n/a</v>
      </c>
      <c r="Z372" s="49" t="str">
        <f t="shared" si="11"/>
        <v>n/a</v>
      </c>
      <c r="AA372" s="44">
        <f>TAB_AMORTIZACAO_U[[#This Row],[V_PU_AMTC]]</f>
        <v>745.73731599999996</v>
      </c>
      <c r="AB372" s="44">
        <f>(TIR_C/100 +1)^(TAB_AMORTIZACAO_C[[#This Row],[DIAS_CORRIDOS]]/360)</f>
        <v>1.1161484806707089</v>
      </c>
      <c r="AC372" s="44">
        <f>IF(TAB_AMORTIZACAO_C[[#This Row],[DIAS_CORRIDOS]]&lt;0, 0, TAB_AMORTIZACAO_C[[#This Row],[V_FUT_C_PCPL]]/TAB_AMORTIZACAO_C[[#This Row],[VAR_DESCAP_C]])</f>
        <v>668.13450801086628</v>
      </c>
      <c r="AD372" s="115">
        <f>TAB_AMORTIZACAO_U[[#This Row],[V_FUT_U_PCPL-02]]</f>
        <v>378.07361239468531</v>
      </c>
      <c r="AE372" s="127">
        <f>IF(TAB_AMORTIZACAO_C[[#This Row],[DIAS_CORRIDOS]]&lt;0, 0, TAB_AMORTIZACAO_C[[#This Row],[V_FUT_UTEIS]]/TAB_AMORTIZACAO_C[[#This Row],[VAR_DESCAP_C]])</f>
        <v>338.7305711938036</v>
      </c>
      <c r="AF372" s="64"/>
    </row>
    <row r="373" spans="1:32">
      <c r="A373" s="82">
        <f t="shared" si="9"/>
        <v>55</v>
      </c>
      <c r="B373" s="24">
        <f>VLOOKUP($A373, CAD_AMORTIZACAO[#Data], MATCH(B$318, CAD_ATUALIZACAO[#Headers],0), FALSE)</f>
        <v>4</v>
      </c>
      <c r="C373" s="24" t="str">
        <f>VLOOKUP($A373, CAD_AMORTIZACAO[#Data], MATCH(C$318, CAD_ATUALIZACAO[#Headers],0), FALSE)</f>
        <v xml:space="preserve">AMORTIZACAO                                       </v>
      </c>
      <c r="D373" s="36">
        <f>VLOOKUP($A373, CAD_AMORTIZACAO[#Data], MATCH(D$318, CAD_ATUALIZACAO[#Headers],0), FALSE)</f>
        <v>44020</v>
      </c>
      <c r="E373" s="48">
        <f>VLOOKUP($A373, CAD_AMORTIZACAO[#Data], MATCH(E$318, CAD_ATUALIZACAO[#Headers],0), FALSE)</f>
        <v>732.04894300000001</v>
      </c>
      <c r="F373" s="36">
        <f>VLOOKUP($A373, CAD_AMORTIZACAO[#Data], MATCH(F$318, CAD_ATUALIZACAO[#Headers],0), FALSE)</f>
        <v>44026</v>
      </c>
      <c r="G373" s="47">
        <f>WORKDAY(WORKDAY(TAB_AMORTIZACAO_U[[#This Row],[DT_EVE]], -1, TAB_FERIADOS[FER_DATA]), 1, TAB_FERIADOS[FER_DATA])</f>
        <v>44020</v>
      </c>
      <c r="H373" s="75">
        <f>WORKDAY(WORKDAY(TAB_AMORTIZACAO_U[[#This Row],[DT_LQDC_EVE]], -1, TAB_FERIADOS[FER_DATA]), 1, TAB_FERIADOS[FER_DATA])</f>
        <v>44026</v>
      </c>
      <c r="I373" s="48">
        <f>PU_EMISSAO - SUMIF(TAB_AMORTIZACAO_U[dt_eve_u], "&lt;" &amp; TAB_AMORTIZACAO_U[[#This Row],[dt_eve_u]], TAB_AMORTIZACAO_U[V_PU_AMTC])</f>
        <v>54286.165619000021</v>
      </c>
      <c r="J373" s="48">
        <f>IFERROR(VLOOKUP(TAB_AMORTIZACAO_U[[#This Row],[DT_EVE]], TAB_AMORTIZACAO_U[[DT_EVE]:[V_PU_AMTC]], 2, FALSE), 0)</f>
        <v>732.04894300000001</v>
      </c>
      <c r="K373" s="48">
        <f>NETWORKDAYS(DT_CALCULO_U, TAB_AMORTIZACAO_U[[#This Row],[dt_eve_u]], TAB_FERIADOS[FER_DATA]) -1</f>
        <v>1135</v>
      </c>
      <c r="L373" s="48">
        <f>NETWORKDAYS(DT_CALCULO_U, TAB_AMORTIZACAO_U[[#This Row],[dt_lqdc_eve_u]], TAB_FERIADOS[FER_DATA]) -1</f>
        <v>1139</v>
      </c>
      <c r="M373" s="48">
        <f>NETWORKDAYS(IF(ISTEXT(G372), DT_B_CORC, G372), TAB_AMORTIZACAO_U[[#This Row],[dt_eve_u]], TAB_FERIADOS[FER_DATA]) -1</f>
        <v>20</v>
      </c>
      <c r="N373" s="78">
        <f>(TX_EMISSAO/100 +1)^(TAB_AMORTIZACAO_U[[#This Row],[dias_periodo_u]]/252)</f>
        <v>1.0019616526860928</v>
      </c>
      <c r="O373" s="78">
        <f>(TIR_U/100 +1)^(TAB_AMORTIZACAO_U[[#This Row],[Q_DIAS_U_PARC_TIR]]/252)</f>
        <v>1.1180864638328003</v>
      </c>
      <c r="P373" s="116" t="str">
        <f>"TX_CENARIO" &amp; TEXT(DT_CALCULO_C, "-AAAAMMDD") &amp; TEXT(TAB_AMORTIZACAO_U[[#This Row],[DT_EVE]], "-AAAAMMDD")</f>
        <v>TX_CENARIO-20151228-20200708</v>
      </c>
      <c r="Q373" s="44">
        <f>IFERROR(VLOOKUP(TAB_AMORTIZACAO_U[[#This Row],[Chave-CENARIO]],CENARIO[],2,FALSE), 0)</f>
        <v>16.536100000000001</v>
      </c>
      <c r="R373" s="117" t="str">
        <f t="shared" si="10"/>
        <v>n/a</v>
      </c>
      <c r="S373" s="49" t="str">
        <f t="shared" si="10"/>
        <v>n/a</v>
      </c>
      <c r="T373" s="78">
        <f>IF(TAB_AMORTIZACAO_U[[#This Row],[Q_DIAS_U_PARC_TIR]]&lt;0, 0, TAB_AMORTIZACAO_U[[#This Row],[PU_AMORT]])</f>
        <v>732.04894300000001</v>
      </c>
      <c r="U373" s="78">
        <f>MAX(0, TAB_AMORTIZACAO_U[[#This Row],[V_FUT_U_PCPL-01]]/((((TAB_AMORTIZACAO_U[[#This Row],[TX_CENARIO]]/100 +1)^(1/252) -1) * PC_IDXR/100 +1)^TAB_AMORTIZACAO_U[[#This Row],[Q_DIAS_U_PARC_TIR]]))</f>
        <v>366.56356711483431</v>
      </c>
      <c r="V373" s="78">
        <f>+TAB_AMORTIZACAO_U[[#This Row],[V_FUT_U_PCPL-02]]/TAB_AMORTIZACAO_U[[#This Row],[VAR_DESCAP_U]]</f>
        <v>327.8490340167919</v>
      </c>
      <c r="W373" s="78"/>
      <c r="X373" s="101">
        <f>TAB_AMORTIZACAO_U[[#This Row],[dt_eve_u]]- DT_CALCULO_C</f>
        <v>1654</v>
      </c>
      <c r="Y373" s="49" t="str">
        <f t="shared" si="11"/>
        <v>n/a</v>
      </c>
      <c r="Z373" s="49" t="str">
        <f t="shared" si="11"/>
        <v>n/a</v>
      </c>
      <c r="AA373" s="44">
        <f>TAB_AMORTIZACAO_U[[#This Row],[V_PU_AMTC]]</f>
        <v>732.04894300000001</v>
      </c>
      <c r="AB373" s="44">
        <f>(TIR_C/100 +1)^(TAB_AMORTIZACAO_C[[#This Row],[DIAS_CORRIDOS]]/360)</f>
        <v>1.1183394009515251</v>
      </c>
      <c r="AC373" s="44">
        <f>IF(TAB_AMORTIZACAO_C[[#This Row],[DIAS_CORRIDOS]]&lt;0, 0, TAB_AMORTIZACAO_C[[#This Row],[V_FUT_C_PCPL]]/TAB_AMORTIZACAO_C[[#This Row],[VAR_DESCAP_C]])</f>
        <v>654.5856672644685</v>
      </c>
      <c r="AD373" s="115">
        <f>TAB_AMORTIZACAO_U[[#This Row],[V_FUT_U_PCPL-02]]</f>
        <v>366.56356711483431</v>
      </c>
      <c r="AE373" s="127">
        <f>IF(TAB_AMORTIZACAO_C[[#This Row],[DIAS_CORRIDOS]]&lt;0, 0, TAB_AMORTIZACAO_C[[#This Row],[V_FUT_UTEIS]]/TAB_AMORTIZACAO_C[[#This Row],[VAR_DESCAP_C]])</f>
        <v>327.7748837275592</v>
      </c>
      <c r="AF373" s="64"/>
    </row>
    <row r="374" spans="1:32">
      <c r="A374" s="82">
        <f t="shared" si="9"/>
        <v>56</v>
      </c>
      <c r="B374" s="24">
        <f>VLOOKUP($A374, CAD_AMORTIZACAO[#Data], MATCH(B$318, CAD_ATUALIZACAO[#Headers],0), FALSE)</f>
        <v>4</v>
      </c>
      <c r="C374" s="24" t="str">
        <f>VLOOKUP($A374, CAD_AMORTIZACAO[#Data], MATCH(C$318, CAD_ATUALIZACAO[#Headers],0), FALSE)</f>
        <v xml:space="preserve">AMORTIZACAO                                       </v>
      </c>
      <c r="D374" s="36">
        <f>VLOOKUP($A374, CAD_AMORTIZACAO[#Data], MATCH(D$318, CAD_ATUALIZACAO[#Headers],0), FALSE)</f>
        <v>44053</v>
      </c>
      <c r="E374" s="48">
        <f>VLOOKUP($A374, CAD_AMORTIZACAO[#Data], MATCH(E$318, CAD_ATUALIZACAO[#Headers],0), FALSE)</f>
        <v>712.37685999999997</v>
      </c>
      <c r="F374" s="36">
        <f>VLOOKUP($A374, CAD_AMORTIZACAO[#Data], MATCH(F$318, CAD_ATUALIZACAO[#Headers],0), FALSE)</f>
        <v>44057</v>
      </c>
      <c r="G374" s="47">
        <f>WORKDAY(WORKDAY(TAB_AMORTIZACAO_U[[#This Row],[DT_EVE]], -1, TAB_FERIADOS[FER_DATA]), 1, TAB_FERIADOS[FER_DATA])</f>
        <v>44053</v>
      </c>
      <c r="H374" s="75">
        <f>WORKDAY(WORKDAY(TAB_AMORTIZACAO_U[[#This Row],[DT_LQDC_EVE]], -1, TAB_FERIADOS[FER_DATA]), 1, TAB_FERIADOS[FER_DATA])</f>
        <v>44057</v>
      </c>
      <c r="I374" s="48">
        <f>PU_EMISSAO - SUMIF(TAB_AMORTIZACAO_U[dt_eve_u], "&lt;" &amp; TAB_AMORTIZACAO_U[[#This Row],[dt_eve_u]], TAB_AMORTIZACAO_U[V_PU_AMTC])</f>
        <v>53554.11667600002</v>
      </c>
      <c r="J374" s="48">
        <f>IFERROR(VLOOKUP(TAB_AMORTIZACAO_U[[#This Row],[DT_EVE]], TAB_AMORTIZACAO_U[[DT_EVE]:[V_PU_AMTC]], 2, FALSE), 0)</f>
        <v>712.37685999999997</v>
      </c>
      <c r="K374" s="48">
        <f>NETWORKDAYS(DT_CALCULO_U, TAB_AMORTIZACAO_U[[#This Row],[dt_eve_u]], TAB_FERIADOS[FER_DATA]) -1</f>
        <v>1158</v>
      </c>
      <c r="L374" s="48">
        <f>NETWORKDAYS(DT_CALCULO_U, TAB_AMORTIZACAO_U[[#This Row],[dt_lqdc_eve_u]], TAB_FERIADOS[FER_DATA]) -1</f>
        <v>1162</v>
      </c>
      <c r="M374" s="48">
        <f>NETWORKDAYS(IF(ISTEXT(G373), DT_B_CORC, G373), TAB_AMORTIZACAO_U[[#This Row],[dt_eve_u]], TAB_FERIADOS[FER_DATA]) -1</f>
        <v>23</v>
      </c>
      <c r="N374" s="78">
        <f>(TX_EMISSAO/100 +1)^(TAB_AMORTIZACAO_U[[#This Row],[dias_periodo_u]]/252)</f>
        <v>1.0022562323017139</v>
      </c>
      <c r="O374" s="78">
        <f>(TIR_U/100 +1)^(TAB_AMORTIZACAO_U[[#This Row],[Q_DIAS_U_PARC_TIR]]/252)</f>
        <v>1.1206093986304471</v>
      </c>
      <c r="P374" s="116" t="str">
        <f>"TX_CENARIO" &amp; TEXT(DT_CALCULO_C, "-AAAAMMDD") &amp; TEXT(TAB_AMORTIZACAO_U[[#This Row],[DT_EVE]], "-AAAAMMDD")</f>
        <v>TX_CENARIO-20151228-20200810</v>
      </c>
      <c r="Q374" s="44">
        <f>IFERROR(VLOOKUP(TAB_AMORTIZACAO_U[[#This Row],[Chave-CENARIO]],CENARIO[],2,FALSE), 0)</f>
        <v>16.5259</v>
      </c>
      <c r="R374" s="117" t="str">
        <f t="shared" si="10"/>
        <v>n/a</v>
      </c>
      <c r="S374" s="49" t="str">
        <f t="shared" si="10"/>
        <v>n/a</v>
      </c>
      <c r="T374" s="78">
        <f>IF(TAB_AMORTIZACAO_U[[#This Row],[Q_DIAS_U_PARC_TIR]]&lt;0, 0, TAB_AMORTIZACAO_U[[#This Row],[PU_AMORT]])</f>
        <v>712.37685999999997</v>
      </c>
      <c r="U374" s="78">
        <f>MAX(0, TAB_AMORTIZACAO_U[[#This Row],[V_FUT_U_PCPL-01]]/((((TAB_AMORTIZACAO_U[[#This Row],[TX_CENARIO]]/100 +1)^(1/252) -1) * PC_IDXR/100 +1)^TAB_AMORTIZACAO_U[[#This Row],[Q_DIAS_U_PARC_TIR]]))</f>
        <v>351.90742740517294</v>
      </c>
      <c r="V374" s="78">
        <f>+TAB_AMORTIZACAO_U[[#This Row],[V_FUT_U_PCPL-02]]/TAB_AMORTIZACAO_U[[#This Row],[VAR_DESCAP_U]]</f>
        <v>314.03219340767322</v>
      </c>
      <c r="W374" s="78"/>
      <c r="X374" s="101">
        <f>TAB_AMORTIZACAO_U[[#This Row],[dt_eve_u]]- DT_CALCULO_C</f>
        <v>1687</v>
      </c>
      <c r="Y374" s="49" t="str">
        <f t="shared" si="11"/>
        <v>n/a</v>
      </c>
      <c r="Z374" s="49" t="str">
        <f t="shared" si="11"/>
        <v>n/a</v>
      </c>
      <c r="AA374" s="44">
        <f>TAB_AMORTIZACAO_U[[#This Row],[V_PU_AMTC]]</f>
        <v>712.37685999999997</v>
      </c>
      <c r="AB374" s="44">
        <f>(TIR_C/100 +1)^(TAB_AMORTIZACAO_C[[#This Row],[DIAS_CORRIDOS]]/360)</f>
        <v>1.1208377489194057</v>
      </c>
      <c r="AC374" s="44">
        <f>IF(TAB_AMORTIZACAO_C[[#This Row],[DIAS_CORRIDOS]]&lt;0, 0, TAB_AMORTIZACAO_C[[#This Row],[V_FUT_C_PCPL]]/TAB_AMORTIZACAO_C[[#This Row],[VAR_DESCAP_C]])</f>
        <v>635.57536377303416</v>
      </c>
      <c r="AD374" s="115">
        <f>TAB_AMORTIZACAO_U[[#This Row],[V_FUT_U_PCPL-02]]</f>
        <v>351.90742740517294</v>
      </c>
      <c r="AE374" s="127">
        <f>IF(TAB_AMORTIZACAO_C[[#This Row],[DIAS_CORRIDOS]]&lt;0, 0, TAB_AMORTIZACAO_C[[#This Row],[V_FUT_UTEIS]]/TAB_AMORTIZACAO_C[[#This Row],[VAR_DESCAP_C]])</f>
        <v>313.96821506453114</v>
      </c>
      <c r="AF374" s="64"/>
    </row>
    <row r="375" spans="1:32">
      <c r="A375" s="82">
        <f t="shared" si="9"/>
        <v>57</v>
      </c>
      <c r="B375" s="24">
        <f>VLOOKUP($A375, CAD_AMORTIZACAO[#Data], MATCH(B$318, CAD_ATUALIZACAO[#Headers],0), FALSE)</f>
        <v>4</v>
      </c>
      <c r="C375" s="24" t="str">
        <f>VLOOKUP($A375, CAD_AMORTIZACAO[#Data], MATCH(C$318, CAD_ATUALIZACAO[#Headers],0), FALSE)</f>
        <v xml:space="preserve">AMORTIZACAO                                       </v>
      </c>
      <c r="D375" s="36">
        <f>VLOOKUP($A375, CAD_AMORTIZACAO[#Data], MATCH(D$318, CAD_ATUALIZACAO[#Headers],0), FALSE)</f>
        <v>44083</v>
      </c>
      <c r="E375" s="48">
        <f>VLOOKUP($A375, CAD_AMORTIZACAO[#Data], MATCH(E$318, CAD_ATUALIZACAO[#Headers],0), FALSE)</f>
        <v>714.68453099999999</v>
      </c>
      <c r="F375" s="36">
        <f>VLOOKUP($A375, CAD_AMORTIZACAO[#Data], MATCH(F$318, CAD_ATUALIZACAO[#Headers],0), FALSE)</f>
        <v>44089</v>
      </c>
      <c r="G375" s="47">
        <f>WORKDAY(WORKDAY(TAB_AMORTIZACAO_U[[#This Row],[DT_EVE]], -1, TAB_FERIADOS[FER_DATA]), 1, TAB_FERIADOS[FER_DATA])</f>
        <v>44083</v>
      </c>
      <c r="H375" s="75">
        <f>WORKDAY(WORKDAY(TAB_AMORTIZACAO_U[[#This Row],[DT_LQDC_EVE]], -1, TAB_FERIADOS[FER_DATA]), 1, TAB_FERIADOS[FER_DATA])</f>
        <v>44089</v>
      </c>
      <c r="I375" s="48">
        <f>PU_EMISSAO - SUMIF(TAB_AMORTIZACAO_U[dt_eve_u], "&lt;" &amp; TAB_AMORTIZACAO_U[[#This Row],[dt_eve_u]], TAB_AMORTIZACAO_U[V_PU_AMTC])</f>
        <v>52841.739816000023</v>
      </c>
      <c r="J375" s="48">
        <f>IFERROR(VLOOKUP(TAB_AMORTIZACAO_U[[#This Row],[DT_EVE]], TAB_AMORTIZACAO_U[[DT_EVE]:[V_PU_AMTC]], 2, FALSE), 0)</f>
        <v>714.68453099999999</v>
      </c>
      <c r="K375" s="48">
        <f>NETWORKDAYS(DT_CALCULO_U, TAB_AMORTIZACAO_U[[#This Row],[dt_eve_u]], TAB_FERIADOS[FER_DATA]) -1</f>
        <v>1179</v>
      </c>
      <c r="L375" s="48">
        <f>NETWORKDAYS(DT_CALCULO_U, TAB_AMORTIZACAO_U[[#This Row],[dt_lqdc_eve_u]], TAB_FERIADOS[FER_DATA]) -1</f>
        <v>1183</v>
      </c>
      <c r="M375" s="48">
        <f>NETWORKDAYS(IF(ISTEXT(G374), DT_B_CORC, G374), TAB_AMORTIZACAO_U[[#This Row],[dt_eve_u]], TAB_FERIADOS[FER_DATA]) -1</f>
        <v>21</v>
      </c>
      <c r="N375" s="78">
        <f>(TX_EMISSAO/100 +1)^(TAB_AMORTIZACAO_U[[#This Row],[dias_periodo_u]]/252)</f>
        <v>1.0020598362698427</v>
      </c>
      <c r="O375" s="78">
        <f>(TIR_U/100 +1)^(TAB_AMORTIZACAO_U[[#This Row],[Q_DIAS_U_PARC_TIR]]/252)</f>
        <v>1.1229179193751944</v>
      </c>
      <c r="P375" s="116" t="str">
        <f>"TX_CENARIO" &amp; TEXT(DT_CALCULO_C, "-AAAAMMDD") &amp; TEXT(TAB_AMORTIZACAO_U[[#This Row],[DT_EVE]], "-AAAAMMDD")</f>
        <v>TX_CENARIO-20151228-20200909</v>
      </c>
      <c r="Q375" s="44">
        <f>IFERROR(VLOOKUP(TAB_AMORTIZACAO_U[[#This Row],[Chave-CENARIO]],CENARIO[],2,FALSE), 0)</f>
        <v>16.516999999999999</v>
      </c>
      <c r="R375" s="117" t="str">
        <f t="shared" si="10"/>
        <v>n/a</v>
      </c>
      <c r="S375" s="49" t="str">
        <f t="shared" si="10"/>
        <v>n/a</v>
      </c>
      <c r="T375" s="78">
        <f>IF(TAB_AMORTIZACAO_U[[#This Row],[Q_DIAS_U_PARC_TIR]]&lt;0, 0, TAB_AMORTIZACAO_U[[#This Row],[PU_AMORT]])</f>
        <v>714.68453099999999</v>
      </c>
      <c r="U375" s="78">
        <f>MAX(0, TAB_AMORTIZACAO_U[[#This Row],[V_FUT_U_PCPL-01]]/((((TAB_AMORTIZACAO_U[[#This Row],[TX_CENARIO]]/100 +1)^(1/252) -1) * PC_IDXR/100 +1)^TAB_AMORTIZACAO_U[[#This Row],[Q_DIAS_U_PARC_TIR]]))</f>
        <v>348.70126979741258</v>
      </c>
      <c r="V375" s="78">
        <f>+TAB_AMORTIZACAO_U[[#This Row],[V_FUT_U_PCPL-02]]/TAB_AMORTIZACAO_U[[#This Row],[VAR_DESCAP_U]]</f>
        <v>310.53139662374821</v>
      </c>
      <c r="W375" s="78"/>
      <c r="X375" s="101">
        <f>TAB_AMORTIZACAO_U[[#This Row],[dt_eve_u]]- DT_CALCULO_C</f>
        <v>1717</v>
      </c>
      <c r="Y375" s="49" t="str">
        <f t="shared" si="11"/>
        <v>n/a</v>
      </c>
      <c r="Z375" s="49" t="str">
        <f t="shared" si="11"/>
        <v>n/a</v>
      </c>
      <c r="AA375" s="44">
        <f>TAB_AMORTIZACAO_U[[#This Row],[V_PU_AMTC]]</f>
        <v>714.68453099999999</v>
      </c>
      <c r="AB375" s="44">
        <f>(TIR_C/100 +1)^(TAB_AMORTIZACAO_C[[#This Row],[DIAS_CORRIDOS]]/360)</f>
        <v>1.1231138172589226</v>
      </c>
      <c r="AC375" s="44">
        <f>IF(TAB_AMORTIZACAO_C[[#This Row],[DIAS_CORRIDOS]]&lt;0, 0, TAB_AMORTIZACAO_C[[#This Row],[V_FUT_C_PCPL]]/TAB_AMORTIZACAO_C[[#This Row],[VAR_DESCAP_C]])</f>
        <v>636.34203409968086</v>
      </c>
      <c r="AD375" s="115">
        <f>TAB_AMORTIZACAO_U[[#This Row],[V_FUT_U_PCPL-02]]</f>
        <v>348.70126979741258</v>
      </c>
      <c r="AE375" s="127">
        <f>IF(TAB_AMORTIZACAO_C[[#This Row],[DIAS_CORRIDOS]]&lt;0, 0, TAB_AMORTIZACAO_C[[#This Row],[V_FUT_UTEIS]]/TAB_AMORTIZACAO_C[[#This Row],[VAR_DESCAP_C]])</f>
        <v>310.47723252880525</v>
      </c>
      <c r="AF375" s="64"/>
    </row>
    <row r="376" spans="1:32">
      <c r="A376" s="82">
        <f t="shared" si="9"/>
        <v>58</v>
      </c>
      <c r="B376" s="24">
        <f>VLOOKUP($A376, CAD_AMORTIZACAO[#Data], MATCH(B$318, CAD_ATUALIZACAO[#Headers],0), FALSE)</f>
        <v>4</v>
      </c>
      <c r="C376" s="24" t="str">
        <f>VLOOKUP($A376, CAD_AMORTIZACAO[#Data], MATCH(C$318, CAD_ATUALIZACAO[#Headers],0), FALSE)</f>
        <v xml:space="preserve">AMORTIZACAO                                       </v>
      </c>
      <c r="D376" s="36">
        <f>VLOOKUP($A376, CAD_AMORTIZACAO[#Data], MATCH(D$318, CAD_ATUALIZACAO[#Headers],0), FALSE)</f>
        <v>44113</v>
      </c>
      <c r="E376" s="48">
        <f>VLOOKUP($A376, CAD_AMORTIZACAO[#Data], MATCH(E$318, CAD_ATUALIZACAO[#Headers],0), FALSE)</f>
        <v>706.63436100000001</v>
      </c>
      <c r="F376" s="36">
        <f>VLOOKUP($A376, CAD_AMORTIZACAO[#Data], MATCH(F$318, CAD_ATUALIZACAO[#Headers],0), FALSE)</f>
        <v>44119</v>
      </c>
      <c r="G376" s="47">
        <f>WORKDAY(WORKDAY(TAB_AMORTIZACAO_U[[#This Row],[DT_EVE]], -1, TAB_FERIADOS[FER_DATA]), 1, TAB_FERIADOS[FER_DATA])</f>
        <v>44113</v>
      </c>
      <c r="H376" s="75">
        <f>WORKDAY(WORKDAY(TAB_AMORTIZACAO_U[[#This Row],[DT_LQDC_EVE]], -1, TAB_FERIADOS[FER_DATA]), 1, TAB_FERIADOS[FER_DATA])</f>
        <v>44119</v>
      </c>
      <c r="I376" s="48">
        <f>PU_EMISSAO - SUMIF(TAB_AMORTIZACAO_U[dt_eve_u], "&lt;" &amp; TAB_AMORTIZACAO_U[[#This Row],[dt_eve_u]], TAB_AMORTIZACAO_U[V_PU_AMTC])</f>
        <v>52127.055285000024</v>
      </c>
      <c r="J376" s="48">
        <f>IFERROR(VLOOKUP(TAB_AMORTIZACAO_U[[#This Row],[DT_EVE]], TAB_AMORTIZACAO_U[[DT_EVE]:[V_PU_AMTC]], 2, FALSE), 0)</f>
        <v>706.63436100000001</v>
      </c>
      <c r="K376" s="48">
        <f>NETWORKDAYS(DT_CALCULO_U, TAB_AMORTIZACAO_U[[#This Row],[dt_eve_u]], TAB_FERIADOS[FER_DATA]) -1</f>
        <v>1201</v>
      </c>
      <c r="L376" s="48">
        <f>NETWORKDAYS(DT_CALCULO_U, TAB_AMORTIZACAO_U[[#This Row],[dt_lqdc_eve_u]], TAB_FERIADOS[FER_DATA]) -1</f>
        <v>1204</v>
      </c>
      <c r="M376" s="48">
        <f>NETWORKDAYS(IF(ISTEXT(G375), DT_B_CORC, G375), TAB_AMORTIZACAO_U[[#This Row],[dt_eve_u]], TAB_FERIADOS[FER_DATA]) -1</f>
        <v>22</v>
      </c>
      <c r="N376" s="78">
        <f>(TX_EMISSAO/100 +1)^(TAB_AMORTIZACAO_U[[#This Row],[dias_periodo_u]]/252)</f>
        <v>1.0021580294747356</v>
      </c>
      <c r="O376" s="78">
        <f>(TIR_U/100 +1)^(TAB_AMORTIZACAO_U[[#This Row],[Q_DIAS_U_PARC_TIR]]/252)</f>
        <v>1.12523119580737</v>
      </c>
      <c r="P376" s="116" t="str">
        <f>"TX_CENARIO" &amp; TEXT(DT_CALCULO_C, "-AAAAMMDD") &amp; TEXT(TAB_AMORTIZACAO_U[[#This Row],[DT_EVE]], "-AAAAMMDD")</f>
        <v>TX_CENARIO-20151228-20201009</v>
      </c>
      <c r="Q376" s="44">
        <f>IFERROR(VLOOKUP(TAB_AMORTIZACAO_U[[#This Row],[Chave-CENARIO]],CENARIO[],2,FALSE), 0)</f>
        <v>16.5075</v>
      </c>
      <c r="R376" s="117" t="str">
        <f t="shared" si="10"/>
        <v>n/a</v>
      </c>
      <c r="S376" s="49" t="str">
        <f t="shared" si="10"/>
        <v>n/a</v>
      </c>
      <c r="T376" s="78">
        <f>IF(TAB_AMORTIZACAO_U[[#This Row],[Q_DIAS_U_PARC_TIR]]&lt;0, 0, TAB_AMORTIZACAO_U[[#This Row],[PU_AMORT]])</f>
        <v>706.63436100000001</v>
      </c>
      <c r="U376" s="78">
        <f>MAX(0, TAB_AMORTIZACAO_U[[#This Row],[V_FUT_U_PCPL-01]]/((((TAB_AMORTIZACAO_U[[#This Row],[TX_CENARIO]]/100 +1)^(1/252) -1) * PC_IDXR/100 +1)^TAB_AMORTIZACAO_U[[#This Row],[Q_DIAS_U_PARC_TIR]]))</f>
        <v>340.54196876393843</v>
      </c>
      <c r="V376" s="78">
        <f>+TAB_AMORTIZACAO_U[[#This Row],[V_FUT_U_PCPL-02]]/TAB_AMORTIZACAO_U[[#This Row],[VAR_DESCAP_U]]</f>
        <v>302.64177711460849</v>
      </c>
      <c r="W376" s="78"/>
      <c r="X376" s="101">
        <f>TAB_AMORTIZACAO_U[[#This Row],[dt_eve_u]]- DT_CALCULO_C</f>
        <v>1747</v>
      </c>
      <c r="Y376" s="49" t="str">
        <f t="shared" si="11"/>
        <v>n/a</v>
      </c>
      <c r="Z376" s="49" t="str">
        <f t="shared" si="11"/>
        <v>n/a</v>
      </c>
      <c r="AA376" s="44">
        <f>TAB_AMORTIZACAO_U[[#This Row],[V_PU_AMTC]]</f>
        <v>706.63436100000001</v>
      </c>
      <c r="AB376" s="44">
        <f>(TIR_C/100 +1)^(TAB_AMORTIZACAO_C[[#This Row],[DIAS_CORRIDOS]]/360)</f>
        <v>1.1253945075761442</v>
      </c>
      <c r="AC376" s="44">
        <f>IF(TAB_AMORTIZACAO_C[[#This Row],[DIAS_CORRIDOS]]&lt;0, 0, TAB_AMORTIZACAO_C[[#This Row],[V_FUT_C_PCPL]]/TAB_AMORTIZACAO_C[[#This Row],[VAR_DESCAP_C]])</f>
        <v>627.89924443645737</v>
      </c>
      <c r="AD376" s="115">
        <f>TAB_AMORTIZACAO_U[[#This Row],[V_FUT_U_PCPL-02]]</f>
        <v>340.54196876393843</v>
      </c>
      <c r="AE376" s="127">
        <f>IF(TAB_AMORTIZACAO_C[[#This Row],[DIAS_CORRIDOS]]&lt;0, 0, TAB_AMORTIZACAO_C[[#This Row],[V_FUT_UTEIS]]/TAB_AMORTIZACAO_C[[#This Row],[VAR_DESCAP_C]])</f>
        <v>302.5978592141808</v>
      </c>
      <c r="AF376" s="64"/>
    </row>
    <row r="377" spans="1:32">
      <c r="A377" s="82">
        <f t="shared" si="9"/>
        <v>59</v>
      </c>
      <c r="B377" s="24">
        <f>VLOOKUP($A377, CAD_AMORTIZACAO[#Data], MATCH(B$318, CAD_ATUALIZACAO[#Headers],0), FALSE)</f>
        <v>4</v>
      </c>
      <c r="C377" s="24" t="str">
        <f>VLOOKUP($A377, CAD_AMORTIZACAO[#Data], MATCH(C$318, CAD_ATUALIZACAO[#Headers],0), FALSE)</f>
        <v xml:space="preserve">AMORTIZACAO                                       </v>
      </c>
      <c r="D377" s="36">
        <f>VLOOKUP($A377, CAD_AMORTIZACAO[#Data], MATCH(D$318, CAD_ATUALIZACAO[#Headers],0), FALSE)</f>
        <v>44145</v>
      </c>
      <c r="E377" s="48">
        <f>VLOOKUP($A377, CAD_AMORTIZACAO[#Data], MATCH(E$318, CAD_ATUALIZACAO[#Headers],0), FALSE)</f>
        <v>697.82653200000004</v>
      </c>
      <c r="F377" s="36">
        <f>VLOOKUP($A377, CAD_AMORTIZACAO[#Data], MATCH(F$318, CAD_ATUALIZACAO[#Headers],0), FALSE)</f>
        <v>44151</v>
      </c>
      <c r="G377" s="47">
        <f>WORKDAY(WORKDAY(TAB_AMORTIZACAO_U[[#This Row],[DT_EVE]], -1, TAB_FERIADOS[FER_DATA]), 1, TAB_FERIADOS[FER_DATA])</f>
        <v>44145</v>
      </c>
      <c r="H377" s="75">
        <f>WORKDAY(WORKDAY(TAB_AMORTIZACAO_U[[#This Row],[DT_LQDC_EVE]], -1, TAB_FERIADOS[FER_DATA]), 1, TAB_FERIADOS[FER_DATA])</f>
        <v>44151</v>
      </c>
      <c r="I377" s="48">
        <f>PU_EMISSAO - SUMIF(TAB_AMORTIZACAO_U[dt_eve_u], "&lt;" &amp; TAB_AMORTIZACAO_U[[#This Row],[dt_eve_u]], TAB_AMORTIZACAO_U[V_PU_AMTC])</f>
        <v>51420.420924000027</v>
      </c>
      <c r="J377" s="48">
        <f>IFERROR(VLOOKUP(TAB_AMORTIZACAO_U[[#This Row],[DT_EVE]], TAB_AMORTIZACAO_U[[DT_EVE]:[V_PU_AMTC]], 2, FALSE), 0)</f>
        <v>697.82653200000004</v>
      </c>
      <c r="K377" s="48">
        <f>NETWORKDAYS(DT_CALCULO_U, TAB_AMORTIZACAO_U[[#This Row],[dt_eve_u]], TAB_FERIADOS[FER_DATA]) -1</f>
        <v>1221</v>
      </c>
      <c r="L377" s="48">
        <f>NETWORKDAYS(DT_CALCULO_U, TAB_AMORTIZACAO_U[[#This Row],[dt_lqdc_eve_u]], TAB_FERIADOS[FER_DATA]) -1</f>
        <v>1225</v>
      </c>
      <c r="M377" s="48">
        <f>NETWORKDAYS(IF(ISTEXT(G376), DT_B_CORC, G376), TAB_AMORTIZACAO_U[[#This Row],[dt_eve_u]], TAB_FERIADOS[FER_DATA]) -1</f>
        <v>20</v>
      </c>
      <c r="N377" s="78">
        <f>(TX_EMISSAO/100 +1)^(TAB_AMORTIZACAO_U[[#This Row],[dias_periodo_u]]/252)</f>
        <v>1.0019616526860928</v>
      </c>
      <c r="O377" s="78">
        <f>(TIR_U/100 +1)^(TAB_AMORTIZACAO_U[[#This Row],[Q_DIAS_U_PARC_TIR]]/252)</f>
        <v>1.1275492377239671</v>
      </c>
      <c r="P377" s="116" t="str">
        <f>"TX_CENARIO" &amp; TEXT(DT_CALCULO_C, "-AAAAMMDD") &amp; TEXT(TAB_AMORTIZACAO_U[[#This Row],[DT_EVE]], "-AAAAMMDD")</f>
        <v>TX_CENARIO-20151228-20201110</v>
      </c>
      <c r="Q377" s="44">
        <f>IFERROR(VLOOKUP(TAB_AMORTIZACAO_U[[#This Row],[Chave-CENARIO]],CENARIO[],2,FALSE), 0)</f>
        <v>16.497299999999999</v>
      </c>
      <c r="R377" s="117" t="str">
        <f t="shared" si="10"/>
        <v>n/a</v>
      </c>
      <c r="S377" s="49" t="str">
        <f t="shared" si="10"/>
        <v>n/a</v>
      </c>
      <c r="T377" s="78">
        <f>IF(TAB_AMORTIZACAO_U[[#This Row],[Q_DIAS_U_PARC_TIR]]&lt;0, 0, TAB_AMORTIZACAO_U[[#This Row],[PU_AMORT]])</f>
        <v>697.82653200000004</v>
      </c>
      <c r="U377" s="78">
        <f>MAX(0, TAB_AMORTIZACAO_U[[#This Row],[V_FUT_U_PCPL-01]]/((((TAB_AMORTIZACAO_U[[#This Row],[TX_CENARIO]]/100 +1)^(1/252) -1) * PC_IDXR/100 +1)^TAB_AMORTIZACAO_U[[#This Row],[Q_DIAS_U_PARC_TIR]]))</f>
        <v>332.18400244836351</v>
      </c>
      <c r="V377" s="78">
        <f>+TAB_AMORTIZACAO_U[[#This Row],[V_FUT_U_PCPL-02]]/TAB_AMORTIZACAO_U[[#This Row],[VAR_DESCAP_U]]</f>
        <v>294.60709238640339</v>
      </c>
      <c r="W377" s="78"/>
      <c r="X377" s="101">
        <f>TAB_AMORTIZACAO_U[[#This Row],[dt_eve_u]]- DT_CALCULO_C</f>
        <v>1779</v>
      </c>
      <c r="Y377" s="49" t="str">
        <f t="shared" si="11"/>
        <v>n/a</v>
      </c>
      <c r="Z377" s="49" t="str">
        <f t="shared" si="11"/>
        <v>n/a</v>
      </c>
      <c r="AA377" s="44">
        <f>TAB_AMORTIZACAO_U[[#This Row],[V_PU_AMTC]]</f>
        <v>697.82653200000004</v>
      </c>
      <c r="AB377" s="44">
        <f>(TIR_C/100 +1)^(TAB_AMORTIZACAO_C[[#This Row],[DIAS_CORRIDOS]]/360)</f>
        <v>1.1278323489365181</v>
      </c>
      <c r="AC377" s="44">
        <f>IF(TAB_AMORTIZACAO_C[[#This Row],[DIAS_CORRIDOS]]&lt;0, 0, TAB_AMORTIZACAO_C[[#This Row],[V_FUT_C_PCPL]]/TAB_AMORTIZACAO_C[[#This Row],[VAR_DESCAP_C]])</f>
        <v>618.73250280328534</v>
      </c>
      <c r="AD377" s="115">
        <f>TAB_AMORTIZACAO_U[[#This Row],[V_FUT_U_PCPL-02]]</f>
        <v>332.18400244836351</v>
      </c>
      <c r="AE377" s="127">
        <f>IF(TAB_AMORTIZACAO_C[[#This Row],[DIAS_CORRIDOS]]&lt;0, 0, TAB_AMORTIZACAO_C[[#This Row],[V_FUT_UTEIS]]/TAB_AMORTIZACAO_C[[#This Row],[VAR_DESCAP_C]])</f>
        <v>294.53313939930359</v>
      </c>
      <c r="AF377" s="64"/>
    </row>
    <row r="378" spans="1:32">
      <c r="A378" s="82">
        <f t="shared" si="9"/>
        <v>60</v>
      </c>
      <c r="B378" s="24">
        <f>VLOOKUP($A378, CAD_AMORTIZACAO[#Data], MATCH(B$318, CAD_ATUALIZACAO[#Headers],0), FALSE)</f>
        <v>4</v>
      </c>
      <c r="C378" s="24" t="str">
        <f>VLOOKUP($A378, CAD_AMORTIZACAO[#Data], MATCH(C$318, CAD_ATUALIZACAO[#Headers],0), FALSE)</f>
        <v xml:space="preserve">AMORTIZACAO                                       </v>
      </c>
      <c r="D378" s="36">
        <f>VLOOKUP($A378, CAD_AMORTIZACAO[#Data], MATCH(D$318, CAD_ATUALIZACAO[#Headers],0), FALSE)</f>
        <v>44173</v>
      </c>
      <c r="E378" s="48">
        <f>VLOOKUP($A378, CAD_AMORTIZACAO[#Data], MATCH(E$318, CAD_ATUALIZACAO[#Headers],0), FALSE)</f>
        <v>697.841453</v>
      </c>
      <c r="F378" s="36">
        <f>VLOOKUP($A378, CAD_AMORTIZACAO[#Data], MATCH(F$318, CAD_ATUALIZACAO[#Headers],0), FALSE)</f>
        <v>44179</v>
      </c>
      <c r="G378" s="47">
        <f>WORKDAY(WORKDAY(TAB_AMORTIZACAO_U[[#This Row],[DT_EVE]], -1, TAB_FERIADOS[FER_DATA]), 1, TAB_FERIADOS[FER_DATA])</f>
        <v>44173</v>
      </c>
      <c r="H378" s="75">
        <f>WORKDAY(WORKDAY(TAB_AMORTIZACAO_U[[#This Row],[DT_LQDC_EVE]], -1, TAB_FERIADOS[FER_DATA]), 1, TAB_FERIADOS[FER_DATA])</f>
        <v>44179</v>
      </c>
      <c r="I378" s="48">
        <f>PU_EMISSAO - SUMIF(TAB_AMORTIZACAO_U[dt_eve_u], "&lt;" &amp; TAB_AMORTIZACAO_U[[#This Row],[dt_eve_u]], TAB_AMORTIZACAO_U[V_PU_AMTC])</f>
        <v>50722.594392000028</v>
      </c>
      <c r="J378" s="48">
        <f>IFERROR(VLOOKUP(TAB_AMORTIZACAO_U[[#This Row],[DT_EVE]], TAB_AMORTIZACAO_U[[DT_EVE]:[V_PU_AMTC]], 2, FALSE), 0)</f>
        <v>697.841453</v>
      </c>
      <c r="K378" s="48">
        <f>NETWORKDAYS(DT_CALCULO_U, TAB_AMORTIZACAO_U[[#This Row],[dt_eve_u]], TAB_FERIADOS[FER_DATA]) -1</f>
        <v>1241</v>
      </c>
      <c r="L378" s="48">
        <f>NETWORKDAYS(DT_CALCULO_U, TAB_AMORTIZACAO_U[[#This Row],[dt_lqdc_eve_u]], TAB_FERIADOS[FER_DATA]) -1</f>
        <v>1245</v>
      </c>
      <c r="M378" s="48">
        <f>NETWORKDAYS(IF(ISTEXT(G377), DT_B_CORC, G377), TAB_AMORTIZACAO_U[[#This Row],[dt_eve_u]], TAB_FERIADOS[FER_DATA]) -1</f>
        <v>20</v>
      </c>
      <c r="N378" s="78">
        <f>(TX_EMISSAO/100 +1)^(TAB_AMORTIZACAO_U[[#This Row],[dias_periodo_u]]/252)</f>
        <v>1.0019616526860928</v>
      </c>
      <c r="O378" s="78">
        <f>(TIR_U/100 +1)^(TAB_AMORTIZACAO_U[[#This Row],[Q_DIAS_U_PARC_TIR]]/252)</f>
        <v>1.1297613361698611</v>
      </c>
      <c r="P378" s="116" t="str">
        <f>"TX_CENARIO" &amp; TEXT(DT_CALCULO_C, "-AAAAMMDD") &amp; TEXT(TAB_AMORTIZACAO_U[[#This Row],[DT_EVE]], "-AAAAMMDD")</f>
        <v>TX_CENARIO-20151228-20201208</v>
      </c>
      <c r="Q378" s="44">
        <f>IFERROR(VLOOKUP(TAB_AMORTIZACAO_U[[#This Row],[Chave-CENARIO]],CENARIO[],2,FALSE), 0)</f>
        <v>16.4878</v>
      </c>
      <c r="R378" s="117" t="str">
        <f t="shared" si="10"/>
        <v>n/a</v>
      </c>
      <c r="S378" s="49" t="str">
        <f t="shared" si="10"/>
        <v>n/a</v>
      </c>
      <c r="T378" s="78">
        <f>IF(TAB_AMORTIZACAO_U[[#This Row],[Q_DIAS_U_PARC_TIR]]&lt;0, 0, TAB_AMORTIZACAO_U[[#This Row],[PU_AMORT]])</f>
        <v>697.841453</v>
      </c>
      <c r="U378" s="78">
        <f>MAX(0, TAB_AMORTIZACAO_U[[#This Row],[V_FUT_U_PCPL-01]]/((((TAB_AMORTIZACAO_U[[#This Row],[TX_CENARIO]]/100 +1)^(1/252) -1) * PC_IDXR/100 +1)^TAB_AMORTIZACAO_U[[#This Row],[Q_DIAS_U_PARC_TIR]]))</f>
        <v>328.32186958171667</v>
      </c>
      <c r="V378" s="78">
        <f>+TAB_AMORTIZACAO_U[[#This Row],[V_FUT_U_PCPL-02]]/TAB_AMORTIZACAO_U[[#This Row],[VAR_DESCAP_U]]</f>
        <v>290.61170626957363</v>
      </c>
      <c r="W378" s="78"/>
      <c r="X378" s="101">
        <f>TAB_AMORTIZACAO_U[[#This Row],[dt_eve_u]]- DT_CALCULO_C</f>
        <v>1807</v>
      </c>
      <c r="Y378" s="49" t="str">
        <f t="shared" si="11"/>
        <v>n/a</v>
      </c>
      <c r="Z378" s="49" t="str">
        <f t="shared" si="11"/>
        <v>n/a</v>
      </c>
      <c r="AA378" s="44">
        <f>TAB_AMORTIZACAO_U[[#This Row],[V_PU_AMTC]]</f>
        <v>697.841453</v>
      </c>
      <c r="AB378" s="44">
        <f>(TIR_C/100 +1)^(TAB_AMORTIZACAO_C[[#This Row],[DIAS_CORRIDOS]]/360)</f>
        <v>1.1299697917058833</v>
      </c>
      <c r="AC378" s="44">
        <f>IF(TAB_AMORTIZACAO_C[[#This Row],[DIAS_CORRIDOS]]&lt;0, 0, TAB_AMORTIZACAO_C[[#This Row],[V_FUT_C_PCPL]]/TAB_AMORTIZACAO_C[[#This Row],[VAR_DESCAP_C]])</f>
        <v>617.57531760781728</v>
      </c>
      <c r="AD378" s="115">
        <f>TAB_AMORTIZACAO_U[[#This Row],[V_FUT_U_PCPL-02]]</f>
        <v>328.32186958171667</v>
      </c>
      <c r="AE378" s="127">
        <f>IF(TAB_AMORTIZACAO_C[[#This Row],[DIAS_CORRIDOS]]&lt;0, 0, TAB_AMORTIZACAO_C[[#This Row],[V_FUT_UTEIS]]/TAB_AMORTIZACAO_C[[#This Row],[VAR_DESCAP_C]])</f>
        <v>290.55809455406632</v>
      </c>
      <c r="AF378" s="64"/>
    </row>
    <row r="379" spans="1:32">
      <c r="A379" s="82">
        <f t="shared" si="9"/>
        <v>61</v>
      </c>
      <c r="B379" s="24">
        <f>VLOOKUP($A379, CAD_AMORTIZACAO[#Data], MATCH(B$318, CAD_ATUALIZACAO[#Headers],0), FALSE)</f>
        <v>4</v>
      </c>
      <c r="C379" s="24" t="str">
        <f>VLOOKUP($A379, CAD_AMORTIZACAO[#Data], MATCH(C$318, CAD_ATUALIZACAO[#Headers],0), FALSE)</f>
        <v xml:space="preserve">AMORTIZACAO                                       </v>
      </c>
      <c r="D379" s="36">
        <f>VLOOKUP($A379, CAD_AMORTIZACAO[#Data], MATCH(D$318, CAD_ATUALIZACAO[#Headers],0), FALSE)</f>
        <v>44207</v>
      </c>
      <c r="E379" s="48">
        <f>VLOOKUP($A379, CAD_AMORTIZACAO[#Data], MATCH(E$318, CAD_ATUALIZACAO[#Headers],0), FALSE)</f>
        <v>729.61102100000005</v>
      </c>
      <c r="F379" s="36">
        <f>VLOOKUP($A379, CAD_AMORTIZACAO[#Data], MATCH(F$318, CAD_ATUALIZACAO[#Headers],0), FALSE)</f>
        <v>44211</v>
      </c>
      <c r="G379" s="47">
        <f>WORKDAY(WORKDAY(TAB_AMORTIZACAO_U[[#This Row],[DT_EVE]], -1, TAB_FERIADOS[FER_DATA]), 1, TAB_FERIADOS[FER_DATA])</f>
        <v>44207</v>
      </c>
      <c r="H379" s="75">
        <f>WORKDAY(WORKDAY(TAB_AMORTIZACAO_U[[#This Row],[DT_LQDC_EVE]], -1, TAB_FERIADOS[FER_DATA]), 1, TAB_FERIADOS[FER_DATA])</f>
        <v>44211</v>
      </c>
      <c r="I379" s="48">
        <f>PU_EMISSAO - SUMIF(TAB_AMORTIZACAO_U[dt_eve_u], "&lt;" &amp; TAB_AMORTIZACAO_U[[#This Row],[dt_eve_u]], TAB_AMORTIZACAO_U[V_PU_AMTC])</f>
        <v>50024.752939000027</v>
      </c>
      <c r="J379" s="48">
        <f>IFERROR(VLOOKUP(TAB_AMORTIZACAO_U[[#This Row],[DT_EVE]], TAB_AMORTIZACAO_U[[DT_EVE]:[V_PU_AMTC]], 2, FALSE), 0)</f>
        <v>729.61102100000005</v>
      </c>
      <c r="K379" s="48">
        <f>NETWORKDAYS(DT_CALCULO_U, TAB_AMORTIZACAO_U[[#This Row],[dt_eve_u]], TAB_FERIADOS[FER_DATA]) -1</f>
        <v>1263</v>
      </c>
      <c r="L379" s="48">
        <f>NETWORKDAYS(DT_CALCULO_U, TAB_AMORTIZACAO_U[[#This Row],[dt_lqdc_eve_u]], TAB_FERIADOS[FER_DATA]) -1</f>
        <v>1267</v>
      </c>
      <c r="M379" s="48">
        <f>NETWORKDAYS(IF(ISTEXT(G378), DT_B_CORC, G378), TAB_AMORTIZACAO_U[[#This Row],[dt_eve_u]], TAB_FERIADOS[FER_DATA]) -1</f>
        <v>22</v>
      </c>
      <c r="N379" s="78">
        <f>(TX_EMISSAO/100 +1)^(TAB_AMORTIZACAO_U[[#This Row],[dias_periodo_u]]/252)</f>
        <v>1.0021580294747356</v>
      </c>
      <c r="O379" s="78">
        <f>(TIR_U/100 +1)^(TAB_AMORTIZACAO_U[[#This Row],[Q_DIAS_U_PARC_TIR]]/252)</f>
        <v>1.1321996572993545</v>
      </c>
      <c r="P379" s="116" t="str">
        <f>"TX_CENARIO" &amp; TEXT(DT_CALCULO_C, "-AAAAMMDD") &amp; TEXT(TAB_AMORTIZACAO_U[[#This Row],[DT_EVE]], "-AAAAMMDD")</f>
        <v>TX_CENARIO-20151228-20210111</v>
      </c>
      <c r="Q379" s="44">
        <f>IFERROR(VLOOKUP(TAB_AMORTIZACAO_U[[#This Row],[Chave-CENARIO]],CENARIO[],2,FALSE), 0)</f>
        <v>16.479900000000001</v>
      </c>
      <c r="R379" s="117" t="str">
        <f t="shared" si="10"/>
        <v>n/a</v>
      </c>
      <c r="S379" s="49" t="str">
        <f t="shared" si="10"/>
        <v>n/a</v>
      </c>
      <c r="T379" s="78">
        <f>IF(TAB_AMORTIZACAO_U[[#This Row],[Q_DIAS_U_PARC_TIR]]&lt;0, 0, TAB_AMORTIZACAO_U[[#This Row],[PU_AMORT]])</f>
        <v>729.61102100000005</v>
      </c>
      <c r="U379" s="78">
        <f>MAX(0, TAB_AMORTIZACAO_U[[#This Row],[V_FUT_U_PCPL-01]]/((((TAB_AMORTIZACAO_U[[#This Row],[TX_CENARIO]]/100 +1)^(1/252) -1) * PC_IDXR/100 +1)^TAB_AMORTIZACAO_U[[#This Row],[Q_DIAS_U_PARC_TIR]]))</f>
        <v>338.84114035437773</v>
      </c>
      <c r="V379" s="78">
        <f>+TAB_AMORTIZACAO_U[[#This Row],[V_FUT_U_PCPL-02]]/TAB_AMORTIZACAO_U[[#This Row],[VAR_DESCAP_U]]</f>
        <v>299.27684412360486</v>
      </c>
      <c r="W379" s="78"/>
      <c r="X379" s="101">
        <f>TAB_AMORTIZACAO_U[[#This Row],[dt_eve_u]]- DT_CALCULO_C</f>
        <v>1841</v>
      </c>
      <c r="Y379" s="49" t="str">
        <f t="shared" si="11"/>
        <v>n/a</v>
      </c>
      <c r="Z379" s="49" t="str">
        <f t="shared" si="11"/>
        <v>n/a</v>
      </c>
      <c r="AA379" s="44">
        <f>TAB_AMORTIZACAO_U[[#This Row],[V_PU_AMTC]]</f>
        <v>729.61102100000005</v>
      </c>
      <c r="AB379" s="44">
        <f>(TIR_C/100 +1)^(TAB_AMORTIZACAO_C[[#This Row],[DIAS_CORRIDOS]]/360)</f>
        <v>1.1325707045543503</v>
      </c>
      <c r="AC379" s="44">
        <f>IF(TAB_AMORTIZACAO_C[[#This Row],[DIAS_CORRIDOS]]&lt;0, 0, TAB_AMORTIZACAO_C[[#This Row],[V_FUT_C_PCPL]]/TAB_AMORTIZACAO_C[[#This Row],[VAR_DESCAP_C]])</f>
        <v>644.2079227955054</v>
      </c>
      <c r="AD379" s="115">
        <f>TAB_AMORTIZACAO_U[[#This Row],[V_FUT_U_PCPL-02]]</f>
        <v>338.84114035437773</v>
      </c>
      <c r="AE379" s="127">
        <f>IF(TAB_AMORTIZACAO_C[[#This Row],[DIAS_CORRIDOS]]&lt;0, 0, TAB_AMORTIZACAO_C[[#This Row],[V_FUT_UTEIS]]/TAB_AMORTIZACAO_C[[#This Row],[VAR_DESCAP_C]])</f>
        <v>299.17879651293532</v>
      </c>
      <c r="AF379" s="64"/>
    </row>
    <row r="380" spans="1:32">
      <c r="A380" s="82">
        <f t="shared" si="9"/>
        <v>62</v>
      </c>
      <c r="B380" s="24">
        <f>VLOOKUP($A380, CAD_AMORTIZACAO[#Data], MATCH(B$318, CAD_ATUALIZACAO[#Headers],0), FALSE)</f>
        <v>4</v>
      </c>
      <c r="C380" s="24" t="str">
        <f>VLOOKUP($A380, CAD_AMORTIZACAO[#Data], MATCH(C$318, CAD_ATUALIZACAO[#Headers],0), FALSE)</f>
        <v xml:space="preserve">AMORTIZACAO                                       </v>
      </c>
      <c r="D380" s="36">
        <f>VLOOKUP($A380, CAD_AMORTIZACAO[#Data], MATCH(D$318, CAD_ATUALIZACAO[#Headers],0), FALSE)</f>
        <v>44235</v>
      </c>
      <c r="E380" s="48">
        <f>VLOOKUP($A380, CAD_AMORTIZACAO[#Data], MATCH(E$318, CAD_ATUALIZACAO[#Headers],0), FALSE)</f>
        <v>731.49060999999995</v>
      </c>
      <c r="F380" s="36">
        <f>VLOOKUP($A380, CAD_AMORTIZACAO[#Data], MATCH(F$318, CAD_ATUALIZACAO[#Headers],0), FALSE)</f>
        <v>44239</v>
      </c>
      <c r="G380" s="47">
        <f>WORKDAY(WORKDAY(TAB_AMORTIZACAO_U[[#This Row],[DT_EVE]], -1, TAB_FERIADOS[FER_DATA]), 1, TAB_FERIADOS[FER_DATA])</f>
        <v>44235</v>
      </c>
      <c r="H380" s="75">
        <f>WORKDAY(WORKDAY(TAB_AMORTIZACAO_U[[#This Row],[DT_LQDC_EVE]], -1, TAB_FERIADOS[FER_DATA]), 1, TAB_FERIADOS[FER_DATA])</f>
        <v>44239</v>
      </c>
      <c r="I380" s="48">
        <f>PU_EMISSAO - SUMIF(TAB_AMORTIZACAO_U[dt_eve_u], "&lt;" &amp; TAB_AMORTIZACAO_U[[#This Row],[dt_eve_u]], TAB_AMORTIZACAO_U[V_PU_AMTC])</f>
        <v>49295.14191800003</v>
      </c>
      <c r="J380" s="48">
        <f>IFERROR(VLOOKUP(TAB_AMORTIZACAO_U[[#This Row],[DT_EVE]], TAB_AMORTIZACAO_U[[DT_EVE]:[V_PU_AMTC]], 2, FALSE), 0)</f>
        <v>731.49060999999995</v>
      </c>
      <c r="K380" s="48">
        <f>NETWORKDAYS(DT_CALCULO_U, TAB_AMORTIZACAO_U[[#This Row],[dt_eve_u]], TAB_FERIADOS[FER_DATA]) -1</f>
        <v>1283</v>
      </c>
      <c r="L380" s="48">
        <f>NETWORKDAYS(DT_CALCULO_U, TAB_AMORTIZACAO_U[[#This Row],[dt_lqdc_eve_u]], TAB_FERIADOS[FER_DATA]) -1</f>
        <v>1287</v>
      </c>
      <c r="M380" s="48">
        <f>NETWORKDAYS(IF(ISTEXT(G379), DT_B_CORC, G379), TAB_AMORTIZACAO_U[[#This Row],[dt_eve_u]], TAB_FERIADOS[FER_DATA]) -1</f>
        <v>20</v>
      </c>
      <c r="N380" s="78">
        <f>(TX_EMISSAO/100 +1)^(TAB_AMORTIZACAO_U[[#This Row],[dias_periodo_u]]/252)</f>
        <v>1.0019616526860928</v>
      </c>
      <c r="O380" s="78">
        <f>(TIR_U/100 +1)^(TAB_AMORTIZACAO_U[[#This Row],[Q_DIAS_U_PARC_TIR]]/252)</f>
        <v>1.1344208792367743</v>
      </c>
      <c r="P380" s="116" t="str">
        <f>"TX_CENARIO" &amp; TEXT(DT_CALCULO_C, "-AAAAMMDD") &amp; TEXT(TAB_AMORTIZACAO_U[[#This Row],[DT_EVE]], "-AAAAMMDD")</f>
        <v>TX_CENARIO-20151228-20210208</v>
      </c>
      <c r="Q380" s="44">
        <f>IFERROR(VLOOKUP(TAB_AMORTIZACAO_U[[#This Row],[Chave-CENARIO]],CENARIO[],2,FALSE), 0)</f>
        <v>16.4755</v>
      </c>
      <c r="R380" s="117" t="str">
        <f t="shared" si="10"/>
        <v>n/a</v>
      </c>
      <c r="S380" s="49" t="str">
        <f t="shared" si="10"/>
        <v>n/a</v>
      </c>
      <c r="T380" s="78">
        <f>IF(TAB_AMORTIZACAO_U[[#This Row],[Q_DIAS_U_PARC_TIR]]&lt;0, 0, TAB_AMORTIZACAO_U[[#This Row],[PU_AMORT]])</f>
        <v>731.49060999999995</v>
      </c>
      <c r="U380" s="78">
        <f>MAX(0, TAB_AMORTIZACAO_U[[#This Row],[V_FUT_U_PCPL-01]]/((((TAB_AMORTIZACAO_U[[#This Row],[TX_CENARIO]]/100 +1)^(1/252) -1) * PC_IDXR/100 +1)^TAB_AMORTIZACAO_U[[#This Row],[Q_DIAS_U_PARC_TIR]]))</f>
        <v>335.69067382729042</v>
      </c>
      <c r="V380" s="78">
        <f>+TAB_AMORTIZACAO_U[[#This Row],[V_FUT_U_PCPL-02]]/TAB_AMORTIZACAO_U[[#This Row],[VAR_DESCAP_U]]</f>
        <v>295.91369479477436</v>
      </c>
      <c r="W380" s="78"/>
      <c r="X380" s="101">
        <f>TAB_AMORTIZACAO_U[[#This Row],[dt_eve_u]]- DT_CALCULO_C</f>
        <v>1869</v>
      </c>
      <c r="Y380" s="49" t="str">
        <f t="shared" si="11"/>
        <v>n/a</v>
      </c>
      <c r="Z380" s="49" t="str">
        <f t="shared" si="11"/>
        <v>n/a</v>
      </c>
      <c r="AA380" s="44">
        <f>TAB_AMORTIZACAO_U[[#This Row],[V_PU_AMTC]]</f>
        <v>731.49060999999995</v>
      </c>
      <c r="AB380" s="44">
        <f>(TIR_C/100 +1)^(TAB_AMORTIZACAO_C[[#This Row],[DIAS_CORRIDOS]]/360)</f>
        <v>1.1347171273498371</v>
      </c>
      <c r="AC380" s="44">
        <f>IF(TAB_AMORTIZACAO_C[[#This Row],[DIAS_CORRIDOS]]&lt;0, 0, TAB_AMORTIZACAO_C[[#This Row],[V_FUT_C_PCPL]]/TAB_AMORTIZACAO_C[[#This Row],[VAR_DESCAP_C]])</f>
        <v>644.64578207999409</v>
      </c>
      <c r="AD380" s="115">
        <f>TAB_AMORTIZACAO_U[[#This Row],[V_FUT_U_PCPL-02]]</f>
        <v>335.69067382729042</v>
      </c>
      <c r="AE380" s="127">
        <f>IF(TAB_AMORTIZACAO_C[[#This Row],[DIAS_CORRIDOS]]&lt;0, 0, TAB_AMORTIZACAO_C[[#This Row],[V_FUT_UTEIS]]/TAB_AMORTIZACAO_C[[#This Row],[VAR_DESCAP_C]])</f>
        <v>295.83643864731749</v>
      </c>
      <c r="AF380" s="64"/>
    </row>
    <row r="381" spans="1:32">
      <c r="A381" s="82">
        <f t="shared" si="9"/>
        <v>63</v>
      </c>
      <c r="B381" s="24">
        <f>VLOOKUP($A381, CAD_AMORTIZACAO[#Data], MATCH(B$318, CAD_ATUALIZACAO[#Headers],0), FALSE)</f>
        <v>4</v>
      </c>
      <c r="C381" s="24" t="str">
        <f>VLOOKUP($A381, CAD_AMORTIZACAO[#Data], MATCH(C$318, CAD_ATUALIZACAO[#Headers],0), FALSE)</f>
        <v xml:space="preserve">AMORTIZACAO                                       </v>
      </c>
      <c r="D381" s="36">
        <f>VLOOKUP($A381, CAD_AMORTIZACAO[#Data], MATCH(D$318, CAD_ATUALIZACAO[#Headers],0), FALSE)</f>
        <v>44263</v>
      </c>
      <c r="E381" s="48">
        <f>VLOOKUP($A381, CAD_AMORTIZACAO[#Data], MATCH(E$318, CAD_ATUALIZACAO[#Headers],0), FALSE)</f>
        <v>733.84533399999998</v>
      </c>
      <c r="F381" s="36">
        <f>VLOOKUP($A381, CAD_AMORTIZACAO[#Data], MATCH(F$318, CAD_ATUALIZACAO[#Headers],0), FALSE)</f>
        <v>44267</v>
      </c>
      <c r="G381" s="47">
        <f>WORKDAY(WORKDAY(TAB_AMORTIZACAO_U[[#This Row],[DT_EVE]], -1, TAB_FERIADOS[FER_DATA]), 1, TAB_FERIADOS[FER_DATA])</f>
        <v>44263</v>
      </c>
      <c r="H381" s="75">
        <f>WORKDAY(WORKDAY(TAB_AMORTIZACAO_U[[#This Row],[DT_LQDC_EVE]], -1, TAB_FERIADOS[FER_DATA]), 1, TAB_FERIADOS[FER_DATA])</f>
        <v>44267</v>
      </c>
      <c r="I381" s="48">
        <f>PU_EMISSAO - SUMIF(TAB_AMORTIZACAO_U[dt_eve_u], "&lt;" &amp; TAB_AMORTIZACAO_U[[#This Row],[dt_eve_u]], TAB_AMORTIZACAO_U[V_PU_AMTC])</f>
        <v>48563.65130800003</v>
      </c>
      <c r="J381" s="48">
        <f>IFERROR(VLOOKUP(TAB_AMORTIZACAO_U[[#This Row],[DT_EVE]], TAB_AMORTIZACAO_U[[DT_EVE]:[V_PU_AMTC]], 2, FALSE), 0)</f>
        <v>733.84533399999998</v>
      </c>
      <c r="K381" s="48">
        <f>NETWORKDAYS(DT_CALCULO_U, TAB_AMORTIZACAO_U[[#This Row],[dt_eve_u]], TAB_FERIADOS[FER_DATA]) -1</f>
        <v>1301</v>
      </c>
      <c r="L381" s="48">
        <f>NETWORKDAYS(DT_CALCULO_U, TAB_AMORTIZACAO_U[[#This Row],[dt_lqdc_eve_u]], TAB_FERIADOS[FER_DATA]) -1</f>
        <v>1305</v>
      </c>
      <c r="M381" s="48">
        <f>NETWORKDAYS(IF(ISTEXT(G380), DT_B_CORC, G380), TAB_AMORTIZACAO_U[[#This Row],[dt_eve_u]], TAB_FERIADOS[FER_DATA]) -1</f>
        <v>18</v>
      </c>
      <c r="N381" s="78">
        <f>(TX_EMISSAO/100 +1)^(TAB_AMORTIZACAO_U[[#This Row],[dias_periodo_u]]/252)</f>
        <v>1.0017653143782506</v>
      </c>
      <c r="O381" s="78">
        <f>(TIR_U/100 +1)^(TAB_AMORTIZACAO_U[[#This Row],[Q_DIAS_U_PARC_TIR]]/252)</f>
        <v>1.1364237046009744</v>
      </c>
      <c r="P381" s="116" t="str">
        <f>"TX_CENARIO" &amp; TEXT(DT_CALCULO_C, "-AAAAMMDD") &amp; TEXT(TAB_AMORTIZACAO_U[[#This Row],[DT_EVE]], "-AAAAMMDD")</f>
        <v>TX_CENARIO-20151228-20210308</v>
      </c>
      <c r="Q381" s="44">
        <f>IFERROR(VLOOKUP(TAB_AMORTIZACAO_U[[#This Row],[Chave-CENARIO]],CENARIO[],2,FALSE), 0)</f>
        <v>16.471699999999998</v>
      </c>
      <c r="R381" s="117" t="str">
        <f t="shared" si="10"/>
        <v>n/a</v>
      </c>
      <c r="S381" s="49" t="str">
        <f t="shared" si="10"/>
        <v>n/a</v>
      </c>
      <c r="T381" s="78">
        <f>IF(TAB_AMORTIZACAO_U[[#This Row],[Q_DIAS_U_PARC_TIR]]&lt;0, 0, TAB_AMORTIZACAO_U[[#This Row],[PU_AMORT]])</f>
        <v>733.84533399999998</v>
      </c>
      <c r="U381" s="78">
        <f>MAX(0, TAB_AMORTIZACAO_U[[#This Row],[V_FUT_U_PCPL-01]]/((((TAB_AMORTIZACAO_U[[#This Row],[TX_CENARIO]]/100 +1)^(1/252) -1) * PC_IDXR/100 +1)^TAB_AMORTIZACAO_U[[#This Row],[Q_DIAS_U_PARC_TIR]]))</f>
        <v>333.17882418482344</v>
      </c>
      <c r="V381" s="78">
        <f>+TAB_AMORTIZACAO_U[[#This Row],[V_FUT_U_PCPL-02]]/TAB_AMORTIZACAO_U[[#This Row],[VAR_DESCAP_U]]</f>
        <v>293.18186767479523</v>
      </c>
      <c r="W381" s="78"/>
      <c r="X381" s="101">
        <f>TAB_AMORTIZACAO_U[[#This Row],[dt_eve_u]]- DT_CALCULO_C</f>
        <v>1897</v>
      </c>
      <c r="Y381" s="49" t="str">
        <f t="shared" si="11"/>
        <v>n/a</v>
      </c>
      <c r="Z381" s="49" t="str">
        <f t="shared" si="11"/>
        <v>n/a</v>
      </c>
      <c r="AA381" s="44">
        <f>TAB_AMORTIZACAO_U[[#This Row],[V_PU_AMTC]]</f>
        <v>733.84533399999998</v>
      </c>
      <c r="AB381" s="44">
        <f>(TIR_C/100 +1)^(TAB_AMORTIZACAO_C[[#This Row],[DIAS_CORRIDOS]]/360)</f>
        <v>1.1368676179980401</v>
      </c>
      <c r="AC381" s="44">
        <f>IF(TAB_AMORTIZACAO_C[[#This Row],[DIAS_CORRIDOS]]&lt;0, 0, TAB_AMORTIZACAO_C[[#This Row],[V_FUT_C_PCPL]]/TAB_AMORTIZACAO_C[[#This Row],[VAR_DESCAP_C]])</f>
        <v>645.49761325092561</v>
      </c>
      <c r="AD381" s="115">
        <f>TAB_AMORTIZACAO_U[[#This Row],[V_FUT_U_PCPL-02]]</f>
        <v>333.17882418482344</v>
      </c>
      <c r="AE381" s="127">
        <f>IF(TAB_AMORTIZACAO_C[[#This Row],[DIAS_CORRIDOS]]&lt;0, 0, TAB_AMORTIZACAO_C[[#This Row],[V_FUT_UTEIS]]/TAB_AMORTIZACAO_C[[#This Row],[VAR_DESCAP_C]])</f>
        <v>293.06738877085144</v>
      </c>
      <c r="AF381" s="64"/>
    </row>
    <row r="382" spans="1:32">
      <c r="A382" s="82">
        <f t="shared" si="9"/>
        <v>64</v>
      </c>
      <c r="B382" s="24">
        <f>VLOOKUP($A382, CAD_AMORTIZACAO[#Data], MATCH(B$318, CAD_ATUALIZACAO[#Headers],0), FALSE)</f>
        <v>4</v>
      </c>
      <c r="C382" s="24" t="str">
        <f>VLOOKUP($A382, CAD_AMORTIZACAO[#Data], MATCH(C$318, CAD_ATUALIZACAO[#Headers],0), FALSE)</f>
        <v xml:space="preserve">AMORTIZACAO                                       </v>
      </c>
      <c r="D382" s="36">
        <f>VLOOKUP($A382, CAD_AMORTIZACAO[#Data], MATCH(D$318, CAD_ATUALIZACAO[#Headers],0), FALSE)</f>
        <v>44295</v>
      </c>
      <c r="E382" s="48">
        <f>VLOOKUP($A382, CAD_AMORTIZACAO[#Data], MATCH(E$318, CAD_ATUALIZACAO[#Headers],0), FALSE)</f>
        <v>701.13712499999997</v>
      </c>
      <c r="F382" s="36">
        <f>VLOOKUP($A382, CAD_AMORTIZACAO[#Data], MATCH(F$318, CAD_ATUALIZACAO[#Headers],0), FALSE)</f>
        <v>44301</v>
      </c>
      <c r="G382" s="47">
        <f>WORKDAY(WORKDAY(TAB_AMORTIZACAO_U[[#This Row],[DT_EVE]], -1, TAB_FERIADOS[FER_DATA]), 1, TAB_FERIADOS[FER_DATA])</f>
        <v>44295</v>
      </c>
      <c r="H382" s="75">
        <f>WORKDAY(WORKDAY(TAB_AMORTIZACAO_U[[#This Row],[DT_LQDC_EVE]], -1, TAB_FERIADOS[FER_DATA]), 1, TAB_FERIADOS[FER_DATA])</f>
        <v>44301</v>
      </c>
      <c r="I382" s="48">
        <f>PU_EMISSAO - SUMIF(TAB_AMORTIZACAO_U[dt_eve_u], "&lt;" &amp; TAB_AMORTIZACAO_U[[#This Row],[dt_eve_u]], TAB_AMORTIZACAO_U[V_PU_AMTC])</f>
        <v>47829.805974000032</v>
      </c>
      <c r="J382" s="48">
        <f>IFERROR(VLOOKUP(TAB_AMORTIZACAO_U[[#This Row],[DT_EVE]], TAB_AMORTIZACAO_U[[DT_EVE]:[V_PU_AMTC]], 2, FALSE), 0)</f>
        <v>701.13712499999997</v>
      </c>
      <c r="K382" s="48">
        <f>NETWORKDAYS(DT_CALCULO_U, TAB_AMORTIZACAO_U[[#This Row],[dt_eve_u]], TAB_FERIADOS[FER_DATA]) -1</f>
        <v>1324</v>
      </c>
      <c r="L382" s="48">
        <f>NETWORKDAYS(DT_CALCULO_U, TAB_AMORTIZACAO_U[[#This Row],[dt_lqdc_eve_u]], TAB_FERIADOS[FER_DATA]) -1</f>
        <v>1328</v>
      </c>
      <c r="M382" s="48">
        <f>NETWORKDAYS(IF(ISTEXT(G381), DT_B_CORC, G381), TAB_AMORTIZACAO_U[[#This Row],[dt_eve_u]], TAB_FERIADOS[FER_DATA]) -1</f>
        <v>23</v>
      </c>
      <c r="N382" s="78">
        <f>(TX_EMISSAO/100 +1)^(TAB_AMORTIZACAO_U[[#This Row],[dias_periodo_u]]/252)</f>
        <v>1.0022562323017139</v>
      </c>
      <c r="O382" s="78">
        <f>(TIR_U/100 +1)^(TAB_AMORTIZACAO_U[[#This Row],[Q_DIAS_U_PARC_TIR]]/252)</f>
        <v>1.1389880169345483</v>
      </c>
      <c r="P382" s="116" t="str">
        <f>"TX_CENARIO" &amp; TEXT(DT_CALCULO_C, "-AAAAMMDD") &amp; TEXT(TAB_AMORTIZACAO_U[[#This Row],[DT_EVE]], "-AAAAMMDD")</f>
        <v>TX_CENARIO-20151228-20210409</v>
      </c>
      <c r="Q382" s="44">
        <f>IFERROR(VLOOKUP(TAB_AMORTIZACAO_U[[#This Row],[Chave-CENARIO]],CENARIO[],2,FALSE), 0)</f>
        <v>16.466999999999999</v>
      </c>
      <c r="R382" s="117" t="str">
        <f t="shared" si="10"/>
        <v>n/a</v>
      </c>
      <c r="S382" s="49" t="str">
        <f t="shared" si="10"/>
        <v>n/a</v>
      </c>
      <c r="T382" s="78">
        <f>IF(TAB_AMORTIZACAO_U[[#This Row],[Q_DIAS_U_PARC_TIR]]&lt;0, 0, TAB_AMORTIZACAO_U[[#This Row],[PU_AMORT]])</f>
        <v>701.13712499999997</v>
      </c>
      <c r="U382" s="78">
        <f>MAX(0, TAB_AMORTIZACAO_U[[#This Row],[V_FUT_U_PCPL-01]]/((((TAB_AMORTIZACAO_U[[#This Row],[TX_CENARIO]]/100 +1)^(1/252) -1) * PC_IDXR/100 +1)^TAB_AMORTIZACAO_U[[#This Row],[Q_DIAS_U_PARC_TIR]]))</f>
        <v>313.99609526513069</v>
      </c>
      <c r="V382" s="78">
        <f>+TAB_AMORTIZACAO_U[[#This Row],[V_FUT_U_PCPL-02]]/TAB_AMORTIZACAO_U[[#This Row],[VAR_DESCAP_U]]</f>
        <v>275.67989355165832</v>
      </c>
      <c r="W382" s="78"/>
      <c r="X382" s="101">
        <f>TAB_AMORTIZACAO_U[[#This Row],[dt_eve_u]]- DT_CALCULO_C</f>
        <v>1929</v>
      </c>
      <c r="Y382" s="49" t="str">
        <f t="shared" si="11"/>
        <v>n/a</v>
      </c>
      <c r="Z382" s="49" t="str">
        <f t="shared" si="11"/>
        <v>n/a</v>
      </c>
      <c r="AA382" s="44">
        <f>TAB_AMORTIZACAO_U[[#This Row],[V_PU_AMTC]]</f>
        <v>701.13712499999997</v>
      </c>
      <c r="AB382" s="44">
        <f>(TIR_C/100 +1)^(TAB_AMORTIZACAO_C[[#This Row],[DIAS_CORRIDOS]]/360)</f>
        <v>1.1393303125302843</v>
      </c>
      <c r="AC382" s="44">
        <f>IF(TAB_AMORTIZACAO_C[[#This Row],[DIAS_CORRIDOS]]&lt;0, 0, TAB_AMORTIZACAO_C[[#This Row],[V_FUT_C_PCPL]]/TAB_AMORTIZACAO_C[[#This Row],[VAR_DESCAP_C]])</f>
        <v>615.39407605409713</v>
      </c>
      <c r="AD382" s="115">
        <f>TAB_AMORTIZACAO_U[[#This Row],[V_FUT_U_PCPL-02]]</f>
        <v>313.99609526513069</v>
      </c>
      <c r="AE382" s="127">
        <f>IF(TAB_AMORTIZACAO_C[[#This Row],[DIAS_CORRIDOS]]&lt;0, 0, TAB_AMORTIZACAO_C[[#This Row],[V_FUT_UTEIS]]/TAB_AMORTIZACAO_C[[#This Row],[VAR_DESCAP_C]])</f>
        <v>275.59706944669256</v>
      </c>
      <c r="AF382" s="64"/>
    </row>
    <row r="383" spans="1:32">
      <c r="A383" s="82">
        <f t="shared" si="9"/>
        <v>65</v>
      </c>
      <c r="B383" s="24">
        <f>VLOOKUP($A383, CAD_AMORTIZACAO[#Data], MATCH(B$318, CAD_ATUALIZACAO[#Headers],0), FALSE)</f>
        <v>4</v>
      </c>
      <c r="C383" s="24" t="str">
        <f>VLOOKUP($A383, CAD_AMORTIZACAO[#Data], MATCH(C$318, CAD_ATUALIZACAO[#Headers],0), FALSE)</f>
        <v xml:space="preserve">AMORTIZACAO                                       </v>
      </c>
      <c r="D383" s="36">
        <f>VLOOKUP($A383, CAD_AMORTIZACAO[#Data], MATCH(D$318, CAD_ATUALIZACAO[#Headers],0), FALSE)</f>
        <v>44326</v>
      </c>
      <c r="E383" s="48">
        <f>VLOOKUP($A383, CAD_AMORTIZACAO[#Data], MATCH(E$318, CAD_ATUALIZACAO[#Headers],0), FALSE)</f>
        <v>707.11854700000004</v>
      </c>
      <c r="F383" s="36">
        <f>VLOOKUP($A383, CAD_AMORTIZACAO[#Data], MATCH(F$318, CAD_ATUALIZACAO[#Headers],0), FALSE)</f>
        <v>44330</v>
      </c>
      <c r="G383" s="47">
        <f>WORKDAY(WORKDAY(TAB_AMORTIZACAO_U[[#This Row],[DT_EVE]], -1, TAB_FERIADOS[FER_DATA]), 1, TAB_FERIADOS[FER_DATA])</f>
        <v>44326</v>
      </c>
      <c r="H383" s="75">
        <f>WORKDAY(WORKDAY(TAB_AMORTIZACAO_U[[#This Row],[DT_LQDC_EVE]], -1, TAB_FERIADOS[FER_DATA]), 1, TAB_FERIADOS[FER_DATA])</f>
        <v>44330</v>
      </c>
      <c r="I383" s="48">
        <f>PU_EMISSAO - SUMIF(TAB_AMORTIZACAO_U[dt_eve_u], "&lt;" &amp; TAB_AMORTIZACAO_U[[#This Row],[dt_eve_u]], TAB_AMORTIZACAO_U[V_PU_AMTC])</f>
        <v>47128.668849000031</v>
      </c>
      <c r="J383" s="48">
        <f>IFERROR(VLOOKUP(TAB_AMORTIZACAO_U[[#This Row],[DT_EVE]], TAB_AMORTIZACAO_U[[DT_EVE]:[V_PU_AMTC]], 2, FALSE), 0)</f>
        <v>707.11854700000004</v>
      </c>
      <c r="K383" s="48">
        <f>NETWORKDAYS(DT_CALCULO_U, TAB_AMORTIZACAO_U[[#This Row],[dt_eve_u]], TAB_FERIADOS[FER_DATA]) -1</f>
        <v>1344</v>
      </c>
      <c r="L383" s="48">
        <f>NETWORKDAYS(DT_CALCULO_U, TAB_AMORTIZACAO_U[[#This Row],[dt_lqdc_eve_u]], TAB_FERIADOS[FER_DATA]) -1</f>
        <v>1348</v>
      </c>
      <c r="M383" s="48">
        <f>NETWORKDAYS(IF(ISTEXT(G382), DT_B_CORC, G382), TAB_AMORTIZACAO_U[[#This Row],[dt_eve_u]], TAB_FERIADOS[FER_DATA]) -1</f>
        <v>20</v>
      </c>
      <c r="N383" s="78">
        <f>(TX_EMISSAO/100 +1)^(TAB_AMORTIZACAO_U[[#This Row],[dias_periodo_u]]/252)</f>
        <v>1.0019616526860928</v>
      </c>
      <c r="O383" s="78">
        <f>(TIR_U/100 +1)^(TAB_AMORTIZACAO_U[[#This Row],[Q_DIAS_U_PARC_TIR]]/252)</f>
        <v>1.1412225567114884</v>
      </c>
      <c r="P383" s="116" t="str">
        <f>"TX_CENARIO" &amp; TEXT(DT_CALCULO_C, "-AAAAMMDD") &amp; TEXT(TAB_AMORTIZACAO_U[[#This Row],[DT_EVE]], "-AAAAMMDD")</f>
        <v>TX_CENARIO-20151228-20210510</v>
      </c>
      <c r="Q383" s="44">
        <f>IFERROR(VLOOKUP(TAB_AMORTIZACAO_U[[#This Row],[Chave-CENARIO]],CENARIO[],2,FALSE), 0)</f>
        <v>16.463000000000001</v>
      </c>
      <c r="R383" s="117" t="str">
        <f t="shared" si="10"/>
        <v>n/a</v>
      </c>
      <c r="S383" s="49" t="str">
        <f t="shared" si="10"/>
        <v>n/a</v>
      </c>
      <c r="T383" s="78">
        <f>IF(TAB_AMORTIZACAO_U[[#This Row],[Q_DIAS_U_PARC_TIR]]&lt;0, 0, TAB_AMORTIZACAO_U[[#This Row],[PU_AMORT]])</f>
        <v>707.11854700000004</v>
      </c>
      <c r="U383" s="78">
        <f>MAX(0, TAB_AMORTIZACAO_U[[#This Row],[V_FUT_U_PCPL-01]]/((((TAB_AMORTIZACAO_U[[#This Row],[TX_CENARIO]]/100 +1)^(1/252) -1) * PC_IDXR/100 +1)^TAB_AMORTIZACAO_U[[#This Row],[Q_DIAS_U_PARC_TIR]]))</f>
        <v>312.92416567991518</v>
      </c>
      <c r="V383" s="78">
        <f>+TAB_AMORTIZACAO_U[[#This Row],[V_FUT_U_PCPL-02]]/TAB_AMORTIZACAO_U[[#This Row],[VAR_DESCAP_U]]</f>
        <v>274.2008242297872</v>
      </c>
      <c r="W383" s="78"/>
      <c r="X383" s="101">
        <f>TAB_AMORTIZACAO_U[[#This Row],[dt_eve_u]]- DT_CALCULO_C</f>
        <v>1960</v>
      </c>
      <c r="Y383" s="49" t="str">
        <f t="shared" si="11"/>
        <v>n/a</v>
      </c>
      <c r="Z383" s="49" t="str">
        <f t="shared" si="11"/>
        <v>n/a</v>
      </c>
      <c r="AA383" s="44">
        <f>TAB_AMORTIZACAO_U[[#This Row],[V_PU_AMTC]]</f>
        <v>707.11854700000004</v>
      </c>
      <c r="AB383" s="44">
        <f>(TIR_C/100 +1)^(TAB_AMORTIZACAO_C[[#This Row],[DIAS_CORRIDOS]]/360)</f>
        <v>1.1417211349984282</v>
      </c>
      <c r="AC383" s="44">
        <f>IF(TAB_AMORTIZACAO_C[[#This Row],[DIAS_CORRIDOS]]&lt;0, 0, TAB_AMORTIZACAO_C[[#This Row],[V_FUT_C_PCPL]]/TAB_AMORTIZACAO_C[[#This Row],[VAR_DESCAP_C]])</f>
        <v>619.34436117885605</v>
      </c>
      <c r="AD383" s="115">
        <f>TAB_AMORTIZACAO_U[[#This Row],[V_FUT_U_PCPL-02]]</f>
        <v>312.92416567991518</v>
      </c>
      <c r="AE383" s="127">
        <f>IF(TAB_AMORTIZACAO_C[[#This Row],[DIAS_CORRIDOS]]&lt;0, 0, TAB_AMORTIZACAO_C[[#This Row],[V_FUT_UTEIS]]/TAB_AMORTIZACAO_C[[#This Row],[VAR_DESCAP_C]])</f>
        <v>274.08108345156103</v>
      </c>
      <c r="AF383" s="64"/>
    </row>
    <row r="384" spans="1:32">
      <c r="A384" s="82">
        <f t="shared" si="9"/>
        <v>66</v>
      </c>
      <c r="B384" s="24">
        <f>VLOOKUP($A384, CAD_AMORTIZACAO[#Data], MATCH(B$318, CAD_ATUALIZACAO[#Headers],0), FALSE)</f>
        <v>4</v>
      </c>
      <c r="C384" s="24" t="str">
        <f>VLOOKUP($A384, CAD_AMORTIZACAO[#Data], MATCH(C$318, CAD_ATUALIZACAO[#Headers],0), FALSE)</f>
        <v xml:space="preserve">AMORTIZACAO                                       </v>
      </c>
      <c r="D384" s="36">
        <f>VLOOKUP($A384, CAD_AMORTIZACAO[#Data], MATCH(D$318, CAD_ATUALIZACAO[#Headers],0), FALSE)</f>
        <v>44356</v>
      </c>
      <c r="E384" s="48">
        <f>VLOOKUP($A384, CAD_AMORTIZACAO[#Data], MATCH(E$318, CAD_ATUALIZACAO[#Headers],0), FALSE)</f>
        <v>694.46639200000004</v>
      </c>
      <c r="F384" s="36">
        <f>VLOOKUP($A384, CAD_AMORTIZACAO[#Data], MATCH(F$318, CAD_ATUALIZACAO[#Headers],0), FALSE)</f>
        <v>44362</v>
      </c>
      <c r="G384" s="47">
        <f>WORKDAY(WORKDAY(TAB_AMORTIZACAO_U[[#This Row],[DT_EVE]], -1, TAB_FERIADOS[FER_DATA]), 1, TAB_FERIADOS[FER_DATA])</f>
        <v>44356</v>
      </c>
      <c r="H384" s="75">
        <f>WORKDAY(WORKDAY(TAB_AMORTIZACAO_U[[#This Row],[DT_LQDC_EVE]], -1, TAB_FERIADOS[FER_DATA]), 1, TAB_FERIADOS[FER_DATA])</f>
        <v>44362</v>
      </c>
      <c r="I384" s="48">
        <f>PU_EMISSAO - SUMIF(TAB_AMORTIZACAO_U[dt_eve_u], "&lt;" &amp; TAB_AMORTIZACAO_U[[#This Row],[dt_eve_u]], TAB_AMORTIZACAO_U[V_PU_AMTC])</f>
        <v>46421.550302000032</v>
      </c>
      <c r="J384" s="48">
        <f>IFERROR(VLOOKUP(TAB_AMORTIZACAO_U[[#This Row],[DT_EVE]], TAB_AMORTIZACAO_U[[DT_EVE]:[V_PU_AMTC]], 2, FALSE), 0)</f>
        <v>694.46639200000004</v>
      </c>
      <c r="K384" s="48">
        <f>NETWORKDAYS(DT_CALCULO_U, TAB_AMORTIZACAO_U[[#This Row],[dt_eve_u]], TAB_FERIADOS[FER_DATA]) -1</f>
        <v>1365</v>
      </c>
      <c r="L384" s="48">
        <f>NETWORKDAYS(DT_CALCULO_U, TAB_AMORTIZACAO_U[[#This Row],[dt_lqdc_eve_u]], TAB_FERIADOS[FER_DATA]) -1</f>
        <v>1369</v>
      </c>
      <c r="M384" s="48">
        <f>NETWORKDAYS(IF(ISTEXT(G383), DT_B_CORC, G383), TAB_AMORTIZACAO_U[[#This Row],[dt_eve_u]], TAB_FERIADOS[FER_DATA]) -1</f>
        <v>21</v>
      </c>
      <c r="N384" s="78">
        <f>(TX_EMISSAO/100 +1)^(TAB_AMORTIZACAO_U[[#This Row],[dias_periodo_u]]/252)</f>
        <v>1.0020598362698427</v>
      </c>
      <c r="O384" s="78">
        <f>(TIR_U/100 +1)^(TAB_AMORTIZACAO_U[[#This Row],[Q_DIAS_U_PARC_TIR]]/252)</f>
        <v>1.1435735417645871</v>
      </c>
      <c r="P384" s="116" t="str">
        <f>"TX_CENARIO" &amp; TEXT(DT_CALCULO_C, "-AAAAMMDD") &amp; TEXT(TAB_AMORTIZACAO_U[[#This Row],[DT_EVE]], "-AAAAMMDD")</f>
        <v>TX_CENARIO-20151228-20210609</v>
      </c>
      <c r="Q384" s="44">
        <f>IFERROR(VLOOKUP(TAB_AMORTIZACAO_U[[#This Row],[Chave-CENARIO]],CENARIO[],2,FALSE), 0)</f>
        <v>16.4589</v>
      </c>
      <c r="R384" s="117" t="str">
        <f t="shared" si="10"/>
        <v>n/a</v>
      </c>
      <c r="S384" s="49" t="str">
        <f t="shared" si="10"/>
        <v>n/a</v>
      </c>
      <c r="T384" s="78">
        <f>IF(TAB_AMORTIZACAO_U[[#This Row],[Q_DIAS_U_PARC_TIR]]&lt;0, 0, TAB_AMORTIZACAO_U[[#This Row],[PU_AMORT]])</f>
        <v>694.46639200000004</v>
      </c>
      <c r="U384" s="78">
        <f>MAX(0, TAB_AMORTIZACAO_U[[#This Row],[V_FUT_U_PCPL-01]]/((((TAB_AMORTIZACAO_U[[#This Row],[TX_CENARIO]]/100 +1)^(1/252) -1) * PC_IDXR/100 +1)^TAB_AMORTIZACAO_U[[#This Row],[Q_DIAS_U_PARC_TIR]]))</f>
        <v>303.50475754596033</v>
      </c>
      <c r="V384" s="78">
        <f>+TAB_AMORTIZACAO_U[[#This Row],[V_FUT_U_PCPL-02]]/TAB_AMORTIZACAO_U[[#This Row],[VAR_DESCAP_U]]</f>
        <v>265.40029693030357</v>
      </c>
      <c r="W384" s="78"/>
      <c r="X384" s="101">
        <f>TAB_AMORTIZACAO_U[[#This Row],[dt_eve_u]]- DT_CALCULO_C</f>
        <v>1990</v>
      </c>
      <c r="Y384" s="49" t="str">
        <f t="shared" si="11"/>
        <v>n/a</v>
      </c>
      <c r="Z384" s="49" t="str">
        <f t="shared" si="11"/>
        <v>n/a</v>
      </c>
      <c r="AA384" s="44">
        <f>TAB_AMORTIZACAO_U[[#This Row],[V_PU_AMTC]]</f>
        <v>694.46639200000004</v>
      </c>
      <c r="AB384" s="44">
        <f>(TIR_C/100 +1)^(TAB_AMORTIZACAO_C[[#This Row],[DIAS_CORRIDOS]]/360)</f>
        <v>1.1440396109156004</v>
      </c>
      <c r="AC384" s="44">
        <f>IF(TAB_AMORTIZACAO_C[[#This Row],[DIAS_CORRIDOS]]&lt;0, 0, TAB_AMORTIZACAO_C[[#This Row],[V_FUT_C_PCPL]]/TAB_AMORTIZACAO_C[[#This Row],[VAR_DESCAP_C]])</f>
        <v>607.0300235882595</v>
      </c>
      <c r="AD384" s="115">
        <f>TAB_AMORTIZACAO_U[[#This Row],[V_FUT_U_PCPL-02]]</f>
        <v>303.50475754596033</v>
      </c>
      <c r="AE384" s="127">
        <f>IF(TAB_AMORTIZACAO_C[[#This Row],[DIAS_CORRIDOS]]&lt;0, 0, TAB_AMORTIZACAO_C[[#This Row],[V_FUT_UTEIS]]/TAB_AMORTIZACAO_C[[#This Row],[VAR_DESCAP_C]])</f>
        <v>265.29217576921025</v>
      </c>
      <c r="AF384" s="64"/>
    </row>
    <row r="385" spans="1:32">
      <c r="A385" s="82">
        <f t="shared" ref="A385:A448" si="12">+A384+1</f>
        <v>67</v>
      </c>
      <c r="B385" s="24">
        <f>VLOOKUP($A385, CAD_AMORTIZACAO[#Data], MATCH(B$318, CAD_ATUALIZACAO[#Headers],0), FALSE)</f>
        <v>4</v>
      </c>
      <c r="C385" s="24" t="str">
        <f>VLOOKUP($A385, CAD_AMORTIZACAO[#Data], MATCH(C$318, CAD_ATUALIZACAO[#Headers],0), FALSE)</f>
        <v xml:space="preserve">AMORTIZACAO                                       </v>
      </c>
      <c r="D385" s="36">
        <f>VLOOKUP($A385, CAD_AMORTIZACAO[#Data], MATCH(D$318, CAD_ATUALIZACAO[#Headers],0), FALSE)</f>
        <v>44385</v>
      </c>
      <c r="E385" s="48">
        <f>VLOOKUP($A385, CAD_AMORTIZACAO[#Data], MATCH(E$318, CAD_ATUALIZACAO[#Headers],0), FALSE)</f>
        <v>686.40925600000003</v>
      </c>
      <c r="F385" s="36">
        <f>VLOOKUP($A385, CAD_AMORTIZACAO[#Data], MATCH(F$318, CAD_ATUALIZACAO[#Headers],0), FALSE)</f>
        <v>44391</v>
      </c>
      <c r="G385" s="47">
        <f>WORKDAY(WORKDAY(TAB_AMORTIZACAO_U[[#This Row],[DT_EVE]], -1, TAB_FERIADOS[FER_DATA]), 1, TAB_FERIADOS[FER_DATA])</f>
        <v>44385</v>
      </c>
      <c r="H385" s="75">
        <f>WORKDAY(WORKDAY(TAB_AMORTIZACAO_U[[#This Row],[DT_LQDC_EVE]], -1, TAB_FERIADOS[FER_DATA]), 1, TAB_FERIADOS[FER_DATA])</f>
        <v>44391</v>
      </c>
      <c r="I385" s="48">
        <f>PU_EMISSAO - SUMIF(TAB_AMORTIZACAO_U[dt_eve_u], "&lt;" &amp; TAB_AMORTIZACAO_U[[#This Row],[dt_eve_u]], TAB_AMORTIZACAO_U[V_PU_AMTC])</f>
        <v>45727.08391000003</v>
      </c>
      <c r="J385" s="48">
        <f>IFERROR(VLOOKUP(TAB_AMORTIZACAO_U[[#This Row],[DT_EVE]], TAB_AMORTIZACAO_U[[DT_EVE]:[V_PU_AMTC]], 2, FALSE), 0)</f>
        <v>686.40925600000003</v>
      </c>
      <c r="K385" s="48">
        <f>NETWORKDAYS(DT_CALCULO_U, TAB_AMORTIZACAO_U[[#This Row],[dt_eve_u]], TAB_FERIADOS[FER_DATA]) -1</f>
        <v>1386</v>
      </c>
      <c r="L385" s="48">
        <f>NETWORKDAYS(DT_CALCULO_U, TAB_AMORTIZACAO_U[[#This Row],[dt_lqdc_eve_u]], TAB_FERIADOS[FER_DATA]) -1</f>
        <v>1390</v>
      </c>
      <c r="M385" s="48">
        <f>NETWORKDAYS(IF(ISTEXT(G384), DT_B_CORC, G384), TAB_AMORTIZACAO_U[[#This Row],[dt_eve_u]], TAB_FERIADOS[FER_DATA]) -1</f>
        <v>21</v>
      </c>
      <c r="N385" s="78">
        <f>(TX_EMISSAO/100 +1)^(TAB_AMORTIZACAO_U[[#This Row],[dias_periodo_u]]/252)</f>
        <v>1.0020598362698427</v>
      </c>
      <c r="O385" s="78">
        <f>(TIR_U/100 +1)^(TAB_AMORTIZACAO_U[[#This Row],[Q_DIAS_U_PARC_TIR]]/252)</f>
        <v>1.1459293699840669</v>
      </c>
      <c r="P385" s="116" t="str">
        <f>"TX_CENARIO" &amp; TEXT(DT_CALCULO_C, "-AAAAMMDD") &amp; TEXT(TAB_AMORTIZACAO_U[[#This Row],[DT_EVE]], "-AAAAMMDD")</f>
        <v>TX_CENARIO-20151228-20210708</v>
      </c>
      <c r="Q385" s="44">
        <f>IFERROR(VLOOKUP(TAB_AMORTIZACAO_U[[#This Row],[Chave-CENARIO]],CENARIO[],2,FALSE), 0)</f>
        <v>16.455100000000002</v>
      </c>
      <c r="R385" s="117" t="str">
        <f t="shared" si="10"/>
        <v>n/a</v>
      </c>
      <c r="S385" s="49" t="str">
        <f t="shared" si="10"/>
        <v>n/a</v>
      </c>
      <c r="T385" s="78">
        <f>IF(TAB_AMORTIZACAO_U[[#This Row],[Q_DIAS_U_PARC_TIR]]&lt;0, 0, TAB_AMORTIZACAO_U[[#This Row],[PU_AMORT]])</f>
        <v>686.40925600000003</v>
      </c>
      <c r="U385" s="78">
        <f>MAX(0, TAB_AMORTIZACAO_U[[#This Row],[V_FUT_U_PCPL-01]]/((((TAB_AMORTIZACAO_U[[#This Row],[TX_CENARIO]]/100 +1)^(1/252) -1) * PC_IDXR/100 +1)^TAB_AMORTIZACAO_U[[#This Row],[Q_DIAS_U_PARC_TIR]]))</f>
        <v>296.25192192385452</v>
      </c>
      <c r="V385" s="78">
        <f>+TAB_AMORTIZACAO_U[[#This Row],[V_FUT_U_PCPL-02]]/TAB_AMORTIZACAO_U[[#This Row],[VAR_DESCAP_U]]</f>
        <v>258.52546385819016</v>
      </c>
      <c r="W385" s="78"/>
      <c r="X385" s="101">
        <f>TAB_AMORTIZACAO_U[[#This Row],[dt_eve_u]]- DT_CALCULO_C</f>
        <v>2019</v>
      </c>
      <c r="Y385" s="49" t="str">
        <f t="shared" si="11"/>
        <v>n/a</v>
      </c>
      <c r="Z385" s="49" t="str">
        <f t="shared" si="11"/>
        <v>n/a</v>
      </c>
      <c r="AA385" s="44">
        <f>TAB_AMORTIZACAO_U[[#This Row],[V_PU_AMTC]]</f>
        <v>686.40925600000003</v>
      </c>
      <c r="AB385" s="44">
        <f>(TIR_C/100 +1)^(TAB_AMORTIZACAO_C[[#This Row],[DIAS_CORRIDOS]]/360)</f>
        <v>1.1462852795063114</v>
      </c>
      <c r="AC385" s="44">
        <f>IF(TAB_AMORTIZACAO_C[[#This Row],[DIAS_CORRIDOS]]&lt;0, 0, TAB_AMORTIZACAO_C[[#This Row],[V_FUT_C_PCPL]]/TAB_AMORTIZACAO_C[[#This Row],[VAR_DESCAP_C]])</f>
        <v>598.8118911337906</v>
      </c>
      <c r="AD385" s="115">
        <f>TAB_AMORTIZACAO_U[[#This Row],[V_FUT_U_PCPL-02]]</f>
        <v>296.25192192385452</v>
      </c>
      <c r="AE385" s="127">
        <f>IF(TAB_AMORTIZACAO_C[[#This Row],[DIAS_CORRIDOS]]&lt;0, 0, TAB_AMORTIZACAO_C[[#This Row],[V_FUT_UTEIS]]/TAB_AMORTIZACAO_C[[#This Row],[VAR_DESCAP_C]])</f>
        <v>258.44519442092633</v>
      </c>
      <c r="AF385" s="64"/>
    </row>
    <row r="386" spans="1:32">
      <c r="A386" s="82">
        <f t="shared" si="12"/>
        <v>68</v>
      </c>
      <c r="B386" s="24">
        <f>VLOOKUP($A386, CAD_AMORTIZACAO[#Data], MATCH(B$318, CAD_ATUALIZACAO[#Headers],0), FALSE)</f>
        <v>4</v>
      </c>
      <c r="C386" s="24" t="str">
        <f>VLOOKUP($A386, CAD_AMORTIZACAO[#Data], MATCH(C$318, CAD_ATUALIZACAO[#Headers],0), FALSE)</f>
        <v xml:space="preserve">AMORTIZACAO                                       </v>
      </c>
      <c r="D386" s="36">
        <f>VLOOKUP($A386, CAD_AMORTIZACAO[#Data], MATCH(D$318, CAD_ATUALIZACAO[#Headers],0), FALSE)</f>
        <v>44417</v>
      </c>
      <c r="E386" s="48">
        <f>VLOOKUP($A386, CAD_AMORTIZACAO[#Data], MATCH(E$318, CAD_ATUALIZACAO[#Headers],0), FALSE)</f>
        <v>673.76345200000003</v>
      </c>
      <c r="F386" s="36">
        <f>VLOOKUP($A386, CAD_AMORTIZACAO[#Data], MATCH(F$318, CAD_ATUALIZACAO[#Headers],0), FALSE)</f>
        <v>44421</v>
      </c>
      <c r="G386" s="47">
        <f>WORKDAY(WORKDAY(TAB_AMORTIZACAO_U[[#This Row],[DT_EVE]], -1, TAB_FERIADOS[FER_DATA]), 1, TAB_FERIADOS[FER_DATA])</f>
        <v>44417</v>
      </c>
      <c r="H386" s="75">
        <f>WORKDAY(WORKDAY(TAB_AMORTIZACAO_U[[#This Row],[DT_LQDC_EVE]], -1, TAB_FERIADOS[FER_DATA]), 1, TAB_FERIADOS[FER_DATA])</f>
        <v>44421</v>
      </c>
      <c r="I386" s="48">
        <f>PU_EMISSAO - SUMIF(TAB_AMORTIZACAO_U[dt_eve_u], "&lt;" &amp; TAB_AMORTIZACAO_U[[#This Row],[dt_eve_u]], TAB_AMORTIZACAO_U[V_PU_AMTC])</f>
        <v>45040.674654000031</v>
      </c>
      <c r="J386" s="48">
        <f>IFERROR(VLOOKUP(TAB_AMORTIZACAO_U[[#This Row],[DT_EVE]], TAB_AMORTIZACAO_U[[DT_EVE]:[V_PU_AMTC]], 2, FALSE), 0)</f>
        <v>673.76345200000003</v>
      </c>
      <c r="K386" s="48">
        <f>NETWORKDAYS(DT_CALCULO_U, TAB_AMORTIZACAO_U[[#This Row],[dt_eve_u]], TAB_FERIADOS[FER_DATA]) -1</f>
        <v>1408</v>
      </c>
      <c r="L386" s="48">
        <f>NETWORKDAYS(DT_CALCULO_U, TAB_AMORTIZACAO_U[[#This Row],[dt_lqdc_eve_u]], TAB_FERIADOS[FER_DATA]) -1</f>
        <v>1412</v>
      </c>
      <c r="M386" s="48">
        <f>NETWORKDAYS(IF(ISTEXT(G385), DT_B_CORC, G385), TAB_AMORTIZACAO_U[[#This Row],[dt_eve_u]], TAB_FERIADOS[FER_DATA]) -1</f>
        <v>22</v>
      </c>
      <c r="N386" s="78">
        <f>(TX_EMISSAO/100 +1)^(TAB_AMORTIZACAO_U[[#This Row],[dias_periodo_u]]/252)</f>
        <v>1.0021580294747356</v>
      </c>
      <c r="O386" s="78">
        <f>(TIR_U/100 +1)^(TAB_AMORTIZACAO_U[[#This Row],[Q_DIAS_U_PARC_TIR]]/252)</f>
        <v>1.1484025859689686</v>
      </c>
      <c r="P386" s="116" t="str">
        <f>"TX_CENARIO" &amp; TEXT(DT_CALCULO_C, "-AAAAMMDD") &amp; TEXT(TAB_AMORTIZACAO_U[[#This Row],[DT_EVE]], "-AAAAMMDD")</f>
        <v>TX_CENARIO-20151228-20210809</v>
      </c>
      <c r="Q386" s="44">
        <f>IFERROR(VLOOKUP(TAB_AMORTIZACAO_U[[#This Row],[Chave-CENARIO]],CENARIO[],2,FALSE), 0)</f>
        <v>16.4513</v>
      </c>
      <c r="R386" s="117" t="str">
        <f t="shared" si="10"/>
        <v>n/a</v>
      </c>
      <c r="S386" s="49" t="str">
        <f t="shared" si="10"/>
        <v>n/a</v>
      </c>
      <c r="T386" s="78">
        <f>IF(TAB_AMORTIZACAO_U[[#This Row],[Q_DIAS_U_PARC_TIR]]&lt;0, 0, TAB_AMORTIZACAO_U[[#This Row],[PU_AMORT]])</f>
        <v>673.76345200000003</v>
      </c>
      <c r="U386" s="78">
        <f>MAX(0, TAB_AMORTIZACAO_U[[#This Row],[V_FUT_U_PCPL-01]]/((((TAB_AMORTIZACAO_U[[#This Row],[TX_CENARIO]]/100 +1)^(1/252) -1) * PC_IDXR/100 +1)^TAB_AMORTIZACAO_U[[#This Row],[Q_DIAS_U_PARC_TIR]]))</f>
        <v>287.00479780580736</v>
      </c>
      <c r="V386" s="78">
        <f>+TAB_AMORTIZACAO_U[[#This Row],[V_FUT_U_PCPL-02]]/TAB_AMORTIZACAO_U[[#This Row],[VAR_DESCAP_U]]</f>
        <v>249.91653738192002</v>
      </c>
      <c r="W386" s="78"/>
      <c r="X386" s="101">
        <f>TAB_AMORTIZACAO_U[[#This Row],[dt_eve_u]]- DT_CALCULO_C</f>
        <v>2051</v>
      </c>
      <c r="Y386" s="49" t="str">
        <f t="shared" si="11"/>
        <v>n/a</v>
      </c>
      <c r="Z386" s="49" t="str">
        <f t="shared" si="11"/>
        <v>n/a</v>
      </c>
      <c r="AA386" s="44">
        <f>TAB_AMORTIZACAO_U[[#This Row],[V_PU_AMTC]]</f>
        <v>673.76345200000003</v>
      </c>
      <c r="AB386" s="44">
        <f>(TIR_C/100 +1)^(TAB_AMORTIZACAO_C[[#This Row],[DIAS_CORRIDOS]]/360)</f>
        <v>1.1487683746754775</v>
      </c>
      <c r="AC386" s="44">
        <f>IF(TAB_AMORTIZACAO_C[[#This Row],[DIAS_CORRIDOS]]&lt;0, 0, TAB_AMORTIZACAO_C[[#This Row],[V_FUT_C_PCPL]]/TAB_AMORTIZACAO_C[[#This Row],[VAR_DESCAP_C]])</f>
        <v>586.50940159310665</v>
      </c>
      <c r="AD386" s="115">
        <f>TAB_AMORTIZACAO_U[[#This Row],[V_FUT_U_PCPL-02]]</f>
        <v>287.00479780580736</v>
      </c>
      <c r="AE386" s="127">
        <f>IF(TAB_AMORTIZACAO_C[[#This Row],[DIAS_CORRIDOS]]&lt;0, 0, TAB_AMORTIZACAO_C[[#This Row],[V_FUT_UTEIS]]/TAB_AMORTIZACAO_C[[#This Row],[VAR_DESCAP_C]])</f>
        <v>249.83695941915624</v>
      </c>
      <c r="AF386" s="64"/>
    </row>
    <row r="387" spans="1:32">
      <c r="A387" s="82">
        <f t="shared" si="12"/>
        <v>69</v>
      </c>
      <c r="B387" s="24">
        <f>VLOOKUP($A387, CAD_AMORTIZACAO[#Data], MATCH(B$318, CAD_ATUALIZACAO[#Headers],0), FALSE)</f>
        <v>4</v>
      </c>
      <c r="C387" s="24" t="str">
        <f>VLOOKUP($A387, CAD_AMORTIZACAO[#Data], MATCH(C$318, CAD_ATUALIZACAO[#Headers],0), FALSE)</f>
        <v xml:space="preserve">AMORTIZACAO                                       </v>
      </c>
      <c r="D387" s="36">
        <f>VLOOKUP($A387, CAD_AMORTIZACAO[#Data], MATCH(D$318, CAD_ATUALIZACAO[#Headers],0), FALSE)</f>
        <v>44448</v>
      </c>
      <c r="E387" s="48">
        <f>VLOOKUP($A387, CAD_AMORTIZACAO[#Data], MATCH(E$318, CAD_ATUALIZACAO[#Headers],0), FALSE)</f>
        <v>665.41493400000002</v>
      </c>
      <c r="F387" s="36">
        <f>VLOOKUP($A387, CAD_AMORTIZACAO[#Data], MATCH(F$318, CAD_ATUALIZACAO[#Headers],0), FALSE)</f>
        <v>44454</v>
      </c>
      <c r="G387" s="47">
        <f>WORKDAY(WORKDAY(TAB_AMORTIZACAO_U[[#This Row],[DT_EVE]], -1, TAB_FERIADOS[FER_DATA]), 1, TAB_FERIADOS[FER_DATA])</f>
        <v>44448</v>
      </c>
      <c r="H387" s="75">
        <f>WORKDAY(WORKDAY(TAB_AMORTIZACAO_U[[#This Row],[DT_LQDC_EVE]], -1, TAB_FERIADOS[FER_DATA]), 1, TAB_FERIADOS[FER_DATA])</f>
        <v>44454</v>
      </c>
      <c r="I387" s="48">
        <f>PU_EMISSAO - SUMIF(TAB_AMORTIZACAO_U[dt_eve_u], "&lt;" &amp; TAB_AMORTIZACAO_U[[#This Row],[dt_eve_u]], TAB_AMORTIZACAO_U[V_PU_AMTC])</f>
        <v>44366.911202000032</v>
      </c>
      <c r="J387" s="48">
        <f>IFERROR(VLOOKUP(TAB_AMORTIZACAO_U[[#This Row],[DT_EVE]], TAB_AMORTIZACAO_U[[DT_EVE]:[V_PU_AMTC]], 2, FALSE), 0)</f>
        <v>665.41493400000002</v>
      </c>
      <c r="K387" s="48">
        <f>NETWORKDAYS(DT_CALCULO_U, TAB_AMORTIZACAO_U[[#This Row],[dt_eve_u]], TAB_FERIADOS[FER_DATA]) -1</f>
        <v>1430</v>
      </c>
      <c r="L387" s="48">
        <f>NETWORKDAYS(DT_CALCULO_U, TAB_AMORTIZACAO_U[[#This Row],[dt_lqdc_eve_u]], TAB_FERIADOS[FER_DATA]) -1</f>
        <v>1434</v>
      </c>
      <c r="M387" s="48">
        <f>NETWORKDAYS(IF(ISTEXT(G386), DT_B_CORC, G386), TAB_AMORTIZACAO_U[[#This Row],[dt_eve_u]], TAB_FERIADOS[FER_DATA]) -1</f>
        <v>22</v>
      </c>
      <c r="N387" s="78">
        <f>(TX_EMISSAO/100 +1)^(TAB_AMORTIZACAO_U[[#This Row],[dias_periodo_u]]/252)</f>
        <v>1.0021580294747356</v>
      </c>
      <c r="O387" s="78">
        <f>(TIR_U/100 +1)^(TAB_AMORTIZACAO_U[[#This Row],[Q_DIAS_U_PARC_TIR]]/252)</f>
        <v>1.1508811398023173</v>
      </c>
      <c r="P387" s="116" t="str">
        <f>"TX_CENARIO" &amp; TEXT(DT_CALCULO_C, "-AAAAMMDD") &amp; TEXT(TAB_AMORTIZACAO_U[[#This Row],[DT_EVE]], "-AAAAMMDD")</f>
        <v>TX_CENARIO-20151228-20210909</v>
      </c>
      <c r="Q387" s="44">
        <f>IFERROR(VLOOKUP(TAB_AMORTIZACAO_U[[#This Row],[Chave-CENARIO]],CENARIO[],2,FALSE), 0)</f>
        <v>16.447600000000001</v>
      </c>
      <c r="R387" s="117" t="str">
        <f t="shared" si="10"/>
        <v>n/a</v>
      </c>
      <c r="S387" s="49" t="str">
        <f t="shared" si="10"/>
        <v>n/a</v>
      </c>
      <c r="T387" s="78">
        <f>IF(TAB_AMORTIZACAO_U[[#This Row],[Q_DIAS_U_PARC_TIR]]&lt;0, 0, TAB_AMORTIZACAO_U[[#This Row],[PU_AMORT]])</f>
        <v>665.41493400000002</v>
      </c>
      <c r="U387" s="78">
        <f>MAX(0, TAB_AMORTIZACAO_U[[#This Row],[V_FUT_U_PCPL-01]]/((((TAB_AMORTIZACAO_U[[#This Row],[TX_CENARIO]]/100 +1)^(1/252) -1) * PC_IDXR/100 +1)^TAB_AMORTIZACAO_U[[#This Row],[Q_DIAS_U_PARC_TIR]]))</f>
        <v>279.75526473845491</v>
      </c>
      <c r="V387" s="78">
        <f>+TAB_AMORTIZACAO_U[[#This Row],[V_FUT_U_PCPL-02]]/TAB_AMORTIZACAO_U[[#This Row],[VAR_DESCAP_U]]</f>
        <v>243.07919824501377</v>
      </c>
      <c r="W387" s="78"/>
      <c r="X387" s="101">
        <f>TAB_AMORTIZACAO_U[[#This Row],[dt_eve_u]]- DT_CALCULO_C</f>
        <v>2082</v>
      </c>
      <c r="Y387" s="49" t="str">
        <f t="shared" si="11"/>
        <v>n/a</v>
      </c>
      <c r="Z387" s="49" t="str">
        <f t="shared" si="11"/>
        <v>n/a</v>
      </c>
      <c r="AA387" s="44">
        <f>TAB_AMORTIZACAO_U[[#This Row],[V_PU_AMTC]]</f>
        <v>665.41493400000002</v>
      </c>
      <c r="AB387" s="44">
        <f>(TIR_C/100 +1)^(TAB_AMORTIZACAO_C[[#This Row],[DIAS_CORRIDOS]]/360)</f>
        <v>1.1511790024018369</v>
      </c>
      <c r="AC387" s="44">
        <f>IF(TAB_AMORTIZACAO_C[[#This Row],[DIAS_CORRIDOS]]&lt;0, 0, TAB_AMORTIZACAO_C[[#This Row],[V_FUT_C_PCPL]]/TAB_AMORTIZACAO_C[[#This Row],[VAR_DESCAP_C]])</f>
        <v>578.02907507144278</v>
      </c>
      <c r="AD387" s="115">
        <f>TAB_AMORTIZACAO_U[[#This Row],[V_FUT_U_PCPL-02]]</f>
        <v>279.75526473845491</v>
      </c>
      <c r="AE387" s="127">
        <f>IF(TAB_AMORTIZACAO_C[[#This Row],[DIAS_CORRIDOS]]&lt;0, 0, TAB_AMORTIZACAO_C[[#This Row],[V_FUT_UTEIS]]/TAB_AMORTIZACAO_C[[#This Row],[VAR_DESCAP_C]])</f>
        <v>243.01630255135768</v>
      </c>
      <c r="AF387" s="64"/>
    </row>
    <row r="388" spans="1:32">
      <c r="A388" s="82">
        <f t="shared" si="12"/>
        <v>70</v>
      </c>
      <c r="B388" s="24">
        <f>VLOOKUP($A388, CAD_AMORTIZACAO[#Data], MATCH(B$318, CAD_ATUALIZACAO[#Headers],0), FALSE)</f>
        <v>4</v>
      </c>
      <c r="C388" s="24" t="str">
        <f>VLOOKUP($A388, CAD_AMORTIZACAO[#Data], MATCH(C$318, CAD_ATUALIZACAO[#Headers],0), FALSE)</f>
        <v xml:space="preserve">AMORTIZACAO                                       </v>
      </c>
      <c r="D388" s="36">
        <f>VLOOKUP($A388, CAD_AMORTIZACAO[#Data], MATCH(D$318, CAD_ATUALIZACAO[#Headers],0), FALSE)</f>
        <v>44480</v>
      </c>
      <c r="E388" s="48">
        <f>VLOOKUP($A388, CAD_AMORTIZACAO[#Data], MATCH(E$318, CAD_ATUALIZACAO[#Headers],0), FALSE)</f>
        <v>662.29617499999995</v>
      </c>
      <c r="F388" s="36">
        <f>VLOOKUP($A388, CAD_AMORTIZACAO[#Data], MATCH(F$318, CAD_ATUALIZACAO[#Headers],0), FALSE)</f>
        <v>44484</v>
      </c>
      <c r="G388" s="47">
        <f>WORKDAY(WORKDAY(TAB_AMORTIZACAO_U[[#This Row],[DT_EVE]], -1, TAB_FERIADOS[FER_DATA]), 1, TAB_FERIADOS[FER_DATA])</f>
        <v>44480</v>
      </c>
      <c r="H388" s="75">
        <f>WORKDAY(WORKDAY(TAB_AMORTIZACAO_U[[#This Row],[DT_LQDC_EVE]], -1, TAB_FERIADOS[FER_DATA]), 1, TAB_FERIADOS[FER_DATA])</f>
        <v>44484</v>
      </c>
      <c r="I388" s="48">
        <f>PU_EMISSAO - SUMIF(TAB_AMORTIZACAO_U[dt_eve_u], "&lt;" &amp; TAB_AMORTIZACAO_U[[#This Row],[dt_eve_u]], TAB_AMORTIZACAO_U[V_PU_AMTC])</f>
        <v>43701.496268000032</v>
      </c>
      <c r="J388" s="48">
        <f>IFERROR(VLOOKUP(TAB_AMORTIZACAO_U[[#This Row],[DT_EVE]], TAB_AMORTIZACAO_U[[DT_EVE]:[V_PU_AMTC]], 2, FALSE), 0)</f>
        <v>662.29617499999995</v>
      </c>
      <c r="K388" s="48">
        <f>NETWORKDAYS(DT_CALCULO_U, TAB_AMORTIZACAO_U[[#This Row],[dt_eve_u]], TAB_FERIADOS[FER_DATA]) -1</f>
        <v>1452</v>
      </c>
      <c r="L388" s="48">
        <f>NETWORKDAYS(DT_CALCULO_U, TAB_AMORTIZACAO_U[[#This Row],[dt_lqdc_eve_u]], TAB_FERIADOS[FER_DATA]) -1</f>
        <v>1455</v>
      </c>
      <c r="M388" s="48">
        <f>NETWORKDAYS(IF(ISTEXT(G387), DT_B_CORC, G387), TAB_AMORTIZACAO_U[[#This Row],[dt_eve_u]], TAB_FERIADOS[FER_DATA]) -1</f>
        <v>22</v>
      </c>
      <c r="N388" s="78">
        <f>(TX_EMISSAO/100 +1)^(TAB_AMORTIZACAO_U[[#This Row],[dias_periodo_u]]/252)</f>
        <v>1.0021580294747356</v>
      </c>
      <c r="O388" s="78">
        <f>(TIR_U/100 +1)^(TAB_AMORTIZACAO_U[[#This Row],[Q_DIAS_U_PARC_TIR]]/252)</f>
        <v>1.153252022100127</v>
      </c>
      <c r="P388" s="116" t="str">
        <f>"TX_CENARIO" &amp; TEXT(DT_CALCULO_C, "-AAAAMMDD") &amp; TEXT(TAB_AMORTIZACAO_U[[#This Row],[DT_EVE]], "-AAAAMMDD")</f>
        <v>TX_CENARIO-20151228-20211011</v>
      </c>
      <c r="Q388" s="44">
        <f>IFERROR(VLOOKUP(TAB_AMORTIZACAO_U[[#This Row],[Chave-CENARIO]],CENARIO[],2,FALSE), 0)</f>
        <v>16.443999999999999</v>
      </c>
      <c r="R388" s="117" t="str">
        <f t="shared" si="10"/>
        <v>n/a</v>
      </c>
      <c r="S388" s="49" t="str">
        <f t="shared" si="10"/>
        <v>n/a</v>
      </c>
      <c r="T388" s="78">
        <f>IF(TAB_AMORTIZACAO_U[[#This Row],[Q_DIAS_U_PARC_TIR]]&lt;0, 0, TAB_AMORTIZACAO_U[[#This Row],[PU_AMORT]])</f>
        <v>662.29617499999995</v>
      </c>
      <c r="U388" s="78">
        <f>MAX(0, TAB_AMORTIZACAO_U[[#This Row],[V_FUT_U_PCPL-01]]/((((TAB_AMORTIZACAO_U[[#This Row],[TX_CENARIO]]/100 +1)^(1/252) -1) * PC_IDXR/100 +1)^TAB_AMORTIZACAO_U[[#This Row],[Q_DIAS_U_PARC_TIR]]))</f>
        <v>274.98222084867001</v>
      </c>
      <c r="V388" s="78">
        <f>+TAB_AMORTIZACAO_U[[#This Row],[V_FUT_U_PCPL-02]]/TAB_AMORTIZACAO_U[[#This Row],[VAR_DESCAP_U]]</f>
        <v>238.4407012336421</v>
      </c>
      <c r="W388" s="78"/>
      <c r="X388" s="101">
        <f>TAB_AMORTIZACAO_U[[#This Row],[dt_eve_u]]- DT_CALCULO_C</f>
        <v>2114</v>
      </c>
      <c r="Y388" s="49" t="str">
        <f t="shared" si="11"/>
        <v>n/a</v>
      </c>
      <c r="Z388" s="49" t="str">
        <f t="shared" si="11"/>
        <v>n/a</v>
      </c>
      <c r="AA388" s="44">
        <f>TAB_AMORTIZACAO_U[[#This Row],[V_PU_AMTC]]</f>
        <v>662.29617499999995</v>
      </c>
      <c r="AB388" s="44">
        <f>(TIR_C/100 +1)^(TAB_AMORTIZACAO_C[[#This Row],[DIAS_CORRIDOS]]/360)</f>
        <v>1.1536726984047554</v>
      </c>
      <c r="AC388" s="44">
        <f>IF(TAB_AMORTIZACAO_C[[#This Row],[DIAS_CORRIDOS]]&lt;0, 0, TAB_AMORTIZACAO_C[[#This Row],[V_FUT_C_PCPL]]/TAB_AMORTIZACAO_C[[#This Row],[VAR_DESCAP_C]])</f>
        <v>574.07631810633302</v>
      </c>
      <c r="AD388" s="115">
        <f>TAB_AMORTIZACAO_U[[#This Row],[V_FUT_U_PCPL-02]]</f>
        <v>274.98222084867001</v>
      </c>
      <c r="AE388" s="127">
        <f>IF(TAB_AMORTIZACAO_C[[#This Row],[DIAS_CORRIDOS]]&lt;0, 0, TAB_AMORTIZACAO_C[[#This Row],[V_FUT_UTEIS]]/TAB_AMORTIZACAO_C[[#This Row],[VAR_DESCAP_C]])</f>
        <v>238.35375599067444</v>
      </c>
      <c r="AF388" s="64"/>
    </row>
    <row r="389" spans="1:32">
      <c r="A389" s="82">
        <f t="shared" si="12"/>
        <v>71</v>
      </c>
      <c r="B389" s="24">
        <f>VLOOKUP($A389, CAD_AMORTIZACAO[#Data], MATCH(B$318, CAD_ATUALIZACAO[#Headers],0), FALSE)</f>
        <v>4</v>
      </c>
      <c r="C389" s="24" t="str">
        <f>VLOOKUP($A389, CAD_AMORTIZACAO[#Data], MATCH(C$318, CAD_ATUALIZACAO[#Headers],0), FALSE)</f>
        <v xml:space="preserve">AMORTIZACAO                                       </v>
      </c>
      <c r="D389" s="36">
        <f>VLOOKUP($A389, CAD_AMORTIZACAO[#Data], MATCH(D$318, CAD_ATUALIZACAO[#Headers],0), FALSE)</f>
        <v>44510</v>
      </c>
      <c r="E389" s="48">
        <f>VLOOKUP($A389, CAD_AMORTIZACAO[#Data], MATCH(E$318, CAD_ATUALIZACAO[#Headers],0), FALSE)</f>
        <v>659.14534900000001</v>
      </c>
      <c r="F389" s="36">
        <f>VLOOKUP($A389, CAD_AMORTIZACAO[#Data], MATCH(F$318, CAD_ATUALIZACAO[#Headers],0), FALSE)</f>
        <v>44516</v>
      </c>
      <c r="G389" s="47">
        <f>WORKDAY(WORKDAY(TAB_AMORTIZACAO_U[[#This Row],[DT_EVE]], -1, TAB_FERIADOS[FER_DATA]), 1, TAB_FERIADOS[FER_DATA])</f>
        <v>44510</v>
      </c>
      <c r="H389" s="75">
        <f>WORKDAY(WORKDAY(TAB_AMORTIZACAO_U[[#This Row],[DT_LQDC_EVE]], -1, TAB_FERIADOS[FER_DATA]), 1, TAB_FERIADOS[FER_DATA])</f>
        <v>44516</v>
      </c>
      <c r="I389" s="48">
        <f>PU_EMISSAO - SUMIF(TAB_AMORTIZACAO_U[dt_eve_u], "&lt;" &amp; TAB_AMORTIZACAO_U[[#This Row],[dt_eve_u]], TAB_AMORTIZACAO_U[V_PU_AMTC])</f>
        <v>43039.200093000029</v>
      </c>
      <c r="J389" s="48">
        <f>IFERROR(VLOOKUP(TAB_AMORTIZACAO_U[[#This Row],[DT_EVE]], TAB_AMORTIZACAO_U[[DT_EVE]:[V_PU_AMTC]], 2, FALSE), 0)</f>
        <v>659.14534900000001</v>
      </c>
      <c r="K389" s="48">
        <f>NETWORKDAYS(DT_CALCULO_U, TAB_AMORTIZACAO_U[[#This Row],[dt_eve_u]], TAB_FERIADOS[FER_DATA]) -1</f>
        <v>1472</v>
      </c>
      <c r="L389" s="48">
        <f>NETWORKDAYS(DT_CALCULO_U, TAB_AMORTIZACAO_U[[#This Row],[dt_lqdc_eve_u]], TAB_FERIADOS[FER_DATA]) -1</f>
        <v>1475</v>
      </c>
      <c r="M389" s="48">
        <f>NETWORKDAYS(IF(ISTEXT(G388), DT_B_CORC, G388), TAB_AMORTIZACAO_U[[#This Row],[dt_eve_u]], TAB_FERIADOS[FER_DATA]) -1</f>
        <v>20</v>
      </c>
      <c r="N389" s="78">
        <f>(TX_EMISSAO/100 +1)^(TAB_AMORTIZACAO_U[[#This Row],[dias_periodo_u]]/252)</f>
        <v>1.0019616526860928</v>
      </c>
      <c r="O389" s="78">
        <f>(TIR_U/100 +1)^(TAB_AMORTIZACAO_U[[#This Row],[Q_DIAS_U_PARC_TIR]]/252)</f>
        <v>1.1555145459176779</v>
      </c>
      <c r="P389" s="116" t="str">
        <f>"TX_CENARIO" &amp; TEXT(DT_CALCULO_C, "-AAAAMMDD") &amp; TEXT(TAB_AMORTIZACAO_U[[#This Row],[DT_EVE]], "-AAAAMMDD")</f>
        <v>TX_CENARIO-20151228-20211110</v>
      </c>
      <c r="Q389" s="44">
        <f>IFERROR(VLOOKUP(TAB_AMORTIZACAO_U[[#This Row],[Chave-CENARIO]],CENARIO[],2,FALSE), 0)</f>
        <v>16.4404</v>
      </c>
      <c r="R389" s="117" t="str">
        <f t="shared" si="10"/>
        <v>n/a</v>
      </c>
      <c r="S389" s="49" t="str">
        <f t="shared" si="10"/>
        <v>n/a</v>
      </c>
      <c r="T389" s="78">
        <f>IF(TAB_AMORTIZACAO_U[[#This Row],[Q_DIAS_U_PARC_TIR]]&lt;0, 0, TAB_AMORTIZACAO_U[[#This Row],[PU_AMORT]])</f>
        <v>659.14534900000001</v>
      </c>
      <c r="U389" s="78">
        <f>MAX(0, TAB_AMORTIZACAO_U[[#This Row],[V_FUT_U_PCPL-01]]/((((TAB_AMORTIZACAO_U[[#This Row],[TX_CENARIO]]/100 +1)^(1/252) -1) * PC_IDXR/100 +1)^TAB_AMORTIZACAO_U[[#This Row],[Q_DIAS_U_PARC_TIR]]))</f>
        <v>270.43615977960764</v>
      </c>
      <c r="V389" s="78">
        <f>+TAB_AMORTIZACAO_U[[#This Row],[V_FUT_U_PCPL-02]]/TAB_AMORTIZACAO_U[[#This Row],[VAR_DESCAP_U]]</f>
        <v>234.03959797393523</v>
      </c>
      <c r="W389" s="78"/>
      <c r="X389" s="101">
        <f>TAB_AMORTIZACAO_U[[#This Row],[dt_eve_u]]- DT_CALCULO_C</f>
        <v>2144</v>
      </c>
      <c r="Y389" s="49" t="str">
        <f t="shared" si="11"/>
        <v>n/a</v>
      </c>
      <c r="Z389" s="49" t="str">
        <f t="shared" si="11"/>
        <v>n/a</v>
      </c>
      <c r="AA389" s="44">
        <f>TAB_AMORTIZACAO_U[[#This Row],[V_PU_AMTC]]</f>
        <v>659.14534900000001</v>
      </c>
      <c r="AB389" s="44">
        <f>(TIR_C/100 +1)^(TAB_AMORTIZACAO_C[[#This Row],[DIAS_CORRIDOS]]/360)</f>
        <v>1.156015444181774</v>
      </c>
      <c r="AC389" s="44">
        <f>IF(TAB_AMORTIZACAO_C[[#This Row],[DIAS_CORRIDOS]]&lt;0, 0, TAB_AMORTIZACAO_C[[#This Row],[V_FUT_C_PCPL]]/TAB_AMORTIZACAO_C[[#This Row],[VAR_DESCAP_C]])</f>
        <v>570.1873208679682</v>
      </c>
      <c r="AD389" s="115">
        <f>TAB_AMORTIZACAO_U[[#This Row],[V_FUT_U_PCPL-02]]</f>
        <v>270.43615977960764</v>
      </c>
      <c r="AE389" s="127">
        <f>IF(TAB_AMORTIZACAO_C[[#This Row],[DIAS_CORRIDOS]]&lt;0, 0, TAB_AMORTIZACAO_C[[#This Row],[V_FUT_UTEIS]]/TAB_AMORTIZACAO_C[[#This Row],[VAR_DESCAP_C]])</f>
        <v>233.93818926962686</v>
      </c>
      <c r="AF389" s="64"/>
    </row>
    <row r="390" spans="1:32">
      <c r="A390" s="82">
        <f t="shared" si="12"/>
        <v>72</v>
      </c>
      <c r="B390" s="24">
        <f>VLOOKUP($A390, CAD_AMORTIZACAO[#Data], MATCH(B$318, CAD_ATUALIZACAO[#Headers],0), FALSE)</f>
        <v>4</v>
      </c>
      <c r="C390" s="24" t="str">
        <f>VLOOKUP($A390, CAD_AMORTIZACAO[#Data], MATCH(C$318, CAD_ATUALIZACAO[#Headers],0), FALSE)</f>
        <v xml:space="preserve">AMORTIZACAO                                       </v>
      </c>
      <c r="D390" s="36">
        <f>VLOOKUP($A390, CAD_AMORTIZACAO[#Data], MATCH(D$318, CAD_ATUALIZACAO[#Headers],0), FALSE)</f>
        <v>44538</v>
      </c>
      <c r="E390" s="48">
        <f>VLOOKUP($A390, CAD_AMORTIZACAO[#Data], MATCH(E$318, CAD_ATUALIZACAO[#Headers],0), FALSE)</f>
        <v>651.97476200000006</v>
      </c>
      <c r="F390" s="36">
        <f>VLOOKUP($A390, CAD_AMORTIZACAO[#Data], MATCH(F$318, CAD_ATUALIZACAO[#Headers],0), FALSE)</f>
        <v>44544</v>
      </c>
      <c r="G390" s="47">
        <f>WORKDAY(WORKDAY(TAB_AMORTIZACAO_U[[#This Row],[DT_EVE]], -1, TAB_FERIADOS[FER_DATA]), 1, TAB_FERIADOS[FER_DATA])</f>
        <v>44538</v>
      </c>
      <c r="H390" s="75">
        <f>WORKDAY(WORKDAY(TAB_AMORTIZACAO_U[[#This Row],[DT_LQDC_EVE]], -1, TAB_FERIADOS[FER_DATA]), 1, TAB_FERIADOS[FER_DATA])</f>
        <v>44544</v>
      </c>
      <c r="I390" s="48">
        <f>PU_EMISSAO - SUMIF(TAB_AMORTIZACAO_U[dt_eve_u], "&lt;" &amp; TAB_AMORTIZACAO_U[[#This Row],[dt_eve_u]], TAB_AMORTIZACAO_U[V_PU_AMTC])</f>
        <v>42380.05474400003</v>
      </c>
      <c r="J390" s="48">
        <f>IFERROR(VLOOKUP(TAB_AMORTIZACAO_U[[#This Row],[DT_EVE]], TAB_AMORTIZACAO_U[[DT_EVE]:[V_PU_AMTC]], 2, FALSE), 0)</f>
        <v>651.97476200000006</v>
      </c>
      <c r="K390" s="48">
        <f>NETWORKDAYS(DT_CALCULO_U, TAB_AMORTIZACAO_U[[#This Row],[dt_eve_u]], TAB_FERIADOS[FER_DATA]) -1</f>
        <v>1491</v>
      </c>
      <c r="L390" s="48">
        <f>NETWORKDAYS(DT_CALCULO_U, TAB_AMORTIZACAO_U[[#This Row],[dt_lqdc_eve_u]], TAB_FERIADOS[FER_DATA]) -1</f>
        <v>1495</v>
      </c>
      <c r="M390" s="48">
        <f>NETWORKDAYS(IF(ISTEXT(G389), DT_B_CORC, G389), TAB_AMORTIZACAO_U[[#This Row],[dt_eve_u]], TAB_FERIADOS[FER_DATA]) -1</f>
        <v>19</v>
      </c>
      <c r="N390" s="78">
        <f>(TX_EMISSAO/100 +1)^(TAB_AMORTIZACAO_U[[#This Row],[dias_periodo_u]]/252)</f>
        <v>1.0018634787225431</v>
      </c>
      <c r="O390" s="78">
        <f>(TIR_U/100 +1)^(TAB_AMORTIZACAO_U[[#This Row],[Q_DIAS_U_PARC_TIR]]/252)</f>
        <v>1.157781508499633</v>
      </c>
      <c r="P390" s="116" t="str">
        <f>"TX_CENARIO" &amp; TEXT(DT_CALCULO_C, "-AAAAMMDD") &amp; TEXT(TAB_AMORTIZACAO_U[[#This Row],[DT_EVE]], "-AAAAMMDD")</f>
        <v>TX_CENARIO-20151228-20211208</v>
      </c>
      <c r="Q390" s="44">
        <f>IFERROR(VLOOKUP(TAB_AMORTIZACAO_U[[#This Row],[Chave-CENARIO]],CENARIO[],2,FALSE), 0)</f>
        <v>16.436900000000001</v>
      </c>
      <c r="R390" s="117" t="str">
        <f t="shared" si="10"/>
        <v>n/a</v>
      </c>
      <c r="S390" s="49" t="str">
        <f t="shared" si="10"/>
        <v>n/a</v>
      </c>
      <c r="T390" s="78">
        <f>IF(TAB_AMORTIZACAO_U[[#This Row],[Q_DIAS_U_PARC_TIR]]&lt;0, 0, TAB_AMORTIZACAO_U[[#This Row],[PU_AMORT]])</f>
        <v>651.97476200000006</v>
      </c>
      <c r="U390" s="78">
        <f>MAX(0, TAB_AMORTIZACAO_U[[#This Row],[V_FUT_U_PCPL-01]]/((((TAB_AMORTIZACAO_U[[#This Row],[TX_CENARIO]]/100 +1)^(1/252) -1) * PC_IDXR/100 +1)^TAB_AMORTIZACAO_U[[#This Row],[Q_DIAS_U_PARC_TIR]]))</f>
        <v>264.3294021589507</v>
      </c>
      <c r="V390" s="78">
        <f>+TAB_AMORTIZACAO_U[[#This Row],[V_FUT_U_PCPL-02]]/TAB_AMORTIZACAO_U[[#This Row],[VAR_DESCAP_U]]</f>
        <v>228.30680937502163</v>
      </c>
      <c r="W390" s="78"/>
      <c r="X390" s="101">
        <f>TAB_AMORTIZACAO_U[[#This Row],[dt_eve_u]]- DT_CALCULO_C</f>
        <v>2172</v>
      </c>
      <c r="Y390" s="49" t="str">
        <f t="shared" si="11"/>
        <v>n/a</v>
      </c>
      <c r="Z390" s="49" t="str">
        <f t="shared" si="11"/>
        <v>n/a</v>
      </c>
      <c r="AA390" s="44">
        <f>TAB_AMORTIZACAO_U[[#This Row],[V_PU_AMTC]]</f>
        <v>651.97476200000006</v>
      </c>
      <c r="AB390" s="44">
        <f>(TIR_C/100 +1)^(TAB_AMORTIZACAO_C[[#This Row],[DIAS_CORRIDOS]]/360)</f>
        <v>1.1582062989260726</v>
      </c>
      <c r="AC390" s="44">
        <f>IF(TAB_AMORTIZACAO_C[[#This Row],[DIAS_CORRIDOS]]&lt;0, 0, TAB_AMORTIZACAO_C[[#This Row],[V_FUT_C_PCPL]]/TAB_AMORTIZACAO_C[[#This Row],[VAR_DESCAP_C]])</f>
        <v>562.91764481382347</v>
      </c>
      <c r="AD390" s="115">
        <f>TAB_AMORTIZACAO_U[[#This Row],[V_FUT_U_PCPL-02]]</f>
        <v>264.3294021589507</v>
      </c>
      <c r="AE390" s="127">
        <f>IF(TAB_AMORTIZACAO_C[[#This Row],[DIAS_CORRIDOS]]&lt;0, 0, TAB_AMORTIZACAO_C[[#This Row],[V_FUT_UTEIS]]/TAB_AMORTIZACAO_C[[#This Row],[VAR_DESCAP_C]])</f>
        <v>228.22307425200995</v>
      </c>
      <c r="AF390" s="64"/>
    </row>
    <row r="391" spans="1:32">
      <c r="A391" s="82">
        <f t="shared" si="12"/>
        <v>73</v>
      </c>
      <c r="B391" s="24">
        <f>VLOOKUP($A391, CAD_AMORTIZACAO[#Data], MATCH(B$318, CAD_ATUALIZACAO[#Headers],0), FALSE)</f>
        <v>4</v>
      </c>
      <c r="C391" s="24" t="str">
        <f>VLOOKUP($A391, CAD_AMORTIZACAO[#Data], MATCH(C$318, CAD_ATUALIZACAO[#Headers],0), FALSE)</f>
        <v xml:space="preserve">AMORTIZACAO                                       </v>
      </c>
      <c r="D391" s="36">
        <f>VLOOKUP($A391, CAD_AMORTIZACAO[#Data], MATCH(D$318, CAD_ATUALIZACAO[#Headers],0), FALSE)</f>
        <v>44571</v>
      </c>
      <c r="E391" s="48">
        <f>VLOOKUP($A391, CAD_AMORTIZACAO[#Data], MATCH(E$318, CAD_ATUALIZACAO[#Headers],0), FALSE)</f>
        <v>686.51037099999996</v>
      </c>
      <c r="F391" s="36">
        <f>VLOOKUP($A391, CAD_AMORTIZACAO[#Data], MATCH(F$318, CAD_ATUALIZACAO[#Headers],0), FALSE)</f>
        <v>44575</v>
      </c>
      <c r="G391" s="47">
        <f>WORKDAY(WORKDAY(TAB_AMORTIZACAO_U[[#This Row],[DT_EVE]], -1, TAB_FERIADOS[FER_DATA]), 1, TAB_FERIADOS[FER_DATA])</f>
        <v>44571</v>
      </c>
      <c r="H391" s="75">
        <f>WORKDAY(WORKDAY(TAB_AMORTIZACAO_U[[#This Row],[DT_LQDC_EVE]], -1, TAB_FERIADOS[FER_DATA]), 1, TAB_FERIADOS[FER_DATA])</f>
        <v>44575</v>
      </c>
      <c r="I391" s="48">
        <f>PU_EMISSAO - SUMIF(TAB_AMORTIZACAO_U[dt_eve_u], "&lt;" &amp; TAB_AMORTIZACAO_U[[#This Row],[dt_eve_u]], TAB_AMORTIZACAO_U[V_PU_AMTC])</f>
        <v>41728.079982000032</v>
      </c>
      <c r="J391" s="48">
        <f>IFERROR(VLOOKUP(TAB_AMORTIZACAO_U[[#This Row],[DT_EVE]], TAB_AMORTIZACAO_U[[DT_EVE]:[V_PU_AMTC]], 2, FALSE), 0)</f>
        <v>686.51037099999996</v>
      </c>
      <c r="K391" s="48">
        <f>NETWORKDAYS(DT_CALCULO_U, TAB_AMORTIZACAO_U[[#This Row],[dt_eve_u]], TAB_FERIADOS[FER_DATA]) -1</f>
        <v>1514</v>
      </c>
      <c r="L391" s="48">
        <f>NETWORKDAYS(DT_CALCULO_U, TAB_AMORTIZACAO_U[[#This Row],[dt_lqdc_eve_u]], TAB_FERIADOS[FER_DATA]) -1</f>
        <v>1518</v>
      </c>
      <c r="M391" s="48">
        <f>NETWORKDAYS(IF(ISTEXT(G390), DT_B_CORC, G390), TAB_AMORTIZACAO_U[[#This Row],[dt_eve_u]], TAB_FERIADOS[FER_DATA]) -1</f>
        <v>23</v>
      </c>
      <c r="N391" s="78">
        <f>(TX_EMISSAO/100 +1)^(TAB_AMORTIZACAO_U[[#This Row],[dias_periodo_u]]/252)</f>
        <v>1.0022562323017139</v>
      </c>
      <c r="O391" s="78">
        <f>(TIR_U/100 +1)^(TAB_AMORTIZACAO_U[[#This Row],[Q_DIAS_U_PARC_TIR]]/252)</f>
        <v>1.1603940141960642</v>
      </c>
      <c r="P391" s="116" t="str">
        <f>"TX_CENARIO" &amp; TEXT(DT_CALCULO_C, "-AAAAMMDD") &amp; TEXT(TAB_AMORTIZACAO_U[[#This Row],[DT_EVE]], "-AAAAMMDD")</f>
        <v>TX_CENARIO-20151228-20220110</v>
      </c>
      <c r="Q391" s="44">
        <f>IFERROR(VLOOKUP(TAB_AMORTIZACAO_U[[#This Row],[Chave-CENARIO]],CENARIO[],2,FALSE), 0)</f>
        <v>16.433199999999999</v>
      </c>
      <c r="R391" s="117" t="str">
        <f t="shared" si="10"/>
        <v>n/a</v>
      </c>
      <c r="S391" s="49" t="str">
        <f t="shared" si="10"/>
        <v>n/a</v>
      </c>
      <c r="T391" s="78">
        <f>IF(TAB_AMORTIZACAO_U[[#This Row],[Q_DIAS_U_PARC_TIR]]&lt;0, 0, TAB_AMORTIZACAO_U[[#This Row],[PU_AMORT]])</f>
        <v>686.51037099999996</v>
      </c>
      <c r="U391" s="78">
        <f>MAX(0, TAB_AMORTIZACAO_U[[#This Row],[V_FUT_U_PCPL-01]]/((((TAB_AMORTIZACAO_U[[#This Row],[TX_CENARIO]]/100 +1)^(1/252) -1) * PC_IDXR/100 +1)^TAB_AMORTIZACAO_U[[#This Row],[Q_DIAS_U_PARC_TIR]]))</f>
        <v>274.54456014681813</v>
      </c>
      <c r="V391" s="78">
        <f>+TAB_AMORTIZACAO_U[[#This Row],[V_FUT_U_PCPL-02]]/TAB_AMORTIZACAO_U[[#This Row],[VAR_DESCAP_U]]</f>
        <v>236.5959810099728</v>
      </c>
      <c r="W391" s="78"/>
      <c r="X391" s="101">
        <f>TAB_AMORTIZACAO_U[[#This Row],[dt_eve_u]]- DT_CALCULO_C</f>
        <v>2205</v>
      </c>
      <c r="Y391" s="49" t="str">
        <f t="shared" si="11"/>
        <v>n/a</v>
      </c>
      <c r="Z391" s="49" t="str">
        <f t="shared" si="11"/>
        <v>n/a</v>
      </c>
      <c r="AA391" s="44">
        <f>TAB_AMORTIZACAO_U[[#This Row],[V_PU_AMTC]]</f>
        <v>686.51037099999996</v>
      </c>
      <c r="AB391" s="44">
        <f>(TIR_C/100 +1)^(TAB_AMORTIZACAO_C[[#This Row],[DIAS_CORRIDOS]]/360)</f>
        <v>1.1607937087507167</v>
      </c>
      <c r="AC391" s="44">
        <f>IF(TAB_AMORTIZACAO_C[[#This Row],[DIAS_CORRIDOS]]&lt;0, 0, TAB_AMORTIZACAO_C[[#This Row],[V_FUT_C_PCPL]]/TAB_AMORTIZACAO_C[[#This Row],[VAR_DESCAP_C]])</f>
        <v>591.41462072433558</v>
      </c>
      <c r="AD391" s="115">
        <f>TAB_AMORTIZACAO_U[[#This Row],[V_FUT_U_PCPL-02]]</f>
        <v>274.54456014681813</v>
      </c>
      <c r="AE391" s="127">
        <f>IF(TAB_AMORTIZACAO_C[[#This Row],[DIAS_CORRIDOS]]&lt;0, 0, TAB_AMORTIZACAO_C[[#This Row],[V_FUT_UTEIS]]/TAB_AMORTIZACAO_C[[#This Row],[VAR_DESCAP_C]])</f>
        <v>236.51451423034655</v>
      </c>
      <c r="AF391" s="64"/>
    </row>
    <row r="392" spans="1:32">
      <c r="A392" s="82">
        <f t="shared" si="12"/>
        <v>74</v>
      </c>
      <c r="B392" s="24">
        <f>VLOOKUP($A392, CAD_AMORTIZACAO[#Data], MATCH(B$318, CAD_ATUALIZACAO[#Headers],0), FALSE)</f>
        <v>4</v>
      </c>
      <c r="C392" s="24" t="str">
        <f>VLOOKUP($A392, CAD_AMORTIZACAO[#Data], MATCH(C$318, CAD_ATUALIZACAO[#Headers],0), FALSE)</f>
        <v xml:space="preserve">AMORTIZACAO                                       </v>
      </c>
      <c r="D392" s="36">
        <f>VLOOKUP($A392, CAD_AMORTIZACAO[#Data], MATCH(D$318, CAD_ATUALIZACAO[#Headers],0), FALSE)</f>
        <v>44600</v>
      </c>
      <c r="E392" s="48">
        <f>VLOOKUP($A392, CAD_AMORTIZACAO[#Data], MATCH(E$318, CAD_ATUALIZACAO[#Headers],0), FALSE)</f>
        <v>686.58441800000003</v>
      </c>
      <c r="F392" s="36">
        <f>VLOOKUP($A392, CAD_AMORTIZACAO[#Data], MATCH(F$318, CAD_ATUALIZACAO[#Headers],0), FALSE)</f>
        <v>44606</v>
      </c>
      <c r="G392" s="47">
        <f>WORKDAY(WORKDAY(TAB_AMORTIZACAO_U[[#This Row],[DT_EVE]], -1, TAB_FERIADOS[FER_DATA]), 1, TAB_FERIADOS[FER_DATA])</f>
        <v>44600</v>
      </c>
      <c r="H392" s="75">
        <f>WORKDAY(WORKDAY(TAB_AMORTIZACAO_U[[#This Row],[DT_LQDC_EVE]], -1, TAB_FERIADOS[FER_DATA]), 1, TAB_FERIADOS[FER_DATA])</f>
        <v>44606</v>
      </c>
      <c r="I392" s="48">
        <f>PU_EMISSAO - SUMIF(TAB_AMORTIZACAO_U[dt_eve_u], "&lt;" &amp; TAB_AMORTIZACAO_U[[#This Row],[dt_eve_u]], TAB_AMORTIZACAO_U[V_PU_AMTC])</f>
        <v>41041.569611000035</v>
      </c>
      <c r="J392" s="48">
        <f>IFERROR(VLOOKUP(TAB_AMORTIZACAO_U[[#This Row],[DT_EVE]], TAB_AMORTIZACAO_U[[DT_EVE]:[V_PU_AMTC]], 2, FALSE), 0)</f>
        <v>686.58441800000003</v>
      </c>
      <c r="K392" s="48">
        <f>NETWORKDAYS(DT_CALCULO_U, TAB_AMORTIZACAO_U[[#This Row],[dt_eve_u]], TAB_FERIADOS[FER_DATA]) -1</f>
        <v>1535</v>
      </c>
      <c r="L392" s="48">
        <f>NETWORKDAYS(DT_CALCULO_U, TAB_AMORTIZACAO_U[[#This Row],[dt_lqdc_eve_u]], TAB_FERIADOS[FER_DATA]) -1</f>
        <v>1539</v>
      </c>
      <c r="M392" s="48">
        <f>NETWORKDAYS(IF(ISTEXT(G391), DT_B_CORC, G391), TAB_AMORTIZACAO_U[[#This Row],[dt_eve_u]], TAB_FERIADOS[FER_DATA]) -1</f>
        <v>21</v>
      </c>
      <c r="N392" s="78">
        <f>(TX_EMISSAO/100 +1)^(TAB_AMORTIZACAO_U[[#This Row],[dias_periodo_u]]/252)</f>
        <v>1.0020598362698427</v>
      </c>
      <c r="O392" s="78">
        <f>(TIR_U/100 +1)^(TAB_AMORTIZACAO_U[[#This Row],[Q_DIAS_U_PARC_TIR]]/252)</f>
        <v>1.1627844935701674</v>
      </c>
      <c r="P392" s="116" t="str">
        <f>"TX_CENARIO" &amp; TEXT(DT_CALCULO_C, "-AAAAMMDD") &amp; TEXT(TAB_AMORTIZACAO_U[[#This Row],[DT_EVE]], "-AAAAMMDD")</f>
        <v>TX_CENARIO-20151228-20220208</v>
      </c>
      <c r="Q392" s="44">
        <f>IFERROR(VLOOKUP(TAB_AMORTIZACAO_U[[#This Row],[Chave-CENARIO]],CENARIO[],2,FALSE), 0)</f>
        <v>16.430099999999999</v>
      </c>
      <c r="R392" s="117" t="str">
        <f t="shared" si="10"/>
        <v>n/a</v>
      </c>
      <c r="S392" s="49" t="str">
        <f t="shared" si="10"/>
        <v>n/a</v>
      </c>
      <c r="T392" s="78">
        <f>IF(TAB_AMORTIZACAO_U[[#This Row],[Q_DIAS_U_PARC_TIR]]&lt;0, 0, TAB_AMORTIZACAO_U[[#This Row],[PU_AMORT]])</f>
        <v>686.58441800000003</v>
      </c>
      <c r="U392" s="78">
        <f>MAX(0, TAB_AMORTIZACAO_U[[#This Row],[V_FUT_U_PCPL-01]]/((((TAB_AMORTIZACAO_U[[#This Row],[TX_CENARIO]]/100 +1)^(1/252) -1) * PC_IDXR/100 +1)^TAB_AMORTIZACAO_U[[#This Row],[Q_DIAS_U_PARC_TIR]]))</f>
        <v>271.15892173218566</v>
      </c>
      <c r="V392" s="78">
        <f>+TAB_AMORTIZACAO_U[[#This Row],[V_FUT_U_PCPL-02]]/TAB_AMORTIZACAO_U[[#This Row],[VAR_DESCAP_U]]</f>
        <v>233.19791692408114</v>
      </c>
      <c r="W392" s="78"/>
      <c r="X392" s="101">
        <f>TAB_AMORTIZACAO_U[[#This Row],[dt_eve_u]]- DT_CALCULO_C</f>
        <v>2234</v>
      </c>
      <c r="Y392" s="49" t="str">
        <f t="shared" si="11"/>
        <v>n/a</v>
      </c>
      <c r="Z392" s="49" t="str">
        <f t="shared" si="11"/>
        <v>n/a</v>
      </c>
      <c r="AA392" s="44">
        <f>TAB_AMORTIZACAO_U[[#This Row],[V_PU_AMTC]]</f>
        <v>686.58441800000003</v>
      </c>
      <c r="AB392" s="44">
        <f>(TIR_C/100 +1)^(TAB_AMORTIZACAO_C[[#This Row],[DIAS_CORRIDOS]]/360)</f>
        <v>1.1630722644468348</v>
      </c>
      <c r="AC392" s="44">
        <f>IF(TAB_AMORTIZACAO_C[[#This Row],[DIAS_CORRIDOS]]&lt;0, 0, TAB_AMORTIZACAO_C[[#This Row],[V_FUT_C_PCPL]]/TAB_AMORTIZACAO_C[[#This Row],[VAR_DESCAP_C]])</f>
        <v>590.31965509601787</v>
      </c>
      <c r="AD392" s="115">
        <f>TAB_AMORTIZACAO_U[[#This Row],[V_FUT_U_PCPL-02]]</f>
        <v>271.15892173218566</v>
      </c>
      <c r="AE392" s="127">
        <f>IF(TAB_AMORTIZACAO_C[[#This Row],[DIAS_CORRIDOS]]&lt;0, 0, TAB_AMORTIZACAO_C[[#This Row],[V_FUT_UTEIS]]/TAB_AMORTIZACAO_C[[#This Row],[VAR_DESCAP_C]])</f>
        <v>233.14021838630185</v>
      </c>
      <c r="AF392" s="64"/>
    </row>
    <row r="393" spans="1:32">
      <c r="A393" s="82">
        <f t="shared" si="12"/>
        <v>75</v>
      </c>
      <c r="B393" s="24">
        <f>VLOOKUP($A393, CAD_AMORTIZACAO[#Data], MATCH(B$318, CAD_ATUALIZACAO[#Headers],0), FALSE)</f>
        <v>4</v>
      </c>
      <c r="C393" s="24" t="str">
        <f>VLOOKUP($A393, CAD_AMORTIZACAO[#Data], MATCH(C$318, CAD_ATUALIZACAO[#Headers],0), FALSE)</f>
        <v xml:space="preserve">AMORTIZACAO                                       </v>
      </c>
      <c r="D393" s="36">
        <f>VLOOKUP($A393, CAD_AMORTIZACAO[#Data], MATCH(D$318, CAD_ATUALIZACAO[#Headers],0), FALSE)</f>
        <v>44629</v>
      </c>
      <c r="E393" s="48">
        <f>VLOOKUP($A393, CAD_AMORTIZACAO[#Data], MATCH(E$318, CAD_ATUALIZACAO[#Headers],0), FALSE)</f>
        <v>687.81036700000004</v>
      </c>
      <c r="F393" s="36">
        <f>VLOOKUP($A393, CAD_AMORTIZACAO[#Data], MATCH(F$318, CAD_ATUALIZACAO[#Headers],0), FALSE)</f>
        <v>44635</v>
      </c>
      <c r="G393" s="47">
        <f>WORKDAY(WORKDAY(TAB_AMORTIZACAO_U[[#This Row],[DT_EVE]], -1, TAB_FERIADOS[FER_DATA]), 1, TAB_FERIADOS[FER_DATA])</f>
        <v>44629</v>
      </c>
      <c r="H393" s="75">
        <f>WORKDAY(WORKDAY(TAB_AMORTIZACAO_U[[#This Row],[DT_LQDC_EVE]], -1, TAB_FERIADOS[FER_DATA]), 1, TAB_FERIADOS[FER_DATA])</f>
        <v>44635</v>
      </c>
      <c r="I393" s="48">
        <f>PU_EMISSAO - SUMIF(TAB_AMORTIZACAO_U[dt_eve_u], "&lt;" &amp; TAB_AMORTIZACAO_U[[#This Row],[dt_eve_u]], TAB_AMORTIZACAO_U[V_PU_AMTC])</f>
        <v>40354.985193000037</v>
      </c>
      <c r="J393" s="48">
        <f>IFERROR(VLOOKUP(TAB_AMORTIZACAO_U[[#This Row],[DT_EVE]], TAB_AMORTIZACAO_U[[DT_EVE]:[V_PU_AMTC]], 2, FALSE), 0)</f>
        <v>687.81036700000004</v>
      </c>
      <c r="K393" s="48">
        <f>NETWORKDAYS(DT_CALCULO_U, TAB_AMORTIZACAO_U[[#This Row],[dt_eve_u]], TAB_FERIADOS[FER_DATA]) -1</f>
        <v>1554</v>
      </c>
      <c r="L393" s="48">
        <f>NETWORKDAYS(DT_CALCULO_U, TAB_AMORTIZACAO_U[[#This Row],[dt_lqdc_eve_u]], TAB_FERIADOS[FER_DATA]) -1</f>
        <v>1558</v>
      </c>
      <c r="M393" s="48">
        <f>NETWORKDAYS(IF(ISTEXT(G392), DT_B_CORC, G392), TAB_AMORTIZACAO_U[[#This Row],[dt_eve_u]], TAB_FERIADOS[FER_DATA]) -1</f>
        <v>19</v>
      </c>
      <c r="N393" s="78">
        <f>(TX_EMISSAO/100 +1)^(TAB_AMORTIZACAO_U[[#This Row],[dias_periodo_u]]/252)</f>
        <v>1.0018634787225431</v>
      </c>
      <c r="O393" s="78">
        <f>(TIR_U/100 +1)^(TAB_AMORTIZACAO_U[[#This Row],[Q_DIAS_U_PARC_TIR]]/252)</f>
        <v>1.1649515513212085</v>
      </c>
      <c r="P393" s="116" t="str">
        <f>"TX_CENARIO" &amp; TEXT(DT_CALCULO_C, "-AAAAMMDD") &amp; TEXT(TAB_AMORTIZACAO_U[[#This Row],[DT_EVE]], "-AAAAMMDD")</f>
        <v>TX_CENARIO-20151228-20220309</v>
      </c>
      <c r="Q393" s="44">
        <f>IFERROR(VLOOKUP(TAB_AMORTIZACAO_U[[#This Row],[Chave-CENARIO]],CENARIO[],2,FALSE), 0)</f>
        <v>16.427399999999999</v>
      </c>
      <c r="R393" s="117" t="str">
        <f t="shared" si="10"/>
        <v>n/a</v>
      </c>
      <c r="S393" s="49" t="str">
        <f t="shared" si="10"/>
        <v>n/a</v>
      </c>
      <c r="T393" s="78">
        <f>IF(TAB_AMORTIZACAO_U[[#This Row],[Q_DIAS_U_PARC_TIR]]&lt;0, 0, TAB_AMORTIZACAO_U[[#This Row],[PU_AMORT]])</f>
        <v>687.81036700000004</v>
      </c>
      <c r="U393" s="78">
        <f>MAX(0, TAB_AMORTIZACAO_U[[#This Row],[V_FUT_U_PCPL-01]]/((((TAB_AMORTIZACAO_U[[#This Row],[TX_CENARIO]]/100 +1)^(1/252) -1) * PC_IDXR/100 +1)^TAB_AMORTIZACAO_U[[#This Row],[Q_DIAS_U_PARC_TIR]]))</f>
        <v>268.58380841224715</v>
      </c>
      <c r="V393" s="78">
        <f>+TAB_AMORTIZACAO_U[[#This Row],[V_FUT_U_PCPL-02]]/TAB_AMORTIZACAO_U[[#This Row],[VAR_DESCAP_U]]</f>
        <v>230.55362955449755</v>
      </c>
      <c r="W393" s="78"/>
      <c r="X393" s="101">
        <f>TAB_AMORTIZACAO_U[[#This Row],[dt_eve_u]]- DT_CALCULO_C</f>
        <v>2263</v>
      </c>
      <c r="Y393" s="49" t="str">
        <f t="shared" si="11"/>
        <v>n/a</v>
      </c>
      <c r="Z393" s="49" t="str">
        <f t="shared" si="11"/>
        <v>n/a</v>
      </c>
      <c r="AA393" s="44">
        <f>TAB_AMORTIZACAO_U[[#This Row],[V_PU_AMTC]]</f>
        <v>687.81036700000004</v>
      </c>
      <c r="AB393" s="44">
        <f>(TIR_C/100 +1)^(TAB_AMORTIZACAO_C[[#This Row],[DIAS_CORRIDOS]]/360)</f>
        <v>1.165355292786129</v>
      </c>
      <c r="AC393" s="44">
        <f>IF(TAB_AMORTIZACAO_C[[#This Row],[DIAS_CORRIDOS]]&lt;0, 0, TAB_AMORTIZACAO_C[[#This Row],[V_FUT_C_PCPL]]/TAB_AMORTIZACAO_C[[#This Row],[VAR_DESCAP_C]])</f>
        <v>590.2151655016595</v>
      </c>
      <c r="AD393" s="115">
        <f>TAB_AMORTIZACAO_U[[#This Row],[V_FUT_U_PCPL-02]]</f>
        <v>268.58380841224715</v>
      </c>
      <c r="AE393" s="127">
        <f>IF(TAB_AMORTIZACAO_C[[#This Row],[DIAS_CORRIDOS]]&lt;0, 0, TAB_AMORTIZACAO_C[[#This Row],[V_FUT_UTEIS]]/TAB_AMORTIZACAO_C[[#This Row],[VAR_DESCAP_C]])</f>
        <v>230.47375343369964</v>
      </c>
      <c r="AF393" s="64"/>
    </row>
    <row r="394" spans="1:32">
      <c r="A394" s="82">
        <f t="shared" si="12"/>
        <v>76</v>
      </c>
      <c r="B394" s="24">
        <f>VLOOKUP($A394, CAD_AMORTIZACAO[#Data], MATCH(B$318, CAD_ATUALIZACAO[#Headers],0), FALSE)</f>
        <v>4</v>
      </c>
      <c r="C394" s="24" t="str">
        <f>VLOOKUP($A394, CAD_AMORTIZACAO[#Data], MATCH(C$318, CAD_ATUALIZACAO[#Headers],0), FALSE)</f>
        <v xml:space="preserve">AMORTIZACAO                                       </v>
      </c>
      <c r="D394" s="36">
        <f>VLOOKUP($A394, CAD_AMORTIZACAO[#Data], MATCH(D$318, CAD_ATUALIZACAO[#Headers],0), FALSE)</f>
        <v>44659</v>
      </c>
      <c r="E394" s="48">
        <f>VLOOKUP($A394, CAD_AMORTIZACAO[#Data], MATCH(E$318, CAD_ATUALIZACAO[#Headers],0), FALSE)</f>
        <v>667.75722099999996</v>
      </c>
      <c r="F394" s="36">
        <f>VLOOKUP($A394, CAD_AMORTIZACAO[#Data], MATCH(F$318, CAD_ATUALIZACAO[#Headers],0), FALSE)</f>
        <v>44665</v>
      </c>
      <c r="G394" s="47">
        <f>WORKDAY(WORKDAY(TAB_AMORTIZACAO_U[[#This Row],[DT_EVE]], -1, TAB_FERIADOS[FER_DATA]), 1, TAB_FERIADOS[FER_DATA])</f>
        <v>44659</v>
      </c>
      <c r="H394" s="75">
        <f>WORKDAY(WORKDAY(TAB_AMORTIZACAO_U[[#This Row],[DT_LQDC_EVE]], -1, TAB_FERIADOS[FER_DATA]), 1, TAB_FERIADOS[FER_DATA])</f>
        <v>44665</v>
      </c>
      <c r="I394" s="48">
        <f>PU_EMISSAO - SUMIF(TAB_AMORTIZACAO_U[dt_eve_u], "&lt;" &amp; TAB_AMORTIZACAO_U[[#This Row],[dt_eve_u]], TAB_AMORTIZACAO_U[V_PU_AMTC])</f>
        <v>39667.174826000039</v>
      </c>
      <c r="J394" s="48">
        <f>IFERROR(VLOOKUP(TAB_AMORTIZACAO_U[[#This Row],[DT_EVE]], TAB_AMORTIZACAO_U[[DT_EVE]:[V_PU_AMTC]], 2, FALSE), 0)</f>
        <v>667.75722099999996</v>
      </c>
      <c r="K394" s="48">
        <f>NETWORKDAYS(DT_CALCULO_U, TAB_AMORTIZACAO_U[[#This Row],[dt_eve_u]], TAB_FERIADOS[FER_DATA]) -1</f>
        <v>1576</v>
      </c>
      <c r="L394" s="48">
        <f>NETWORKDAYS(DT_CALCULO_U, TAB_AMORTIZACAO_U[[#This Row],[dt_lqdc_eve_u]], TAB_FERIADOS[FER_DATA]) -1</f>
        <v>1580</v>
      </c>
      <c r="M394" s="48">
        <f>NETWORKDAYS(IF(ISTEXT(G393), DT_B_CORC, G393), TAB_AMORTIZACAO_U[[#This Row],[dt_eve_u]], TAB_FERIADOS[FER_DATA]) -1</f>
        <v>22</v>
      </c>
      <c r="N394" s="78">
        <f>(TX_EMISSAO/100 +1)^(TAB_AMORTIZACAO_U[[#This Row],[dias_periodo_u]]/252)</f>
        <v>1.0021580294747356</v>
      </c>
      <c r="O394" s="78">
        <f>(TIR_U/100 +1)^(TAB_AMORTIZACAO_U[[#This Row],[Q_DIAS_U_PARC_TIR]]/252)</f>
        <v>1.1674658221600858</v>
      </c>
      <c r="P394" s="116" t="str">
        <f>"TX_CENARIO" &amp; TEXT(DT_CALCULO_C, "-AAAAMMDD") &amp; TEXT(TAB_AMORTIZACAO_U[[#This Row],[DT_EVE]], "-AAAAMMDD")</f>
        <v>TX_CENARIO-20151228-20220408</v>
      </c>
      <c r="Q394" s="44">
        <f>IFERROR(VLOOKUP(TAB_AMORTIZACAO_U[[#This Row],[Chave-CENARIO]],CENARIO[],2,FALSE), 0)</f>
        <v>16.424399999999999</v>
      </c>
      <c r="R394" s="117" t="str">
        <f t="shared" si="10"/>
        <v>n/a</v>
      </c>
      <c r="S394" s="49" t="str">
        <f t="shared" si="10"/>
        <v>n/a</v>
      </c>
      <c r="T394" s="78">
        <f>IF(TAB_AMORTIZACAO_U[[#This Row],[Q_DIAS_U_PARC_TIR]]&lt;0, 0, TAB_AMORTIZACAO_U[[#This Row],[PU_AMORT]])</f>
        <v>667.75722099999996</v>
      </c>
      <c r="U394" s="78">
        <f>MAX(0, TAB_AMORTIZACAO_U[[#This Row],[V_FUT_U_PCPL-01]]/((((TAB_AMORTIZACAO_U[[#This Row],[TX_CENARIO]]/100 +1)^(1/252) -1) * PC_IDXR/100 +1)^TAB_AMORTIZACAO_U[[#This Row],[Q_DIAS_U_PARC_TIR]]))</f>
        <v>257.35531583433573</v>
      </c>
      <c r="V394" s="78">
        <f>+TAB_AMORTIZACAO_U[[#This Row],[V_FUT_U_PCPL-02]]/TAB_AMORTIZACAO_U[[#This Row],[VAR_DESCAP_U]]</f>
        <v>220.43927192503844</v>
      </c>
      <c r="W394" s="78"/>
      <c r="X394" s="101">
        <f>TAB_AMORTIZACAO_U[[#This Row],[dt_eve_u]]- DT_CALCULO_C</f>
        <v>2293</v>
      </c>
      <c r="Y394" s="49" t="str">
        <f t="shared" si="11"/>
        <v>n/a</v>
      </c>
      <c r="Z394" s="49" t="str">
        <f t="shared" si="11"/>
        <v>n/a</v>
      </c>
      <c r="AA394" s="44">
        <f>TAB_AMORTIZACAO_U[[#This Row],[V_PU_AMTC]]</f>
        <v>667.75722099999996</v>
      </c>
      <c r="AB394" s="44">
        <f>(TIR_C/100 +1)^(TAB_AMORTIZACAO_C[[#This Row],[DIAS_CORRIDOS]]/360)</f>
        <v>1.1677217622316451</v>
      </c>
      <c r="AC394" s="44">
        <f>IF(TAB_AMORTIZACAO_C[[#This Row],[DIAS_CORRIDOS]]&lt;0, 0, TAB_AMORTIZACAO_C[[#This Row],[V_FUT_C_PCPL]]/TAB_AMORTIZACAO_C[[#This Row],[VAR_DESCAP_C]])</f>
        <v>571.84617311905038</v>
      </c>
      <c r="AD394" s="115">
        <f>TAB_AMORTIZACAO_U[[#This Row],[V_FUT_U_PCPL-02]]</f>
        <v>257.35531583433573</v>
      </c>
      <c r="AE394" s="127">
        <f>IF(TAB_AMORTIZACAO_C[[#This Row],[DIAS_CORRIDOS]]&lt;0, 0, TAB_AMORTIZACAO_C[[#This Row],[V_FUT_UTEIS]]/TAB_AMORTIZACAO_C[[#This Row],[VAR_DESCAP_C]])</f>
        <v>220.39095626898424</v>
      </c>
      <c r="AF394" s="64"/>
    </row>
    <row r="395" spans="1:32">
      <c r="A395" s="82">
        <f t="shared" si="12"/>
        <v>77</v>
      </c>
      <c r="B395" s="24">
        <f>VLOOKUP($A395, CAD_AMORTIZACAO[#Data], MATCH(B$318, CAD_ATUALIZACAO[#Headers],0), FALSE)</f>
        <v>4</v>
      </c>
      <c r="C395" s="24" t="str">
        <f>VLOOKUP($A395, CAD_AMORTIZACAO[#Data], MATCH(C$318, CAD_ATUALIZACAO[#Headers],0), FALSE)</f>
        <v xml:space="preserve">AMORTIZACAO                                       </v>
      </c>
      <c r="D395" s="36">
        <f>VLOOKUP($A395, CAD_AMORTIZACAO[#Data], MATCH(D$318, CAD_ATUALIZACAO[#Headers],0), FALSE)</f>
        <v>44690</v>
      </c>
      <c r="E395" s="48">
        <f>VLOOKUP($A395, CAD_AMORTIZACAO[#Data], MATCH(E$318, CAD_ATUALIZACAO[#Headers],0), FALSE)</f>
        <v>672.388958</v>
      </c>
      <c r="F395" s="36">
        <f>VLOOKUP($A395, CAD_AMORTIZACAO[#Data], MATCH(F$318, CAD_ATUALIZACAO[#Headers],0), FALSE)</f>
        <v>44694</v>
      </c>
      <c r="G395" s="47">
        <f>WORKDAY(WORKDAY(TAB_AMORTIZACAO_U[[#This Row],[DT_EVE]], -1, TAB_FERIADOS[FER_DATA]), 1, TAB_FERIADOS[FER_DATA])</f>
        <v>44690</v>
      </c>
      <c r="H395" s="75">
        <f>WORKDAY(WORKDAY(TAB_AMORTIZACAO_U[[#This Row],[DT_LQDC_EVE]], -1, TAB_FERIADOS[FER_DATA]), 1, TAB_FERIADOS[FER_DATA])</f>
        <v>44694</v>
      </c>
      <c r="I395" s="48">
        <f>PU_EMISSAO - SUMIF(TAB_AMORTIZACAO_U[dt_eve_u], "&lt;" &amp; TAB_AMORTIZACAO_U[[#This Row],[dt_eve_u]], TAB_AMORTIZACAO_U[V_PU_AMTC])</f>
        <v>38999.417605000039</v>
      </c>
      <c r="J395" s="48">
        <f>IFERROR(VLOOKUP(TAB_AMORTIZACAO_U[[#This Row],[DT_EVE]], TAB_AMORTIZACAO_U[[DT_EVE]:[V_PU_AMTC]], 2, FALSE), 0)</f>
        <v>672.388958</v>
      </c>
      <c r="K395" s="48">
        <f>NETWORKDAYS(DT_CALCULO_U, TAB_AMORTIZACAO_U[[#This Row],[dt_eve_u]], TAB_FERIADOS[FER_DATA]) -1</f>
        <v>1595</v>
      </c>
      <c r="L395" s="48">
        <f>NETWORKDAYS(DT_CALCULO_U, TAB_AMORTIZACAO_U[[#This Row],[dt_lqdc_eve_u]], TAB_FERIADOS[FER_DATA]) -1</f>
        <v>1599</v>
      </c>
      <c r="M395" s="48">
        <f>NETWORKDAYS(IF(ISTEXT(G394), DT_B_CORC, G394), TAB_AMORTIZACAO_U[[#This Row],[dt_eve_u]], TAB_FERIADOS[FER_DATA]) -1</f>
        <v>19</v>
      </c>
      <c r="N395" s="78">
        <f>(TX_EMISSAO/100 +1)^(TAB_AMORTIZACAO_U[[#This Row],[dias_periodo_u]]/252)</f>
        <v>1.0018634787225431</v>
      </c>
      <c r="O395" s="78">
        <f>(TIR_U/100 +1)^(TAB_AMORTIZACAO_U[[#This Row],[Q_DIAS_U_PARC_TIR]]/252)</f>
        <v>1.1696416044077658</v>
      </c>
      <c r="P395" s="116" t="str">
        <f>"TX_CENARIO" &amp; TEXT(DT_CALCULO_C, "-AAAAMMDD") &amp; TEXT(TAB_AMORTIZACAO_U[[#This Row],[DT_EVE]], "-AAAAMMDD")</f>
        <v>TX_CENARIO-20151228-20220509</v>
      </c>
      <c r="Q395" s="44">
        <f>IFERROR(VLOOKUP(TAB_AMORTIZACAO_U[[#This Row],[Chave-CENARIO]],CENARIO[],2,FALSE), 0)</f>
        <v>16.421800000000001</v>
      </c>
      <c r="R395" s="117" t="str">
        <f t="shared" si="10"/>
        <v>n/a</v>
      </c>
      <c r="S395" s="49" t="str">
        <f t="shared" si="10"/>
        <v>n/a</v>
      </c>
      <c r="T395" s="78">
        <f>IF(TAB_AMORTIZACAO_U[[#This Row],[Q_DIAS_U_PARC_TIR]]&lt;0, 0, TAB_AMORTIZACAO_U[[#This Row],[PU_AMORT]])</f>
        <v>672.388958</v>
      </c>
      <c r="U395" s="78">
        <f>MAX(0, TAB_AMORTIZACAO_U[[#This Row],[V_FUT_U_PCPL-01]]/((((TAB_AMORTIZACAO_U[[#This Row],[TX_CENARIO]]/100 +1)^(1/252) -1) * PC_IDXR/100 +1)^TAB_AMORTIZACAO_U[[#This Row],[Q_DIAS_U_PARC_TIR]]))</f>
        <v>256.22243591129012</v>
      </c>
      <c r="V395" s="78">
        <f>+TAB_AMORTIZACAO_U[[#This Row],[V_FUT_U_PCPL-02]]/TAB_AMORTIZACAO_U[[#This Row],[VAR_DESCAP_U]]</f>
        <v>219.06063784472281</v>
      </c>
      <c r="W395" s="78"/>
      <c r="X395" s="101">
        <f>TAB_AMORTIZACAO_U[[#This Row],[dt_eve_u]]- DT_CALCULO_C</f>
        <v>2324</v>
      </c>
      <c r="Y395" s="49" t="str">
        <f t="shared" si="11"/>
        <v>n/a</v>
      </c>
      <c r="Z395" s="49" t="str">
        <f t="shared" si="11"/>
        <v>n/a</v>
      </c>
      <c r="AA395" s="44">
        <f>TAB_AMORTIZACAO_U[[#This Row],[V_PU_AMTC]]</f>
        <v>672.388958</v>
      </c>
      <c r="AB395" s="44">
        <f>(TIR_C/100 +1)^(TAB_AMORTIZACAO_C[[#This Row],[DIAS_CORRIDOS]]/360)</f>
        <v>1.1701721626071813</v>
      </c>
      <c r="AC395" s="44">
        <f>IF(TAB_AMORTIZACAO_C[[#This Row],[DIAS_CORRIDOS]]&lt;0, 0, TAB_AMORTIZACAO_C[[#This Row],[V_FUT_C_PCPL]]/TAB_AMORTIZACAO_C[[#This Row],[VAR_DESCAP_C]])</f>
        <v>574.60686511452786</v>
      </c>
      <c r="AD395" s="115">
        <f>TAB_AMORTIZACAO_U[[#This Row],[V_FUT_U_PCPL-02]]</f>
        <v>256.22243591129012</v>
      </c>
      <c r="AE395" s="127">
        <f>IF(TAB_AMORTIZACAO_C[[#This Row],[DIAS_CORRIDOS]]&lt;0, 0, TAB_AMORTIZACAO_C[[#This Row],[V_FUT_UTEIS]]/TAB_AMORTIZACAO_C[[#This Row],[VAR_DESCAP_C]])</f>
        <v>218.96131535074144</v>
      </c>
      <c r="AF395" s="64"/>
    </row>
    <row r="396" spans="1:32">
      <c r="A396" s="82">
        <f t="shared" si="12"/>
        <v>78</v>
      </c>
      <c r="B396" s="24">
        <f>VLOOKUP($A396, CAD_AMORTIZACAO[#Data], MATCH(B$318, CAD_ATUALIZACAO[#Headers],0), FALSE)</f>
        <v>4</v>
      </c>
      <c r="C396" s="24" t="str">
        <f>VLOOKUP($A396, CAD_AMORTIZACAO[#Data], MATCH(C$318, CAD_ATUALIZACAO[#Headers],0), FALSE)</f>
        <v xml:space="preserve">AMORTIZACAO                                       </v>
      </c>
      <c r="D396" s="36">
        <f>VLOOKUP($A396, CAD_AMORTIZACAO[#Data], MATCH(D$318, CAD_ATUALIZACAO[#Headers],0), FALSE)</f>
        <v>44720</v>
      </c>
      <c r="E396" s="48">
        <f>VLOOKUP($A396, CAD_AMORTIZACAO[#Data], MATCH(E$318, CAD_ATUALIZACAO[#Headers],0), FALSE)</f>
        <v>653.09256800000003</v>
      </c>
      <c r="F396" s="36">
        <f>VLOOKUP($A396, CAD_AMORTIZACAO[#Data], MATCH(F$318, CAD_ATUALIZACAO[#Headers],0), FALSE)</f>
        <v>44726</v>
      </c>
      <c r="G396" s="47">
        <f>WORKDAY(WORKDAY(TAB_AMORTIZACAO_U[[#This Row],[DT_EVE]], -1, TAB_FERIADOS[FER_DATA]), 1, TAB_FERIADOS[FER_DATA])</f>
        <v>44720</v>
      </c>
      <c r="H396" s="75">
        <f>WORKDAY(WORKDAY(TAB_AMORTIZACAO_U[[#This Row],[DT_LQDC_EVE]], -1, TAB_FERIADOS[FER_DATA]), 1, TAB_FERIADOS[FER_DATA])</f>
        <v>44726</v>
      </c>
      <c r="I396" s="48">
        <f>PU_EMISSAO - SUMIF(TAB_AMORTIZACAO_U[dt_eve_u], "&lt;" &amp; TAB_AMORTIZACAO_U[[#This Row],[dt_eve_u]], TAB_AMORTIZACAO_U[V_PU_AMTC])</f>
        <v>38327.028647000036</v>
      </c>
      <c r="J396" s="48">
        <f>IFERROR(VLOOKUP(TAB_AMORTIZACAO_U[[#This Row],[DT_EVE]], TAB_AMORTIZACAO_U[[DT_EVE]:[V_PU_AMTC]], 2, FALSE), 0)</f>
        <v>653.09256800000003</v>
      </c>
      <c r="K396" s="48">
        <f>NETWORKDAYS(DT_CALCULO_U, TAB_AMORTIZACAO_U[[#This Row],[dt_eve_u]], TAB_FERIADOS[FER_DATA]) -1</f>
        <v>1617</v>
      </c>
      <c r="L396" s="48">
        <f>NETWORKDAYS(DT_CALCULO_U, TAB_AMORTIZACAO_U[[#This Row],[dt_lqdc_eve_u]], TAB_FERIADOS[FER_DATA]) -1</f>
        <v>1621</v>
      </c>
      <c r="M396" s="48">
        <f>NETWORKDAYS(IF(ISTEXT(G395), DT_B_CORC, G395), TAB_AMORTIZACAO_U[[#This Row],[dt_eve_u]], TAB_FERIADOS[FER_DATA]) -1</f>
        <v>22</v>
      </c>
      <c r="N396" s="78">
        <f>(TX_EMISSAO/100 +1)^(TAB_AMORTIZACAO_U[[#This Row],[dias_periodo_u]]/252)</f>
        <v>1.0021580294747356</v>
      </c>
      <c r="O396" s="78">
        <f>(TIR_U/100 +1)^(TAB_AMORTIZACAO_U[[#This Row],[Q_DIAS_U_PARC_TIR]]/252)</f>
        <v>1.1721659976106975</v>
      </c>
      <c r="P396" s="116" t="str">
        <f>"TX_CENARIO" &amp; TEXT(DT_CALCULO_C, "-AAAAMMDD") &amp; TEXT(TAB_AMORTIZACAO_U[[#This Row],[DT_EVE]], "-AAAAMMDD")</f>
        <v>TX_CENARIO-20151228-20220608</v>
      </c>
      <c r="Q396" s="44">
        <f>IFERROR(VLOOKUP(TAB_AMORTIZACAO_U[[#This Row],[Chave-CENARIO]],CENARIO[],2,FALSE), 0)</f>
        <v>16.419</v>
      </c>
      <c r="R396" s="117" t="str">
        <f t="shared" si="10"/>
        <v>n/a</v>
      </c>
      <c r="S396" s="49" t="str">
        <f t="shared" si="10"/>
        <v>n/a</v>
      </c>
      <c r="T396" s="78">
        <f>IF(TAB_AMORTIZACAO_U[[#This Row],[Q_DIAS_U_PARC_TIR]]&lt;0, 0, TAB_AMORTIZACAO_U[[#This Row],[PU_AMORT]])</f>
        <v>653.09256800000003</v>
      </c>
      <c r="U396" s="78">
        <f>MAX(0, TAB_AMORTIZACAO_U[[#This Row],[V_FUT_U_PCPL-01]]/((((TAB_AMORTIZACAO_U[[#This Row],[TX_CENARIO]]/100 +1)^(1/252) -1) * PC_IDXR/100 +1)^TAB_AMORTIZACAO_U[[#This Row],[Q_DIAS_U_PARC_TIR]]))</f>
        <v>245.62559124858288</v>
      </c>
      <c r="V396" s="78">
        <f>+TAB_AMORTIZACAO_U[[#This Row],[V_FUT_U_PCPL-02]]/TAB_AMORTIZACAO_U[[#This Row],[VAR_DESCAP_U]]</f>
        <v>209.54846988332503</v>
      </c>
      <c r="W396" s="78"/>
      <c r="X396" s="101">
        <f>TAB_AMORTIZACAO_U[[#This Row],[dt_eve_u]]- DT_CALCULO_C</f>
        <v>2354</v>
      </c>
      <c r="Y396" s="49" t="str">
        <f t="shared" si="11"/>
        <v>n/a</v>
      </c>
      <c r="Z396" s="49" t="str">
        <f t="shared" si="11"/>
        <v>n/a</v>
      </c>
      <c r="AA396" s="44">
        <f>TAB_AMORTIZACAO_U[[#This Row],[V_PU_AMTC]]</f>
        <v>653.09256800000003</v>
      </c>
      <c r="AB396" s="44">
        <f>(TIR_C/100 +1)^(TAB_AMORTIZACAO_C[[#This Row],[DIAS_CORRIDOS]]/360)</f>
        <v>1.1725484135977122</v>
      </c>
      <c r="AC396" s="44">
        <f>IF(TAB_AMORTIZACAO_C[[#This Row],[DIAS_CORRIDOS]]&lt;0, 0, TAB_AMORTIZACAO_C[[#This Row],[V_FUT_C_PCPL]]/TAB_AMORTIZACAO_C[[#This Row],[VAR_DESCAP_C]])</f>
        <v>556.98558833585912</v>
      </c>
      <c r="AD396" s="115">
        <f>TAB_AMORTIZACAO_U[[#This Row],[V_FUT_U_PCPL-02]]</f>
        <v>245.62559124858288</v>
      </c>
      <c r="AE396" s="127">
        <f>IF(TAB_AMORTIZACAO_C[[#This Row],[DIAS_CORRIDOS]]&lt;0, 0, TAB_AMORTIZACAO_C[[#This Row],[V_FUT_UTEIS]]/TAB_AMORTIZACAO_C[[#This Row],[VAR_DESCAP_C]])</f>
        <v>209.48012755817362</v>
      </c>
      <c r="AF396" s="64"/>
    </row>
    <row r="397" spans="1:32">
      <c r="A397" s="82">
        <f t="shared" si="12"/>
        <v>79</v>
      </c>
      <c r="B397" s="24">
        <f>VLOOKUP($A397, CAD_AMORTIZACAO[#Data], MATCH(B$318, CAD_ATUALIZACAO[#Headers],0), FALSE)</f>
        <v>4</v>
      </c>
      <c r="C397" s="24" t="str">
        <f>VLOOKUP($A397, CAD_AMORTIZACAO[#Data], MATCH(C$318, CAD_ATUALIZACAO[#Headers],0), FALSE)</f>
        <v xml:space="preserve">AMORTIZACAO                                       </v>
      </c>
      <c r="D397" s="36">
        <f>VLOOKUP($A397, CAD_AMORTIZACAO[#Data], MATCH(D$318, CAD_ATUALIZACAO[#Headers],0), FALSE)</f>
        <v>44750</v>
      </c>
      <c r="E397" s="48">
        <f>VLOOKUP($A397, CAD_AMORTIZACAO[#Data], MATCH(E$318, CAD_ATUALIZACAO[#Headers],0), FALSE)</f>
        <v>649.46098400000005</v>
      </c>
      <c r="F397" s="36">
        <f>VLOOKUP($A397, CAD_AMORTIZACAO[#Data], MATCH(F$318, CAD_ATUALIZACAO[#Headers],0), FALSE)</f>
        <v>44756</v>
      </c>
      <c r="G397" s="47">
        <f>WORKDAY(WORKDAY(TAB_AMORTIZACAO_U[[#This Row],[DT_EVE]], -1, TAB_FERIADOS[FER_DATA]), 1, TAB_FERIADOS[FER_DATA])</f>
        <v>44750</v>
      </c>
      <c r="H397" s="75">
        <f>WORKDAY(WORKDAY(TAB_AMORTIZACAO_U[[#This Row],[DT_LQDC_EVE]], -1, TAB_FERIADOS[FER_DATA]), 1, TAB_FERIADOS[FER_DATA])</f>
        <v>44756</v>
      </c>
      <c r="I397" s="48">
        <f>PU_EMISSAO - SUMIF(TAB_AMORTIZACAO_U[dt_eve_u], "&lt;" &amp; TAB_AMORTIZACAO_U[[#This Row],[dt_eve_u]], TAB_AMORTIZACAO_U[V_PU_AMTC])</f>
        <v>37673.936079000036</v>
      </c>
      <c r="J397" s="48">
        <f>IFERROR(VLOOKUP(TAB_AMORTIZACAO_U[[#This Row],[DT_EVE]], TAB_AMORTIZACAO_U[[DT_EVE]:[V_PU_AMTC]], 2, FALSE), 0)</f>
        <v>649.46098400000005</v>
      </c>
      <c r="K397" s="48">
        <f>NETWORKDAYS(DT_CALCULO_U, TAB_AMORTIZACAO_U[[#This Row],[dt_eve_u]], TAB_FERIADOS[FER_DATA]) -1</f>
        <v>1638</v>
      </c>
      <c r="L397" s="48">
        <f>NETWORKDAYS(DT_CALCULO_U, TAB_AMORTIZACAO_U[[#This Row],[dt_lqdc_eve_u]], TAB_FERIADOS[FER_DATA]) -1</f>
        <v>1642</v>
      </c>
      <c r="M397" s="48">
        <f>NETWORKDAYS(IF(ISTEXT(G396), DT_B_CORC, G396), TAB_AMORTIZACAO_U[[#This Row],[dt_eve_u]], TAB_FERIADOS[FER_DATA]) -1</f>
        <v>21</v>
      </c>
      <c r="N397" s="78">
        <f>(TX_EMISSAO/100 +1)^(TAB_AMORTIZACAO_U[[#This Row],[dias_periodo_u]]/252)</f>
        <v>1.0020598362698427</v>
      </c>
      <c r="O397" s="78">
        <f>(TIR_U/100 +1)^(TAB_AMORTIZACAO_U[[#This Row],[Q_DIAS_U_PARC_TIR]]/252)</f>
        <v>1.174580727957488</v>
      </c>
      <c r="P397" s="116" t="str">
        <f>"TX_CENARIO" &amp; TEXT(DT_CALCULO_C, "-AAAAMMDD") &amp; TEXT(TAB_AMORTIZACAO_U[[#This Row],[DT_EVE]], "-AAAAMMDD")</f>
        <v>TX_CENARIO-20151228-20220708</v>
      </c>
      <c r="Q397" s="44">
        <f>IFERROR(VLOOKUP(TAB_AMORTIZACAO_U[[#This Row],[Chave-CENARIO]],CENARIO[],2,FALSE), 0)</f>
        <v>16.4162</v>
      </c>
      <c r="R397" s="117" t="str">
        <f t="shared" si="10"/>
        <v>n/a</v>
      </c>
      <c r="S397" s="49" t="str">
        <f t="shared" si="10"/>
        <v>n/a</v>
      </c>
      <c r="T397" s="78">
        <f>IF(TAB_AMORTIZACAO_U[[#This Row],[Q_DIAS_U_PARC_TIR]]&lt;0, 0, TAB_AMORTIZACAO_U[[#This Row],[PU_AMORT]])</f>
        <v>649.46098400000005</v>
      </c>
      <c r="U397" s="78">
        <f>MAX(0, TAB_AMORTIZACAO_U[[#This Row],[V_FUT_U_PCPL-01]]/((((TAB_AMORTIZACAO_U[[#This Row],[TX_CENARIO]]/100 +1)^(1/252) -1) * PC_IDXR/100 +1)^TAB_AMORTIZACAO_U[[#This Row],[Q_DIAS_U_PARC_TIR]]))</f>
        <v>241.22260859842254</v>
      </c>
      <c r="V397" s="78">
        <f>+TAB_AMORTIZACAO_U[[#This Row],[V_FUT_U_PCPL-02]]/TAB_AMORTIZACAO_U[[#This Row],[VAR_DESCAP_U]]</f>
        <v>205.3691184069497</v>
      </c>
      <c r="W397" s="78"/>
      <c r="X397" s="101">
        <f>TAB_AMORTIZACAO_U[[#This Row],[dt_eve_u]]- DT_CALCULO_C</f>
        <v>2384</v>
      </c>
      <c r="Y397" s="49" t="str">
        <f t="shared" si="11"/>
        <v>n/a</v>
      </c>
      <c r="Z397" s="49" t="str">
        <f t="shared" si="11"/>
        <v>n/a</v>
      </c>
      <c r="AA397" s="44">
        <f>TAB_AMORTIZACAO_U[[#This Row],[V_PU_AMTC]]</f>
        <v>649.46098400000005</v>
      </c>
      <c r="AB397" s="44">
        <f>(TIR_C/100 +1)^(TAB_AMORTIZACAO_C[[#This Row],[DIAS_CORRIDOS]]/360)</f>
        <v>1.1749294900053489</v>
      </c>
      <c r="AC397" s="44">
        <f>IF(TAB_AMORTIZACAO_C[[#This Row],[DIAS_CORRIDOS]]&lt;0, 0, TAB_AMORTIZACAO_C[[#This Row],[V_FUT_C_PCPL]]/TAB_AMORTIZACAO_C[[#This Row],[VAR_DESCAP_C]])</f>
        <v>552.76592299767992</v>
      </c>
      <c r="AD397" s="115">
        <f>TAB_AMORTIZACAO_U[[#This Row],[V_FUT_U_PCPL-02]]</f>
        <v>241.22260859842254</v>
      </c>
      <c r="AE397" s="127">
        <f>IF(TAB_AMORTIZACAO_C[[#This Row],[DIAS_CORRIDOS]]&lt;0, 0, TAB_AMORTIZACAO_C[[#This Row],[V_FUT_UTEIS]]/TAB_AMORTIZACAO_C[[#This Row],[VAR_DESCAP_C]])</f>
        <v>205.30815734084976</v>
      </c>
      <c r="AF397" s="64"/>
    </row>
    <row r="398" spans="1:32">
      <c r="A398" s="82">
        <f t="shared" si="12"/>
        <v>80</v>
      </c>
      <c r="B398" s="24">
        <f>VLOOKUP($A398, CAD_AMORTIZACAO[#Data], MATCH(B$318, CAD_ATUALIZACAO[#Headers],0), FALSE)</f>
        <v>4</v>
      </c>
      <c r="C398" s="24" t="str">
        <f>VLOOKUP($A398, CAD_AMORTIZACAO[#Data], MATCH(C$318, CAD_ATUALIZACAO[#Headers],0), FALSE)</f>
        <v xml:space="preserve">AMORTIZACAO                                       </v>
      </c>
      <c r="D398" s="36">
        <f>VLOOKUP($A398, CAD_AMORTIZACAO[#Data], MATCH(D$318, CAD_ATUALIZACAO[#Headers],0), FALSE)</f>
        <v>44781</v>
      </c>
      <c r="E398" s="48">
        <f>VLOOKUP($A398, CAD_AMORTIZACAO[#Data], MATCH(E$318, CAD_ATUALIZACAO[#Headers],0), FALSE)</f>
        <v>641.93034899999998</v>
      </c>
      <c r="F398" s="36">
        <f>VLOOKUP($A398, CAD_AMORTIZACAO[#Data], MATCH(F$318, CAD_ATUALIZACAO[#Headers],0), FALSE)</f>
        <v>44785</v>
      </c>
      <c r="G398" s="47">
        <f>WORKDAY(WORKDAY(TAB_AMORTIZACAO_U[[#This Row],[DT_EVE]], -1, TAB_FERIADOS[FER_DATA]), 1, TAB_FERIADOS[FER_DATA])</f>
        <v>44781</v>
      </c>
      <c r="H398" s="75">
        <f>WORKDAY(WORKDAY(TAB_AMORTIZACAO_U[[#This Row],[DT_LQDC_EVE]], -1, TAB_FERIADOS[FER_DATA]), 1, TAB_FERIADOS[FER_DATA])</f>
        <v>44785</v>
      </c>
      <c r="I398" s="48">
        <f>PU_EMISSAO - SUMIF(TAB_AMORTIZACAO_U[dt_eve_u], "&lt;" &amp; TAB_AMORTIZACAO_U[[#This Row],[dt_eve_u]], TAB_AMORTIZACAO_U[V_PU_AMTC])</f>
        <v>37024.475095000038</v>
      </c>
      <c r="J398" s="48">
        <f>IFERROR(VLOOKUP(TAB_AMORTIZACAO_U[[#This Row],[DT_EVE]], TAB_AMORTIZACAO_U[[DT_EVE]:[V_PU_AMTC]], 2, FALSE), 0)</f>
        <v>641.93034899999998</v>
      </c>
      <c r="K398" s="48">
        <f>NETWORKDAYS(DT_CALCULO_U, TAB_AMORTIZACAO_U[[#This Row],[dt_eve_u]], TAB_FERIADOS[FER_DATA]) -1</f>
        <v>1659</v>
      </c>
      <c r="L398" s="48">
        <f>NETWORKDAYS(DT_CALCULO_U, TAB_AMORTIZACAO_U[[#This Row],[dt_lqdc_eve_u]], TAB_FERIADOS[FER_DATA]) -1</f>
        <v>1663</v>
      </c>
      <c r="M398" s="48">
        <f>NETWORKDAYS(IF(ISTEXT(G397), DT_B_CORC, G397), TAB_AMORTIZACAO_U[[#This Row],[dt_eve_u]], TAB_FERIADOS[FER_DATA]) -1</f>
        <v>21</v>
      </c>
      <c r="N398" s="78">
        <f>(TX_EMISSAO/100 +1)^(TAB_AMORTIZACAO_U[[#This Row],[dias_periodo_u]]/252)</f>
        <v>1.0020598362698427</v>
      </c>
      <c r="O398" s="78">
        <f>(TIR_U/100 +1)^(TAB_AMORTIZACAO_U[[#This Row],[Q_DIAS_U_PARC_TIR]]/252)</f>
        <v>1.1770004327896839</v>
      </c>
      <c r="P398" s="116" t="str">
        <f>"TX_CENARIO" &amp; TEXT(DT_CALCULO_C, "-AAAAMMDD") &amp; TEXT(TAB_AMORTIZACAO_U[[#This Row],[DT_EVE]], "-AAAAMMDD")</f>
        <v>TX_CENARIO-20151228-20220808</v>
      </c>
      <c r="Q398" s="44">
        <f>IFERROR(VLOOKUP(TAB_AMORTIZACAO_U[[#This Row],[Chave-CENARIO]],CENARIO[],2,FALSE), 0)</f>
        <v>16.413399999999999</v>
      </c>
      <c r="R398" s="117" t="str">
        <f t="shared" si="10"/>
        <v>n/a</v>
      </c>
      <c r="S398" s="49" t="str">
        <f t="shared" si="10"/>
        <v>n/a</v>
      </c>
      <c r="T398" s="78">
        <f>IF(TAB_AMORTIZACAO_U[[#This Row],[Q_DIAS_U_PARC_TIR]]&lt;0, 0, TAB_AMORTIZACAO_U[[#This Row],[PU_AMORT]])</f>
        <v>641.93034899999998</v>
      </c>
      <c r="U398" s="78">
        <f>MAX(0, TAB_AMORTIZACAO_U[[#This Row],[V_FUT_U_PCPL-01]]/((((TAB_AMORTIZACAO_U[[#This Row],[TX_CENARIO]]/100 +1)^(1/252) -1) * PC_IDXR/100 +1)^TAB_AMORTIZACAO_U[[#This Row],[Q_DIAS_U_PARC_TIR]]))</f>
        <v>235.46191218063603</v>
      </c>
      <c r="V398" s="78">
        <f>+TAB_AMORTIZACAO_U[[#This Row],[V_FUT_U_PCPL-02]]/TAB_AMORTIZACAO_U[[#This Row],[VAR_DESCAP_U]]</f>
        <v>200.05252812231575</v>
      </c>
      <c r="W398" s="78"/>
      <c r="X398" s="101">
        <f>TAB_AMORTIZACAO_U[[#This Row],[dt_eve_u]]- DT_CALCULO_C</f>
        <v>2415</v>
      </c>
      <c r="Y398" s="49" t="str">
        <f t="shared" si="11"/>
        <v>n/a</v>
      </c>
      <c r="Z398" s="49" t="str">
        <f t="shared" si="11"/>
        <v>n/a</v>
      </c>
      <c r="AA398" s="44">
        <f>TAB_AMORTIZACAO_U[[#This Row],[V_PU_AMTC]]</f>
        <v>641.93034899999998</v>
      </c>
      <c r="AB398" s="44">
        <f>(TIR_C/100 +1)^(TAB_AMORTIZACAO_C[[#This Row],[DIAS_CORRIDOS]]/360)</f>
        <v>1.1773950154041695</v>
      </c>
      <c r="AC398" s="44">
        <f>IF(TAB_AMORTIZACAO_C[[#This Row],[DIAS_CORRIDOS]]&lt;0, 0, TAB_AMORTIZACAO_C[[#This Row],[V_FUT_C_PCPL]]/TAB_AMORTIZACAO_C[[#This Row],[VAR_DESCAP_C]])</f>
        <v>545.21238887667766</v>
      </c>
      <c r="AD398" s="115">
        <f>TAB_AMORTIZACAO_U[[#This Row],[V_FUT_U_PCPL-02]]</f>
        <v>235.46191218063603</v>
      </c>
      <c r="AE398" s="127">
        <f>IF(TAB_AMORTIZACAO_C[[#This Row],[DIAS_CORRIDOS]]&lt;0, 0, TAB_AMORTIZACAO_C[[#This Row],[V_FUT_UTEIS]]/TAB_AMORTIZACAO_C[[#This Row],[VAR_DESCAP_C]])</f>
        <v>199.9854841408582</v>
      </c>
      <c r="AF398" s="64"/>
    </row>
    <row r="399" spans="1:32">
      <c r="A399" s="82">
        <f t="shared" si="12"/>
        <v>81</v>
      </c>
      <c r="B399" s="24">
        <f>VLOOKUP($A399, CAD_AMORTIZACAO[#Data], MATCH(B$318, CAD_ATUALIZACAO[#Headers],0), FALSE)</f>
        <v>4</v>
      </c>
      <c r="C399" s="24" t="str">
        <f>VLOOKUP($A399, CAD_AMORTIZACAO[#Data], MATCH(C$318, CAD_ATUALIZACAO[#Headers],0), FALSE)</f>
        <v xml:space="preserve">AMORTIZACAO                                       </v>
      </c>
      <c r="D399" s="36">
        <f>VLOOKUP($A399, CAD_AMORTIZACAO[#Data], MATCH(D$318, CAD_ATUALIZACAO[#Headers],0), FALSE)</f>
        <v>44813</v>
      </c>
      <c r="E399" s="48">
        <f>VLOOKUP($A399, CAD_AMORTIZACAO[#Data], MATCH(E$318, CAD_ATUALIZACAO[#Headers],0), FALSE)</f>
        <v>626.94401100000005</v>
      </c>
      <c r="F399" s="36">
        <f>VLOOKUP($A399, CAD_AMORTIZACAO[#Data], MATCH(F$318, CAD_ATUALIZACAO[#Headers],0), FALSE)</f>
        <v>44819</v>
      </c>
      <c r="G399" s="47">
        <f>WORKDAY(WORKDAY(TAB_AMORTIZACAO_U[[#This Row],[DT_EVE]], -1, TAB_FERIADOS[FER_DATA]), 1, TAB_FERIADOS[FER_DATA])</f>
        <v>44813</v>
      </c>
      <c r="H399" s="75">
        <f>WORKDAY(WORKDAY(TAB_AMORTIZACAO_U[[#This Row],[DT_LQDC_EVE]], -1, TAB_FERIADOS[FER_DATA]), 1, TAB_FERIADOS[FER_DATA])</f>
        <v>44819</v>
      </c>
      <c r="I399" s="48">
        <f>PU_EMISSAO - SUMIF(TAB_AMORTIZACAO_U[dt_eve_u], "&lt;" &amp; TAB_AMORTIZACAO_U[[#This Row],[dt_eve_u]], TAB_AMORTIZACAO_U[V_PU_AMTC])</f>
        <v>36382.544746000036</v>
      </c>
      <c r="J399" s="48">
        <f>IFERROR(VLOOKUP(TAB_AMORTIZACAO_U[[#This Row],[DT_EVE]], TAB_AMORTIZACAO_U[[DT_EVE]:[V_PU_AMTC]], 2, FALSE), 0)</f>
        <v>626.94401100000005</v>
      </c>
      <c r="K399" s="48">
        <f>NETWORKDAYS(DT_CALCULO_U, TAB_AMORTIZACAO_U[[#This Row],[dt_eve_u]], TAB_FERIADOS[FER_DATA]) -1</f>
        <v>1682</v>
      </c>
      <c r="L399" s="48">
        <f>NETWORKDAYS(DT_CALCULO_U, TAB_AMORTIZACAO_U[[#This Row],[dt_lqdc_eve_u]], TAB_FERIADOS[FER_DATA]) -1</f>
        <v>1686</v>
      </c>
      <c r="M399" s="48">
        <f>NETWORKDAYS(IF(ISTEXT(G398), DT_B_CORC, G398), TAB_AMORTIZACAO_U[[#This Row],[dt_eve_u]], TAB_FERIADOS[FER_DATA]) -1</f>
        <v>23</v>
      </c>
      <c r="N399" s="78">
        <f>(TX_EMISSAO/100 +1)^(TAB_AMORTIZACAO_U[[#This Row],[dias_periodo_u]]/252)</f>
        <v>1.0022562323017139</v>
      </c>
      <c r="O399" s="78">
        <f>(TIR_U/100 +1)^(TAB_AMORTIZACAO_U[[#This Row],[Q_DIAS_U_PARC_TIR]]/252)</f>
        <v>1.1796563055193754</v>
      </c>
      <c r="P399" s="116" t="str">
        <f>"TX_CENARIO" &amp; TEXT(DT_CALCULO_C, "-AAAAMMDD") &amp; TEXT(TAB_AMORTIZACAO_U[[#This Row],[DT_EVE]], "-AAAAMMDD")</f>
        <v>TX_CENARIO-20151228-20220909</v>
      </c>
      <c r="Q399" s="44">
        <f>IFERROR(VLOOKUP(TAB_AMORTIZACAO_U[[#This Row],[Chave-CENARIO]],CENARIO[],2,FALSE), 0)</f>
        <v>16.410399999999999</v>
      </c>
      <c r="R399" s="117" t="str">
        <f t="shared" ref="R399:S462" si="13">"n/a"</f>
        <v>n/a</v>
      </c>
      <c r="S399" s="49" t="str">
        <f t="shared" si="13"/>
        <v>n/a</v>
      </c>
      <c r="T399" s="78">
        <f>IF(TAB_AMORTIZACAO_U[[#This Row],[Q_DIAS_U_PARC_TIR]]&lt;0, 0, TAB_AMORTIZACAO_U[[#This Row],[PU_AMORT]])</f>
        <v>626.94401100000005</v>
      </c>
      <c r="U399" s="78">
        <f>MAX(0, TAB_AMORTIZACAO_U[[#This Row],[V_FUT_U_PCPL-01]]/((((TAB_AMORTIZACAO_U[[#This Row],[TX_CENARIO]]/100 +1)^(1/252) -1) * PC_IDXR/100 +1)^TAB_AMORTIZACAO_U[[#This Row],[Q_DIAS_U_PARC_TIR]]))</f>
        <v>226.83617477578292</v>
      </c>
      <c r="V399" s="78">
        <f>+TAB_AMORTIZACAO_U[[#This Row],[V_FUT_U_PCPL-02]]/TAB_AMORTIZACAO_U[[#This Row],[VAR_DESCAP_U]]</f>
        <v>192.29005407292101</v>
      </c>
      <c r="W399" s="78"/>
      <c r="X399" s="101">
        <f>TAB_AMORTIZACAO_U[[#This Row],[dt_eve_u]]- DT_CALCULO_C</f>
        <v>2447</v>
      </c>
      <c r="Y399" s="49" t="str">
        <f t="shared" ref="Y399:Z462" si="14">"n/a"</f>
        <v>n/a</v>
      </c>
      <c r="Z399" s="49" t="str">
        <f t="shared" si="14"/>
        <v>n/a</v>
      </c>
      <c r="AA399" s="44">
        <f>TAB_AMORTIZACAO_U[[#This Row],[V_PU_AMTC]]</f>
        <v>626.94401100000005</v>
      </c>
      <c r="AB399" s="44">
        <f>(TIR_C/100 +1)^(TAB_AMORTIZACAO_C[[#This Row],[DIAS_CORRIDOS]]/360)</f>
        <v>1.1799455008088231</v>
      </c>
      <c r="AC399" s="44">
        <f>IF(TAB_AMORTIZACAO_C[[#This Row],[DIAS_CORRIDOS]]&lt;0, 0, TAB_AMORTIZACAO_C[[#This Row],[V_FUT_C_PCPL]]/TAB_AMORTIZACAO_C[[#This Row],[VAR_DESCAP_C]])</f>
        <v>531.33302391529571</v>
      </c>
      <c r="AD399" s="115">
        <f>TAB_AMORTIZACAO_U[[#This Row],[V_FUT_U_PCPL-02]]</f>
        <v>226.83617477578292</v>
      </c>
      <c r="AE399" s="127">
        <f>IF(TAB_AMORTIZACAO_C[[#This Row],[DIAS_CORRIDOS]]&lt;0, 0, TAB_AMORTIZACAO_C[[#This Row],[V_FUT_UTEIS]]/TAB_AMORTIZACAO_C[[#This Row],[VAR_DESCAP_C]])</f>
        <v>192.24292530484874</v>
      </c>
      <c r="AF399" s="64"/>
    </row>
    <row r="400" spans="1:32">
      <c r="A400" s="82">
        <f t="shared" si="12"/>
        <v>82</v>
      </c>
      <c r="B400" s="24">
        <f>VLOOKUP($A400, CAD_AMORTIZACAO[#Data], MATCH(B$318, CAD_ATUALIZACAO[#Headers],0), FALSE)</f>
        <v>4</v>
      </c>
      <c r="C400" s="24" t="str">
        <f>VLOOKUP($A400, CAD_AMORTIZACAO[#Data], MATCH(C$318, CAD_ATUALIZACAO[#Headers],0), FALSE)</f>
        <v xml:space="preserve">AMORTIZACAO                                       </v>
      </c>
      <c r="D400" s="36">
        <f>VLOOKUP($A400, CAD_AMORTIZACAO[#Data], MATCH(D$318, CAD_ATUALIZACAO[#Headers],0), FALSE)</f>
        <v>44845</v>
      </c>
      <c r="E400" s="48">
        <f>VLOOKUP($A400, CAD_AMORTIZACAO[#Data], MATCH(E$318, CAD_ATUALIZACAO[#Headers],0), FALSE)</f>
        <v>626.83143600000005</v>
      </c>
      <c r="F400" s="36">
        <f>VLOOKUP($A400, CAD_AMORTIZACAO[#Data], MATCH(F$318, CAD_ATUALIZACAO[#Headers],0), FALSE)</f>
        <v>44851</v>
      </c>
      <c r="G400" s="47">
        <f>WORKDAY(WORKDAY(TAB_AMORTIZACAO_U[[#This Row],[DT_EVE]], -1, TAB_FERIADOS[FER_DATA]), 1, TAB_FERIADOS[FER_DATA])</f>
        <v>44845</v>
      </c>
      <c r="H400" s="75">
        <f>WORKDAY(WORKDAY(TAB_AMORTIZACAO_U[[#This Row],[DT_LQDC_EVE]], -1, TAB_FERIADOS[FER_DATA]), 1, TAB_FERIADOS[FER_DATA])</f>
        <v>44851</v>
      </c>
      <c r="I400" s="48">
        <f>PU_EMISSAO - SUMIF(TAB_AMORTIZACAO_U[dt_eve_u], "&lt;" &amp; TAB_AMORTIZACAO_U[[#This Row],[dt_eve_u]], TAB_AMORTIZACAO_U[V_PU_AMTC])</f>
        <v>35755.600735000036</v>
      </c>
      <c r="J400" s="48">
        <f>IFERROR(VLOOKUP(TAB_AMORTIZACAO_U[[#This Row],[DT_EVE]], TAB_AMORTIZACAO_U[[DT_EVE]:[V_PU_AMTC]], 2, FALSE), 0)</f>
        <v>626.83143600000005</v>
      </c>
      <c r="K400" s="48">
        <f>NETWORKDAYS(DT_CALCULO_U, TAB_AMORTIZACAO_U[[#This Row],[dt_eve_u]], TAB_FERIADOS[FER_DATA]) -1</f>
        <v>1704</v>
      </c>
      <c r="L400" s="48">
        <f>NETWORKDAYS(DT_CALCULO_U, TAB_AMORTIZACAO_U[[#This Row],[dt_lqdc_eve_u]], TAB_FERIADOS[FER_DATA]) -1</f>
        <v>1707</v>
      </c>
      <c r="M400" s="48">
        <f>NETWORKDAYS(IF(ISTEXT(G399), DT_B_CORC, G399), TAB_AMORTIZACAO_U[[#This Row],[dt_eve_u]], TAB_FERIADOS[FER_DATA]) -1</f>
        <v>22</v>
      </c>
      <c r="N400" s="78">
        <f>(TX_EMISSAO/100 +1)^(TAB_AMORTIZACAO_U[[#This Row],[dias_periodo_u]]/252)</f>
        <v>1.0021580294747356</v>
      </c>
      <c r="O400" s="78">
        <f>(TIR_U/100 +1)^(TAB_AMORTIZACAO_U[[#This Row],[Q_DIAS_U_PARC_TIR]]/252)</f>
        <v>1.1820864663374906</v>
      </c>
      <c r="P400" s="116" t="str">
        <f>"TX_CENARIO" &amp; TEXT(DT_CALCULO_C, "-AAAAMMDD") &amp; TEXT(TAB_AMORTIZACAO_U[[#This Row],[DT_EVE]], "-AAAAMMDD")</f>
        <v>TX_CENARIO-20151228-20221011</v>
      </c>
      <c r="Q400" s="44">
        <f>IFERROR(VLOOKUP(TAB_AMORTIZACAO_U[[#This Row],[Chave-CENARIO]],CENARIO[],2,FALSE), 0)</f>
        <v>16.407699999999998</v>
      </c>
      <c r="R400" s="117" t="str">
        <f t="shared" si="13"/>
        <v>n/a</v>
      </c>
      <c r="S400" s="49" t="str">
        <f t="shared" si="13"/>
        <v>n/a</v>
      </c>
      <c r="T400" s="78">
        <f>IF(TAB_AMORTIZACAO_U[[#This Row],[Q_DIAS_U_PARC_TIR]]&lt;0, 0, TAB_AMORTIZACAO_U[[#This Row],[PU_AMORT]])</f>
        <v>626.83143600000005</v>
      </c>
      <c r="U400" s="78">
        <f>MAX(0, TAB_AMORTIZACAO_U[[#This Row],[V_FUT_U_PCPL-01]]/((((TAB_AMORTIZACAO_U[[#This Row],[TX_CENARIO]]/100 +1)^(1/252) -1) * PC_IDXR/100 +1)^TAB_AMORTIZACAO_U[[#This Row],[Q_DIAS_U_PARC_TIR]]))</f>
        <v>223.97690715830296</v>
      </c>
      <c r="V400" s="78">
        <f>+TAB_AMORTIZACAO_U[[#This Row],[V_FUT_U_PCPL-02]]/TAB_AMORTIZACAO_U[[#This Row],[VAR_DESCAP_U]]</f>
        <v>189.47590851983972</v>
      </c>
      <c r="W400" s="78"/>
      <c r="X400" s="101">
        <f>TAB_AMORTIZACAO_U[[#This Row],[dt_eve_u]]- DT_CALCULO_C</f>
        <v>2479</v>
      </c>
      <c r="Y400" s="49" t="str">
        <f t="shared" si="14"/>
        <v>n/a</v>
      </c>
      <c r="Z400" s="49" t="str">
        <f t="shared" si="14"/>
        <v>n/a</v>
      </c>
      <c r="AA400" s="44">
        <f>TAB_AMORTIZACAO_U[[#This Row],[V_PU_AMTC]]</f>
        <v>626.83143600000005</v>
      </c>
      <c r="AB400" s="44">
        <f>(TIR_C/100 +1)^(TAB_AMORTIZACAO_C[[#This Row],[DIAS_CORRIDOS]]/360)</f>
        <v>1.1825015111016528</v>
      </c>
      <c r="AC400" s="44">
        <f>IF(TAB_AMORTIZACAO_C[[#This Row],[DIAS_CORRIDOS]]&lt;0, 0, TAB_AMORTIZACAO_C[[#This Row],[V_FUT_C_PCPL]]/TAB_AMORTIZACAO_C[[#This Row],[VAR_DESCAP_C]])</f>
        <v>530.08933190793618</v>
      </c>
      <c r="AD400" s="115">
        <f>TAB_AMORTIZACAO_U[[#This Row],[V_FUT_U_PCPL-02]]</f>
        <v>223.97690715830296</v>
      </c>
      <c r="AE400" s="127">
        <f>IF(TAB_AMORTIZACAO_C[[#This Row],[DIAS_CORRIDOS]]&lt;0, 0, TAB_AMORTIZACAO_C[[#This Row],[V_FUT_UTEIS]]/TAB_AMORTIZACAO_C[[#This Row],[VAR_DESCAP_C]])</f>
        <v>189.40940460163941</v>
      </c>
      <c r="AF400" s="64"/>
    </row>
    <row r="401" spans="1:32">
      <c r="A401" s="82">
        <f t="shared" si="12"/>
        <v>83</v>
      </c>
      <c r="B401" s="24">
        <f>VLOOKUP($A401, CAD_AMORTIZACAO[#Data], MATCH(B$318, CAD_ATUALIZACAO[#Headers],0), FALSE)</f>
        <v>4</v>
      </c>
      <c r="C401" s="24" t="str">
        <f>VLOOKUP($A401, CAD_AMORTIZACAO[#Data], MATCH(C$318, CAD_ATUALIZACAO[#Headers],0), FALSE)</f>
        <v xml:space="preserve">AMORTIZACAO                                       </v>
      </c>
      <c r="D401" s="36">
        <f>VLOOKUP($A401, CAD_AMORTIZACAO[#Data], MATCH(D$318, CAD_ATUALIZACAO[#Headers],0), FALSE)</f>
        <v>44875</v>
      </c>
      <c r="E401" s="48">
        <f>VLOOKUP($A401, CAD_AMORTIZACAO[#Data], MATCH(E$318, CAD_ATUALIZACAO[#Headers],0), FALSE)</f>
        <v>623.46539700000005</v>
      </c>
      <c r="F401" s="36">
        <f>VLOOKUP($A401, CAD_AMORTIZACAO[#Data], MATCH(F$318, CAD_ATUALIZACAO[#Headers],0), FALSE)</f>
        <v>44881</v>
      </c>
      <c r="G401" s="47">
        <f>WORKDAY(WORKDAY(TAB_AMORTIZACAO_U[[#This Row],[DT_EVE]], -1, TAB_FERIADOS[FER_DATA]), 1, TAB_FERIADOS[FER_DATA])</f>
        <v>44875</v>
      </c>
      <c r="H401" s="75">
        <f>WORKDAY(WORKDAY(TAB_AMORTIZACAO_U[[#This Row],[DT_LQDC_EVE]], -1, TAB_FERIADOS[FER_DATA]), 1, TAB_FERIADOS[FER_DATA])</f>
        <v>44881</v>
      </c>
      <c r="I401" s="48">
        <f>PU_EMISSAO - SUMIF(TAB_AMORTIZACAO_U[dt_eve_u], "&lt;" &amp; TAB_AMORTIZACAO_U[[#This Row],[dt_eve_u]], TAB_AMORTIZACAO_U[V_PU_AMTC])</f>
        <v>35128.769299000036</v>
      </c>
      <c r="J401" s="48">
        <f>IFERROR(VLOOKUP(TAB_AMORTIZACAO_U[[#This Row],[DT_EVE]], TAB_AMORTIZACAO_U[[DT_EVE]:[V_PU_AMTC]], 2, FALSE), 0)</f>
        <v>623.46539700000005</v>
      </c>
      <c r="K401" s="48">
        <f>NETWORKDAYS(DT_CALCULO_U, TAB_AMORTIZACAO_U[[#This Row],[dt_eve_u]], TAB_FERIADOS[FER_DATA]) -1</f>
        <v>1724</v>
      </c>
      <c r="L401" s="48">
        <f>NETWORKDAYS(DT_CALCULO_U, TAB_AMORTIZACAO_U[[#This Row],[dt_lqdc_eve_u]], TAB_FERIADOS[FER_DATA]) -1</f>
        <v>1727</v>
      </c>
      <c r="M401" s="48">
        <f>NETWORKDAYS(IF(ISTEXT(G400), DT_B_CORC, G400), TAB_AMORTIZACAO_U[[#This Row],[dt_eve_u]], TAB_FERIADOS[FER_DATA]) -1</f>
        <v>20</v>
      </c>
      <c r="N401" s="78">
        <f>(TX_EMISSAO/100 +1)^(TAB_AMORTIZACAO_U[[#This Row],[dias_periodo_u]]/252)</f>
        <v>1.0019616526860928</v>
      </c>
      <c r="O401" s="78">
        <f>(TIR_U/100 +1)^(TAB_AMORTIZACAO_U[[#This Row],[Q_DIAS_U_PARC_TIR]]/252)</f>
        <v>1.1844055594179628</v>
      </c>
      <c r="P401" s="116" t="str">
        <f>"TX_CENARIO" &amp; TEXT(DT_CALCULO_C, "-AAAAMMDD") &amp; TEXT(TAB_AMORTIZACAO_U[[#This Row],[DT_EVE]], "-AAAAMMDD")</f>
        <v>TX_CENARIO-20151228-20221110</v>
      </c>
      <c r="Q401" s="44">
        <f>IFERROR(VLOOKUP(TAB_AMORTIZACAO_U[[#This Row],[Chave-CENARIO]],CENARIO[],2,FALSE), 0)</f>
        <v>16.4053</v>
      </c>
      <c r="R401" s="117" t="str">
        <f t="shared" si="13"/>
        <v>n/a</v>
      </c>
      <c r="S401" s="49" t="str">
        <f t="shared" si="13"/>
        <v>n/a</v>
      </c>
      <c r="T401" s="78">
        <f>IF(TAB_AMORTIZACAO_U[[#This Row],[Q_DIAS_U_PARC_TIR]]&lt;0, 0, TAB_AMORTIZACAO_U[[#This Row],[PU_AMORT]])</f>
        <v>623.46539700000005</v>
      </c>
      <c r="U401" s="78">
        <f>MAX(0, TAB_AMORTIZACAO_U[[#This Row],[V_FUT_U_PCPL-01]]/((((TAB_AMORTIZACAO_U[[#This Row],[TX_CENARIO]]/100 +1)^(1/252) -1) * PC_IDXR/100 +1)^TAB_AMORTIZACAO_U[[#This Row],[Q_DIAS_U_PARC_TIR]]))</f>
        <v>220.13522883761379</v>
      </c>
      <c r="V401" s="78">
        <f>+TAB_AMORTIZACAO_U[[#This Row],[V_FUT_U_PCPL-02]]/TAB_AMORTIZACAO_U[[#This Row],[VAR_DESCAP_U]]</f>
        <v>185.86136065233603</v>
      </c>
      <c r="W401" s="78"/>
      <c r="X401" s="101">
        <f>TAB_AMORTIZACAO_U[[#This Row],[dt_eve_u]]- DT_CALCULO_C</f>
        <v>2509</v>
      </c>
      <c r="Y401" s="49" t="str">
        <f t="shared" si="14"/>
        <v>n/a</v>
      </c>
      <c r="Z401" s="49" t="str">
        <f t="shared" si="14"/>
        <v>n/a</v>
      </c>
      <c r="AA401" s="44">
        <f>TAB_AMORTIZACAO_U[[#This Row],[V_PU_AMTC]]</f>
        <v>623.46539700000005</v>
      </c>
      <c r="AB401" s="44">
        <f>(TIR_C/100 +1)^(TAB_AMORTIZACAO_C[[#This Row],[DIAS_CORRIDOS]]/360)</f>
        <v>1.1849027991145202</v>
      </c>
      <c r="AC401" s="44">
        <f>IF(TAB_AMORTIZACAO_C[[#This Row],[DIAS_CORRIDOS]]&lt;0, 0, TAB_AMORTIZACAO_C[[#This Row],[V_FUT_C_PCPL]]/TAB_AMORTIZACAO_C[[#This Row],[VAR_DESCAP_C]])</f>
        <v>526.17429671523837</v>
      </c>
      <c r="AD401" s="115">
        <f>TAB_AMORTIZACAO_U[[#This Row],[V_FUT_U_PCPL-02]]</f>
        <v>220.13522883761379</v>
      </c>
      <c r="AE401" s="127">
        <f>IF(TAB_AMORTIZACAO_C[[#This Row],[DIAS_CORRIDOS]]&lt;0, 0, TAB_AMORTIZACAO_C[[#This Row],[V_FUT_UTEIS]]/TAB_AMORTIZACAO_C[[#This Row],[VAR_DESCAP_C]])</f>
        <v>185.7833646794667</v>
      </c>
      <c r="AF401" s="64"/>
    </row>
    <row r="402" spans="1:32">
      <c r="A402" s="82">
        <f t="shared" si="12"/>
        <v>84</v>
      </c>
      <c r="B402" s="24">
        <f>VLOOKUP($A402, CAD_AMORTIZACAO[#Data], MATCH(B$318, CAD_ATUALIZACAO[#Headers],0), FALSE)</f>
        <v>4</v>
      </c>
      <c r="C402" s="24" t="str">
        <f>VLOOKUP($A402, CAD_AMORTIZACAO[#Data], MATCH(C$318, CAD_ATUALIZACAO[#Headers],0), FALSE)</f>
        <v xml:space="preserve">AMORTIZACAO                                       </v>
      </c>
      <c r="D402" s="36">
        <f>VLOOKUP($A402, CAD_AMORTIZACAO[#Data], MATCH(D$318, CAD_ATUALIZACAO[#Headers],0), FALSE)</f>
        <v>44903</v>
      </c>
      <c r="E402" s="48">
        <f>VLOOKUP($A402, CAD_AMORTIZACAO[#Data], MATCH(E$318, CAD_ATUALIZACAO[#Headers],0), FALSE)</f>
        <v>616.85131699999999</v>
      </c>
      <c r="F402" s="36">
        <f>VLOOKUP($A402, CAD_AMORTIZACAO[#Data], MATCH(F$318, CAD_ATUALIZACAO[#Headers],0), FALSE)</f>
        <v>44909</v>
      </c>
      <c r="G402" s="47">
        <f>WORKDAY(WORKDAY(TAB_AMORTIZACAO_U[[#This Row],[DT_EVE]], -1, TAB_FERIADOS[FER_DATA]), 1, TAB_FERIADOS[FER_DATA])</f>
        <v>44903</v>
      </c>
      <c r="H402" s="75">
        <f>WORKDAY(WORKDAY(TAB_AMORTIZACAO_U[[#This Row],[DT_LQDC_EVE]], -1, TAB_FERIADOS[FER_DATA]), 1, TAB_FERIADOS[FER_DATA])</f>
        <v>44909</v>
      </c>
      <c r="I402" s="48">
        <f>PU_EMISSAO - SUMIF(TAB_AMORTIZACAO_U[dt_eve_u], "&lt;" &amp; TAB_AMORTIZACAO_U[[#This Row],[dt_eve_u]], TAB_AMORTIZACAO_U[V_PU_AMTC])</f>
        <v>34505.303902000036</v>
      </c>
      <c r="J402" s="48">
        <f>IFERROR(VLOOKUP(TAB_AMORTIZACAO_U[[#This Row],[DT_EVE]], TAB_AMORTIZACAO_U[[DT_EVE]:[V_PU_AMTC]], 2, FALSE), 0)</f>
        <v>616.85131699999999</v>
      </c>
      <c r="K402" s="48">
        <f>NETWORKDAYS(DT_CALCULO_U, TAB_AMORTIZACAO_U[[#This Row],[dt_eve_u]], TAB_FERIADOS[FER_DATA]) -1</f>
        <v>1743</v>
      </c>
      <c r="L402" s="48">
        <f>NETWORKDAYS(DT_CALCULO_U, TAB_AMORTIZACAO_U[[#This Row],[dt_lqdc_eve_u]], TAB_FERIADOS[FER_DATA]) -1</f>
        <v>1747</v>
      </c>
      <c r="M402" s="48">
        <f>NETWORKDAYS(IF(ISTEXT(G401), DT_B_CORC, G401), TAB_AMORTIZACAO_U[[#This Row],[dt_eve_u]], TAB_FERIADOS[FER_DATA]) -1</f>
        <v>19</v>
      </c>
      <c r="N402" s="78">
        <f>(TX_EMISSAO/100 +1)^(TAB_AMORTIZACAO_U[[#This Row],[dias_periodo_u]]/252)</f>
        <v>1.0018634787225431</v>
      </c>
      <c r="O402" s="78">
        <f>(TIR_U/100 +1)^(TAB_AMORTIZACAO_U[[#This Row],[Q_DIAS_U_PARC_TIR]]/252)</f>
        <v>1.1867292022440494</v>
      </c>
      <c r="P402" s="116" t="str">
        <f>"TX_CENARIO" &amp; TEXT(DT_CALCULO_C, "-AAAAMMDD") &amp; TEXT(TAB_AMORTIZACAO_U[[#This Row],[DT_EVE]], "-AAAAMMDD")</f>
        <v>TX_CENARIO-20151228-20221208</v>
      </c>
      <c r="Q402" s="44">
        <f>IFERROR(VLOOKUP(TAB_AMORTIZACAO_U[[#This Row],[Chave-CENARIO]],CENARIO[],2,FALSE), 0)</f>
        <v>16.402799999999999</v>
      </c>
      <c r="R402" s="117" t="str">
        <f t="shared" si="13"/>
        <v>n/a</v>
      </c>
      <c r="S402" s="49" t="str">
        <f t="shared" si="13"/>
        <v>n/a</v>
      </c>
      <c r="T402" s="78">
        <f>IF(TAB_AMORTIZACAO_U[[#This Row],[Q_DIAS_U_PARC_TIR]]&lt;0, 0, TAB_AMORTIZACAO_U[[#This Row],[PU_AMORT]])</f>
        <v>616.85131699999999</v>
      </c>
      <c r="U402" s="78">
        <f>MAX(0, TAB_AMORTIZACAO_U[[#This Row],[V_FUT_U_PCPL-01]]/((((TAB_AMORTIZACAO_U[[#This Row],[TX_CENARIO]]/100 +1)^(1/252) -1) * PC_IDXR/100 +1)^TAB_AMORTIZACAO_U[[#This Row],[Q_DIAS_U_PARC_TIR]]))</f>
        <v>215.22187969590067</v>
      </c>
      <c r="V402" s="78">
        <f>+TAB_AMORTIZACAO_U[[#This Row],[V_FUT_U_PCPL-02]]/TAB_AMORTIZACAO_U[[#This Row],[VAR_DESCAP_U]]</f>
        <v>181.35719529689348</v>
      </c>
      <c r="W402" s="78"/>
      <c r="X402" s="101">
        <f>TAB_AMORTIZACAO_U[[#This Row],[dt_eve_u]]- DT_CALCULO_C</f>
        <v>2537</v>
      </c>
      <c r="Y402" s="49" t="str">
        <f t="shared" si="14"/>
        <v>n/a</v>
      </c>
      <c r="Z402" s="49" t="str">
        <f t="shared" si="14"/>
        <v>n/a</v>
      </c>
      <c r="AA402" s="44">
        <f>TAB_AMORTIZACAO_U[[#This Row],[V_PU_AMTC]]</f>
        <v>616.85131699999999</v>
      </c>
      <c r="AB402" s="44">
        <f>(TIR_C/100 +1)^(TAB_AMORTIZACAO_C[[#This Row],[DIAS_CORRIDOS]]/360)</f>
        <v>1.1871484005310395</v>
      </c>
      <c r="AC402" s="44">
        <f>IF(TAB_AMORTIZACAO_C[[#This Row],[DIAS_CORRIDOS]]&lt;0, 0, TAB_AMORTIZACAO_C[[#This Row],[V_FUT_C_PCPL]]/TAB_AMORTIZACAO_C[[#This Row],[VAR_DESCAP_C]])</f>
        <v>519.60758800169197</v>
      </c>
      <c r="AD402" s="115">
        <f>TAB_AMORTIZACAO_U[[#This Row],[V_FUT_U_PCPL-02]]</f>
        <v>215.22187969590067</v>
      </c>
      <c r="AE402" s="127">
        <f>IF(TAB_AMORTIZACAO_C[[#This Row],[DIAS_CORRIDOS]]&lt;0, 0, TAB_AMORTIZACAO_C[[#This Row],[V_FUT_UTEIS]]/TAB_AMORTIZACAO_C[[#This Row],[VAR_DESCAP_C]])</f>
        <v>181.29315559842968</v>
      </c>
      <c r="AF402" s="64"/>
    </row>
    <row r="403" spans="1:32">
      <c r="A403" s="82">
        <f t="shared" si="12"/>
        <v>85</v>
      </c>
      <c r="B403" s="24">
        <f>VLOOKUP($A403, CAD_AMORTIZACAO[#Data], MATCH(B$318, CAD_ATUALIZACAO[#Headers],0), FALSE)</f>
        <v>4</v>
      </c>
      <c r="C403" s="24" t="str">
        <f>VLOOKUP($A403, CAD_AMORTIZACAO[#Data], MATCH(C$318, CAD_ATUALIZACAO[#Headers],0), FALSE)</f>
        <v xml:space="preserve">AMORTIZACAO                                       </v>
      </c>
      <c r="D403" s="36">
        <f>VLOOKUP($A403, CAD_AMORTIZACAO[#Data], MATCH(D$318, CAD_ATUALIZACAO[#Headers],0), FALSE)</f>
        <v>44935</v>
      </c>
      <c r="E403" s="48">
        <f>VLOOKUP($A403, CAD_AMORTIZACAO[#Data], MATCH(E$318, CAD_ATUALIZACAO[#Headers],0), FALSE)</f>
        <v>652.38660000000004</v>
      </c>
      <c r="F403" s="36">
        <f>VLOOKUP($A403, CAD_AMORTIZACAO[#Data], MATCH(F$318, CAD_ATUALIZACAO[#Headers],0), FALSE)</f>
        <v>44939</v>
      </c>
      <c r="G403" s="47">
        <f>WORKDAY(WORKDAY(TAB_AMORTIZACAO_U[[#This Row],[DT_EVE]], -1, TAB_FERIADOS[FER_DATA]), 1, TAB_FERIADOS[FER_DATA])</f>
        <v>44935</v>
      </c>
      <c r="H403" s="75">
        <f>WORKDAY(WORKDAY(TAB_AMORTIZACAO_U[[#This Row],[DT_LQDC_EVE]], -1, TAB_FERIADOS[FER_DATA]), 1, TAB_FERIADOS[FER_DATA])</f>
        <v>44939</v>
      </c>
      <c r="I403" s="48">
        <f>PU_EMISSAO - SUMIF(TAB_AMORTIZACAO_U[dt_eve_u], "&lt;" &amp; TAB_AMORTIZACAO_U[[#This Row],[dt_eve_u]], TAB_AMORTIZACAO_U[V_PU_AMTC])</f>
        <v>33888.452585000035</v>
      </c>
      <c r="J403" s="48">
        <f>IFERROR(VLOOKUP(TAB_AMORTIZACAO_U[[#This Row],[DT_EVE]], TAB_AMORTIZACAO_U[[DT_EVE]:[V_PU_AMTC]], 2, FALSE), 0)</f>
        <v>652.38660000000004</v>
      </c>
      <c r="K403" s="48">
        <f>NETWORKDAYS(DT_CALCULO_U, TAB_AMORTIZACAO_U[[#This Row],[dt_eve_u]], TAB_FERIADOS[FER_DATA]) -1</f>
        <v>1765</v>
      </c>
      <c r="L403" s="48">
        <f>NETWORKDAYS(DT_CALCULO_U, TAB_AMORTIZACAO_U[[#This Row],[dt_lqdc_eve_u]], TAB_FERIADOS[FER_DATA]) -1</f>
        <v>1769</v>
      </c>
      <c r="M403" s="48">
        <f>NETWORKDAYS(IF(ISTEXT(G402), DT_B_CORC, G402), TAB_AMORTIZACAO_U[[#This Row],[dt_eve_u]], TAB_FERIADOS[FER_DATA]) -1</f>
        <v>22</v>
      </c>
      <c r="N403" s="78">
        <f>(TX_EMISSAO/100 +1)^(TAB_AMORTIZACAO_U[[#This Row],[dias_periodo_u]]/252)</f>
        <v>1.0021580294747356</v>
      </c>
      <c r="O403" s="78">
        <f>(TIR_U/100 +1)^(TAB_AMORTIZACAO_U[[#This Row],[Q_DIAS_U_PARC_TIR]]/252)</f>
        <v>1.1892904749626119</v>
      </c>
      <c r="P403" s="116" t="str">
        <f>"TX_CENARIO" &amp; TEXT(DT_CALCULO_C, "-AAAAMMDD") &amp; TEXT(TAB_AMORTIZACAO_U[[#This Row],[DT_EVE]], "-AAAAMMDD")</f>
        <v>TX_CENARIO-20151228-20230109</v>
      </c>
      <c r="Q403" s="44">
        <f>IFERROR(VLOOKUP(TAB_AMORTIZACAO_U[[#This Row],[Chave-CENARIO]],CENARIO[],2,FALSE), 0)</f>
        <v>16.400600000000001</v>
      </c>
      <c r="R403" s="117" t="str">
        <f t="shared" si="13"/>
        <v>n/a</v>
      </c>
      <c r="S403" s="49" t="str">
        <f t="shared" si="13"/>
        <v>n/a</v>
      </c>
      <c r="T403" s="78">
        <f>IF(TAB_AMORTIZACAO_U[[#This Row],[Q_DIAS_U_PARC_TIR]]&lt;0, 0, TAB_AMORTIZACAO_U[[#This Row],[PU_AMORT]])</f>
        <v>652.38660000000004</v>
      </c>
      <c r="U403" s="78">
        <f>MAX(0, TAB_AMORTIZACAO_U[[#This Row],[V_FUT_U_PCPL-01]]/((((TAB_AMORTIZACAO_U[[#This Row],[TX_CENARIO]]/100 +1)^(1/252) -1) * PC_IDXR/100 +1)^TAB_AMORTIZACAO_U[[#This Row],[Q_DIAS_U_PARC_TIR]]))</f>
        <v>224.65178008912903</v>
      </c>
      <c r="V403" s="78">
        <f>+TAB_AMORTIZACAO_U[[#This Row],[V_FUT_U_PCPL-02]]/TAB_AMORTIZACAO_U[[#This Row],[VAR_DESCAP_U]]</f>
        <v>188.89563552267708</v>
      </c>
      <c r="W403" s="78"/>
      <c r="X403" s="101">
        <f>TAB_AMORTIZACAO_U[[#This Row],[dt_eve_u]]- DT_CALCULO_C</f>
        <v>2569</v>
      </c>
      <c r="Y403" s="49" t="str">
        <f t="shared" si="14"/>
        <v>n/a</v>
      </c>
      <c r="Z403" s="49" t="str">
        <f t="shared" si="14"/>
        <v>n/a</v>
      </c>
      <c r="AA403" s="44">
        <f>TAB_AMORTIZACAO_U[[#This Row],[V_PU_AMTC]]</f>
        <v>652.38660000000004</v>
      </c>
      <c r="AB403" s="44">
        <f>(TIR_C/100 +1)^(TAB_AMORTIZACAO_C[[#This Row],[DIAS_CORRIDOS]]/360)</f>
        <v>1.1897200138206312</v>
      </c>
      <c r="AC403" s="44">
        <f>IF(TAB_AMORTIZACAO_C[[#This Row],[DIAS_CORRIDOS]]&lt;0, 0, TAB_AMORTIZACAO_C[[#This Row],[V_FUT_C_PCPL]]/TAB_AMORTIZACAO_C[[#This Row],[VAR_DESCAP_C]])</f>
        <v>548.35305149229634</v>
      </c>
      <c r="AD403" s="115">
        <f>TAB_AMORTIZACAO_U[[#This Row],[V_FUT_U_PCPL-02]]</f>
        <v>224.65178008912903</v>
      </c>
      <c r="AE403" s="127">
        <f>IF(TAB_AMORTIZACAO_C[[#This Row],[DIAS_CORRIDOS]]&lt;0, 0, TAB_AMORTIZACAO_C[[#This Row],[V_FUT_UTEIS]]/TAB_AMORTIZACAO_C[[#This Row],[VAR_DESCAP_C]])</f>
        <v>188.82743627022717</v>
      </c>
      <c r="AF403" s="64"/>
    </row>
    <row r="404" spans="1:32">
      <c r="A404" s="82">
        <f t="shared" si="12"/>
        <v>86</v>
      </c>
      <c r="B404" s="24">
        <f>VLOOKUP($A404, CAD_AMORTIZACAO[#Data], MATCH(B$318, CAD_ATUALIZACAO[#Headers],0), FALSE)</f>
        <v>4</v>
      </c>
      <c r="C404" s="24" t="str">
        <f>VLOOKUP($A404, CAD_AMORTIZACAO[#Data], MATCH(C$318, CAD_ATUALIZACAO[#Headers],0), FALSE)</f>
        <v xml:space="preserve">AMORTIZACAO                                       </v>
      </c>
      <c r="D404" s="36">
        <f>VLOOKUP($A404, CAD_AMORTIZACAO[#Data], MATCH(D$318, CAD_ATUALIZACAO[#Headers],0), FALSE)</f>
        <v>44965</v>
      </c>
      <c r="E404" s="48">
        <f>VLOOKUP($A404, CAD_AMORTIZACAO[#Data], MATCH(E$318, CAD_ATUALIZACAO[#Headers],0), FALSE)</f>
        <v>644.54702699999996</v>
      </c>
      <c r="F404" s="36">
        <f>VLOOKUP($A404, CAD_AMORTIZACAO[#Data], MATCH(F$318, CAD_ATUALIZACAO[#Headers],0), FALSE)</f>
        <v>44971</v>
      </c>
      <c r="G404" s="47">
        <f>WORKDAY(WORKDAY(TAB_AMORTIZACAO_U[[#This Row],[DT_EVE]], -1, TAB_FERIADOS[FER_DATA]), 1, TAB_FERIADOS[FER_DATA])</f>
        <v>44965</v>
      </c>
      <c r="H404" s="75">
        <f>WORKDAY(WORKDAY(TAB_AMORTIZACAO_U[[#This Row],[DT_LQDC_EVE]], -1, TAB_FERIADOS[FER_DATA]), 1, TAB_FERIADOS[FER_DATA])</f>
        <v>44971</v>
      </c>
      <c r="I404" s="48">
        <f>PU_EMISSAO - SUMIF(TAB_AMORTIZACAO_U[dt_eve_u], "&lt;" &amp; TAB_AMORTIZACAO_U[[#This Row],[dt_eve_u]], TAB_AMORTIZACAO_U[V_PU_AMTC])</f>
        <v>33236.065985000037</v>
      </c>
      <c r="J404" s="48">
        <f>IFERROR(VLOOKUP(TAB_AMORTIZACAO_U[[#This Row],[DT_EVE]], TAB_AMORTIZACAO_U[[DT_EVE]:[V_PU_AMTC]], 2, FALSE), 0)</f>
        <v>644.54702699999996</v>
      </c>
      <c r="K404" s="48">
        <f>NETWORKDAYS(DT_CALCULO_U, TAB_AMORTIZACAO_U[[#This Row],[dt_eve_u]], TAB_FERIADOS[FER_DATA]) -1</f>
        <v>1787</v>
      </c>
      <c r="L404" s="48">
        <f>NETWORKDAYS(DT_CALCULO_U, TAB_AMORTIZACAO_U[[#This Row],[dt_lqdc_eve_u]], TAB_FERIADOS[FER_DATA]) -1</f>
        <v>1791</v>
      </c>
      <c r="M404" s="48">
        <f>NETWORKDAYS(IF(ISTEXT(G403), DT_B_CORC, G403), TAB_AMORTIZACAO_U[[#This Row],[dt_eve_u]], TAB_FERIADOS[FER_DATA]) -1</f>
        <v>22</v>
      </c>
      <c r="N404" s="78">
        <f>(TX_EMISSAO/100 +1)^(TAB_AMORTIZACAO_U[[#This Row],[dias_periodo_u]]/252)</f>
        <v>1.0021580294747356</v>
      </c>
      <c r="O404" s="78">
        <f>(TIR_U/100 +1)^(TAB_AMORTIZACAO_U[[#This Row],[Q_DIAS_U_PARC_TIR]]/252)</f>
        <v>1.1918572755791366</v>
      </c>
      <c r="P404" s="116" t="str">
        <f>"TX_CENARIO" &amp; TEXT(DT_CALCULO_C, "-AAAAMMDD") &amp; TEXT(TAB_AMORTIZACAO_U[[#This Row],[DT_EVE]], "-AAAAMMDD")</f>
        <v>TX_CENARIO-20151228-20230208</v>
      </c>
      <c r="Q404" s="44">
        <f>IFERROR(VLOOKUP(TAB_AMORTIZACAO_U[[#This Row],[Chave-CENARIO]],CENARIO[],2,FALSE), 0)</f>
        <v>16.398900000000001</v>
      </c>
      <c r="R404" s="117" t="str">
        <f t="shared" si="13"/>
        <v>n/a</v>
      </c>
      <c r="S404" s="49" t="str">
        <f t="shared" si="13"/>
        <v>n/a</v>
      </c>
      <c r="T404" s="78">
        <f>IF(TAB_AMORTIZACAO_U[[#This Row],[Q_DIAS_U_PARC_TIR]]&lt;0, 0, TAB_AMORTIZACAO_U[[#This Row],[PU_AMORT]])</f>
        <v>644.54702699999996</v>
      </c>
      <c r="U404" s="78">
        <f>MAX(0, TAB_AMORTIZACAO_U[[#This Row],[V_FUT_U_PCPL-01]]/((((TAB_AMORTIZACAO_U[[#This Row],[TX_CENARIO]]/100 +1)^(1/252) -1) * PC_IDXR/100 +1)^TAB_AMORTIZACAO_U[[#This Row],[Q_DIAS_U_PARC_TIR]]))</f>
        <v>219.05164835187338</v>
      </c>
      <c r="V404" s="78">
        <f>+TAB_AMORTIZACAO_U[[#This Row],[V_FUT_U_PCPL-02]]/TAB_AMORTIZACAO_U[[#This Row],[VAR_DESCAP_U]]</f>
        <v>183.79016753111966</v>
      </c>
      <c r="W404" s="78"/>
      <c r="X404" s="101">
        <f>TAB_AMORTIZACAO_U[[#This Row],[dt_eve_u]]- DT_CALCULO_C</f>
        <v>2599</v>
      </c>
      <c r="Y404" s="49" t="str">
        <f t="shared" si="14"/>
        <v>n/a</v>
      </c>
      <c r="Z404" s="49" t="str">
        <f t="shared" si="14"/>
        <v>n/a</v>
      </c>
      <c r="AA404" s="44">
        <f>TAB_AMORTIZACAO_U[[#This Row],[V_PU_AMTC]]</f>
        <v>644.54702699999996</v>
      </c>
      <c r="AB404" s="44">
        <f>(TIR_C/100 +1)^(TAB_AMORTIZACAO_C[[#This Row],[DIAS_CORRIDOS]]/360)</f>
        <v>1.192135960338276</v>
      </c>
      <c r="AC404" s="44">
        <f>IF(TAB_AMORTIZACAO_C[[#This Row],[DIAS_CORRIDOS]]&lt;0, 0, TAB_AMORTIZACAO_C[[#This Row],[V_FUT_C_PCPL]]/TAB_AMORTIZACAO_C[[#This Row],[VAR_DESCAP_C]])</f>
        <v>540.66570294306507</v>
      </c>
      <c r="AD404" s="115">
        <f>TAB_AMORTIZACAO_U[[#This Row],[V_FUT_U_PCPL-02]]</f>
        <v>219.05164835187338</v>
      </c>
      <c r="AE404" s="127">
        <f>IF(TAB_AMORTIZACAO_C[[#This Row],[DIAS_CORRIDOS]]&lt;0, 0, TAB_AMORTIZACAO_C[[#This Row],[V_FUT_UTEIS]]/TAB_AMORTIZACAO_C[[#This Row],[VAR_DESCAP_C]])</f>
        <v>183.74720303690538</v>
      </c>
      <c r="AF404" s="64"/>
    </row>
    <row r="405" spans="1:32">
      <c r="A405" s="82">
        <f t="shared" si="12"/>
        <v>87</v>
      </c>
      <c r="B405" s="24">
        <f>VLOOKUP($A405, CAD_AMORTIZACAO[#Data], MATCH(B$318, CAD_ATUALIZACAO[#Headers],0), FALSE)</f>
        <v>4</v>
      </c>
      <c r="C405" s="24" t="str">
        <f>VLOOKUP($A405, CAD_AMORTIZACAO[#Data], MATCH(C$318, CAD_ATUALIZACAO[#Headers],0), FALSE)</f>
        <v xml:space="preserve">AMORTIZACAO                                       </v>
      </c>
      <c r="D405" s="36">
        <f>VLOOKUP($A405, CAD_AMORTIZACAO[#Data], MATCH(D$318, CAD_ATUALIZACAO[#Headers],0), FALSE)</f>
        <v>44993</v>
      </c>
      <c r="E405" s="48">
        <f>VLOOKUP($A405, CAD_AMORTIZACAO[#Data], MATCH(E$318, CAD_ATUALIZACAO[#Headers],0), FALSE)</f>
        <v>651.27632300000005</v>
      </c>
      <c r="F405" s="36">
        <f>VLOOKUP($A405, CAD_AMORTIZACAO[#Data], MATCH(F$318, CAD_ATUALIZACAO[#Headers],0), FALSE)</f>
        <v>44999</v>
      </c>
      <c r="G405" s="47">
        <f>WORKDAY(WORKDAY(TAB_AMORTIZACAO_U[[#This Row],[DT_EVE]], -1, TAB_FERIADOS[FER_DATA]), 1, TAB_FERIADOS[FER_DATA])</f>
        <v>44993</v>
      </c>
      <c r="H405" s="75">
        <f>WORKDAY(WORKDAY(TAB_AMORTIZACAO_U[[#This Row],[DT_LQDC_EVE]], -1, TAB_FERIADOS[FER_DATA]), 1, TAB_FERIADOS[FER_DATA])</f>
        <v>44999</v>
      </c>
      <c r="I405" s="48">
        <f>PU_EMISSAO - SUMIF(TAB_AMORTIZACAO_U[dt_eve_u], "&lt;" &amp; TAB_AMORTIZACAO_U[[#This Row],[dt_eve_u]], TAB_AMORTIZACAO_U[V_PU_AMTC])</f>
        <v>32591.518958000044</v>
      </c>
      <c r="J405" s="48">
        <f>IFERROR(VLOOKUP(TAB_AMORTIZACAO_U[[#This Row],[DT_EVE]], TAB_AMORTIZACAO_U[[DT_EVE]:[V_PU_AMTC]], 2, FALSE), 0)</f>
        <v>651.27632300000005</v>
      </c>
      <c r="K405" s="48">
        <f>NETWORKDAYS(DT_CALCULO_U, TAB_AMORTIZACAO_U[[#This Row],[dt_eve_u]], TAB_FERIADOS[FER_DATA]) -1</f>
        <v>1805</v>
      </c>
      <c r="L405" s="48">
        <f>NETWORKDAYS(DT_CALCULO_U, TAB_AMORTIZACAO_U[[#This Row],[dt_lqdc_eve_u]], TAB_FERIADOS[FER_DATA]) -1</f>
        <v>1809</v>
      </c>
      <c r="M405" s="48">
        <f>NETWORKDAYS(IF(ISTEXT(G404), DT_B_CORC, G404), TAB_AMORTIZACAO_U[[#This Row],[dt_eve_u]], TAB_FERIADOS[FER_DATA]) -1</f>
        <v>18</v>
      </c>
      <c r="N405" s="78">
        <f>(TX_EMISSAO/100 +1)^(TAB_AMORTIZACAO_U[[#This Row],[dias_periodo_u]]/252)</f>
        <v>1.0017653143782506</v>
      </c>
      <c r="O405" s="78">
        <f>(TIR_U/100 +1)^(TAB_AMORTIZACAO_U[[#This Row],[Q_DIAS_U_PARC_TIR]]/252)</f>
        <v>1.1939615051695178</v>
      </c>
      <c r="P405" s="116" t="str">
        <f>"TX_CENARIO" &amp; TEXT(DT_CALCULO_C, "-AAAAMMDD") &amp; TEXT(TAB_AMORTIZACAO_U[[#This Row],[DT_EVE]], "-AAAAMMDD")</f>
        <v>TX_CENARIO-20151228-20230308</v>
      </c>
      <c r="Q405" s="44">
        <f>IFERROR(VLOOKUP(TAB_AMORTIZACAO_U[[#This Row],[Chave-CENARIO]],CENARIO[],2,FALSE), 0)</f>
        <v>16.397600000000001</v>
      </c>
      <c r="R405" s="117" t="str">
        <f t="shared" si="13"/>
        <v>n/a</v>
      </c>
      <c r="S405" s="49" t="str">
        <f t="shared" si="13"/>
        <v>n/a</v>
      </c>
      <c r="T405" s="78">
        <f>IF(TAB_AMORTIZACAO_U[[#This Row],[Q_DIAS_U_PARC_TIR]]&lt;0, 0, TAB_AMORTIZACAO_U[[#This Row],[PU_AMORT]])</f>
        <v>651.27632300000005</v>
      </c>
      <c r="U405" s="78">
        <f>MAX(0, TAB_AMORTIZACAO_U[[#This Row],[V_FUT_U_PCPL-01]]/((((TAB_AMORTIZACAO_U[[#This Row],[TX_CENARIO]]/100 +1)^(1/252) -1) * PC_IDXR/100 +1)^TAB_AMORTIZACAO_U[[#This Row],[Q_DIAS_U_PARC_TIR]]))</f>
        <v>218.96837279482932</v>
      </c>
      <c r="V405" s="78">
        <f>+TAB_AMORTIZACAO_U[[#This Row],[V_FUT_U_PCPL-02]]/TAB_AMORTIZACAO_U[[#This Row],[VAR_DESCAP_U]]</f>
        <v>183.39650972561327</v>
      </c>
      <c r="W405" s="78"/>
      <c r="X405" s="101">
        <f>TAB_AMORTIZACAO_U[[#This Row],[dt_eve_u]]- DT_CALCULO_C</f>
        <v>2627</v>
      </c>
      <c r="Y405" s="49" t="str">
        <f t="shared" si="14"/>
        <v>n/a</v>
      </c>
      <c r="Z405" s="49" t="str">
        <f t="shared" si="14"/>
        <v>n/a</v>
      </c>
      <c r="AA405" s="44">
        <f>TAB_AMORTIZACAO_U[[#This Row],[V_PU_AMTC]]</f>
        <v>651.27632300000005</v>
      </c>
      <c r="AB405" s="44">
        <f>(TIR_C/100 +1)^(TAB_AMORTIZACAO_C[[#This Row],[DIAS_CORRIDOS]]/360)</f>
        <v>1.1943952698809825</v>
      </c>
      <c r="AC405" s="44">
        <f>IF(TAB_AMORTIZACAO_C[[#This Row],[DIAS_CORRIDOS]]&lt;0, 0, TAB_AMORTIZACAO_C[[#This Row],[V_FUT_C_PCPL]]/TAB_AMORTIZACAO_C[[#This Row],[VAR_DESCAP_C]])</f>
        <v>545.27704472983851</v>
      </c>
      <c r="AD405" s="115">
        <f>TAB_AMORTIZACAO_U[[#This Row],[V_FUT_U_PCPL-02]]</f>
        <v>218.96837279482932</v>
      </c>
      <c r="AE405" s="127">
        <f>IF(TAB_AMORTIZACAO_C[[#This Row],[DIAS_CORRIDOS]]&lt;0, 0, TAB_AMORTIZACAO_C[[#This Row],[V_FUT_UTEIS]]/TAB_AMORTIZACAO_C[[#This Row],[VAR_DESCAP_C]])</f>
        <v>183.32990620152805</v>
      </c>
      <c r="AF405" s="64"/>
    </row>
    <row r="406" spans="1:32">
      <c r="A406" s="82">
        <f t="shared" si="12"/>
        <v>88</v>
      </c>
      <c r="B406" s="24">
        <f>VLOOKUP($A406, CAD_AMORTIZACAO[#Data], MATCH(B$318, CAD_ATUALIZACAO[#Headers],0), FALSE)</f>
        <v>4</v>
      </c>
      <c r="C406" s="24" t="str">
        <f>VLOOKUP($A406, CAD_AMORTIZACAO[#Data], MATCH(C$318, CAD_ATUALIZACAO[#Headers],0), FALSE)</f>
        <v xml:space="preserve">AMORTIZACAO                                       </v>
      </c>
      <c r="D406" s="36">
        <f>VLOOKUP($A406, CAD_AMORTIZACAO[#Data], MATCH(D$318, CAD_ATUALIZACAO[#Headers],0), FALSE)</f>
        <v>45027</v>
      </c>
      <c r="E406" s="48">
        <f>VLOOKUP($A406, CAD_AMORTIZACAO[#Data], MATCH(E$318, CAD_ATUALIZACAO[#Headers],0), FALSE)</f>
        <v>627.33830499999999</v>
      </c>
      <c r="F406" s="36">
        <f>VLOOKUP($A406, CAD_AMORTIZACAO[#Data], MATCH(F$318, CAD_ATUALIZACAO[#Headers],0), FALSE)</f>
        <v>45033</v>
      </c>
      <c r="G406" s="47">
        <f>WORKDAY(WORKDAY(TAB_AMORTIZACAO_U[[#This Row],[DT_EVE]], -1, TAB_FERIADOS[FER_DATA]), 1, TAB_FERIADOS[FER_DATA])</f>
        <v>45027</v>
      </c>
      <c r="H406" s="75">
        <f>WORKDAY(WORKDAY(TAB_AMORTIZACAO_U[[#This Row],[DT_LQDC_EVE]], -1, TAB_FERIADOS[FER_DATA]), 1, TAB_FERIADOS[FER_DATA])</f>
        <v>45033</v>
      </c>
      <c r="I406" s="48">
        <f>PU_EMISSAO - SUMIF(TAB_AMORTIZACAO_U[dt_eve_u], "&lt;" &amp; TAB_AMORTIZACAO_U[[#This Row],[dt_eve_u]], TAB_AMORTIZACAO_U[V_PU_AMTC])</f>
        <v>31940.242635000046</v>
      </c>
      <c r="J406" s="48">
        <f>IFERROR(VLOOKUP(TAB_AMORTIZACAO_U[[#This Row],[DT_EVE]], TAB_AMORTIZACAO_U[[DT_EVE]:[V_PU_AMTC]], 2, FALSE), 0)</f>
        <v>627.33830499999999</v>
      </c>
      <c r="K406" s="48">
        <f>NETWORKDAYS(DT_CALCULO_U, TAB_AMORTIZACAO_U[[#This Row],[dt_eve_u]], TAB_FERIADOS[FER_DATA]) -1</f>
        <v>1828</v>
      </c>
      <c r="L406" s="48">
        <f>NETWORKDAYS(DT_CALCULO_U, TAB_AMORTIZACAO_U[[#This Row],[dt_lqdc_eve_u]], TAB_FERIADOS[FER_DATA]) -1</f>
        <v>1832</v>
      </c>
      <c r="M406" s="48">
        <f>NETWORKDAYS(IF(ISTEXT(G405), DT_B_CORC, G405), TAB_AMORTIZACAO_U[[#This Row],[dt_eve_u]], TAB_FERIADOS[FER_DATA]) -1</f>
        <v>23</v>
      </c>
      <c r="N406" s="78">
        <f>(TX_EMISSAO/100 +1)^(TAB_AMORTIZACAO_U[[#This Row],[dias_periodo_u]]/252)</f>
        <v>1.0022562323017139</v>
      </c>
      <c r="O406" s="78">
        <f>(TIR_U/100 +1)^(TAB_AMORTIZACAO_U[[#This Row],[Q_DIAS_U_PARC_TIR]]/252)</f>
        <v>1.1966556501447794</v>
      </c>
      <c r="P406" s="116" t="str">
        <f>"TX_CENARIO" &amp; TEXT(DT_CALCULO_C, "-AAAAMMDD") &amp; TEXT(TAB_AMORTIZACAO_U[[#This Row],[DT_EVE]], "-AAAAMMDD")</f>
        <v>TX_CENARIO-20151228-20230411</v>
      </c>
      <c r="Q406" s="44">
        <f>IFERROR(VLOOKUP(TAB_AMORTIZACAO_U[[#This Row],[Chave-CENARIO]],CENARIO[],2,FALSE), 0)</f>
        <v>16.395900000000001</v>
      </c>
      <c r="R406" s="117" t="str">
        <f t="shared" si="13"/>
        <v>n/a</v>
      </c>
      <c r="S406" s="49" t="str">
        <f t="shared" si="13"/>
        <v>n/a</v>
      </c>
      <c r="T406" s="78">
        <f>IF(TAB_AMORTIZACAO_U[[#This Row],[Q_DIAS_U_PARC_TIR]]&lt;0, 0, TAB_AMORTIZACAO_U[[#This Row],[PU_AMORT]])</f>
        <v>627.33830499999999</v>
      </c>
      <c r="U406" s="78">
        <f>MAX(0, TAB_AMORTIZACAO_U[[#This Row],[V_FUT_U_PCPL-01]]/((((TAB_AMORTIZACAO_U[[#This Row],[TX_CENARIO]]/100 +1)^(1/252) -1) * PC_IDXR/100 +1)^TAB_AMORTIZACAO_U[[#This Row],[Q_DIAS_U_PARC_TIR]]))</f>
        <v>208.03926896522952</v>
      </c>
      <c r="V406" s="78">
        <f>+TAB_AMORTIZACAO_U[[#This Row],[V_FUT_U_PCPL-02]]/TAB_AMORTIZACAO_U[[#This Row],[VAR_DESCAP_U]]</f>
        <v>173.85057174974233</v>
      </c>
      <c r="W406" s="78"/>
      <c r="X406" s="101">
        <f>TAB_AMORTIZACAO_U[[#This Row],[dt_eve_u]]- DT_CALCULO_C</f>
        <v>2661</v>
      </c>
      <c r="Y406" s="49" t="str">
        <f t="shared" si="14"/>
        <v>n/a</v>
      </c>
      <c r="Z406" s="49" t="str">
        <f t="shared" si="14"/>
        <v>n/a</v>
      </c>
      <c r="AA406" s="44">
        <f>TAB_AMORTIZACAO_U[[#This Row],[V_PU_AMTC]]</f>
        <v>627.33830499999999</v>
      </c>
      <c r="AB406" s="44">
        <f>(TIR_C/100 +1)^(TAB_AMORTIZACAO_C[[#This Row],[DIAS_CORRIDOS]]/360)</f>
        <v>1.1971444743520967</v>
      </c>
      <c r="AC406" s="44">
        <f>IF(TAB_AMORTIZACAO_C[[#This Row],[DIAS_CORRIDOS]]&lt;0, 0, TAB_AMORTIZACAO_C[[#This Row],[V_FUT_C_PCPL]]/TAB_AMORTIZACAO_C[[#This Row],[VAR_DESCAP_C]])</f>
        <v>524.02890247605251</v>
      </c>
      <c r="AD406" s="115">
        <f>TAB_AMORTIZACAO_U[[#This Row],[V_FUT_U_PCPL-02]]</f>
        <v>208.03926896522952</v>
      </c>
      <c r="AE406" s="127">
        <f>IF(TAB_AMORTIZACAO_C[[#This Row],[DIAS_CORRIDOS]]&lt;0, 0, TAB_AMORTIZACAO_C[[#This Row],[V_FUT_UTEIS]]/TAB_AMORTIZACAO_C[[#This Row],[VAR_DESCAP_C]])</f>
        <v>173.77958418746567</v>
      </c>
      <c r="AF406" s="64"/>
    </row>
    <row r="407" spans="1:32">
      <c r="A407" s="82">
        <f t="shared" si="12"/>
        <v>89</v>
      </c>
      <c r="B407" s="24">
        <f>VLOOKUP($A407, CAD_AMORTIZACAO[#Data], MATCH(B$318, CAD_ATUALIZACAO[#Headers],0), FALSE)</f>
        <v>4</v>
      </c>
      <c r="C407" s="24" t="str">
        <f>VLOOKUP($A407, CAD_AMORTIZACAO[#Data], MATCH(C$318, CAD_ATUALIZACAO[#Headers],0), FALSE)</f>
        <v xml:space="preserve">AMORTIZACAO                                       </v>
      </c>
      <c r="D407" s="36">
        <f>VLOOKUP($A407, CAD_AMORTIZACAO[#Data], MATCH(D$318, CAD_ATUALIZACAO[#Headers],0), FALSE)</f>
        <v>45055</v>
      </c>
      <c r="E407" s="48">
        <f>VLOOKUP($A407, CAD_AMORTIZACAO[#Data], MATCH(E$318, CAD_ATUALIZACAO[#Headers],0), FALSE)</f>
        <v>636.84184800000003</v>
      </c>
      <c r="F407" s="36">
        <f>VLOOKUP($A407, CAD_AMORTIZACAO[#Data], MATCH(F$318, CAD_ATUALIZACAO[#Headers],0), FALSE)</f>
        <v>45061</v>
      </c>
      <c r="G407" s="47">
        <f>WORKDAY(WORKDAY(TAB_AMORTIZACAO_U[[#This Row],[DT_EVE]], -1, TAB_FERIADOS[FER_DATA]), 1, TAB_FERIADOS[FER_DATA])</f>
        <v>45055</v>
      </c>
      <c r="H407" s="75">
        <f>WORKDAY(WORKDAY(TAB_AMORTIZACAO_U[[#This Row],[DT_LQDC_EVE]], -1, TAB_FERIADOS[FER_DATA]), 1, TAB_FERIADOS[FER_DATA])</f>
        <v>45061</v>
      </c>
      <c r="I407" s="48">
        <f>PU_EMISSAO - SUMIF(TAB_AMORTIZACAO_U[dt_eve_u], "&lt;" &amp; TAB_AMORTIZACAO_U[[#This Row],[dt_eve_u]], TAB_AMORTIZACAO_U[V_PU_AMTC])</f>
        <v>31312.904330000049</v>
      </c>
      <c r="J407" s="48">
        <f>IFERROR(VLOOKUP(TAB_AMORTIZACAO_U[[#This Row],[DT_EVE]], TAB_AMORTIZACAO_U[[DT_EVE]:[V_PU_AMTC]], 2, FALSE), 0)</f>
        <v>636.84184800000003</v>
      </c>
      <c r="K407" s="48">
        <f>NETWORKDAYS(DT_CALCULO_U, TAB_AMORTIZACAO_U[[#This Row],[dt_eve_u]], TAB_FERIADOS[FER_DATA]) -1</f>
        <v>1846</v>
      </c>
      <c r="L407" s="48">
        <f>NETWORKDAYS(DT_CALCULO_U, TAB_AMORTIZACAO_U[[#This Row],[dt_lqdc_eve_u]], TAB_FERIADOS[FER_DATA]) -1</f>
        <v>1850</v>
      </c>
      <c r="M407" s="48">
        <f>NETWORKDAYS(IF(ISTEXT(G406), DT_B_CORC, G406), TAB_AMORTIZACAO_U[[#This Row],[dt_eve_u]], TAB_FERIADOS[FER_DATA]) -1</f>
        <v>18</v>
      </c>
      <c r="N407" s="78">
        <f>(TX_EMISSAO/100 +1)^(TAB_AMORTIZACAO_U[[#This Row],[dias_periodo_u]]/252)</f>
        <v>1.0017653143782506</v>
      </c>
      <c r="O407" s="78">
        <f>(TIR_U/100 +1)^(TAB_AMORTIZACAO_U[[#This Row],[Q_DIAS_U_PARC_TIR]]/252)</f>
        <v>1.1987683512878822</v>
      </c>
      <c r="P407" s="116" t="str">
        <f>"TX_CENARIO" &amp; TEXT(DT_CALCULO_C, "-AAAAMMDD") &amp; TEXT(TAB_AMORTIZACAO_U[[#This Row],[DT_EVE]], "-AAAAMMDD")</f>
        <v>TX_CENARIO-20151228-20230509</v>
      </c>
      <c r="Q407" s="44">
        <f>IFERROR(VLOOKUP(TAB_AMORTIZACAO_U[[#This Row],[Chave-CENARIO]],CENARIO[],2,FALSE), 0)</f>
        <v>16.394600000000001</v>
      </c>
      <c r="R407" s="117" t="str">
        <f t="shared" si="13"/>
        <v>n/a</v>
      </c>
      <c r="S407" s="49" t="str">
        <f t="shared" si="13"/>
        <v>n/a</v>
      </c>
      <c r="T407" s="78">
        <f>IF(TAB_AMORTIZACAO_U[[#This Row],[Q_DIAS_U_PARC_TIR]]&lt;0, 0, TAB_AMORTIZACAO_U[[#This Row],[PU_AMORT]])</f>
        <v>636.84184800000003</v>
      </c>
      <c r="U407" s="78">
        <f>MAX(0, TAB_AMORTIZACAO_U[[#This Row],[V_FUT_U_PCPL-01]]/((((TAB_AMORTIZACAO_U[[#This Row],[TX_CENARIO]]/100 +1)^(1/252) -1) * PC_IDXR/100 +1)^TAB_AMORTIZACAO_U[[#This Row],[Q_DIAS_U_PARC_TIR]]))</f>
        <v>208.93003720693835</v>
      </c>
      <c r="V407" s="78">
        <f>+TAB_AMORTIZACAO_U[[#This Row],[V_FUT_U_PCPL-02]]/TAB_AMORTIZACAO_U[[#This Row],[VAR_DESCAP_U]]</f>
        <v>174.28724822646254</v>
      </c>
      <c r="W407" s="78"/>
      <c r="X407" s="101">
        <f>TAB_AMORTIZACAO_U[[#This Row],[dt_eve_u]]- DT_CALCULO_C</f>
        <v>2689</v>
      </c>
      <c r="Y407" s="49" t="str">
        <f t="shared" si="14"/>
        <v>n/a</v>
      </c>
      <c r="Z407" s="49" t="str">
        <f t="shared" si="14"/>
        <v>n/a</v>
      </c>
      <c r="AA407" s="44">
        <f>TAB_AMORTIZACAO_U[[#This Row],[V_PU_AMTC]]</f>
        <v>636.84184800000003</v>
      </c>
      <c r="AB407" s="44">
        <f>(TIR_C/100 +1)^(TAB_AMORTIZACAO_C[[#This Row],[DIAS_CORRIDOS]]/360)</f>
        <v>1.1994132759191047</v>
      </c>
      <c r="AC407" s="44">
        <f>IF(TAB_AMORTIZACAO_C[[#This Row],[DIAS_CORRIDOS]]&lt;0, 0, TAB_AMORTIZACAO_C[[#This Row],[V_FUT_C_PCPL]]/TAB_AMORTIZACAO_C[[#This Row],[VAR_DESCAP_C]])</f>
        <v>530.96114640884821</v>
      </c>
      <c r="AD407" s="115">
        <f>TAB_AMORTIZACAO_U[[#This Row],[V_FUT_U_PCPL-02]]</f>
        <v>208.93003720693835</v>
      </c>
      <c r="AE407" s="127">
        <f>IF(TAB_AMORTIZACAO_C[[#This Row],[DIAS_CORRIDOS]]&lt;0, 0, TAB_AMORTIZACAO_C[[#This Row],[V_FUT_UTEIS]]/TAB_AMORTIZACAO_C[[#This Row],[VAR_DESCAP_C]])</f>
        <v>174.19353395670583</v>
      </c>
      <c r="AF407" s="64"/>
    </row>
    <row r="408" spans="1:32">
      <c r="A408" s="82">
        <f t="shared" si="12"/>
        <v>90</v>
      </c>
      <c r="B408" s="24">
        <f>VLOOKUP($A408, CAD_AMORTIZACAO[#Data], MATCH(B$318, CAD_ATUALIZACAO[#Headers],0), FALSE)</f>
        <v>4</v>
      </c>
      <c r="C408" s="24" t="str">
        <f>VLOOKUP($A408, CAD_AMORTIZACAO[#Data], MATCH(C$318, CAD_ATUALIZACAO[#Headers],0), FALSE)</f>
        <v xml:space="preserve">AMORTIZACAO                                       </v>
      </c>
      <c r="D408" s="36">
        <f>VLOOKUP($A408, CAD_AMORTIZACAO[#Data], MATCH(D$318, CAD_ATUALIZACAO[#Headers],0), FALSE)</f>
        <v>45086</v>
      </c>
      <c r="E408" s="48">
        <f>VLOOKUP($A408, CAD_AMORTIZACAO[#Data], MATCH(E$318, CAD_ATUALIZACAO[#Headers],0), FALSE)</f>
        <v>617.11034800000004</v>
      </c>
      <c r="F408" s="36">
        <f>VLOOKUP($A408, CAD_AMORTIZACAO[#Data], MATCH(F$318, CAD_ATUALIZACAO[#Headers],0), FALSE)</f>
        <v>45092</v>
      </c>
      <c r="G408" s="47">
        <f>WORKDAY(WORKDAY(TAB_AMORTIZACAO_U[[#This Row],[DT_EVE]], -1, TAB_FERIADOS[FER_DATA]), 1, TAB_FERIADOS[FER_DATA])</f>
        <v>45086</v>
      </c>
      <c r="H408" s="75">
        <f>WORKDAY(WORKDAY(TAB_AMORTIZACAO_U[[#This Row],[DT_LQDC_EVE]], -1, TAB_FERIADOS[FER_DATA]), 1, TAB_FERIADOS[FER_DATA])</f>
        <v>45092</v>
      </c>
      <c r="I408" s="48">
        <f>PU_EMISSAO - SUMIF(TAB_AMORTIZACAO_U[dt_eve_u], "&lt;" &amp; TAB_AMORTIZACAO_U[[#This Row],[dt_eve_u]], TAB_AMORTIZACAO_U[V_PU_AMTC])</f>
        <v>30676.062482000052</v>
      </c>
      <c r="J408" s="48">
        <f>IFERROR(VLOOKUP(TAB_AMORTIZACAO_U[[#This Row],[DT_EVE]], TAB_AMORTIZACAO_U[[DT_EVE]:[V_PU_AMTC]], 2, FALSE), 0)</f>
        <v>617.11034800000004</v>
      </c>
      <c r="K408" s="48">
        <f>NETWORKDAYS(DT_CALCULO_U, TAB_AMORTIZACAO_U[[#This Row],[dt_eve_u]], TAB_FERIADOS[FER_DATA]) -1</f>
        <v>1868</v>
      </c>
      <c r="L408" s="48">
        <f>NETWORKDAYS(DT_CALCULO_U, TAB_AMORTIZACAO_U[[#This Row],[dt_lqdc_eve_u]], TAB_FERIADOS[FER_DATA]) -1</f>
        <v>1872</v>
      </c>
      <c r="M408" s="48">
        <f>NETWORKDAYS(IF(ISTEXT(G407), DT_B_CORC, G407), TAB_AMORTIZACAO_U[[#This Row],[dt_eve_u]], TAB_FERIADOS[FER_DATA]) -1</f>
        <v>22</v>
      </c>
      <c r="N408" s="78">
        <f>(TX_EMISSAO/100 +1)^(TAB_AMORTIZACAO_U[[#This Row],[dias_periodo_u]]/252)</f>
        <v>1.0021580294747356</v>
      </c>
      <c r="O408" s="78">
        <f>(TIR_U/100 +1)^(TAB_AMORTIZACAO_U[[#This Row],[Q_DIAS_U_PARC_TIR]]/252)</f>
        <v>1.2013556076461347</v>
      </c>
      <c r="P408" s="116" t="str">
        <f>"TX_CENARIO" &amp; TEXT(DT_CALCULO_C, "-AAAAMMDD") &amp; TEXT(TAB_AMORTIZACAO_U[[#This Row],[DT_EVE]], "-AAAAMMDD")</f>
        <v>TX_CENARIO-20151228-20230609</v>
      </c>
      <c r="Q408" s="44">
        <f>IFERROR(VLOOKUP(TAB_AMORTIZACAO_U[[#This Row],[Chave-CENARIO]],CENARIO[],2,FALSE), 0)</f>
        <v>16.393000000000001</v>
      </c>
      <c r="R408" s="117" t="str">
        <f t="shared" si="13"/>
        <v>n/a</v>
      </c>
      <c r="S408" s="49" t="str">
        <f t="shared" si="13"/>
        <v>n/a</v>
      </c>
      <c r="T408" s="78">
        <f>IF(TAB_AMORTIZACAO_U[[#This Row],[Q_DIAS_U_PARC_TIR]]&lt;0, 0, TAB_AMORTIZACAO_U[[#This Row],[PU_AMORT]])</f>
        <v>617.11034800000004</v>
      </c>
      <c r="U408" s="78">
        <f>MAX(0, TAB_AMORTIZACAO_U[[#This Row],[V_FUT_U_PCPL-01]]/((((TAB_AMORTIZACAO_U[[#This Row],[TX_CENARIO]]/100 +1)^(1/252) -1) * PC_IDXR/100 +1)^TAB_AMORTIZACAO_U[[#This Row],[Q_DIAS_U_PARC_TIR]]))</f>
        <v>199.81147432462285</v>
      </c>
      <c r="V408" s="78">
        <f>+TAB_AMORTIZACAO_U[[#This Row],[V_FUT_U_PCPL-02]]/TAB_AMORTIZACAO_U[[#This Row],[VAR_DESCAP_U]]</f>
        <v>166.3216728276831</v>
      </c>
      <c r="W408" s="78"/>
      <c r="X408" s="101">
        <f>TAB_AMORTIZACAO_U[[#This Row],[dt_eve_u]]- DT_CALCULO_C</f>
        <v>2720</v>
      </c>
      <c r="Y408" s="49" t="str">
        <f t="shared" si="14"/>
        <v>n/a</v>
      </c>
      <c r="Z408" s="49" t="str">
        <f t="shared" si="14"/>
        <v>n/a</v>
      </c>
      <c r="AA408" s="44">
        <f>TAB_AMORTIZACAO_U[[#This Row],[V_PU_AMTC]]</f>
        <v>617.11034800000004</v>
      </c>
      <c r="AB408" s="44">
        <f>(TIR_C/100 +1)^(TAB_AMORTIZACAO_C[[#This Row],[DIAS_CORRIDOS]]/360)</f>
        <v>1.2019301792061672</v>
      </c>
      <c r="AC408" s="44">
        <f>IF(TAB_AMORTIZACAO_C[[#This Row],[DIAS_CORRIDOS]]&lt;0, 0, TAB_AMORTIZACAO_C[[#This Row],[V_FUT_C_PCPL]]/TAB_AMORTIZACAO_C[[#This Row],[VAR_DESCAP_C]])</f>
        <v>513.43277561062644</v>
      </c>
      <c r="AD408" s="115">
        <f>TAB_AMORTIZACAO_U[[#This Row],[V_FUT_U_PCPL-02]]</f>
        <v>199.81147432462285</v>
      </c>
      <c r="AE408" s="127">
        <f>IF(TAB_AMORTIZACAO_C[[#This Row],[DIAS_CORRIDOS]]&lt;0, 0, TAB_AMORTIZACAO_C[[#This Row],[V_FUT_UTEIS]]/TAB_AMORTIZACAO_C[[#This Row],[VAR_DESCAP_C]])</f>
        <v>166.24216429659111</v>
      </c>
      <c r="AF408" s="64"/>
    </row>
    <row r="409" spans="1:32">
      <c r="A409" s="82">
        <f t="shared" si="12"/>
        <v>91</v>
      </c>
      <c r="B409" s="24">
        <f>VLOOKUP($A409, CAD_AMORTIZACAO[#Data], MATCH(B$318, CAD_ATUALIZACAO[#Headers],0), FALSE)</f>
        <v>4</v>
      </c>
      <c r="C409" s="24" t="str">
        <f>VLOOKUP($A409, CAD_AMORTIZACAO[#Data], MATCH(C$318, CAD_ATUALIZACAO[#Headers],0), FALSE)</f>
        <v xml:space="preserve">AMORTIZACAO                                       </v>
      </c>
      <c r="D409" s="36">
        <f>VLOOKUP($A409, CAD_AMORTIZACAO[#Data], MATCH(D$318, CAD_ATUALIZACAO[#Headers],0), FALSE)</f>
        <v>45117</v>
      </c>
      <c r="E409" s="48">
        <f>VLOOKUP($A409, CAD_AMORTIZACAO[#Data], MATCH(E$318, CAD_ATUALIZACAO[#Headers],0), FALSE)</f>
        <v>613.11244599999998</v>
      </c>
      <c r="F409" s="36">
        <f>VLOOKUP($A409, CAD_AMORTIZACAO[#Data], MATCH(F$318, CAD_ATUALIZACAO[#Headers],0), FALSE)</f>
        <v>45121</v>
      </c>
      <c r="G409" s="47">
        <f>WORKDAY(WORKDAY(TAB_AMORTIZACAO_U[[#This Row],[DT_EVE]], -1, TAB_FERIADOS[FER_DATA]), 1, TAB_FERIADOS[FER_DATA])</f>
        <v>45117</v>
      </c>
      <c r="H409" s="75">
        <f>WORKDAY(WORKDAY(TAB_AMORTIZACAO_U[[#This Row],[DT_LQDC_EVE]], -1, TAB_FERIADOS[FER_DATA]), 1, TAB_FERIADOS[FER_DATA])</f>
        <v>45121</v>
      </c>
      <c r="I409" s="48">
        <f>PU_EMISSAO - SUMIF(TAB_AMORTIZACAO_U[dt_eve_u], "&lt;" &amp; TAB_AMORTIZACAO_U[[#This Row],[dt_eve_u]], TAB_AMORTIZACAO_U[V_PU_AMTC])</f>
        <v>30058.95213400005</v>
      </c>
      <c r="J409" s="48">
        <f>IFERROR(VLOOKUP(TAB_AMORTIZACAO_U[[#This Row],[DT_EVE]], TAB_AMORTIZACAO_U[[DT_EVE]:[V_PU_AMTC]], 2, FALSE), 0)</f>
        <v>613.11244599999998</v>
      </c>
      <c r="K409" s="48">
        <f>NETWORKDAYS(DT_CALCULO_U, TAB_AMORTIZACAO_U[[#This Row],[dt_eve_u]], TAB_FERIADOS[FER_DATA]) -1</f>
        <v>1889</v>
      </c>
      <c r="L409" s="48">
        <f>NETWORKDAYS(DT_CALCULO_U, TAB_AMORTIZACAO_U[[#This Row],[dt_lqdc_eve_u]], TAB_FERIADOS[FER_DATA]) -1</f>
        <v>1893</v>
      </c>
      <c r="M409" s="48">
        <f>NETWORKDAYS(IF(ISTEXT(G408), DT_B_CORC, G408), TAB_AMORTIZACAO_U[[#This Row],[dt_eve_u]], TAB_FERIADOS[FER_DATA]) -1</f>
        <v>21</v>
      </c>
      <c r="N409" s="78">
        <f>(TX_EMISSAO/100 +1)^(TAB_AMORTIZACAO_U[[#This Row],[dias_periodo_u]]/252)</f>
        <v>1.0020598362698427</v>
      </c>
      <c r="O409" s="78">
        <f>(TIR_U/100 +1)^(TAB_AMORTIZACAO_U[[#This Row],[Q_DIAS_U_PARC_TIR]]/252)</f>
        <v>1.2038304702927081</v>
      </c>
      <c r="P409" s="116" t="str">
        <f>"TX_CENARIO" &amp; TEXT(DT_CALCULO_C, "-AAAAMMDD") &amp; TEXT(TAB_AMORTIZACAO_U[[#This Row],[DT_EVE]], "-AAAAMMDD")</f>
        <v>TX_CENARIO-20151228-20230710</v>
      </c>
      <c r="Q409" s="44">
        <f>IFERROR(VLOOKUP(TAB_AMORTIZACAO_U[[#This Row],[Chave-CENARIO]],CENARIO[],2,FALSE), 0)</f>
        <v>16.3916</v>
      </c>
      <c r="R409" s="117" t="str">
        <f t="shared" si="13"/>
        <v>n/a</v>
      </c>
      <c r="S409" s="49" t="str">
        <f t="shared" si="13"/>
        <v>n/a</v>
      </c>
      <c r="T409" s="78">
        <f>IF(TAB_AMORTIZACAO_U[[#This Row],[Q_DIAS_U_PARC_TIR]]&lt;0, 0, TAB_AMORTIZACAO_U[[#This Row],[PU_AMORT]])</f>
        <v>613.11244599999998</v>
      </c>
      <c r="U409" s="78">
        <f>MAX(0, TAB_AMORTIZACAO_U[[#This Row],[V_FUT_U_PCPL-01]]/((((TAB_AMORTIZACAO_U[[#This Row],[TX_CENARIO]]/100 +1)^(1/252) -1) * PC_IDXR/100 +1)^TAB_AMORTIZACAO_U[[#This Row],[Q_DIAS_U_PARC_TIR]]))</f>
        <v>196.03926396653904</v>
      </c>
      <c r="V409" s="78">
        <f>+TAB_AMORTIZACAO_U[[#This Row],[V_FUT_U_PCPL-02]]/TAB_AMORTIZACAO_U[[#This Row],[VAR_DESCAP_U]]</f>
        <v>162.84623857283879</v>
      </c>
      <c r="W409" s="78"/>
      <c r="X409" s="101">
        <f>TAB_AMORTIZACAO_U[[#This Row],[dt_eve_u]]- DT_CALCULO_C</f>
        <v>2751</v>
      </c>
      <c r="Y409" s="49" t="str">
        <f t="shared" si="14"/>
        <v>n/a</v>
      </c>
      <c r="Z409" s="49" t="str">
        <f t="shared" si="14"/>
        <v>n/a</v>
      </c>
      <c r="AA409" s="44">
        <f>TAB_AMORTIZACAO_U[[#This Row],[V_PU_AMTC]]</f>
        <v>613.11244599999998</v>
      </c>
      <c r="AB409" s="44">
        <f>(TIR_C/100 +1)^(TAB_AMORTIZACAO_C[[#This Row],[DIAS_CORRIDOS]]/360)</f>
        <v>1.2044523640773872</v>
      </c>
      <c r="AC409" s="44">
        <f>IF(TAB_AMORTIZACAO_C[[#This Row],[DIAS_CORRIDOS]]&lt;0, 0, TAB_AMORTIZACAO_C[[#This Row],[V_FUT_C_PCPL]]/TAB_AMORTIZACAO_C[[#This Row],[VAR_DESCAP_C]])</f>
        <v>509.03835160774105</v>
      </c>
      <c r="AD409" s="115">
        <f>TAB_AMORTIZACAO_U[[#This Row],[V_FUT_U_PCPL-02]]</f>
        <v>196.03926396653904</v>
      </c>
      <c r="AE409" s="127">
        <f>IF(TAB_AMORTIZACAO_C[[#This Row],[DIAS_CORRIDOS]]&lt;0, 0, TAB_AMORTIZACAO_C[[#This Row],[V_FUT_UTEIS]]/TAB_AMORTIZACAO_C[[#This Row],[VAR_DESCAP_C]])</f>
        <v>162.76215632380405</v>
      </c>
      <c r="AF409" s="64"/>
    </row>
    <row r="410" spans="1:32">
      <c r="A410" s="82">
        <f t="shared" si="12"/>
        <v>92</v>
      </c>
      <c r="B410" s="24">
        <f>VLOOKUP($A410, CAD_AMORTIZACAO[#Data], MATCH(B$318, CAD_ATUALIZACAO[#Headers],0), FALSE)</f>
        <v>4</v>
      </c>
      <c r="C410" s="24" t="str">
        <f>VLOOKUP($A410, CAD_AMORTIZACAO[#Data], MATCH(C$318, CAD_ATUALIZACAO[#Headers],0), FALSE)</f>
        <v xml:space="preserve">AMORTIZACAO                                       </v>
      </c>
      <c r="D410" s="36">
        <f>VLOOKUP($A410, CAD_AMORTIZACAO[#Data], MATCH(D$318, CAD_ATUALIZACAO[#Headers],0), FALSE)</f>
        <v>45146</v>
      </c>
      <c r="E410" s="48">
        <f>VLOOKUP($A410, CAD_AMORTIZACAO[#Data], MATCH(E$318, CAD_ATUALIZACAO[#Headers],0), FALSE)</f>
        <v>606.172055</v>
      </c>
      <c r="F410" s="36">
        <f>VLOOKUP($A410, CAD_AMORTIZACAO[#Data], MATCH(F$318, CAD_ATUALIZACAO[#Headers],0), FALSE)</f>
        <v>45152</v>
      </c>
      <c r="G410" s="47">
        <f>WORKDAY(WORKDAY(TAB_AMORTIZACAO_U[[#This Row],[DT_EVE]], -1, TAB_FERIADOS[FER_DATA]), 1, TAB_FERIADOS[FER_DATA])</f>
        <v>45146</v>
      </c>
      <c r="H410" s="75">
        <f>WORKDAY(WORKDAY(TAB_AMORTIZACAO_U[[#This Row],[DT_LQDC_EVE]], -1, TAB_FERIADOS[FER_DATA]), 1, TAB_FERIADOS[FER_DATA])</f>
        <v>45152</v>
      </c>
      <c r="I410" s="48">
        <f>PU_EMISSAO - SUMIF(TAB_AMORTIZACAO_U[dt_eve_u], "&lt;" &amp; TAB_AMORTIZACAO_U[[#This Row],[dt_eve_u]], TAB_AMORTIZACAO_U[V_PU_AMTC])</f>
        <v>29445.839688000051</v>
      </c>
      <c r="J410" s="48">
        <f>IFERROR(VLOOKUP(TAB_AMORTIZACAO_U[[#This Row],[DT_EVE]], TAB_AMORTIZACAO_U[[DT_EVE]:[V_PU_AMTC]], 2, FALSE), 0)</f>
        <v>606.172055</v>
      </c>
      <c r="K410" s="48">
        <f>NETWORKDAYS(DT_CALCULO_U, TAB_AMORTIZACAO_U[[#This Row],[dt_eve_u]], TAB_FERIADOS[FER_DATA]) -1</f>
        <v>1910</v>
      </c>
      <c r="L410" s="48">
        <f>NETWORKDAYS(DT_CALCULO_U, TAB_AMORTIZACAO_U[[#This Row],[dt_lqdc_eve_u]], TAB_FERIADOS[FER_DATA]) -1</f>
        <v>1914</v>
      </c>
      <c r="M410" s="48">
        <f>NETWORKDAYS(IF(ISTEXT(G409), DT_B_CORC, G409), TAB_AMORTIZACAO_U[[#This Row],[dt_eve_u]], TAB_FERIADOS[FER_DATA]) -1</f>
        <v>21</v>
      </c>
      <c r="N410" s="78">
        <f>(TX_EMISSAO/100 +1)^(TAB_AMORTIZACAO_U[[#This Row],[dias_periodo_u]]/252)</f>
        <v>1.0020598362698427</v>
      </c>
      <c r="O410" s="78">
        <f>(TIR_U/100 +1)^(TAB_AMORTIZACAO_U[[#This Row],[Q_DIAS_U_PARC_TIR]]/252)</f>
        <v>1.2063104313007329</v>
      </c>
      <c r="P410" s="116" t="str">
        <f>"TX_CENARIO" &amp; TEXT(DT_CALCULO_C, "-AAAAMMDD") &amp; TEXT(TAB_AMORTIZACAO_U[[#This Row],[DT_EVE]], "-AAAAMMDD")</f>
        <v>TX_CENARIO-20151228-20230808</v>
      </c>
      <c r="Q410" s="44">
        <f>IFERROR(VLOOKUP(TAB_AMORTIZACAO_U[[#This Row],[Chave-CENARIO]],CENARIO[],2,FALSE), 0)</f>
        <v>16.3902</v>
      </c>
      <c r="R410" s="117" t="str">
        <f t="shared" si="13"/>
        <v>n/a</v>
      </c>
      <c r="S410" s="49" t="str">
        <f t="shared" si="13"/>
        <v>n/a</v>
      </c>
      <c r="T410" s="78">
        <f>IF(TAB_AMORTIZACAO_U[[#This Row],[Q_DIAS_U_PARC_TIR]]&lt;0, 0, TAB_AMORTIZACAO_U[[#This Row],[PU_AMORT]])</f>
        <v>606.172055</v>
      </c>
      <c r="U410" s="78">
        <f>MAX(0, TAB_AMORTIZACAO_U[[#This Row],[V_FUT_U_PCPL-01]]/((((TAB_AMORTIZACAO_U[[#This Row],[TX_CENARIO]]/100 +1)^(1/252) -1) * PC_IDXR/100 +1)^TAB_AMORTIZACAO_U[[#This Row],[Q_DIAS_U_PARC_TIR]]))</f>
        <v>191.40137305802133</v>
      </c>
      <c r="V410" s="78">
        <f>+TAB_AMORTIZACAO_U[[#This Row],[V_FUT_U_PCPL-02]]/TAB_AMORTIZACAO_U[[#This Row],[VAR_DESCAP_U]]</f>
        <v>158.66676445103624</v>
      </c>
      <c r="W410" s="78"/>
      <c r="X410" s="101">
        <f>TAB_AMORTIZACAO_U[[#This Row],[dt_eve_u]]- DT_CALCULO_C</f>
        <v>2780</v>
      </c>
      <c r="Y410" s="49" t="str">
        <f t="shared" si="14"/>
        <v>n/a</v>
      </c>
      <c r="Z410" s="49" t="str">
        <f t="shared" si="14"/>
        <v>n/a</v>
      </c>
      <c r="AA410" s="44">
        <f>TAB_AMORTIZACAO_U[[#This Row],[V_PU_AMTC]]</f>
        <v>606.172055</v>
      </c>
      <c r="AB410" s="44">
        <f>(TIR_C/100 +1)^(TAB_AMORTIZACAO_C[[#This Row],[DIAS_CORRIDOS]]/360)</f>
        <v>1.2068166186164861</v>
      </c>
      <c r="AC410" s="44">
        <f>IF(TAB_AMORTIZACAO_C[[#This Row],[DIAS_CORRIDOS]]&lt;0, 0, TAB_AMORTIZACAO_C[[#This Row],[V_FUT_C_PCPL]]/TAB_AMORTIZACAO_C[[#This Row],[VAR_DESCAP_C]])</f>
        <v>502.29011239083309</v>
      </c>
      <c r="AD410" s="115">
        <f>TAB_AMORTIZACAO_U[[#This Row],[V_FUT_U_PCPL-02]]</f>
        <v>191.40137305802133</v>
      </c>
      <c r="AE410" s="127">
        <f>IF(TAB_AMORTIZACAO_C[[#This Row],[DIAS_CORRIDOS]]&lt;0, 0, TAB_AMORTIZACAO_C[[#This Row],[V_FUT_UTEIS]]/TAB_AMORTIZACAO_C[[#This Row],[VAR_DESCAP_C]])</f>
        <v>158.60021324320752</v>
      </c>
      <c r="AF410" s="64"/>
    </row>
    <row r="411" spans="1:32">
      <c r="A411" s="82">
        <f t="shared" si="12"/>
        <v>93</v>
      </c>
      <c r="B411" s="24">
        <f>VLOOKUP($A411, CAD_AMORTIZACAO[#Data], MATCH(B$318, CAD_ATUALIZACAO[#Headers],0), FALSE)</f>
        <v>4</v>
      </c>
      <c r="C411" s="24" t="str">
        <f>VLOOKUP($A411, CAD_AMORTIZACAO[#Data], MATCH(C$318, CAD_ATUALIZACAO[#Headers],0), FALSE)</f>
        <v xml:space="preserve">AMORTIZACAO                                       </v>
      </c>
      <c r="D411" s="36">
        <f>VLOOKUP($A411, CAD_AMORTIZACAO[#Data], MATCH(D$318, CAD_ATUALIZACAO[#Headers],0), FALSE)</f>
        <v>45180</v>
      </c>
      <c r="E411" s="48">
        <f>VLOOKUP($A411, CAD_AMORTIZACAO[#Data], MATCH(E$318, CAD_ATUALIZACAO[#Headers],0), FALSE)</f>
        <v>592.91472599999997</v>
      </c>
      <c r="F411" s="36">
        <f>VLOOKUP($A411, CAD_AMORTIZACAO[#Data], MATCH(F$318, CAD_ATUALIZACAO[#Headers],0), FALSE)</f>
        <v>45184</v>
      </c>
      <c r="G411" s="47">
        <f>WORKDAY(WORKDAY(TAB_AMORTIZACAO_U[[#This Row],[DT_EVE]], -1, TAB_FERIADOS[FER_DATA]), 1, TAB_FERIADOS[FER_DATA])</f>
        <v>45180</v>
      </c>
      <c r="H411" s="75">
        <f>WORKDAY(WORKDAY(TAB_AMORTIZACAO_U[[#This Row],[DT_LQDC_EVE]], -1, TAB_FERIADOS[FER_DATA]), 1, TAB_FERIADOS[FER_DATA])</f>
        <v>45184</v>
      </c>
      <c r="I411" s="48">
        <f>PU_EMISSAO - SUMIF(TAB_AMORTIZACAO_U[dt_eve_u], "&lt;" &amp; TAB_AMORTIZACAO_U[[#This Row],[dt_eve_u]], TAB_AMORTIZACAO_U[V_PU_AMTC])</f>
        <v>28839.667633000048</v>
      </c>
      <c r="J411" s="48">
        <f>IFERROR(VLOOKUP(TAB_AMORTIZACAO_U[[#This Row],[DT_EVE]], TAB_AMORTIZACAO_U[[DT_EVE]:[V_PU_AMTC]], 2, FALSE), 0)</f>
        <v>592.91472599999997</v>
      </c>
      <c r="K411" s="48">
        <f>NETWORKDAYS(DT_CALCULO_U, TAB_AMORTIZACAO_U[[#This Row],[dt_eve_u]], TAB_FERIADOS[FER_DATA]) -1</f>
        <v>1933</v>
      </c>
      <c r="L411" s="48">
        <f>NETWORKDAYS(DT_CALCULO_U, TAB_AMORTIZACAO_U[[#This Row],[dt_lqdc_eve_u]], TAB_FERIADOS[FER_DATA]) -1</f>
        <v>1937</v>
      </c>
      <c r="M411" s="48">
        <f>NETWORKDAYS(IF(ISTEXT(G410), DT_B_CORC, G410), TAB_AMORTIZACAO_U[[#This Row],[dt_eve_u]], TAB_FERIADOS[FER_DATA]) -1</f>
        <v>23</v>
      </c>
      <c r="N411" s="78">
        <f>(TX_EMISSAO/100 +1)^(TAB_AMORTIZACAO_U[[#This Row],[dias_periodo_u]]/252)</f>
        <v>1.0022562323017139</v>
      </c>
      <c r="O411" s="78">
        <f>(TIR_U/100 +1)^(TAB_AMORTIZACAO_U[[#This Row],[Q_DIAS_U_PARC_TIR]]/252)</f>
        <v>1.209032441326201</v>
      </c>
      <c r="P411" s="116" t="str">
        <f>"TX_CENARIO" &amp; TEXT(DT_CALCULO_C, "-AAAAMMDD") &amp; TEXT(TAB_AMORTIZACAO_U[[#This Row],[DT_EVE]], "-AAAAMMDD")</f>
        <v>TX_CENARIO-20151228-20230911</v>
      </c>
      <c r="Q411" s="44">
        <f>IFERROR(VLOOKUP(TAB_AMORTIZACAO_U[[#This Row],[Chave-CENARIO]],CENARIO[],2,FALSE), 0)</f>
        <v>16.3887</v>
      </c>
      <c r="R411" s="117" t="str">
        <f t="shared" si="13"/>
        <v>n/a</v>
      </c>
      <c r="S411" s="49" t="str">
        <f t="shared" si="13"/>
        <v>n/a</v>
      </c>
      <c r="T411" s="78">
        <f>IF(TAB_AMORTIZACAO_U[[#This Row],[Q_DIAS_U_PARC_TIR]]&lt;0, 0, TAB_AMORTIZACAO_U[[#This Row],[PU_AMORT]])</f>
        <v>592.91472599999997</v>
      </c>
      <c r="U411" s="78">
        <f>MAX(0, TAB_AMORTIZACAO_U[[#This Row],[V_FUT_U_PCPL-01]]/((((TAB_AMORTIZACAO_U[[#This Row],[TX_CENARIO]]/100 +1)^(1/252) -1) * PC_IDXR/100 +1)^TAB_AMORTIZACAO_U[[#This Row],[Q_DIAS_U_PARC_TIR]]))</f>
        <v>184.65803764632969</v>
      </c>
      <c r="V411" s="78">
        <f>+TAB_AMORTIZACAO_U[[#This Row],[V_FUT_U_PCPL-02]]/TAB_AMORTIZACAO_U[[#This Row],[VAR_DESCAP_U]]</f>
        <v>152.73207842444347</v>
      </c>
      <c r="W411" s="78"/>
      <c r="X411" s="101">
        <f>TAB_AMORTIZACAO_U[[#This Row],[dt_eve_u]]- DT_CALCULO_C</f>
        <v>2814</v>
      </c>
      <c r="Y411" s="49" t="str">
        <f t="shared" si="14"/>
        <v>n/a</v>
      </c>
      <c r="Z411" s="49" t="str">
        <f t="shared" si="14"/>
        <v>n/a</v>
      </c>
      <c r="AA411" s="44">
        <f>TAB_AMORTIZACAO_U[[#This Row],[V_PU_AMTC]]</f>
        <v>592.91472599999997</v>
      </c>
      <c r="AB411" s="44">
        <f>(TIR_C/100 +1)^(TAB_AMORTIZACAO_C[[#This Row],[DIAS_CORRIDOS]]/360)</f>
        <v>1.2095944139807009</v>
      </c>
      <c r="AC411" s="44">
        <f>IF(TAB_AMORTIZACAO_C[[#This Row],[DIAS_CORRIDOS]]&lt;0, 0, TAB_AMORTIZACAO_C[[#This Row],[V_FUT_C_PCPL]]/TAB_AMORTIZACAO_C[[#This Row],[VAR_DESCAP_C]])</f>
        <v>490.176474979538</v>
      </c>
      <c r="AD411" s="115">
        <f>TAB_AMORTIZACAO_U[[#This Row],[V_FUT_U_PCPL-02]]</f>
        <v>184.65803764632969</v>
      </c>
      <c r="AE411" s="127">
        <f>IF(TAB_AMORTIZACAO_C[[#This Row],[DIAS_CORRIDOS]]&lt;0, 0, TAB_AMORTIZACAO_C[[#This Row],[V_FUT_UTEIS]]/TAB_AMORTIZACAO_C[[#This Row],[VAR_DESCAP_C]])</f>
        <v>152.6611197208091</v>
      </c>
      <c r="AF411" s="64"/>
    </row>
    <row r="412" spans="1:32">
      <c r="A412" s="82">
        <f t="shared" si="12"/>
        <v>94</v>
      </c>
      <c r="B412" s="24">
        <f>VLOOKUP($A412, CAD_AMORTIZACAO[#Data], MATCH(B$318, CAD_ATUALIZACAO[#Headers],0), FALSE)</f>
        <v>4</v>
      </c>
      <c r="C412" s="24" t="str">
        <f>VLOOKUP($A412, CAD_AMORTIZACAO[#Data], MATCH(C$318, CAD_ATUALIZACAO[#Headers],0), FALSE)</f>
        <v xml:space="preserve">AMORTIZACAO                                       </v>
      </c>
      <c r="D412" s="36">
        <f>VLOOKUP($A412, CAD_AMORTIZACAO[#Data], MATCH(D$318, CAD_ATUALIZACAO[#Headers],0), FALSE)</f>
        <v>45209</v>
      </c>
      <c r="E412" s="48">
        <f>VLOOKUP($A412, CAD_AMORTIZACAO[#Data], MATCH(E$318, CAD_ATUALIZACAO[#Headers],0), FALSE)</f>
        <v>594.96135600000002</v>
      </c>
      <c r="F412" s="36">
        <f>VLOOKUP($A412, CAD_AMORTIZACAO[#Data], MATCH(F$318, CAD_ATUALIZACAO[#Headers],0), FALSE)</f>
        <v>45215</v>
      </c>
      <c r="G412" s="47">
        <f>WORKDAY(WORKDAY(TAB_AMORTIZACAO_U[[#This Row],[DT_EVE]], -1, TAB_FERIADOS[FER_DATA]), 1, TAB_FERIADOS[FER_DATA])</f>
        <v>45209</v>
      </c>
      <c r="H412" s="75">
        <f>WORKDAY(WORKDAY(TAB_AMORTIZACAO_U[[#This Row],[DT_LQDC_EVE]], -1, TAB_FERIADOS[FER_DATA]), 1, TAB_FERIADOS[FER_DATA])</f>
        <v>45215</v>
      </c>
      <c r="I412" s="48">
        <f>PU_EMISSAO - SUMIF(TAB_AMORTIZACAO_U[dt_eve_u], "&lt;" &amp; TAB_AMORTIZACAO_U[[#This Row],[dt_eve_u]], TAB_AMORTIZACAO_U[V_PU_AMTC])</f>
        <v>28246.752907000046</v>
      </c>
      <c r="J412" s="48">
        <f>IFERROR(VLOOKUP(TAB_AMORTIZACAO_U[[#This Row],[DT_EVE]], TAB_AMORTIZACAO_U[[DT_EVE]:[V_PU_AMTC]], 2, FALSE), 0)</f>
        <v>594.96135600000002</v>
      </c>
      <c r="K412" s="48">
        <f>NETWORKDAYS(DT_CALCULO_U, TAB_AMORTIZACAO_U[[#This Row],[dt_eve_u]], TAB_FERIADOS[FER_DATA]) -1</f>
        <v>1954</v>
      </c>
      <c r="L412" s="48">
        <f>NETWORKDAYS(DT_CALCULO_U, TAB_AMORTIZACAO_U[[#This Row],[dt_lqdc_eve_u]], TAB_FERIADOS[FER_DATA]) -1</f>
        <v>1957</v>
      </c>
      <c r="M412" s="48">
        <f>NETWORKDAYS(IF(ISTEXT(G411), DT_B_CORC, G411), TAB_AMORTIZACAO_U[[#This Row],[dt_eve_u]], TAB_FERIADOS[FER_DATA]) -1</f>
        <v>21</v>
      </c>
      <c r="N412" s="78">
        <f>(TX_EMISSAO/100 +1)^(TAB_AMORTIZACAO_U[[#This Row],[dias_periodo_u]]/252)</f>
        <v>1.0020598362698427</v>
      </c>
      <c r="O412" s="78">
        <f>(TIR_U/100 +1)^(TAB_AMORTIZACAO_U[[#This Row],[Q_DIAS_U_PARC_TIR]]/252)</f>
        <v>1.2114043987494454</v>
      </c>
      <c r="P412" s="116" t="str">
        <f>"TX_CENARIO" &amp; TEXT(DT_CALCULO_C, "-AAAAMMDD") &amp; TEXT(TAB_AMORTIZACAO_U[[#This Row],[DT_EVE]], "-AAAAMMDD")</f>
        <v>TX_CENARIO-20151228-20231010</v>
      </c>
      <c r="Q412" s="44">
        <f>IFERROR(VLOOKUP(TAB_AMORTIZACAO_U[[#This Row],[Chave-CENARIO]],CENARIO[],2,FALSE), 0)</f>
        <v>16.3874</v>
      </c>
      <c r="R412" s="117" t="str">
        <f t="shared" si="13"/>
        <v>n/a</v>
      </c>
      <c r="S412" s="49" t="str">
        <f t="shared" si="13"/>
        <v>n/a</v>
      </c>
      <c r="T412" s="78">
        <f>IF(TAB_AMORTIZACAO_U[[#This Row],[Q_DIAS_U_PARC_TIR]]&lt;0, 0, TAB_AMORTIZACAO_U[[#This Row],[PU_AMORT]])</f>
        <v>594.96135600000002</v>
      </c>
      <c r="U412" s="78">
        <f>MAX(0, TAB_AMORTIZACAO_U[[#This Row],[V_FUT_U_PCPL-01]]/((((TAB_AMORTIZACAO_U[[#This Row],[TX_CENARIO]]/100 +1)^(1/252) -1) * PC_IDXR/100 +1)^TAB_AMORTIZACAO_U[[#This Row],[Q_DIAS_U_PARC_TIR]]))</f>
        <v>183.09285273386399</v>
      </c>
      <c r="V412" s="78">
        <f>+TAB_AMORTIZACAO_U[[#This Row],[V_FUT_U_PCPL-02]]/TAB_AMORTIZACAO_U[[#This Row],[VAR_DESCAP_U]]</f>
        <v>151.14098390502301</v>
      </c>
      <c r="W412" s="78"/>
      <c r="X412" s="101">
        <f>TAB_AMORTIZACAO_U[[#This Row],[dt_eve_u]]- DT_CALCULO_C</f>
        <v>2843</v>
      </c>
      <c r="Y412" s="49" t="str">
        <f t="shared" si="14"/>
        <v>n/a</v>
      </c>
      <c r="Z412" s="49" t="str">
        <f t="shared" si="14"/>
        <v>n/a</v>
      </c>
      <c r="AA412" s="44">
        <f>TAB_AMORTIZACAO_U[[#This Row],[V_PU_AMTC]]</f>
        <v>594.96135600000002</v>
      </c>
      <c r="AB412" s="44">
        <f>(TIR_C/100 +1)^(TAB_AMORTIZACAO_C[[#This Row],[DIAS_CORRIDOS]]/360)</f>
        <v>1.2119687619989499</v>
      </c>
      <c r="AC412" s="44">
        <f>IF(TAB_AMORTIZACAO_C[[#This Row],[DIAS_CORRIDOS]]&lt;0, 0, TAB_AMORTIZACAO_C[[#This Row],[V_FUT_C_PCPL]]/TAB_AMORTIZACAO_C[[#This Row],[VAR_DESCAP_C]])</f>
        <v>490.90486046744786</v>
      </c>
      <c r="AD412" s="115">
        <f>TAB_AMORTIZACAO_U[[#This Row],[V_FUT_U_PCPL-02]]</f>
        <v>183.09285273386399</v>
      </c>
      <c r="AE412" s="127">
        <f>IF(TAB_AMORTIZACAO_C[[#This Row],[DIAS_CORRIDOS]]&lt;0, 0, TAB_AMORTIZACAO_C[[#This Row],[V_FUT_UTEIS]]/TAB_AMORTIZACAO_C[[#This Row],[VAR_DESCAP_C]])</f>
        <v>151.07060385936137</v>
      </c>
      <c r="AF412" s="64"/>
    </row>
    <row r="413" spans="1:32">
      <c r="A413" s="82">
        <f t="shared" si="12"/>
        <v>95</v>
      </c>
      <c r="B413" s="24">
        <f>VLOOKUP($A413, CAD_AMORTIZACAO[#Data], MATCH(B$318, CAD_ATUALIZACAO[#Headers],0), FALSE)</f>
        <v>4</v>
      </c>
      <c r="C413" s="24" t="str">
        <f>VLOOKUP($A413, CAD_AMORTIZACAO[#Data], MATCH(C$318, CAD_ATUALIZACAO[#Headers],0), FALSE)</f>
        <v xml:space="preserve">AMORTIZACAO                                       </v>
      </c>
      <c r="D413" s="36">
        <f>VLOOKUP($A413, CAD_AMORTIZACAO[#Data], MATCH(D$318, CAD_ATUALIZACAO[#Headers],0), FALSE)</f>
        <v>45240</v>
      </c>
      <c r="E413" s="48">
        <f>VLOOKUP($A413, CAD_AMORTIZACAO[#Data], MATCH(E$318, CAD_ATUALIZACAO[#Headers],0), FALSE)</f>
        <v>585.52668600000004</v>
      </c>
      <c r="F413" s="36">
        <f>VLOOKUP($A413, CAD_AMORTIZACAO[#Data], MATCH(F$318, CAD_ATUALIZACAO[#Headers],0), FALSE)</f>
        <v>45246</v>
      </c>
      <c r="G413" s="47">
        <f>WORKDAY(WORKDAY(TAB_AMORTIZACAO_U[[#This Row],[DT_EVE]], -1, TAB_FERIADOS[FER_DATA]), 1, TAB_FERIADOS[FER_DATA])</f>
        <v>45240</v>
      </c>
      <c r="H413" s="75">
        <f>WORKDAY(WORKDAY(TAB_AMORTIZACAO_U[[#This Row],[DT_LQDC_EVE]], -1, TAB_FERIADOS[FER_DATA]), 1, TAB_FERIADOS[FER_DATA])</f>
        <v>45246</v>
      </c>
      <c r="I413" s="48">
        <f>PU_EMISSAO - SUMIF(TAB_AMORTIZACAO_U[dt_eve_u], "&lt;" &amp; TAB_AMORTIZACAO_U[[#This Row],[dt_eve_u]], TAB_AMORTIZACAO_U[V_PU_AMTC])</f>
        <v>27651.791551000046</v>
      </c>
      <c r="J413" s="48">
        <f>IFERROR(VLOOKUP(TAB_AMORTIZACAO_U[[#This Row],[DT_EVE]], TAB_AMORTIZACAO_U[[DT_EVE]:[V_PU_AMTC]], 2, FALSE), 0)</f>
        <v>585.52668600000004</v>
      </c>
      <c r="K413" s="48">
        <f>NETWORKDAYS(DT_CALCULO_U, TAB_AMORTIZACAO_U[[#This Row],[dt_eve_u]], TAB_FERIADOS[FER_DATA]) -1</f>
        <v>1975</v>
      </c>
      <c r="L413" s="48">
        <f>NETWORKDAYS(DT_CALCULO_U, TAB_AMORTIZACAO_U[[#This Row],[dt_lqdc_eve_u]], TAB_FERIADOS[FER_DATA]) -1</f>
        <v>1978</v>
      </c>
      <c r="M413" s="48">
        <f>NETWORKDAYS(IF(ISTEXT(G412), DT_B_CORC, G412), TAB_AMORTIZACAO_U[[#This Row],[dt_eve_u]], TAB_FERIADOS[FER_DATA]) -1</f>
        <v>21</v>
      </c>
      <c r="N413" s="78">
        <f>(TX_EMISSAO/100 +1)^(TAB_AMORTIZACAO_U[[#This Row],[dias_periodo_u]]/252)</f>
        <v>1.0020598362698427</v>
      </c>
      <c r="O413" s="78">
        <f>(TIR_U/100 +1)^(TAB_AMORTIZACAO_U[[#This Row],[Q_DIAS_U_PARC_TIR]]/252)</f>
        <v>1.2138999624920028</v>
      </c>
      <c r="P413" s="116" t="str">
        <f>"TX_CENARIO" &amp; TEXT(DT_CALCULO_C, "-AAAAMMDD") &amp; TEXT(TAB_AMORTIZACAO_U[[#This Row],[DT_EVE]], "-AAAAMMDD")</f>
        <v>TX_CENARIO-20151228-20231110</v>
      </c>
      <c r="Q413" s="44">
        <f>IFERROR(VLOOKUP(TAB_AMORTIZACAO_U[[#This Row],[Chave-CENARIO]],CENARIO[],2,FALSE), 0)</f>
        <v>16.385999999999999</v>
      </c>
      <c r="R413" s="117" t="str">
        <f t="shared" si="13"/>
        <v>n/a</v>
      </c>
      <c r="S413" s="49" t="str">
        <f t="shared" si="13"/>
        <v>n/a</v>
      </c>
      <c r="T413" s="78">
        <f>IF(TAB_AMORTIZACAO_U[[#This Row],[Q_DIAS_U_PARC_TIR]]&lt;0, 0, TAB_AMORTIZACAO_U[[#This Row],[PU_AMORT]])</f>
        <v>585.52668600000004</v>
      </c>
      <c r="U413" s="78">
        <f>MAX(0, TAB_AMORTIZACAO_U[[#This Row],[V_FUT_U_PCPL-01]]/((((TAB_AMORTIZACAO_U[[#This Row],[TX_CENARIO]]/100 +1)^(1/252) -1) * PC_IDXR/100 +1)^TAB_AMORTIZACAO_U[[#This Row],[Q_DIAS_U_PARC_TIR]]))</f>
        <v>177.94187697701025</v>
      </c>
      <c r="V413" s="78">
        <f>+TAB_AMORTIZACAO_U[[#This Row],[V_FUT_U_PCPL-02]]/TAB_AMORTIZACAO_U[[#This Row],[VAR_DESCAP_U]]</f>
        <v>146.58693671240849</v>
      </c>
      <c r="W413" s="78"/>
      <c r="X413" s="101">
        <f>TAB_AMORTIZACAO_U[[#This Row],[dt_eve_u]]- DT_CALCULO_C</f>
        <v>2874</v>
      </c>
      <c r="Y413" s="49" t="str">
        <f t="shared" si="14"/>
        <v>n/a</v>
      </c>
      <c r="Z413" s="49" t="str">
        <f t="shared" si="14"/>
        <v>n/a</v>
      </c>
      <c r="AA413" s="44">
        <f>TAB_AMORTIZACAO_U[[#This Row],[V_PU_AMTC]]</f>
        <v>585.52668600000004</v>
      </c>
      <c r="AB413" s="44">
        <f>(TIR_C/100 +1)^(TAB_AMORTIZACAO_C[[#This Row],[DIAS_CORRIDOS]]/360)</f>
        <v>1.2145120122881838</v>
      </c>
      <c r="AC413" s="44">
        <f>IF(TAB_AMORTIZACAO_C[[#This Row],[DIAS_CORRIDOS]]&lt;0, 0, TAB_AMORTIZACAO_C[[#This Row],[V_FUT_C_PCPL]]/TAB_AMORTIZACAO_C[[#This Row],[VAR_DESCAP_C]])</f>
        <v>482.1086000597449</v>
      </c>
      <c r="AD413" s="115">
        <f>TAB_AMORTIZACAO_U[[#This Row],[V_FUT_U_PCPL-02]]</f>
        <v>177.94187697701025</v>
      </c>
      <c r="AE413" s="127">
        <f>IF(TAB_AMORTIZACAO_C[[#This Row],[DIAS_CORRIDOS]]&lt;0, 0, TAB_AMORTIZACAO_C[[#This Row],[V_FUT_UTEIS]]/TAB_AMORTIZACAO_C[[#This Row],[VAR_DESCAP_C]])</f>
        <v>146.51306465200079</v>
      </c>
      <c r="AF413" s="64"/>
    </row>
    <row r="414" spans="1:32">
      <c r="A414" s="82">
        <f t="shared" si="12"/>
        <v>96</v>
      </c>
      <c r="B414" s="24">
        <f>VLOOKUP($A414, CAD_AMORTIZACAO[#Data], MATCH(B$318, CAD_ATUALIZACAO[#Headers],0), FALSE)</f>
        <v>4</v>
      </c>
      <c r="C414" s="24" t="str">
        <f>VLOOKUP($A414, CAD_AMORTIZACAO[#Data], MATCH(C$318, CAD_ATUALIZACAO[#Headers],0), FALSE)</f>
        <v xml:space="preserve">AMORTIZACAO                                       </v>
      </c>
      <c r="D414" s="36">
        <f>VLOOKUP($A414, CAD_AMORTIZACAO[#Data], MATCH(D$318, CAD_ATUALIZACAO[#Headers],0), FALSE)</f>
        <v>45268</v>
      </c>
      <c r="E414" s="48">
        <f>VLOOKUP($A414, CAD_AMORTIZACAO[#Data], MATCH(E$318, CAD_ATUALIZACAO[#Headers],0), FALSE)</f>
        <v>581.95176000000004</v>
      </c>
      <c r="F414" s="36">
        <f>VLOOKUP($A414, CAD_AMORTIZACAO[#Data], MATCH(F$318, CAD_ATUALIZACAO[#Headers],0), FALSE)</f>
        <v>45274</v>
      </c>
      <c r="G414" s="47">
        <f>WORKDAY(WORKDAY(TAB_AMORTIZACAO_U[[#This Row],[DT_EVE]], -1, TAB_FERIADOS[FER_DATA]), 1, TAB_FERIADOS[FER_DATA])</f>
        <v>45268</v>
      </c>
      <c r="H414" s="75">
        <f>WORKDAY(WORKDAY(TAB_AMORTIZACAO_U[[#This Row],[DT_LQDC_EVE]], -1, TAB_FERIADOS[FER_DATA]), 1, TAB_FERIADOS[FER_DATA])</f>
        <v>45274</v>
      </c>
      <c r="I414" s="48">
        <f>PU_EMISSAO - SUMIF(TAB_AMORTIZACAO_U[dt_eve_u], "&lt;" &amp; TAB_AMORTIZACAO_U[[#This Row],[dt_eve_u]], TAB_AMORTIZACAO_U[V_PU_AMTC])</f>
        <v>27066.264865000048</v>
      </c>
      <c r="J414" s="48">
        <f>IFERROR(VLOOKUP(TAB_AMORTIZACAO_U[[#This Row],[DT_EVE]], TAB_AMORTIZACAO_U[[DT_EVE]:[V_PU_AMTC]], 2, FALSE), 0)</f>
        <v>581.95176000000004</v>
      </c>
      <c r="K414" s="48">
        <f>NETWORKDAYS(DT_CALCULO_U, TAB_AMORTIZACAO_U[[#This Row],[dt_eve_u]], TAB_FERIADOS[FER_DATA]) -1</f>
        <v>1994</v>
      </c>
      <c r="L414" s="48">
        <f>NETWORKDAYS(DT_CALCULO_U, TAB_AMORTIZACAO_U[[#This Row],[dt_lqdc_eve_u]], TAB_FERIADOS[FER_DATA]) -1</f>
        <v>1998</v>
      </c>
      <c r="M414" s="48">
        <f>NETWORKDAYS(IF(ISTEXT(G413), DT_B_CORC, G413), TAB_AMORTIZACAO_U[[#This Row],[dt_eve_u]], TAB_FERIADOS[FER_DATA]) -1</f>
        <v>19</v>
      </c>
      <c r="N414" s="78">
        <f>(TX_EMISSAO/100 +1)^(TAB_AMORTIZACAO_U[[#This Row],[dias_periodo_u]]/252)</f>
        <v>1.0018634787225431</v>
      </c>
      <c r="O414" s="78">
        <f>(TIR_U/100 +1)^(TAB_AMORTIZACAO_U[[#This Row],[Q_DIAS_U_PARC_TIR]]/252)</f>
        <v>1.2162814693306041</v>
      </c>
      <c r="P414" s="116" t="str">
        <f>"TX_CENARIO" &amp; TEXT(DT_CALCULO_C, "-AAAAMMDD") &amp; TEXT(TAB_AMORTIZACAO_U[[#This Row],[DT_EVE]], "-AAAAMMDD")</f>
        <v>TX_CENARIO-20151228-20231208</v>
      </c>
      <c r="Q414" s="44">
        <f>IFERROR(VLOOKUP(TAB_AMORTIZACAO_U[[#This Row],[Chave-CENARIO]],CENARIO[],2,FALSE), 0)</f>
        <v>16.384799999999998</v>
      </c>
      <c r="R414" s="117" t="str">
        <f t="shared" si="13"/>
        <v>n/a</v>
      </c>
      <c r="S414" s="49" t="str">
        <f t="shared" si="13"/>
        <v>n/a</v>
      </c>
      <c r="T414" s="78">
        <f>IF(TAB_AMORTIZACAO_U[[#This Row],[Q_DIAS_U_PARC_TIR]]&lt;0, 0, TAB_AMORTIZACAO_U[[#This Row],[PU_AMORT]])</f>
        <v>581.95176000000004</v>
      </c>
      <c r="U414" s="78">
        <f>MAX(0, TAB_AMORTIZACAO_U[[#This Row],[V_FUT_U_PCPL-01]]/((((TAB_AMORTIZACAO_U[[#This Row],[TX_CENARIO]]/100 +1)^(1/252) -1) * PC_IDXR/100 +1)^TAB_AMORTIZACAO_U[[#This Row],[Q_DIAS_U_PARC_TIR]]))</f>
        <v>174.75263987696306</v>
      </c>
      <c r="V414" s="78">
        <f>+TAB_AMORTIZACAO_U[[#This Row],[V_FUT_U_PCPL-02]]/TAB_AMORTIZACAO_U[[#This Row],[VAR_DESCAP_U]]</f>
        <v>143.67779521720445</v>
      </c>
      <c r="W414" s="78"/>
      <c r="X414" s="101">
        <f>TAB_AMORTIZACAO_U[[#This Row],[dt_eve_u]]- DT_CALCULO_C</f>
        <v>2902</v>
      </c>
      <c r="Y414" s="49" t="str">
        <f t="shared" si="14"/>
        <v>n/a</v>
      </c>
      <c r="Z414" s="49" t="str">
        <f t="shared" si="14"/>
        <v>n/a</v>
      </c>
      <c r="AA414" s="44">
        <f>TAB_AMORTIZACAO_U[[#This Row],[V_PU_AMTC]]</f>
        <v>581.95176000000004</v>
      </c>
      <c r="AB414" s="44">
        <f>(TIR_C/100 +1)^(TAB_AMORTIZACAO_C[[#This Row],[DIAS_CORRIDOS]]/360)</f>
        <v>1.2168137284265981</v>
      </c>
      <c r="AC414" s="44">
        <f>IF(TAB_AMORTIZACAO_C[[#This Row],[DIAS_CORRIDOS]]&lt;0, 0, TAB_AMORTIZACAO_C[[#This Row],[V_FUT_C_PCPL]]/TAB_AMORTIZACAO_C[[#This Row],[VAR_DESCAP_C]])</f>
        <v>478.2587066571752</v>
      </c>
      <c r="AD414" s="115">
        <f>TAB_AMORTIZACAO_U[[#This Row],[V_FUT_U_PCPL-02]]</f>
        <v>174.75263987696306</v>
      </c>
      <c r="AE414" s="127">
        <f>IF(TAB_AMORTIZACAO_C[[#This Row],[DIAS_CORRIDOS]]&lt;0, 0, TAB_AMORTIZACAO_C[[#This Row],[V_FUT_UTEIS]]/TAB_AMORTIZACAO_C[[#This Row],[VAR_DESCAP_C]])</f>
        <v>143.61494762466816</v>
      </c>
      <c r="AF414" s="64"/>
    </row>
    <row r="415" spans="1:32">
      <c r="A415" s="82">
        <f t="shared" si="12"/>
        <v>97</v>
      </c>
      <c r="B415" s="24">
        <f>VLOOKUP($A415, CAD_AMORTIZACAO[#Data], MATCH(B$318, CAD_ATUALIZACAO[#Headers],0), FALSE)</f>
        <v>4</v>
      </c>
      <c r="C415" s="24" t="str">
        <f>VLOOKUP($A415, CAD_AMORTIZACAO[#Data], MATCH(C$318, CAD_ATUALIZACAO[#Headers],0), FALSE)</f>
        <v xml:space="preserve">AMORTIZACAO                                       </v>
      </c>
      <c r="D415" s="36">
        <f>VLOOKUP($A415, CAD_AMORTIZACAO[#Data], MATCH(D$318, CAD_ATUALIZACAO[#Headers],0), FALSE)</f>
        <v>45300</v>
      </c>
      <c r="E415" s="48">
        <f>VLOOKUP($A415, CAD_AMORTIZACAO[#Data], MATCH(E$318, CAD_ATUALIZACAO[#Headers],0), FALSE)</f>
        <v>627.51931400000001</v>
      </c>
      <c r="F415" s="36">
        <f>VLOOKUP($A415, CAD_AMORTIZACAO[#Data], MATCH(F$318, CAD_ATUALIZACAO[#Headers],0), FALSE)</f>
        <v>45306</v>
      </c>
      <c r="G415" s="47">
        <f>WORKDAY(WORKDAY(TAB_AMORTIZACAO_U[[#This Row],[DT_EVE]], -1, TAB_FERIADOS[FER_DATA]), 1, TAB_FERIADOS[FER_DATA])</f>
        <v>45300</v>
      </c>
      <c r="H415" s="75">
        <f>WORKDAY(WORKDAY(TAB_AMORTIZACAO_U[[#This Row],[DT_LQDC_EVE]], -1, TAB_FERIADOS[FER_DATA]), 1, TAB_FERIADOS[FER_DATA])</f>
        <v>45306</v>
      </c>
      <c r="I415" s="48">
        <f>PU_EMISSAO - SUMIF(TAB_AMORTIZACAO_U[dt_eve_u], "&lt;" &amp; TAB_AMORTIZACAO_U[[#This Row],[dt_eve_u]], TAB_AMORTIZACAO_U[V_PU_AMTC])</f>
        <v>26484.313105000052</v>
      </c>
      <c r="J415" s="48">
        <f>IFERROR(VLOOKUP(TAB_AMORTIZACAO_U[[#This Row],[DT_EVE]], TAB_AMORTIZACAO_U[[DT_EVE]:[V_PU_AMTC]], 2, FALSE), 0)</f>
        <v>627.51931400000001</v>
      </c>
      <c r="K415" s="48">
        <f>NETWORKDAYS(DT_CALCULO_U, TAB_AMORTIZACAO_U[[#This Row],[dt_eve_u]], TAB_FERIADOS[FER_DATA]) -1</f>
        <v>2014</v>
      </c>
      <c r="L415" s="48">
        <f>NETWORKDAYS(DT_CALCULO_U, TAB_AMORTIZACAO_U[[#This Row],[dt_lqdc_eve_u]], TAB_FERIADOS[FER_DATA]) -1</f>
        <v>2018</v>
      </c>
      <c r="M415" s="48">
        <f>NETWORKDAYS(IF(ISTEXT(G414), DT_B_CORC, G414), TAB_AMORTIZACAO_U[[#This Row],[dt_eve_u]], TAB_FERIADOS[FER_DATA]) -1</f>
        <v>20</v>
      </c>
      <c r="N415" s="78">
        <f>(TX_EMISSAO/100 +1)^(TAB_AMORTIZACAO_U[[#This Row],[dias_periodo_u]]/252)</f>
        <v>1.0019616526860928</v>
      </c>
      <c r="O415" s="78">
        <f>(TIR_U/100 +1)^(TAB_AMORTIZACAO_U[[#This Row],[Q_DIAS_U_PARC_TIR]]/252)</f>
        <v>1.2186676483621353</v>
      </c>
      <c r="P415" s="116" t="str">
        <f>"TX_CENARIO" &amp; TEXT(DT_CALCULO_C, "-AAAAMMDD") &amp; TEXT(TAB_AMORTIZACAO_U[[#This Row],[DT_EVE]], "-AAAAMMDD")</f>
        <v>TX_CENARIO-20151228-20240109</v>
      </c>
      <c r="Q415" s="44">
        <f>IFERROR(VLOOKUP(TAB_AMORTIZACAO_U[[#This Row],[Chave-CENARIO]],CENARIO[],2,FALSE), 0)</f>
        <v>16.383600000000001</v>
      </c>
      <c r="R415" s="117" t="str">
        <f t="shared" si="13"/>
        <v>n/a</v>
      </c>
      <c r="S415" s="49" t="str">
        <f t="shared" si="13"/>
        <v>n/a</v>
      </c>
      <c r="T415" s="78">
        <f>IF(TAB_AMORTIZACAO_U[[#This Row],[Q_DIAS_U_PARC_TIR]]&lt;0, 0, TAB_AMORTIZACAO_U[[#This Row],[PU_AMORT]])</f>
        <v>627.51931400000001</v>
      </c>
      <c r="U415" s="78">
        <f>MAX(0, TAB_AMORTIZACAO_U[[#This Row],[V_FUT_U_PCPL-01]]/((((TAB_AMORTIZACAO_U[[#This Row],[TX_CENARIO]]/100 +1)^(1/252) -1) * PC_IDXR/100 +1)^TAB_AMORTIZACAO_U[[#This Row],[Q_DIAS_U_PARC_TIR]]))</f>
        <v>186.1957880576916</v>
      </c>
      <c r="V415" s="78">
        <f>+TAB_AMORTIZACAO_U[[#This Row],[V_FUT_U_PCPL-02]]/TAB_AMORTIZACAO_U[[#This Row],[VAR_DESCAP_U]]</f>
        <v>152.78635508863715</v>
      </c>
      <c r="W415" s="78"/>
      <c r="X415" s="101">
        <f>TAB_AMORTIZACAO_U[[#This Row],[dt_eve_u]]- DT_CALCULO_C</f>
        <v>2934</v>
      </c>
      <c r="Y415" s="49" t="str">
        <f t="shared" si="14"/>
        <v>n/a</v>
      </c>
      <c r="Z415" s="49" t="str">
        <f t="shared" si="14"/>
        <v>n/a</v>
      </c>
      <c r="AA415" s="44">
        <f>TAB_AMORTIZACAO_U[[#This Row],[V_PU_AMTC]]</f>
        <v>627.51931400000001</v>
      </c>
      <c r="AB415" s="44">
        <f>(TIR_C/100 +1)^(TAB_AMORTIZACAO_C[[#This Row],[DIAS_CORRIDOS]]/360)</f>
        <v>1.219449603059946</v>
      </c>
      <c r="AC415" s="44">
        <f>IF(TAB_AMORTIZACAO_C[[#This Row],[DIAS_CORRIDOS]]&lt;0, 0, TAB_AMORTIZACAO_C[[#This Row],[V_FUT_C_PCPL]]/TAB_AMORTIZACAO_C[[#This Row],[VAR_DESCAP_C]])</f>
        <v>514.59224917977383</v>
      </c>
      <c r="AD415" s="115">
        <f>TAB_AMORTIZACAO_U[[#This Row],[V_FUT_U_PCPL-02]]</f>
        <v>186.1957880576916</v>
      </c>
      <c r="AE415" s="127">
        <f>IF(TAB_AMORTIZACAO_C[[#This Row],[DIAS_CORRIDOS]]&lt;0, 0, TAB_AMORTIZACAO_C[[#This Row],[V_FUT_UTEIS]]/TAB_AMORTIZACAO_C[[#This Row],[VAR_DESCAP_C]])</f>
        <v>152.6883830135115</v>
      </c>
      <c r="AF415" s="64"/>
    </row>
    <row r="416" spans="1:32">
      <c r="A416" s="82">
        <f t="shared" si="12"/>
        <v>98</v>
      </c>
      <c r="B416" s="24">
        <f>VLOOKUP($A416, CAD_AMORTIZACAO[#Data], MATCH(B$318, CAD_ATUALIZACAO[#Headers],0), FALSE)</f>
        <v>4</v>
      </c>
      <c r="C416" s="24" t="str">
        <f>VLOOKUP($A416, CAD_AMORTIZACAO[#Data], MATCH(C$318, CAD_ATUALIZACAO[#Headers],0), FALSE)</f>
        <v xml:space="preserve">AMORTIZACAO                                       </v>
      </c>
      <c r="D416" s="36">
        <f>VLOOKUP($A416, CAD_AMORTIZACAO[#Data], MATCH(D$318, CAD_ATUALIZACAO[#Headers],0), FALSE)</f>
        <v>45334</v>
      </c>
      <c r="E416" s="48">
        <f>VLOOKUP($A416, CAD_AMORTIZACAO[#Data], MATCH(E$318, CAD_ATUALIZACAO[#Headers],0), FALSE)</f>
        <v>615.02969700000006</v>
      </c>
      <c r="F416" s="36">
        <f>VLOOKUP($A416, CAD_AMORTIZACAO[#Data], MATCH(F$318, CAD_ATUALIZACAO[#Headers],0), FALSE)</f>
        <v>45338</v>
      </c>
      <c r="G416" s="47">
        <f>WORKDAY(WORKDAY(TAB_AMORTIZACAO_U[[#This Row],[DT_EVE]], -1, TAB_FERIADOS[FER_DATA]), 1, TAB_FERIADOS[FER_DATA])</f>
        <v>45336</v>
      </c>
      <c r="H416" s="75">
        <f>WORKDAY(WORKDAY(TAB_AMORTIZACAO_U[[#This Row],[DT_LQDC_EVE]], -1, TAB_FERIADOS[FER_DATA]), 1, TAB_FERIADOS[FER_DATA])</f>
        <v>45338</v>
      </c>
      <c r="I416" s="48">
        <f>PU_EMISSAO - SUMIF(TAB_AMORTIZACAO_U[dt_eve_u], "&lt;" &amp; TAB_AMORTIZACAO_U[[#This Row],[dt_eve_u]], TAB_AMORTIZACAO_U[V_PU_AMTC])</f>
        <v>25856.793791000047</v>
      </c>
      <c r="J416" s="48">
        <f>IFERROR(VLOOKUP(TAB_AMORTIZACAO_U[[#This Row],[DT_EVE]], TAB_AMORTIZACAO_U[[DT_EVE]:[V_PU_AMTC]], 2, FALSE), 0)</f>
        <v>615.02969700000006</v>
      </c>
      <c r="K416" s="48">
        <f>NETWORKDAYS(DT_CALCULO_U, TAB_AMORTIZACAO_U[[#This Row],[dt_eve_u]], TAB_FERIADOS[FER_DATA]) -1</f>
        <v>2038</v>
      </c>
      <c r="L416" s="48">
        <f>NETWORKDAYS(DT_CALCULO_U, TAB_AMORTIZACAO_U[[#This Row],[dt_lqdc_eve_u]], TAB_FERIADOS[FER_DATA]) -1</f>
        <v>2040</v>
      </c>
      <c r="M416" s="48">
        <f>NETWORKDAYS(IF(ISTEXT(G415), DT_B_CORC, G415), TAB_AMORTIZACAO_U[[#This Row],[dt_eve_u]], TAB_FERIADOS[FER_DATA]) -1</f>
        <v>24</v>
      </c>
      <c r="N416" s="78">
        <f>(TX_EMISSAO/100 +1)^(TAB_AMORTIZACAO_U[[#This Row],[dias_periodo_u]]/252)</f>
        <v>1.0023544447517205</v>
      </c>
      <c r="O416" s="78">
        <f>(TIR_U/100 +1)^(TAB_AMORTIZACAO_U[[#This Row],[Q_DIAS_U_PARC_TIR]]/252)</f>
        <v>1.2212978526200589</v>
      </c>
      <c r="P416" s="116" t="str">
        <f>"TX_CENARIO" &amp; TEXT(DT_CALCULO_C, "-AAAAMMDD") &amp; TEXT(TAB_AMORTIZACAO_U[[#This Row],[DT_EVE]], "-AAAAMMDD")</f>
        <v>TX_CENARIO-20151228-20240212</v>
      </c>
      <c r="Q416" s="44">
        <f>IFERROR(VLOOKUP(TAB_AMORTIZACAO_U[[#This Row],[Chave-CENARIO]],CENARIO[],2,FALSE), 0)</f>
        <v>16.382300000000001</v>
      </c>
      <c r="R416" s="117" t="str">
        <f t="shared" si="13"/>
        <v>n/a</v>
      </c>
      <c r="S416" s="49" t="str">
        <f t="shared" si="13"/>
        <v>n/a</v>
      </c>
      <c r="T416" s="78">
        <f>IF(TAB_AMORTIZACAO_U[[#This Row],[Q_DIAS_U_PARC_TIR]]&lt;0, 0, TAB_AMORTIZACAO_U[[#This Row],[PU_AMORT]])</f>
        <v>615.02969700000006</v>
      </c>
      <c r="U416" s="78">
        <f>MAX(0, TAB_AMORTIZACAO_U[[#This Row],[V_FUT_U_PCPL-01]]/((((TAB_AMORTIZACAO_U[[#This Row],[TX_CENARIO]]/100 +1)^(1/252) -1) * PC_IDXR/100 +1)^TAB_AMORTIZACAO_U[[#This Row],[Q_DIAS_U_PARC_TIR]]))</f>
        <v>180.10495235549567</v>
      </c>
      <c r="V416" s="78">
        <f>+TAB_AMORTIZACAO_U[[#This Row],[V_FUT_U_PCPL-02]]/TAB_AMORTIZACAO_U[[#This Row],[VAR_DESCAP_U]]</f>
        <v>147.47012939481982</v>
      </c>
      <c r="W416" s="78"/>
      <c r="X416" s="101">
        <f>TAB_AMORTIZACAO_U[[#This Row],[dt_eve_u]]- DT_CALCULO_C</f>
        <v>2970</v>
      </c>
      <c r="Y416" s="49" t="str">
        <f t="shared" si="14"/>
        <v>n/a</v>
      </c>
      <c r="Z416" s="49" t="str">
        <f t="shared" si="14"/>
        <v>n/a</v>
      </c>
      <c r="AA416" s="44">
        <f>TAB_AMORTIZACAO_U[[#This Row],[V_PU_AMTC]]</f>
        <v>615.02969700000006</v>
      </c>
      <c r="AB416" s="44">
        <f>(TIR_C/100 +1)^(TAB_AMORTIZACAO_C[[#This Row],[DIAS_CORRIDOS]]/360)</f>
        <v>1.2224217877042882</v>
      </c>
      <c r="AC416" s="44">
        <f>IF(TAB_AMORTIZACAO_C[[#This Row],[DIAS_CORRIDOS]]&lt;0, 0, TAB_AMORTIZACAO_C[[#This Row],[V_FUT_C_PCPL]]/TAB_AMORTIZACAO_C[[#This Row],[VAR_DESCAP_C]])</f>
        <v>503.12396521909812</v>
      </c>
      <c r="AD416" s="115">
        <f>TAB_AMORTIZACAO_U[[#This Row],[V_FUT_U_PCPL-02]]</f>
        <v>180.10495235549567</v>
      </c>
      <c r="AE416" s="127">
        <f>IF(TAB_AMORTIZACAO_C[[#This Row],[DIAS_CORRIDOS]]&lt;0, 0, TAB_AMORTIZACAO_C[[#This Row],[V_FUT_UTEIS]]/TAB_AMORTIZACAO_C[[#This Row],[VAR_DESCAP_C]])</f>
        <v>147.33454047291917</v>
      </c>
      <c r="AF416" s="64"/>
    </row>
    <row r="417" spans="1:32">
      <c r="A417" s="82">
        <f t="shared" si="12"/>
        <v>99</v>
      </c>
      <c r="B417" s="24">
        <f>VLOOKUP($A417, CAD_AMORTIZACAO[#Data], MATCH(B$318, CAD_ATUALIZACAO[#Headers],0), FALSE)</f>
        <v>4</v>
      </c>
      <c r="C417" s="24" t="str">
        <f>VLOOKUP($A417, CAD_AMORTIZACAO[#Data], MATCH(C$318, CAD_ATUALIZACAO[#Headers],0), FALSE)</f>
        <v xml:space="preserve">AMORTIZACAO                                       </v>
      </c>
      <c r="D417" s="36">
        <f>VLOOKUP($A417, CAD_AMORTIZACAO[#Data], MATCH(D$318, CAD_ATUALIZACAO[#Headers],0), FALSE)</f>
        <v>45359</v>
      </c>
      <c r="E417" s="48">
        <f>VLOOKUP($A417, CAD_AMORTIZACAO[#Data], MATCH(E$318, CAD_ATUALIZACAO[#Headers],0), FALSE)</f>
        <v>616.42912000000001</v>
      </c>
      <c r="F417" s="36">
        <f>VLOOKUP($A417, CAD_AMORTIZACAO[#Data], MATCH(F$318, CAD_ATUALIZACAO[#Headers],0), FALSE)</f>
        <v>45365</v>
      </c>
      <c r="G417" s="47">
        <f>WORKDAY(WORKDAY(TAB_AMORTIZACAO_U[[#This Row],[DT_EVE]], -1, TAB_FERIADOS[FER_DATA]), 1, TAB_FERIADOS[FER_DATA])</f>
        <v>45359</v>
      </c>
      <c r="H417" s="75">
        <f>WORKDAY(WORKDAY(TAB_AMORTIZACAO_U[[#This Row],[DT_LQDC_EVE]], -1, TAB_FERIADOS[FER_DATA]), 1, TAB_FERIADOS[FER_DATA])</f>
        <v>45365</v>
      </c>
      <c r="I417" s="48">
        <f>PU_EMISSAO - SUMIF(TAB_AMORTIZACAO_U[dt_eve_u], "&lt;" &amp; TAB_AMORTIZACAO_U[[#This Row],[dt_eve_u]], TAB_AMORTIZACAO_U[V_PU_AMTC])</f>
        <v>25241.764094000042</v>
      </c>
      <c r="J417" s="48">
        <f>IFERROR(VLOOKUP(TAB_AMORTIZACAO_U[[#This Row],[DT_EVE]], TAB_AMORTIZACAO_U[[DT_EVE]:[V_PU_AMTC]], 2, FALSE), 0)</f>
        <v>616.42912000000001</v>
      </c>
      <c r="K417" s="48">
        <f>NETWORKDAYS(DT_CALCULO_U, TAB_AMORTIZACAO_U[[#This Row],[dt_eve_u]], TAB_FERIADOS[FER_DATA]) -1</f>
        <v>2055</v>
      </c>
      <c r="L417" s="48">
        <f>NETWORKDAYS(DT_CALCULO_U, TAB_AMORTIZACAO_U[[#This Row],[dt_lqdc_eve_u]], TAB_FERIADOS[FER_DATA]) -1</f>
        <v>2059</v>
      </c>
      <c r="M417" s="48">
        <f>NETWORKDAYS(IF(ISTEXT(G416), DT_B_CORC, G416), TAB_AMORTIZACAO_U[[#This Row],[dt_eve_u]], TAB_FERIADOS[FER_DATA]) -1</f>
        <v>17</v>
      </c>
      <c r="N417" s="78">
        <f>(TX_EMISSAO/100 +1)^(TAB_AMORTIZACAO_U[[#This Row],[dias_periodo_u]]/252)</f>
        <v>1.0016671596522733</v>
      </c>
      <c r="O417" s="78">
        <f>(TIR_U/100 +1)^(TAB_AMORTIZACAO_U[[#This Row],[Q_DIAS_U_PARC_TIR]]/252)</f>
        <v>1.2235739605252514</v>
      </c>
      <c r="P417" s="116" t="str">
        <f>"TX_CENARIO" &amp; TEXT(DT_CALCULO_C, "-AAAAMMDD") &amp; TEXT(TAB_AMORTIZACAO_U[[#This Row],[DT_EVE]], "-AAAAMMDD")</f>
        <v>TX_CENARIO-20151228-20240308</v>
      </c>
      <c r="Q417" s="44">
        <f>IFERROR(VLOOKUP(TAB_AMORTIZACAO_U[[#This Row],[Chave-CENARIO]],CENARIO[],2,FALSE), 0)</f>
        <v>16.3812</v>
      </c>
      <c r="R417" s="117" t="str">
        <f t="shared" si="13"/>
        <v>n/a</v>
      </c>
      <c r="S417" s="49" t="str">
        <f t="shared" si="13"/>
        <v>n/a</v>
      </c>
      <c r="T417" s="78">
        <f>IF(TAB_AMORTIZACAO_U[[#This Row],[Q_DIAS_U_PARC_TIR]]&lt;0, 0, TAB_AMORTIZACAO_U[[#This Row],[PU_AMORT]])</f>
        <v>616.42912000000001</v>
      </c>
      <c r="U417" s="78">
        <f>MAX(0, TAB_AMORTIZACAO_U[[#This Row],[V_FUT_U_PCPL-01]]/((((TAB_AMORTIZACAO_U[[#This Row],[TX_CENARIO]]/100 +1)^(1/252) -1) * PC_IDXR/100 +1)^TAB_AMORTIZACAO_U[[#This Row],[Q_DIAS_U_PARC_TIR]]))</f>
        <v>178.47549205444619</v>
      </c>
      <c r="V417" s="78">
        <f>+TAB_AMORTIZACAO_U[[#This Row],[V_FUT_U_PCPL-02]]/TAB_AMORTIZACAO_U[[#This Row],[VAR_DESCAP_U]]</f>
        <v>145.86408162677054</v>
      </c>
      <c r="W417" s="78"/>
      <c r="X417" s="101">
        <f>TAB_AMORTIZACAO_U[[#This Row],[dt_eve_u]]- DT_CALCULO_C</f>
        <v>2993</v>
      </c>
      <c r="Y417" s="49" t="str">
        <f t="shared" si="14"/>
        <v>n/a</v>
      </c>
      <c r="Z417" s="49" t="str">
        <f t="shared" si="14"/>
        <v>n/a</v>
      </c>
      <c r="AA417" s="44">
        <f>TAB_AMORTIZACAO_U[[#This Row],[V_PU_AMTC]]</f>
        <v>616.42912000000001</v>
      </c>
      <c r="AB417" s="44">
        <f>(TIR_C/100 +1)^(TAB_AMORTIZACAO_C[[#This Row],[DIAS_CORRIDOS]]/360)</f>
        <v>1.2243244748984656</v>
      </c>
      <c r="AC417" s="44">
        <f>IF(TAB_AMORTIZACAO_C[[#This Row],[DIAS_CORRIDOS]]&lt;0, 0, TAB_AMORTIZACAO_C[[#This Row],[V_FUT_C_PCPL]]/TAB_AMORTIZACAO_C[[#This Row],[VAR_DESCAP_C]])</f>
        <v>503.48509127951644</v>
      </c>
      <c r="AD417" s="115">
        <f>TAB_AMORTIZACAO_U[[#This Row],[V_FUT_U_PCPL-02]]</f>
        <v>178.47549205444619</v>
      </c>
      <c r="AE417" s="127">
        <f>IF(TAB_AMORTIZACAO_C[[#This Row],[DIAS_CORRIDOS]]&lt;0, 0, TAB_AMORTIZACAO_C[[#This Row],[V_FUT_UTEIS]]/TAB_AMORTIZACAO_C[[#This Row],[VAR_DESCAP_C]])</f>
        <v>145.77466653131094</v>
      </c>
      <c r="AF417" s="64"/>
    </row>
    <row r="418" spans="1:32">
      <c r="A418" s="82">
        <f t="shared" si="12"/>
        <v>100</v>
      </c>
      <c r="B418" s="24">
        <f>VLOOKUP($A418, CAD_AMORTIZACAO[#Data], MATCH(B$318, CAD_ATUALIZACAO[#Headers],0), FALSE)</f>
        <v>4</v>
      </c>
      <c r="C418" s="24" t="str">
        <f>VLOOKUP($A418, CAD_AMORTIZACAO[#Data], MATCH(C$318, CAD_ATUALIZACAO[#Headers],0), FALSE)</f>
        <v xml:space="preserve">AMORTIZACAO                                       </v>
      </c>
      <c r="D418" s="36">
        <f>VLOOKUP($A418, CAD_AMORTIZACAO[#Data], MATCH(D$318, CAD_ATUALIZACAO[#Headers],0), FALSE)</f>
        <v>45390</v>
      </c>
      <c r="E418" s="48">
        <f>VLOOKUP($A418, CAD_AMORTIZACAO[#Data], MATCH(E$318, CAD_ATUALIZACAO[#Headers],0), FALSE)</f>
        <v>607.48238800000001</v>
      </c>
      <c r="F418" s="36">
        <f>VLOOKUP($A418, CAD_AMORTIZACAO[#Data], MATCH(F$318, CAD_ATUALIZACAO[#Headers],0), FALSE)</f>
        <v>45394</v>
      </c>
      <c r="G418" s="47">
        <f>WORKDAY(WORKDAY(TAB_AMORTIZACAO_U[[#This Row],[DT_EVE]], -1, TAB_FERIADOS[FER_DATA]), 1, TAB_FERIADOS[FER_DATA])</f>
        <v>45390</v>
      </c>
      <c r="H418" s="75">
        <f>WORKDAY(WORKDAY(TAB_AMORTIZACAO_U[[#This Row],[DT_LQDC_EVE]], -1, TAB_FERIADOS[FER_DATA]), 1, TAB_FERIADOS[FER_DATA])</f>
        <v>45394</v>
      </c>
      <c r="I418" s="48">
        <f>PU_EMISSAO - SUMIF(TAB_AMORTIZACAO_U[dt_eve_u], "&lt;" &amp; TAB_AMORTIZACAO_U[[#This Row],[dt_eve_u]], TAB_AMORTIZACAO_U[V_PU_AMTC])</f>
        <v>24625.334974000041</v>
      </c>
      <c r="J418" s="48">
        <f>IFERROR(VLOOKUP(TAB_AMORTIZACAO_U[[#This Row],[DT_EVE]], TAB_AMORTIZACAO_U[[DT_EVE]:[V_PU_AMTC]], 2, FALSE), 0)</f>
        <v>607.48238800000001</v>
      </c>
      <c r="K418" s="48">
        <f>NETWORKDAYS(DT_CALCULO_U, TAB_AMORTIZACAO_U[[#This Row],[dt_eve_u]], TAB_FERIADOS[FER_DATA]) -1</f>
        <v>2075</v>
      </c>
      <c r="L418" s="48">
        <f>NETWORKDAYS(DT_CALCULO_U, TAB_AMORTIZACAO_U[[#This Row],[dt_lqdc_eve_u]], TAB_FERIADOS[FER_DATA]) -1</f>
        <v>2079</v>
      </c>
      <c r="M418" s="48">
        <f>NETWORKDAYS(IF(ISTEXT(G417), DT_B_CORC, G417), TAB_AMORTIZACAO_U[[#This Row],[dt_eve_u]], TAB_FERIADOS[FER_DATA]) -1</f>
        <v>20</v>
      </c>
      <c r="N418" s="78">
        <f>(TX_EMISSAO/100 +1)^(TAB_AMORTIZACAO_U[[#This Row],[dias_periodo_u]]/252)</f>
        <v>1.0019616526860928</v>
      </c>
      <c r="O418" s="78">
        <f>(TIR_U/100 +1)^(TAB_AMORTIZACAO_U[[#This Row],[Q_DIAS_U_PARC_TIR]]/252)</f>
        <v>1.2259744464339446</v>
      </c>
      <c r="P418" s="116" t="str">
        <f>"TX_CENARIO" &amp; TEXT(DT_CALCULO_C, "-AAAAMMDD") &amp; TEXT(TAB_AMORTIZACAO_U[[#This Row],[DT_EVE]], "-AAAAMMDD")</f>
        <v>TX_CENARIO-20151228-20240408</v>
      </c>
      <c r="Q418" s="44">
        <f>IFERROR(VLOOKUP(TAB_AMORTIZACAO_U[[#This Row],[Chave-CENARIO]],CENARIO[],2,FALSE), 0)</f>
        <v>16.38</v>
      </c>
      <c r="R418" s="117" t="str">
        <f t="shared" si="13"/>
        <v>n/a</v>
      </c>
      <c r="S418" s="49" t="str">
        <f t="shared" si="13"/>
        <v>n/a</v>
      </c>
      <c r="T418" s="78">
        <f>IF(TAB_AMORTIZACAO_U[[#This Row],[Q_DIAS_U_PARC_TIR]]&lt;0, 0, TAB_AMORTIZACAO_U[[#This Row],[PU_AMORT]])</f>
        <v>607.48238800000001</v>
      </c>
      <c r="U418" s="78">
        <f>MAX(0, TAB_AMORTIZACAO_U[[#This Row],[V_FUT_U_PCPL-01]]/((((TAB_AMORTIZACAO_U[[#This Row],[TX_CENARIO]]/100 +1)^(1/252) -1) * PC_IDXR/100 +1)^TAB_AMORTIZACAO_U[[#This Row],[Q_DIAS_U_PARC_TIR]]))</f>
        <v>173.79500102482518</v>
      </c>
      <c r="V418" s="78">
        <f>+TAB_AMORTIZACAO_U[[#This Row],[V_FUT_U_PCPL-02]]/TAB_AMORTIZACAO_U[[#This Row],[VAR_DESCAP_U]]</f>
        <v>141.76070433633564</v>
      </c>
      <c r="W418" s="78"/>
      <c r="X418" s="101">
        <f>TAB_AMORTIZACAO_U[[#This Row],[dt_eve_u]]- DT_CALCULO_C</f>
        <v>3024</v>
      </c>
      <c r="Y418" s="49" t="str">
        <f t="shared" si="14"/>
        <v>n/a</v>
      </c>
      <c r="Z418" s="49" t="str">
        <f t="shared" si="14"/>
        <v>n/a</v>
      </c>
      <c r="AA418" s="44">
        <f>TAB_AMORTIZACAO_U[[#This Row],[V_PU_AMTC]]</f>
        <v>607.48238800000001</v>
      </c>
      <c r="AB418" s="44">
        <f>(TIR_C/100 +1)^(TAB_AMORTIZACAO_C[[#This Row],[DIAS_CORRIDOS]]/360)</f>
        <v>1.2268936529767569</v>
      </c>
      <c r="AC418" s="44">
        <f>IF(TAB_AMORTIZACAO_C[[#This Row],[DIAS_CORRIDOS]]&lt;0, 0, TAB_AMORTIZACAO_C[[#This Row],[V_FUT_C_PCPL]]/TAB_AMORTIZACAO_C[[#This Row],[VAR_DESCAP_C]])</f>
        <v>495.13858558652805</v>
      </c>
      <c r="AD418" s="115">
        <f>TAB_AMORTIZACAO_U[[#This Row],[V_FUT_U_PCPL-02]]</f>
        <v>173.79500102482518</v>
      </c>
      <c r="AE418" s="127">
        <f>IF(TAB_AMORTIZACAO_C[[#This Row],[DIAS_CORRIDOS]]&lt;0, 0, TAB_AMORTIZACAO_C[[#This Row],[V_FUT_UTEIS]]/TAB_AMORTIZACAO_C[[#This Row],[VAR_DESCAP_C]])</f>
        <v>141.65449515787631</v>
      </c>
      <c r="AF418" s="64"/>
    </row>
    <row r="419" spans="1:32">
      <c r="A419" s="82">
        <f t="shared" si="12"/>
        <v>101</v>
      </c>
      <c r="B419" s="24">
        <f>VLOOKUP($A419, CAD_AMORTIZACAO[#Data], MATCH(B$318, CAD_ATUALIZACAO[#Headers],0), FALSE)</f>
        <v>4</v>
      </c>
      <c r="C419" s="24" t="str">
        <f>VLOOKUP($A419, CAD_AMORTIZACAO[#Data], MATCH(C$318, CAD_ATUALIZACAO[#Headers],0), FALSE)</f>
        <v xml:space="preserve">AMORTIZACAO                                       </v>
      </c>
      <c r="D419" s="36">
        <f>VLOOKUP($A419, CAD_AMORTIZACAO[#Data], MATCH(D$318, CAD_ATUALIZACAO[#Headers],0), FALSE)</f>
        <v>45421</v>
      </c>
      <c r="E419" s="48">
        <f>VLOOKUP($A419, CAD_AMORTIZACAO[#Data], MATCH(E$318, CAD_ATUALIZACAO[#Headers],0), FALSE)</f>
        <v>595.61872600000004</v>
      </c>
      <c r="F419" s="36">
        <f>VLOOKUP($A419, CAD_AMORTIZACAO[#Data], MATCH(F$318, CAD_ATUALIZACAO[#Headers],0), FALSE)</f>
        <v>45427</v>
      </c>
      <c r="G419" s="47">
        <f>WORKDAY(WORKDAY(TAB_AMORTIZACAO_U[[#This Row],[DT_EVE]], -1, TAB_FERIADOS[FER_DATA]), 1, TAB_FERIADOS[FER_DATA])</f>
        <v>45421</v>
      </c>
      <c r="H419" s="75">
        <f>WORKDAY(WORKDAY(TAB_AMORTIZACAO_U[[#This Row],[DT_LQDC_EVE]], -1, TAB_FERIADOS[FER_DATA]), 1, TAB_FERIADOS[FER_DATA])</f>
        <v>45427</v>
      </c>
      <c r="I419" s="48">
        <f>PU_EMISSAO - SUMIF(TAB_AMORTIZACAO_U[dt_eve_u], "&lt;" &amp; TAB_AMORTIZACAO_U[[#This Row],[dt_eve_u]], TAB_AMORTIZACAO_U[V_PU_AMTC])</f>
        <v>24017.852586000037</v>
      </c>
      <c r="J419" s="48">
        <f>IFERROR(VLOOKUP(TAB_AMORTIZACAO_U[[#This Row],[DT_EVE]], TAB_AMORTIZACAO_U[[DT_EVE]:[V_PU_AMTC]], 2, FALSE), 0)</f>
        <v>595.61872600000004</v>
      </c>
      <c r="K419" s="48">
        <f>NETWORKDAYS(DT_CALCULO_U, TAB_AMORTIZACAO_U[[#This Row],[dt_eve_u]], TAB_FERIADOS[FER_DATA]) -1</f>
        <v>2097</v>
      </c>
      <c r="L419" s="48">
        <f>NETWORKDAYS(DT_CALCULO_U, TAB_AMORTIZACAO_U[[#This Row],[dt_lqdc_eve_u]], TAB_FERIADOS[FER_DATA]) -1</f>
        <v>2101</v>
      </c>
      <c r="M419" s="48">
        <f>NETWORKDAYS(IF(ISTEXT(G418), DT_B_CORC, G418), TAB_AMORTIZACAO_U[[#This Row],[dt_eve_u]], TAB_FERIADOS[FER_DATA]) -1</f>
        <v>22</v>
      </c>
      <c r="N419" s="78">
        <f>(TX_EMISSAO/100 +1)^(TAB_AMORTIZACAO_U[[#This Row],[dias_periodo_u]]/252)</f>
        <v>1.0021580294747356</v>
      </c>
      <c r="O419" s="78">
        <f>(TIR_U/100 +1)^(TAB_AMORTIZACAO_U[[#This Row],[Q_DIAS_U_PARC_TIR]]/252)</f>
        <v>1.2286204206775786</v>
      </c>
      <c r="P419" s="116" t="str">
        <f>"TX_CENARIO" &amp; TEXT(DT_CALCULO_C, "-AAAAMMDD") &amp; TEXT(TAB_AMORTIZACAO_U[[#This Row],[DT_EVE]], "-AAAAMMDD")</f>
        <v>TX_CENARIO-20151228-20240509</v>
      </c>
      <c r="Q419" s="44">
        <f>IFERROR(VLOOKUP(TAB_AMORTIZACAO_U[[#This Row],[Chave-CENARIO]],CENARIO[],2,FALSE), 0)</f>
        <v>16.378799999999998</v>
      </c>
      <c r="R419" s="117" t="str">
        <f t="shared" si="13"/>
        <v>n/a</v>
      </c>
      <c r="S419" s="49" t="str">
        <f t="shared" si="13"/>
        <v>n/a</v>
      </c>
      <c r="T419" s="78">
        <f>IF(TAB_AMORTIZACAO_U[[#This Row],[Q_DIAS_U_PARC_TIR]]&lt;0, 0, TAB_AMORTIZACAO_U[[#This Row],[PU_AMORT]])</f>
        <v>595.61872600000004</v>
      </c>
      <c r="U419" s="78">
        <f>MAX(0, TAB_AMORTIZACAO_U[[#This Row],[V_FUT_U_PCPL-01]]/((((TAB_AMORTIZACAO_U[[#This Row],[TX_CENARIO]]/100 +1)^(1/252) -1) * PC_IDXR/100 +1)^TAB_AMORTIZACAO_U[[#This Row],[Q_DIAS_U_PARC_TIR]]))</f>
        <v>168.17366249723338</v>
      </c>
      <c r="V419" s="78">
        <f>+TAB_AMORTIZACAO_U[[#This Row],[V_FUT_U_PCPL-02]]/TAB_AMORTIZACAO_U[[#This Row],[VAR_DESCAP_U]]</f>
        <v>136.8800808344748</v>
      </c>
      <c r="W419" s="78"/>
      <c r="X419" s="101">
        <f>TAB_AMORTIZACAO_U[[#This Row],[dt_eve_u]]- DT_CALCULO_C</f>
        <v>3055</v>
      </c>
      <c r="Y419" s="49" t="str">
        <f t="shared" si="14"/>
        <v>n/a</v>
      </c>
      <c r="Z419" s="49" t="str">
        <f t="shared" si="14"/>
        <v>n/a</v>
      </c>
      <c r="AA419" s="44">
        <f>TAB_AMORTIZACAO_U[[#This Row],[V_PU_AMTC]]</f>
        <v>595.61872600000004</v>
      </c>
      <c r="AB419" s="44">
        <f>(TIR_C/100 +1)^(TAB_AMORTIZACAO_C[[#This Row],[DIAS_CORRIDOS]]/360)</f>
        <v>1.2294682223350017</v>
      </c>
      <c r="AC419" s="44">
        <f>IF(TAB_AMORTIZACAO_C[[#This Row],[DIAS_CORRIDOS]]&lt;0, 0, TAB_AMORTIZACAO_C[[#This Row],[V_FUT_C_PCPL]]/TAB_AMORTIZACAO_C[[#This Row],[VAR_DESCAP_C]])</f>
        <v>484.45231456963</v>
      </c>
      <c r="AD419" s="115">
        <f>TAB_AMORTIZACAO_U[[#This Row],[V_FUT_U_PCPL-02]]</f>
        <v>168.17366249723338</v>
      </c>
      <c r="AE419" s="127">
        <f>IF(TAB_AMORTIZACAO_C[[#This Row],[DIAS_CORRIDOS]]&lt;0, 0, TAB_AMORTIZACAO_C[[#This Row],[V_FUT_UTEIS]]/TAB_AMORTIZACAO_C[[#This Row],[VAR_DESCAP_C]])</f>
        <v>136.78569274270347</v>
      </c>
      <c r="AF419" s="64"/>
    </row>
    <row r="420" spans="1:32">
      <c r="A420" s="82">
        <f t="shared" si="12"/>
        <v>102</v>
      </c>
      <c r="B420" s="24">
        <f>VLOOKUP($A420, CAD_AMORTIZACAO[#Data], MATCH(B$318, CAD_ATUALIZACAO[#Headers],0), FALSE)</f>
        <v>4</v>
      </c>
      <c r="C420" s="24" t="str">
        <f>VLOOKUP($A420, CAD_AMORTIZACAO[#Data], MATCH(C$318, CAD_ATUALIZACAO[#Headers],0), FALSE)</f>
        <v xml:space="preserve">AMORTIZACAO                                       </v>
      </c>
      <c r="D420" s="36">
        <f>VLOOKUP($A420, CAD_AMORTIZACAO[#Data], MATCH(D$318, CAD_ATUALIZACAO[#Headers],0), FALSE)</f>
        <v>45453</v>
      </c>
      <c r="E420" s="48">
        <f>VLOOKUP($A420, CAD_AMORTIZACAO[#Data], MATCH(E$318, CAD_ATUALIZACAO[#Headers],0), FALSE)</f>
        <v>591.341138</v>
      </c>
      <c r="F420" s="36">
        <f>VLOOKUP($A420, CAD_AMORTIZACAO[#Data], MATCH(F$318, CAD_ATUALIZACAO[#Headers],0), FALSE)</f>
        <v>45457</v>
      </c>
      <c r="G420" s="47">
        <f>WORKDAY(WORKDAY(TAB_AMORTIZACAO_U[[#This Row],[DT_EVE]], -1, TAB_FERIADOS[FER_DATA]), 1, TAB_FERIADOS[FER_DATA])</f>
        <v>45453</v>
      </c>
      <c r="H420" s="75">
        <f>WORKDAY(WORKDAY(TAB_AMORTIZACAO_U[[#This Row],[DT_LQDC_EVE]], -1, TAB_FERIADOS[FER_DATA]), 1, TAB_FERIADOS[FER_DATA])</f>
        <v>45457</v>
      </c>
      <c r="I420" s="48">
        <f>PU_EMISSAO - SUMIF(TAB_AMORTIZACAO_U[dt_eve_u], "&lt;" &amp; TAB_AMORTIZACAO_U[[#This Row],[dt_eve_u]], TAB_AMORTIZACAO_U[V_PU_AMTC])</f>
        <v>23422.233860000037</v>
      </c>
      <c r="J420" s="48">
        <f>IFERROR(VLOOKUP(TAB_AMORTIZACAO_U[[#This Row],[DT_EVE]], TAB_AMORTIZACAO_U[[DT_EVE]:[V_PU_AMTC]], 2, FALSE), 0)</f>
        <v>591.341138</v>
      </c>
      <c r="K420" s="48">
        <f>NETWORKDAYS(DT_CALCULO_U, TAB_AMORTIZACAO_U[[#This Row],[dt_eve_u]], TAB_FERIADOS[FER_DATA]) -1</f>
        <v>2118</v>
      </c>
      <c r="L420" s="48">
        <f>NETWORKDAYS(DT_CALCULO_U, TAB_AMORTIZACAO_U[[#This Row],[dt_lqdc_eve_u]], TAB_FERIADOS[FER_DATA]) -1</f>
        <v>2122</v>
      </c>
      <c r="M420" s="48">
        <f>NETWORKDAYS(IF(ISTEXT(G419), DT_B_CORC, G419), TAB_AMORTIZACAO_U[[#This Row],[dt_eve_u]], TAB_FERIADOS[FER_DATA]) -1</f>
        <v>21</v>
      </c>
      <c r="N420" s="78">
        <f>(TX_EMISSAO/100 +1)^(TAB_AMORTIZACAO_U[[#This Row],[dias_periodo_u]]/252)</f>
        <v>1.0020598362698427</v>
      </c>
      <c r="O420" s="78">
        <f>(TIR_U/100 +1)^(TAB_AMORTIZACAO_U[[#This Row],[Q_DIAS_U_PARC_TIR]]/252)</f>
        <v>1.2311514504298016</v>
      </c>
      <c r="P420" s="116" t="str">
        <f>"TX_CENARIO" &amp; TEXT(DT_CALCULO_C, "-AAAAMMDD") &amp; TEXT(TAB_AMORTIZACAO_U[[#This Row],[DT_EVE]], "-AAAAMMDD")</f>
        <v>TX_CENARIO-20151228-20240610</v>
      </c>
      <c r="Q420" s="44">
        <f>IFERROR(VLOOKUP(TAB_AMORTIZACAO_U[[#This Row],[Chave-CENARIO]],CENARIO[],2,FALSE), 0)</f>
        <v>16.377700000000001</v>
      </c>
      <c r="R420" s="117" t="str">
        <f t="shared" si="13"/>
        <v>n/a</v>
      </c>
      <c r="S420" s="49" t="str">
        <f t="shared" si="13"/>
        <v>n/a</v>
      </c>
      <c r="T420" s="78">
        <f>IF(TAB_AMORTIZACAO_U[[#This Row],[Q_DIAS_U_PARC_TIR]]&lt;0, 0, TAB_AMORTIZACAO_U[[#This Row],[PU_AMORT]])</f>
        <v>591.341138</v>
      </c>
      <c r="U420" s="78">
        <f>MAX(0, TAB_AMORTIZACAO_U[[#This Row],[V_FUT_U_PCPL-01]]/((((TAB_AMORTIZACAO_U[[#This Row],[TX_CENARIO]]/100 +1)^(1/252) -1) * PC_IDXR/100 +1)^TAB_AMORTIZACAO_U[[#This Row],[Q_DIAS_U_PARC_TIR]]))</f>
        <v>164.88183353952667</v>
      </c>
      <c r="V420" s="78">
        <f>+TAB_AMORTIZACAO_U[[#This Row],[V_FUT_U_PCPL-02]]/TAB_AMORTIZACAO_U[[#This Row],[VAR_DESCAP_U]]</f>
        <v>133.92489890822574</v>
      </c>
      <c r="W420" s="78"/>
      <c r="X420" s="101">
        <f>TAB_AMORTIZACAO_U[[#This Row],[dt_eve_u]]- DT_CALCULO_C</f>
        <v>3087</v>
      </c>
      <c r="Y420" s="49" t="str">
        <f t="shared" si="14"/>
        <v>n/a</v>
      </c>
      <c r="Z420" s="49" t="str">
        <f t="shared" si="14"/>
        <v>n/a</v>
      </c>
      <c r="AA420" s="44">
        <f>TAB_AMORTIZACAO_U[[#This Row],[V_PU_AMTC]]</f>
        <v>591.341138</v>
      </c>
      <c r="AB420" s="44">
        <f>(TIR_C/100 +1)^(TAB_AMORTIZACAO_C[[#This Row],[DIAS_CORRIDOS]]/360)</f>
        <v>1.2321315092654925</v>
      </c>
      <c r="AC420" s="44">
        <f>IF(TAB_AMORTIZACAO_C[[#This Row],[DIAS_CORRIDOS]]&lt;0, 0, TAB_AMORTIZACAO_C[[#This Row],[V_FUT_C_PCPL]]/TAB_AMORTIZACAO_C[[#This Row],[VAR_DESCAP_C]])</f>
        <v>479.93345966171637</v>
      </c>
      <c r="AD420" s="115">
        <f>TAB_AMORTIZACAO_U[[#This Row],[V_FUT_U_PCPL-02]]</f>
        <v>164.88183353952667</v>
      </c>
      <c r="AE420" s="127">
        <f>IF(TAB_AMORTIZACAO_C[[#This Row],[DIAS_CORRIDOS]]&lt;0, 0, TAB_AMORTIZACAO_C[[#This Row],[V_FUT_UTEIS]]/TAB_AMORTIZACAO_C[[#This Row],[VAR_DESCAP_C]])</f>
        <v>133.81837271397862</v>
      </c>
      <c r="AF420" s="64"/>
    </row>
    <row r="421" spans="1:32">
      <c r="A421" s="82">
        <f t="shared" si="12"/>
        <v>103</v>
      </c>
      <c r="B421" s="24">
        <f>VLOOKUP($A421, CAD_AMORTIZACAO[#Data], MATCH(B$318, CAD_ATUALIZACAO[#Headers],0), FALSE)</f>
        <v>4</v>
      </c>
      <c r="C421" s="24" t="str">
        <f>VLOOKUP($A421, CAD_AMORTIZACAO[#Data], MATCH(C$318, CAD_ATUALIZACAO[#Headers],0), FALSE)</f>
        <v xml:space="preserve">AMORTIZACAO                                       </v>
      </c>
      <c r="D421" s="36">
        <f>VLOOKUP($A421, CAD_AMORTIZACAO[#Data], MATCH(D$318, CAD_ATUALIZACAO[#Headers],0), FALSE)</f>
        <v>45481</v>
      </c>
      <c r="E421" s="48">
        <f>VLOOKUP($A421, CAD_AMORTIZACAO[#Data], MATCH(E$318, CAD_ATUALIZACAO[#Headers],0), FALSE)</f>
        <v>587.41603799999996</v>
      </c>
      <c r="F421" s="36">
        <f>VLOOKUP($A421, CAD_AMORTIZACAO[#Data], MATCH(F$318, CAD_ATUALIZACAO[#Headers],0), FALSE)</f>
        <v>45485</v>
      </c>
      <c r="G421" s="47">
        <f>WORKDAY(WORKDAY(TAB_AMORTIZACAO_U[[#This Row],[DT_EVE]], -1, TAB_FERIADOS[FER_DATA]), 1, TAB_FERIADOS[FER_DATA])</f>
        <v>45481</v>
      </c>
      <c r="H421" s="75">
        <f>WORKDAY(WORKDAY(TAB_AMORTIZACAO_U[[#This Row],[DT_LQDC_EVE]], -1, TAB_FERIADOS[FER_DATA]), 1, TAB_FERIADOS[FER_DATA])</f>
        <v>45485</v>
      </c>
      <c r="I421" s="48">
        <f>PU_EMISSAO - SUMIF(TAB_AMORTIZACAO_U[dt_eve_u], "&lt;" &amp; TAB_AMORTIZACAO_U[[#This Row],[dt_eve_u]], TAB_AMORTIZACAO_U[V_PU_AMTC])</f>
        <v>22830.892722000033</v>
      </c>
      <c r="J421" s="48">
        <f>IFERROR(VLOOKUP(TAB_AMORTIZACAO_U[[#This Row],[DT_EVE]], TAB_AMORTIZACAO_U[[DT_EVE]:[V_PU_AMTC]], 2, FALSE), 0)</f>
        <v>587.41603799999996</v>
      </c>
      <c r="K421" s="48">
        <f>NETWORKDAYS(DT_CALCULO_U, TAB_AMORTIZACAO_U[[#This Row],[dt_eve_u]], TAB_FERIADOS[FER_DATA]) -1</f>
        <v>2138</v>
      </c>
      <c r="L421" s="48">
        <f>NETWORKDAYS(DT_CALCULO_U, TAB_AMORTIZACAO_U[[#This Row],[dt_lqdc_eve_u]], TAB_FERIADOS[FER_DATA]) -1</f>
        <v>2142</v>
      </c>
      <c r="M421" s="48">
        <f>NETWORKDAYS(IF(ISTEXT(G420), DT_B_CORC, G420), TAB_AMORTIZACAO_U[[#This Row],[dt_eve_u]], TAB_FERIADOS[FER_DATA]) -1</f>
        <v>20</v>
      </c>
      <c r="N421" s="78">
        <f>(TX_EMISSAO/100 +1)^(TAB_AMORTIZACAO_U[[#This Row],[dias_periodo_u]]/252)</f>
        <v>1.0019616526860928</v>
      </c>
      <c r="O421" s="78">
        <f>(TIR_U/100 +1)^(TAB_AMORTIZACAO_U[[#This Row],[Q_DIAS_U_PARC_TIR]]/252)</f>
        <v>1.2335668023444135</v>
      </c>
      <c r="P421" s="116" t="str">
        <f>"TX_CENARIO" &amp; TEXT(DT_CALCULO_C, "-AAAAMMDD") &amp; TEXT(TAB_AMORTIZACAO_U[[#This Row],[DT_EVE]], "-AAAAMMDD")</f>
        <v>TX_CENARIO-20151228-20240708</v>
      </c>
      <c r="Q421" s="44">
        <f>IFERROR(VLOOKUP(TAB_AMORTIZACAO_U[[#This Row],[Chave-CENARIO]],CENARIO[],2,FALSE), 0)</f>
        <v>16.3766</v>
      </c>
      <c r="R421" s="117" t="str">
        <f t="shared" si="13"/>
        <v>n/a</v>
      </c>
      <c r="S421" s="49" t="str">
        <f t="shared" si="13"/>
        <v>n/a</v>
      </c>
      <c r="T421" s="78">
        <f>IF(TAB_AMORTIZACAO_U[[#This Row],[Q_DIAS_U_PARC_TIR]]&lt;0, 0, TAB_AMORTIZACAO_U[[#This Row],[PU_AMORT]])</f>
        <v>587.41603799999996</v>
      </c>
      <c r="U421" s="78">
        <f>MAX(0, TAB_AMORTIZACAO_U[[#This Row],[V_FUT_U_PCPL-01]]/((((TAB_AMORTIZACAO_U[[#This Row],[TX_CENARIO]]/100 +1)^(1/252) -1) * PC_IDXR/100 +1)^TAB_AMORTIZACAO_U[[#This Row],[Q_DIAS_U_PARC_TIR]]))</f>
        <v>161.84066264573531</v>
      </c>
      <c r="V421" s="78">
        <f>+TAB_AMORTIZACAO_U[[#This Row],[V_FUT_U_PCPL-02]]/TAB_AMORTIZACAO_U[[#This Row],[VAR_DESCAP_U]]</f>
        <v>131.19732335383421</v>
      </c>
      <c r="W421" s="78"/>
      <c r="X421" s="101">
        <f>TAB_AMORTIZACAO_U[[#This Row],[dt_eve_u]]- DT_CALCULO_C</f>
        <v>3115</v>
      </c>
      <c r="Y421" s="49" t="str">
        <f t="shared" si="14"/>
        <v>n/a</v>
      </c>
      <c r="Z421" s="49" t="str">
        <f t="shared" si="14"/>
        <v>n/a</v>
      </c>
      <c r="AA421" s="44">
        <f>TAB_AMORTIZACAO_U[[#This Row],[V_PU_AMTC]]</f>
        <v>587.41603799999996</v>
      </c>
      <c r="AB421" s="44">
        <f>(TIR_C/100 +1)^(TAB_AMORTIZACAO_C[[#This Row],[DIAS_CORRIDOS]]/360)</f>
        <v>1.2344666174824808</v>
      </c>
      <c r="AC421" s="44">
        <f>IF(TAB_AMORTIZACAO_C[[#This Row],[DIAS_CORRIDOS]]&lt;0, 0, TAB_AMORTIZACAO_C[[#This Row],[V_FUT_C_PCPL]]/TAB_AMORTIZACAO_C[[#This Row],[VAR_DESCAP_C]])</f>
        <v>475.84602911170776</v>
      </c>
      <c r="AD421" s="115">
        <f>TAB_AMORTIZACAO_U[[#This Row],[V_FUT_U_PCPL-02]]</f>
        <v>161.84066264573531</v>
      </c>
      <c r="AE421" s="127">
        <f>IF(TAB_AMORTIZACAO_C[[#This Row],[DIAS_CORRIDOS]]&lt;0, 0, TAB_AMORTIZACAO_C[[#This Row],[V_FUT_UTEIS]]/TAB_AMORTIZACAO_C[[#This Row],[VAR_DESCAP_C]])</f>
        <v>131.10169230479991</v>
      </c>
      <c r="AF421" s="64"/>
    </row>
    <row r="422" spans="1:32">
      <c r="A422" s="82">
        <f t="shared" si="12"/>
        <v>104</v>
      </c>
      <c r="B422" s="24">
        <f>VLOOKUP($A422, CAD_AMORTIZACAO[#Data], MATCH(B$318, CAD_ATUALIZACAO[#Headers],0), FALSE)</f>
        <v>4</v>
      </c>
      <c r="C422" s="24" t="str">
        <f>VLOOKUP($A422, CAD_AMORTIZACAO[#Data], MATCH(C$318, CAD_ATUALIZACAO[#Headers],0), FALSE)</f>
        <v xml:space="preserve">AMORTIZACAO                                       </v>
      </c>
      <c r="D422" s="36">
        <f>VLOOKUP($A422, CAD_AMORTIZACAO[#Data], MATCH(D$318, CAD_ATUALIZACAO[#Headers],0), FALSE)</f>
        <v>45512</v>
      </c>
      <c r="E422" s="48">
        <f>VLOOKUP($A422, CAD_AMORTIZACAO[#Data], MATCH(E$318, CAD_ATUALIZACAO[#Headers],0), FALSE)</f>
        <v>573.61477600000001</v>
      </c>
      <c r="F422" s="36">
        <f>VLOOKUP($A422, CAD_AMORTIZACAO[#Data], MATCH(F$318, CAD_ATUALIZACAO[#Headers],0), FALSE)</f>
        <v>45518</v>
      </c>
      <c r="G422" s="47">
        <f>WORKDAY(WORKDAY(TAB_AMORTIZACAO_U[[#This Row],[DT_EVE]], -1, TAB_FERIADOS[FER_DATA]), 1, TAB_FERIADOS[FER_DATA])</f>
        <v>45512</v>
      </c>
      <c r="H422" s="75">
        <f>WORKDAY(WORKDAY(TAB_AMORTIZACAO_U[[#This Row],[DT_LQDC_EVE]], -1, TAB_FERIADOS[FER_DATA]), 1, TAB_FERIADOS[FER_DATA])</f>
        <v>45518</v>
      </c>
      <c r="I422" s="48">
        <f>PU_EMISSAO - SUMIF(TAB_AMORTIZACAO_U[dt_eve_u], "&lt;" &amp; TAB_AMORTIZACAO_U[[#This Row],[dt_eve_u]], TAB_AMORTIZACAO_U[V_PU_AMTC])</f>
        <v>22243.476684000037</v>
      </c>
      <c r="J422" s="48">
        <f>IFERROR(VLOOKUP(TAB_AMORTIZACAO_U[[#This Row],[DT_EVE]], TAB_AMORTIZACAO_U[[DT_EVE]:[V_PU_AMTC]], 2, FALSE), 0)</f>
        <v>573.61477600000001</v>
      </c>
      <c r="K422" s="48">
        <f>NETWORKDAYS(DT_CALCULO_U, TAB_AMORTIZACAO_U[[#This Row],[dt_eve_u]], TAB_FERIADOS[FER_DATA]) -1</f>
        <v>2161</v>
      </c>
      <c r="L422" s="48">
        <f>NETWORKDAYS(DT_CALCULO_U, TAB_AMORTIZACAO_U[[#This Row],[dt_lqdc_eve_u]], TAB_FERIADOS[FER_DATA]) -1</f>
        <v>2165</v>
      </c>
      <c r="M422" s="48">
        <f>NETWORKDAYS(IF(ISTEXT(G421), DT_B_CORC, G421), TAB_AMORTIZACAO_U[[#This Row],[dt_eve_u]], TAB_FERIADOS[FER_DATA]) -1</f>
        <v>23</v>
      </c>
      <c r="N422" s="78">
        <f>(TX_EMISSAO/100 +1)^(TAB_AMORTIZACAO_U[[#This Row],[dias_periodo_u]]/252)</f>
        <v>1.0022562323017139</v>
      </c>
      <c r="O422" s="78">
        <f>(TIR_U/100 +1)^(TAB_AMORTIZACAO_U[[#This Row],[Q_DIAS_U_PARC_TIR]]/252)</f>
        <v>1.2363503157054359</v>
      </c>
      <c r="P422" s="116" t="str">
        <f>"TX_CENARIO" &amp; TEXT(DT_CALCULO_C, "-AAAAMMDD") &amp; TEXT(TAB_AMORTIZACAO_U[[#This Row],[DT_EVE]], "-AAAAMMDD")</f>
        <v>TX_CENARIO-20151228-20240808</v>
      </c>
      <c r="Q422" s="44">
        <f>IFERROR(VLOOKUP(TAB_AMORTIZACAO_U[[#This Row],[Chave-CENARIO]],CENARIO[],2,FALSE), 0)</f>
        <v>16.375499999999999</v>
      </c>
      <c r="R422" s="117" t="str">
        <f t="shared" si="13"/>
        <v>n/a</v>
      </c>
      <c r="S422" s="49" t="str">
        <f t="shared" si="13"/>
        <v>n/a</v>
      </c>
      <c r="T422" s="78">
        <f>IF(TAB_AMORTIZACAO_U[[#This Row],[Q_DIAS_U_PARC_TIR]]&lt;0, 0, TAB_AMORTIZACAO_U[[#This Row],[PU_AMORT]])</f>
        <v>573.61477600000001</v>
      </c>
      <c r="U422" s="78">
        <f>MAX(0, TAB_AMORTIZACAO_U[[#This Row],[V_FUT_U_PCPL-01]]/((((TAB_AMORTIZACAO_U[[#This Row],[TX_CENARIO]]/100 +1)^(1/252) -1) * PC_IDXR/100 +1)^TAB_AMORTIZACAO_U[[#This Row],[Q_DIAS_U_PARC_TIR]]))</f>
        <v>155.87838465613652</v>
      </c>
      <c r="V422" s="78">
        <f>+TAB_AMORTIZACAO_U[[#This Row],[V_FUT_U_PCPL-02]]/TAB_AMORTIZACAO_U[[#This Row],[VAR_DESCAP_U]]</f>
        <v>126.07946362451126</v>
      </c>
      <c r="W422" s="78"/>
      <c r="X422" s="101">
        <f>TAB_AMORTIZACAO_U[[#This Row],[dt_eve_u]]- DT_CALCULO_C</f>
        <v>3146</v>
      </c>
      <c r="Y422" s="49" t="str">
        <f t="shared" si="14"/>
        <v>n/a</v>
      </c>
      <c r="Z422" s="49" t="str">
        <f t="shared" si="14"/>
        <v>n/a</v>
      </c>
      <c r="AA422" s="44">
        <f>TAB_AMORTIZACAO_U[[#This Row],[V_PU_AMTC]]</f>
        <v>573.61477600000001</v>
      </c>
      <c r="AB422" s="44">
        <f>(TIR_C/100 +1)^(TAB_AMORTIZACAO_C[[#This Row],[DIAS_CORRIDOS]]/360)</f>
        <v>1.2370570782933548</v>
      </c>
      <c r="AC422" s="44">
        <f>IF(TAB_AMORTIZACAO_C[[#This Row],[DIAS_CORRIDOS]]&lt;0, 0, TAB_AMORTIZACAO_C[[#This Row],[V_FUT_C_PCPL]]/TAB_AMORTIZACAO_C[[#This Row],[VAR_DESCAP_C]])</f>
        <v>463.6930551267364</v>
      </c>
      <c r="AD422" s="115">
        <f>TAB_AMORTIZACAO_U[[#This Row],[V_FUT_U_PCPL-02]]</f>
        <v>155.87838465613652</v>
      </c>
      <c r="AE422" s="127">
        <f>IF(TAB_AMORTIZACAO_C[[#This Row],[DIAS_CORRIDOS]]&lt;0, 0, TAB_AMORTIZACAO_C[[#This Row],[V_FUT_UTEIS]]/TAB_AMORTIZACAO_C[[#This Row],[VAR_DESCAP_C]])</f>
        <v>126.00743117786166</v>
      </c>
      <c r="AF422" s="64"/>
    </row>
    <row r="423" spans="1:32">
      <c r="A423" s="82">
        <f t="shared" si="12"/>
        <v>105</v>
      </c>
      <c r="B423" s="24">
        <f>VLOOKUP($A423, CAD_AMORTIZACAO[#Data], MATCH(B$318, CAD_ATUALIZACAO[#Headers],0), FALSE)</f>
        <v>4</v>
      </c>
      <c r="C423" s="24" t="str">
        <f>VLOOKUP($A423, CAD_AMORTIZACAO[#Data], MATCH(C$318, CAD_ATUALIZACAO[#Headers],0), FALSE)</f>
        <v xml:space="preserve">AMORTIZACAO                                       </v>
      </c>
      <c r="D423" s="36">
        <f>VLOOKUP($A423, CAD_AMORTIZACAO[#Data], MATCH(D$318, CAD_ATUALIZACAO[#Headers],0), FALSE)</f>
        <v>45544</v>
      </c>
      <c r="E423" s="48">
        <f>VLOOKUP($A423, CAD_AMORTIZACAO[#Data], MATCH(E$318, CAD_ATUALIZACAO[#Headers],0), FALSE)</f>
        <v>569.11558300000002</v>
      </c>
      <c r="F423" s="36">
        <f>VLOOKUP($A423, CAD_AMORTIZACAO[#Data], MATCH(F$318, CAD_ATUALIZACAO[#Headers],0), FALSE)</f>
        <v>45548</v>
      </c>
      <c r="G423" s="47">
        <f>WORKDAY(WORKDAY(TAB_AMORTIZACAO_U[[#This Row],[DT_EVE]], -1, TAB_FERIADOS[FER_DATA]), 1, TAB_FERIADOS[FER_DATA])</f>
        <v>45544</v>
      </c>
      <c r="H423" s="75">
        <f>WORKDAY(WORKDAY(TAB_AMORTIZACAO_U[[#This Row],[DT_LQDC_EVE]], -1, TAB_FERIADOS[FER_DATA]), 1, TAB_FERIADOS[FER_DATA])</f>
        <v>45548</v>
      </c>
      <c r="I423" s="48">
        <f>PU_EMISSAO - SUMIF(TAB_AMORTIZACAO_U[dt_eve_u], "&lt;" &amp; TAB_AMORTIZACAO_U[[#This Row],[dt_eve_u]], TAB_AMORTIZACAO_U[V_PU_AMTC])</f>
        <v>21669.861908000035</v>
      </c>
      <c r="J423" s="48">
        <f>IFERROR(VLOOKUP(TAB_AMORTIZACAO_U[[#This Row],[DT_EVE]], TAB_AMORTIZACAO_U[[DT_EVE]:[V_PU_AMTC]], 2, FALSE), 0)</f>
        <v>569.11558300000002</v>
      </c>
      <c r="K423" s="48">
        <f>NETWORKDAYS(DT_CALCULO_U, TAB_AMORTIZACAO_U[[#This Row],[dt_eve_u]], TAB_FERIADOS[FER_DATA]) -1</f>
        <v>2183</v>
      </c>
      <c r="L423" s="48">
        <f>NETWORKDAYS(DT_CALCULO_U, TAB_AMORTIZACAO_U[[#This Row],[dt_lqdc_eve_u]], TAB_FERIADOS[FER_DATA]) -1</f>
        <v>2187</v>
      </c>
      <c r="M423" s="48">
        <f>NETWORKDAYS(IF(ISTEXT(G422), DT_B_CORC, G422), TAB_AMORTIZACAO_U[[#This Row],[dt_eve_u]], TAB_FERIADOS[FER_DATA]) -1</f>
        <v>22</v>
      </c>
      <c r="N423" s="78">
        <f>(TX_EMISSAO/100 +1)^(TAB_AMORTIZACAO_U[[#This Row],[dias_periodo_u]]/252)</f>
        <v>1.0021580294747356</v>
      </c>
      <c r="O423" s="78">
        <f>(TIR_U/100 +1)^(TAB_AMORTIZACAO_U[[#This Row],[Q_DIAS_U_PARC_TIR]]/252)</f>
        <v>1.2390186837949835</v>
      </c>
      <c r="P423" s="116" t="str">
        <f>"TX_CENARIO" &amp; TEXT(DT_CALCULO_C, "-AAAAMMDD") &amp; TEXT(TAB_AMORTIZACAO_U[[#This Row],[DT_EVE]], "-AAAAMMDD")</f>
        <v>TX_CENARIO-20151228-20240909</v>
      </c>
      <c r="Q423" s="44">
        <f>IFERROR(VLOOKUP(TAB_AMORTIZACAO_U[[#This Row],[Chave-CENARIO]],CENARIO[],2,FALSE), 0)</f>
        <v>16.374500000000001</v>
      </c>
      <c r="R423" s="117" t="str">
        <f t="shared" si="13"/>
        <v>n/a</v>
      </c>
      <c r="S423" s="49" t="str">
        <f t="shared" si="13"/>
        <v>n/a</v>
      </c>
      <c r="T423" s="78">
        <f>IF(TAB_AMORTIZACAO_U[[#This Row],[Q_DIAS_U_PARC_TIR]]&lt;0, 0, TAB_AMORTIZACAO_U[[#This Row],[PU_AMORT]])</f>
        <v>569.11558300000002</v>
      </c>
      <c r="U423" s="78">
        <f>MAX(0, TAB_AMORTIZACAO_U[[#This Row],[V_FUT_U_PCPL-01]]/((((TAB_AMORTIZACAO_U[[#This Row],[TX_CENARIO]]/100 +1)^(1/252) -1) * PC_IDXR/100 +1)^TAB_AMORTIZACAO_U[[#This Row],[Q_DIAS_U_PARC_TIR]]))</f>
        <v>152.63306042442818</v>
      </c>
      <c r="V423" s="78">
        <f>+TAB_AMORTIZACAO_U[[#This Row],[V_FUT_U_PCPL-02]]/TAB_AMORTIZACAO_U[[#This Row],[VAR_DESCAP_U]]</f>
        <v>123.18866730639543</v>
      </c>
      <c r="W423" s="78"/>
      <c r="X423" s="101">
        <f>TAB_AMORTIZACAO_U[[#This Row],[dt_eve_u]]- DT_CALCULO_C</f>
        <v>3178</v>
      </c>
      <c r="Y423" s="49" t="str">
        <f t="shared" si="14"/>
        <v>n/a</v>
      </c>
      <c r="Z423" s="49" t="str">
        <f t="shared" si="14"/>
        <v>n/a</v>
      </c>
      <c r="AA423" s="44">
        <f>TAB_AMORTIZACAO_U[[#This Row],[V_PU_AMTC]]</f>
        <v>569.11558300000002</v>
      </c>
      <c r="AB423" s="44">
        <f>(TIR_C/100 +1)^(TAB_AMORTIZACAO_C[[#This Row],[DIAS_CORRIDOS]]/360)</f>
        <v>1.2397368042830454</v>
      </c>
      <c r="AC423" s="44">
        <f>IF(TAB_AMORTIZACAO_C[[#This Row],[DIAS_CORRIDOS]]&lt;0, 0, TAB_AMORTIZACAO_C[[#This Row],[V_FUT_C_PCPL]]/TAB_AMORTIZACAO_C[[#This Row],[VAR_DESCAP_C]])</f>
        <v>459.06161778356363</v>
      </c>
      <c r="AD423" s="115">
        <f>TAB_AMORTIZACAO_U[[#This Row],[V_FUT_U_PCPL-02]]</f>
        <v>152.63306042442818</v>
      </c>
      <c r="AE423" s="127">
        <f>IF(TAB_AMORTIZACAO_C[[#This Row],[DIAS_CORRIDOS]]&lt;0, 0, TAB_AMORTIZACAO_C[[#This Row],[V_FUT_UTEIS]]/TAB_AMORTIZACAO_C[[#This Row],[VAR_DESCAP_C]])</f>
        <v>123.11730997830439</v>
      </c>
      <c r="AF423" s="64"/>
    </row>
    <row r="424" spans="1:32">
      <c r="A424" s="82">
        <f t="shared" si="12"/>
        <v>106</v>
      </c>
      <c r="B424" s="24">
        <f>VLOOKUP($A424, CAD_AMORTIZACAO[#Data], MATCH(B$318, CAD_ATUALIZACAO[#Headers],0), FALSE)</f>
        <v>4</v>
      </c>
      <c r="C424" s="24" t="str">
        <f>VLOOKUP($A424, CAD_AMORTIZACAO[#Data], MATCH(C$318, CAD_ATUALIZACAO[#Headers],0), FALSE)</f>
        <v xml:space="preserve">AMORTIZACAO                                       </v>
      </c>
      <c r="D424" s="36">
        <f>VLOOKUP($A424, CAD_AMORTIZACAO[#Data], MATCH(D$318, CAD_ATUALIZACAO[#Headers],0), FALSE)</f>
        <v>45573</v>
      </c>
      <c r="E424" s="48">
        <f>VLOOKUP($A424, CAD_AMORTIZACAO[#Data], MATCH(E$318, CAD_ATUALIZACAO[#Headers],0), FALSE)</f>
        <v>564.93028100000004</v>
      </c>
      <c r="F424" s="36">
        <f>VLOOKUP($A424, CAD_AMORTIZACAO[#Data], MATCH(F$318, CAD_ATUALIZACAO[#Headers],0), FALSE)</f>
        <v>45579</v>
      </c>
      <c r="G424" s="47">
        <f>WORKDAY(WORKDAY(TAB_AMORTIZACAO_U[[#This Row],[DT_EVE]], -1, TAB_FERIADOS[FER_DATA]), 1, TAB_FERIADOS[FER_DATA])</f>
        <v>45573</v>
      </c>
      <c r="H424" s="75">
        <f>WORKDAY(WORKDAY(TAB_AMORTIZACAO_U[[#This Row],[DT_LQDC_EVE]], -1, TAB_FERIADOS[FER_DATA]), 1, TAB_FERIADOS[FER_DATA])</f>
        <v>45579</v>
      </c>
      <c r="I424" s="48">
        <f>PU_EMISSAO - SUMIF(TAB_AMORTIZACAO_U[dt_eve_u], "&lt;" &amp; TAB_AMORTIZACAO_U[[#This Row],[dt_eve_u]], TAB_AMORTIZACAO_U[V_PU_AMTC])</f>
        <v>21100.746325000029</v>
      </c>
      <c r="J424" s="48">
        <f>IFERROR(VLOOKUP(TAB_AMORTIZACAO_U[[#This Row],[DT_EVE]], TAB_AMORTIZACAO_U[[DT_EVE]:[V_PU_AMTC]], 2, FALSE), 0)</f>
        <v>564.93028100000004</v>
      </c>
      <c r="K424" s="48">
        <f>NETWORKDAYS(DT_CALCULO_U, TAB_AMORTIZACAO_U[[#This Row],[dt_eve_u]], TAB_FERIADOS[FER_DATA]) -1</f>
        <v>2204</v>
      </c>
      <c r="L424" s="48">
        <f>NETWORKDAYS(DT_CALCULO_U, TAB_AMORTIZACAO_U[[#This Row],[dt_lqdc_eve_u]], TAB_FERIADOS[FER_DATA]) -1</f>
        <v>2208</v>
      </c>
      <c r="M424" s="48">
        <f>NETWORKDAYS(IF(ISTEXT(G423), DT_B_CORC, G423), TAB_AMORTIZACAO_U[[#This Row],[dt_eve_u]], TAB_FERIADOS[FER_DATA]) -1</f>
        <v>21</v>
      </c>
      <c r="N424" s="78">
        <f>(TX_EMISSAO/100 +1)^(TAB_AMORTIZACAO_U[[#This Row],[dias_periodo_u]]/252)</f>
        <v>1.0020598362698427</v>
      </c>
      <c r="O424" s="78">
        <f>(TIR_U/100 +1)^(TAB_AMORTIZACAO_U[[#This Row],[Q_DIAS_U_PARC_TIR]]/252)</f>
        <v>1.2415711345759299</v>
      </c>
      <c r="P424" s="116" t="str">
        <f>"TX_CENARIO" &amp; TEXT(DT_CALCULO_C, "-AAAAMMDD") &amp; TEXT(TAB_AMORTIZACAO_U[[#This Row],[DT_EVE]], "-AAAAMMDD")</f>
        <v>TX_CENARIO-20151228-20241008</v>
      </c>
      <c r="Q424" s="44">
        <f>IFERROR(VLOOKUP(TAB_AMORTIZACAO_U[[#This Row],[Chave-CENARIO]],CENARIO[],2,FALSE), 0)</f>
        <v>16.3735</v>
      </c>
      <c r="R424" s="117" t="str">
        <f t="shared" si="13"/>
        <v>n/a</v>
      </c>
      <c r="S424" s="49" t="str">
        <f t="shared" si="13"/>
        <v>n/a</v>
      </c>
      <c r="T424" s="78">
        <f>IF(TAB_AMORTIZACAO_U[[#This Row],[Q_DIAS_U_PARC_TIR]]&lt;0, 0, TAB_AMORTIZACAO_U[[#This Row],[PU_AMORT]])</f>
        <v>564.93028100000004</v>
      </c>
      <c r="U424" s="78">
        <f>MAX(0, TAB_AMORTIZACAO_U[[#This Row],[V_FUT_U_PCPL-01]]/((((TAB_AMORTIZACAO_U[[#This Row],[TX_CENARIO]]/100 +1)^(1/252) -1) * PC_IDXR/100 +1)^TAB_AMORTIZACAO_U[[#This Row],[Q_DIAS_U_PARC_TIR]]))</f>
        <v>149.61927130811705</v>
      </c>
      <c r="V424" s="78">
        <f>+TAB_AMORTIZACAO_U[[#This Row],[V_FUT_U_PCPL-02]]/TAB_AMORTIZACAO_U[[#This Row],[VAR_DESCAP_U]]</f>
        <v>120.50801371056431</v>
      </c>
      <c r="W424" s="78"/>
      <c r="X424" s="101">
        <f>TAB_AMORTIZACAO_U[[#This Row],[dt_eve_u]]- DT_CALCULO_C</f>
        <v>3207</v>
      </c>
      <c r="Y424" s="49" t="str">
        <f t="shared" si="14"/>
        <v>n/a</v>
      </c>
      <c r="Z424" s="49" t="str">
        <f t="shared" si="14"/>
        <v>n/a</v>
      </c>
      <c r="AA424" s="44">
        <f>TAB_AMORTIZACAO_U[[#This Row],[V_PU_AMTC]]</f>
        <v>564.93028100000004</v>
      </c>
      <c r="AB424" s="44">
        <f>(TIR_C/100 +1)^(TAB_AMORTIZACAO_C[[#This Row],[DIAS_CORRIDOS]]/360)</f>
        <v>1.2421703196749632</v>
      </c>
      <c r="AC424" s="44">
        <f>IF(TAB_AMORTIZACAO_C[[#This Row],[DIAS_CORRIDOS]]&lt;0, 0, TAB_AMORTIZACAO_C[[#This Row],[V_FUT_C_PCPL]]/TAB_AMORTIZACAO_C[[#This Row],[VAR_DESCAP_C]])</f>
        <v>454.79293141364423</v>
      </c>
      <c r="AD424" s="115">
        <f>TAB_AMORTIZACAO_U[[#This Row],[V_FUT_U_PCPL-02]]</f>
        <v>149.61927130811705</v>
      </c>
      <c r="AE424" s="127">
        <f>IF(TAB_AMORTIZACAO_C[[#This Row],[DIAS_CORRIDOS]]&lt;0, 0, TAB_AMORTIZACAO_C[[#This Row],[V_FUT_UTEIS]]/TAB_AMORTIZACAO_C[[#This Row],[VAR_DESCAP_C]])</f>
        <v>120.4498843180118</v>
      </c>
      <c r="AF424" s="64"/>
    </row>
    <row r="425" spans="1:32">
      <c r="A425" s="82">
        <f t="shared" si="12"/>
        <v>107</v>
      </c>
      <c r="B425" s="24">
        <f>VLOOKUP($A425, CAD_AMORTIZACAO[#Data], MATCH(B$318, CAD_ATUALIZACAO[#Headers],0), FALSE)</f>
        <v>4</v>
      </c>
      <c r="C425" s="24" t="str">
        <f>VLOOKUP($A425, CAD_AMORTIZACAO[#Data], MATCH(C$318, CAD_ATUALIZACAO[#Headers],0), FALSE)</f>
        <v xml:space="preserve">AMORTIZACAO                                       </v>
      </c>
      <c r="D425" s="36">
        <f>VLOOKUP($A425, CAD_AMORTIZACAO[#Data], MATCH(D$318, CAD_ATUALIZACAO[#Headers],0), FALSE)</f>
        <v>45604</v>
      </c>
      <c r="E425" s="48">
        <f>VLOOKUP($A425, CAD_AMORTIZACAO[#Data], MATCH(E$318, CAD_ATUALIZACAO[#Headers],0), FALSE)</f>
        <v>553.99470899999994</v>
      </c>
      <c r="F425" s="36">
        <f>VLOOKUP($A425, CAD_AMORTIZACAO[#Data], MATCH(F$318, CAD_ATUALIZACAO[#Headers],0), FALSE)</f>
        <v>45610</v>
      </c>
      <c r="G425" s="47">
        <f>WORKDAY(WORKDAY(TAB_AMORTIZACAO_U[[#This Row],[DT_EVE]], -1, TAB_FERIADOS[FER_DATA]), 1, TAB_FERIADOS[FER_DATA])</f>
        <v>45604</v>
      </c>
      <c r="H425" s="75">
        <f>WORKDAY(WORKDAY(TAB_AMORTIZACAO_U[[#This Row],[DT_LQDC_EVE]], -1, TAB_FERIADOS[FER_DATA]), 1, TAB_FERIADOS[FER_DATA])</f>
        <v>45610</v>
      </c>
      <c r="I425" s="48">
        <f>PU_EMISSAO - SUMIF(TAB_AMORTIZACAO_U[dt_eve_u], "&lt;" &amp; TAB_AMORTIZACAO_U[[#This Row],[dt_eve_u]], TAB_AMORTIZACAO_U[V_PU_AMTC])</f>
        <v>20535.816044000036</v>
      </c>
      <c r="J425" s="48">
        <f>IFERROR(VLOOKUP(TAB_AMORTIZACAO_U[[#This Row],[DT_EVE]], TAB_AMORTIZACAO_U[[DT_EVE]:[V_PU_AMTC]], 2, FALSE), 0)</f>
        <v>553.99470899999994</v>
      </c>
      <c r="K425" s="48">
        <f>NETWORKDAYS(DT_CALCULO_U, TAB_AMORTIZACAO_U[[#This Row],[dt_eve_u]], TAB_FERIADOS[FER_DATA]) -1</f>
        <v>2227</v>
      </c>
      <c r="L425" s="48">
        <f>NETWORKDAYS(DT_CALCULO_U, TAB_AMORTIZACAO_U[[#This Row],[dt_lqdc_eve_u]], TAB_FERIADOS[FER_DATA]) -1</f>
        <v>2231</v>
      </c>
      <c r="M425" s="48">
        <f>NETWORKDAYS(IF(ISTEXT(G424), DT_B_CORC, G424), TAB_AMORTIZACAO_U[[#This Row],[dt_eve_u]], TAB_FERIADOS[FER_DATA]) -1</f>
        <v>23</v>
      </c>
      <c r="N425" s="78">
        <f>(TX_EMISSAO/100 +1)^(TAB_AMORTIZACAO_U[[#This Row],[dias_periodo_u]]/252)</f>
        <v>1.0022562323017139</v>
      </c>
      <c r="O425" s="78">
        <f>(TIR_U/100 +1)^(TAB_AMORTIZACAO_U[[#This Row],[Q_DIAS_U_PARC_TIR]]/252)</f>
        <v>1.2443727095171357</v>
      </c>
      <c r="P425" s="116" t="str">
        <f>"TX_CENARIO" &amp; TEXT(DT_CALCULO_C, "-AAAAMMDD") &amp; TEXT(TAB_AMORTIZACAO_U[[#This Row],[DT_EVE]], "-AAAAMMDD")</f>
        <v>TX_CENARIO-20151228-20241108</v>
      </c>
      <c r="Q425" s="44">
        <f>IFERROR(VLOOKUP(TAB_AMORTIZACAO_U[[#This Row],[Chave-CENARIO]],CENARIO[],2,FALSE), 0)</f>
        <v>16.372399999999999</v>
      </c>
      <c r="R425" s="117" t="str">
        <f t="shared" si="13"/>
        <v>n/a</v>
      </c>
      <c r="S425" s="49" t="str">
        <f t="shared" si="13"/>
        <v>n/a</v>
      </c>
      <c r="T425" s="78">
        <f>IF(TAB_AMORTIZACAO_U[[#This Row],[Q_DIAS_U_PARC_TIR]]&lt;0, 0, TAB_AMORTIZACAO_U[[#This Row],[PU_AMORT]])</f>
        <v>553.99470899999994</v>
      </c>
      <c r="U425" s="78">
        <f>MAX(0, TAB_AMORTIZACAO_U[[#This Row],[V_FUT_U_PCPL-01]]/((((TAB_AMORTIZACAO_U[[#This Row],[TX_CENARIO]]/100 +1)^(1/252) -1) * PC_IDXR/100 +1)^TAB_AMORTIZACAO_U[[#This Row],[Q_DIAS_U_PARC_TIR]]))</f>
        <v>144.71853200444875</v>
      </c>
      <c r="V425" s="78">
        <f>+TAB_AMORTIZACAO_U[[#This Row],[V_FUT_U_PCPL-02]]/TAB_AMORTIZACAO_U[[#This Row],[VAR_DESCAP_U]]</f>
        <v>116.29838142352469</v>
      </c>
      <c r="W425" s="78"/>
      <c r="X425" s="101">
        <f>TAB_AMORTIZACAO_U[[#This Row],[dt_eve_u]]- DT_CALCULO_C</f>
        <v>3238</v>
      </c>
      <c r="Y425" s="49" t="str">
        <f t="shared" si="14"/>
        <v>n/a</v>
      </c>
      <c r="Z425" s="49" t="str">
        <f t="shared" si="14"/>
        <v>n/a</v>
      </c>
      <c r="AA425" s="44">
        <f>TAB_AMORTIZACAO_U[[#This Row],[V_PU_AMTC]]</f>
        <v>553.99470899999994</v>
      </c>
      <c r="AB425" s="44">
        <f>(TIR_C/100 +1)^(TAB_AMORTIZACAO_C[[#This Row],[DIAS_CORRIDOS]]/360)</f>
        <v>1.2447769462843659</v>
      </c>
      <c r="AC425" s="44">
        <f>IF(TAB_AMORTIZACAO_C[[#This Row],[DIAS_CORRIDOS]]&lt;0, 0, TAB_AMORTIZACAO_C[[#This Row],[V_FUT_C_PCPL]]/TAB_AMORTIZACAO_C[[#This Row],[VAR_DESCAP_C]])</f>
        <v>445.05540583287876</v>
      </c>
      <c r="AD425" s="115">
        <f>TAB_AMORTIZACAO_U[[#This Row],[V_FUT_U_PCPL-02]]</f>
        <v>144.71853200444875</v>
      </c>
      <c r="AE425" s="127">
        <f>IF(TAB_AMORTIZACAO_C[[#This Row],[DIAS_CORRIDOS]]&lt;0, 0, TAB_AMORTIZACAO_C[[#This Row],[V_FUT_UTEIS]]/TAB_AMORTIZACAO_C[[#This Row],[VAR_DESCAP_C]])</f>
        <v>116.26061394889314</v>
      </c>
      <c r="AF425" s="64"/>
    </row>
    <row r="426" spans="1:32">
      <c r="A426" s="82">
        <f t="shared" si="12"/>
        <v>108</v>
      </c>
      <c r="B426" s="24">
        <f>VLOOKUP($A426, CAD_AMORTIZACAO[#Data], MATCH(B$318, CAD_ATUALIZACAO[#Headers],0), FALSE)</f>
        <v>4</v>
      </c>
      <c r="C426" s="24" t="str">
        <f>VLOOKUP($A426, CAD_AMORTIZACAO[#Data], MATCH(C$318, CAD_ATUALIZACAO[#Headers],0), FALSE)</f>
        <v xml:space="preserve">AMORTIZACAO                                       </v>
      </c>
      <c r="D426" s="36">
        <f>VLOOKUP($A426, CAD_AMORTIZACAO[#Data], MATCH(D$318, CAD_ATUALIZACAO[#Headers],0), FALSE)</f>
        <v>45635</v>
      </c>
      <c r="E426" s="48">
        <f>VLOOKUP($A426, CAD_AMORTIZACAO[#Data], MATCH(E$318, CAD_ATUALIZACAO[#Headers],0), FALSE)</f>
        <v>554.17583200000001</v>
      </c>
      <c r="F426" s="36">
        <f>VLOOKUP($A426, CAD_AMORTIZACAO[#Data], MATCH(F$318, CAD_ATUALIZACAO[#Headers],0), FALSE)</f>
        <v>45639</v>
      </c>
      <c r="G426" s="47">
        <f>WORKDAY(WORKDAY(TAB_AMORTIZACAO_U[[#This Row],[DT_EVE]], -1, TAB_FERIADOS[FER_DATA]), 1, TAB_FERIADOS[FER_DATA])</f>
        <v>45635</v>
      </c>
      <c r="H426" s="75">
        <f>WORKDAY(WORKDAY(TAB_AMORTIZACAO_U[[#This Row],[DT_LQDC_EVE]], -1, TAB_FERIADOS[FER_DATA]), 1, TAB_FERIADOS[FER_DATA])</f>
        <v>45639</v>
      </c>
      <c r="I426" s="48">
        <f>PU_EMISSAO - SUMIF(TAB_AMORTIZACAO_U[dt_eve_u], "&lt;" &amp; TAB_AMORTIZACAO_U[[#This Row],[dt_eve_u]], TAB_AMORTIZACAO_U[V_PU_AMTC])</f>
        <v>19981.82133500003</v>
      </c>
      <c r="J426" s="48">
        <f>IFERROR(VLOOKUP(TAB_AMORTIZACAO_U[[#This Row],[DT_EVE]], TAB_AMORTIZACAO_U[[DT_EVE]:[V_PU_AMTC]], 2, FALSE), 0)</f>
        <v>554.17583200000001</v>
      </c>
      <c r="K426" s="48">
        <f>NETWORKDAYS(DT_CALCULO_U, TAB_AMORTIZACAO_U[[#This Row],[dt_eve_u]], TAB_FERIADOS[FER_DATA]) -1</f>
        <v>2247</v>
      </c>
      <c r="L426" s="48">
        <f>NETWORKDAYS(DT_CALCULO_U, TAB_AMORTIZACAO_U[[#This Row],[dt_lqdc_eve_u]], TAB_FERIADOS[FER_DATA]) -1</f>
        <v>2251</v>
      </c>
      <c r="M426" s="48">
        <f>NETWORKDAYS(IF(ISTEXT(G425), DT_B_CORC, G425), TAB_AMORTIZACAO_U[[#This Row],[dt_eve_u]], TAB_FERIADOS[FER_DATA]) -1</f>
        <v>20</v>
      </c>
      <c r="N426" s="78">
        <f>(TX_EMISSAO/100 +1)^(TAB_AMORTIZACAO_U[[#This Row],[dias_periodo_u]]/252)</f>
        <v>1.0019616526860928</v>
      </c>
      <c r="O426" s="78">
        <f>(TIR_U/100 +1)^(TAB_AMORTIZACAO_U[[#This Row],[Q_DIAS_U_PARC_TIR]]/252)</f>
        <v>1.2468139997461924</v>
      </c>
      <c r="P426" s="116" t="str">
        <f>"TX_CENARIO" &amp; TEXT(DT_CALCULO_C, "-AAAAMMDD") &amp; TEXT(TAB_AMORTIZACAO_U[[#This Row],[DT_EVE]], "-AAAAMMDD")</f>
        <v>TX_CENARIO-20151228-20241209</v>
      </c>
      <c r="Q426" s="44">
        <f>IFERROR(VLOOKUP(TAB_AMORTIZACAO_U[[#This Row],[Chave-CENARIO]],CENARIO[],2,FALSE), 0)</f>
        <v>16.371500000000001</v>
      </c>
      <c r="R426" s="117" t="str">
        <f t="shared" si="13"/>
        <v>n/a</v>
      </c>
      <c r="S426" s="49" t="str">
        <f t="shared" si="13"/>
        <v>n/a</v>
      </c>
      <c r="T426" s="78">
        <f>IF(TAB_AMORTIZACAO_U[[#This Row],[Q_DIAS_U_PARC_TIR]]&lt;0, 0, TAB_AMORTIZACAO_U[[#This Row],[PU_AMORT]])</f>
        <v>554.17583200000001</v>
      </c>
      <c r="U426" s="78">
        <f>MAX(0, TAB_AMORTIZACAO_U[[#This Row],[V_FUT_U_PCPL-01]]/((((TAB_AMORTIZACAO_U[[#This Row],[TX_CENARIO]]/100 +1)^(1/252) -1) * PC_IDXR/100 +1)^TAB_AMORTIZACAO_U[[#This Row],[Q_DIAS_U_PARC_TIR]]))</f>
        <v>143.04409221174504</v>
      </c>
      <c r="V426" s="78">
        <f>+TAB_AMORTIZACAO_U[[#This Row],[V_FUT_U_PCPL-02]]/TAB_AMORTIZACAO_U[[#This Row],[VAR_DESCAP_U]]</f>
        <v>114.72769173338108</v>
      </c>
      <c r="W426" s="78"/>
      <c r="X426" s="101">
        <f>TAB_AMORTIZACAO_U[[#This Row],[dt_eve_u]]- DT_CALCULO_C</f>
        <v>3269</v>
      </c>
      <c r="Y426" s="49" t="str">
        <f t="shared" si="14"/>
        <v>n/a</v>
      </c>
      <c r="Z426" s="49" t="str">
        <f t="shared" si="14"/>
        <v>n/a</v>
      </c>
      <c r="AA426" s="44">
        <f>TAB_AMORTIZACAO_U[[#This Row],[V_PU_AMTC]]</f>
        <v>554.17583200000001</v>
      </c>
      <c r="AB426" s="44">
        <f>(TIR_C/100 +1)^(TAB_AMORTIZACAO_C[[#This Row],[DIAS_CORRIDOS]]/360)</f>
        <v>1.2473890427574201</v>
      </c>
      <c r="AC426" s="44">
        <f>IF(TAB_AMORTIZACAO_C[[#This Row],[DIAS_CORRIDOS]]&lt;0, 0, TAB_AMORTIZACAO_C[[#This Row],[V_FUT_C_PCPL]]/TAB_AMORTIZACAO_C[[#This Row],[VAR_DESCAP_C]])</f>
        <v>444.26863873596704</v>
      </c>
      <c r="AD426" s="115">
        <f>TAB_AMORTIZACAO_U[[#This Row],[V_FUT_U_PCPL-02]]</f>
        <v>143.04409221174504</v>
      </c>
      <c r="AE426" s="127">
        <f>IF(TAB_AMORTIZACAO_C[[#This Row],[DIAS_CORRIDOS]]&lt;0, 0, TAB_AMORTIZACAO_C[[#This Row],[V_FUT_UTEIS]]/TAB_AMORTIZACAO_C[[#This Row],[VAR_DESCAP_C]])</f>
        <v>114.67480257445459</v>
      </c>
      <c r="AF426" s="64"/>
    </row>
    <row r="427" spans="1:32">
      <c r="A427" s="82">
        <f t="shared" si="12"/>
        <v>109</v>
      </c>
      <c r="B427" s="24">
        <f>VLOOKUP($A427, CAD_AMORTIZACAO[#Data], MATCH(B$318, CAD_ATUALIZACAO[#Headers],0), FALSE)</f>
        <v>4</v>
      </c>
      <c r="C427" s="24" t="str">
        <f>VLOOKUP($A427, CAD_AMORTIZACAO[#Data], MATCH(C$318, CAD_ATUALIZACAO[#Headers],0), FALSE)</f>
        <v xml:space="preserve">AMORTIZACAO                                       </v>
      </c>
      <c r="D427" s="36">
        <f>VLOOKUP($A427, CAD_AMORTIZACAO[#Data], MATCH(D$318, CAD_ATUALIZACAO[#Headers],0), FALSE)</f>
        <v>45666</v>
      </c>
      <c r="E427" s="48">
        <f>VLOOKUP($A427, CAD_AMORTIZACAO[#Data], MATCH(E$318, CAD_ATUALIZACAO[#Headers],0), FALSE)</f>
        <v>597.30295999999998</v>
      </c>
      <c r="F427" s="36">
        <f>VLOOKUP($A427, CAD_AMORTIZACAO[#Data], MATCH(F$318, CAD_ATUALIZACAO[#Headers],0), FALSE)</f>
        <v>45672</v>
      </c>
      <c r="G427" s="47">
        <f>WORKDAY(WORKDAY(TAB_AMORTIZACAO_U[[#This Row],[DT_EVE]], -1, TAB_FERIADOS[FER_DATA]), 1, TAB_FERIADOS[FER_DATA])</f>
        <v>45666</v>
      </c>
      <c r="H427" s="75">
        <f>WORKDAY(WORKDAY(TAB_AMORTIZACAO_U[[#This Row],[DT_LQDC_EVE]], -1, TAB_FERIADOS[FER_DATA]), 1, TAB_FERIADOS[FER_DATA])</f>
        <v>45672</v>
      </c>
      <c r="I427" s="48">
        <f>PU_EMISSAO - SUMIF(TAB_AMORTIZACAO_U[dt_eve_u], "&lt;" &amp; TAB_AMORTIZACAO_U[[#This Row],[dt_eve_u]], TAB_AMORTIZACAO_U[V_PU_AMTC])</f>
        <v>19427.645503000036</v>
      </c>
      <c r="J427" s="48">
        <f>IFERROR(VLOOKUP(TAB_AMORTIZACAO_U[[#This Row],[DT_EVE]], TAB_AMORTIZACAO_U[[DT_EVE]:[V_PU_AMTC]], 2, FALSE), 0)</f>
        <v>597.30295999999998</v>
      </c>
      <c r="K427" s="48">
        <f>NETWORKDAYS(DT_CALCULO_U, TAB_AMORTIZACAO_U[[#This Row],[dt_eve_u]], TAB_FERIADOS[FER_DATA]) -1</f>
        <v>2268</v>
      </c>
      <c r="L427" s="48">
        <f>NETWORKDAYS(DT_CALCULO_U, TAB_AMORTIZACAO_U[[#This Row],[dt_lqdc_eve_u]], TAB_FERIADOS[FER_DATA]) -1</f>
        <v>2272</v>
      </c>
      <c r="M427" s="48">
        <f>NETWORKDAYS(IF(ISTEXT(G426), DT_B_CORC, G426), TAB_AMORTIZACAO_U[[#This Row],[dt_eve_u]], TAB_FERIADOS[FER_DATA]) -1</f>
        <v>21</v>
      </c>
      <c r="N427" s="78">
        <f>(TX_EMISSAO/100 +1)^(TAB_AMORTIZACAO_U[[#This Row],[dias_periodo_u]]/252)</f>
        <v>1.0020598362698427</v>
      </c>
      <c r="O427" s="78">
        <f>(TIR_U/100 +1)^(TAB_AMORTIZACAO_U[[#This Row],[Q_DIAS_U_PARC_TIR]]/252)</f>
        <v>1.2493825093328272</v>
      </c>
      <c r="P427" s="116" t="str">
        <f>"TX_CENARIO" &amp; TEXT(DT_CALCULO_C, "-AAAAMMDD") &amp; TEXT(TAB_AMORTIZACAO_U[[#This Row],[DT_EVE]], "-AAAAMMDD")</f>
        <v>TX_CENARIO-20151228-20250109</v>
      </c>
      <c r="Q427" s="44">
        <f>IFERROR(VLOOKUP(TAB_AMORTIZACAO_U[[#This Row],[Chave-CENARIO]],CENARIO[],2,FALSE), 0)</f>
        <v>16.369</v>
      </c>
      <c r="R427" s="117" t="str">
        <f t="shared" si="13"/>
        <v>n/a</v>
      </c>
      <c r="S427" s="49" t="str">
        <f t="shared" si="13"/>
        <v>n/a</v>
      </c>
      <c r="T427" s="78">
        <f>IF(TAB_AMORTIZACAO_U[[#This Row],[Q_DIAS_U_PARC_TIR]]&lt;0, 0, TAB_AMORTIZACAO_U[[#This Row],[PU_AMORT]])</f>
        <v>597.30295999999998</v>
      </c>
      <c r="U427" s="78">
        <f>MAX(0, TAB_AMORTIZACAO_U[[#This Row],[V_FUT_U_PCPL-01]]/((((TAB_AMORTIZACAO_U[[#This Row],[TX_CENARIO]]/100 +1)^(1/252) -1) * PC_IDXR/100 +1)^TAB_AMORTIZACAO_U[[#This Row],[Q_DIAS_U_PARC_TIR]]))</f>
        <v>152.26984645165982</v>
      </c>
      <c r="V427" s="78">
        <f>+TAB_AMORTIZACAO_U[[#This Row],[V_FUT_U_PCPL-02]]/TAB_AMORTIZACAO_U[[#This Row],[VAR_DESCAP_U]]</f>
        <v>121.87608303638909</v>
      </c>
      <c r="W427" s="78"/>
      <c r="X427" s="101">
        <f>TAB_AMORTIZACAO_U[[#This Row],[dt_eve_u]]- DT_CALCULO_C</f>
        <v>3300</v>
      </c>
      <c r="Y427" s="49" t="str">
        <f t="shared" si="14"/>
        <v>n/a</v>
      </c>
      <c r="Z427" s="49" t="str">
        <f t="shared" si="14"/>
        <v>n/a</v>
      </c>
      <c r="AA427" s="44">
        <f>TAB_AMORTIZACAO_U[[#This Row],[V_PU_AMTC]]</f>
        <v>597.30295999999998</v>
      </c>
      <c r="AB427" s="44">
        <f>(TIR_C/100 +1)^(TAB_AMORTIZACAO_C[[#This Row],[DIAS_CORRIDOS]]/360)</f>
        <v>1.2500066205723364</v>
      </c>
      <c r="AC427" s="44">
        <f>IF(TAB_AMORTIZACAO_C[[#This Row],[DIAS_CORRIDOS]]&lt;0, 0, TAB_AMORTIZACAO_C[[#This Row],[V_FUT_C_PCPL]]/TAB_AMORTIZACAO_C[[#This Row],[VAR_DESCAP_C]])</f>
        <v>477.83983714143437</v>
      </c>
      <c r="AD427" s="115">
        <f>TAB_AMORTIZACAO_U[[#This Row],[V_FUT_U_PCPL-02]]</f>
        <v>152.26984645165982</v>
      </c>
      <c r="AE427" s="127">
        <f>IF(TAB_AMORTIZACAO_C[[#This Row],[DIAS_CORRIDOS]]&lt;0, 0, TAB_AMORTIZACAO_C[[#This Row],[V_FUT_UTEIS]]/TAB_AMORTIZACAO_C[[#This Row],[VAR_DESCAP_C]])</f>
        <v>121.81523197208389</v>
      </c>
      <c r="AF427" s="64"/>
    </row>
    <row r="428" spans="1:32">
      <c r="A428" s="82">
        <f t="shared" si="12"/>
        <v>110</v>
      </c>
      <c r="B428" s="24">
        <f>VLOOKUP($A428, CAD_AMORTIZACAO[#Data], MATCH(B$318, CAD_ATUALIZACAO[#Headers],0), FALSE)</f>
        <v>4</v>
      </c>
      <c r="C428" s="24" t="str">
        <f>VLOOKUP($A428, CAD_AMORTIZACAO[#Data], MATCH(C$318, CAD_ATUALIZACAO[#Headers],0), FALSE)</f>
        <v xml:space="preserve">AMORTIZACAO                                       </v>
      </c>
      <c r="D428" s="36">
        <f>VLOOKUP($A428, CAD_AMORTIZACAO[#Data], MATCH(D$318, CAD_ATUALIZACAO[#Headers],0), FALSE)</f>
        <v>45698</v>
      </c>
      <c r="E428" s="48">
        <f>VLOOKUP($A428, CAD_AMORTIZACAO[#Data], MATCH(E$318, CAD_ATUALIZACAO[#Headers],0), FALSE)</f>
        <v>588.580016</v>
      </c>
      <c r="F428" s="36">
        <f>VLOOKUP($A428, CAD_AMORTIZACAO[#Data], MATCH(F$318, CAD_ATUALIZACAO[#Headers],0), FALSE)</f>
        <v>45702</v>
      </c>
      <c r="G428" s="47">
        <f>WORKDAY(WORKDAY(TAB_AMORTIZACAO_U[[#This Row],[DT_EVE]], -1, TAB_FERIADOS[FER_DATA]), 1, TAB_FERIADOS[FER_DATA])</f>
        <v>45698</v>
      </c>
      <c r="H428" s="75">
        <f>WORKDAY(WORKDAY(TAB_AMORTIZACAO_U[[#This Row],[DT_LQDC_EVE]], -1, TAB_FERIADOS[FER_DATA]), 1, TAB_FERIADOS[FER_DATA])</f>
        <v>45702</v>
      </c>
      <c r="I428" s="48">
        <f>PU_EMISSAO - SUMIF(TAB_AMORTIZACAO_U[dt_eve_u], "&lt;" &amp; TAB_AMORTIZACAO_U[[#This Row],[dt_eve_u]], TAB_AMORTIZACAO_U[V_PU_AMTC])</f>
        <v>18830.342543000035</v>
      </c>
      <c r="J428" s="48">
        <f>IFERROR(VLOOKUP(TAB_AMORTIZACAO_U[[#This Row],[DT_EVE]], TAB_AMORTIZACAO_U[[DT_EVE]:[V_PU_AMTC]], 2, FALSE), 0)</f>
        <v>588.580016</v>
      </c>
      <c r="K428" s="48">
        <f>NETWORKDAYS(DT_CALCULO_U, TAB_AMORTIZACAO_U[[#This Row],[dt_eve_u]], TAB_FERIADOS[FER_DATA]) -1</f>
        <v>2290</v>
      </c>
      <c r="L428" s="48">
        <f>NETWORKDAYS(DT_CALCULO_U, TAB_AMORTIZACAO_U[[#This Row],[dt_lqdc_eve_u]], TAB_FERIADOS[FER_DATA]) -1</f>
        <v>2294</v>
      </c>
      <c r="M428" s="48">
        <f>NETWORKDAYS(IF(ISTEXT(G427), DT_B_CORC, G427), TAB_AMORTIZACAO_U[[#This Row],[dt_eve_u]], TAB_FERIADOS[FER_DATA]) -1</f>
        <v>22</v>
      </c>
      <c r="N428" s="78">
        <f>(TX_EMISSAO/100 +1)^(TAB_AMORTIZACAO_U[[#This Row],[dias_periodo_u]]/252)</f>
        <v>1.0021580294747356</v>
      </c>
      <c r="O428" s="78">
        <f>(TIR_U/100 +1)^(TAB_AMORTIZACAO_U[[#This Row],[Q_DIAS_U_PARC_TIR]]/252)</f>
        <v>1.2520790043126022</v>
      </c>
      <c r="P428" s="116" t="str">
        <f>"TX_CENARIO" &amp; TEXT(DT_CALCULO_C, "-AAAAMMDD") &amp; TEXT(TAB_AMORTIZACAO_U[[#This Row],[DT_EVE]], "-AAAAMMDD")</f>
        <v>TX_CENARIO-20151228-20250210</v>
      </c>
      <c r="Q428" s="44">
        <f>IFERROR(VLOOKUP(TAB_AMORTIZACAO_U[[#This Row],[Chave-CENARIO]],CENARIO[],2,FALSE), 0)</f>
        <v>16.3643</v>
      </c>
      <c r="R428" s="117" t="str">
        <f t="shared" si="13"/>
        <v>n/a</v>
      </c>
      <c r="S428" s="49" t="str">
        <f t="shared" si="13"/>
        <v>n/a</v>
      </c>
      <c r="T428" s="78">
        <f>IF(TAB_AMORTIZACAO_U[[#This Row],[Q_DIAS_U_PARC_TIR]]&lt;0, 0, TAB_AMORTIZACAO_U[[#This Row],[PU_AMORT]])</f>
        <v>588.580016</v>
      </c>
      <c r="U428" s="78">
        <f>MAX(0, TAB_AMORTIZACAO_U[[#This Row],[V_FUT_U_PCPL-01]]/((((TAB_AMORTIZACAO_U[[#This Row],[TX_CENARIO]]/100 +1)^(1/252) -1) * PC_IDXR/100 +1)^TAB_AMORTIZACAO_U[[#This Row],[Q_DIAS_U_PARC_TIR]]))</f>
        <v>148.12785461015079</v>
      </c>
      <c r="V428" s="78">
        <f>+TAB_AMORTIZACAO_U[[#This Row],[V_FUT_U_PCPL-02]]/TAB_AMORTIZACAO_U[[#This Row],[VAR_DESCAP_U]]</f>
        <v>118.30551754317911</v>
      </c>
      <c r="W428" s="78"/>
      <c r="X428" s="101">
        <f>TAB_AMORTIZACAO_U[[#This Row],[dt_eve_u]]- DT_CALCULO_C</f>
        <v>3332</v>
      </c>
      <c r="Y428" s="49" t="str">
        <f t="shared" si="14"/>
        <v>n/a</v>
      </c>
      <c r="Z428" s="49" t="str">
        <f t="shared" si="14"/>
        <v>n/a</v>
      </c>
      <c r="AA428" s="44">
        <f>TAB_AMORTIZACAO_U[[#This Row],[V_PU_AMTC]]</f>
        <v>588.580016</v>
      </c>
      <c r="AB428" s="44">
        <f>(TIR_C/100 +1)^(TAB_AMORTIZACAO_C[[#This Row],[DIAS_CORRIDOS]]/360)</f>
        <v>1.2527143979960378</v>
      </c>
      <c r="AC428" s="44">
        <f>IF(TAB_AMORTIZACAO_C[[#This Row],[DIAS_CORRIDOS]]&lt;0, 0, TAB_AMORTIZACAO_C[[#This Row],[V_FUT_C_PCPL]]/TAB_AMORTIZACAO_C[[#This Row],[VAR_DESCAP_C]])</f>
        <v>469.84373847825896</v>
      </c>
      <c r="AD428" s="115">
        <f>TAB_AMORTIZACAO_U[[#This Row],[V_FUT_U_PCPL-02]]</f>
        <v>148.12785461015079</v>
      </c>
      <c r="AE428" s="127">
        <f>IF(TAB_AMORTIZACAO_C[[#This Row],[DIAS_CORRIDOS]]&lt;0, 0, TAB_AMORTIZACAO_C[[#This Row],[V_FUT_UTEIS]]/TAB_AMORTIZACAO_C[[#This Row],[VAR_DESCAP_C]])</f>
        <v>118.24551138480592</v>
      </c>
      <c r="AF428" s="64"/>
    </row>
    <row r="429" spans="1:32">
      <c r="A429" s="82">
        <f t="shared" si="12"/>
        <v>111</v>
      </c>
      <c r="B429" s="24">
        <f>VLOOKUP($A429, CAD_AMORTIZACAO[#Data], MATCH(B$318, CAD_ATUALIZACAO[#Headers],0), FALSE)</f>
        <v>4</v>
      </c>
      <c r="C429" s="24" t="str">
        <f>VLOOKUP($A429, CAD_AMORTIZACAO[#Data], MATCH(C$318, CAD_ATUALIZACAO[#Headers],0), FALSE)</f>
        <v xml:space="preserve">AMORTIZACAO                                       </v>
      </c>
      <c r="D429" s="36">
        <f>VLOOKUP($A429, CAD_AMORTIZACAO[#Data], MATCH(D$318, CAD_ATUALIZACAO[#Headers],0), FALSE)</f>
        <v>45728</v>
      </c>
      <c r="E429" s="48">
        <f>VLOOKUP($A429, CAD_AMORTIZACAO[#Data], MATCH(E$318, CAD_ATUALIZACAO[#Headers],0), FALSE)</f>
        <v>586.162555</v>
      </c>
      <c r="F429" s="36">
        <f>VLOOKUP($A429, CAD_AMORTIZACAO[#Data], MATCH(F$318, CAD_ATUALIZACAO[#Headers],0), FALSE)</f>
        <v>45734</v>
      </c>
      <c r="G429" s="47">
        <f>WORKDAY(WORKDAY(TAB_AMORTIZACAO_U[[#This Row],[DT_EVE]], -1, TAB_FERIADOS[FER_DATA]), 1, TAB_FERIADOS[FER_DATA])</f>
        <v>45728</v>
      </c>
      <c r="H429" s="75">
        <f>WORKDAY(WORKDAY(TAB_AMORTIZACAO_U[[#This Row],[DT_LQDC_EVE]], -1, TAB_FERIADOS[FER_DATA]), 1, TAB_FERIADOS[FER_DATA])</f>
        <v>45734</v>
      </c>
      <c r="I429" s="48">
        <f>PU_EMISSAO - SUMIF(TAB_AMORTIZACAO_U[dt_eve_u], "&lt;" &amp; TAB_AMORTIZACAO_U[[#This Row],[dt_eve_u]], TAB_AMORTIZACAO_U[V_PU_AMTC])</f>
        <v>18241.762527000028</v>
      </c>
      <c r="J429" s="48">
        <f>IFERROR(VLOOKUP(TAB_AMORTIZACAO_U[[#This Row],[DT_EVE]], TAB_AMORTIZACAO_U[[DT_EVE]:[V_PU_AMTC]], 2, FALSE), 0)</f>
        <v>586.162555</v>
      </c>
      <c r="K429" s="48">
        <f>NETWORKDAYS(DT_CALCULO_U, TAB_AMORTIZACAO_U[[#This Row],[dt_eve_u]], TAB_FERIADOS[FER_DATA]) -1</f>
        <v>2310</v>
      </c>
      <c r="L429" s="48">
        <f>NETWORKDAYS(DT_CALCULO_U, TAB_AMORTIZACAO_U[[#This Row],[dt_lqdc_eve_u]], TAB_FERIADOS[FER_DATA]) -1</f>
        <v>2314</v>
      </c>
      <c r="M429" s="48">
        <f>NETWORKDAYS(IF(ISTEXT(G428), DT_B_CORC, G428), TAB_AMORTIZACAO_U[[#This Row],[dt_eve_u]], TAB_FERIADOS[FER_DATA]) -1</f>
        <v>20</v>
      </c>
      <c r="N429" s="78">
        <f>(TX_EMISSAO/100 +1)^(TAB_AMORTIZACAO_U[[#This Row],[dias_periodo_u]]/252)</f>
        <v>1.0019616526860928</v>
      </c>
      <c r="O429" s="78">
        <f>(TIR_U/100 +1)^(TAB_AMORTIZACAO_U[[#This Row],[Q_DIAS_U_PARC_TIR]]/252)</f>
        <v>1.2545354132452773</v>
      </c>
      <c r="P429" s="116" t="str">
        <f>"TX_CENARIO" &amp; TEXT(DT_CALCULO_C, "-AAAAMMDD") &amp; TEXT(TAB_AMORTIZACAO_U[[#This Row],[DT_EVE]], "-AAAAMMDD")</f>
        <v>TX_CENARIO-20151228-20250312</v>
      </c>
      <c r="Q429" s="44">
        <f>IFERROR(VLOOKUP(TAB_AMORTIZACAO_U[[#This Row],[Chave-CENARIO]],CENARIO[],2,FALSE), 0)</f>
        <v>16.36</v>
      </c>
      <c r="R429" s="117" t="str">
        <f t="shared" si="13"/>
        <v>n/a</v>
      </c>
      <c r="S429" s="49" t="str">
        <f t="shared" si="13"/>
        <v>n/a</v>
      </c>
      <c r="T429" s="78">
        <f>IF(TAB_AMORTIZACAO_U[[#This Row],[Q_DIAS_U_PARC_TIR]]&lt;0, 0, TAB_AMORTIZACAO_U[[#This Row],[PU_AMORT]])</f>
        <v>586.162555</v>
      </c>
      <c r="U429" s="78">
        <f>MAX(0, TAB_AMORTIZACAO_U[[#This Row],[V_FUT_U_PCPL-01]]/((((TAB_AMORTIZACAO_U[[#This Row],[TX_CENARIO]]/100 +1)^(1/252) -1) * PC_IDXR/100 +1)^TAB_AMORTIZACAO_U[[#This Row],[Q_DIAS_U_PARC_TIR]]))</f>
        <v>145.80515186938649</v>
      </c>
      <c r="V429" s="78">
        <f>+TAB_AMORTIZACAO_U[[#This Row],[V_FUT_U_PCPL-02]]/TAB_AMORTIZACAO_U[[#This Row],[VAR_DESCAP_U]]</f>
        <v>116.22242810365351</v>
      </c>
      <c r="W429" s="78"/>
      <c r="X429" s="101">
        <f>TAB_AMORTIZACAO_U[[#This Row],[dt_eve_u]]- DT_CALCULO_C</f>
        <v>3362</v>
      </c>
      <c r="Y429" s="49" t="str">
        <f t="shared" si="14"/>
        <v>n/a</v>
      </c>
      <c r="Z429" s="49" t="str">
        <f t="shared" si="14"/>
        <v>n/a</v>
      </c>
      <c r="AA429" s="44">
        <f>TAB_AMORTIZACAO_U[[#This Row],[V_PU_AMTC]]</f>
        <v>586.162555</v>
      </c>
      <c r="AB429" s="44">
        <f>(TIR_C/100 +1)^(TAB_AMORTIZACAO_C[[#This Row],[DIAS_CORRIDOS]]/360)</f>
        <v>1.2552582662610785</v>
      </c>
      <c r="AC429" s="44">
        <f>IF(TAB_AMORTIZACAO_C[[#This Row],[DIAS_CORRIDOS]]&lt;0, 0, TAB_AMORTIZACAO_C[[#This Row],[V_FUT_C_PCPL]]/TAB_AMORTIZACAO_C[[#This Row],[VAR_DESCAP_C]])</f>
        <v>466.96570001163832</v>
      </c>
      <c r="AD429" s="115">
        <f>TAB_AMORTIZACAO_U[[#This Row],[V_FUT_U_PCPL-02]]</f>
        <v>145.80515186938649</v>
      </c>
      <c r="AE429" s="127">
        <f>IF(TAB_AMORTIZACAO_C[[#This Row],[DIAS_CORRIDOS]]&lt;0, 0, TAB_AMORTIZACAO_C[[#This Row],[V_FUT_UTEIS]]/TAB_AMORTIZACAO_C[[#This Row],[VAR_DESCAP_C]])</f>
        <v>116.15550025707681</v>
      </c>
      <c r="AF429" s="64"/>
    </row>
    <row r="430" spans="1:32">
      <c r="A430" s="82">
        <f t="shared" si="12"/>
        <v>112</v>
      </c>
      <c r="B430" s="24">
        <f>VLOOKUP($A430, CAD_AMORTIZACAO[#Data], MATCH(B$318, CAD_ATUALIZACAO[#Headers],0), FALSE)</f>
        <v>4</v>
      </c>
      <c r="C430" s="24" t="str">
        <f>VLOOKUP($A430, CAD_AMORTIZACAO[#Data], MATCH(C$318, CAD_ATUALIZACAO[#Headers],0), FALSE)</f>
        <v xml:space="preserve">AMORTIZACAO                                       </v>
      </c>
      <c r="D430" s="36">
        <f>VLOOKUP($A430, CAD_AMORTIZACAO[#Data], MATCH(D$318, CAD_ATUALIZACAO[#Headers],0), FALSE)</f>
        <v>45755</v>
      </c>
      <c r="E430" s="48">
        <f>VLOOKUP($A430, CAD_AMORTIZACAO[#Data], MATCH(E$318, CAD_ATUALIZACAO[#Headers],0), FALSE)</f>
        <v>582.21106399999996</v>
      </c>
      <c r="F430" s="36">
        <f>VLOOKUP($A430, CAD_AMORTIZACAO[#Data], MATCH(F$318, CAD_ATUALIZACAO[#Headers],0), FALSE)</f>
        <v>45761</v>
      </c>
      <c r="G430" s="47">
        <f>WORKDAY(WORKDAY(TAB_AMORTIZACAO_U[[#This Row],[DT_EVE]], -1, TAB_FERIADOS[FER_DATA]), 1, TAB_FERIADOS[FER_DATA])</f>
        <v>45755</v>
      </c>
      <c r="H430" s="75">
        <f>WORKDAY(WORKDAY(TAB_AMORTIZACAO_U[[#This Row],[DT_LQDC_EVE]], -1, TAB_FERIADOS[FER_DATA]), 1, TAB_FERIADOS[FER_DATA])</f>
        <v>45761</v>
      </c>
      <c r="I430" s="48">
        <f>PU_EMISSAO - SUMIF(TAB_AMORTIZACAO_U[dt_eve_u], "&lt;" &amp; TAB_AMORTIZACAO_U[[#This Row],[dt_eve_u]], TAB_AMORTIZACAO_U[V_PU_AMTC])</f>
        <v>17655.599972000025</v>
      </c>
      <c r="J430" s="48">
        <f>IFERROR(VLOOKUP(TAB_AMORTIZACAO_U[[#This Row],[DT_EVE]], TAB_AMORTIZACAO_U[[DT_EVE]:[V_PU_AMTC]], 2, FALSE), 0)</f>
        <v>582.21106399999996</v>
      </c>
      <c r="K430" s="48">
        <f>NETWORKDAYS(DT_CALCULO_U, TAB_AMORTIZACAO_U[[#This Row],[dt_eve_u]], TAB_FERIADOS[FER_DATA]) -1</f>
        <v>2329</v>
      </c>
      <c r="L430" s="48">
        <f>NETWORKDAYS(DT_CALCULO_U, TAB_AMORTIZACAO_U[[#This Row],[dt_lqdc_eve_u]], TAB_FERIADOS[FER_DATA]) -1</f>
        <v>2333</v>
      </c>
      <c r="M430" s="48">
        <f>NETWORKDAYS(IF(ISTEXT(G429), DT_B_CORC, G429), TAB_AMORTIZACAO_U[[#This Row],[dt_eve_u]], TAB_FERIADOS[FER_DATA]) -1</f>
        <v>19</v>
      </c>
      <c r="N430" s="78">
        <f>(TX_EMISSAO/100 +1)^(TAB_AMORTIZACAO_U[[#This Row],[dias_periodo_u]]/252)</f>
        <v>1.0018634787225431</v>
      </c>
      <c r="O430" s="78">
        <f>(TIR_U/100 +1)^(TAB_AMORTIZACAO_U[[#This Row],[Q_DIAS_U_PARC_TIR]]/252)</f>
        <v>1.2568734653144804</v>
      </c>
      <c r="P430" s="116" t="str">
        <f>"TX_CENARIO" &amp; TEXT(DT_CALCULO_C, "-AAAAMMDD") &amp; TEXT(TAB_AMORTIZACAO_U[[#This Row],[DT_EVE]], "-AAAAMMDD")</f>
        <v>TX_CENARIO-20151228-20250408</v>
      </c>
      <c r="Q430" s="44">
        <f>IFERROR(VLOOKUP(TAB_AMORTIZACAO_U[[#This Row],[Chave-CENARIO]],CENARIO[],2,FALSE), 0)</f>
        <v>16.356000000000002</v>
      </c>
      <c r="R430" s="117" t="str">
        <f t="shared" si="13"/>
        <v>n/a</v>
      </c>
      <c r="S430" s="49" t="str">
        <f t="shared" si="13"/>
        <v>n/a</v>
      </c>
      <c r="T430" s="78">
        <f>IF(TAB_AMORTIZACAO_U[[#This Row],[Q_DIAS_U_PARC_TIR]]&lt;0, 0, TAB_AMORTIZACAO_U[[#This Row],[PU_AMORT]])</f>
        <v>582.21106399999996</v>
      </c>
      <c r="U430" s="78">
        <f>MAX(0, TAB_AMORTIZACAO_U[[#This Row],[V_FUT_U_PCPL-01]]/((((TAB_AMORTIZACAO_U[[#This Row],[TX_CENARIO]]/100 +1)^(1/252) -1) * PC_IDXR/100 +1)^TAB_AMORTIZACAO_U[[#This Row],[Q_DIAS_U_PARC_TIR]]))</f>
        <v>143.22277315342055</v>
      </c>
      <c r="V430" s="78">
        <f>+TAB_AMORTIZACAO_U[[#This Row],[V_FUT_U_PCPL-02]]/TAB_AMORTIZACAO_U[[#This Row],[VAR_DESCAP_U]]</f>
        <v>113.95162449195711</v>
      </c>
      <c r="W430" s="78"/>
      <c r="X430" s="101">
        <f>TAB_AMORTIZACAO_U[[#This Row],[dt_eve_u]]- DT_CALCULO_C</f>
        <v>3389</v>
      </c>
      <c r="Y430" s="49" t="str">
        <f t="shared" si="14"/>
        <v>n/a</v>
      </c>
      <c r="Z430" s="49" t="str">
        <f t="shared" si="14"/>
        <v>n/a</v>
      </c>
      <c r="AA430" s="44">
        <f>TAB_AMORTIZACAO_U[[#This Row],[V_PU_AMTC]]</f>
        <v>582.21106399999996</v>
      </c>
      <c r="AB430" s="44">
        <f>(TIR_C/100 +1)^(TAB_AMORTIZACAO_C[[#This Row],[DIAS_CORRIDOS]]/360)</f>
        <v>1.257552164155523</v>
      </c>
      <c r="AC430" s="44">
        <f>IF(TAB_AMORTIZACAO_C[[#This Row],[DIAS_CORRIDOS]]&lt;0, 0, TAB_AMORTIZACAO_C[[#This Row],[V_FUT_C_PCPL]]/TAB_AMORTIZACAO_C[[#This Row],[VAR_DESCAP_C]])</f>
        <v>462.97170057432083</v>
      </c>
      <c r="AD430" s="115">
        <f>TAB_AMORTIZACAO_U[[#This Row],[V_FUT_U_PCPL-02]]</f>
        <v>143.22277315342055</v>
      </c>
      <c r="AE430" s="127">
        <f>IF(TAB_AMORTIZACAO_C[[#This Row],[DIAS_CORRIDOS]]&lt;0, 0, TAB_AMORTIZACAO_C[[#This Row],[V_FUT_UTEIS]]/TAB_AMORTIZACAO_C[[#This Row],[VAR_DESCAP_C]])</f>
        <v>113.89012498706019</v>
      </c>
      <c r="AF430" s="64"/>
    </row>
    <row r="431" spans="1:32">
      <c r="A431" s="82">
        <f t="shared" si="12"/>
        <v>113</v>
      </c>
      <c r="B431" s="24">
        <f>VLOOKUP($A431, CAD_AMORTIZACAO[#Data], MATCH(B$318, CAD_ATUALIZACAO[#Headers],0), FALSE)</f>
        <v>4</v>
      </c>
      <c r="C431" s="24" t="str">
        <f>VLOOKUP($A431, CAD_AMORTIZACAO[#Data], MATCH(C$318, CAD_ATUALIZACAO[#Headers],0), FALSE)</f>
        <v xml:space="preserve">AMORTIZACAO                                       </v>
      </c>
      <c r="D431" s="36">
        <f>VLOOKUP($A431, CAD_AMORTIZACAO[#Data], MATCH(D$318, CAD_ATUALIZACAO[#Headers],0), FALSE)</f>
        <v>45786</v>
      </c>
      <c r="E431" s="48">
        <f>VLOOKUP($A431, CAD_AMORTIZACAO[#Data], MATCH(E$318, CAD_ATUALIZACAO[#Headers],0), FALSE)</f>
        <v>574.50246300000003</v>
      </c>
      <c r="F431" s="36">
        <f>VLOOKUP($A431, CAD_AMORTIZACAO[#Data], MATCH(F$318, CAD_ATUALIZACAO[#Headers],0), FALSE)</f>
        <v>45792</v>
      </c>
      <c r="G431" s="47">
        <f>WORKDAY(WORKDAY(TAB_AMORTIZACAO_U[[#This Row],[DT_EVE]], -1, TAB_FERIADOS[FER_DATA]), 1, TAB_FERIADOS[FER_DATA])</f>
        <v>45786</v>
      </c>
      <c r="H431" s="75">
        <f>WORKDAY(WORKDAY(TAB_AMORTIZACAO_U[[#This Row],[DT_LQDC_EVE]], -1, TAB_FERIADOS[FER_DATA]), 1, TAB_FERIADOS[FER_DATA])</f>
        <v>45792</v>
      </c>
      <c r="I431" s="48">
        <f>PU_EMISSAO - SUMIF(TAB_AMORTIZACAO_U[dt_eve_u], "&lt;" &amp; TAB_AMORTIZACAO_U[[#This Row],[dt_eve_u]], TAB_AMORTIZACAO_U[V_PU_AMTC])</f>
        <v>17073.388908000023</v>
      </c>
      <c r="J431" s="48">
        <f>IFERROR(VLOOKUP(TAB_AMORTIZACAO_U[[#This Row],[DT_EVE]], TAB_AMORTIZACAO_U[[DT_EVE]:[V_PU_AMTC]], 2, FALSE), 0)</f>
        <v>574.50246300000003</v>
      </c>
      <c r="K431" s="48">
        <f>NETWORKDAYS(DT_CALCULO_U, TAB_AMORTIZACAO_U[[#This Row],[dt_eve_u]], TAB_FERIADOS[FER_DATA]) -1</f>
        <v>2349</v>
      </c>
      <c r="L431" s="48">
        <f>NETWORKDAYS(DT_CALCULO_U, TAB_AMORTIZACAO_U[[#This Row],[dt_lqdc_eve_u]], TAB_FERIADOS[FER_DATA]) -1</f>
        <v>2353</v>
      </c>
      <c r="M431" s="48">
        <f>NETWORKDAYS(IF(ISTEXT(G430), DT_B_CORC, G430), TAB_AMORTIZACAO_U[[#This Row],[dt_eve_u]], TAB_FERIADOS[FER_DATA]) -1</f>
        <v>20</v>
      </c>
      <c r="N431" s="78">
        <f>(TX_EMISSAO/100 +1)^(TAB_AMORTIZACAO_U[[#This Row],[dias_periodo_u]]/252)</f>
        <v>1.0019616526860928</v>
      </c>
      <c r="O431" s="78">
        <f>(TIR_U/100 +1)^(TAB_AMORTIZACAO_U[[#This Row],[Q_DIAS_U_PARC_TIR]]/252)</f>
        <v>1.2593392803283947</v>
      </c>
      <c r="P431" s="116" t="str">
        <f>"TX_CENARIO" &amp; TEXT(DT_CALCULO_C, "-AAAAMMDD") &amp; TEXT(TAB_AMORTIZACAO_U[[#This Row],[DT_EVE]], "-AAAAMMDD")</f>
        <v>TX_CENARIO-20151228-20250509</v>
      </c>
      <c r="Q431" s="44">
        <f>IFERROR(VLOOKUP(TAB_AMORTIZACAO_U[[#This Row],[Chave-CENARIO]],CENARIO[],2,FALSE), 0)</f>
        <v>16.351900000000001</v>
      </c>
      <c r="R431" s="117" t="str">
        <f t="shared" si="13"/>
        <v>n/a</v>
      </c>
      <c r="S431" s="49" t="str">
        <f t="shared" si="13"/>
        <v>n/a</v>
      </c>
      <c r="T431" s="78">
        <f>IF(TAB_AMORTIZACAO_U[[#This Row],[Q_DIAS_U_PARC_TIR]]&lt;0, 0, TAB_AMORTIZACAO_U[[#This Row],[PU_AMORT]])</f>
        <v>574.50246300000003</v>
      </c>
      <c r="U431" s="78">
        <f>MAX(0, TAB_AMORTIZACAO_U[[#This Row],[V_FUT_U_PCPL-01]]/((((TAB_AMORTIZACAO_U[[#This Row],[TX_CENARIO]]/100 +1)^(1/252) -1) * PC_IDXR/100 +1)^TAB_AMORTIZACAO_U[[#This Row],[Q_DIAS_U_PARC_TIR]]))</f>
        <v>139.68349064035621</v>
      </c>
      <c r="V431" s="78">
        <f>+TAB_AMORTIZACAO_U[[#This Row],[V_FUT_U_PCPL-02]]/TAB_AMORTIZACAO_U[[#This Row],[VAR_DESCAP_U]]</f>
        <v>110.91807650431686</v>
      </c>
      <c r="W431" s="78"/>
      <c r="X431" s="101">
        <f>TAB_AMORTIZACAO_U[[#This Row],[dt_eve_u]]- DT_CALCULO_C</f>
        <v>3420</v>
      </c>
      <c r="Y431" s="49" t="str">
        <f t="shared" si="14"/>
        <v>n/a</v>
      </c>
      <c r="Z431" s="49" t="str">
        <f t="shared" si="14"/>
        <v>n/a</v>
      </c>
      <c r="AA431" s="44">
        <f>TAB_AMORTIZACAO_U[[#This Row],[V_PU_AMTC]]</f>
        <v>574.50246300000003</v>
      </c>
      <c r="AB431" s="44">
        <f>(TIR_C/100 +1)^(TAB_AMORTIZACAO_C[[#This Row],[DIAS_CORRIDOS]]/360)</f>
        <v>1.2601910687259181</v>
      </c>
      <c r="AC431" s="44">
        <f>IF(TAB_AMORTIZACAO_C[[#This Row],[DIAS_CORRIDOS]]&lt;0, 0, TAB_AMORTIZACAO_C[[#This Row],[V_FUT_C_PCPL]]/TAB_AMORTIZACAO_C[[#This Row],[VAR_DESCAP_C]])</f>
        <v>455.88520444033549</v>
      </c>
      <c r="AD431" s="115">
        <f>TAB_AMORTIZACAO_U[[#This Row],[V_FUT_U_PCPL-02]]</f>
        <v>139.68349064035621</v>
      </c>
      <c r="AE431" s="127">
        <f>IF(TAB_AMORTIZACAO_C[[#This Row],[DIAS_CORRIDOS]]&lt;0, 0, TAB_AMORTIZACAO_C[[#This Row],[V_FUT_UTEIS]]/TAB_AMORTIZACAO_C[[#This Row],[VAR_DESCAP_C]])</f>
        <v>110.84310475361438</v>
      </c>
      <c r="AF431" s="64"/>
    </row>
    <row r="432" spans="1:32">
      <c r="A432" s="82">
        <f t="shared" si="12"/>
        <v>114</v>
      </c>
      <c r="B432" s="24">
        <f>VLOOKUP($A432, CAD_AMORTIZACAO[#Data], MATCH(B$318, CAD_ATUALIZACAO[#Headers],0), FALSE)</f>
        <v>4</v>
      </c>
      <c r="C432" s="24" t="str">
        <f>VLOOKUP($A432, CAD_AMORTIZACAO[#Data], MATCH(C$318, CAD_ATUALIZACAO[#Headers],0), FALSE)</f>
        <v xml:space="preserve">AMORTIZACAO                                       </v>
      </c>
      <c r="D432" s="36">
        <f>VLOOKUP($A432, CAD_AMORTIZACAO[#Data], MATCH(D$318, CAD_ATUALIZACAO[#Headers],0), FALSE)</f>
        <v>45817</v>
      </c>
      <c r="E432" s="48">
        <f>VLOOKUP($A432, CAD_AMORTIZACAO[#Data], MATCH(E$318, CAD_ATUALIZACAO[#Headers],0), FALSE)</f>
        <v>566.63775599999997</v>
      </c>
      <c r="F432" s="36">
        <f>VLOOKUP($A432, CAD_AMORTIZACAO[#Data], MATCH(F$318, CAD_ATUALIZACAO[#Headers],0), FALSE)</f>
        <v>45821</v>
      </c>
      <c r="G432" s="47">
        <f>WORKDAY(WORKDAY(TAB_AMORTIZACAO_U[[#This Row],[DT_EVE]], -1, TAB_FERIADOS[FER_DATA]), 1, TAB_FERIADOS[FER_DATA])</f>
        <v>45817</v>
      </c>
      <c r="H432" s="75">
        <f>WORKDAY(WORKDAY(TAB_AMORTIZACAO_U[[#This Row],[DT_LQDC_EVE]], -1, TAB_FERIADOS[FER_DATA]), 1, TAB_FERIADOS[FER_DATA])</f>
        <v>45821</v>
      </c>
      <c r="I432" s="48">
        <f>PU_EMISSAO - SUMIF(TAB_AMORTIZACAO_U[dt_eve_u], "&lt;" &amp; TAB_AMORTIZACAO_U[[#This Row],[dt_eve_u]], TAB_AMORTIZACAO_U[V_PU_AMTC])</f>
        <v>16498.886445000026</v>
      </c>
      <c r="J432" s="48">
        <f>IFERROR(VLOOKUP(TAB_AMORTIZACAO_U[[#This Row],[DT_EVE]], TAB_AMORTIZACAO_U[[DT_EVE]:[V_PU_AMTC]], 2, FALSE), 0)</f>
        <v>566.63775599999997</v>
      </c>
      <c r="K432" s="48">
        <f>NETWORKDAYS(DT_CALCULO_U, TAB_AMORTIZACAO_U[[#This Row],[dt_eve_u]], TAB_FERIADOS[FER_DATA]) -1</f>
        <v>2370</v>
      </c>
      <c r="L432" s="48">
        <f>NETWORKDAYS(DT_CALCULO_U, TAB_AMORTIZACAO_U[[#This Row],[dt_lqdc_eve_u]], TAB_FERIADOS[FER_DATA]) -1</f>
        <v>2374</v>
      </c>
      <c r="M432" s="48">
        <f>NETWORKDAYS(IF(ISTEXT(G431), DT_B_CORC, G431), TAB_AMORTIZACAO_U[[#This Row],[dt_eve_u]], TAB_FERIADOS[FER_DATA]) -1</f>
        <v>21</v>
      </c>
      <c r="N432" s="78">
        <f>(TX_EMISSAO/100 +1)^(TAB_AMORTIZACAO_U[[#This Row],[dias_periodo_u]]/252)</f>
        <v>1.0020598362698427</v>
      </c>
      <c r="O432" s="78">
        <f>(TIR_U/100 +1)^(TAB_AMORTIZACAO_U[[#This Row],[Q_DIAS_U_PARC_TIR]]/252)</f>
        <v>1.2619335927238347</v>
      </c>
      <c r="P432" s="116" t="str">
        <f>"TX_CENARIO" &amp; TEXT(DT_CALCULO_C, "-AAAAMMDD") &amp; TEXT(TAB_AMORTIZACAO_U[[#This Row],[DT_EVE]], "-AAAAMMDD")</f>
        <v>TX_CENARIO-20151228-20250609</v>
      </c>
      <c r="Q432" s="44">
        <f>IFERROR(VLOOKUP(TAB_AMORTIZACAO_U[[#This Row],[Chave-CENARIO]],CENARIO[],2,FALSE), 0)</f>
        <v>16.3477</v>
      </c>
      <c r="R432" s="117" t="str">
        <f t="shared" si="13"/>
        <v>n/a</v>
      </c>
      <c r="S432" s="49" t="str">
        <f t="shared" si="13"/>
        <v>n/a</v>
      </c>
      <c r="T432" s="78">
        <f>IF(TAB_AMORTIZACAO_U[[#This Row],[Q_DIAS_U_PARC_TIR]]&lt;0, 0, TAB_AMORTIZACAO_U[[#This Row],[PU_AMORT]])</f>
        <v>566.63775599999997</v>
      </c>
      <c r="U432" s="78">
        <f>MAX(0, TAB_AMORTIZACAO_U[[#This Row],[V_FUT_U_PCPL-01]]/((((TAB_AMORTIZACAO_U[[#This Row],[TX_CENARIO]]/100 +1)^(1/252) -1) * PC_IDXR/100 +1)^TAB_AMORTIZACAO_U[[#This Row],[Q_DIAS_U_PARC_TIR]]))</f>
        <v>136.08970072623615</v>
      </c>
      <c r="V432" s="78">
        <f>+TAB_AMORTIZACAO_U[[#This Row],[V_FUT_U_PCPL-02]]/TAB_AMORTIZACAO_U[[#This Row],[VAR_DESCAP_U]]</f>
        <v>107.84220462226686</v>
      </c>
      <c r="W432" s="78"/>
      <c r="X432" s="101">
        <f>TAB_AMORTIZACAO_U[[#This Row],[dt_eve_u]]- DT_CALCULO_C</f>
        <v>3451</v>
      </c>
      <c r="Y432" s="49" t="str">
        <f t="shared" si="14"/>
        <v>n/a</v>
      </c>
      <c r="Z432" s="49" t="str">
        <f t="shared" si="14"/>
        <v>n/a</v>
      </c>
      <c r="AA432" s="44">
        <f>TAB_AMORTIZACAO_U[[#This Row],[V_PU_AMTC]]</f>
        <v>566.63775599999997</v>
      </c>
      <c r="AB432" s="44">
        <f>(TIR_C/100 +1)^(TAB_AMORTIZACAO_C[[#This Row],[DIAS_CORRIDOS]]/360)</f>
        <v>1.2628355108935041</v>
      </c>
      <c r="AC432" s="44">
        <f>IF(TAB_AMORTIZACAO_C[[#This Row],[DIAS_CORRIDOS]]&lt;0, 0, TAB_AMORTIZACAO_C[[#This Row],[V_FUT_C_PCPL]]/TAB_AMORTIZACAO_C[[#This Row],[VAR_DESCAP_C]])</f>
        <v>448.70274165721094</v>
      </c>
      <c r="AD432" s="115">
        <f>TAB_AMORTIZACAO_U[[#This Row],[V_FUT_U_PCPL-02]]</f>
        <v>136.08970072623615</v>
      </c>
      <c r="AE432" s="127">
        <f>IF(TAB_AMORTIZACAO_C[[#This Row],[DIAS_CORRIDOS]]&lt;0, 0, TAB_AMORTIZACAO_C[[#This Row],[V_FUT_UTEIS]]/TAB_AMORTIZACAO_C[[#This Row],[VAR_DESCAP_C]])</f>
        <v>107.76518363024771</v>
      </c>
      <c r="AF432" s="64"/>
    </row>
    <row r="433" spans="1:32">
      <c r="A433" s="82">
        <f t="shared" si="12"/>
        <v>115</v>
      </c>
      <c r="B433" s="24">
        <f>VLOOKUP($A433, CAD_AMORTIZACAO[#Data], MATCH(B$318, CAD_ATUALIZACAO[#Headers],0), FALSE)</f>
        <v>4</v>
      </c>
      <c r="C433" s="24" t="str">
        <f>VLOOKUP($A433, CAD_AMORTIZACAO[#Data], MATCH(C$318, CAD_ATUALIZACAO[#Headers],0), FALSE)</f>
        <v xml:space="preserve">AMORTIZACAO                                       </v>
      </c>
      <c r="D433" s="36">
        <f>VLOOKUP($A433, CAD_AMORTIZACAO[#Data], MATCH(D$318, CAD_ATUALIZACAO[#Headers],0), FALSE)</f>
        <v>45846</v>
      </c>
      <c r="E433" s="48">
        <f>VLOOKUP($A433, CAD_AMORTIZACAO[#Data], MATCH(E$318, CAD_ATUALIZACAO[#Headers],0), FALSE)</f>
        <v>562.42430999999999</v>
      </c>
      <c r="F433" s="36">
        <f>VLOOKUP($A433, CAD_AMORTIZACAO[#Data], MATCH(F$318, CAD_ATUALIZACAO[#Headers],0), FALSE)</f>
        <v>45852</v>
      </c>
      <c r="G433" s="47">
        <f>WORKDAY(WORKDAY(TAB_AMORTIZACAO_U[[#This Row],[DT_EVE]], -1, TAB_FERIADOS[FER_DATA]), 1, TAB_FERIADOS[FER_DATA])</f>
        <v>45846</v>
      </c>
      <c r="H433" s="75">
        <f>WORKDAY(WORKDAY(TAB_AMORTIZACAO_U[[#This Row],[DT_LQDC_EVE]], -1, TAB_FERIADOS[FER_DATA]), 1, TAB_FERIADOS[FER_DATA])</f>
        <v>45852</v>
      </c>
      <c r="I433" s="48">
        <f>PU_EMISSAO - SUMIF(TAB_AMORTIZACAO_U[dt_eve_u], "&lt;" &amp; TAB_AMORTIZACAO_U[[#This Row],[dt_eve_u]], TAB_AMORTIZACAO_U[V_PU_AMTC])</f>
        <v>15932.248689000029</v>
      </c>
      <c r="J433" s="48">
        <f>IFERROR(VLOOKUP(TAB_AMORTIZACAO_U[[#This Row],[DT_EVE]], TAB_AMORTIZACAO_U[[DT_EVE]:[V_PU_AMTC]], 2, FALSE), 0)</f>
        <v>562.42430999999999</v>
      </c>
      <c r="K433" s="48">
        <f>NETWORKDAYS(DT_CALCULO_U, TAB_AMORTIZACAO_U[[#This Row],[dt_eve_u]], TAB_FERIADOS[FER_DATA]) -1</f>
        <v>2390</v>
      </c>
      <c r="L433" s="48">
        <f>NETWORKDAYS(DT_CALCULO_U, TAB_AMORTIZACAO_U[[#This Row],[dt_lqdc_eve_u]], TAB_FERIADOS[FER_DATA]) -1</f>
        <v>2394</v>
      </c>
      <c r="M433" s="48">
        <f>NETWORKDAYS(IF(ISTEXT(G432), DT_B_CORC, G432), TAB_AMORTIZACAO_U[[#This Row],[dt_eve_u]], TAB_FERIADOS[FER_DATA]) -1</f>
        <v>20</v>
      </c>
      <c r="N433" s="78">
        <f>(TX_EMISSAO/100 +1)^(TAB_AMORTIZACAO_U[[#This Row],[dias_periodo_u]]/252)</f>
        <v>1.0019616526860928</v>
      </c>
      <c r="O433" s="78">
        <f>(TIR_U/100 +1)^(TAB_AMORTIZACAO_U[[#This Row],[Q_DIAS_U_PARC_TIR]]/252)</f>
        <v>1.2644093350203933</v>
      </c>
      <c r="P433" s="116" t="str">
        <f>"TX_CENARIO" &amp; TEXT(DT_CALCULO_C, "-AAAAMMDD") &amp; TEXT(TAB_AMORTIZACAO_U[[#This Row],[DT_EVE]], "-AAAAMMDD")</f>
        <v>TX_CENARIO-20151228-20250708</v>
      </c>
      <c r="Q433" s="44">
        <f>IFERROR(VLOOKUP(TAB_AMORTIZACAO_U[[#This Row],[Chave-CENARIO]],CENARIO[],2,FALSE), 0)</f>
        <v>16.343699999999998</v>
      </c>
      <c r="R433" s="117" t="str">
        <f t="shared" si="13"/>
        <v>n/a</v>
      </c>
      <c r="S433" s="49" t="str">
        <f t="shared" si="13"/>
        <v>n/a</v>
      </c>
      <c r="T433" s="78">
        <f>IF(TAB_AMORTIZACAO_U[[#This Row],[Q_DIAS_U_PARC_TIR]]&lt;0, 0, TAB_AMORTIZACAO_U[[#This Row],[PU_AMORT]])</f>
        <v>562.42430999999999</v>
      </c>
      <c r="U433" s="78">
        <f>MAX(0, TAB_AMORTIZACAO_U[[#This Row],[V_FUT_U_PCPL-01]]/((((TAB_AMORTIZACAO_U[[#This Row],[TX_CENARIO]]/100 +1)^(1/252) -1) * PC_IDXR/100 +1)^TAB_AMORTIZACAO_U[[#This Row],[Q_DIAS_U_PARC_TIR]]))</f>
        <v>133.50785158050954</v>
      </c>
      <c r="V433" s="78">
        <f>+TAB_AMORTIZACAO_U[[#This Row],[V_FUT_U_PCPL-02]]/TAB_AMORTIZACAO_U[[#This Row],[VAR_DESCAP_U]]</f>
        <v>105.58910621959005</v>
      </c>
      <c r="W433" s="78"/>
      <c r="X433" s="101">
        <f>TAB_AMORTIZACAO_U[[#This Row],[dt_eve_u]]- DT_CALCULO_C</f>
        <v>3480</v>
      </c>
      <c r="Y433" s="49" t="str">
        <f t="shared" si="14"/>
        <v>n/a</v>
      </c>
      <c r="Z433" s="49" t="str">
        <f t="shared" si="14"/>
        <v>n/a</v>
      </c>
      <c r="AA433" s="44">
        <f>TAB_AMORTIZACAO_U[[#This Row],[V_PU_AMTC]]</f>
        <v>562.42430999999999</v>
      </c>
      <c r="AB433" s="44">
        <f>(TIR_C/100 +1)^(TAB_AMORTIZACAO_C[[#This Row],[DIAS_CORRIDOS]]/360)</f>
        <v>1.2653143674077278</v>
      </c>
      <c r="AC433" s="44">
        <f>IF(TAB_AMORTIZACAO_C[[#This Row],[DIAS_CORRIDOS]]&lt;0, 0, TAB_AMORTIZACAO_C[[#This Row],[V_FUT_C_PCPL]]/TAB_AMORTIZACAO_C[[#This Row],[VAR_DESCAP_C]])</f>
        <v>444.49373569688356</v>
      </c>
      <c r="AD433" s="115">
        <f>TAB_AMORTIZACAO_U[[#This Row],[V_FUT_U_PCPL-02]]</f>
        <v>133.50785158050954</v>
      </c>
      <c r="AE433" s="127">
        <f>IF(TAB_AMORTIZACAO_C[[#This Row],[DIAS_CORRIDOS]]&lt;0, 0, TAB_AMORTIZACAO_C[[#This Row],[V_FUT_UTEIS]]/TAB_AMORTIZACAO_C[[#This Row],[VAR_DESCAP_C]])</f>
        <v>105.51358225231367</v>
      </c>
      <c r="AF433" s="64"/>
    </row>
    <row r="434" spans="1:32">
      <c r="A434" s="82">
        <f t="shared" si="12"/>
        <v>116</v>
      </c>
      <c r="B434" s="24">
        <f>VLOOKUP($A434, CAD_AMORTIZACAO[#Data], MATCH(B$318, CAD_ATUALIZACAO[#Headers],0), FALSE)</f>
        <v>4</v>
      </c>
      <c r="C434" s="24" t="str">
        <f>VLOOKUP($A434, CAD_AMORTIZACAO[#Data], MATCH(C$318, CAD_ATUALIZACAO[#Headers],0), FALSE)</f>
        <v xml:space="preserve">AMORTIZACAO                                       </v>
      </c>
      <c r="D434" s="36">
        <f>VLOOKUP($A434, CAD_AMORTIZACAO[#Data], MATCH(D$318, CAD_ATUALIZACAO[#Headers],0), FALSE)</f>
        <v>45877</v>
      </c>
      <c r="E434" s="48">
        <f>VLOOKUP($A434, CAD_AMORTIZACAO[#Data], MATCH(E$318, CAD_ATUALIZACAO[#Headers],0), FALSE)</f>
        <v>551.10042199999998</v>
      </c>
      <c r="F434" s="36">
        <f>VLOOKUP($A434, CAD_AMORTIZACAO[#Data], MATCH(F$318, CAD_ATUALIZACAO[#Headers],0), FALSE)</f>
        <v>45883</v>
      </c>
      <c r="G434" s="47">
        <f>WORKDAY(WORKDAY(TAB_AMORTIZACAO_U[[#This Row],[DT_EVE]], -1, TAB_FERIADOS[FER_DATA]), 1, TAB_FERIADOS[FER_DATA])</f>
        <v>45877</v>
      </c>
      <c r="H434" s="75">
        <f>WORKDAY(WORKDAY(TAB_AMORTIZACAO_U[[#This Row],[DT_LQDC_EVE]], -1, TAB_FERIADOS[FER_DATA]), 1, TAB_FERIADOS[FER_DATA])</f>
        <v>45883</v>
      </c>
      <c r="I434" s="48">
        <f>PU_EMISSAO - SUMIF(TAB_AMORTIZACAO_U[dt_eve_u], "&lt;" &amp; TAB_AMORTIZACAO_U[[#This Row],[dt_eve_u]], TAB_AMORTIZACAO_U[V_PU_AMTC])</f>
        <v>15369.824379000027</v>
      </c>
      <c r="J434" s="48">
        <f>IFERROR(VLOOKUP(TAB_AMORTIZACAO_U[[#This Row],[DT_EVE]], TAB_AMORTIZACAO_U[[DT_EVE]:[V_PU_AMTC]], 2, FALSE), 0)</f>
        <v>551.10042199999998</v>
      </c>
      <c r="K434" s="48">
        <f>NETWORKDAYS(DT_CALCULO_U, TAB_AMORTIZACAO_U[[#This Row],[dt_eve_u]], TAB_FERIADOS[FER_DATA]) -1</f>
        <v>2413</v>
      </c>
      <c r="L434" s="48">
        <f>NETWORKDAYS(DT_CALCULO_U, TAB_AMORTIZACAO_U[[#This Row],[dt_lqdc_eve_u]], TAB_FERIADOS[FER_DATA]) -1</f>
        <v>2417</v>
      </c>
      <c r="M434" s="48">
        <f>NETWORKDAYS(IF(ISTEXT(G433), DT_B_CORC, G433), TAB_AMORTIZACAO_U[[#This Row],[dt_eve_u]], TAB_FERIADOS[FER_DATA]) -1</f>
        <v>23</v>
      </c>
      <c r="N434" s="78">
        <f>(TX_EMISSAO/100 +1)^(TAB_AMORTIZACAO_U[[#This Row],[dias_periodo_u]]/252)</f>
        <v>1.0022562323017139</v>
      </c>
      <c r="O434" s="78">
        <f>(TIR_U/100 +1)^(TAB_AMORTIZACAO_U[[#This Row],[Q_DIAS_U_PARC_TIR]]/252)</f>
        <v>1.267262443803105</v>
      </c>
      <c r="P434" s="116" t="str">
        <f>"TX_CENARIO" &amp; TEXT(DT_CALCULO_C, "-AAAAMMDD") &amp; TEXT(TAB_AMORTIZACAO_U[[#This Row],[DT_EVE]], "-AAAAMMDD")</f>
        <v>TX_CENARIO-20151228-20250808</v>
      </c>
      <c r="Q434" s="44">
        <f>IFERROR(VLOOKUP(TAB_AMORTIZACAO_U[[#This Row],[Chave-CENARIO]],CENARIO[],2,FALSE), 0)</f>
        <v>16.339200000000002</v>
      </c>
      <c r="R434" s="117" t="str">
        <f t="shared" si="13"/>
        <v>n/a</v>
      </c>
      <c r="S434" s="49" t="str">
        <f t="shared" si="13"/>
        <v>n/a</v>
      </c>
      <c r="T434" s="78">
        <f>IF(TAB_AMORTIZACAO_U[[#This Row],[Q_DIAS_U_PARC_TIR]]&lt;0, 0, TAB_AMORTIZACAO_U[[#This Row],[PU_AMORT]])</f>
        <v>551.10042199999998</v>
      </c>
      <c r="U434" s="78">
        <f>MAX(0, TAB_AMORTIZACAO_U[[#This Row],[V_FUT_U_PCPL-01]]/((((TAB_AMORTIZACAO_U[[#This Row],[TX_CENARIO]]/100 +1)^(1/252) -1) * PC_IDXR/100 +1)^TAB_AMORTIZACAO_U[[#This Row],[Q_DIAS_U_PARC_TIR]]))</f>
        <v>129.0726543017374</v>
      </c>
      <c r="V434" s="78">
        <f>+TAB_AMORTIZACAO_U[[#This Row],[V_FUT_U_PCPL-02]]/TAB_AMORTIZACAO_U[[#This Row],[VAR_DESCAP_U]]</f>
        <v>101.85155800434299</v>
      </c>
      <c r="W434" s="78"/>
      <c r="X434" s="101">
        <f>TAB_AMORTIZACAO_U[[#This Row],[dt_eve_u]]- DT_CALCULO_C</f>
        <v>3511</v>
      </c>
      <c r="Y434" s="49" t="str">
        <f t="shared" si="14"/>
        <v>n/a</v>
      </c>
      <c r="Z434" s="49" t="str">
        <f t="shared" si="14"/>
        <v>n/a</v>
      </c>
      <c r="AA434" s="44">
        <f>TAB_AMORTIZACAO_U[[#This Row],[V_PU_AMTC]]</f>
        <v>551.10042199999998</v>
      </c>
      <c r="AB434" s="44">
        <f>(TIR_C/100 +1)^(TAB_AMORTIZACAO_C[[#This Row],[DIAS_CORRIDOS]]/360)</f>
        <v>1.267969560537932</v>
      </c>
      <c r="AC434" s="44">
        <f>IF(TAB_AMORTIZACAO_C[[#This Row],[DIAS_CORRIDOS]]&lt;0, 0, TAB_AMORTIZACAO_C[[#This Row],[V_FUT_C_PCPL]]/TAB_AMORTIZACAO_C[[#This Row],[VAR_DESCAP_C]])</f>
        <v>434.63221764266757</v>
      </c>
      <c r="AD434" s="115">
        <f>TAB_AMORTIZACAO_U[[#This Row],[V_FUT_U_PCPL-02]]</f>
        <v>129.0726543017374</v>
      </c>
      <c r="AE434" s="127">
        <f>IF(TAB_AMORTIZACAO_C[[#This Row],[DIAS_CORRIDOS]]&lt;0, 0, TAB_AMORTIZACAO_C[[#This Row],[V_FUT_UTEIS]]/TAB_AMORTIZACAO_C[[#This Row],[VAR_DESCAP_C]])</f>
        <v>101.79475779132959</v>
      </c>
      <c r="AF434" s="64"/>
    </row>
    <row r="435" spans="1:32">
      <c r="A435" s="82">
        <f t="shared" si="12"/>
        <v>117</v>
      </c>
      <c r="B435" s="24">
        <f>VLOOKUP($A435, CAD_AMORTIZACAO[#Data], MATCH(B$318, CAD_ATUALIZACAO[#Headers],0), FALSE)</f>
        <v>4</v>
      </c>
      <c r="C435" s="24" t="str">
        <f>VLOOKUP($A435, CAD_AMORTIZACAO[#Data], MATCH(C$318, CAD_ATUALIZACAO[#Headers],0), FALSE)</f>
        <v xml:space="preserve">AMORTIZACAO                                       </v>
      </c>
      <c r="D435" s="36">
        <f>VLOOKUP($A435, CAD_AMORTIZACAO[#Data], MATCH(D$318, CAD_ATUALIZACAO[#Headers],0), FALSE)</f>
        <v>45908</v>
      </c>
      <c r="E435" s="48">
        <f>VLOOKUP($A435, CAD_AMORTIZACAO[#Data], MATCH(E$318, CAD_ATUALIZACAO[#Headers],0), FALSE)</f>
        <v>548.15941699999996</v>
      </c>
      <c r="F435" s="36">
        <f>VLOOKUP($A435, CAD_AMORTIZACAO[#Data], MATCH(F$318, CAD_ATUALIZACAO[#Headers],0), FALSE)</f>
        <v>45912</v>
      </c>
      <c r="G435" s="47">
        <f>WORKDAY(WORKDAY(TAB_AMORTIZACAO_U[[#This Row],[DT_EVE]], -1, TAB_FERIADOS[FER_DATA]), 1, TAB_FERIADOS[FER_DATA])</f>
        <v>45908</v>
      </c>
      <c r="H435" s="75">
        <f>WORKDAY(WORKDAY(TAB_AMORTIZACAO_U[[#This Row],[DT_LQDC_EVE]], -1, TAB_FERIADOS[FER_DATA]), 1, TAB_FERIADOS[FER_DATA])</f>
        <v>45912</v>
      </c>
      <c r="I435" s="48">
        <f>PU_EMISSAO - SUMIF(TAB_AMORTIZACAO_U[dt_eve_u], "&lt;" &amp; TAB_AMORTIZACAO_U[[#This Row],[dt_eve_u]], TAB_AMORTIZACAO_U[V_PU_AMTC])</f>
        <v>14818.723957000024</v>
      </c>
      <c r="J435" s="48">
        <f>IFERROR(VLOOKUP(TAB_AMORTIZACAO_U[[#This Row],[DT_EVE]], TAB_AMORTIZACAO_U[[DT_EVE]:[V_PU_AMTC]], 2, FALSE), 0)</f>
        <v>548.15941699999996</v>
      </c>
      <c r="K435" s="48">
        <f>NETWORKDAYS(DT_CALCULO_U, TAB_AMORTIZACAO_U[[#This Row],[dt_eve_u]], TAB_FERIADOS[FER_DATA]) -1</f>
        <v>2434</v>
      </c>
      <c r="L435" s="48">
        <f>NETWORKDAYS(DT_CALCULO_U, TAB_AMORTIZACAO_U[[#This Row],[dt_lqdc_eve_u]], TAB_FERIADOS[FER_DATA]) -1</f>
        <v>2438</v>
      </c>
      <c r="M435" s="48">
        <f>NETWORKDAYS(IF(ISTEXT(G434), DT_B_CORC, G434), TAB_AMORTIZACAO_U[[#This Row],[dt_eve_u]], TAB_FERIADOS[FER_DATA]) -1</f>
        <v>21</v>
      </c>
      <c r="N435" s="78">
        <f>(TX_EMISSAO/100 +1)^(TAB_AMORTIZACAO_U[[#This Row],[dias_periodo_u]]/252)</f>
        <v>1.0020598362698427</v>
      </c>
      <c r="O435" s="78">
        <f>(TIR_U/100 +1)^(TAB_AMORTIZACAO_U[[#This Row],[Q_DIAS_U_PARC_TIR]]/252)</f>
        <v>1.2698730783775909</v>
      </c>
      <c r="P435" s="116" t="str">
        <f>"TX_CENARIO" &amp; TEXT(DT_CALCULO_C, "-AAAAMMDD") &amp; TEXT(TAB_AMORTIZACAO_U[[#This Row],[DT_EVE]], "-AAAAMMDD")</f>
        <v>TX_CENARIO-20151228-20250908</v>
      </c>
      <c r="Q435" s="44">
        <f>IFERROR(VLOOKUP(TAB_AMORTIZACAO_U[[#This Row],[Chave-CENARIO]],CENARIO[],2,FALSE), 0)</f>
        <v>16.3352</v>
      </c>
      <c r="R435" s="117" t="str">
        <f t="shared" si="13"/>
        <v>n/a</v>
      </c>
      <c r="S435" s="49" t="str">
        <f t="shared" si="13"/>
        <v>n/a</v>
      </c>
      <c r="T435" s="78">
        <f>IF(TAB_AMORTIZACAO_U[[#This Row],[Q_DIAS_U_PARC_TIR]]&lt;0, 0, TAB_AMORTIZACAO_U[[#This Row],[PU_AMORT]])</f>
        <v>548.15941699999996</v>
      </c>
      <c r="U435" s="78">
        <f>MAX(0, TAB_AMORTIZACAO_U[[#This Row],[V_FUT_U_PCPL-01]]/((((TAB_AMORTIZACAO_U[[#This Row],[TX_CENARIO]]/100 +1)^(1/252) -1) * PC_IDXR/100 +1)^TAB_AMORTIZACAO_U[[#This Row],[Q_DIAS_U_PARC_TIR]]))</f>
        <v>126.81705626933561</v>
      </c>
      <c r="V435" s="78">
        <f>+TAB_AMORTIZACAO_U[[#This Row],[V_FUT_U_PCPL-02]]/TAB_AMORTIZACAO_U[[#This Row],[VAR_DESCAP_U]]</f>
        <v>99.865930248209537</v>
      </c>
      <c r="W435" s="78"/>
      <c r="X435" s="101">
        <f>TAB_AMORTIZACAO_U[[#This Row],[dt_eve_u]]- DT_CALCULO_C</f>
        <v>3542</v>
      </c>
      <c r="Y435" s="49" t="str">
        <f t="shared" si="14"/>
        <v>n/a</v>
      </c>
      <c r="Z435" s="49" t="str">
        <f t="shared" si="14"/>
        <v>n/a</v>
      </c>
      <c r="AA435" s="44">
        <f>TAB_AMORTIZACAO_U[[#This Row],[V_PU_AMTC]]</f>
        <v>548.15941699999996</v>
      </c>
      <c r="AB435" s="44">
        <f>(TIR_C/100 +1)^(TAB_AMORTIZACAO_C[[#This Row],[DIAS_CORRIDOS]]/360)</f>
        <v>1.2706303254459805</v>
      </c>
      <c r="AC435" s="44">
        <f>IF(TAB_AMORTIZACAO_C[[#This Row],[DIAS_CORRIDOS]]&lt;0, 0, TAB_AMORTIZACAO_C[[#This Row],[V_FUT_C_PCPL]]/TAB_AMORTIZACAO_C[[#This Row],[VAR_DESCAP_C]])</f>
        <v>431.4074723563682</v>
      </c>
      <c r="AD435" s="115">
        <f>TAB_AMORTIZACAO_U[[#This Row],[V_FUT_U_PCPL-02]]</f>
        <v>126.81705626933561</v>
      </c>
      <c r="AE435" s="127">
        <f>IF(TAB_AMORTIZACAO_C[[#This Row],[DIAS_CORRIDOS]]&lt;0, 0, TAB_AMORTIZACAO_C[[#This Row],[V_FUT_UTEIS]]/TAB_AMORTIZACAO_C[[#This Row],[VAR_DESCAP_C]])</f>
        <v>99.806413973965164</v>
      </c>
      <c r="AF435" s="64"/>
    </row>
    <row r="436" spans="1:32">
      <c r="A436" s="82">
        <f t="shared" si="12"/>
        <v>118</v>
      </c>
      <c r="B436" s="24">
        <f>VLOOKUP($A436, CAD_AMORTIZACAO[#Data], MATCH(B$318, CAD_ATUALIZACAO[#Headers],0), FALSE)</f>
        <v>4</v>
      </c>
      <c r="C436" s="24" t="str">
        <f>VLOOKUP($A436, CAD_AMORTIZACAO[#Data], MATCH(C$318, CAD_ATUALIZACAO[#Headers],0), FALSE)</f>
        <v xml:space="preserve">AMORTIZACAO                                       </v>
      </c>
      <c r="D436" s="36">
        <f>VLOOKUP($A436, CAD_AMORTIZACAO[#Data], MATCH(D$318, CAD_ATUALIZACAO[#Headers],0), FALSE)</f>
        <v>45938</v>
      </c>
      <c r="E436" s="48">
        <f>VLOOKUP($A436, CAD_AMORTIZACAO[#Data], MATCH(E$318, CAD_ATUALIZACAO[#Headers],0), FALSE)</f>
        <v>540.52617299999997</v>
      </c>
      <c r="F436" s="36">
        <f>VLOOKUP($A436, CAD_AMORTIZACAO[#Data], MATCH(F$318, CAD_ATUALIZACAO[#Headers],0), FALSE)</f>
        <v>45944</v>
      </c>
      <c r="G436" s="47">
        <f>WORKDAY(WORKDAY(TAB_AMORTIZACAO_U[[#This Row],[DT_EVE]], -1, TAB_FERIADOS[FER_DATA]), 1, TAB_FERIADOS[FER_DATA])</f>
        <v>45938</v>
      </c>
      <c r="H436" s="75">
        <f>WORKDAY(WORKDAY(TAB_AMORTIZACAO_U[[#This Row],[DT_LQDC_EVE]], -1, TAB_FERIADOS[FER_DATA]), 1, TAB_FERIADOS[FER_DATA])</f>
        <v>45944</v>
      </c>
      <c r="I436" s="48">
        <f>PU_EMISSAO - SUMIF(TAB_AMORTIZACAO_U[dt_eve_u], "&lt;" &amp; TAB_AMORTIZACAO_U[[#This Row],[dt_eve_u]], TAB_AMORTIZACAO_U[V_PU_AMTC])</f>
        <v>14270.564540000021</v>
      </c>
      <c r="J436" s="48">
        <f>IFERROR(VLOOKUP(TAB_AMORTIZACAO_U[[#This Row],[DT_EVE]], TAB_AMORTIZACAO_U[[DT_EVE]:[V_PU_AMTC]], 2, FALSE), 0)</f>
        <v>540.52617299999997</v>
      </c>
      <c r="K436" s="48">
        <f>NETWORKDAYS(DT_CALCULO_U, TAB_AMORTIZACAO_U[[#This Row],[dt_eve_u]], TAB_FERIADOS[FER_DATA]) -1</f>
        <v>2456</v>
      </c>
      <c r="L436" s="48">
        <f>NETWORKDAYS(DT_CALCULO_U, TAB_AMORTIZACAO_U[[#This Row],[dt_lqdc_eve_u]], TAB_FERIADOS[FER_DATA]) -1</f>
        <v>2460</v>
      </c>
      <c r="M436" s="48">
        <f>NETWORKDAYS(IF(ISTEXT(G435), DT_B_CORC, G435), TAB_AMORTIZACAO_U[[#This Row],[dt_eve_u]], TAB_FERIADOS[FER_DATA]) -1</f>
        <v>22</v>
      </c>
      <c r="N436" s="78">
        <f>(TX_EMISSAO/100 +1)^(TAB_AMORTIZACAO_U[[#This Row],[dias_periodo_u]]/252)</f>
        <v>1.0021580294747356</v>
      </c>
      <c r="O436" s="78">
        <f>(TIR_U/100 +1)^(TAB_AMORTIZACAO_U[[#This Row],[Q_DIAS_U_PARC_TIR]]/252)</f>
        <v>1.2726137973769509</v>
      </c>
      <c r="P436" s="116" t="str">
        <f>"TX_CENARIO" &amp; TEXT(DT_CALCULO_C, "-AAAAMMDD") &amp; TEXT(TAB_AMORTIZACAO_U[[#This Row],[DT_EVE]], "-AAAAMMDD")</f>
        <v>TX_CENARIO-20151228-20251008</v>
      </c>
      <c r="Q436" s="44">
        <f>IFERROR(VLOOKUP(TAB_AMORTIZACAO_U[[#This Row],[Chave-CENARIO]],CENARIO[],2,FALSE), 0)</f>
        <v>16.331099999999999</v>
      </c>
      <c r="R436" s="117" t="str">
        <f t="shared" si="13"/>
        <v>n/a</v>
      </c>
      <c r="S436" s="49" t="str">
        <f t="shared" si="13"/>
        <v>n/a</v>
      </c>
      <c r="T436" s="78">
        <f>IF(TAB_AMORTIZACAO_U[[#This Row],[Q_DIAS_U_PARC_TIR]]&lt;0, 0, TAB_AMORTIZACAO_U[[#This Row],[PU_AMORT]])</f>
        <v>540.52617299999997</v>
      </c>
      <c r="U436" s="78">
        <f>MAX(0, TAB_AMORTIZACAO_U[[#This Row],[V_FUT_U_PCPL-01]]/((((TAB_AMORTIZACAO_U[[#This Row],[TX_CENARIO]]/100 +1)^(1/252) -1) * PC_IDXR/100 +1)^TAB_AMORTIZACAO_U[[#This Row],[Q_DIAS_U_PARC_TIR]]))</f>
        <v>123.45260153410653</v>
      </c>
      <c r="V436" s="78">
        <f>+TAB_AMORTIZACAO_U[[#This Row],[V_FUT_U_PCPL-02]]/TAB_AMORTIZACAO_U[[#This Row],[VAR_DESCAP_U]]</f>
        <v>97.007121711677954</v>
      </c>
      <c r="W436" s="78"/>
      <c r="X436" s="101">
        <f>TAB_AMORTIZACAO_U[[#This Row],[dt_eve_u]]- DT_CALCULO_C</f>
        <v>3572</v>
      </c>
      <c r="Y436" s="49" t="str">
        <f t="shared" si="14"/>
        <v>n/a</v>
      </c>
      <c r="Z436" s="49" t="str">
        <f t="shared" si="14"/>
        <v>n/a</v>
      </c>
      <c r="AA436" s="44">
        <f>TAB_AMORTIZACAO_U[[#This Row],[V_PU_AMTC]]</f>
        <v>540.52617299999997</v>
      </c>
      <c r="AB436" s="44">
        <f>(TIR_C/100 +1)^(TAB_AMORTIZACAO_C[[#This Row],[DIAS_CORRIDOS]]/360)</f>
        <v>1.2732105753151215</v>
      </c>
      <c r="AC436" s="44">
        <f>IF(TAB_AMORTIZACAO_C[[#This Row],[DIAS_CORRIDOS]]&lt;0, 0, TAB_AMORTIZACAO_C[[#This Row],[V_FUT_C_PCPL]]/TAB_AMORTIZACAO_C[[#This Row],[VAR_DESCAP_C]])</f>
        <v>424.53792285397799</v>
      </c>
      <c r="AD436" s="115">
        <f>TAB_AMORTIZACAO_U[[#This Row],[V_FUT_U_PCPL-02]]</f>
        <v>123.45260153410653</v>
      </c>
      <c r="AE436" s="127">
        <f>IF(TAB_AMORTIZACAO_C[[#This Row],[DIAS_CORRIDOS]]&lt;0, 0, TAB_AMORTIZACAO_C[[#This Row],[V_FUT_UTEIS]]/TAB_AMORTIZACAO_C[[#This Row],[VAR_DESCAP_C]])</f>
        <v>96.961652634366345</v>
      </c>
      <c r="AF436" s="64"/>
    </row>
    <row r="437" spans="1:32">
      <c r="A437" s="82">
        <f t="shared" si="12"/>
        <v>119</v>
      </c>
      <c r="B437" s="24">
        <f>VLOOKUP($A437, CAD_AMORTIZACAO[#Data], MATCH(B$318, CAD_ATUALIZACAO[#Headers],0), FALSE)</f>
        <v>4</v>
      </c>
      <c r="C437" s="24" t="str">
        <f>VLOOKUP($A437, CAD_AMORTIZACAO[#Data], MATCH(C$318, CAD_ATUALIZACAO[#Headers],0), FALSE)</f>
        <v xml:space="preserve">AMORTIZACAO                                       </v>
      </c>
      <c r="D437" s="36">
        <f>VLOOKUP($A437, CAD_AMORTIZACAO[#Data], MATCH(D$318, CAD_ATUALIZACAO[#Headers],0), FALSE)</f>
        <v>45971</v>
      </c>
      <c r="E437" s="48">
        <f>VLOOKUP($A437, CAD_AMORTIZACAO[#Data], MATCH(E$318, CAD_ATUALIZACAO[#Headers],0), FALSE)</f>
        <v>532.75294799999995</v>
      </c>
      <c r="F437" s="36">
        <f>VLOOKUP($A437, CAD_AMORTIZACAO[#Data], MATCH(F$318, CAD_ATUALIZACAO[#Headers],0), FALSE)</f>
        <v>45975</v>
      </c>
      <c r="G437" s="47">
        <f>WORKDAY(WORKDAY(TAB_AMORTIZACAO_U[[#This Row],[DT_EVE]], -1, TAB_FERIADOS[FER_DATA]), 1, TAB_FERIADOS[FER_DATA])</f>
        <v>45971</v>
      </c>
      <c r="H437" s="75">
        <f>WORKDAY(WORKDAY(TAB_AMORTIZACAO_U[[#This Row],[DT_LQDC_EVE]], -1, TAB_FERIADOS[FER_DATA]), 1, TAB_FERIADOS[FER_DATA])</f>
        <v>45975</v>
      </c>
      <c r="I437" s="48">
        <f>PU_EMISSAO - SUMIF(TAB_AMORTIZACAO_U[dt_eve_u], "&lt;" &amp; TAB_AMORTIZACAO_U[[#This Row],[dt_eve_u]], TAB_AMORTIZACAO_U[V_PU_AMTC])</f>
        <v>13730.038367000016</v>
      </c>
      <c r="J437" s="48">
        <f>IFERROR(VLOOKUP(TAB_AMORTIZACAO_U[[#This Row],[DT_EVE]], TAB_AMORTIZACAO_U[[DT_EVE]:[V_PU_AMTC]], 2, FALSE), 0)</f>
        <v>532.75294799999995</v>
      </c>
      <c r="K437" s="48">
        <f>NETWORKDAYS(DT_CALCULO_U, TAB_AMORTIZACAO_U[[#This Row],[dt_eve_u]], TAB_FERIADOS[FER_DATA]) -1</f>
        <v>2479</v>
      </c>
      <c r="L437" s="48">
        <f>NETWORKDAYS(DT_CALCULO_U, TAB_AMORTIZACAO_U[[#This Row],[dt_lqdc_eve_u]], TAB_FERIADOS[FER_DATA]) -1</f>
        <v>2483</v>
      </c>
      <c r="M437" s="48">
        <f>NETWORKDAYS(IF(ISTEXT(G436), DT_B_CORC, G436), TAB_AMORTIZACAO_U[[#This Row],[dt_eve_u]], TAB_FERIADOS[FER_DATA]) -1</f>
        <v>23</v>
      </c>
      <c r="N437" s="78">
        <f>(TX_EMISSAO/100 +1)^(TAB_AMORTIZACAO_U[[#This Row],[dias_periodo_u]]/252)</f>
        <v>1.0022562323017139</v>
      </c>
      <c r="O437" s="78">
        <f>(TIR_U/100 +1)^(TAB_AMORTIZACAO_U[[#This Row],[Q_DIAS_U_PARC_TIR]]/252)</f>
        <v>1.2754854193285856</v>
      </c>
      <c r="P437" s="116" t="str">
        <f>"TX_CENARIO" &amp; TEXT(DT_CALCULO_C, "-AAAAMMDD") &amp; TEXT(TAB_AMORTIZACAO_U[[#This Row],[DT_EVE]], "-AAAAMMDD")</f>
        <v>TX_CENARIO-20151228-20251110</v>
      </c>
      <c r="Q437" s="44">
        <f>IFERROR(VLOOKUP(TAB_AMORTIZACAO_U[[#This Row],[Chave-CENARIO]],CENARIO[],2,FALSE), 0)</f>
        <v>16.326799999999999</v>
      </c>
      <c r="R437" s="117" t="str">
        <f t="shared" si="13"/>
        <v>n/a</v>
      </c>
      <c r="S437" s="49" t="str">
        <f t="shared" si="13"/>
        <v>n/a</v>
      </c>
      <c r="T437" s="78">
        <f>IF(TAB_AMORTIZACAO_U[[#This Row],[Q_DIAS_U_PARC_TIR]]&lt;0, 0, TAB_AMORTIZACAO_U[[#This Row],[PU_AMORT]])</f>
        <v>532.75294799999995</v>
      </c>
      <c r="U437" s="78">
        <f>MAX(0, TAB_AMORTIZACAO_U[[#This Row],[V_FUT_U_PCPL-01]]/((((TAB_AMORTIZACAO_U[[#This Row],[TX_CENARIO]]/100 +1)^(1/252) -1) * PC_IDXR/100 +1)^TAB_AMORTIZACAO_U[[#This Row],[Q_DIAS_U_PARC_TIR]]))</f>
        <v>120.0525827714462</v>
      </c>
      <c r="V437" s="78">
        <f>+TAB_AMORTIZACAO_U[[#This Row],[V_FUT_U_PCPL-02]]/TAB_AMORTIZACAO_U[[#This Row],[VAR_DESCAP_U]]</f>
        <v>94.123053821063493</v>
      </c>
      <c r="W437" s="78"/>
      <c r="X437" s="101">
        <f>TAB_AMORTIZACAO_U[[#This Row],[dt_eve_u]]- DT_CALCULO_C</f>
        <v>3605</v>
      </c>
      <c r="Y437" s="49" t="str">
        <f t="shared" si="14"/>
        <v>n/a</v>
      </c>
      <c r="Z437" s="49" t="str">
        <f t="shared" si="14"/>
        <v>n/a</v>
      </c>
      <c r="AA437" s="44">
        <f>TAB_AMORTIZACAO_U[[#This Row],[V_PU_AMTC]]</f>
        <v>532.75294799999995</v>
      </c>
      <c r="AB437" s="44">
        <f>(TIR_C/100 +1)^(TAB_AMORTIZACAO_C[[#This Row],[DIAS_CORRIDOS]]/360)</f>
        <v>1.2760549024047476</v>
      </c>
      <c r="AC437" s="44">
        <f>IF(TAB_AMORTIZACAO_C[[#This Row],[DIAS_CORRIDOS]]&lt;0, 0, TAB_AMORTIZACAO_C[[#This Row],[V_FUT_C_PCPL]]/TAB_AMORTIZACAO_C[[#This Row],[VAR_DESCAP_C]])</f>
        <v>417.5000205680945</v>
      </c>
      <c r="AD437" s="115">
        <f>TAB_AMORTIZACAO_U[[#This Row],[V_FUT_U_PCPL-02]]</f>
        <v>120.0525827714462</v>
      </c>
      <c r="AE437" s="127">
        <f>IF(TAB_AMORTIZACAO_C[[#This Row],[DIAS_CORRIDOS]]&lt;0, 0, TAB_AMORTIZACAO_C[[#This Row],[V_FUT_UTEIS]]/TAB_AMORTIZACAO_C[[#This Row],[VAR_DESCAP_C]])</f>
        <v>94.081048194090258</v>
      </c>
      <c r="AF437" s="64"/>
    </row>
    <row r="438" spans="1:32">
      <c r="A438" s="82">
        <f t="shared" si="12"/>
        <v>120</v>
      </c>
      <c r="B438" s="24">
        <f>VLOOKUP($A438, CAD_AMORTIZACAO[#Data], MATCH(B$318, CAD_ATUALIZACAO[#Headers],0), FALSE)</f>
        <v>4</v>
      </c>
      <c r="C438" s="24" t="str">
        <f>VLOOKUP($A438, CAD_AMORTIZACAO[#Data], MATCH(C$318, CAD_ATUALIZACAO[#Headers],0), FALSE)</f>
        <v xml:space="preserve">AMORTIZACAO                                       </v>
      </c>
      <c r="D438" s="36">
        <f>VLOOKUP($A438, CAD_AMORTIZACAO[#Data], MATCH(D$318, CAD_ATUALIZACAO[#Headers],0), FALSE)</f>
        <v>45999</v>
      </c>
      <c r="E438" s="48">
        <f>VLOOKUP($A438, CAD_AMORTIZACAO[#Data], MATCH(E$318, CAD_ATUALIZACAO[#Headers],0), FALSE)</f>
        <v>531.32271000000003</v>
      </c>
      <c r="F438" s="36">
        <f>VLOOKUP($A438, CAD_AMORTIZACAO[#Data], MATCH(F$318, CAD_ATUALIZACAO[#Headers],0), FALSE)</f>
        <v>46003</v>
      </c>
      <c r="G438" s="47">
        <f>WORKDAY(WORKDAY(TAB_AMORTIZACAO_U[[#This Row],[DT_EVE]], -1, TAB_FERIADOS[FER_DATA]), 1, TAB_FERIADOS[FER_DATA])</f>
        <v>45999</v>
      </c>
      <c r="H438" s="75">
        <f>WORKDAY(WORKDAY(TAB_AMORTIZACAO_U[[#This Row],[DT_LQDC_EVE]], -1, TAB_FERIADOS[FER_DATA]), 1, TAB_FERIADOS[FER_DATA])</f>
        <v>46003</v>
      </c>
      <c r="I438" s="48">
        <f>PU_EMISSAO - SUMIF(TAB_AMORTIZACAO_U[dt_eve_u], "&lt;" &amp; TAB_AMORTIZACAO_U[[#This Row],[dt_eve_u]], TAB_AMORTIZACAO_U[V_PU_AMTC])</f>
        <v>13197.285419000022</v>
      </c>
      <c r="J438" s="48">
        <f>IFERROR(VLOOKUP(TAB_AMORTIZACAO_U[[#This Row],[DT_EVE]], TAB_AMORTIZACAO_U[[DT_EVE]:[V_PU_AMTC]], 2, FALSE), 0)</f>
        <v>531.32271000000003</v>
      </c>
      <c r="K438" s="48">
        <f>NETWORKDAYS(DT_CALCULO_U, TAB_AMORTIZACAO_U[[#This Row],[dt_eve_u]], TAB_FERIADOS[FER_DATA]) -1</f>
        <v>2499</v>
      </c>
      <c r="L438" s="48">
        <f>NETWORKDAYS(DT_CALCULO_U, TAB_AMORTIZACAO_U[[#This Row],[dt_lqdc_eve_u]], TAB_FERIADOS[FER_DATA]) -1</f>
        <v>2503</v>
      </c>
      <c r="M438" s="48">
        <f>NETWORKDAYS(IF(ISTEXT(G437), DT_B_CORC, G437), TAB_AMORTIZACAO_U[[#This Row],[dt_eve_u]], TAB_FERIADOS[FER_DATA]) -1</f>
        <v>20</v>
      </c>
      <c r="N438" s="78">
        <f>(TX_EMISSAO/100 +1)^(TAB_AMORTIZACAO_U[[#This Row],[dias_periodo_u]]/252)</f>
        <v>1.0019616526860928</v>
      </c>
      <c r="O438" s="78">
        <f>(TIR_U/100 +1)^(TAB_AMORTIZACAO_U[[#This Row],[Q_DIAS_U_PARC_TIR]]/252)</f>
        <v>1.2779877484681559</v>
      </c>
      <c r="P438" s="116" t="str">
        <f>"TX_CENARIO" &amp; TEXT(DT_CALCULO_C, "-AAAAMMDD") &amp; TEXT(TAB_AMORTIZACAO_U[[#This Row],[DT_EVE]], "-AAAAMMDD")</f>
        <v>TX_CENARIO-20151228-20251208</v>
      </c>
      <c r="Q438" s="44">
        <f>IFERROR(VLOOKUP(TAB_AMORTIZACAO_U[[#This Row],[Chave-CENARIO]],CENARIO[],2,FALSE), 0)</f>
        <v>16.3232</v>
      </c>
      <c r="R438" s="117" t="str">
        <f t="shared" si="13"/>
        <v>n/a</v>
      </c>
      <c r="S438" s="49" t="str">
        <f t="shared" si="13"/>
        <v>n/a</v>
      </c>
      <c r="T438" s="78">
        <f>IF(TAB_AMORTIZACAO_U[[#This Row],[Q_DIAS_U_PARC_TIR]]&lt;0, 0, TAB_AMORTIZACAO_U[[#This Row],[PU_AMORT]])</f>
        <v>531.32271000000003</v>
      </c>
      <c r="U438" s="78">
        <f>MAX(0, TAB_AMORTIZACAO_U[[#This Row],[V_FUT_U_PCPL-01]]/((((TAB_AMORTIZACAO_U[[#This Row],[TX_CENARIO]]/100 +1)^(1/252) -1) * PC_IDXR/100 +1)^TAB_AMORTIZACAO_U[[#This Row],[Q_DIAS_U_PARC_TIR]]))</f>
        <v>118.33816809450282</v>
      </c>
      <c r="V438" s="78">
        <f>+TAB_AMORTIZACAO_U[[#This Row],[V_FUT_U_PCPL-02]]/TAB_AMORTIZACAO_U[[#This Row],[VAR_DESCAP_U]]</f>
        <v>92.597263343367246</v>
      </c>
      <c r="W438" s="78"/>
      <c r="X438" s="101">
        <f>TAB_AMORTIZACAO_U[[#This Row],[dt_eve_u]]- DT_CALCULO_C</f>
        <v>3633</v>
      </c>
      <c r="Y438" s="49" t="str">
        <f t="shared" si="14"/>
        <v>n/a</v>
      </c>
      <c r="Z438" s="49" t="str">
        <f t="shared" si="14"/>
        <v>n/a</v>
      </c>
      <c r="AA438" s="44">
        <f>TAB_AMORTIZACAO_U[[#This Row],[V_PU_AMTC]]</f>
        <v>531.32271000000003</v>
      </c>
      <c r="AB438" s="44">
        <f>(TIR_C/100 +1)^(TAB_AMORTIZACAO_C[[#This Row],[DIAS_CORRIDOS]]/360)</f>
        <v>1.2784732532589593</v>
      </c>
      <c r="AC438" s="44">
        <f>IF(TAB_AMORTIZACAO_C[[#This Row],[DIAS_CORRIDOS]]&lt;0, 0, TAB_AMORTIZACAO_C[[#This Row],[V_FUT_C_PCPL]]/TAB_AMORTIZACAO_C[[#This Row],[VAR_DESCAP_C]])</f>
        <v>415.5915727181652</v>
      </c>
      <c r="AD438" s="115">
        <f>TAB_AMORTIZACAO_U[[#This Row],[V_FUT_U_PCPL-02]]</f>
        <v>118.33816809450282</v>
      </c>
      <c r="AE438" s="127">
        <f>IF(TAB_AMORTIZACAO_C[[#This Row],[DIAS_CORRIDOS]]&lt;0, 0, TAB_AMORTIZACAO_C[[#This Row],[V_FUT_UTEIS]]/TAB_AMORTIZACAO_C[[#This Row],[VAR_DESCAP_C]])</f>
        <v>92.562099201408159</v>
      </c>
      <c r="AF438" s="64"/>
    </row>
    <row r="439" spans="1:32">
      <c r="A439" s="82">
        <f t="shared" si="12"/>
        <v>121</v>
      </c>
      <c r="B439" s="24">
        <f>VLOOKUP($A439, CAD_AMORTIZACAO[#Data], MATCH(B$318, CAD_ATUALIZACAO[#Headers],0), FALSE)</f>
        <v>4</v>
      </c>
      <c r="C439" s="24" t="str">
        <f>VLOOKUP($A439, CAD_AMORTIZACAO[#Data], MATCH(C$318, CAD_ATUALIZACAO[#Headers],0), FALSE)</f>
        <v xml:space="preserve">AMORTIZACAO                                       </v>
      </c>
      <c r="D439" s="36">
        <f>VLOOKUP($A439, CAD_AMORTIZACAO[#Data], MATCH(D$318, CAD_ATUALIZACAO[#Headers],0), FALSE)</f>
        <v>46031</v>
      </c>
      <c r="E439" s="48">
        <f>VLOOKUP($A439, CAD_AMORTIZACAO[#Data], MATCH(E$318, CAD_ATUALIZACAO[#Headers],0), FALSE)</f>
        <v>568.98037599999998</v>
      </c>
      <c r="F439" s="36">
        <f>VLOOKUP($A439, CAD_AMORTIZACAO[#Data], MATCH(F$318, CAD_ATUALIZACAO[#Headers],0), FALSE)</f>
        <v>46037</v>
      </c>
      <c r="G439" s="47">
        <f>WORKDAY(WORKDAY(TAB_AMORTIZACAO_U[[#This Row],[DT_EVE]], -1, TAB_FERIADOS[FER_DATA]), 1, TAB_FERIADOS[FER_DATA])</f>
        <v>46031</v>
      </c>
      <c r="H439" s="75">
        <f>WORKDAY(WORKDAY(TAB_AMORTIZACAO_U[[#This Row],[DT_LQDC_EVE]], -1, TAB_FERIADOS[FER_DATA]), 1, TAB_FERIADOS[FER_DATA])</f>
        <v>46037</v>
      </c>
      <c r="I439" s="48">
        <f>PU_EMISSAO - SUMIF(TAB_AMORTIZACAO_U[dt_eve_u], "&lt;" &amp; TAB_AMORTIZACAO_U[[#This Row],[dt_eve_u]], TAB_AMORTIZACAO_U[V_PU_AMTC])</f>
        <v>12665.962709000029</v>
      </c>
      <c r="J439" s="48">
        <f>IFERROR(VLOOKUP(TAB_AMORTIZACAO_U[[#This Row],[DT_EVE]], TAB_AMORTIZACAO_U[[DT_EVE]:[V_PU_AMTC]], 2, FALSE), 0)</f>
        <v>568.98037599999998</v>
      </c>
      <c r="K439" s="48">
        <f>NETWORKDAYS(DT_CALCULO_U, TAB_AMORTIZACAO_U[[#This Row],[dt_eve_u]], TAB_FERIADOS[FER_DATA]) -1</f>
        <v>2521</v>
      </c>
      <c r="L439" s="48">
        <f>NETWORKDAYS(DT_CALCULO_U, TAB_AMORTIZACAO_U[[#This Row],[dt_lqdc_eve_u]], TAB_FERIADOS[FER_DATA]) -1</f>
        <v>2525</v>
      </c>
      <c r="M439" s="48">
        <f>NETWORKDAYS(IF(ISTEXT(G438), DT_B_CORC, G438), TAB_AMORTIZACAO_U[[#This Row],[dt_eve_u]], TAB_FERIADOS[FER_DATA]) -1</f>
        <v>22</v>
      </c>
      <c r="N439" s="78">
        <f>(TX_EMISSAO/100 +1)^(TAB_AMORTIZACAO_U[[#This Row],[dias_periodo_u]]/252)</f>
        <v>1.0021580294747356</v>
      </c>
      <c r="O439" s="78">
        <f>(TIR_U/100 +1)^(TAB_AMORTIZACAO_U[[#This Row],[Q_DIAS_U_PARC_TIR]]/252)</f>
        <v>1.2807459810528257</v>
      </c>
      <c r="P439" s="116" t="str">
        <f>"TX_CENARIO" &amp; TEXT(DT_CALCULO_C, "-AAAAMMDD") &amp; TEXT(TAB_AMORTIZACAO_U[[#This Row],[DT_EVE]], "-AAAAMMDD")</f>
        <v>TX_CENARIO-20151228-20260109</v>
      </c>
      <c r="Q439" s="44">
        <f>IFERROR(VLOOKUP(TAB_AMORTIZACAO_U[[#This Row],[Chave-CENARIO]],CENARIO[],2,FALSE), 0)</f>
        <v>16.321300000000001</v>
      </c>
      <c r="R439" s="117" t="str">
        <f t="shared" si="13"/>
        <v>n/a</v>
      </c>
      <c r="S439" s="49" t="str">
        <f t="shared" si="13"/>
        <v>n/a</v>
      </c>
      <c r="T439" s="78">
        <f>IF(TAB_AMORTIZACAO_U[[#This Row],[Q_DIAS_U_PARC_TIR]]&lt;0, 0, TAB_AMORTIZACAO_U[[#This Row],[PU_AMORT]])</f>
        <v>568.98037599999998</v>
      </c>
      <c r="U439" s="78">
        <f>MAX(0, TAB_AMORTIZACAO_U[[#This Row],[V_FUT_U_PCPL-01]]/((((TAB_AMORTIZACAO_U[[#This Row],[TX_CENARIO]]/100 +1)^(1/252) -1) * PC_IDXR/100 +1)^TAB_AMORTIZACAO_U[[#This Row],[Q_DIAS_U_PARC_TIR]]))</f>
        <v>125.08408418648685</v>
      </c>
      <c r="V439" s="78">
        <f>+TAB_AMORTIZACAO_U[[#This Row],[V_FUT_U_PCPL-02]]/TAB_AMORTIZACAO_U[[#This Row],[VAR_DESCAP_U]]</f>
        <v>97.665021820847414</v>
      </c>
      <c r="W439" s="78"/>
      <c r="X439" s="101">
        <f>TAB_AMORTIZACAO_U[[#This Row],[dt_eve_u]]- DT_CALCULO_C</f>
        <v>3665</v>
      </c>
      <c r="Y439" s="49" t="str">
        <f t="shared" si="14"/>
        <v>n/a</v>
      </c>
      <c r="Z439" s="49" t="str">
        <f t="shared" si="14"/>
        <v>n/a</v>
      </c>
      <c r="AA439" s="44">
        <f>TAB_AMORTIZACAO_U[[#This Row],[V_PU_AMTC]]</f>
        <v>568.98037599999998</v>
      </c>
      <c r="AB439" s="44">
        <f>(TIR_C/100 +1)^(TAB_AMORTIZACAO_C[[#This Row],[DIAS_CORRIDOS]]/360)</f>
        <v>1.2812426954003104</v>
      </c>
      <c r="AC439" s="44">
        <f>IF(TAB_AMORTIZACAO_C[[#This Row],[DIAS_CORRIDOS]]&lt;0, 0, TAB_AMORTIZACAO_C[[#This Row],[V_FUT_C_PCPL]]/TAB_AMORTIZACAO_C[[#This Row],[VAR_DESCAP_C]])</f>
        <v>444.08477647728421</v>
      </c>
      <c r="AD439" s="115">
        <f>TAB_AMORTIZACAO_U[[#This Row],[V_FUT_U_PCPL-02]]</f>
        <v>125.08408418648685</v>
      </c>
      <c r="AE439" s="127">
        <f>IF(TAB_AMORTIZACAO_C[[#This Row],[DIAS_CORRIDOS]]&lt;0, 0, TAB_AMORTIZACAO_C[[#This Row],[V_FUT_UTEIS]]/TAB_AMORTIZACAO_C[[#This Row],[VAR_DESCAP_C]])</f>
        <v>97.627158879064424</v>
      </c>
      <c r="AF439" s="64"/>
    </row>
    <row r="440" spans="1:32">
      <c r="A440" s="82">
        <f t="shared" si="12"/>
        <v>122</v>
      </c>
      <c r="B440" s="24">
        <f>VLOOKUP($A440, CAD_AMORTIZACAO[#Data], MATCH(B$318, CAD_ATUALIZACAO[#Headers],0), FALSE)</f>
        <v>4</v>
      </c>
      <c r="C440" s="24" t="str">
        <f>VLOOKUP($A440, CAD_AMORTIZACAO[#Data], MATCH(C$318, CAD_ATUALIZACAO[#Headers],0), FALSE)</f>
        <v xml:space="preserve">AMORTIZACAO                                       </v>
      </c>
      <c r="D440" s="36">
        <f>VLOOKUP($A440, CAD_AMORTIZACAO[#Data], MATCH(D$318, CAD_ATUALIZACAO[#Headers],0), FALSE)</f>
        <v>46062</v>
      </c>
      <c r="E440" s="48">
        <f>VLOOKUP($A440, CAD_AMORTIZACAO[#Data], MATCH(E$318, CAD_ATUALIZACAO[#Headers],0), FALSE)</f>
        <v>564.166965</v>
      </c>
      <c r="F440" s="36">
        <f>VLOOKUP($A440, CAD_AMORTIZACAO[#Data], MATCH(F$318, CAD_ATUALIZACAO[#Headers],0), FALSE)</f>
        <v>46066</v>
      </c>
      <c r="G440" s="47">
        <f>WORKDAY(WORKDAY(TAB_AMORTIZACAO_U[[#This Row],[DT_EVE]], -1, TAB_FERIADOS[FER_DATA]), 1, TAB_FERIADOS[FER_DATA])</f>
        <v>46062</v>
      </c>
      <c r="H440" s="75">
        <f>WORKDAY(WORKDAY(TAB_AMORTIZACAO_U[[#This Row],[DT_LQDC_EVE]], -1, TAB_FERIADOS[FER_DATA]), 1, TAB_FERIADOS[FER_DATA])</f>
        <v>46066</v>
      </c>
      <c r="I440" s="48">
        <f>PU_EMISSAO - SUMIF(TAB_AMORTIZACAO_U[dt_eve_u], "&lt;" &amp; TAB_AMORTIZACAO_U[[#This Row],[dt_eve_u]], TAB_AMORTIZACAO_U[V_PU_AMTC])</f>
        <v>12096.982333000022</v>
      </c>
      <c r="J440" s="48">
        <f>IFERROR(VLOOKUP(TAB_AMORTIZACAO_U[[#This Row],[DT_EVE]], TAB_AMORTIZACAO_U[[DT_EVE]:[V_PU_AMTC]], 2, FALSE), 0)</f>
        <v>564.166965</v>
      </c>
      <c r="K440" s="48">
        <f>NETWORKDAYS(DT_CALCULO_U, TAB_AMORTIZACAO_U[[#This Row],[dt_eve_u]], TAB_FERIADOS[FER_DATA]) -1</f>
        <v>2542</v>
      </c>
      <c r="L440" s="48">
        <f>NETWORKDAYS(DT_CALCULO_U, TAB_AMORTIZACAO_U[[#This Row],[dt_lqdc_eve_u]], TAB_FERIADOS[FER_DATA]) -1</f>
        <v>2546</v>
      </c>
      <c r="M440" s="48">
        <f>NETWORKDAYS(IF(ISTEXT(G439), DT_B_CORC, G439), TAB_AMORTIZACAO_U[[#This Row],[dt_eve_u]], TAB_FERIADOS[FER_DATA]) -1</f>
        <v>21</v>
      </c>
      <c r="N440" s="78">
        <f>(TX_EMISSAO/100 +1)^(TAB_AMORTIZACAO_U[[#This Row],[dias_periodo_u]]/252)</f>
        <v>1.0020598362698427</v>
      </c>
      <c r="O440" s="78">
        <f>(TIR_U/100 +1)^(TAB_AMORTIZACAO_U[[#This Row],[Q_DIAS_U_PARC_TIR]]/252)</f>
        <v>1.2833843925007624</v>
      </c>
      <c r="P440" s="116" t="str">
        <f>"TX_CENARIO" &amp; TEXT(DT_CALCULO_C, "-AAAAMMDD") &amp; TEXT(TAB_AMORTIZACAO_U[[#This Row],[DT_EVE]], "-AAAAMMDD")</f>
        <v>TX_CENARIO-20151228-20260209</v>
      </c>
      <c r="Q440" s="44">
        <f>IFERROR(VLOOKUP(TAB_AMORTIZACAO_U[[#This Row],[Chave-CENARIO]],CENARIO[],2,FALSE), 0)</f>
        <v>16.322399999999998</v>
      </c>
      <c r="R440" s="117" t="str">
        <f t="shared" si="13"/>
        <v>n/a</v>
      </c>
      <c r="S440" s="49" t="str">
        <f t="shared" si="13"/>
        <v>n/a</v>
      </c>
      <c r="T440" s="78">
        <f>IF(TAB_AMORTIZACAO_U[[#This Row],[Q_DIAS_U_PARC_TIR]]&lt;0, 0, TAB_AMORTIZACAO_U[[#This Row],[PU_AMORT]])</f>
        <v>564.166965</v>
      </c>
      <c r="U440" s="78">
        <f>MAX(0, TAB_AMORTIZACAO_U[[#This Row],[V_FUT_U_PCPL-01]]/((((TAB_AMORTIZACAO_U[[#This Row],[TX_CENARIO]]/100 +1)^(1/252) -1) * PC_IDXR/100 +1)^TAB_AMORTIZACAO_U[[#This Row],[Q_DIAS_U_PARC_TIR]]))</f>
        <v>122.46142838620086</v>
      </c>
      <c r="V440" s="78">
        <f>+TAB_AMORTIZACAO_U[[#This Row],[V_FUT_U_PCPL-02]]/TAB_AMORTIZACAO_U[[#This Row],[VAR_DESCAP_U]]</f>
        <v>95.420693209129951</v>
      </c>
      <c r="W440" s="78"/>
      <c r="X440" s="101">
        <f>TAB_AMORTIZACAO_U[[#This Row],[dt_eve_u]]- DT_CALCULO_C</f>
        <v>3696</v>
      </c>
      <c r="Y440" s="49" t="str">
        <f t="shared" si="14"/>
        <v>n/a</v>
      </c>
      <c r="Z440" s="49" t="str">
        <f t="shared" si="14"/>
        <v>n/a</v>
      </c>
      <c r="AA440" s="44">
        <f>TAB_AMORTIZACAO_U[[#This Row],[V_PU_AMTC]]</f>
        <v>564.166965</v>
      </c>
      <c r="AB440" s="44">
        <f>(TIR_C/100 +1)^(TAB_AMORTIZACAO_C[[#This Row],[DIAS_CORRIDOS]]/360)</f>
        <v>1.2839313132573262</v>
      </c>
      <c r="AC440" s="44">
        <f>IF(TAB_AMORTIZACAO_C[[#This Row],[DIAS_CORRIDOS]]&lt;0, 0, TAB_AMORTIZACAO_C[[#This Row],[V_FUT_C_PCPL]]/TAB_AMORTIZACAO_C[[#This Row],[VAR_DESCAP_C]])</f>
        <v>439.40587722618255</v>
      </c>
      <c r="AD440" s="115">
        <f>TAB_AMORTIZACAO_U[[#This Row],[V_FUT_U_PCPL-02]]</f>
        <v>122.46142838620086</v>
      </c>
      <c r="AE440" s="127">
        <f>IF(TAB_AMORTIZACAO_C[[#This Row],[DIAS_CORRIDOS]]&lt;0, 0, TAB_AMORTIZACAO_C[[#This Row],[V_FUT_UTEIS]]/TAB_AMORTIZACAO_C[[#This Row],[VAR_DESCAP_C]])</f>
        <v>95.380046519402143</v>
      </c>
      <c r="AF440" s="64"/>
    </row>
    <row r="441" spans="1:32">
      <c r="A441" s="82">
        <f t="shared" si="12"/>
        <v>123</v>
      </c>
      <c r="B441" s="24">
        <f>VLOOKUP($A441, CAD_AMORTIZACAO[#Data], MATCH(B$318, CAD_ATUALIZACAO[#Headers],0), FALSE)</f>
        <v>4</v>
      </c>
      <c r="C441" s="24" t="str">
        <f>VLOOKUP($A441, CAD_AMORTIZACAO[#Data], MATCH(C$318, CAD_ATUALIZACAO[#Headers],0), FALSE)</f>
        <v xml:space="preserve">AMORTIZACAO                                       </v>
      </c>
      <c r="D441" s="36">
        <f>VLOOKUP($A441, CAD_AMORTIZACAO[#Data], MATCH(D$318, CAD_ATUALIZACAO[#Headers],0), FALSE)</f>
        <v>46090</v>
      </c>
      <c r="E441" s="48">
        <f>VLOOKUP($A441, CAD_AMORTIZACAO[#Data], MATCH(E$318, CAD_ATUALIZACAO[#Headers],0), FALSE)</f>
        <v>562.490003</v>
      </c>
      <c r="F441" s="36">
        <f>VLOOKUP($A441, CAD_AMORTIZACAO[#Data], MATCH(F$318, CAD_ATUALIZACAO[#Headers],0), FALSE)</f>
        <v>46094</v>
      </c>
      <c r="G441" s="47">
        <f>WORKDAY(WORKDAY(TAB_AMORTIZACAO_U[[#This Row],[DT_EVE]], -1, TAB_FERIADOS[FER_DATA]), 1, TAB_FERIADOS[FER_DATA])</f>
        <v>46090</v>
      </c>
      <c r="H441" s="75">
        <f>WORKDAY(WORKDAY(TAB_AMORTIZACAO_U[[#This Row],[DT_LQDC_EVE]], -1, TAB_FERIADOS[FER_DATA]), 1, TAB_FERIADOS[FER_DATA])</f>
        <v>46094</v>
      </c>
      <c r="I441" s="48">
        <f>PU_EMISSAO - SUMIF(TAB_AMORTIZACAO_U[dt_eve_u], "&lt;" &amp; TAB_AMORTIZACAO_U[[#This Row],[dt_eve_u]], TAB_AMORTIZACAO_U[V_PU_AMTC])</f>
        <v>11532.815368000025</v>
      </c>
      <c r="J441" s="48">
        <f>IFERROR(VLOOKUP(TAB_AMORTIZACAO_U[[#This Row],[DT_EVE]], TAB_AMORTIZACAO_U[[DT_EVE]:[V_PU_AMTC]], 2, FALSE), 0)</f>
        <v>562.490003</v>
      </c>
      <c r="K441" s="48">
        <f>NETWORKDAYS(DT_CALCULO_U, TAB_AMORTIZACAO_U[[#This Row],[dt_eve_u]], TAB_FERIADOS[FER_DATA]) -1</f>
        <v>2560</v>
      </c>
      <c r="L441" s="48">
        <f>NETWORKDAYS(DT_CALCULO_U, TAB_AMORTIZACAO_U[[#This Row],[dt_lqdc_eve_u]], TAB_FERIADOS[FER_DATA]) -1</f>
        <v>2564</v>
      </c>
      <c r="M441" s="48">
        <f>NETWORKDAYS(IF(ISTEXT(G440), DT_B_CORC, G440), TAB_AMORTIZACAO_U[[#This Row],[dt_eve_u]], TAB_FERIADOS[FER_DATA]) -1</f>
        <v>18</v>
      </c>
      <c r="N441" s="78">
        <f>(TX_EMISSAO/100 +1)^(TAB_AMORTIZACAO_U[[#This Row],[dias_periodo_u]]/252)</f>
        <v>1.0017653143782506</v>
      </c>
      <c r="O441" s="78">
        <f>(TIR_U/100 +1)^(TAB_AMORTIZACAO_U[[#This Row],[Q_DIAS_U_PARC_TIR]]/252)</f>
        <v>1.2856502136438364</v>
      </c>
      <c r="P441" s="116" t="str">
        <f>"TX_CENARIO" &amp; TEXT(DT_CALCULO_C, "-AAAAMMDD") &amp; TEXT(TAB_AMORTIZACAO_U[[#This Row],[DT_EVE]], "-AAAAMMDD")</f>
        <v>TX_CENARIO-20151228-20260309</v>
      </c>
      <c r="Q441" s="44">
        <f>IFERROR(VLOOKUP(TAB_AMORTIZACAO_U[[#This Row],[Chave-CENARIO]],CENARIO[],2,FALSE), 0)</f>
        <v>16.3233</v>
      </c>
      <c r="R441" s="117" t="str">
        <f t="shared" si="13"/>
        <v>n/a</v>
      </c>
      <c r="S441" s="49" t="str">
        <f t="shared" si="13"/>
        <v>n/a</v>
      </c>
      <c r="T441" s="78">
        <f>IF(TAB_AMORTIZACAO_U[[#This Row],[Q_DIAS_U_PARC_TIR]]&lt;0, 0, TAB_AMORTIZACAO_U[[#This Row],[PU_AMORT]])</f>
        <v>562.490003</v>
      </c>
      <c r="U441" s="78">
        <f>MAX(0, TAB_AMORTIZACAO_U[[#This Row],[V_FUT_U_PCPL-01]]/((((TAB_AMORTIZACAO_U[[#This Row],[TX_CENARIO]]/100 +1)^(1/252) -1) * PC_IDXR/100 +1)^TAB_AMORTIZACAO_U[[#This Row],[Q_DIAS_U_PARC_TIR]]))</f>
        <v>120.77639117582473</v>
      </c>
      <c r="V441" s="78">
        <f>+TAB_AMORTIZACAO_U[[#This Row],[V_FUT_U_PCPL-02]]/TAB_AMORTIZACAO_U[[#This Row],[VAR_DESCAP_U]]</f>
        <v>93.94187462040388</v>
      </c>
      <c r="W441" s="78"/>
      <c r="X441" s="101">
        <f>TAB_AMORTIZACAO_U[[#This Row],[dt_eve_u]]- DT_CALCULO_C</f>
        <v>3724</v>
      </c>
      <c r="Y441" s="49" t="str">
        <f t="shared" si="14"/>
        <v>n/a</v>
      </c>
      <c r="Z441" s="49" t="str">
        <f t="shared" si="14"/>
        <v>n/a</v>
      </c>
      <c r="AA441" s="44">
        <f>TAB_AMORTIZACAO_U[[#This Row],[V_PU_AMTC]]</f>
        <v>562.490003</v>
      </c>
      <c r="AB441" s="44">
        <f>(TIR_C/100 +1)^(TAB_AMORTIZACAO_C[[#This Row],[DIAS_CORRIDOS]]/360)</f>
        <v>1.2863645913101072</v>
      </c>
      <c r="AC441" s="44">
        <f>IF(TAB_AMORTIZACAO_C[[#This Row],[DIAS_CORRIDOS]]&lt;0, 0, TAB_AMORTIZACAO_C[[#This Row],[V_FUT_C_PCPL]]/TAB_AMORTIZACAO_C[[#This Row],[VAR_DESCAP_C]])</f>
        <v>437.2710558109564</v>
      </c>
      <c r="AD441" s="115">
        <f>TAB_AMORTIZACAO_U[[#This Row],[V_FUT_U_PCPL-02]]</f>
        <v>120.77639117582473</v>
      </c>
      <c r="AE441" s="127">
        <f>IF(TAB_AMORTIZACAO_C[[#This Row],[DIAS_CORRIDOS]]&lt;0, 0, TAB_AMORTIZACAO_C[[#This Row],[V_FUT_UTEIS]]/TAB_AMORTIZACAO_C[[#This Row],[VAR_DESCAP_C]])</f>
        <v>93.889704358870105</v>
      </c>
      <c r="AF441" s="64"/>
    </row>
    <row r="442" spans="1:32">
      <c r="A442" s="82">
        <f t="shared" si="12"/>
        <v>124</v>
      </c>
      <c r="B442" s="24">
        <f>VLOOKUP($A442, CAD_AMORTIZACAO[#Data], MATCH(B$318, CAD_ATUALIZACAO[#Headers],0), FALSE)</f>
        <v>4</v>
      </c>
      <c r="C442" s="24" t="str">
        <f>VLOOKUP($A442, CAD_AMORTIZACAO[#Data], MATCH(C$318, CAD_ATUALIZACAO[#Headers],0), FALSE)</f>
        <v xml:space="preserve">AMORTIZACAO                                       </v>
      </c>
      <c r="D442" s="36">
        <f>VLOOKUP($A442, CAD_AMORTIZACAO[#Data], MATCH(D$318, CAD_ATUALIZACAO[#Headers],0), FALSE)</f>
        <v>46121</v>
      </c>
      <c r="E442" s="48">
        <f>VLOOKUP($A442, CAD_AMORTIZACAO[#Data], MATCH(E$318, CAD_ATUALIZACAO[#Headers],0), FALSE)</f>
        <v>551.53310699999997</v>
      </c>
      <c r="F442" s="36">
        <f>VLOOKUP($A442, CAD_AMORTIZACAO[#Data], MATCH(F$318, CAD_ATUALIZACAO[#Headers],0), FALSE)</f>
        <v>46127</v>
      </c>
      <c r="G442" s="47">
        <f>WORKDAY(WORKDAY(TAB_AMORTIZACAO_U[[#This Row],[DT_EVE]], -1, TAB_FERIADOS[FER_DATA]), 1, TAB_FERIADOS[FER_DATA])</f>
        <v>46121</v>
      </c>
      <c r="H442" s="75">
        <f>WORKDAY(WORKDAY(TAB_AMORTIZACAO_U[[#This Row],[DT_LQDC_EVE]], -1, TAB_FERIADOS[FER_DATA]), 1, TAB_FERIADOS[FER_DATA])</f>
        <v>46127</v>
      </c>
      <c r="I442" s="48">
        <f>PU_EMISSAO - SUMIF(TAB_AMORTIZACAO_U[dt_eve_u], "&lt;" &amp; TAB_AMORTIZACAO_U[[#This Row],[dt_eve_u]], TAB_AMORTIZACAO_U[V_PU_AMTC])</f>
        <v>10970.325365000026</v>
      </c>
      <c r="J442" s="48">
        <f>IFERROR(VLOOKUP(TAB_AMORTIZACAO_U[[#This Row],[DT_EVE]], TAB_AMORTIZACAO_U[[DT_EVE]:[V_PU_AMTC]], 2, FALSE), 0)</f>
        <v>551.53310699999997</v>
      </c>
      <c r="K442" s="48">
        <f>NETWORKDAYS(DT_CALCULO_U, TAB_AMORTIZACAO_U[[#This Row],[dt_eve_u]], TAB_FERIADOS[FER_DATA]) -1</f>
        <v>2582</v>
      </c>
      <c r="L442" s="48">
        <f>NETWORKDAYS(DT_CALCULO_U, TAB_AMORTIZACAO_U[[#This Row],[dt_lqdc_eve_u]], TAB_FERIADOS[FER_DATA]) -1</f>
        <v>2586</v>
      </c>
      <c r="M442" s="48">
        <f>NETWORKDAYS(IF(ISTEXT(G441), DT_B_CORC, G441), TAB_AMORTIZACAO_U[[#This Row],[dt_eve_u]], TAB_FERIADOS[FER_DATA]) -1</f>
        <v>22</v>
      </c>
      <c r="N442" s="78">
        <f>(TX_EMISSAO/100 +1)^(TAB_AMORTIZACAO_U[[#This Row],[dias_periodo_u]]/252)</f>
        <v>1.0021580294747356</v>
      </c>
      <c r="O442" s="78">
        <f>(TIR_U/100 +1)^(TAB_AMORTIZACAO_U[[#This Row],[Q_DIAS_U_PARC_TIR]]/252)</f>
        <v>1.2884249838370643</v>
      </c>
      <c r="P442" s="116" t="str">
        <f>"TX_CENARIO" &amp; TEXT(DT_CALCULO_C, "-AAAAMMDD") &amp; TEXT(TAB_AMORTIZACAO_U[[#This Row],[DT_EVE]], "-AAAAMMDD")</f>
        <v>TX_CENARIO-20151228-20260409</v>
      </c>
      <c r="Q442" s="44">
        <f>IFERROR(VLOOKUP(TAB_AMORTIZACAO_U[[#This Row],[Chave-CENARIO]],CENARIO[],2,FALSE), 0)</f>
        <v>16.324400000000001</v>
      </c>
      <c r="R442" s="117" t="str">
        <f t="shared" si="13"/>
        <v>n/a</v>
      </c>
      <c r="S442" s="49" t="str">
        <f t="shared" si="13"/>
        <v>n/a</v>
      </c>
      <c r="T442" s="78">
        <f>IF(TAB_AMORTIZACAO_U[[#This Row],[Q_DIAS_U_PARC_TIR]]&lt;0, 0, TAB_AMORTIZACAO_U[[#This Row],[PU_AMORT]])</f>
        <v>551.53310699999997</v>
      </c>
      <c r="U442" s="78">
        <f>MAX(0, TAB_AMORTIZACAO_U[[#This Row],[V_FUT_U_PCPL-01]]/((((TAB_AMORTIZACAO_U[[#This Row],[TX_CENARIO]]/100 +1)^(1/252) -1) * PC_IDXR/100 +1)^TAB_AMORTIZACAO_U[[#This Row],[Q_DIAS_U_PARC_TIR]]))</f>
        <v>116.85945997269741</v>
      </c>
      <c r="V442" s="78">
        <f>+TAB_AMORTIZACAO_U[[#This Row],[V_FUT_U_PCPL-02]]/TAB_AMORTIZACAO_U[[#This Row],[VAR_DESCAP_U]]</f>
        <v>90.699467519387682</v>
      </c>
      <c r="W442" s="78"/>
      <c r="X442" s="101">
        <f>TAB_AMORTIZACAO_U[[#This Row],[dt_eve_u]]- DT_CALCULO_C</f>
        <v>3755</v>
      </c>
      <c r="Y442" s="49" t="str">
        <f t="shared" si="14"/>
        <v>n/a</v>
      </c>
      <c r="Z442" s="49" t="str">
        <f t="shared" si="14"/>
        <v>n/a</v>
      </c>
      <c r="AA442" s="44">
        <f>TAB_AMORTIZACAO_U[[#This Row],[V_PU_AMTC]]</f>
        <v>551.53310699999997</v>
      </c>
      <c r="AB442" s="44">
        <f>(TIR_C/100 +1)^(TAB_AMORTIZACAO_C[[#This Row],[DIAS_CORRIDOS]]/360)</f>
        <v>1.2890639571861002</v>
      </c>
      <c r="AC442" s="44">
        <f>IF(TAB_AMORTIZACAO_C[[#This Row],[DIAS_CORRIDOS]]&lt;0, 0, TAB_AMORTIZACAO_C[[#This Row],[V_FUT_C_PCPL]]/TAB_AMORTIZACAO_C[[#This Row],[VAR_DESCAP_C]])</f>
        <v>427.8555023785961</v>
      </c>
      <c r="AD442" s="115">
        <f>TAB_AMORTIZACAO_U[[#This Row],[V_FUT_U_PCPL-02]]</f>
        <v>116.85945997269741</v>
      </c>
      <c r="AE442" s="127">
        <f>IF(TAB_AMORTIZACAO_C[[#This Row],[DIAS_CORRIDOS]]&lt;0, 0, TAB_AMORTIZACAO_C[[#This Row],[V_FUT_UTEIS]]/TAB_AMORTIZACAO_C[[#This Row],[VAR_DESCAP_C]])</f>
        <v>90.654508894803101</v>
      </c>
      <c r="AF442" s="64"/>
    </row>
    <row r="443" spans="1:32">
      <c r="A443" s="82">
        <f t="shared" si="12"/>
        <v>125</v>
      </c>
      <c r="B443" s="24">
        <f>VLOOKUP($A443, CAD_AMORTIZACAO[#Data], MATCH(B$318, CAD_ATUALIZACAO[#Headers],0), FALSE)</f>
        <v>4</v>
      </c>
      <c r="C443" s="24" t="str">
        <f>VLOOKUP($A443, CAD_AMORTIZACAO[#Data], MATCH(C$318, CAD_ATUALIZACAO[#Headers],0), FALSE)</f>
        <v xml:space="preserve">AMORTIZACAO                                       </v>
      </c>
      <c r="D443" s="36">
        <f>VLOOKUP($A443, CAD_AMORTIZACAO[#Data], MATCH(D$318, CAD_ATUALIZACAO[#Headers],0), FALSE)</f>
        <v>46153</v>
      </c>
      <c r="E443" s="48">
        <f>VLOOKUP($A443, CAD_AMORTIZACAO[#Data], MATCH(E$318, CAD_ATUALIZACAO[#Headers],0), FALSE)</f>
        <v>547.94512199999997</v>
      </c>
      <c r="F443" s="36">
        <f>VLOOKUP($A443, CAD_AMORTIZACAO[#Data], MATCH(F$318, CAD_ATUALIZACAO[#Headers],0), FALSE)</f>
        <v>46157</v>
      </c>
      <c r="G443" s="47">
        <f>WORKDAY(WORKDAY(TAB_AMORTIZACAO_U[[#This Row],[DT_EVE]], -1, TAB_FERIADOS[FER_DATA]), 1, TAB_FERIADOS[FER_DATA])</f>
        <v>46153</v>
      </c>
      <c r="H443" s="75">
        <f>WORKDAY(WORKDAY(TAB_AMORTIZACAO_U[[#This Row],[DT_LQDC_EVE]], -1, TAB_FERIADOS[FER_DATA]), 1, TAB_FERIADOS[FER_DATA])</f>
        <v>46157</v>
      </c>
      <c r="I443" s="48">
        <f>PU_EMISSAO - SUMIF(TAB_AMORTIZACAO_U[dt_eve_u], "&lt;" &amp; TAB_AMORTIZACAO_U[[#This Row],[dt_eve_u]], TAB_AMORTIZACAO_U[V_PU_AMTC])</f>
        <v>10418.79225800003</v>
      </c>
      <c r="J443" s="48">
        <f>IFERROR(VLOOKUP(TAB_AMORTIZACAO_U[[#This Row],[DT_EVE]], TAB_AMORTIZACAO_U[[DT_EVE]:[V_PU_AMTC]], 2, FALSE), 0)</f>
        <v>547.94512199999997</v>
      </c>
      <c r="K443" s="48">
        <f>NETWORKDAYS(DT_CALCULO_U, TAB_AMORTIZACAO_U[[#This Row],[dt_eve_u]], TAB_FERIADOS[FER_DATA]) -1</f>
        <v>2602</v>
      </c>
      <c r="L443" s="48">
        <f>NETWORKDAYS(DT_CALCULO_U, TAB_AMORTIZACAO_U[[#This Row],[dt_lqdc_eve_u]], TAB_FERIADOS[FER_DATA]) -1</f>
        <v>2606</v>
      </c>
      <c r="M443" s="48">
        <f>NETWORKDAYS(IF(ISTEXT(G442), DT_B_CORC, G442), TAB_AMORTIZACAO_U[[#This Row],[dt_eve_u]], TAB_FERIADOS[FER_DATA]) -1</f>
        <v>20</v>
      </c>
      <c r="N443" s="78">
        <f>(TX_EMISSAO/100 +1)^(TAB_AMORTIZACAO_U[[#This Row],[dias_periodo_u]]/252)</f>
        <v>1.0019616526860928</v>
      </c>
      <c r="O443" s="78">
        <f>(TIR_U/100 +1)^(TAB_AMORTIZACAO_U[[#This Row],[Q_DIAS_U_PARC_TIR]]/252)</f>
        <v>1.2909526986445792</v>
      </c>
      <c r="P443" s="116" t="str">
        <f>"TX_CENARIO" &amp; TEXT(DT_CALCULO_C, "-AAAAMMDD") &amp; TEXT(TAB_AMORTIZACAO_U[[#This Row],[DT_EVE]], "-AAAAMMDD")</f>
        <v>TX_CENARIO-20151228-20260511</v>
      </c>
      <c r="Q443" s="44">
        <f>IFERROR(VLOOKUP(TAB_AMORTIZACAO_U[[#This Row],[Chave-CENARIO]],CENARIO[],2,FALSE), 0)</f>
        <v>16.325399999999998</v>
      </c>
      <c r="R443" s="117" t="str">
        <f t="shared" si="13"/>
        <v>n/a</v>
      </c>
      <c r="S443" s="49" t="str">
        <f t="shared" si="13"/>
        <v>n/a</v>
      </c>
      <c r="T443" s="78">
        <f>IF(TAB_AMORTIZACAO_U[[#This Row],[Q_DIAS_U_PARC_TIR]]&lt;0, 0, TAB_AMORTIZACAO_U[[#This Row],[PU_AMORT]])</f>
        <v>547.94512199999997</v>
      </c>
      <c r="U443" s="78">
        <f>MAX(0, TAB_AMORTIZACAO_U[[#This Row],[V_FUT_U_PCPL-01]]/((((TAB_AMORTIZACAO_U[[#This Row],[TX_CENARIO]]/100 +1)^(1/252) -1) * PC_IDXR/100 +1)^TAB_AMORTIZACAO_U[[#This Row],[Q_DIAS_U_PARC_TIR]]))</f>
        <v>114.70405581378199</v>
      </c>
      <c r="V443" s="78">
        <f>+TAB_AMORTIZACAO_U[[#This Row],[V_FUT_U_PCPL-02]]/TAB_AMORTIZACAO_U[[#This Row],[VAR_DESCAP_U]]</f>
        <v>88.852253017646717</v>
      </c>
      <c r="W443" s="78"/>
      <c r="X443" s="101">
        <f>TAB_AMORTIZACAO_U[[#This Row],[dt_eve_u]]- DT_CALCULO_C</f>
        <v>3787</v>
      </c>
      <c r="Y443" s="49" t="str">
        <f t="shared" si="14"/>
        <v>n/a</v>
      </c>
      <c r="Z443" s="49" t="str">
        <f t="shared" si="14"/>
        <v>n/a</v>
      </c>
      <c r="AA443" s="44">
        <f>TAB_AMORTIZACAO_U[[#This Row],[V_PU_AMTC]]</f>
        <v>547.94512199999997</v>
      </c>
      <c r="AB443" s="44">
        <f>(TIR_C/100 +1)^(TAB_AMORTIZACAO_C[[#This Row],[DIAS_CORRIDOS]]/360)</f>
        <v>1.2918563410211377</v>
      </c>
      <c r="AC443" s="44">
        <f>IF(TAB_AMORTIZACAO_C[[#This Row],[DIAS_CORRIDOS]]&lt;0, 0, TAB_AMORTIZACAO_C[[#This Row],[V_FUT_C_PCPL]]/TAB_AMORTIZACAO_C[[#This Row],[VAR_DESCAP_C]])</f>
        <v>424.15329367573571</v>
      </c>
      <c r="AD443" s="115">
        <f>TAB_AMORTIZACAO_U[[#This Row],[V_FUT_U_PCPL-02]]</f>
        <v>114.70405581378199</v>
      </c>
      <c r="AE443" s="127">
        <f>IF(TAB_AMORTIZACAO_C[[#This Row],[DIAS_CORRIDOS]]&lt;0, 0, TAB_AMORTIZACAO_C[[#This Row],[V_FUT_UTEIS]]/TAB_AMORTIZACAO_C[[#This Row],[VAR_DESCAP_C]])</f>
        <v>88.790101632442415</v>
      </c>
      <c r="AF443" s="64"/>
    </row>
    <row r="444" spans="1:32">
      <c r="A444" s="82">
        <f t="shared" si="12"/>
        <v>126</v>
      </c>
      <c r="B444" s="24">
        <f>VLOOKUP($A444, CAD_AMORTIZACAO[#Data], MATCH(B$318, CAD_ATUALIZACAO[#Headers],0), FALSE)</f>
        <v>4</v>
      </c>
      <c r="C444" s="24" t="str">
        <f>VLOOKUP($A444, CAD_AMORTIZACAO[#Data], MATCH(C$318, CAD_ATUALIZACAO[#Headers],0), FALSE)</f>
        <v xml:space="preserve">AMORTIZACAO                                       </v>
      </c>
      <c r="D444" s="36">
        <f>VLOOKUP($A444, CAD_AMORTIZACAO[#Data], MATCH(D$318, CAD_ATUALIZACAO[#Headers],0), FALSE)</f>
        <v>46182</v>
      </c>
      <c r="E444" s="48">
        <f>VLOOKUP($A444, CAD_AMORTIZACAO[#Data], MATCH(E$318, CAD_ATUALIZACAO[#Headers],0), FALSE)</f>
        <v>542.40305000000001</v>
      </c>
      <c r="F444" s="36">
        <f>VLOOKUP($A444, CAD_AMORTIZACAO[#Data], MATCH(F$318, CAD_ATUALIZACAO[#Headers],0), FALSE)</f>
        <v>46188</v>
      </c>
      <c r="G444" s="47">
        <f>WORKDAY(WORKDAY(TAB_AMORTIZACAO_U[[#This Row],[DT_EVE]], -1, TAB_FERIADOS[FER_DATA]), 1, TAB_FERIADOS[FER_DATA])</f>
        <v>46182</v>
      </c>
      <c r="H444" s="75">
        <f>WORKDAY(WORKDAY(TAB_AMORTIZACAO_U[[#This Row],[DT_LQDC_EVE]], -1, TAB_FERIADOS[FER_DATA]), 1, TAB_FERIADOS[FER_DATA])</f>
        <v>46188</v>
      </c>
      <c r="I444" s="48">
        <f>PU_EMISSAO - SUMIF(TAB_AMORTIZACAO_U[dt_eve_u], "&lt;" &amp; TAB_AMORTIZACAO_U[[#This Row],[dt_eve_u]], TAB_AMORTIZACAO_U[V_PU_AMTC])</f>
        <v>9870.8471360000258</v>
      </c>
      <c r="J444" s="48">
        <f>IFERROR(VLOOKUP(TAB_AMORTIZACAO_U[[#This Row],[DT_EVE]], TAB_AMORTIZACAO_U[[DT_EVE]:[V_PU_AMTC]], 2, FALSE), 0)</f>
        <v>542.40305000000001</v>
      </c>
      <c r="K444" s="48">
        <f>NETWORKDAYS(DT_CALCULO_U, TAB_AMORTIZACAO_U[[#This Row],[dt_eve_u]], TAB_FERIADOS[FER_DATA]) -1</f>
        <v>2622</v>
      </c>
      <c r="L444" s="48">
        <f>NETWORKDAYS(DT_CALCULO_U, TAB_AMORTIZACAO_U[[#This Row],[dt_lqdc_eve_u]], TAB_FERIADOS[FER_DATA]) -1</f>
        <v>2626</v>
      </c>
      <c r="M444" s="48">
        <f>NETWORKDAYS(IF(ISTEXT(G443), DT_B_CORC, G443), TAB_AMORTIZACAO_U[[#This Row],[dt_eve_u]], TAB_FERIADOS[FER_DATA]) -1</f>
        <v>20</v>
      </c>
      <c r="N444" s="78">
        <f>(TX_EMISSAO/100 +1)^(TAB_AMORTIZACAO_U[[#This Row],[dias_periodo_u]]/252)</f>
        <v>1.0019616526860928</v>
      </c>
      <c r="O444" s="78">
        <f>(TIR_U/100 +1)^(TAB_AMORTIZACAO_U[[#This Row],[Q_DIAS_U_PARC_TIR]]/252)</f>
        <v>1.2934853724851989</v>
      </c>
      <c r="P444" s="116" t="str">
        <f>"TX_CENARIO" &amp; TEXT(DT_CALCULO_C, "-AAAAMMDD") &amp; TEXT(TAB_AMORTIZACAO_U[[#This Row],[DT_EVE]], "-AAAAMMDD")</f>
        <v>TX_CENARIO-20151228-20260609</v>
      </c>
      <c r="Q444" s="44">
        <f>IFERROR(VLOOKUP(TAB_AMORTIZACAO_U[[#This Row],[Chave-CENARIO]],CENARIO[],2,FALSE), 0)</f>
        <v>16.3263</v>
      </c>
      <c r="R444" s="117" t="str">
        <f t="shared" si="13"/>
        <v>n/a</v>
      </c>
      <c r="S444" s="49" t="str">
        <f t="shared" si="13"/>
        <v>n/a</v>
      </c>
      <c r="T444" s="78">
        <f>IF(TAB_AMORTIZACAO_U[[#This Row],[Q_DIAS_U_PARC_TIR]]&lt;0, 0, TAB_AMORTIZACAO_U[[#This Row],[PU_AMORT]])</f>
        <v>542.40305000000001</v>
      </c>
      <c r="U444" s="78">
        <f>MAX(0, TAB_AMORTIZACAO_U[[#This Row],[V_FUT_U_PCPL-01]]/((((TAB_AMORTIZACAO_U[[#This Row],[TX_CENARIO]]/100 +1)^(1/252) -1) * PC_IDXR/100 +1)^TAB_AMORTIZACAO_U[[#This Row],[Q_DIAS_U_PARC_TIR]]))</f>
        <v>112.18028829984243</v>
      </c>
      <c r="V444" s="78">
        <f>+TAB_AMORTIZACAO_U[[#This Row],[V_FUT_U_PCPL-02]]/TAB_AMORTIZACAO_U[[#This Row],[VAR_DESCAP_U]]</f>
        <v>86.727141014597052</v>
      </c>
      <c r="W444" s="78"/>
      <c r="X444" s="101">
        <f>TAB_AMORTIZACAO_U[[#This Row],[dt_eve_u]]- DT_CALCULO_C</f>
        <v>3816</v>
      </c>
      <c r="Y444" s="49" t="str">
        <f t="shared" si="14"/>
        <v>n/a</v>
      </c>
      <c r="Z444" s="49" t="str">
        <f t="shared" si="14"/>
        <v>n/a</v>
      </c>
      <c r="AA444" s="44">
        <f>TAB_AMORTIZACAO_U[[#This Row],[V_PU_AMTC]]</f>
        <v>542.40305000000001</v>
      </c>
      <c r="AB444" s="44">
        <f>(TIR_C/100 +1)^(TAB_AMORTIZACAO_C[[#This Row],[DIAS_CORRIDOS]]/360)</f>
        <v>1.2943921633659778</v>
      </c>
      <c r="AC444" s="44">
        <f>IF(TAB_AMORTIZACAO_C[[#This Row],[DIAS_CORRIDOS]]&lt;0, 0, TAB_AMORTIZACAO_C[[#This Row],[V_FUT_C_PCPL]]/TAB_AMORTIZACAO_C[[#This Row],[VAR_DESCAP_C]])</f>
        <v>419.04074000998133</v>
      </c>
      <c r="AD444" s="115">
        <f>TAB_AMORTIZACAO_U[[#This Row],[V_FUT_U_PCPL-02]]</f>
        <v>112.18028829984243</v>
      </c>
      <c r="AE444" s="127">
        <f>IF(TAB_AMORTIZACAO_C[[#This Row],[DIAS_CORRIDOS]]&lt;0, 0, TAB_AMORTIZACAO_C[[#This Row],[V_FUT_UTEIS]]/TAB_AMORTIZACAO_C[[#This Row],[VAR_DESCAP_C]])</f>
        <v>86.666384017750303</v>
      </c>
      <c r="AF444" s="64"/>
    </row>
    <row r="445" spans="1:32">
      <c r="A445" s="82">
        <f t="shared" si="12"/>
        <v>127</v>
      </c>
      <c r="B445" s="24">
        <f>VLOOKUP($A445, CAD_AMORTIZACAO[#Data], MATCH(B$318, CAD_ATUALIZACAO[#Headers],0), FALSE)</f>
        <v>4</v>
      </c>
      <c r="C445" s="24" t="str">
        <f>VLOOKUP($A445, CAD_AMORTIZACAO[#Data], MATCH(C$318, CAD_ATUALIZACAO[#Headers],0), FALSE)</f>
        <v xml:space="preserve">AMORTIZACAO                                       </v>
      </c>
      <c r="D445" s="36">
        <f>VLOOKUP($A445, CAD_AMORTIZACAO[#Data], MATCH(D$318, CAD_ATUALIZACAO[#Headers],0), FALSE)</f>
        <v>46211</v>
      </c>
      <c r="E445" s="48">
        <f>VLOOKUP($A445, CAD_AMORTIZACAO[#Data], MATCH(E$318, CAD_ATUALIZACAO[#Headers],0), FALSE)</f>
        <v>535.75120000000004</v>
      </c>
      <c r="F445" s="36">
        <f>VLOOKUP($A445, CAD_AMORTIZACAO[#Data], MATCH(F$318, CAD_ATUALIZACAO[#Headers],0), FALSE)</f>
        <v>46217</v>
      </c>
      <c r="G445" s="47">
        <f>WORKDAY(WORKDAY(TAB_AMORTIZACAO_U[[#This Row],[DT_EVE]], -1, TAB_FERIADOS[FER_DATA]), 1, TAB_FERIADOS[FER_DATA])</f>
        <v>46211</v>
      </c>
      <c r="H445" s="75">
        <f>WORKDAY(WORKDAY(TAB_AMORTIZACAO_U[[#This Row],[DT_LQDC_EVE]], -1, TAB_FERIADOS[FER_DATA]), 1, TAB_FERIADOS[FER_DATA])</f>
        <v>46217</v>
      </c>
      <c r="I445" s="48">
        <f>PU_EMISSAO - SUMIF(TAB_AMORTIZACAO_U[dt_eve_u], "&lt;" &amp; TAB_AMORTIZACAO_U[[#This Row],[dt_eve_u]], TAB_AMORTIZACAO_U[V_PU_AMTC])</f>
        <v>9328.4440860000323</v>
      </c>
      <c r="J445" s="48">
        <f>IFERROR(VLOOKUP(TAB_AMORTIZACAO_U[[#This Row],[DT_EVE]], TAB_AMORTIZACAO_U[[DT_EVE]:[V_PU_AMTC]], 2, FALSE), 0)</f>
        <v>535.75120000000004</v>
      </c>
      <c r="K445" s="48">
        <f>NETWORKDAYS(DT_CALCULO_U, TAB_AMORTIZACAO_U[[#This Row],[dt_eve_u]], TAB_FERIADOS[FER_DATA]) -1</f>
        <v>2643</v>
      </c>
      <c r="L445" s="48">
        <f>NETWORKDAYS(DT_CALCULO_U, TAB_AMORTIZACAO_U[[#This Row],[dt_lqdc_eve_u]], TAB_FERIADOS[FER_DATA]) -1</f>
        <v>2647</v>
      </c>
      <c r="M445" s="48">
        <f>NETWORKDAYS(IF(ISTEXT(G444), DT_B_CORC, G444), TAB_AMORTIZACAO_U[[#This Row],[dt_eve_u]], TAB_FERIADOS[FER_DATA]) -1</f>
        <v>21</v>
      </c>
      <c r="N445" s="78">
        <f>(TX_EMISSAO/100 +1)^(TAB_AMORTIZACAO_U[[#This Row],[dias_periodo_u]]/252)</f>
        <v>1.0020598362698427</v>
      </c>
      <c r="O445" s="78">
        <f>(TIR_U/100 +1)^(TAB_AMORTIZACAO_U[[#This Row],[Q_DIAS_U_PARC_TIR]]/252)</f>
        <v>1.2961500278227847</v>
      </c>
      <c r="P445" s="116" t="str">
        <f>"TX_CENARIO" &amp; TEXT(DT_CALCULO_C, "-AAAAMMDD") &amp; TEXT(TAB_AMORTIZACAO_U[[#This Row],[DT_EVE]], "-AAAAMMDD")</f>
        <v>TX_CENARIO-20151228-20260708</v>
      </c>
      <c r="Q445" s="44">
        <f>IFERROR(VLOOKUP(TAB_AMORTIZACAO_U[[#This Row],[Chave-CENARIO]],CENARIO[],2,FALSE), 0)</f>
        <v>16.327300000000001</v>
      </c>
      <c r="R445" s="117" t="str">
        <f t="shared" si="13"/>
        <v>n/a</v>
      </c>
      <c r="S445" s="49" t="str">
        <f t="shared" si="13"/>
        <v>n/a</v>
      </c>
      <c r="T445" s="78">
        <f>IF(TAB_AMORTIZACAO_U[[#This Row],[Q_DIAS_U_PARC_TIR]]&lt;0, 0, TAB_AMORTIZACAO_U[[#This Row],[PU_AMORT]])</f>
        <v>535.75120000000004</v>
      </c>
      <c r="U445" s="78">
        <f>MAX(0, TAB_AMORTIZACAO_U[[#This Row],[V_FUT_U_PCPL-01]]/((((TAB_AMORTIZACAO_U[[#This Row],[TX_CENARIO]]/100 +1)^(1/252) -1) * PC_IDXR/100 +1)^TAB_AMORTIZACAO_U[[#This Row],[Q_DIAS_U_PARC_TIR]]))</f>
        <v>109.40702434356464</v>
      </c>
      <c r="V445" s="78">
        <f>+TAB_AMORTIZACAO_U[[#This Row],[V_FUT_U_PCPL-02]]/TAB_AMORTIZACAO_U[[#This Row],[VAR_DESCAP_U]]</f>
        <v>84.409228866307799</v>
      </c>
      <c r="W445" s="78"/>
      <c r="X445" s="101">
        <f>TAB_AMORTIZACAO_U[[#This Row],[dt_eve_u]]- DT_CALCULO_C</f>
        <v>3845</v>
      </c>
      <c r="Y445" s="49" t="str">
        <f t="shared" si="14"/>
        <v>n/a</v>
      </c>
      <c r="Z445" s="49" t="str">
        <f t="shared" si="14"/>
        <v>n/a</v>
      </c>
      <c r="AA445" s="44">
        <f>TAB_AMORTIZACAO_U[[#This Row],[V_PU_AMTC]]</f>
        <v>535.75120000000004</v>
      </c>
      <c r="AB445" s="44">
        <f>(TIR_C/100 +1)^(TAB_AMORTIZACAO_C[[#This Row],[DIAS_CORRIDOS]]/360)</f>
        <v>1.2969329633501734</v>
      </c>
      <c r="AC445" s="44">
        <f>IF(TAB_AMORTIZACAO_C[[#This Row],[DIAS_CORRIDOS]]&lt;0, 0, TAB_AMORTIZACAO_C[[#This Row],[V_FUT_C_PCPL]]/TAB_AMORTIZACAO_C[[#This Row],[VAR_DESCAP_C]])</f>
        <v>413.09089609078478</v>
      </c>
      <c r="AD445" s="115">
        <f>TAB_AMORTIZACAO_U[[#This Row],[V_FUT_U_PCPL-02]]</f>
        <v>109.40702434356464</v>
      </c>
      <c r="AE445" s="127">
        <f>IF(TAB_AMORTIZACAO_C[[#This Row],[DIAS_CORRIDOS]]&lt;0, 0, TAB_AMORTIZACAO_C[[#This Row],[V_FUT_UTEIS]]/TAB_AMORTIZACAO_C[[#This Row],[VAR_DESCAP_C]])</f>
        <v>84.358272505426811</v>
      </c>
      <c r="AF445" s="64"/>
    </row>
    <row r="446" spans="1:32">
      <c r="A446" s="82">
        <f t="shared" si="12"/>
        <v>128</v>
      </c>
      <c r="B446" s="24">
        <f>VLOOKUP($A446, CAD_AMORTIZACAO[#Data], MATCH(B$318, CAD_ATUALIZACAO[#Headers],0), FALSE)</f>
        <v>4</v>
      </c>
      <c r="C446" s="24" t="str">
        <f>VLOOKUP($A446, CAD_AMORTIZACAO[#Data], MATCH(C$318, CAD_ATUALIZACAO[#Headers],0), FALSE)</f>
        <v xml:space="preserve">AMORTIZACAO                                       </v>
      </c>
      <c r="D446" s="36">
        <f>VLOOKUP($A446, CAD_AMORTIZACAO[#Data], MATCH(D$318, CAD_ATUALIZACAO[#Headers],0), FALSE)</f>
        <v>46244</v>
      </c>
      <c r="E446" s="48">
        <f>VLOOKUP($A446, CAD_AMORTIZACAO[#Data], MATCH(E$318, CAD_ATUALIZACAO[#Headers],0), FALSE)</f>
        <v>527.75501199999997</v>
      </c>
      <c r="F446" s="36">
        <f>VLOOKUP($A446, CAD_AMORTIZACAO[#Data], MATCH(F$318, CAD_ATUALIZACAO[#Headers],0), FALSE)</f>
        <v>46248</v>
      </c>
      <c r="G446" s="47">
        <f>WORKDAY(WORKDAY(TAB_AMORTIZACAO_U[[#This Row],[DT_EVE]], -1, TAB_FERIADOS[FER_DATA]), 1, TAB_FERIADOS[FER_DATA])</f>
        <v>46244</v>
      </c>
      <c r="H446" s="75">
        <f>WORKDAY(WORKDAY(TAB_AMORTIZACAO_U[[#This Row],[DT_LQDC_EVE]], -1, TAB_FERIADOS[FER_DATA]), 1, TAB_FERIADOS[FER_DATA])</f>
        <v>46248</v>
      </c>
      <c r="I446" s="48">
        <f>PU_EMISSAO - SUMIF(TAB_AMORTIZACAO_U[dt_eve_u], "&lt;" &amp; TAB_AMORTIZACAO_U[[#This Row],[dt_eve_u]], TAB_AMORTIZACAO_U[V_PU_AMTC])</f>
        <v>8792.6928860000335</v>
      </c>
      <c r="J446" s="48">
        <f>IFERROR(VLOOKUP(TAB_AMORTIZACAO_U[[#This Row],[DT_EVE]], TAB_AMORTIZACAO_U[[DT_EVE]:[V_PU_AMTC]], 2, FALSE), 0)</f>
        <v>527.75501199999997</v>
      </c>
      <c r="K446" s="48">
        <f>NETWORKDAYS(DT_CALCULO_U, TAB_AMORTIZACAO_U[[#This Row],[dt_eve_u]], TAB_FERIADOS[FER_DATA]) -1</f>
        <v>2666</v>
      </c>
      <c r="L446" s="48">
        <f>NETWORKDAYS(DT_CALCULO_U, TAB_AMORTIZACAO_U[[#This Row],[dt_lqdc_eve_u]], TAB_FERIADOS[FER_DATA]) -1</f>
        <v>2670</v>
      </c>
      <c r="M446" s="48">
        <f>NETWORKDAYS(IF(ISTEXT(G445), DT_B_CORC, G445), TAB_AMORTIZACAO_U[[#This Row],[dt_eve_u]], TAB_FERIADOS[FER_DATA]) -1</f>
        <v>23</v>
      </c>
      <c r="N446" s="78">
        <f>(TX_EMISSAO/100 +1)^(TAB_AMORTIZACAO_U[[#This Row],[dias_periodo_u]]/252)</f>
        <v>1.0022562323017139</v>
      </c>
      <c r="O446" s="78">
        <f>(TIR_U/100 +1)^(TAB_AMORTIZACAO_U[[#This Row],[Q_DIAS_U_PARC_TIR]]/252)</f>
        <v>1.2990747587035745</v>
      </c>
      <c r="P446" s="116" t="str">
        <f>"TX_CENARIO" &amp; TEXT(DT_CALCULO_C, "-AAAAMMDD") &amp; TEXT(TAB_AMORTIZACAO_U[[#This Row],[DT_EVE]], "-AAAAMMDD")</f>
        <v>TX_CENARIO-20151228-20260810</v>
      </c>
      <c r="Q446" s="44">
        <f>IFERROR(VLOOKUP(TAB_AMORTIZACAO_U[[#This Row],[Chave-CENARIO]],CENARIO[],2,FALSE), 0)</f>
        <v>16.328399999999998</v>
      </c>
      <c r="R446" s="117" t="str">
        <f t="shared" si="13"/>
        <v>n/a</v>
      </c>
      <c r="S446" s="49" t="str">
        <f t="shared" si="13"/>
        <v>n/a</v>
      </c>
      <c r="T446" s="78">
        <f>IF(TAB_AMORTIZACAO_U[[#This Row],[Q_DIAS_U_PARC_TIR]]&lt;0, 0, TAB_AMORTIZACAO_U[[#This Row],[PU_AMORT]])</f>
        <v>527.75501199999997</v>
      </c>
      <c r="U446" s="78">
        <f>MAX(0, TAB_AMORTIZACAO_U[[#This Row],[V_FUT_U_PCPL-01]]/((((TAB_AMORTIZACAO_U[[#This Row],[TX_CENARIO]]/100 +1)^(1/252) -1) * PC_IDXR/100 +1)^TAB_AMORTIZACAO_U[[#This Row],[Q_DIAS_U_PARC_TIR]]))</f>
        <v>106.28602254244404</v>
      </c>
      <c r="V446" s="78">
        <f>+TAB_AMORTIZACAO_U[[#This Row],[V_FUT_U_PCPL-02]]/TAB_AMORTIZACAO_U[[#This Row],[VAR_DESCAP_U]]</f>
        <v>81.816709800838026</v>
      </c>
      <c r="W446" s="78"/>
      <c r="X446" s="101">
        <f>TAB_AMORTIZACAO_U[[#This Row],[dt_eve_u]]- DT_CALCULO_C</f>
        <v>3878</v>
      </c>
      <c r="Y446" s="49" t="str">
        <f t="shared" si="14"/>
        <v>n/a</v>
      </c>
      <c r="Z446" s="49" t="str">
        <f t="shared" si="14"/>
        <v>n/a</v>
      </c>
      <c r="AA446" s="44">
        <f>TAB_AMORTIZACAO_U[[#This Row],[V_PU_AMTC]]</f>
        <v>527.75501199999997</v>
      </c>
      <c r="AB446" s="44">
        <f>(TIR_C/100 +1)^(TAB_AMORTIZACAO_C[[#This Row],[DIAS_CORRIDOS]]/360)</f>
        <v>1.2998302857826178</v>
      </c>
      <c r="AC446" s="44">
        <f>IF(TAB_AMORTIZACAO_C[[#This Row],[DIAS_CORRIDOS]]&lt;0, 0, TAB_AMORTIZACAO_C[[#This Row],[V_FUT_C_PCPL]]/TAB_AMORTIZACAO_C[[#This Row],[VAR_DESCAP_C]])</f>
        <v>406.01839930375428</v>
      </c>
      <c r="AD446" s="115">
        <f>TAB_AMORTIZACAO_U[[#This Row],[V_FUT_U_PCPL-02]]</f>
        <v>106.28602254244404</v>
      </c>
      <c r="AE446" s="127">
        <f>IF(TAB_AMORTIZACAO_C[[#This Row],[DIAS_CORRIDOS]]&lt;0, 0, TAB_AMORTIZACAO_C[[#This Row],[V_FUT_UTEIS]]/TAB_AMORTIZACAO_C[[#This Row],[VAR_DESCAP_C]])</f>
        <v>81.769153792604584</v>
      </c>
      <c r="AF446" s="64"/>
    </row>
    <row r="447" spans="1:32">
      <c r="A447" s="82">
        <f t="shared" si="12"/>
        <v>129</v>
      </c>
      <c r="B447" s="24">
        <f>VLOOKUP($A447, CAD_AMORTIZACAO[#Data], MATCH(B$318, CAD_ATUALIZACAO[#Headers],0), FALSE)</f>
        <v>4</v>
      </c>
      <c r="C447" s="24" t="str">
        <f>VLOOKUP($A447, CAD_AMORTIZACAO[#Data], MATCH(C$318, CAD_ATUALIZACAO[#Headers],0), FALSE)</f>
        <v xml:space="preserve">AMORTIZACAO                                       </v>
      </c>
      <c r="D447" s="36">
        <f>VLOOKUP($A447, CAD_AMORTIZACAO[#Data], MATCH(D$318, CAD_ATUALIZACAO[#Headers],0), FALSE)</f>
        <v>46274</v>
      </c>
      <c r="E447" s="48">
        <f>VLOOKUP($A447, CAD_AMORTIZACAO[#Data], MATCH(E$318, CAD_ATUALIZACAO[#Headers],0), FALSE)</f>
        <v>523.91441099999997</v>
      </c>
      <c r="F447" s="36">
        <f>VLOOKUP($A447, CAD_AMORTIZACAO[#Data], MATCH(F$318, CAD_ATUALIZACAO[#Headers],0), FALSE)</f>
        <v>46280</v>
      </c>
      <c r="G447" s="47">
        <f>WORKDAY(WORKDAY(TAB_AMORTIZACAO_U[[#This Row],[DT_EVE]], -1, TAB_FERIADOS[FER_DATA]), 1, TAB_FERIADOS[FER_DATA])</f>
        <v>46274</v>
      </c>
      <c r="H447" s="75">
        <f>WORKDAY(WORKDAY(TAB_AMORTIZACAO_U[[#This Row],[DT_LQDC_EVE]], -1, TAB_FERIADOS[FER_DATA]), 1, TAB_FERIADOS[FER_DATA])</f>
        <v>46280</v>
      </c>
      <c r="I447" s="48">
        <f>PU_EMISSAO - SUMIF(TAB_AMORTIZACAO_U[dt_eve_u], "&lt;" &amp; TAB_AMORTIZACAO_U[[#This Row],[dt_eve_u]], TAB_AMORTIZACAO_U[V_PU_AMTC])</f>
        <v>8264.9378740000393</v>
      </c>
      <c r="J447" s="48">
        <f>IFERROR(VLOOKUP(TAB_AMORTIZACAO_U[[#This Row],[DT_EVE]], TAB_AMORTIZACAO_U[[DT_EVE]:[V_PU_AMTC]], 2, FALSE), 0)</f>
        <v>523.91441099999997</v>
      </c>
      <c r="K447" s="48">
        <f>NETWORKDAYS(DT_CALCULO_U, TAB_AMORTIZACAO_U[[#This Row],[dt_eve_u]], TAB_FERIADOS[FER_DATA]) -1</f>
        <v>2687</v>
      </c>
      <c r="L447" s="48">
        <f>NETWORKDAYS(DT_CALCULO_U, TAB_AMORTIZACAO_U[[#This Row],[dt_lqdc_eve_u]], TAB_FERIADOS[FER_DATA]) -1</f>
        <v>2691</v>
      </c>
      <c r="M447" s="48">
        <f>NETWORKDAYS(IF(ISTEXT(G446), DT_B_CORC, G446), TAB_AMORTIZACAO_U[[#This Row],[dt_eve_u]], TAB_FERIADOS[FER_DATA]) -1</f>
        <v>21</v>
      </c>
      <c r="N447" s="78">
        <f>(TX_EMISSAO/100 +1)^(TAB_AMORTIZACAO_U[[#This Row],[dias_periodo_u]]/252)</f>
        <v>1.0020598362698427</v>
      </c>
      <c r="O447" s="78">
        <f>(TIR_U/100 +1)^(TAB_AMORTIZACAO_U[[#This Row],[Q_DIAS_U_PARC_TIR]]/252)</f>
        <v>1.3017509285028908</v>
      </c>
      <c r="P447" s="116" t="str">
        <f>"TX_CENARIO" &amp; TEXT(DT_CALCULO_C, "-AAAAMMDD") &amp; TEXT(TAB_AMORTIZACAO_U[[#This Row],[DT_EVE]], "-AAAAMMDD")</f>
        <v>TX_CENARIO-20151228-20260909</v>
      </c>
      <c r="Q447" s="44">
        <f>IFERROR(VLOOKUP(TAB_AMORTIZACAO_U[[#This Row],[Chave-CENARIO]],CENARIO[],2,FALSE), 0)</f>
        <v>16.3293</v>
      </c>
      <c r="R447" s="117" t="str">
        <f t="shared" si="13"/>
        <v>n/a</v>
      </c>
      <c r="S447" s="49" t="str">
        <f t="shared" si="13"/>
        <v>n/a</v>
      </c>
      <c r="T447" s="78">
        <f>IF(TAB_AMORTIZACAO_U[[#This Row],[Q_DIAS_U_PARC_TIR]]&lt;0, 0, TAB_AMORTIZACAO_U[[#This Row],[PU_AMORT]])</f>
        <v>523.91441099999997</v>
      </c>
      <c r="U447" s="78">
        <f>MAX(0, TAB_AMORTIZACAO_U[[#This Row],[V_FUT_U_PCPL-01]]/((((TAB_AMORTIZACAO_U[[#This Row],[TX_CENARIO]]/100 +1)^(1/252) -1) * PC_IDXR/100 +1)^TAB_AMORTIZACAO_U[[#This Row],[Q_DIAS_U_PARC_TIR]]))</f>
        <v>104.18241977074001</v>
      </c>
      <c r="V447" s="78">
        <f>+TAB_AMORTIZACAO_U[[#This Row],[V_FUT_U_PCPL-02]]/TAB_AMORTIZACAO_U[[#This Row],[VAR_DESCAP_U]]</f>
        <v>80.032529641102272</v>
      </c>
      <c r="W447" s="78"/>
      <c r="X447" s="101">
        <f>TAB_AMORTIZACAO_U[[#This Row],[dt_eve_u]]- DT_CALCULO_C</f>
        <v>3908</v>
      </c>
      <c r="Y447" s="49" t="str">
        <f t="shared" si="14"/>
        <v>n/a</v>
      </c>
      <c r="Z447" s="49" t="str">
        <f t="shared" si="14"/>
        <v>n/a</v>
      </c>
      <c r="AA447" s="44">
        <f>TAB_AMORTIZACAO_U[[#This Row],[V_PU_AMTC]]</f>
        <v>523.91441099999997</v>
      </c>
      <c r="AB447" s="44">
        <f>(TIR_C/100 +1)^(TAB_AMORTIZACAO_C[[#This Row],[DIAS_CORRIDOS]]/360)</f>
        <v>1.3024698315715308</v>
      </c>
      <c r="AC447" s="44">
        <f>IF(TAB_AMORTIZACAO_C[[#This Row],[DIAS_CORRIDOS]]&lt;0, 0, TAB_AMORTIZACAO_C[[#This Row],[V_FUT_C_PCPL]]/TAB_AMORTIZACAO_C[[#This Row],[VAR_DESCAP_C]])</f>
        <v>402.24686844981017</v>
      </c>
      <c r="AD447" s="115">
        <f>TAB_AMORTIZACAO_U[[#This Row],[V_FUT_U_PCPL-02]]</f>
        <v>104.18241977074001</v>
      </c>
      <c r="AE447" s="127">
        <f>IF(TAB_AMORTIZACAO_C[[#This Row],[DIAS_CORRIDOS]]&lt;0, 0, TAB_AMORTIZACAO_C[[#This Row],[V_FUT_UTEIS]]/TAB_AMORTIZACAO_C[[#This Row],[VAR_DESCAP_C]])</f>
        <v>79.988355388650987</v>
      </c>
      <c r="AF447" s="64"/>
    </row>
    <row r="448" spans="1:32">
      <c r="A448" s="82">
        <f t="shared" si="12"/>
        <v>130</v>
      </c>
      <c r="B448" s="24">
        <f>VLOOKUP($A448, CAD_AMORTIZACAO[#Data], MATCH(B$318, CAD_ATUALIZACAO[#Headers],0), FALSE)</f>
        <v>4</v>
      </c>
      <c r="C448" s="24" t="str">
        <f>VLOOKUP($A448, CAD_AMORTIZACAO[#Data], MATCH(C$318, CAD_ATUALIZACAO[#Headers],0), FALSE)</f>
        <v xml:space="preserve">AMORTIZACAO                                       </v>
      </c>
      <c r="D448" s="36">
        <f>VLOOKUP($A448, CAD_AMORTIZACAO[#Data], MATCH(D$318, CAD_ATUALIZACAO[#Headers],0), FALSE)</f>
        <v>46304</v>
      </c>
      <c r="E448" s="48">
        <f>VLOOKUP($A448, CAD_AMORTIZACAO[#Data], MATCH(E$318, CAD_ATUALIZACAO[#Headers],0), FALSE)</f>
        <v>518.424082</v>
      </c>
      <c r="F448" s="36">
        <f>VLOOKUP($A448, CAD_AMORTIZACAO[#Data], MATCH(F$318, CAD_ATUALIZACAO[#Headers],0), FALSE)</f>
        <v>46310</v>
      </c>
      <c r="G448" s="47">
        <f>WORKDAY(WORKDAY(TAB_AMORTIZACAO_U[[#This Row],[DT_EVE]], -1, TAB_FERIADOS[FER_DATA]), 1, TAB_FERIADOS[FER_DATA])</f>
        <v>46304</v>
      </c>
      <c r="H448" s="75">
        <f>WORKDAY(WORKDAY(TAB_AMORTIZACAO_U[[#This Row],[DT_LQDC_EVE]], -1, TAB_FERIADOS[FER_DATA]), 1, TAB_FERIADOS[FER_DATA])</f>
        <v>46310</v>
      </c>
      <c r="I448" s="48">
        <f>PU_EMISSAO - SUMIF(TAB_AMORTIZACAO_U[dt_eve_u], "&lt;" &amp; TAB_AMORTIZACAO_U[[#This Row],[dt_eve_u]], TAB_AMORTIZACAO_U[V_PU_AMTC])</f>
        <v>7741.0234630000341</v>
      </c>
      <c r="J448" s="48">
        <f>IFERROR(VLOOKUP(TAB_AMORTIZACAO_U[[#This Row],[DT_EVE]], TAB_AMORTIZACAO_U[[DT_EVE]:[V_PU_AMTC]], 2, FALSE), 0)</f>
        <v>518.424082</v>
      </c>
      <c r="K448" s="48">
        <f>NETWORKDAYS(DT_CALCULO_U, TAB_AMORTIZACAO_U[[#This Row],[dt_eve_u]], TAB_FERIADOS[FER_DATA]) -1</f>
        <v>2709</v>
      </c>
      <c r="L448" s="48">
        <f>NETWORKDAYS(DT_CALCULO_U, TAB_AMORTIZACAO_U[[#This Row],[dt_lqdc_eve_u]], TAB_FERIADOS[FER_DATA]) -1</f>
        <v>2712</v>
      </c>
      <c r="M448" s="48">
        <f>NETWORKDAYS(IF(ISTEXT(G447), DT_B_CORC, G447), TAB_AMORTIZACAO_U[[#This Row],[dt_eve_u]], TAB_FERIADOS[FER_DATA]) -1</f>
        <v>22</v>
      </c>
      <c r="N448" s="78">
        <f>(TX_EMISSAO/100 +1)^(TAB_AMORTIZACAO_U[[#This Row],[dias_periodo_u]]/252)</f>
        <v>1.0021580294747356</v>
      </c>
      <c r="O448" s="78">
        <f>(TIR_U/100 +1)^(TAB_AMORTIZACAO_U[[#This Row],[Q_DIAS_U_PARC_TIR]]/252)</f>
        <v>1.3044326113681388</v>
      </c>
      <c r="P448" s="116" t="str">
        <f>"TX_CENARIO" &amp; TEXT(DT_CALCULO_C, "-AAAAMMDD") &amp; TEXT(TAB_AMORTIZACAO_U[[#This Row],[DT_EVE]], "-AAAAMMDD")</f>
        <v>TX_CENARIO-20151228-20261009</v>
      </c>
      <c r="Q448" s="44">
        <f>IFERROR(VLOOKUP(TAB_AMORTIZACAO_U[[#This Row],[Chave-CENARIO]],CENARIO[],2,FALSE), 0)</f>
        <v>16.330300000000001</v>
      </c>
      <c r="R448" s="117" t="str">
        <f t="shared" si="13"/>
        <v>n/a</v>
      </c>
      <c r="S448" s="49" t="str">
        <f t="shared" si="13"/>
        <v>n/a</v>
      </c>
      <c r="T448" s="78">
        <f>IF(TAB_AMORTIZACAO_U[[#This Row],[Q_DIAS_U_PARC_TIR]]&lt;0, 0, TAB_AMORTIZACAO_U[[#This Row],[PU_AMORT]])</f>
        <v>518.424082</v>
      </c>
      <c r="U448" s="78">
        <f>MAX(0, TAB_AMORTIZACAO_U[[#This Row],[V_FUT_U_PCPL-01]]/((((TAB_AMORTIZACAO_U[[#This Row],[TX_CENARIO]]/100 +1)^(1/252) -1) * PC_IDXR/100 +1)^TAB_AMORTIZACAO_U[[#This Row],[Q_DIAS_U_PARC_TIR]]))</f>
        <v>101.78997149116576</v>
      </c>
      <c r="V448" s="78">
        <f>+TAB_AMORTIZACAO_U[[#This Row],[V_FUT_U_PCPL-02]]/TAB_AMORTIZACAO_U[[#This Row],[VAR_DESCAP_U]]</f>
        <v>78.033905779467247</v>
      </c>
      <c r="W448" s="78"/>
      <c r="X448" s="101">
        <f>TAB_AMORTIZACAO_U[[#This Row],[dt_eve_u]]- DT_CALCULO_C</f>
        <v>3938</v>
      </c>
      <c r="Y448" s="49" t="str">
        <f t="shared" si="14"/>
        <v>n/a</v>
      </c>
      <c r="Z448" s="49" t="str">
        <f t="shared" si="14"/>
        <v>n/a</v>
      </c>
      <c r="AA448" s="44">
        <f>TAB_AMORTIZACAO_U[[#This Row],[V_PU_AMTC]]</f>
        <v>518.424082</v>
      </c>
      <c r="AB448" s="44">
        <f>(TIR_C/100 +1)^(TAB_AMORTIZACAO_C[[#This Row],[DIAS_CORRIDOS]]/360)</f>
        <v>1.3051147374463319</v>
      </c>
      <c r="AC448" s="44">
        <f>IF(TAB_AMORTIZACAO_C[[#This Row],[DIAS_CORRIDOS]]&lt;0, 0, TAB_AMORTIZACAO_C[[#This Row],[V_FUT_C_PCPL]]/TAB_AMORTIZACAO_C[[#This Row],[VAR_DESCAP_C]])</f>
        <v>397.22490837424806</v>
      </c>
      <c r="AD448" s="115">
        <f>TAB_AMORTIZACAO_U[[#This Row],[V_FUT_U_PCPL-02]]</f>
        <v>101.78997149116576</v>
      </c>
      <c r="AE448" s="127">
        <f>IF(TAB_AMORTIZACAO_C[[#This Row],[DIAS_CORRIDOS]]&lt;0, 0, TAB_AMORTIZACAO_C[[#This Row],[V_FUT_UTEIS]]/TAB_AMORTIZACAO_C[[#This Row],[VAR_DESCAP_C]])</f>
        <v>77.993120888615749</v>
      </c>
      <c r="AF448" s="64"/>
    </row>
    <row r="449" spans="1:32">
      <c r="A449" s="82">
        <f t="shared" ref="A449:A462" si="15">+A448+1</f>
        <v>131</v>
      </c>
      <c r="B449" s="24">
        <f>VLOOKUP($A449, CAD_AMORTIZACAO[#Data], MATCH(B$318, CAD_ATUALIZACAO[#Headers],0), FALSE)</f>
        <v>4</v>
      </c>
      <c r="C449" s="24" t="str">
        <f>VLOOKUP($A449, CAD_AMORTIZACAO[#Data], MATCH(C$318, CAD_ATUALIZACAO[#Headers],0), FALSE)</f>
        <v xml:space="preserve">AMORTIZACAO                                       </v>
      </c>
      <c r="D449" s="36">
        <f>VLOOKUP($A449, CAD_AMORTIZACAO[#Data], MATCH(D$318, CAD_ATUALIZACAO[#Headers],0), FALSE)</f>
        <v>46336</v>
      </c>
      <c r="E449" s="48">
        <f>VLOOKUP($A449, CAD_AMORTIZACAO[#Data], MATCH(E$318, CAD_ATUALIZACAO[#Headers],0), FALSE)</f>
        <v>513.00678800000003</v>
      </c>
      <c r="F449" s="36">
        <f>VLOOKUP($A449, CAD_AMORTIZACAO[#Data], MATCH(F$318, CAD_ATUALIZACAO[#Headers],0), FALSE)</f>
        <v>46342</v>
      </c>
      <c r="G449" s="47">
        <f>WORKDAY(WORKDAY(TAB_AMORTIZACAO_U[[#This Row],[DT_EVE]], -1, TAB_FERIADOS[FER_DATA]), 1, TAB_FERIADOS[FER_DATA])</f>
        <v>46336</v>
      </c>
      <c r="H449" s="75">
        <f>WORKDAY(WORKDAY(TAB_AMORTIZACAO_U[[#This Row],[DT_LQDC_EVE]], -1, TAB_FERIADOS[FER_DATA]), 1, TAB_FERIADOS[FER_DATA])</f>
        <v>46342</v>
      </c>
      <c r="I449" s="48">
        <f>PU_EMISSAO - SUMIF(TAB_AMORTIZACAO_U[dt_eve_u], "&lt;" &amp; TAB_AMORTIZACAO_U[[#This Row],[dt_eve_u]], TAB_AMORTIZACAO_U[V_PU_AMTC])</f>
        <v>7222.5993810000364</v>
      </c>
      <c r="J449" s="48">
        <f>IFERROR(VLOOKUP(TAB_AMORTIZACAO_U[[#This Row],[DT_EVE]], TAB_AMORTIZACAO_U[[DT_EVE]:[V_PU_AMTC]], 2, FALSE), 0)</f>
        <v>513.00678800000003</v>
      </c>
      <c r="K449" s="48">
        <f>NETWORKDAYS(DT_CALCULO_U, TAB_AMORTIZACAO_U[[#This Row],[dt_eve_u]], TAB_FERIADOS[FER_DATA]) -1</f>
        <v>2729</v>
      </c>
      <c r="L449" s="48">
        <f>NETWORKDAYS(DT_CALCULO_U, TAB_AMORTIZACAO_U[[#This Row],[dt_lqdc_eve_u]], TAB_FERIADOS[FER_DATA]) -1</f>
        <v>2733</v>
      </c>
      <c r="M449" s="48">
        <f>NETWORKDAYS(IF(ISTEXT(G448), DT_B_CORC, G448), TAB_AMORTIZACAO_U[[#This Row],[dt_eve_u]], TAB_FERIADOS[FER_DATA]) -1</f>
        <v>20</v>
      </c>
      <c r="N449" s="78">
        <f>(TX_EMISSAO/100 +1)^(TAB_AMORTIZACAO_U[[#This Row],[dias_periodo_u]]/252)</f>
        <v>1.0019616526860928</v>
      </c>
      <c r="O449" s="78">
        <f>(TIR_U/100 +1)^(TAB_AMORTIZACAO_U[[#This Row],[Q_DIAS_U_PARC_TIR]]/252)</f>
        <v>1.3071198186565558</v>
      </c>
      <c r="P449" s="116" t="str">
        <f>"TX_CENARIO" &amp; TEXT(DT_CALCULO_C, "-AAAAMMDD") &amp; TEXT(TAB_AMORTIZACAO_U[[#This Row],[DT_EVE]], "-AAAAMMDD")</f>
        <v>TX_CENARIO-20151228-20261110</v>
      </c>
      <c r="Q449" s="44">
        <f>IFERROR(VLOOKUP(TAB_AMORTIZACAO_U[[#This Row],[Chave-CENARIO]],CENARIO[],2,FALSE), 0)</f>
        <v>16.331199999999999</v>
      </c>
      <c r="R449" s="117" t="str">
        <f t="shared" si="13"/>
        <v>n/a</v>
      </c>
      <c r="S449" s="49" t="str">
        <f t="shared" si="13"/>
        <v>n/a</v>
      </c>
      <c r="T449" s="78">
        <f>IF(TAB_AMORTIZACAO_U[[#This Row],[Q_DIAS_U_PARC_TIR]]&lt;0, 0, TAB_AMORTIZACAO_U[[#This Row],[PU_AMORT]])</f>
        <v>513.00678800000003</v>
      </c>
      <c r="U449" s="78">
        <f>MAX(0, TAB_AMORTIZACAO_U[[#This Row],[V_FUT_U_PCPL-01]]/((((TAB_AMORTIZACAO_U[[#This Row],[TX_CENARIO]]/100 +1)^(1/252) -1) * PC_IDXR/100 +1)^TAB_AMORTIZACAO_U[[#This Row],[Q_DIAS_U_PARC_TIR]]))</f>
        <v>99.456253095134826</v>
      </c>
      <c r="V449" s="78">
        <f>+TAB_AMORTIZACAO_U[[#This Row],[V_FUT_U_PCPL-02]]/TAB_AMORTIZACAO_U[[#This Row],[VAR_DESCAP_U]]</f>
        <v>76.088092059804382</v>
      </c>
      <c r="W449" s="78"/>
      <c r="X449" s="101">
        <f>TAB_AMORTIZACAO_U[[#This Row],[dt_eve_u]]- DT_CALCULO_C</f>
        <v>3970</v>
      </c>
      <c r="Y449" s="49" t="str">
        <f t="shared" si="14"/>
        <v>n/a</v>
      </c>
      <c r="Z449" s="49" t="str">
        <f t="shared" si="14"/>
        <v>n/a</v>
      </c>
      <c r="AA449" s="44">
        <f>TAB_AMORTIZACAO_U[[#This Row],[V_PU_AMTC]]</f>
        <v>513.00678800000003</v>
      </c>
      <c r="AB449" s="44">
        <f>(TIR_C/100 +1)^(TAB_AMORTIZACAO_C[[#This Row],[DIAS_CORRIDOS]]/360)</f>
        <v>1.3079418906495521</v>
      </c>
      <c r="AC449" s="44">
        <f>IF(TAB_AMORTIZACAO_C[[#This Row],[DIAS_CORRIDOS]]&lt;0, 0, TAB_AMORTIZACAO_C[[#This Row],[V_FUT_C_PCPL]]/TAB_AMORTIZACAO_C[[#This Row],[VAR_DESCAP_C]])</f>
        <v>392.22444947093925</v>
      </c>
      <c r="AD449" s="115">
        <f>TAB_AMORTIZACAO_U[[#This Row],[V_FUT_U_PCPL-02]]</f>
        <v>99.456253095134826</v>
      </c>
      <c r="AE449" s="127">
        <f>IF(TAB_AMORTIZACAO_C[[#This Row],[DIAS_CORRIDOS]]&lt;0, 0, TAB_AMORTIZACAO_C[[#This Row],[V_FUT_UTEIS]]/TAB_AMORTIZACAO_C[[#This Row],[VAR_DESCAP_C]])</f>
        <v>76.040268918784079</v>
      </c>
      <c r="AF449" s="64"/>
    </row>
    <row r="450" spans="1:32">
      <c r="A450" s="82">
        <f t="shared" si="15"/>
        <v>132</v>
      </c>
      <c r="B450" s="24">
        <f>VLOOKUP($A450, CAD_AMORTIZACAO[#Data], MATCH(B$318, CAD_ATUALIZACAO[#Headers],0), FALSE)</f>
        <v>4</v>
      </c>
      <c r="C450" s="24" t="str">
        <f>VLOOKUP($A450, CAD_AMORTIZACAO[#Data], MATCH(C$318, CAD_ATUALIZACAO[#Headers],0), FALSE)</f>
        <v xml:space="preserve">AMORTIZACAO                                       </v>
      </c>
      <c r="D450" s="36">
        <f>VLOOKUP($A450, CAD_AMORTIZACAO[#Data], MATCH(D$318, CAD_ATUALIZACAO[#Headers],0), FALSE)</f>
        <v>46364</v>
      </c>
      <c r="E450" s="48">
        <f>VLOOKUP($A450, CAD_AMORTIZACAO[#Data], MATCH(E$318, CAD_ATUALIZACAO[#Headers],0), FALSE)</f>
        <v>508.60724699999997</v>
      </c>
      <c r="F450" s="36">
        <f>VLOOKUP($A450, CAD_AMORTIZACAO[#Data], MATCH(F$318, CAD_ATUALIZACAO[#Headers],0), FALSE)</f>
        <v>46370</v>
      </c>
      <c r="G450" s="47">
        <f>WORKDAY(WORKDAY(TAB_AMORTIZACAO_U[[#This Row],[DT_EVE]], -1, TAB_FERIADOS[FER_DATA]), 1, TAB_FERIADOS[FER_DATA])</f>
        <v>46364</v>
      </c>
      <c r="H450" s="75">
        <f>WORKDAY(WORKDAY(TAB_AMORTIZACAO_U[[#This Row],[DT_LQDC_EVE]], -1, TAB_FERIADOS[FER_DATA]), 1, TAB_FERIADOS[FER_DATA])</f>
        <v>46370</v>
      </c>
      <c r="I450" s="48">
        <f>PU_EMISSAO - SUMIF(TAB_AMORTIZACAO_U[dt_eve_u], "&lt;" &amp; TAB_AMORTIZACAO_U[[#This Row],[dt_eve_u]], TAB_AMORTIZACAO_U[V_PU_AMTC])</f>
        <v>6709.5925930000376</v>
      </c>
      <c r="J450" s="48">
        <f>IFERROR(VLOOKUP(TAB_AMORTIZACAO_U[[#This Row],[DT_EVE]], TAB_AMORTIZACAO_U[[DT_EVE]:[V_PU_AMTC]], 2, FALSE), 0)</f>
        <v>508.60724699999997</v>
      </c>
      <c r="K450" s="48">
        <f>NETWORKDAYS(DT_CALCULO_U, TAB_AMORTIZACAO_U[[#This Row],[dt_eve_u]], TAB_FERIADOS[FER_DATA]) -1</f>
        <v>2749</v>
      </c>
      <c r="L450" s="48">
        <f>NETWORKDAYS(DT_CALCULO_U, TAB_AMORTIZACAO_U[[#This Row],[dt_lqdc_eve_u]], TAB_FERIADOS[FER_DATA]) -1</f>
        <v>2753</v>
      </c>
      <c r="M450" s="48">
        <f>NETWORKDAYS(IF(ISTEXT(G449), DT_B_CORC, G449), TAB_AMORTIZACAO_U[[#This Row],[dt_eve_u]], TAB_FERIADOS[FER_DATA]) -1</f>
        <v>20</v>
      </c>
      <c r="N450" s="78">
        <f>(TX_EMISSAO/100 +1)^(TAB_AMORTIZACAO_U[[#This Row],[dias_periodo_u]]/252)</f>
        <v>1.0019616526860928</v>
      </c>
      <c r="O450" s="78">
        <f>(TIR_U/100 +1)^(TAB_AMORTIZACAO_U[[#This Row],[Q_DIAS_U_PARC_TIR]]/252)</f>
        <v>1.3096842101906088</v>
      </c>
      <c r="P450" s="116" t="str">
        <f>"TX_CENARIO" &amp; TEXT(DT_CALCULO_C, "-AAAAMMDD") &amp; TEXT(TAB_AMORTIZACAO_U[[#This Row],[DT_EVE]], "-AAAAMMDD")</f>
        <v>TX_CENARIO-20151228-20261208</v>
      </c>
      <c r="Q450" s="44">
        <f>IFERROR(VLOOKUP(TAB_AMORTIZACAO_U[[#This Row],[Chave-CENARIO]],CENARIO[],2,FALSE), 0)</f>
        <v>16.332000000000001</v>
      </c>
      <c r="R450" s="117" t="str">
        <f t="shared" si="13"/>
        <v>n/a</v>
      </c>
      <c r="S450" s="49" t="str">
        <f t="shared" si="13"/>
        <v>n/a</v>
      </c>
      <c r="T450" s="78">
        <f>IF(TAB_AMORTIZACAO_U[[#This Row],[Q_DIAS_U_PARC_TIR]]&lt;0, 0, TAB_AMORTIZACAO_U[[#This Row],[PU_AMORT]])</f>
        <v>508.60724699999997</v>
      </c>
      <c r="U450" s="78">
        <f>MAX(0, TAB_AMORTIZACAO_U[[#This Row],[V_FUT_U_PCPL-01]]/((((TAB_AMORTIZACAO_U[[#This Row],[TX_CENARIO]]/100 +1)^(1/252) -1) * PC_IDXR/100 +1)^TAB_AMORTIZACAO_U[[#This Row],[Q_DIAS_U_PARC_TIR]]))</f>
        <v>97.419279635199374</v>
      </c>
      <c r="V450" s="78">
        <f>+TAB_AMORTIZACAO_U[[#This Row],[V_FUT_U_PCPL-02]]/TAB_AMORTIZACAO_U[[#This Row],[VAR_DESCAP_U]]</f>
        <v>74.383793342840391</v>
      </c>
      <c r="W450" s="78"/>
      <c r="X450" s="101">
        <f>TAB_AMORTIZACAO_U[[#This Row],[dt_eve_u]]- DT_CALCULO_C</f>
        <v>3998</v>
      </c>
      <c r="Y450" s="49" t="str">
        <f t="shared" si="14"/>
        <v>n/a</v>
      </c>
      <c r="Z450" s="49" t="str">
        <f t="shared" si="14"/>
        <v>n/a</v>
      </c>
      <c r="AA450" s="44">
        <f>TAB_AMORTIZACAO_U[[#This Row],[V_PU_AMTC]]</f>
        <v>508.60724699999997</v>
      </c>
      <c r="AB450" s="44">
        <f>(TIR_C/100 +1)^(TAB_AMORTIZACAO_C[[#This Row],[DIAS_CORRIDOS]]/360)</f>
        <v>1.3104206730142847</v>
      </c>
      <c r="AC450" s="44">
        <f>IF(TAB_AMORTIZACAO_C[[#This Row],[DIAS_CORRIDOS]]&lt;0, 0, TAB_AMORTIZACAO_C[[#This Row],[V_FUT_C_PCPL]]/TAB_AMORTIZACAO_C[[#This Row],[VAR_DESCAP_C]])</f>
        <v>388.12517039286342</v>
      </c>
      <c r="AD450" s="115">
        <f>TAB_AMORTIZACAO_U[[#This Row],[V_FUT_U_PCPL-02]]</f>
        <v>97.419279635199374</v>
      </c>
      <c r="AE450" s="127">
        <f>IF(TAB_AMORTIZACAO_C[[#This Row],[DIAS_CORRIDOS]]&lt;0, 0, TAB_AMORTIZACAO_C[[#This Row],[V_FUT_UTEIS]]/TAB_AMORTIZACAO_C[[#This Row],[VAR_DESCAP_C]])</f>
        <v>74.341989287387733</v>
      </c>
      <c r="AF450" s="64"/>
    </row>
    <row r="451" spans="1:32">
      <c r="A451" s="82">
        <f t="shared" si="15"/>
        <v>133</v>
      </c>
      <c r="B451" s="24">
        <f>VLOOKUP($A451, CAD_AMORTIZACAO[#Data], MATCH(B$318, CAD_ATUALIZACAO[#Headers],0), FALSE)</f>
        <v>4</v>
      </c>
      <c r="C451" s="24" t="str">
        <f>VLOOKUP($A451, CAD_AMORTIZACAO[#Data], MATCH(C$318, CAD_ATUALIZACAO[#Headers],0), FALSE)</f>
        <v xml:space="preserve">AMORTIZACAO                                       </v>
      </c>
      <c r="D451" s="36">
        <f>VLOOKUP($A451, CAD_AMORTIZACAO[#Data], MATCH(D$318, CAD_ATUALIZACAO[#Headers],0), FALSE)</f>
        <v>46398</v>
      </c>
      <c r="E451" s="48">
        <f>VLOOKUP($A451, CAD_AMORTIZACAO[#Data], MATCH(E$318, CAD_ATUALIZACAO[#Headers],0), FALSE)</f>
        <v>545.64950399999998</v>
      </c>
      <c r="F451" s="36">
        <f>VLOOKUP($A451, CAD_AMORTIZACAO[#Data], MATCH(F$318, CAD_ATUALIZACAO[#Headers],0), FALSE)</f>
        <v>46402</v>
      </c>
      <c r="G451" s="47">
        <f>WORKDAY(WORKDAY(TAB_AMORTIZACAO_U[[#This Row],[DT_EVE]], -1, TAB_FERIADOS[FER_DATA]), 1, TAB_FERIADOS[FER_DATA])</f>
        <v>46398</v>
      </c>
      <c r="H451" s="75">
        <f>WORKDAY(WORKDAY(TAB_AMORTIZACAO_U[[#This Row],[DT_LQDC_EVE]], -1, TAB_FERIADOS[FER_DATA]), 1, TAB_FERIADOS[FER_DATA])</f>
        <v>46402</v>
      </c>
      <c r="I451" s="48">
        <f>PU_EMISSAO - SUMIF(TAB_AMORTIZACAO_U[dt_eve_u], "&lt;" &amp; TAB_AMORTIZACAO_U[[#This Row],[dt_eve_u]], TAB_AMORTIZACAO_U[V_PU_AMTC])</f>
        <v>6200.9853460000304</v>
      </c>
      <c r="J451" s="48">
        <f>IFERROR(VLOOKUP(TAB_AMORTIZACAO_U[[#This Row],[DT_EVE]], TAB_AMORTIZACAO_U[[DT_EVE]:[V_PU_AMTC]], 2, FALSE), 0)</f>
        <v>545.64950399999998</v>
      </c>
      <c r="K451" s="48">
        <f>NETWORKDAYS(DT_CALCULO_U, TAB_AMORTIZACAO_U[[#This Row],[dt_eve_u]], TAB_FERIADOS[FER_DATA]) -1</f>
        <v>2771</v>
      </c>
      <c r="L451" s="48">
        <f>NETWORKDAYS(DT_CALCULO_U, TAB_AMORTIZACAO_U[[#This Row],[dt_lqdc_eve_u]], TAB_FERIADOS[FER_DATA]) -1</f>
        <v>2775</v>
      </c>
      <c r="M451" s="48">
        <f>NETWORKDAYS(IF(ISTEXT(G450), DT_B_CORC, G450), TAB_AMORTIZACAO_U[[#This Row],[dt_eve_u]], TAB_FERIADOS[FER_DATA]) -1</f>
        <v>22</v>
      </c>
      <c r="N451" s="78">
        <f>(TX_EMISSAO/100 +1)^(TAB_AMORTIZACAO_U[[#This Row],[dias_periodo_u]]/252)</f>
        <v>1.0021580294747356</v>
      </c>
      <c r="O451" s="78">
        <f>(TIR_U/100 +1)^(TAB_AMORTIZACAO_U[[#This Row],[Q_DIAS_U_PARC_TIR]]/252)</f>
        <v>1.3125108520488777</v>
      </c>
      <c r="P451" s="116" t="str">
        <f>"TX_CENARIO" &amp; TEXT(DT_CALCULO_C, "-AAAAMMDD") &amp; TEXT(TAB_AMORTIZACAO_U[[#This Row],[DT_EVE]], "-AAAAMMDD")</f>
        <v>TX_CENARIO-20151228-20270111</v>
      </c>
      <c r="Q451" s="44">
        <f>IFERROR(VLOOKUP(TAB_AMORTIZACAO_U[[#This Row],[Chave-CENARIO]],CENARIO[],2,FALSE), 0)</f>
        <v>16.332999999999998</v>
      </c>
      <c r="R451" s="117" t="str">
        <f t="shared" si="13"/>
        <v>n/a</v>
      </c>
      <c r="S451" s="49" t="str">
        <f t="shared" si="13"/>
        <v>n/a</v>
      </c>
      <c r="T451" s="78">
        <f>IF(TAB_AMORTIZACAO_U[[#This Row],[Q_DIAS_U_PARC_TIR]]&lt;0, 0, TAB_AMORTIZACAO_U[[#This Row],[PU_AMORT]])</f>
        <v>545.64950399999998</v>
      </c>
      <c r="U451" s="78">
        <f>MAX(0, TAB_AMORTIZACAO_U[[#This Row],[V_FUT_U_PCPL-01]]/((((TAB_AMORTIZACAO_U[[#This Row],[TX_CENARIO]]/100 +1)^(1/252) -1) * PC_IDXR/100 +1)^TAB_AMORTIZACAO_U[[#This Row],[Q_DIAS_U_PARC_TIR]]))</f>
        <v>103.13341078659988</v>
      </c>
      <c r="V451" s="78">
        <f>+TAB_AMORTIZACAO_U[[#This Row],[V_FUT_U_PCPL-02]]/TAB_AMORTIZACAO_U[[#This Row],[VAR_DESCAP_U]]</f>
        <v>78.577187095714166</v>
      </c>
      <c r="W451" s="78"/>
      <c r="X451" s="101">
        <f>TAB_AMORTIZACAO_U[[#This Row],[dt_eve_u]]- DT_CALCULO_C</f>
        <v>4032</v>
      </c>
      <c r="Y451" s="49" t="str">
        <f t="shared" si="14"/>
        <v>n/a</v>
      </c>
      <c r="Z451" s="49" t="str">
        <f t="shared" si="14"/>
        <v>n/a</v>
      </c>
      <c r="AA451" s="44">
        <f>TAB_AMORTIZACAO_U[[#This Row],[V_PU_AMTC]]</f>
        <v>545.64950399999998</v>
      </c>
      <c r="AB451" s="44">
        <f>(TIR_C/100 +1)^(TAB_AMORTIZACAO_C[[#This Row],[DIAS_CORRIDOS]]/360)</f>
        <v>1.3134369394581817</v>
      </c>
      <c r="AC451" s="44">
        <f>IF(TAB_AMORTIZACAO_C[[#This Row],[DIAS_CORRIDOS]]&lt;0, 0, TAB_AMORTIZACAO_C[[#This Row],[V_FUT_C_PCPL]]/TAB_AMORTIZACAO_C[[#This Row],[VAR_DESCAP_C]])</f>
        <v>415.43639257252124</v>
      </c>
      <c r="AD451" s="115">
        <f>TAB_AMORTIZACAO_U[[#This Row],[V_FUT_U_PCPL-02]]</f>
        <v>103.13341078659988</v>
      </c>
      <c r="AE451" s="127">
        <f>IF(TAB_AMORTIZACAO_C[[#This Row],[DIAS_CORRIDOS]]&lt;0, 0, TAB_AMORTIZACAO_C[[#This Row],[V_FUT_UTEIS]]/TAB_AMORTIZACAO_C[[#This Row],[VAR_DESCAP_C]])</f>
        <v>78.521783336735155</v>
      </c>
      <c r="AF451" s="64"/>
    </row>
    <row r="452" spans="1:32">
      <c r="A452" s="82">
        <f t="shared" si="15"/>
        <v>134</v>
      </c>
      <c r="B452" s="24">
        <f>VLOOKUP($A452, CAD_AMORTIZACAO[#Data], MATCH(B$318, CAD_ATUALIZACAO[#Headers],0), FALSE)</f>
        <v>4</v>
      </c>
      <c r="C452" s="24" t="str">
        <f>VLOOKUP($A452, CAD_AMORTIZACAO[#Data], MATCH(C$318, CAD_ATUALIZACAO[#Headers],0), FALSE)</f>
        <v xml:space="preserve">AMORTIZACAO                                       </v>
      </c>
      <c r="D452" s="36">
        <f>VLOOKUP($A452, CAD_AMORTIZACAO[#Data], MATCH(D$318, CAD_ATUALIZACAO[#Headers],0), FALSE)</f>
        <v>46428</v>
      </c>
      <c r="E452" s="48">
        <f>VLOOKUP($A452, CAD_AMORTIZACAO[#Data], MATCH(E$318, CAD_ATUALIZACAO[#Headers],0), FALSE)</f>
        <v>541.47578499999997</v>
      </c>
      <c r="F452" s="36">
        <f>VLOOKUP($A452, CAD_AMORTIZACAO[#Data], MATCH(F$318, CAD_ATUALIZACAO[#Headers],0), FALSE)</f>
        <v>46434</v>
      </c>
      <c r="G452" s="47">
        <f>WORKDAY(WORKDAY(TAB_AMORTIZACAO_U[[#This Row],[DT_EVE]], -1, TAB_FERIADOS[FER_DATA]), 1, TAB_FERIADOS[FER_DATA])</f>
        <v>46428</v>
      </c>
      <c r="H452" s="75">
        <f>WORKDAY(WORKDAY(TAB_AMORTIZACAO_U[[#This Row],[DT_LQDC_EVE]], -1, TAB_FERIADOS[FER_DATA]), 1, TAB_FERIADOS[FER_DATA])</f>
        <v>46434</v>
      </c>
      <c r="I452" s="48">
        <f>PU_EMISSAO - SUMIF(TAB_AMORTIZACAO_U[dt_eve_u], "&lt;" &amp; TAB_AMORTIZACAO_U[[#This Row],[dt_eve_u]], TAB_AMORTIZACAO_U[V_PU_AMTC])</f>
        <v>5655.3358420000295</v>
      </c>
      <c r="J452" s="48">
        <f>IFERROR(VLOOKUP(TAB_AMORTIZACAO_U[[#This Row],[DT_EVE]], TAB_AMORTIZACAO_U[[DT_EVE]:[V_PU_AMTC]], 2, FALSE), 0)</f>
        <v>541.47578499999997</v>
      </c>
      <c r="K452" s="48">
        <f>NETWORKDAYS(DT_CALCULO_U, TAB_AMORTIZACAO_U[[#This Row],[dt_eve_u]], TAB_FERIADOS[FER_DATA]) -1</f>
        <v>2791</v>
      </c>
      <c r="L452" s="48">
        <f>NETWORKDAYS(DT_CALCULO_U, TAB_AMORTIZACAO_U[[#This Row],[dt_lqdc_eve_u]], TAB_FERIADOS[FER_DATA]) -1</f>
        <v>2795</v>
      </c>
      <c r="M452" s="48">
        <f>NETWORKDAYS(IF(ISTEXT(G451), DT_B_CORC, G451), TAB_AMORTIZACAO_U[[#This Row],[dt_eve_u]], TAB_FERIADOS[FER_DATA]) -1</f>
        <v>20</v>
      </c>
      <c r="N452" s="78">
        <f>(TX_EMISSAO/100 +1)^(TAB_AMORTIZACAO_U[[#This Row],[dias_periodo_u]]/252)</f>
        <v>1.0019616526860928</v>
      </c>
      <c r="O452" s="78">
        <f>(TIR_U/100 +1)^(TAB_AMORTIZACAO_U[[#This Row],[Q_DIAS_U_PARC_TIR]]/252)</f>
        <v>1.3150858200581657</v>
      </c>
      <c r="P452" s="116" t="str">
        <f>"TX_CENARIO" &amp; TEXT(DT_CALCULO_C, "-AAAAMMDD") &amp; TEXT(TAB_AMORTIZACAO_U[[#This Row],[DT_EVE]], "-AAAAMMDD")</f>
        <v>TX_CENARIO-20151228-20270210</v>
      </c>
      <c r="Q452" s="44">
        <f>IFERROR(VLOOKUP(TAB_AMORTIZACAO_U[[#This Row],[Chave-CENARIO]],CENARIO[],2,FALSE), 0)</f>
        <v>16.3338</v>
      </c>
      <c r="R452" s="117" t="str">
        <f t="shared" si="13"/>
        <v>n/a</v>
      </c>
      <c r="S452" s="49" t="str">
        <f t="shared" si="13"/>
        <v>n/a</v>
      </c>
      <c r="T452" s="78">
        <f>IF(TAB_AMORTIZACAO_U[[#This Row],[Q_DIAS_U_PARC_TIR]]&lt;0, 0, TAB_AMORTIZACAO_U[[#This Row],[PU_AMORT]])</f>
        <v>541.47578499999997</v>
      </c>
      <c r="U452" s="78">
        <f>MAX(0, TAB_AMORTIZACAO_U[[#This Row],[V_FUT_U_PCPL-01]]/((((TAB_AMORTIZACAO_U[[#This Row],[TX_CENARIO]]/100 +1)^(1/252) -1) * PC_IDXR/100 +1)^TAB_AMORTIZACAO_U[[#This Row],[Q_DIAS_U_PARC_TIR]]))</f>
        <v>101.11533217446006</v>
      </c>
      <c r="V452" s="78">
        <f>+TAB_AMORTIZACAO_U[[#This Row],[V_FUT_U_PCPL-02]]/TAB_AMORTIZACAO_U[[#This Row],[VAR_DESCAP_U]]</f>
        <v>76.88877077998437</v>
      </c>
      <c r="W452" s="78"/>
      <c r="X452" s="101">
        <f>TAB_AMORTIZACAO_U[[#This Row],[dt_eve_u]]- DT_CALCULO_C</f>
        <v>4062</v>
      </c>
      <c r="Y452" s="49" t="str">
        <f t="shared" si="14"/>
        <v>n/a</v>
      </c>
      <c r="Z452" s="49" t="str">
        <f t="shared" si="14"/>
        <v>n/a</v>
      </c>
      <c r="AA452" s="44">
        <f>TAB_AMORTIZACAO_U[[#This Row],[V_PU_AMTC]]</f>
        <v>541.47578499999997</v>
      </c>
      <c r="AB452" s="44">
        <f>(TIR_C/100 +1)^(TAB_AMORTIZACAO_C[[#This Row],[DIAS_CORRIDOS]]/360)</f>
        <v>1.3161041160738292</v>
      </c>
      <c r="AC452" s="44">
        <f>IF(TAB_AMORTIZACAO_C[[#This Row],[DIAS_CORRIDOS]]&lt;0, 0, TAB_AMORTIZACAO_C[[#This Row],[V_FUT_C_PCPL]]/TAB_AMORTIZACAO_C[[#This Row],[VAR_DESCAP_C]])</f>
        <v>411.42321370084142</v>
      </c>
      <c r="AD452" s="115">
        <f>TAB_AMORTIZACAO_U[[#This Row],[V_FUT_U_PCPL-02]]</f>
        <v>101.11533217446006</v>
      </c>
      <c r="AE452" s="127">
        <f>IF(TAB_AMORTIZACAO_C[[#This Row],[DIAS_CORRIDOS]]&lt;0, 0, TAB_AMORTIZACAO_C[[#This Row],[V_FUT_UTEIS]]/TAB_AMORTIZACAO_C[[#This Row],[VAR_DESCAP_C]])</f>
        <v>76.829280403821656</v>
      </c>
      <c r="AF452" s="64"/>
    </row>
    <row r="453" spans="1:32">
      <c r="A453" s="82">
        <f t="shared" si="15"/>
        <v>135</v>
      </c>
      <c r="B453" s="24">
        <f>VLOOKUP($A453, CAD_AMORTIZACAO[#Data], MATCH(B$318, CAD_ATUALIZACAO[#Headers],0), FALSE)</f>
        <v>4</v>
      </c>
      <c r="C453" s="24" t="str">
        <f>VLOOKUP($A453, CAD_AMORTIZACAO[#Data], MATCH(C$318, CAD_ATUALIZACAO[#Headers],0), FALSE)</f>
        <v xml:space="preserve">AMORTIZACAO                                       </v>
      </c>
      <c r="D453" s="36">
        <f>VLOOKUP($A453, CAD_AMORTIZACAO[#Data], MATCH(D$318, CAD_ATUALIZACAO[#Headers],0), FALSE)</f>
        <v>46454</v>
      </c>
      <c r="E453" s="48">
        <f>VLOOKUP($A453, CAD_AMORTIZACAO[#Data], MATCH(E$318, CAD_ATUALIZACAO[#Headers],0), FALSE)</f>
        <v>537.68147399999998</v>
      </c>
      <c r="F453" s="36">
        <f>VLOOKUP($A453, CAD_AMORTIZACAO[#Data], MATCH(F$318, CAD_ATUALIZACAO[#Headers],0), FALSE)</f>
        <v>46458</v>
      </c>
      <c r="G453" s="47">
        <f>WORKDAY(WORKDAY(TAB_AMORTIZACAO_U[[#This Row],[DT_EVE]], -1, TAB_FERIADOS[FER_DATA]), 1, TAB_FERIADOS[FER_DATA])</f>
        <v>46454</v>
      </c>
      <c r="H453" s="75">
        <f>WORKDAY(WORKDAY(TAB_AMORTIZACAO_U[[#This Row],[DT_LQDC_EVE]], -1, TAB_FERIADOS[FER_DATA]), 1, TAB_FERIADOS[FER_DATA])</f>
        <v>46458</v>
      </c>
      <c r="I453" s="48">
        <f>PU_EMISSAO - SUMIF(TAB_AMORTIZACAO_U[dt_eve_u], "&lt;" &amp; TAB_AMORTIZACAO_U[[#This Row],[dt_eve_u]], TAB_AMORTIZACAO_U[V_PU_AMTC])</f>
        <v>5113.8600570000272</v>
      </c>
      <c r="J453" s="48">
        <f>IFERROR(VLOOKUP(TAB_AMORTIZACAO_U[[#This Row],[DT_EVE]], TAB_AMORTIZACAO_U[[DT_EVE]:[V_PU_AMTC]], 2, FALSE), 0)</f>
        <v>537.68147399999998</v>
      </c>
      <c r="K453" s="48">
        <f>NETWORKDAYS(DT_CALCULO_U, TAB_AMORTIZACAO_U[[#This Row],[dt_eve_u]], TAB_FERIADOS[FER_DATA]) -1</f>
        <v>2809</v>
      </c>
      <c r="L453" s="48">
        <f>NETWORKDAYS(DT_CALCULO_U, TAB_AMORTIZACAO_U[[#This Row],[dt_lqdc_eve_u]], TAB_FERIADOS[FER_DATA]) -1</f>
        <v>2813</v>
      </c>
      <c r="M453" s="48">
        <f>NETWORKDAYS(IF(ISTEXT(G452), DT_B_CORC, G452), TAB_AMORTIZACAO_U[[#This Row],[dt_eve_u]], TAB_FERIADOS[FER_DATA]) -1</f>
        <v>18</v>
      </c>
      <c r="N453" s="78">
        <f>(TX_EMISSAO/100 +1)^(TAB_AMORTIZACAO_U[[#This Row],[dias_periodo_u]]/252)</f>
        <v>1.0017653143782506</v>
      </c>
      <c r="O453" s="78">
        <f>(TIR_U/100 +1)^(TAB_AMORTIZACAO_U[[#This Row],[Q_DIAS_U_PARC_TIR]]/252)</f>
        <v>1.3174076102197541</v>
      </c>
      <c r="P453" s="116" t="str">
        <f>"TX_CENARIO" &amp; TEXT(DT_CALCULO_C, "-AAAAMMDD") &amp; TEXT(TAB_AMORTIZACAO_U[[#This Row],[DT_EVE]], "-AAAAMMDD")</f>
        <v>TX_CENARIO-20151228-20270308</v>
      </c>
      <c r="Q453" s="44">
        <f>IFERROR(VLOOKUP(TAB_AMORTIZACAO_U[[#This Row],[Chave-CENARIO]],CENARIO[],2,FALSE), 0)</f>
        <v>16.334599999999998</v>
      </c>
      <c r="R453" s="117" t="str">
        <f t="shared" si="13"/>
        <v>n/a</v>
      </c>
      <c r="S453" s="49" t="str">
        <f t="shared" si="13"/>
        <v>n/a</v>
      </c>
      <c r="T453" s="78">
        <f>IF(TAB_AMORTIZACAO_U[[#This Row],[Q_DIAS_U_PARC_TIR]]&lt;0, 0, TAB_AMORTIZACAO_U[[#This Row],[PU_AMORT]])</f>
        <v>537.68147399999998</v>
      </c>
      <c r="U453" s="78">
        <f>MAX(0, TAB_AMORTIZACAO_U[[#This Row],[V_FUT_U_PCPL-01]]/((((TAB_AMORTIZACAO_U[[#This Row],[TX_CENARIO]]/100 +1)^(1/252) -1) * PC_IDXR/100 +1)^TAB_AMORTIZACAO_U[[#This Row],[Q_DIAS_U_PARC_TIR]]))</f>
        <v>99.319935524446166</v>
      </c>
      <c r="V453" s="78">
        <f>+TAB_AMORTIZACAO_U[[#This Row],[V_FUT_U_PCPL-02]]/TAB_AMORTIZACAO_U[[#This Row],[VAR_DESCAP_U]]</f>
        <v>75.390437062891124</v>
      </c>
      <c r="W453" s="78"/>
      <c r="X453" s="101">
        <f>TAB_AMORTIZACAO_U[[#This Row],[dt_eve_u]]- DT_CALCULO_C</f>
        <v>4088</v>
      </c>
      <c r="Y453" s="49" t="str">
        <f t="shared" si="14"/>
        <v>n/a</v>
      </c>
      <c r="Z453" s="49" t="str">
        <f t="shared" si="14"/>
        <v>n/a</v>
      </c>
      <c r="AA453" s="44">
        <f>TAB_AMORTIZACAO_U[[#This Row],[V_PU_AMTC]]</f>
        <v>537.68147399999998</v>
      </c>
      <c r="AB453" s="44">
        <f>(TIR_C/100 +1)^(TAB_AMORTIZACAO_C[[#This Row],[DIAS_CORRIDOS]]/360)</f>
        <v>1.3184200498458174</v>
      </c>
      <c r="AC453" s="44">
        <f>IF(TAB_AMORTIZACAO_C[[#This Row],[DIAS_CORRIDOS]]&lt;0, 0, TAB_AMORTIZACAO_C[[#This Row],[V_FUT_C_PCPL]]/TAB_AMORTIZACAO_C[[#This Row],[VAR_DESCAP_C]])</f>
        <v>407.82258587684487</v>
      </c>
      <c r="AD453" s="115">
        <f>TAB_AMORTIZACAO_U[[#This Row],[V_FUT_U_PCPL-02]]</f>
        <v>99.319935524446166</v>
      </c>
      <c r="AE453" s="127">
        <f>IF(TAB_AMORTIZACAO_C[[#This Row],[DIAS_CORRIDOS]]&lt;0, 0, TAB_AMORTIZACAO_C[[#This Row],[V_FUT_UTEIS]]/TAB_AMORTIZACAO_C[[#This Row],[VAR_DESCAP_C]])</f>
        <v>75.332543324156163</v>
      </c>
      <c r="AF453" s="64"/>
    </row>
    <row r="454" spans="1:32">
      <c r="A454" s="82">
        <f t="shared" si="15"/>
        <v>136</v>
      </c>
      <c r="B454" s="24">
        <f>VLOOKUP($A454, CAD_AMORTIZACAO[#Data], MATCH(B$318, CAD_ATUALIZACAO[#Headers],0), FALSE)</f>
        <v>4</v>
      </c>
      <c r="C454" s="24" t="str">
        <f>VLOOKUP($A454, CAD_AMORTIZACAO[#Data], MATCH(C$318, CAD_ATUALIZACAO[#Headers],0), FALSE)</f>
        <v xml:space="preserve">AMORTIZACAO                                       </v>
      </c>
      <c r="D454" s="36">
        <f>VLOOKUP($A454, CAD_AMORTIZACAO[#Data], MATCH(D$318, CAD_ATUALIZACAO[#Headers],0), FALSE)</f>
        <v>46485</v>
      </c>
      <c r="E454" s="48">
        <f>VLOOKUP($A454, CAD_AMORTIZACAO[#Data], MATCH(E$318, CAD_ATUALIZACAO[#Headers],0), FALSE)</f>
        <v>529.65606100000002</v>
      </c>
      <c r="F454" s="36">
        <f>VLOOKUP($A454, CAD_AMORTIZACAO[#Data], MATCH(F$318, CAD_ATUALIZACAO[#Headers],0), FALSE)</f>
        <v>46491</v>
      </c>
      <c r="G454" s="47">
        <f>WORKDAY(WORKDAY(TAB_AMORTIZACAO_U[[#This Row],[DT_EVE]], -1, TAB_FERIADOS[FER_DATA]), 1, TAB_FERIADOS[FER_DATA])</f>
        <v>46485</v>
      </c>
      <c r="H454" s="75">
        <f>WORKDAY(WORKDAY(TAB_AMORTIZACAO_U[[#This Row],[DT_LQDC_EVE]], -1, TAB_FERIADOS[FER_DATA]), 1, TAB_FERIADOS[FER_DATA])</f>
        <v>46491</v>
      </c>
      <c r="I454" s="48">
        <f>PU_EMISSAO - SUMIF(TAB_AMORTIZACAO_U[dt_eve_u], "&lt;" &amp; TAB_AMORTIZACAO_U[[#This Row],[dt_eve_u]], TAB_AMORTIZACAO_U[V_PU_AMTC])</f>
        <v>4576.1785830000299</v>
      </c>
      <c r="J454" s="48">
        <f>IFERROR(VLOOKUP(TAB_AMORTIZACAO_U[[#This Row],[DT_EVE]], TAB_AMORTIZACAO_U[[DT_EVE]:[V_PU_AMTC]], 2, FALSE), 0)</f>
        <v>529.65606100000002</v>
      </c>
      <c r="K454" s="48">
        <f>NETWORKDAYS(DT_CALCULO_U, TAB_AMORTIZACAO_U[[#This Row],[dt_eve_u]], TAB_FERIADOS[FER_DATA]) -1</f>
        <v>2831</v>
      </c>
      <c r="L454" s="48">
        <f>NETWORKDAYS(DT_CALCULO_U, TAB_AMORTIZACAO_U[[#This Row],[dt_lqdc_eve_u]], TAB_FERIADOS[FER_DATA]) -1</f>
        <v>2835</v>
      </c>
      <c r="M454" s="48">
        <f>NETWORKDAYS(IF(ISTEXT(G453), DT_B_CORC, G453), TAB_AMORTIZACAO_U[[#This Row],[dt_eve_u]], TAB_FERIADOS[FER_DATA]) -1</f>
        <v>22</v>
      </c>
      <c r="N454" s="78">
        <f>(TX_EMISSAO/100 +1)^(TAB_AMORTIZACAO_U[[#This Row],[dias_periodo_u]]/252)</f>
        <v>1.0021580294747356</v>
      </c>
      <c r="O454" s="78">
        <f>(TIR_U/100 +1)^(TAB_AMORTIZACAO_U[[#This Row],[Q_DIAS_U_PARC_TIR]]/252)</f>
        <v>1.3202509211999693</v>
      </c>
      <c r="P454" s="116" t="str">
        <f>"TX_CENARIO" &amp; TEXT(DT_CALCULO_C, "-AAAAMMDD") &amp; TEXT(TAB_AMORTIZACAO_U[[#This Row],[DT_EVE]], "-AAAAMMDD")</f>
        <v>TX_CENARIO-20151228-20270408</v>
      </c>
      <c r="Q454" s="44">
        <f>IFERROR(VLOOKUP(TAB_AMORTIZACAO_U[[#This Row],[Chave-CENARIO]],CENARIO[],2,FALSE), 0)</f>
        <v>16.3355</v>
      </c>
      <c r="R454" s="117" t="str">
        <f t="shared" si="13"/>
        <v>n/a</v>
      </c>
      <c r="S454" s="49" t="str">
        <f t="shared" si="13"/>
        <v>n/a</v>
      </c>
      <c r="T454" s="78">
        <f>IF(TAB_AMORTIZACAO_U[[#This Row],[Q_DIAS_U_PARC_TIR]]&lt;0, 0, TAB_AMORTIZACAO_U[[#This Row],[PU_AMORT]])</f>
        <v>529.65606100000002</v>
      </c>
      <c r="U454" s="78">
        <f>MAX(0, TAB_AMORTIZACAO_U[[#This Row],[V_FUT_U_PCPL-01]]/((((TAB_AMORTIZACAO_U[[#This Row],[TX_CENARIO]]/100 +1)^(1/252) -1) * PC_IDXR/100 +1)^TAB_AMORTIZACAO_U[[#This Row],[Q_DIAS_U_PARC_TIR]]))</f>
        <v>96.545272578204688</v>
      </c>
      <c r="V454" s="78">
        <f>+TAB_AMORTIZACAO_U[[#This Row],[V_FUT_U_PCPL-02]]/TAB_AMORTIZACAO_U[[#This Row],[VAR_DESCAP_U]]</f>
        <v>73.126457272572992</v>
      </c>
      <c r="W454" s="78"/>
      <c r="X454" s="101">
        <f>TAB_AMORTIZACAO_U[[#This Row],[dt_eve_u]]- DT_CALCULO_C</f>
        <v>4119</v>
      </c>
      <c r="Y454" s="49" t="str">
        <f t="shared" si="14"/>
        <v>n/a</v>
      </c>
      <c r="Z454" s="49" t="str">
        <f t="shared" si="14"/>
        <v>n/a</v>
      </c>
      <c r="AA454" s="44">
        <f>TAB_AMORTIZACAO_U[[#This Row],[V_PU_AMTC]]</f>
        <v>529.65606100000002</v>
      </c>
      <c r="AB454" s="44">
        <f>(TIR_C/100 +1)^(TAB_AMORTIZACAO_C[[#This Row],[DIAS_CORRIDOS]]/360)</f>
        <v>1.3211866823517342</v>
      </c>
      <c r="AC454" s="44">
        <f>IF(TAB_AMORTIZACAO_C[[#This Row],[DIAS_CORRIDOS]]&lt;0, 0, TAB_AMORTIZACAO_C[[#This Row],[V_FUT_C_PCPL]]/TAB_AMORTIZACAO_C[[#This Row],[VAR_DESCAP_C]])</f>
        <v>400.89418707824353</v>
      </c>
      <c r="AD454" s="115">
        <f>TAB_AMORTIZACAO_U[[#This Row],[V_FUT_U_PCPL-02]]</f>
        <v>96.545272578204688</v>
      </c>
      <c r="AE454" s="127">
        <f>IF(TAB_AMORTIZACAO_C[[#This Row],[DIAS_CORRIDOS]]&lt;0, 0, TAB_AMORTIZACAO_C[[#This Row],[V_FUT_UTEIS]]/TAB_AMORTIZACAO_C[[#This Row],[VAR_DESCAP_C]])</f>
        <v>73.074663760879346</v>
      </c>
      <c r="AF454" s="64"/>
    </row>
    <row r="455" spans="1:32">
      <c r="A455" s="82">
        <f t="shared" si="15"/>
        <v>137</v>
      </c>
      <c r="B455" s="24">
        <f>VLOOKUP($A455, CAD_AMORTIZACAO[#Data], MATCH(B$318, CAD_ATUALIZACAO[#Headers],0), FALSE)</f>
        <v>4</v>
      </c>
      <c r="C455" s="24" t="str">
        <f>VLOOKUP($A455, CAD_AMORTIZACAO[#Data], MATCH(C$318, CAD_ATUALIZACAO[#Headers],0), FALSE)</f>
        <v xml:space="preserve">AMORTIZACAO                                       </v>
      </c>
      <c r="D455" s="36">
        <f>VLOOKUP($A455, CAD_AMORTIZACAO[#Data], MATCH(D$318, CAD_ATUALIZACAO[#Headers],0), FALSE)</f>
        <v>46517</v>
      </c>
      <c r="E455" s="48">
        <f>VLOOKUP($A455, CAD_AMORTIZACAO[#Data], MATCH(E$318, CAD_ATUALIZACAO[#Headers],0), FALSE)</f>
        <v>524.46169099999997</v>
      </c>
      <c r="F455" s="36">
        <f>VLOOKUP($A455, CAD_AMORTIZACAO[#Data], MATCH(F$318, CAD_ATUALIZACAO[#Headers],0), FALSE)</f>
        <v>46521</v>
      </c>
      <c r="G455" s="47">
        <f>WORKDAY(WORKDAY(TAB_AMORTIZACAO_U[[#This Row],[DT_EVE]], -1, TAB_FERIADOS[FER_DATA]), 1, TAB_FERIADOS[FER_DATA])</f>
        <v>46517</v>
      </c>
      <c r="H455" s="75">
        <f>WORKDAY(WORKDAY(TAB_AMORTIZACAO_U[[#This Row],[DT_LQDC_EVE]], -1, TAB_FERIADOS[FER_DATA]), 1, TAB_FERIADOS[FER_DATA])</f>
        <v>46521</v>
      </c>
      <c r="I455" s="48">
        <f>PU_EMISSAO - SUMIF(TAB_AMORTIZACAO_U[dt_eve_u], "&lt;" &amp; TAB_AMORTIZACAO_U[[#This Row],[dt_eve_u]], TAB_AMORTIZACAO_U[V_PU_AMTC])</f>
        <v>4046.5225220000284</v>
      </c>
      <c r="J455" s="48">
        <f>IFERROR(VLOOKUP(TAB_AMORTIZACAO_U[[#This Row],[DT_EVE]], TAB_AMORTIZACAO_U[[DT_EVE]:[V_PU_AMTC]], 2, FALSE), 0)</f>
        <v>524.46169099999997</v>
      </c>
      <c r="K455" s="48">
        <f>NETWORKDAYS(DT_CALCULO_U, TAB_AMORTIZACAO_U[[#This Row],[dt_eve_u]], TAB_FERIADOS[FER_DATA]) -1</f>
        <v>2852</v>
      </c>
      <c r="L455" s="48">
        <f>NETWORKDAYS(DT_CALCULO_U, TAB_AMORTIZACAO_U[[#This Row],[dt_lqdc_eve_u]], TAB_FERIADOS[FER_DATA]) -1</f>
        <v>2856</v>
      </c>
      <c r="M455" s="48">
        <f>NETWORKDAYS(IF(ISTEXT(G454), DT_B_CORC, G454), TAB_AMORTIZACAO_U[[#This Row],[dt_eve_u]], TAB_FERIADOS[FER_DATA]) -1</f>
        <v>21</v>
      </c>
      <c r="N455" s="78">
        <f>(TX_EMISSAO/100 +1)^(TAB_AMORTIZACAO_U[[#This Row],[dias_periodo_u]]/252)</f>
        <v>1.0020598362698427</v>
      </c>
      <c r="O455" s="78">
        <f>(TIR_U/100 +1)^(TAB_AMORTIZACAO_U[[#This Row],[Q_DIAS_U_PARC_TIR]]/252)</f>
        <v>1.322970715129582</v>
      </c>
      <c r="P455" s="116" t="str">
        <f>"TX_CENARIO" &amp; TEXT(DT_CALCULO_C, "-AAAAMMDD") &amp; TEXT(TAB_AMORTIZACAO_U[[#This Row],[DT_EVE]], "-AAAAMMDD")</f>
        <v>TX_CENARIO-20151228-20270510</v>
      </c>
      <c r="Q455" s="44">
        <f>IFERROR(VLOOKUP(TAB_AMORTIZACAO_U[[#This Row],[Chave-CENARIO]],CENARIO[],2,FALSE), 0)</f>
        <v>16.336300000000001</v>
      </c>
      <c r="R455" s="117" t="str">
        <f t="shared" si="13"/>
        <v>n/a</v>
      </c>
      <c r="S455" s="49" t="str">
        <f t="shared" si="13"/>
        <v>n/a</v>
      </c>
      <c r="T455" s="78">
        <f>IF(TAB_AMORTIZACAO_U[[#This Row],[Q_DIAS_U_PARC_TIR]]&lt;0, 0, TAB_AMORTIZACAO_U[[#This Row],[PU_AMORT]])</f>
        <v>524.46169099999997</v>
      </c>
      <c r="U455" s="78">
        <f>MAX(0, TAB_AMORTIZACAO_U[[#This Row],[V_FUT_U_PCPL-01]]/((((TAB_AMORTIZACAO_U[[#This Row],[TX_CENARIO]]/100 +1)^(1/252) -1) * PC_IDXR/100 +1)^TAB_AMORTIZACAO_U[[#This Row],[Q_DIAS_U_PARC_TIR]]))</f>
        <v>94.393256448729858</v>
      </c>
      <c r="V455" s="78">
        <f>+TAB_AMORTIZACAO_U[[#This Row],[V_FUT_U_PCPL-02]]/TAB_AMORTIZACAO_U[[#This Row],[VAR_DESCAP_U]]</f>
        <v>71.349467806990916</v>
      </c>
      <c r="W455" s="78"/>
      <c r="X455" s="101">
        <f>TAB_AMORTIZACAO_U[[#This Row],[dt_eve_u]]- DT_CALCULO_C</f>
        <v>4151</v>
      </c>
      <c r="Y455" s="49" t="str">
        <f t="shared" si="14"/>
        <v>n/a</v>
      </c>
      <c r="Z455" s="49" t="str">
        <f t="shared" si="14"/>
        <v>n/a</v>
      </c>
      <c r="AA455" s="44">
        <f>TAB_AMORTIZACAO_U[[#This Row],[V_PU_AMTC]]</f>
        <v>524.46169099999997</v>
      </c>
      <c r="AB455" s="44">
        <f>(TIR_C/100 +1)^(TAB_AMORTIZACAO_C[[#This Row],[DIAS_CORRIDOS]]/360)</f>
        <v>1.3240486507702129</v>
      </c>
      <c r="AC455" s="44">
        <f>IF(TAB_AMORTIZACAO_C[[#This Row],[DIAS_CORRIDOS]]&lt;0, 0, TAB_AMORTIZACAO_C[[#This Row],[V_FUT_C_PCPL]]/TAB_AMORTIZACAO_C[[#This Row],[VAR_DESCAP_C]])</f>
        <v>396.10454698542617</v>
      </c>
      <c r="AD455" s="115">
        <f>TAB_AMORTIZACAO_U[[#This Row],[V_FUT_U_PCPL-02]]</f>
        <v>94.393256448729858</v>
      </c>
      <c r="AE455" s="127">
        <f>IF(TAB_AMORTIZACAO_C[[#This Row],[DIAS_CORRIDOS]]&lt;0, 0, TAB_AMORTIZACAO_C[[#This Row],[V_FUT_UTEIS]]/TAB_AMORTIZACAO_C[[#This Row],[VAR_DESCAP_C]])</f>
        <v>71.291380716124223</v>
      </c>
      <c r="AF455" s="64"/>
    </row>
    <row r="456" spans="1:32">
      <c r="A456" s="82">
        <f t="shared" si="15"/>
        <v>138</v>
      </c>
      <c r="B456" s="24">
        <f>VLOOKUP($A456, CAD_AMORTIZACAO[#Data], MATCH(B$318, CAD_ATUALIZACAO[#Headers],0), FALSE)</f>
        <v>4</v>
      </c>
      <c r="C456" s="24" t="str">
        <f>VLOOKUP($A456, CAD_AMORTIZACAO[#Data], MATCH(C$318, CAD_ATUALIZACAO[#Headers],0), FALSE)</f>
        <v xml:space="preserve">AMORTIZACAO                                       </v>
      </c>
      <c r="D456" s="36">
        <f>VLOOKUP($A456, CAD_AMORTIZACAO[#Data], MATCH(D$318, CAD_ATUALIZACAO[#Headers],0), FALSE)</f>
        <v>46546</v>
      </c>
      <c r="E456" s="48">
        <f>VLOOKUP($A456, CAD_AMORTIZACAO[#Data], MATCH(E$318, CAD_ATUALIZACAO[#Headers],0), FALSE)</f>
        <v>519.67655300000001</v>
      </c>
      <c r="F456" s="36">
        <f>VLOOKUP($A456, CAD_AMORTIZACAO[#Data], MATCH(F$318, CAD_ATUALIZACAO[#Headers],0), FALSE)</f>
        <v>46552</v>
      </c>
      <c r="G456" s="47">
        <f>WORKDAY(WORKDAY(TAB_AMORTIZACAO_U[[#This Row],[DT_EVE]], -1, TAB_FERIADOS[FER_DATA]), 1, TAB_FERIADOS[FER_DATA])</f>
        <v>46546</v>
      </c>
      <c r="H456" s="75">
        <f>WORKDAY(WORKDAY(TAB_AMORTIZACAO_U[[#This Row],[DT_LQDC_EVE]], -1, TAB_FERIADOS[FER_DATA]), 1, TAB_FERIADOS[FER_DATA])</f>
        <v>46552</v>
      </c>
      <c r="I456" s="48">
        <f>PU_EMISSAO - SUMIF(TAB_AMORTIZACAO_U[dt_eve_u], "&lt;" &amp; TAB_AMORTIZACAO_U[[#This Row],[dt_eve_u]], TAB_AMORTIZACAO_U[V_PU_AMTC])</f>
        <v>3522.0608310000243</v>
      </c>
      <c r="J456" s="48">
        <f>IFERROR(VLOOKUP(TAB_AMORTIZACAO_U[[#This Row],[DT_EVE]], TAB_AMORTIZACAO_U[[DT_EVE]:[V_PU_AMTC]], 2, FALSE), 0)</f>
        <v>519.67655300000001</v>
      </c>
      <c r="K456" s="48">
        <f>NETWORKDAYS(DT_CALCULO_U, TAB_AMORTIZACAO_U[[#This Row],[dt_eve_u]], TAB_FERIADOS[FER_DATA]) -1</f>
        <v>2872</v>
      </c>
      <c r="L456" s="48">
        <f>NETWORKDAYS(DT_CALCULO_U, TAB_AMORTIZACAO_U[[#This Row],[dt_lqdc_eve_u]], TAB_FERIADOS[FER_DATA]) -1</f>
        <v>2876</v>
      </c>
      <c r="M456" s="48">
        <f>NETWORKDAYS(IF(ISTEXT(G455), DT_B_CORC, G455), TAB_AMORTIZACAO_U[[#This Row],[dt_eve_u]], TAB_FERIADOS[FER_DATA]) -1</f>
        <v>20</v>
      </c>
      <c r="N456" s="78">
        <f>(TX_EMISSAO/100 +1)^(TAB_AMORTIZACAO_U[[#This Row],[dias_periodo_u]]/252)</f>
        <v>1.0019616526860928</v>
      </c>
      <c r="O456" s="78">
        <f>(TIR_U/100 +1)^(TAB_AMORTIZACAO_U[[#This Row],[Q_DIAS_U_PARC_TIR]]/252)</f>
        <v>1.3255662039694385</v>
      </c>
      <c r="P456" s="116" t="str">
        <f>"TX_CENARIO" &amp; TEXT(DT_CALCULO_C, "-AAAAMMDD") &amp; TEXT(TAB_AMORTIZACAO_U[[#This Row],[DT_EVE]], "-AAAAMMDD")</f>
        <v>TX_CENARIO-20151228-20270608</v>
      </c>
      <c r="Q456" s="44">
        <f>IFERROR(VLOOKUP(TAB_AMORTIZACAO_U[[#This Row],[Chave-CENARIO]],CENARIO[],2,FALSE), 0)</f>
        <v>16.3371</v>
      </c>
      <c r="R456" s="117" t="str">
        <f t="shared" si="13"/>
        <v>n/a</v>
      </c>
      <c r="S456" s="49" t="str">
        <f t="shared" si="13"/>
        <v>n/a</v>
      </c>
      <c r="T456" s="78">
        <f>IF(TAB_AMORTIZACAO_U[[#This Row],[Q_DIAS_U_PARC_TIR]]&lt;0, 0, TAB_AMORTIZACAO_U[[#This Row],[PU_AMORT]])</f>
        <v>519.67655300000001</v>
      </c>
      <c r="U456" s="78">
        <f>MAX(0, TAB_AMORTIZACAO_U[[#This Row],[V_FUT_U_PCPL-01]]/((((TAB_AMORTIZACAO_U[[#This Row],[TX_CENARIO]]/100 +1)^(1/252) -1) * PC_IDXR/100 +1)^TAB_AMORTIZACAO_U[[#This Row],[Q_DIAS_U_PARC_TIR]]))</f>
        <v>92.4082490223973</v>
      </c>
      <c r="V456" s="78">
        <f>+TAB_AMORTIZACAO_U[[#This Row],[V_FUT_U_PCPL-02]]/TAB_AMORTIZACAO_U[[#This Row],[VAR_DESCAP_U]]</f>
        <v>69.712285018793239</v>
      </c>
      <c r="W456" s="78"/>
      <c r="X456" s="101">
        <f>TAB_AMORTIZACAO_U[[#This Row],[dt_eve_u]]- DT_CALCULO_C</f>
        <v>4180</v>
      </c>
      <c r="Y456" s="49" t="str">
        <f t="shared" si="14"/>
        <v>n/a</v>
      </c>
      <c r="Z456" s="49" t="str">
        <f t="shared" si="14"/>
        <v>n/a</v>
      </c>
      <c r="AA456" s="44">
        <f>TAB_AMORTIZACAO_U[[#This Row],[V_PU_AMTC]]</f>
        <v>519.67655300000001</v>
      </c>
      <c r="AB456" s="44">
        <f>(TIR_C/100 +1)^(TAB_AMORTIZACAO_C[[#This Row],[DIAS_CORRIDOS]]/360)</f>
        <v>1.3266476643351612</v>
      </c>
      <c r="AC456" s="44">
        <f>IF(TAB_AMORTIZACAO_C[[#This Row],[DIAS_CORRIDOS]]&lt;0, 0, TAB_AMORTIZACAO_C[[#This Row],[V_FUT_C_PCPL]]/TAB_AMORTIZACAO_C[[#This Row],[VAR_DESCAP_C]])</f>
        <v>391.72160549533078</v>
      </c>
      <c r="AD456" s="115">
        <f>TAB_AMORTIZACAO_U[[#This Row],[V_FUT_U_PCPL-02]]</f>
        <v>92.4082490223973</v>
      </c>
      <c r="AE456" s="128">
        <f>IF(TAB_AMORTIZACAO_C[[#This Row],[DIAS_CORRIDOS]]&lt;0, 0, TAB_AMORTIZACAO_C[[#This Row],[V_FUT_UTEIS]]/TAB_AMORTIZACAO_C[[#This Row],[VAR_DESCAP_C]])</f>
        <v>69.655456762671761</v>
      </c>
      <c r="AF456" s="48"/>
    </row>
    <row r="457" spans="1:32">
      <c r="A457" s="82">
        <f t="shared" si="15"/>
        <v>139</v>
      </c>
      <c r="B457" s="24">
        <f>VLOOKUP($A457, CAD_AMORTIZACAO[#Data], MATCH(B$318, CAD_ATUALIZACAO[#Headers],0), FALSE)</f>
        <v>4</v>
      </c>
      <c r="C457" s="24" t="str">
        <f>VLOOKUP($A457, CAD_AMORTIZACAO[#Data], MATCH(C$318, CAD_ATUALIZACAO[#Headers],0), FALSE)</f>
        <v xml:space="preserve">AMORTIZACAO                                       </v>
      </c>
      <c r="D457" s="36">
        <f>VLOOKUP($A457, CAD_AMORTIZACAO[#Data], MATCH(D$318, CAD_ATUALIZACAO[#Headers],0), FALSE)</f>
        <v>46576</v>
      </c>
      <c r="E457" s="48">
        <f>VLOOKUP($A457, CAD_AMORTIZACAO[#Data], MATCH(E$318, CAD_ATUALIZACAO[#Headers],0), FALSE)</f>
        <v>513.43173000000002</v>
      </c>
      <c r="F457" s="36">
        <f>VLOOKUP($A457, CAD_AMORTIZACAO[#Data], MATCH(F$318, CAD_ATUALIZACAO[#Headers],0), FALSE)</f>
        <v>46582</v>
      </c>
      <c r="G457" s="47">
        <f>WORKDAY(WORKDAY(TAB_AMORTIZACAO_U[[#This Row],[DT_EVE]], -1, TAB_FERIADOS[FER_DATA]), 1, TAB_FERIADOS[FER_DATA])</f>
        <v>46576</v>
      </c>
      <c r="H457" s="75">
        <f>WORKDAY(WORKDAY(TAB_AMORTIZACAO_U[[#This Row],[DT_LQDC_EVE]], -1, TAB_FERIADOS[FER_DATA]), 1, TAB_FERIADOS[FER_DATA])</f>
        <v>46582</v>
      </c>
      <c r="I457" s="48">
        <f>PU_EMISSAO - SUMIF(TAB_AMORTIZACAO_U[dt_eve_u], "&lt;" &amp; TAB_AMORTIZACAO_U[[#This Row],[dt_eve_u]], TAB_AMORTIZACAO_U[V_PU_AMTC])</f>
        <v>3002.3842780000268</v>
      </c>
      <c r="J457" s="48">
        <f>IFERROR(VLOOKUP(TAB_AMORTIZACAO_U[[#This Row],[DT_EVE]], TAB_AMORTIZACAO_U[[DT_EVE]:[V_PU_AMTC]], 2, FALSE), 0)</f>
        <v>513.43173000000002</v>
      </c>
      <c r="K457" s="48">
        <f>NETWORKDAYS(DT_CALCULO_U, TAB_AMORTIZACAO_U[[#This Row],[dt_eve_u]], TAB_FERIADOS[FER_DATA]) -1</f>
        <v>2894</v>
      </c>
      <c r="L457" s="48">
        <f>NETWORKDAYS(DT_CALCULO_U, TAB_AMORTIZACAO_U[[#This Row],[dt_lqdc_eve_u]], TAB_FERIADOS[FER_DATA]) -1</f>
        <v>2898</v>
      </c>
      <c r="M457" s="48">
        <f>NETWORKDAYS(IF(ISTEXT(G456), DT_B_CORC, G456), TAB_AMORTIZACAO_U[[#This Row],[dt_eve_u]], TAB_FERIADOS[FER_DATA]) -1</f>
        <v>22</v>
      </c>
      <c r="N457" s="78">
        <f>(TX_EMISSAO/100 +1)^(TAB_AMORTIZACAO_U[[#This Row],[dias_periodo_u]]/252)</f>
        <v>1.0021580294747356</v>
      </c>
      <c r="O457" s="78">
        <f>(TIR_U/100 +1)^(TAB_AMORTIZACAO_U[[#This Row],[Q_DIAS_U_PARC_TIR]]/252)</f>
        <v>1.3284271233337344</v>
      </c>
      <c r="P457" s="116" t="str">
        <f>"TX_CENARIO" &amp; TEXT(DT_CALCULO_C, "-AAAAMMDD") &amp; TEXT(TAB_AMORTIZACAO_U[[#This Row],[DT_EVE]], "-AAAAMMDD")</f>
        <v>TX_CENARIO-20151228-20270708</v>
      </c>
      <c r="Q457" s="44">
        <f>IFERROR(VLOOKUP(TAB_AMORTIZACAO_U[[#This Row],[Chave-CENARIO]],CENARIO[],2,FALSE), 0)</f>
        <v>16.338000000000001</v>
      </c>
      <c r="R457" s="117" t="str">
        <f t="shared" si="13"/>
        <v>n/a</v>
      </c>
      <c r="S457" s="49" t="str">
        <f t="shared" si="13"/>
        <v>n/a</v>
      </c>
      <c r="T457" s="78">
        <f>IF(TAB_AMORTIZACAO_U[[#This Row],[Q_DIAS_U_PARC_TIR]]&lt;0, 0, TAB_AMORTIZACAO_U[[#This Row],[PU_AMORT]])</f>
        <v>513.43173000000002</v>
      </c>
      <c r="U457" s="78">
        <f>MAX(0, TAB_AMORTIZACAO_U[[#This Row],[V_FUT_U_PCPL-01]]/((((TAB_AMORTIZACAO_U[[#This Row],[TX_CENARIO]]/100 +1)^(1/252) -1) * PC_IDXR/100 +1)^TAB_AMORTIZACAO_U[[#This Row],[Q_DIAS_U_PARC_TIR]]))</f>
        <v>90.091616584548092</v>
      </c>
      <c r="V457" s="78">
        <f>+TAB_AMORTIZACAO_U[[#This Row],[V_FUT_U_PCPL-02]]/TAB_AMORTIZACAO_U[[#This Row],[VAR_DESCAP_U]]</f>
        <v>67.818260408941384</v>
      </c>
      <c r="W457" s="78"/>
      <c r="X457" s="101">
        <f>TAB_AMORTIZACAO_U[[#This Row],[dt_eve_u]]- DT_CALCULO_C</f>
        <v>4210</v>
      </c>
      <c r="Y457" s="49" t="str">
        <f t="shared" si="14"/>
        <v>n/a</v>
      </c>
      <c r="Z457" s="49" t="str">
        <f t="shared" si="14"/>
        <v>n/a</v>
      </c>
      <c r="AA457" s="44">
        <f>TAB_AMORTIZACAO_U[[#This Row],[V_PU_AMTC]]</f>
        <v>513.43173000000002</v>
      </c>
      <c r="AB457" s="44">
        <f>(TIR_C/100 +1)^(TAB_AMORTIZACAO_C[[#This Row],[DIAS_CORRIDOS]]/360)</f>
        <v>1.3293416677708936</v>
      </c>
      <c r="AC457" s="44">
        <f>IF(TAB_AMORTIZACAO_C[[#This Row],[DIAS_CORRIDOS]]&lt;0, 0, TAB_AMORTIZACAO_C[[#This Row],[V_FUT_C_PCPL]]/TAB_AMORTIZACAO_C[[#This Row],[VAR_DESCAP_C]])</f>
        <v>386.23007346256435</v>
      </c>
      <c r="AD457" s="115">
        <f>TAB_AMORTIZACAO_U[[#This Row],[V_FUT_U_PCPL-02]]</f>
        <v>90.091616584548092</v>
      </c>
      <c r="AE457" s="128">
        <f>IF(TAB_AMORTIZACAO_C[[#This Row],[DIAS_CORRIDOS]]&lt;0, 0, TAB_AMORTIZACAO_C[[#This Row],[V_FUT_UTEIS]]/TAB_AMORTIZACAO_C[[#This Row],[VAR_DESCAP_C]])</f>
        <v>67.771603620623893</v>
      </c>
    </row>
    <row r="458" spans="1:32">
      <c r="A458" s="82">
        <f t="shared" si="15"/>
        <v>140</v>
      </c>
      <c r="B458" s="24">
        <f>VLOOKUP($A458, CAD_AMORTIZACAO[#Data], MATCH(B$318, CAD_ATUALIZACAO[#Headers],0), FALSE)</f>
        <v>4</v>
      </c>
      <c r="C458" s="24" t="str">
        <f>VLOOKUP($A458, CAD_AMORTIZACAO[#Data], MATCH(C$318, CAD_ATUALIZACAO[#Headers],0), FALSE)</f>
        <v xml:space="preserve">AMORTIZACAO                                       </v>
      </c>
      <c r="D458" s="36">
        <f>VLOOKUP($A458, CAD_AMORTIZACAO[#Data], MATCH(D$318, CAD_ATUALIZACAO[#Headers],0), FALSE)</f>
        <v>46608</v>
      </c>
      <c r="E458" s="48">
        <f>VLOOKUP($A458, CAD_AMORTIZACAO[#Data], MATCH(E$318, CAD_ATUALIZACAO[#Headers],0), FALSE)</f>
        <v>507.920546</v>
      </c>
      <c r="F458" s="36">
        <f>VLOOKUP($A458, CAD_AMORTIZACAO[#Data], MATCH(F$318, CAD_ATUALIZACAO[#Headers],0), FALSE)</f>
        <v>46612</v>
      </c>
      <c r="G458" s="47">
        <f>WORKDAY(WORKDAY(TAB_AMORTIZACAO_U[[#This Row],[DT_EVE]], -1, TAB_FERIADOS[FER_DATA]), 1, TAB_FERIADOS[FER_DATA])</f>
        <v>46608</v>
      </c>
      <c r="H458" s="75">
        <f>WORKDAY(WORKDAY(TAB_AMORTIZACAO_U[[#This Row],[DT_LQDC_EVE]], -1, TAB_FERIADOS[FER_DATA]), 1, TAB_FERIADOS[FER_DATA])</f>
        <v>46612</v>
      </c>
      <c r="I458" s="48">
        <f>PU_EMISSAO - SUMIF(TAB_AMORTIZACAO_U[dt_eve_u], "&lt;" &amp; TAB_AMORTIZACAO_U[[#This Row],[dt_eve_u]], TAB_AMORTIZACAO_U[V_PU_AMTC])</f>
        <v>2488.9525480000302</v>
      </c>
      <c r="J458" s="48">
        <f>IFERROR(VLOOKUP(TAB_AMORTIZACAO_U[[#This Row],[DT_EVE]], TAB_AMORTIZACAO_U[[DT_EVE]:[V_PU_AMTC]], 2, FALSE), 0)</f>
        <v>507.920546</v>
      </c>
      <c r="K458" s="48">
        <f>NETWORKDAYS(DT_CALCULO_U, TAB_AMORTIZACAO_U[[#This Row],[dt_eve_u]], TAB_FERIADOS[FER_DATA]) -1</f>
        <v>2916</v>
      </c>
      <c r="L458" s="48">
        <f>NETWORKDAYS(DT_CALCULO_U, TAB_AMORTIZACAO_U[[#This Row],[dt_lqdc_eve_u]], TAB_FERIADOS[FER_DATA]) -1</f>
        <v>2920</v>
      </c>
      <c r="M458" s="48">
        <f>NETWORKDAYS(IF(ISTEXT(G457), DT_B_CORC, G457), TAB_AMORTIZACAO_U[[#This Row],[dt_eve_u]], TAB_FERIADOS[FER_DATA]) -1</f>
        <v>22</v>
      </c>
      <c r="N458" s="78">
        <f>(TX_EMISSAO/100 +1)^(TAB_AMORTIZACAO_U[[#This Row],[dias_periodo_u]]/252)</f>
        <v>1.0021580294747356</v>
      </c>
      <c r="O458" s="78">
        <f>(TIR_U/100 +1)^(TAB_AMORTIZACAO_U[[#This Row],[Q_DIAS_U_PARC_TIR]]/252)</f>
        <v>1.3312942173120059</v>
      </c>
      <c r="P458" s="116" t="str">
        <f>"TX_CENARIO" &amp; TEXT(DT_CALCULO_C, "-AAAAMMDD") &amp; TEXT(TAB_AMORTIZACAO_U[[#This Row],[DT_EVE]], "-AAAAMMDD")</f>
        <v>TX_CENARIO-20151228-20270809</v>
      </c>
      <c r="Q458" s="44">
        <f>IFERROR(VLOOKUP(TAB_AMORTIZACAO_U[[#This Row],[Chave-CENARIO]],CENARIO[],2,FALSE), 0)</f>
        <v>16.338799999999999</v>
      </c>
      <c r="R458" s="117" t="str">
        <f t="shared" si="13"/>
        <v>n/a</v>
      </c>
      <c r="S458" s="49" t="str">
        <f t="shared" si="13"/>
        <v>n/a</v>
      </c>
      <c r="T458" s="78">
        <f>IF(TAB_AMORTIZACAO_U[[#This Row],[Q_DIAS_U_PARC_TIR]]&lt;0, 0, TAB_AMORTIZACAO_U[[#This Row],[PU_AMORT]])</f>
        <v>507.920546</v>
      </c>
      <c r="U458" s="78">
        <f>MAX(0, TAB_AMORTIZACAO_U[[#This Row],[V_FUT_U_PCPL-01]]/((((TAB_AMORTIZACAO_U[[#This Row],[TX_CENARIO]]/100 +1)^(1/252) -1) * PC_IDXR/100 +1)^TAB_AMORTIZACAO_U[[#This Row],[Q_DIAS_U_PARC_TIR]]))</f>
        <v>87.947855117265306</v>
      </c>
      <c r="V458" s="78">
        <f>+TAB_AMORTIZACAO_U[[#This Row],[V_FUT_U_PCPL-02]]/TAB_AMORTIZACAO_U[[#This Row],[VAR_DESCAP_U]]</f>
        <v>66.061922281041191</v>
      </c>
      <c r="W458" s="78"/>
      <c r="X458" s="101">
        <f>TAB_AMORTIZACAO_U[[#This Row],[dt_eve_u]]- DT_CALCULO_C</f>
        <v>4242</v>
      </c>
      <c r="Y458" s="49" t="str">
        <f t="shared" si="14"/>
        <v>n/a</v>
      </c>
      <c r="Z458" s="49" t="str">
        <f t="shared" si="14"/>
        <v>n/a</v>
      </c>
      <c r="AA458" s="44">
        <f>TAB_AMORTIZACAO_U[[#This Row],[V_PU_AMTC]]</f>
        <v>507.920546</v>
      </c>
      <c r="AB458" s="44">
        <f>(TIR_C/100 +1)^(TAB_AMORTIZACAO_C[[#This Row],[DIAS_CORRIDOS]]/360)</f>
        <v>1.3322213016041349</v>
      </c>
      <c r="AC458" s="44">
        <f>IF(TAB_AMORTIZACAO_C[[#This Row],[DIAS_CORRIDOS]]&lt;0, 0, TAB_AMORTIZACAO_C[[#This Row],[V_FUT_C_PCPL]]/TAB_AMORTIZACAO_C[[#This Row],[VAR_DESCAP_C]])</f>
        <v>381.25838806841637</v>
      </c>
      <c r="AD458" s="115">
        <f>TAB_AMORTIZACAO_U[[#This Row],[V_FUT_U_PCPL-02]]</f>
        <v>87.947855117265306</v>
      </c>
      <c r="AE458" s="128">
        <f>IF(TAB_AMORTIZACAO_C[[#This Row],[DIAS_CORRIDOS]]&lt;0, 0, TAB_AMORTIZACAO_C[[#This Row],[V_FUT_UTEIS]]/TAB_AMORTIZACAO_C[[#This Row],[VAR_DESCAP_C]])</f>
        <v>66.015950211400181</v>
      </c>
    </row>
    <row r="459" spans="1:32">
      <c r="A459" s="82">
        <f t="shared" si="15"/>
        <v>141</v>
      </c>
      <c r="B459" s="24">
        <f>VLOOKUP($A459, CAD_AMORTIZACAO[#Data], MATCH(B$318, CAD_ATUALIZACAO[#Headers],0), FALSE)</f>
        <v>4</v>
      </c>
      <c r="C459" s="24" t="str">
        <f>VLOOKUP($A459, CAD_AMORTIZACAO[#Data], MATCH(C$318, CAD_ATUALIZACAO[#Headers],0), FALSE)</f>
        <v xml:space="preserve">AMORTIZACAO                                       </v>
      </c>
      <c r="D459" s="36">
        <f>VLOOKUP($A459, CAD_AMORTIZACAO[#Data], MATCH(D$318, CAD_ATUALIZACAO[#Headers],0), FALSE)</f>
        <v>46639</v>
      </c>
      <c r="E459" s="48">
        <f>VLOOKUP($A459, CAD_AMORTIZACAO[#Data], MATCH(E$318, CAD_ATUALIZACAO[#Headers],0), FALSE)</f>
        <v>502.48084299999999</v>
      </c>
      <c r="F459" s="36">
        <f>VLOOKUP($A459, CAD_AMORTIZACAO[#Data], MATCH(F$318, CAD_ATUALIZACAO[#Headers],0), FALSE)</f>
        <v>46645</v>
      </c>
      <c r="G459" s="47">
        <f>WORKDAY(WORKDAY(TAB_AMORTIZACAO_U[[#This Row],[DT_EVE]], -1, TAB_FERIADOS[FER_DATA]), 1, TAB_FERIADOS[FER_DATA])</f>
        <v>46639</v>
      </c>
      <c r="H459" s="75">
        <f>WORKDAY(WORKDAY(TAB_AMORTIZACAO_U[[#This Row],[DT_LQDC_EVE]], -1, TAB_FERIADOS[FER_DATA]), 1, TAB_FERIADOS[FER_DATA])</f>
        <v>46645</v>
      </c>
      <c r="I459" s="48">
        <f>PU_EMISSAO - SUMIF(TAB_AMORTIZACAO_U[dt_eve_u], "&lt;" &amp; TAB_AMORTIZACAO_U[[#This Row],[dt_eve_u]], TAB_AMORTIZACAO_U[V_PU_AMTC])</f>
        <v>1981.0320020000363</v>
      </c>
      <c r="J459" s="48">
        <f>IFERROR(VLOOKUP(TAB_AMORTIZACAO_U[[#This Row],[DT_EVE]], TAB_AMORTIZACAO_U[[DT_EVE]:[V_PU_AMTC]], 2, FALSE), 0)</f>
        <v>502.48084299999999</v>
      </c>
      <c r="K459" s="48">
        <f>NETWORKDAYS(DT_CALCULO_U, TAB_AMORTIZACAO_U[[#This Row],[dt_eve_u]], TAB_FERIADOS[FER_DATA]) -1</f>
        <v>2938</v>
      </c>
      <c r="L459" s="48">
        <f>NETWORKDAYS(DT_CALCULO_U, TAB_AMORTIZACAO_U[[#This Row],[dt_lqdc_eve_u]], TAB_FERIADOS[FER_DATA]) -1</f>
        <v>2942</v>
      </c>
      <c r="M459" s="48">
        <f>NETWORKDAYS(IF(ISTEXT(G458), DT_B_CORC, G458), TAB_AMORTIZACAO_U[[#This Row],[dt_eve_u]], TAB_FERIADOS[FER_DATA]) -1</f>
        <v>22</v>
      </c>
      <c r="N459" s="78">
        <f>(TX_EMISSAO/100 +1)^(TAB_AMORTIZACAO_U[[#This Row],[dias_periodo_u]]/252)</f>
        <v>1.0021580294747356</v>
      </c>
      <c r="O459" s="78">
        <f>(TIR_U/100 +1)^(TAB_AMORTIZACAO_U[[#This Row],[Q_DIAS_U_PARC_TIR]]/252)</f>
        <v>1.3341674992306893</v>
      </c>
      <c r="P459" s="116" t="str">
        <f>"TX_CENARIO" &amp; TEXT(DT_CALCULO_C, "-AAAAMMDD") &amp; TEXT(TAB_AMORTIZACAO_U[[#This Row],[DT_EVE]], "-AAAAMMDD")</f>
        <v>TX_CENARIO-20151228-20270909</v>
      </c>
      <c r="Q459" s="44">
        <f>IFERROR(VLOOKUP(TAB_AMORTIZACAO_U[[#This Row],[Chave-CENARIO]],CENARIO[],2,FALSE), 0)</f>
        <v>16.339700000000001</v>
      </c>
      <c r="R459" s="117" t="str">
        <f t="shared" si="13"/>
        <v>n/a</v>
      </c>
      <c r="S459" s="49" t="str">
        <f t="shared" si="13"/>
        <v>n/a</v>
      </c>
      <c r="T459" s="78">
        <f>IF(TAB_AMORTIZACAO_U[[#This Row],[Q_DIAS_U_PARC_TIR]]&lt;0, 0, TAB_AMORTIZACAO_U[[#This Row],[PU_AMORT]])</f>
        <v>502.48084299999999</v>
      </c>
      <c r="U459" s="78">
        <f>MAX(0, TAB_AMORTIZACAO_U[[#This Row],[V_FUT_U_PCPL-01]]/((((TAB_AMORTIZACAO_U[[#This Row],[TX_CENARIO]]/100 +1)^(1/252) -1) * PC_IDXR/100 +1)^TAB_AMORTIZACAO_U[[#This Row],[Q_DIAS_U_PARC_TIR]]))</f>
        <v>85.856246336867628</v>
      </c>
      <c r="V459" s="78">
        <f>+TAB_AMORTIZACAO_U[[#This Row],[V_FUT_U_PCPL-02]]/TAB_AMORTIZACAO_U[[#This Row],[VAR_DESCAP_U]]</f>
        <v>64.351924616942213</v>
      </c>
      <c r="W459" s="78"/>
      <c r="X459" s="101">
        <f>TAB_AMORTIZACAO_U[[#This Row],[dt_eve_u]]- DT_CALCULO_C</f>
        <v>4273</v>
      </c>
      <c r="Y459" s="49" t="str">
        <f t="shared" si="14"/>
        <v>n/a</v>
      </c>
      <c r="Z459" s="49" t="str">
        <f t="shared" si="14"/>
        <v>n/a</v>
      </c>
      <c r="AA459" s="44">
        <f>TAB_AMORTIZACAO_U[[#This Row],[V_PU_AMTC]]</f>
        <v>502.48084299999999</v>
      </c>
      <c r="AB459" s="44">
        <f>(TIR_C/100 +1)^(TAB_AMORTIZACAO_C[[#This Row],[DIAS_CORRIDOS]]/360)</f>
        <v>1.3350168952834969</v>
      </c>
      <c r="AC459" s="44">
        <f>IF(TAB_AMORTIZACAO_C[[#This Row],[DIAS_CORRIDOS]]&lt;0, 0, TAB_AMORTIZACAO_C[[#This Row],[V_FUT_C_PCPL]]/TAB_AMORTIZACAO_C[[#This Row],[VAR_DESCAP_C]])</f>
        <v>376.38538117024797</v>
      </c>
      <c r="AD459" s="115">
        <f>TAB_AMORTIZACAO_U[[#This Row],[V_FUT_U_PCPL-02]]</f>
        <v>85.856246336867628</v>
      </c>
      <c r="AE459" s="128">
        <f>IF(TAB_AMORTIZACAO_C[[#This Row],[DIAS_CORRIDOS]]&lt;0, 0, TAB_AMORTIZACAO_C[[#This Row],[V_FUT_UTEIS]]/TAB_AMORTIZACAO_C[[#This Row],[VAR_DESCAP_C]])</f>
        <v>64.310981112067253</v>
      </c>
    </row>
    <row r="460" spans="1:32">
      <c r="A460" s="82">
        <f t="shared" si="15"/>
        <v>142</v>
      </c>
      <c r="B460" s="24">
        <f>VLOOKUP($A460, CAD_AMORTIZACAO[#Data], MATCH(B$318, CAD_ATUALIZACAO[#Headers],0), FALSE)</f>
        <v>4</v>
      </c>
      <c r="C460" s="24" t="str">
        <f>VLOOKUP($A460, CAD_AMORTIZACAO[#Data], MATCH(C$318, CAD_ATUALIZACAO[#Headers],0), FALSE)</f>
        <v xml:space="preserve">AMORTIZACAO                                       </v>
      </c>
      <c r="D460" s="36">
        <f>VLOOKUP($A460, CAD_AMORTIZACAO[#Data], MATCH(D$318, CAD_ATUALIZACAO[#Headers],0), FALSE)</f>
        <v>46671</v>
      </c>
      <c r="E460" s="48">
        <f>VLOOKUP($A460, CAD_AMORTIZACAO[#Data], MATCH(E$318, CAD_ATUALIZACAO[#Headers],0), FALSE)</f>
        <v>497.554643</v>
      </c>
      <c r="F460" s="36">
        <f>VLOOKUP($A460, CAD_AMORTIZACAO[#Data], MATCH(F$318, CAD_ATUALIZACAO[#Headers],0), FALSE)</f>
        <v>46675</v>
      </c>
      <c r="G460" s="47">
        <f>WORKDAY(WORKDAY(TAB_AMORTIZACAO_U[[#This Row],[DT_EVE]], -1, TAB_FERIADOS[FER_DATA]), 1, TAB_FERIADOS[FER_DATA])</f>
        <v>46671</v>
      </c>
      <c r="H460" s="75">
        <f>WORKDAY(WORKDAY(TAB_AMORTIZACAO_U[[#This Row],[DT_LQDC_EVE]], -1, TAB_FERIADOS[FER_DATA]), 1, TAB_FERIADOS[FER_DATA])</f>
        <v>46675</v>
      </c>
      <c r="I460" s="48">
        <f>PU_EMISSAO - SUMIF(TAB_AMORTIZACAO_U[dt_eve_u], "&lt;" &amp; TAB_AMORTIZACAO_U[[#This Row],[dt_eve_u]], TAB_AMORTIZACAO_U[V_PU_AMTC])</f>
        <v>1478.5511590000388</v>
      </c>
      <c r="J460" s="48">
        <f>IFERROR(VLOOKUP(TAB_AMORTIZACAO_U[[#This Row],[DT_EVE]], TAB_AMORTIZACAO_U[[DT_EVE]:[V_PU_AMTC]], 2, FALSE), 0)</f>
        <v>497.554643</v>
      </c>
      <c r="K460" s="48">
        <f>NETWORKDAYS(DT_CALCULO_U, TAB_AMORTIZACAO_U[[#This Row],[dt_eve_u]], TAB_FERIADOS[FER_DATA]) -1</f>
        <v>2960</v>
      </c>
      <c r="L460" s="48">
        <f>NETWORKDAYS(DT_CALCULO_U, TAB_AMORTIZACAO_U[[#This Row],[dt_lqdc_eve_u]], TAB_FERIADOS[FER_DATA]) -1</f>
        <v>2963</v>
      </c>
      <c r="M460" s="48">
        <f>NETWORKDAYS(IF(ISTEXT(G459), DT_B_CORC, G459), TAB_AMORTIZACAO_U[[#This Row],[dt_eve_u]], TAB_FERIADOS[FER_DATA]) -1</f>
        <v>22</v>
      </c>
      <c r="N460" s="78">
        <f>(TX_EMISSAO/100 +1)^(TAB_AMORTIZACAO_U[[#This Row],[dias_periodo_u]]/252)</f>
        <v>1.0021580294747356</v>
      </c>
      <c r="O460" s="78">
        <f>(TIR_U/100 +1)^(TAB_AMORTIZACAO_U[[#This Row],[Q_DIAS_U_PARC_TIR]]/252)</f>
        <v>1.336915962123028</v>
      </c>
      <c r="P460" s="116" t="str">
        <f>"TX_CENARIO" &amp; TEXT(DT_CALCULO_C, "-AAAAMMDD") &amp; TEXT(TAB_AMORTIZACAO_U[[#This Row],[DT_EVE]], "-AAAAMMDD")</f>
        <v>TX_CENARIO-20151228-20271011</v>
      </c>
      <c r="Q460" s="44">
        <f>IFERROR(VLOOKUP(TAB_AMORTIZACAO_U[[#This Row],[Chave-CENARIO]],CENARIO[],2,FALSE), 0)</f>
        <v>16.340499999999999</v>
      </c>
      <c r="R460" s="117" t="str">
        <f t="shared" si="13"/>
        <v>n/a</v>
      </c>
      <c r="S460" s="49" t="str">
        <f t="shared" si="13"/>
        <v>n/a</v>
      </c>
      <c r="T460" s="78">
        <f>IF(TAB_AMORTIZACAO_U[[#This Row],[Q_DIAS_U_PARC_TIR]]&lt;0, 0, TAB_AMORTIZACAO_U[[#This Row],[PU_AMORT]])</f>
        <v>497.554643</v>
      </c>
      <c r="U460" s="78">
        <f>MAX(0, TAB_AMORTIZACAO_U[[#This Row],[V_FUT_U_PCPL-01]]/((((TAB_AMORTIZACAO_U[[#This Row],[TX_CENARIO]]/100 +1)^(1/252) -1) * PC_IDXR/100 +1)^TAB_AMORTIZACAO_U[[#This Row],[Q_DIAS_U_PARC_TIR]]))</f>
        <v>83.942273863425442</v>
      </c>
      <c r="V460" s="78">
        <f>+TAB_AMORTIZACAO_U[[#This Row],[V_FUT_U_PCPL-02]]/TAB_AMORTIZACAO_U[[#This Row],[VAR_DESCAP_U]]</f>
        <v>62.78799583642099</v>
      </c>
      <c r="W460" s="78"/>
      <c r="X460" s="101">
        <f>TAB_AMORTIZACAO_U[[#This Row],[dt_eve_u]]- DT_CALCULO_C</f>
        <v>4305</v>
      </c>
      <c r="Y460" s="49" t="str">
        <f t="shared" si="14"/>
        <v>n/a</v>
      </c>
      <c r="Z460" s="49" t="str">
        <f t="shared" si="14"/>
        <v>n/a</v>
      </c>
      <c r="AA460" s="44">
        <f>TAB_AMORTIZACAO_U[[#This Row],[V_PU_AMTC]]</f>
        <v>497.554643</v>
      </c>
      <c r="AB460" s="44">
        <f>(TIR_C/100 +1)^(TAB_AMORTIZACAO_C[[#This Row],[DIAS_CORRIDOS]]/360)</f>
        <v>1.3379088228539713</v>
      </c>
      <c r="AC460" s="44">
        <f>IF(TAB_AMORTIZACAO_C[[#This Row],[DIAS_CORRIDOS]]&lt;0, 0, TAB_AMORTIZACAO_C[[#This Row],[V_FUT_C_PCPL]]/TAB_AMORTIZACAO_C[[#This Row],[VAR_DESCAP_C]])</f>
        <v>371.88979884192497</v>
      </c>
      <c r="AD460" s="115">
        <f>TAB_AMORTIZACAO_U[[#This Row],[V_FUT_U_PCPL-02]]</f>
        <v>83.942273863425442</v>
      </c>
      <c r="AE460" s="128">
        <f>IF(TAB_AMORTIZACAO_C[[#This Row],[DIAS_CORRIDOS]]&lt;0, 0, TAB_AMORTIZACAO_C[[#This Row],[V_FUT_UTEIS]]/TAB_AMORTIZACAO_C[[#This Row],[VAR_DESCAP_C]])</f>
        <v>62.741400930717596</v>
      </c>
    </row>
    <row r="461" spans="1:32">
      <c r="A461" s="82">
        <f t="shared" si="15"/>
        <v>143</v>
      </c>
      <c r="B461" s="24">
        <f>VLOOKUP($A461, CAD_AMORTIZACAO[#Data], MATCH(B$318, CAD_ATUALIZACAO[#Headers],0), FALSE)</f>
        <v>4</v>
      </c>
      <c r="C461" s="24" t="str">
        <f>VLOOKUP($A461, CAD_AMORTIZACAO[#Data], MATCH(C$318, CAD_ATUALIZACAO[#Headers],0), FALSE)</f>
        <v xml:space="preserve">AMORTIZACAO                                       </v>
      </c>
      <c r="D461" s="36">
        <f>VLOOKUP($A461, CAD_AMORTIZACAO[#Data], MATCH(D$318, CAD_ATUALIZACAO[#Headers],0), FALSE)</f>
        <v>46701</v>
      </c>
      <c r="E461" s="48">
        <f>VLOOKUP($A461, CAD_AMORTIZACAO[#Data], MATCH(E$318, CAD_ATUALIZACAO[#Headers],0), FALSE)</f>
        <v>492.88306</v>
      </c>
      <c r="F461" s="36">
        <f>VLOOKUP($A461, CAD_AMORTIZACAO[#Data], MATCH(F$318, CAD_ATUALIZACAO[#Headers],0), FALSE)</f>
        <v>46707</v>
      </c>
      <c r="G461" s="47">
        <f>WORKDAY(WORKDAY(TAB_AMORTIZACAO_U[[#This Row],[DT_EVE]], -1, TAB_FERIADOS[FER_DATA]), 1, TAB_FERIADOS[FER_DATA])</f>
        <v>46701</v>
      </c>
      <c r="H461" s="75">
        <f>WORKDAY(WORKDAY(TAB_AMORTIZACAO_U[[#This Row],[DT_LQDC_EVE]], -1, TAB_FERIADOS[FER_DATA]), 1, TAB_FERIADOS[FER_DATA])</f>
        <v>46707</v>
      </c>
      <c r="I461" s="48">
        <f>PU_EMISSAO - SUMIF(TAB_AMORTIZACAO_U[dt_eve_u], "&lt;" &amp; TAB_AMORTIZACAO_U[[#This Row],[dt_eve_u]], TAB_AMORTIZACAO_U[V_PU_AMTC])</f>
        <v>980.9965160000429</v>
      </c>
      <c r="J461" s="48">
        <f>IFERROR(VLOOKUP(TAB_AMORTIZACAO_U[[#This Row],[DT_EVE]], TAB_AMORTIZACAO_U[[DT_EVE]:[V_PU_AMTC]], 2, FALSE), 0)</f>
        <v>492.88306</v>
      </c>
      <c r="K461" s="48">
        <f>NETWORKDAYS(DT_CALCULO_U, TAB_AMORTIZACAO_U[[#This Row],[dt_eve_u]], TAB_FERIADOS[FER_DATA]) -1</f>
        <v>2980</v>
      </c>
      <c r="L461" s="48">
        <f>NETWORKDAYS(DT_CALCULO_U, TAB_AMORTIZACAO_U[[#This Row],[dt_lqdc_eve_u]], TAB_FERIADOS[FER_DATA]) -1</f>
        <v>2983</v>
      </c>
      <c r="M461" s="48">
        <f>NETWORKDAYS(IF(ISTEXT(G460), DT_B_CORC, G460), TAB_AMORTIZACAO_U[[#This Row],[dt_eve_u]], TAB_FERIADOS[FER_DATA]) -1</f>
        <v>20</v>
      </c>
      <c r="N461" s="78">
        <f>(TX_EMISSAO/100 +1)^(TAB_AMORTIZACAO_U[[#This Row],[dias_periodo_u]]/252)</f>
        <v>1.0019616526860928</v>
      </c>
      <c r="O461" s="78">
        <f>(TIR_U/100 +1)^(TAB_AMORTIZACAO_U[[#This Row],[Q_DIAS_U_PARC_TIR]]/252)</f>
        <v>1.3395388096432594</v>
      </c>
      <c r="P461" s="116" t="str">
        <f>"TX_CENARIO" &amp; TEXT(DT_CALCULO_C, "-AAAAMMDD") &amp; TEXT(TAB_AMORTIZACAO_U[[#This Row],[DT_EVE]], "-AAAAMMDD")</f>
        <v>TX_CENARIO-20151228-20271110</v>
      </c>
      <c r="Q461" s="44">
        <f>IFERROR(VLOOKUP(TAB_AMORTIZACAO_U[[#This Row],[Chave-CENARIO]],CENARIO[],2,FALSE), 0)</f>
        <v>16.341200000000001</v>
      </c>
      <c r="R461" s="117" t="str">
        <f t="shared" si="13"/>
        <v>n/a</v>
      </c>
      <c r="S461" s="49" t="str">
        <f t="shared" si="13"/>
        <v>n/a</v>
      </c>
      <c r="T461" s="78">
        <f>IF(TAB_AMORTIZACAO_U[[#This Row],[Q_DIAS_U_PARC_TIR]]&lt;0, 0, TAB_AMORTIZACAO_U[[#This Row],[PU_AMORT]])</f>
        <v>492.88306</v>
      </c>
      <c r="U461" s="78">
        <f>MAX(0, TAB_AMORTIZACAO_U[[#This Row],[V_FUT_U_PCPL-01]]/((((TAB_AMORTIZACAO_U[[#This Row],[TX_CENARIO]]/100 +1)^(1/252) -1) * PC_IDXR/100 +1)^TAB_AMORTIZACAO_U[[#This Row],[Q_DIAS_U_PARC_TIR]]))</f>
        <v>82.155409815699429</v>
      </c>
      <c r="V461" s="78">
        <f>+TAB_AMORTIZACAO_U[[#This Row],[V_FUT_U_PCPL-02]]/TAB_AMORTIZACAO_U[[#This Row],[VAR_DESCAP_U]]</f>
        <v>61.331115772284882</v>
      </c>
      <c r="W461" s="78"/>
      <c r="X461" s="101">
        <f>TAB_AMORTIZACAO_U[[#This Row],[dt_eve_u]]- DT_CALCULO_C</f>
        <v>4335</v>
      </c>
      <c r="Y461" s="49" t="str">
        <f t="shared" si="14"/>
        <v>n/a</v>
      </c>
      <c r="Z461" s="49" t="str">
        <f t="shared" si="14"/>
        <v>n/a</v>
      </c>
      <c r="AA461" s="44">
        <f>TAB_AMORTIZACAO_U[[#This Row],[V_PU_AMTC]]</f>
        <v>492.88306</v>
      </c>
      <c r="AB461" s="44">
        <f>(TIR_C/100 +1)^(TAB_AMORTIZACAO_C[[#This Row],[DIAS_CORRIDOS]]/360)</f>
        <v>1.3406256941547408</v>
      </c>
      <c r="AC461" s="44">
        <f>IF(TAB_AMORTIZACAO_C[[#This Row],[DIAS_CORRIDOS]]&lt;0, 0, TAB_AMORTIZACAO_C[[#This Row],[V_FUT_C_PCPL]]/TAB_AMORTIZACAO_C[[#This Row],[VAR_DESCAP_C]])</f>
        <v>367.65150940267546</v>
      </c>
      <c r="AD461" s="115">
        <f>TAB_AMORTIZACAO_U[[#This Row],[V_FUT_U_PCPL-02]]</f>
        <v>82.155409815699429</v>
      </c>
      <c r="AE461" s="128">
        <f>IF(TAB_AMORTIZACAO_C[[#This Row],[DIAS_CORRIDOS]]&lt;0, 0, TAB_AMORTIZACAO_C[[#This Row],[V_FUT_UTEIS]]/TAB_AMORTIZACAO_C[[#This Row],[VAR_DESCAP_C]])</f>
        <v>61.281392840600518</v>
      </c>
      <c r="AF461" s="78"/>
    </row>
    <row r="462" spans="1:32">
      <c r="A462" s="82">
        <f t="shared" si="15"/>
        <v>144</v>
      </c>
      <c r="B462" s="24">
        <f>VLOOKUP($A462, CAD_AMORTIZACAO[#Data], MATCH(B$318, CAD_ATUALIZACAO[#Headers],0), FALSE)</f>
        <v>4</v>
      </c>
      <c r="C462" s="24" t="str">
        <f>VLOOKUP($A462, CAD_AMORTIZACAO[#Data], MATCH(C$318, CAD_ATUALIZACAO[#Headers],0), FALSE)</f>
        <v xml:space="preserve">AMORTIZACAO                                       </v>
      </c>
      <c r="D462" s="36">
        <f>VLOOKUP($A462, CAD_AMORTIZACAO[#Data], MATCH(D$318, CAD_ATUALIZACAO[#Headers],0), FALSE)</f>
        <v>46729</v>
      </c>
      <c r="E462" s="48">
        <f>VLOOKUP($A462, CAD_AMORTIZACAO[#Data], MATCH(E$318, CAD_ATUALIZACAO[#Headers],0), FALSE)</f>
        <v>488.11345599999999</v>
      </c>
      <c r="F462" s="36">
        <f>VLOOKUP($A462, CAD_AMORTIZACAO[#Data], MATCH(F$318, CAD_ATUALIZACAO[#Headers],0), FALSE)</f>
        <v>46735</v>
      </c>
      <c r="G462" s="47">
        <f>WORKDAY(WORKDAY(TAB_AMORTIZACAO_U[[#This Row],[DT_EVE]], -1, TAB_FERIADOS[FER_DATA]), 1, TAB_FERIADOS[FER_DATA])</f>
        <v>46729</v>
      </c>
      <c r="H462" s="75">
        <f>WORKDAY(WORKDAY(TAB_AMORTIZACAO_U[[#This Row],[DT_LQDC_EVE]], -1, TAB_FERIADOS[FER_DATA]), 1, TAB_FERIADOS[FER_DATA])</f>
        <v>46735</v>
      </c>
      <c r="I462" s="48">
        <f>PU_EMISSAO - SUMIF(TAB_AMORTIZACAO_U[dt_eve_u], "&lt;" &amp; TAB_AMORTIZACAO_U[[#This Row],[dt_eve_u]], TAB_AMORTIZACAO_U[V_PU_AMTC])</f>
        <v>488.11345600005006</v>
      </c>
      <c r="J462" s="48">
        <f>IFERROR(VLOOKUP(TAB_AMORTIZACAO_U[[#This Row],[DT_EVE]], TAB_AMORTIZACAO_U[[DT_EVE]:[V_PU_AMTC]], 2, FALSE), 0)</f>
        <v>488.11345599999999</v>
      </c>
      <c r="K462" s="48">
        <f>NETWORKDAYS(DT_CALCULO_U, TAB_AMORTIZACAO_U[[#This Row],[dt_eve_u]], TAB_FERIADOS[FER_DATA]) -1</f>
        <v>2999</v>
      </c>
      <c r="L462" s="48">
        <f>NETWORKDAYS(DT_CALCULO_U, TAB_AMORTIZACAO_U[[#This Row],[dt_lqdc_eve_u]], TAB_FERIADOS[FER_DATA]) -1</f>
        <v>3003</v>
      </c>
      <c r="M462" s="48">
        <f>NETWORKDAYS(IF(ISTEXT(G461), DT_B_CORC, G461), TAB_AMORTIZACAO_U[[#This Row],[dt_eve_u]], TAB_FERIADOS[FER_DATA]) -1</f>
        <v>19</v>
      </c>
      <c r="N462" s="78">
        <f>(TX_EMISSAO/100 +1)^(TAB_AMORTIZACAO_U[[#This Row],[dias_periodo_u]]/252)</f>
        <v>1.0018634787225431</v>
      </c>
      <c r="O462" s="78">
        <f>(TIR_U/100 +1)^(TAB_AMORTIZACAO_U[[#This Row],[Q_DIAS_U_PARC_TIR]]/252)</f>
        <v>1.3421668028340559</v>
      </c>
      <c r="P462" s="116" t="str">
        <f>"TX_CENARIO" &amp; TEXT(DT_CALCULO_C, "-AAAAMMDD") &amp; TEXT(TAB_AMORTIZACAO_U[[#This Row],[DT_EVE]], "-AAAAMMDD")</f>
        <v>TX_CENARIO-20151228-20271208</v>
      </c>
      <c r="Q462" s="44">
        <f>IFERROR(VLOOKUP(TAB_AMORTIZACAO_U[[#This Row],[Chave-CENARIO]],CENARIO[],2,FALSE), 0)</f>
        <v>16.341899999999999</v>
      </c>
      <c r="R462" s="117" t="str">
        <f t="shared" si="13"/>
        <v>n/a</v>
      </c>
      <c r="S462" s="49" t="str">
        <f t="shared" si="13"/>
        <v>n/a</v>
      </c>
      <c r="T462" s="78">
        <f>IF(TAB_AMORTIZACAO_U[[#This Row],[Q_DIAS_U_PARC_TIR]]&lt;0, 0, TAB_AMORTIZACAO_U[[#This Row],[PU_AMORT]])</f>
        <v>488.11345599999999</v>
      </c>
      <c r="U462" s="78">
        <f>MAX(0, TAB_AMORTIZACAO_U[[#This Row],[V_FUT_U_PCPL-01]]/((((TAB_AMORTIZACAO_U[[#This Row],[TX_CENARIO]]/100 +1)^(1/252) -1) * PC_IDXR/100 +1)^TAB_AMORTIZACAO_U[[#This Row],[Q_DIAS_U_PARC_TIR]]))</f>
        <v>80.383140209593805</v>
      </c>
      <c r="V462" s="78">
        <f>+TAB_AMORTIZACAO_U[[#This Row],[V_FUT_U_PCPL-02]]/TAB_AMORTIZACAO_U[[#This Row],[VAR_DESCAP_U]]</f>
        <v>59.89057398816643</v>
      </c>
      <c r="W462" s="78"/>
      <c r="X462" s="101">
        <f>TAB_AMORTIZACAO_U[[#This Row],[dt_eve_u]]- DT_CALCULO_C</f>
        <v>4363</v>
      </c>
      <c r="Y462" s="49" t="str">
        <f t="shared" si="14"/>
        <v>n/a</v>
      </c>
      <c r="Z462" s="49" t="str">
        <f t="shared" si="14"/>
        <v>n/a</v>
      </c>
      <c r="AA462" s="44">
        <f>TAB_AMORTIZACAO_U[[#This Row],[V_PU_AMTC]]</f>
        <v>488.11345599999999</v>
      </c>
      <c r="AB462" s="44">
        <f>(TIR_C/100 +1)^(TAB_AMORTIZACAO_C[[#This Row],[DIAS_CORRIDOS]]/360)</f>
        <v>1.3431664181365441</v>
      </c>
      <c r="AC462" s="44">
        <f>IF(TAB_AMORTIZACAO_C[[#This Row],[DIAS_CORRIDOS]]&lt;0, 0, TAB_AMORTIZACAO_C[[#This Row],[V_FUT_C_PCPL]]/TAB_AMORTIZACAO_C[[#This Row],[VAR_DESCAP_C]])</f>
        <v>363.40504751242162</v>
      </c>
      <c r="AD462" s="115">
        <f>TAB_AMORTIZACAO_U[[#This Row],[V_FUT_U_PCPL-02]]</f>
        <v>80.383140209593805</v>
      </c>
      <c r="AE462" s="128">
        <f>IF(TAB_AMORTIZACAO_C[[#This Row],[DIAS_CORRIDOS]]&lt;0, 0, TAB_AMORTIZACAO_C[[#This Row],[V_FUT_UTEIS]]/TAB_AMORTIZACAO_C[[#This Row],[VAR_DESCAP_C]])</f>
        <v>59.846002047247566</v>
      </c>
      <c r="AF462" s="48"/>
    </row>
    <row r="463" spans="1:32">
      <c r="AC463" s="78"/>
      <c r="AD463" s="44"/>
      <c r="AE463" s="48"/>
    </row>
    <row r="496" spans="32:32">
      <c r="AF496" s="64"/>
    </row>
    <row r="497" spans="32:32">
      <c r="AF497" s="64"/>
    </row>
    <row r="498" spans="32:32">
      <c r="AF498" s="64"/>
    </row>
    <row r="499" spans="32:32">
      <c r="AF499" s="64"/>
    </row>
    <row r="500" spans="32:32">
      <c r="AF500" s="64"/>
    </row>
    <row r="501" spans="32:32">
      <c r="AF501" s="64"/>
    </row>
    <row r="502" spans="32:32">
      <c r="AF502" s="64"/>
    </row>
    <row r="503" spans="32:32">
      <c r="AF503" s="64"/>
    </row>
    <row r="504" spans="32:32">
      <c r="AF504" s="64"/>
    </row>
    <row r="505" spans="32:32">
      <c r="AF505" s="64"/>
    </row>
    <row r="506" spans="32:32">
      <c r="AF506" s="64"/>
    </row>
    <row r="507" spans="32:32">
      <c r="AF507" s="64"/>
    </row>
    <row r="508" spans="32:32">
      <c r="AF508" s="64"/>
    </row>
    <row r="509" spans="32:32">
      <c r="AF509" s="64"/>
    </row>
    <row r="510" spans="32:32">
      <c r="AF510" s="64"/>
    </row>
    <row r="511" spans="32:32">
      <c r="AF511" s="64"/>
    </row>
    <row r="512" spans="32:32">
      <c r="AF512" s="64"/>
    </row>
    <row r="513" spans="32:32">
      <c r="AF513" s="64"/>
    </row>
    <row r="514" spans="32:32">
      <c r="AF514" s="64"/>
    </row>
    <row r="515" spans="32:32">
      <c r="AF515" s="64"/>
    </row>
    <row r="516" spans="32:32">
      <c r="AF516" s="64"/>
    </row>
    <row r="517" spans="32:32">
      <c r="AF517" s="64"/>
    </row>
    <row r="518" spans="32:32">
      <c r="AF518" s="64"/>
    </row>
    <row r="519" spans="32:32">
      <c r="AF519" s="64"/>
    </row>
    <row r="520" spans="32:32">
      <c r="AF520" s="64"/>
    </row>
    <row r="521" spans="32:32">
      <c r="AF521" s="64"/>
    </row>
    <row r="522" spans="32:32">
      <c r="AF522" s="64"/>
    </row>
    <row r="523" spans="32:32">
      <c r="AF523" s="64"/>
    </row>
    <row r="524" spans="32:32">
      <c r="AF524" s="64"/>
    </row>
    <row r="525" spans="32:32">
      <c r="AF525" s="64"/>
    </row>
    <row r="526" spans="32:32">
      <c r="AF526" s="64"/>
    </row>
    <row r="527" spans="32:32">
      <c r="AF527" s="64"/>
    </row>
    <row r="528" spans="32:32">
      <c r="AF528" s="64"/>
    </row>
    <row r="529" spans="32:32">
      <c r="AF529" s="64"/>
    </row>
    <row r="568" spans="32:32">
      <c r="AF568" s="64"/>
    </row>
    <row r="569" spans="32:32">
      <c r="AF569" s="64"/>
    </row>
    <row r="612" spans="35:41">
      <c r="AJ612" s="1"/>
      <c r="AL612" s="1"/>
      <c r="AN612" s="1"/>
    </row>
    <row r="613" spans="35:41">
      <c r="AJ613" s="3"/>
      <c r="AL613" s="3"/>
      <c r="AM613" s="48"/>
      <c r="AN613" s="5"/>
      <c r="AO613" s="44"/>
    </row>
    <row r="614" spans="35:41">
      <c r="AI614" s="1"/>
      <c r="AJ614" s="3"/>
      <c r="AK614" s="1"/>
      <c r="AL614" s="3"/>
      <c r="AM614" s="1"/>
      <c r="AN614" s="5"/>
      <c r="AO614" s="44"/>
    </row>
    <row r="615" spans="35:41">
      <c r="AI615" s="1"/>
      <c r="AJ615" s="3"/>
      <c r="AK615" s="1"/>
      <c r="AL615" s="3"/>
      <c r="AM615" s="1"/>
      <c r="AN615" s="5"/>
      <c r="AO615" s="44"/>
    </row>
    <row r="616" spans="35:41">
      <c r="AI616" s="1"/>
      <c r="AJ616" s="3"/>
      <c r="AK616" s="1"/>
      <c r="AL616" s="3"/>
      <c r="AM616" s="1"/>
      <c r="AN616" s="5"/>
      <c r="AO616" s="44"/>
    </row>
    <row r="617" spans="35:41">
      <c r="AI617" s="1"/>
      <c r="AJ617" s="3"/>
      <c r="AK617" s="1"/>
      <c r="AL617" s="3"/>
      <c r="AM617" s="1"/>
      <c r="AN617" s="5"/>
      <c r="AO617" s="44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A224"/>
  <sheetViews>
    <sheetView showGridLines="0" topLeftCell="BS1" zoomScale="85" zoomScaleNormal="85" workbookViewId="0">
      <selection activeCell="CI3" sqref="CI3"/>
    </sheetView>
  </sheetViews>
  <sheetFormatPr defaultRowHeight="15"/>
  <cols>
    <col min="3" max="3" width="14.42578125" bestFit="1" customWidth="1"/>
    <col min="4" max="4" width="10.85546875" bestFit="1" customWidth="1"/>
    <col min="7" max="7" width="10.5703125" customWidth="1"/>
    <col min="8" max="9" width="12.28515625" bestFit="1" customWidth="1"/>
    <col min="10" max="10" width="14.42578125" style="171" bestFit="1" customWidth="1"/>
    <col min="13" max="13" width="12.7109375" customWidth="1"/>
    <col min="14" max="14" width="10.85546875" bestFit="1" customWidth="1"/>
    <col min="17" max="17" width="16.85546875" customWidth="1"/>
    <col min="20" max="20" width="14.42578125" style="171" bestFit="1" customWidth="1"/>
    <col min="23" max="23" width="13.7109375" customWidth="1"/>
    <col min="24" max="24" width="10.85546875" bestFit="1" customWidth="1"/>
    <col min="30" max="30" width="14.42578125" style="171" bestFit="1" customWidth="1"/>
    <col min="33" max="33" width="12.140625" bestFit="1" customWidth="1"/>
    <col min="34" max="34" width="10.85546875" bestFit="1" customWidth="1"/>
    <col min="40" max="40" width="15.140625" style="171" bestFit="1" customWidth="1"/>
    <col min="43" max="43" width="12.140625" customWidth="1"/>
    <col min="44" max="44" width="10.85546875" bestFit="1" customWidth="1"/>
    <col min="50" max="50" width="12.7109375" style="171" bestFit="1" customWidth="1"/>
    <col min="53" max="54" width="13.7109375" customWidth="1"/>
    <col min="57" max="57" width="39" customWidth="1"/>
    <col min="60" max="60" width="12.7109375" style="171" bestFit="1" customWidth="1"/>
    <col min="63" max="63" width="15.140625" bestFit="1" customWidth="1"/>
    <col min="64" max="64" width="10.85546875" bestFit="1" customWidth="1"/>
    <col min="70" max="70" width="12.7109375" style="171" bestFit="1" customWidth="1"/>
    <col min="73" max="73" width="13.28515625" bestFit="1" customWidth="1"/>
    <col min="74" max="74" width="10.85546875" bestFit="1" customWidth="1"/>
    <col min="80" max="80" width="12.7109375" style="171" bestFit="1" customWidth="1"/>
    <col min="83" max="83" width="14.140625" customWidth="1"/>
    <col min="84" max="84" width="10.85546875" bestFit="1" customWidth="1"/>
    <col min="87" max="87" width="24.28515625" customWidth="1"/>
    <col min="90" max="93" width="10.85546875" bestFit="1" customWidth="1"/>
    <col min="96" max="97" width="10.85546875" bestFit="1" customWidth="1"/>
    <col min="103" max="103" width="19" customWidth="1"/>
  </cols>
  <sheetData>
    <row r="1" spans="2:105" ht="15.75" thickBot="1"/>
    <row r="2" spans="2:105">
      <c r="B2" s="144"/>
      <c r="C2" s="145" t="s">
        <v>81</v>
      </c>
      <c r="D2" s="146"/>
      <c r="E2" s="146"/>
      <c r="F2" s="146"/>
      <c r="G2" s="146"/>
      <c r="H2" s="146"/>
      <c r="I2" s="146"/>
      <c r="J2" s="172">
        <f>SUM(J3:J146)</f>
        <v>2455.7075327846287</v>
      </c>
      <c r="L2" s="144"/>
      <c r="M2" s="145" t="s">
        <v>950</v>
      </c>
      <c r="N2" s="146"/>
      <c r="O2" s="146"/>
      <c r="P2" s="146"/>
      <c r="Q2" s="146"/>
      <c r="R2" s="146"/>
      <c r="S2" s="146"/>
      <c r="T2" s="172">
        <f>SUM(T3:T146)</f>
        <v>2401.000049865509</v>
      </c>
      <c r="V2" s="144"/>
      <c r="W2" s="145" t="s">
        <v>830</v>
      </c>
      <c r="X2" s="146"/>
      <c r="Y2" s="146"/>
      <c r="Z2" s="146"/>
      <c r="AA2" s="146"/>
      <c r="AB2" s="146"/>
      <c r="AC2" s="146"/>
      <c r="AD2" s="172">
        <f>SUM(AD3:AD146)</f>
        <v>-27.3935384860605</v>
      </c>
      <c r="AF2" s="144"/>
      <c r="AG2" s="151" t="s">
        <v>92</v>
      </c>
      <c r="AH2" s="146"/>
      <c r="AI2" s="146"/>
      <c r="AJ2" s="146"/>
      <c r="AK2" s="146"/>
      <c r="AL2" s="146"/>
      <c r="AM2" s="146"/>
      <c r="AN2" s="172">
        <f>SUM(AN3:AN146)</f>
        <v>-658.89517448000015</v>
      </c>
      <c r="AP2" s="144"/>
      <c r="AQ2" s="151" t="s">
        <v>944</v>
      </c>
      <c r="AR2" s="146"/>
      <c r="AS2" s="146"/>
      <c r="AT2" s="146"/>
      <c r="AU2" s="146"/>
      <c r="AV2" s="146"/>
      <c r="AW2" s="146"/>
      <c r="AX2" s="172">
        <f>SUM(AX3:AX113)</f>
        <v>-76812</v>
      </c>
      <c r="AZ2" s="144"/>
      <c r="BA2" s="245" t="s">
        <v>1712</v>
      </c>
      <c r="BB2" s="146"/>
      <c r="BC2" s="146"/>
      <c r="BD2" s="146"/>
      <c r="BE2" s="146"/>
      <c r="BF2" s="146"/>
      <c r="BG2" s="146"/>
      <c r="BH2" s="172">
        <f>SUM(BH3:BH146)</f>
        <v>2.1167306507585693E-7</v>
      </c>
      <c r="BJ2" s="144"/>
      <c r="BK2" s="151" t="s">
        <v>84</v>
      </c>
      <c r="BL2" s="146"/>
      <c r="BM2" s="146"/>
      <c r="BN2" s="146"/>
      <c r="BO2" s="146"/>
      <c r="BP2" s="146"/>
      <c r="BQ2" s="146"/>
      <c r="BR2" s="172">
        <f>SUM(BR3:BR146)</f>
        <v>-8.7449940237523389</v>
      </c>
      <c r="BT2" s="144"/>
      <c r="BU2" s="151" t="s">
        <v>91</v>
      </c>
      <c r="BV2" s="146"/>
      <c r="BW2" s="146"/>
      <c r="BX2" s="146"/>
      <c r="BY2" s="146"/>
      <c r="BZ2" s="146"/>
      <c r="CA2" s="146"/>
      <c r="CB2" s="172">
        <f>SUM(CB3:CB113)</f>
        <v>-0.35600893999999927</v>
      </c>
    </row>
    <row r="3" spans="2:105">
      <c r="B3" s="147">
        <v>3059</v>
      </c>
      <c r="C3" s="156">
        <v>43374</v>
      </c>
      <c r="D3" s="156">
        <v>43382</v>
      </c>
      <c r="E3" s="148" t="s">
        <v>822</v>
      </c>
      <c r="F3" s="148" t="s">
        <v>823</v>
      </c>
      <c r="G3" s="148" t="s">
        <v>825</v>
      </c>
      <c r="H3" s="148">
        <v>138.84587309652201</v>
      </c>
      <c r="I3" s="148">
        <f>'Cálculo PU'!V58</f>
        <v>81.089419446552739</v>
      </c>
      <c r="J3" s="168">
        <f>H3-I3</f>
        <v>57.756453649969274</v>
      </c>
      <c r="L3" s="147">
        <v>3045</v>
      </c>
      <c r="M3" s="156">
        <v>43374</v>
      </c>
      <c r="N3" s="156">
        <v>43382</v>
      </c>
      <c r="O3" s="148" t="s">
        <v>822</v>
      </c>
      <c r="P3" s="148" t="s">
        <v>823</v>
      </c>
      <c r="Q3" s="148" t="s">
        <v>824</v>
      </c>
      <c r="R3" s="148">
        <v>138.968385565143</v>
      </c>
      <c r="S3" s="148">
        <f>'Cálculo PU'!U58</f>
        <v>86.855729843985259</v>
      </c>
      <c r="T3" s="168">
        <f t="shared" ref="T3:T34" si="0">R3-S3</f>
        <v>52.112655721157736</v>
      </c>
      <c r="V3" s="147">
        <v>3031</v>
      </c>
      <c r="W3" s="156">
        <v>43374</v>
      </c>
      <c r="X3" s="156">
        <v>43382</v>
      </c>
      <c r="Y3" s="148" t="s">
        <v>822</v>
      </c>
      <c r="Z3" s="148" t="s">
        <v>823</v>
      </c>
      <c r="AA3" s="148" t="s">
        <v>830</v>
      </c>
      <c r="AB3" s="148">
        <v>139.277053069766</v>
      </c>
      <c r="AC3" s="148">
        <f>'Cálculo PU'!T58</f>
        <v>133.31902410009388</v>
      </c>
      <c r="AD3" s="168">
        <f t="shared" ref="AD3:AD34" si="1">AB3-AC3</f>
        <v>5.9580289696721138</v>
      </c>
      <c r="AF3" s="147">
        <v>3043</v>
      </c>
      <c r="AG3" s="156">
        <v>43374</v>
      </c>
      <c r="AH3" s="156">
        <v>43382</v>
      </c>
      <c r="AI3" s="148" t="s">
        <v>822</v>
      </c>
      <c r="AJ3" s="148" t="s">
        <v>823</v>
      </c>
      <c r="AK3" s="148" t="s">
        <v>942</v>
      </c>
      <c r="AL3" s="148">
        <v>6.4093013499999998</v>
      </c>
      <c r="AM3" s="148">
        <f>'Cálculo PU'!Q58</f>
        <v>16.653600000000001</v>
      </c>
      <c r="AN3" s="168">
        <f t="shared" ref="AN3:AN34" si="2">AL3-AM3</f>
        <v>-10.244298650000001</v>
      </c>
      <c r="AP3" s="147">
        <v>3044</v>
      </c>
      <c r="AQ3" s="156">
        <v>43374</v>
      </c>
      <c r="AR3" s="156">
        <v>43382</v>
      </c>
      <c r="AS3" s="148" t="s">
        <v>822</v>
      </c>
      <c r="AT3" s="148" t="s">
        <v>823</v>
      </c>
      <c r="AU3" s="148" t="s">
        <v>943</v>
      </c>
      <c r="AV3" s="148">
        <v>9</v>
      </c>
      <c r="AW3" s="152">
        <f>'Cálculo PU'!L58</f>
        <v>701</v>
      </c>
      <c r="AX3" s="168">
        <f t="shared" ref="AX3:AX34" si="3">AV3-AW3</f>
        <v>-692</v>
      </c>
      <c r="AZ3" s="147">
        <v>3033</v>
      </c>
      <c r="BA3" s="156">
        <v>43374</v>
      </c>
      <c r="BB3" s="156">
        <v>43382</v>
      </c>
      <c r="BC3" s="148" t="s">
        <v>822</v>
      </c>
      <c r="BD3" s="148" t="s">
        <v>823</v>
      </c>
      <c r="BE3" s="148" t="s">
        <v>945</v>
      </c>
      <c r="BF3" s="148">
        <v>1.001961652686</v>
      </c>
      <c r="BG3" s="148">
        <f>'Cálculo PU'!N58</f>
        <v>1.0018634787225431</v>
      </c>
      <c r="BH3" s="168">
        <f t="shared" ref="BH3:BH34" si="4">BF3-BG3</f>
        <v>9.8173963456904545E-5</v>
      </c>
      <c r="BJ3" s="147">
        <v>3058</v>
      </c>
      <c r="BK3" s="156">
        <v>43374</v>
      </c>
      <c r="BL3" s="156">
        <v>43382</v>
      </c>
      <c r="BM3" s="148" t="s">
        <v>822</v>
      </c>
      <c r="BN3" s="148" t="s">
        <v>823</v>
      </c>
      <c r="BO3" s="148" t="s">
        <v>827</v>
      </c>
      <c r="BP3" s="148">
        <v>1.000882363054</v>
      </c>
      <c r="BQ3" s="148">
        <f>'Cálculo PU'!O58</f>
        <v>1.0711105152409333</v>
      </c>
      <c r="BR3" s="168">
        <f t="shared" ref="BR3:BR34" si="5">BP3-BQ3</f>
        <v>-7.0228152186933235E-2</v>
      </c>
      <c r="BT3" s="147">
        <v>3032</v>
      </c>
      <c r="BU3" s="156">
        <v>43374</v>
      </c>
      <c r="BV3" s="156">
        <v>43382</v>
      </c>
      <c r="BW3" s="148" t="s">
        <v>822</v>
      </c>
      <c r="BX3" s="148" t="s">
        <v>823</v>
      </c>
      <c r="BY3" s="148" t="s">
        <v>946</v>
      </c>
      <c r="BZ3" s="148">
        <v>1.0049322999999999</v>
      </c>
      <c r="CA3" s="148">
        <f>'Cálculo PU'!S58</f>
        <v>1.01262126</v>
      </c>
      <c r="CB3" s="168">
        <f t="shared" ref="CB3:CB34" si="6">BZ3-CA3</f>
        <v>-7.688960000000078E-3</v>
      </c>
      <c r="CD3">
        <v>3025</v>
      </c>
      <c r="CE3" s="215">
        <v>43354</v>
      </c>
      <c r="CF3" s="215">
        <v>43382</v>
      </c>
      <c r="CG3" t="s">
        <v>822</v>
      </c>
      <c r="CH3" t="s">
        <v>823</v>
      </c>
      <c r="CI3" t="s">
        <v>1713</v>
      </c>
      <c r="CJ3">
        <v>1.0019616526860899</v>
      </c>
      <c r="CK3">
        <f>BG3</f>
        <v>1.0018634787225431</v>
      </c>
      <c r="CL3" s="246">
        <f>CE3</f>
        <v>43354</v>
      </c>
      <c r="CM3" s="246">
        <f>'Cálculo PU'!G57</f>
        <v>43354</v>
      </c>
      <c r="CN3" s="215">
        <f>CF3</f>
        <v>43382</v>
      </c>
      <c r="CO3" s="215">
        <f>'Cálculo PU'!G58</f>
        <v>43382</v>
      </c>
      <c r="CQ3">
        <v>3169</v>
      </c>
      <c r="CR3" s="215">
        <v>43354</v>
      </c>
      <c r="CS3" s="215">
        <v>43382</v>
      </c>
      <c r="CT3" t="s">
        <v>822</v>
      </c>
      <c r="CU3" t="s">
        <v>823</v>
      </c>
      <c r="CV3" t="s">
        <v>1714</v>
      </c>
      <c r="CW3">
        <v>2.5</v>
      </c>
      <c r="CY3">
        <v>1.0019616526860899</v>
      </c>
      <c r="CZ3">
        <v>20</v>
      </c>
      <c r="DA3">
        <v>1.0019616526860899</v>
      </c>
    </row>
    <row r="4" spans="2:105">
      <c r="B4" s="147">
        <v>3098</v>
      </c>
      <c r="C4" s="156">
        <v>43374</v>
      </c>
      <c r="D4" s="156">
        <v>43416</v>
      </c>
      <c r="E4" s="148" t="s">
        <v>822</v>
      </c>
      <c r="F4" s="148" t="s">
        <v>823</v>
      </c>
      <c r="G4" s="148" t="s">
        <v>825</v>
      </c>
      <c r="H4" s="148">
        <v>149.92414127608501</v>
      </c>
      <c r="I4" s="148">
        <f>'Cálculo PU'!V59</f>
        <v>91.506708302093756</v>
      </c>
      <c r="J4" s="168">
        <f t="shared" ref="J4:J67" si="7">H4-I4</f>
        <v>58.417432973991254</v>
      </c>
      <c r="L4" s="147">
        <v>3084</v>
      </c>
      <c r="M4" s="156">
        <v>43374</v>
      </c>
      <c r="N4" s="156">
        <v>43416</v>
      </c>
      <c r="O4" s="148" t="s">
        <v>822</v>
      </c>
      <c r="P4" s="148" t="s">
        <v>823</v>
      </c>
      <c r="Q4" s="148" t="s">
        <v>824</v>
      </c>
      <c r="R4" s="148">
        <v>150.38028990977401</v>
      </c>
      <c r="S4" s="148">
        <f>'Cálculo PU'!U59</f>
        <v>98.225336946653087</v>
      </c>
      <c r="T4" s="168">
        <f t="shared" si="0"/>
        <v>52.15495296312092</v>
      </c>
      <c r="V4" s="147">
        <v>3070</v>
      </c>
      <c r="W4" s="156">
        <v>43374</v>
      </c>
      <c r="X4" s="156">
        <v>43416</v>
      </c>
      <c r="Y4" s="148" t="s">
        <v>822</v>
      </c>
      <c r="Z4" s="148" t="s">
        <v>823</v>
      </c>
      <c r="AA4" s="148" t="s">
        <v>830</v>
      </c>
      <c r="AB4" s="148">
        <v>151.545778080384</v>
      </c>
      <c r="AC4" s="148">
        <f>'Cálculo PU'!T59</f>
        <v>152.81163604155614</v>
      </c>
      <c r="AD4" s="168">
        <f t="shared" si="1"/>
        <v>-1.265857961172145</v>
      </c>
      <c r="AF4" s="147">
        <v>3082</v>
      </c>
      <c r="AG4" s="156">
        <v>43374</v>
      </c>
      <c r="AH4" s="156">
        <v>43416</v>
      </c>
      <c r="AI4" s="148" t="s">
        <v>822</v>
      </c>
      <c r="AJ4" s="148" t="s">
        <v>823</v>
      </c>
      <c r="AK4" s="148" t="s">
        <v>942</v>
      </c>
      <c r="AL4" s="148">
        <v>6.4770543900000002</v>
      </c>
      <c r="AM4" s="148">
        <f>'Cálculo PU'!Q59</f>
        <v>16.653500000000001</v>
      </c>
      <c r="AN4" s="168">
        <f t="shared" si="2"/>
        <v>-10.176445610000002</v>
      </c>
      <c r="AP4" s="147">
        <v>3083</v>
      </c>
      <c r="AQ4" s="156">
        <v>43374</v>
      </c>
      <c r="AR4" s="156">
        <v>43416</v>
      </c>
      <c r="AS4" s="148" t="s">
        <v>822</v>
      </c>
      <c r="AT4" s="148" t="s">
        <v>823</v>
      </c>
      <c r="AU4" s="148" t="s">
        <v>943</v>
      </c>
      <c r="AV4" s="148">
        <v>31</v>
      </c>
      <c r="AW4" s="152">
        <f>'Cálculo PU'!L59</f>
        <v>723</v>
      </c>
      <c r="AX4" s="168">
        <f t="shared" si="3"/>
        <v>-692</v>
      </c>
      <c r="AZ4" s="147">
        <v>3072</v>
      </c>
      <c r="BA4" s="156">
        <v>43374</v>
      </c>
      <c r="BB4" s="156">
        <v>43416</v>
      </c>
      <c r="BC4" s="148" t="s">
        <v>822</v>
      </c>
      <c r="BD4" s="148" t="s">
        <v>823</v>
      </c>
      <c r="BE4" s="148" t="s">
        <v>945</v>
      </c>
      <c r="BF4" s="148">
        <v>1.0021580294750001</v>
      </c>
      <c r="BG4" s="148">
        <f>'Cálculo PU'!N59</f>
        <v>1.0021580294747356</v>
      </c>
      <c r="BH4" s="168">
        <f t="shared" si="4"/>
        <v>2.6445512446571229E-13</v>
      </c>
      <c r="BJ4" s="147">
        <v>3097</v>
      </c>
      <c r="BK4" s="156">
        <v>43374</v>
      </c>
      <c r="BL4" s="156">
        <v>43416</v>
      </c>
      <c r="BM4" s="148" t="s">
        <v>822</v>
      </c>
      <c r="BN4" s="148" t="s">
        <v>823</v>
      </c>
      <c r="BO4" s="148" t="s">
        <v>827</v>
      </c>
      <c r="BP4" s="148">
        <v>1.003042529574</v>
      </c>
      <c r="BQ4" s="148">
        <f>'Cálculo PU'!O59</f>
        <v>1.0734222525235957</v>
      </c>
      <c r="BR4" s="168">
        <f t="shared" si="5"/>
        <v>-7.0379722949595713E-2</v>
      </c>
      <c r="BT4" s="147">
        <v>3071</v>
      </c>
      <c r="BU4" s="156">
        <v>43374</v>
      </c>
      <c r="BV4" s="156">
        <v>43416</v>
      </c>
      <c r="BW4" s="148" t="s">
        <v>822</v>
      </c>
      <c r="BX4" s="148" t="s">
        <v>823</v>
      </c>
      <c r="BY4" s="148" t="s">
        <v>946</v>
      </c>
      <c r="BZ4" s="148">
        <v>1.00549095</v>
      </c>
      <c r="CA4" s="148">
        <f>'Cálculo PU'!S59</f>
        <v>1.0138897899999999</v>
      </c>
      <c r="CB4" s="168">
        <f t="shared" si="6"/>
        <v>-8.3988399999999075E-3</v>
      </c>
      <c r="CD4">
        <v>3063</v>
      </c>
      <c r="CE4" s="215">
        <v>43382</v>
      </c>
      <c r="CF4" s="215">
        <v>43416</v>
      </c>
      <c r="CG4" t="s">
        <v>822</v>
      </c>
      <c r="CH4" t="s">
        <v>823</v>
      </c>
      <c r="CI4" t="s">
        <v>1713</v>
      </c>
      <c r="CJ4">
        <v>1.0021580294747401</v>
      </c>
      <c r="CK4">
        <f t="shared" ref="CK4:CK67" si="8">BG4</f>
        <v>1.0021580294747356</v>
      </c>
      <c r="CL4" s="246">
        <f t="shared" ref="CL4:CL67" si="9">CE4</f>
        <v>43382</v>
      </c>
      <c r="CM4" s="246">
        <f>'Cálculo PU'!G58</f>
        <v>43382</v>
      </c>
      <c r="CN4" s="215">
        <f t="shared" ref="CN4:CN67" si="10">CF4</f>
        <v>43416</v>
      </c>
      <c r="CO4" s="215">
        <f>'Cálculo PU'!G59</f>
        <v>43416</v>
      </c>
      <c r="CQ4">
        <v>3171</v>
      </c>
      <c r="CR4" s="215">
        <v>43354</v>
      </c>
      <c r="CS4" s="215">
        <v>43382</v>
      </c>
      <c r="CT4" t="s">
        <v>822</v>
      </c>
      <c r="CU4" t="s">
        <v>823</v>
      </c>
      <c r="CV4" t="s">
        <v>1714</v>
      </c>
      <c r="CW4">
        <v>2.5</v>
      </c>
      <c r="CY4">
        <v>1.0023544447517201</v>
      </c>
      <c r="CZ4">
        <v>24</v>
      </c>
      <c r="DA4">
        <v>1.0021580294747401</v>
      </c>
    </row>
    <row r="5" spans="2:105">
      <c r="B5" s="147">
        <v>3137</v>
      </c>
      <c r="C5" s="156">
        <v>43374</v>
      </c>
      <c r="D5" s="156">
        <v>43444</v>
      </c>
      <c r="E5" s="148" t="s">
        <v>822</v>
      </c>
      <c r="F5" s="148" t="s">
        <v>823</v>
      </c>
      <c r="G5" s="148" t="s">
        <v>825</v>
      </c>
      <c r="H5" s="148">
        <v>127.032145405519</v>
      </c>
      <c r="I5" s="148">
        <f>'Cálculo PU'!V60</f>
        <v>80.940444848608891</v>
      </c>
      <c r="J5" s="168">
        <f t="shared" si="7"/>
        <v>46.091700556910112</v>
      </c>
      <c r="L5" s="147">
        <v>3123</v>
      </c>
      <c r="M5" s="156">
        <v>43374</v>
      </c>
      <c r="N5" s="156">
        <v>43444</v>
      </c>
      <c r="O5" s="148" t="s">
        <v>822</v>
      </c>
      <c r="P5" s="148" t="s">
        <v>823</v>
      </c>
      <c r="Q5" s="148" t="s">
        <v>824</v>
      </c>
      <c r="R5" s="148">
        <v>127.668622537579</v>
      </c>
      <c r="S5" s="148">
        <f>'Cálculo PU'!U60</f>
        <v>87.053727812853552</v>
      </c>
      <c r="T5" s="168">
        <f t="shared" si="0"/>
        <v>40.614894724725445</v>
      </c>
      <c r="V5" s="147">
        <v>3109</v>
      </c>
      <c r="W5" s="156">
        <v>43374</v>
      </c>
      <c r="X5" s="156">
        <v>43444</v>
      </c>
      <c r="Y5" s="148" t="s">
        <v>822</v>
      </c>
      <c r="Z5" s="148" t="s">
        <v>823</v>
      </c>
      <c r="AA5" s="148" t="s">
        <v>830</v>
      </c>
      <c r="AB5" s="148">
        <v>129.31903574234499</v>
      </c>
      <c r="AC5" s="148">
        <f>'Cálculo PU'!T60</f>
        <v>137.09717970440988</v>
      </c>
      <c r="AD5" s="168">
        <f t="shared" si="1"/>
        <v>-7.7781439620648882</v>
      </c>
      <c r="AF5" s="147">
        <v>3121</v>
      </c>
      <c r="AG5" s="156">
        <v>43374</v>
      </c>
      <c r="AH5" s="156">
        <v>43444</v>
      </c>
      <c r="AI5" s="148" t="s">
        <v>822</v>
      </c>
      <c r="AJ5" s="148" t="s">
        <v>823</v>
      </c>
      <c r="AK5" s="148" t="s">
        <v>942</v>
      </c>
      <c r="AL5" s="148">
        <v>6.5524133500000001</v>
      </c>
      <c r="AM5" s="148">
        <f>'Cálculo PU'!Q60</f>
        <v>16.653400000000001</v>
      </c>
      <c r="AN5" s="168">
        <f t="shared" si="2"/>
        <v>-10.100986650000001</v>
      </c>
      <c r="AP5" s="147">
        <v>3122</v>
      </c>
      <c r="AQ5" s="156">
        <v>43374</v>
      </c>
      <c r="AR5" s="156">
        <v>43444</v>
      </c>
      <c r="AS5" s="148" t="s">
        <v>822</v>
      </c>
      <c r="AT5" s="148" t="s">
        <v>823</v>
      </c>
      <c r="AU5" s="148" t="s">
        <v>943</v>
      </c>
      <c r="AV5" s="148">
        <v>51</v>
      </c>
      <c r="AW5" s="152">
        <f>'Cálculo PU'!L60</f>
        <v>743</v>
      </c>
      <c r="AX5" s="168">
        <f t="shared" si="3"/>
        <v>-692</v>
      </c>
      <c r="AZ5" s="147">
        <v>3111</v>
      </c>
      <c r="BA5" s="156">
        <v>43374</v>
      </c>
      <c r="BB5" s="156">
        <v>43444</v>
      </c>
      <c r="BC5" s="148" t="s">
        <v>822</v>
      </c>
      <c r="BD5" s="148" t="s">
        <v>823</v>
      </c>
      <c r="BE5" s="148" t="s">
        <v>945</v>
      </c>
      <c r="BF5" s="148">
        <v>1.0018634787230001</v>
      </c>
      <c r="BG5" s="148">
        <f>'Cálculo PU'!N60</f>
        <v>1.0019616526860928</v>
      </c>
      <c r="BH5" s="168">
        <f t="shared" si="4"/>
        <v>-9.8173963092751393E-5</v>
      </c>
      <c r="BJ5" s="147">
        <v>3136</v>
      </c>
      <c r="BK5" s="156">
        <v>43374</v>
      </c>
      <c r="BL5" s="156">
        <v>43444</v>
      </c>
      <c r="BM5" s="148" t="s">
        <v>822</v>
      </c>
      <c r="BN5" s="148" t="s">
        <v>823</v>
      </c>
      <c r="BO5" s="148" t="s">
        <v>827</v>
      </c>
      <c r="BP5" s="148">
        <v>1.0050103627710001</v>
      </c>
      <c r="BQ5" s="148">
        <f>'Cálculo PU'!O60</f>
        <v>1.0755281611767633</v>
      </c>
      <c r="BR5" s="168">
        <f t="shared" si="5"/>
        <v>-7.0517798405763221E-2</v>
      </c>
      <c r="BT5" s="147">
        <v>3110</v>
      </c>
      <c r="BU5" s="156">
        <v>43374</v>
      </c>
      <c r="BV5" s="156">
        <v>43444</v>
      </c>
      <c r="BW5" s="148" t="s">
        <v>822</v>
      </c>
      <c r="BX5" s="148" t="s">
        <v>823</v>
      </c>
      <c r="BY5" s="148" t="s">
        <v>946</v>
      </c>
      <c r="BZ5" s="148">
        <v>1.0048597399999999</v>
      </c>
      <c r="CA5" s="148">
        <f>'Cálculo PU'!S60</f>
        <v>1.01198443</v>
      </c>
      <c r="CB5" s="168">
        <f t="shared" si="6"/>
        <v>-7.1246900000001556E-3</v>
      </c>
      <c r="CD5">
        <v>3101</v>
      </c>
      <c r="CE5" s="215">
        <v>43416</v>
      </c>
      <c r="CF5" s="215">
        <v>43444</v>
      </c>
      <c r="CG5" t="s">
        <v>822</v>
      </c>
      <c r="CH5" t="s">
        <v>823</v>
      </c>
      <c r="CI5" t="s">
        <v>1713</v>
      </c>
      <c r="CJ5">
        <v>1.00186347872254</v>
      </c>
      <c r="CK5">
        <f t="shared" si="8"/>
        <v>1.0019616526860928</v>
      </c>
      <c r="CL5" s="246">
        <f t="shared" si="9"/>
        <v>43416</v>
      </c>
      <c r="CM5" s="246">
        <f>'Cálculo PU'!G59</f>
        <v>43416</v>
      </c>
      <c r="CN5" s="215">
        <f t="shared" si="10"/>
        <v>43444</v>
      </c>
      <c r="CO5" s="215">
        <f>'Cálculo PU'!G60</f>
        <v>43444</v>
      </c>
      <c r="CQ5">
        <v>3209</v>
      </c>
      <c r="CR5" s="215">
        <v>43382</v>
      </c>
      <c r="CS5" s="215">
        <v>43416</v>
      </c>
      <c r="CT5" t="s">
        <v>822</v>
      </c>
      <c r="CU5" t="s">
        <v>823</v>
      </c>
      <c r="CV5" t="s">
        <v>1714</v>
      </c>
      <c r="CW5">
        <v>2.5</v>
      </c>
      <c r="CY5">
        <v>1.0019616526860899</v>
      </c>
      <c r="CZ5">
        <v>20</v>
      </c>
      <c r="DA5">
        <v>1.00186347872254</v>
      </c>
    </row>
    <row r="6" spans="2:105">
      <c r="B6" s="147">
        <v>3176</v>
      </c>
      <c r="C6" s="156">
        <v>43374</v>
      </c>
      <c r="D6" s="156">
        <v>43474</v>
      </c>
      <c r="E6" s="148" t="s">
        <v>822</v>
      </c>
      <c r="F6" s="148" t="s">
        <v>823</v>
      </c>
      <c r="G6" s="148" t="s">
        <v>825</v>
      </c>
      <c r="H6" s="148">
        <v>131.29918578906401</v>
      </c>
      <c r="I6" s="148">
        <f>'Cálculo PU'!V61</f>
        <v>78.932220633151388</v>
      </c>
      <c r="J6" s="168">
        <f t="shared" si="7"/>
        <v>52.366965155912624</v>
      </c>
      <c r="L6" s="147">
        <v>3162</v>
      </c>
      <c r="M6" s="156">
        <v>43374</v>
      </c>
      <c r="N6" s="156">
        <v>43474</v>
      </c>
      <c r="O6" s="148" t="s">
        <v>822</v>
      </c>
      <c r="P6" s="148" t="s">
        <v>823</v>
      </c>
      <c r="Q6" s="148" t="s">
        <v>824</v>
      </c>
      <c r="R6" s="148">
        <v>132.21592413433299</v>
      </c>
      <c r="S6" s="148">
        <f>'Cálculo PU'!U61</f>
        <v>85.060376270617368</v>
      </c>
      <c r="T6" s="168">
        <f t="shared" si="0"/>
        <v>47.155547863715626</v>
      </c>
      <c r="V6" s="147">
        <v>3148</v>
      </c>
      <c r="W6" s="156">
        <v>43374</v>
      </c>
      <c r="X6" s="156">
        <v>43474</v>
      </c>
      <c r="Y6" s="148" t="s">
        <v>822</v>
      </c>
      <c r="Z6" s="148" t="s">
        <v>823</v>
      </c>
      <c r="AA6" s="148" t="s">
        <v>830</v>
      </c>
      <c r="AB6" s="148">
        <v>134.670401910599</v>
      </c>
      <c r="AC6" s="148">
        <f>'Cálculo PU'!T61</f>
        <v>135.61162728847825</v>
      </c>
      <c r="AD6" s="168">
        <f t="shared" si="1"/>
        <v>-0.94122537787924898</v>
      </c>
      <c r="AF6" s="147">
        <v>3160</v>
      </c>
      <c r="AG6" s="156">
        <v>43374</v>
      </c>
      <c r="AH6" s="156">
        <v>43474</v>
      </c>
      <c r="AI6" s="148" t="s">
        <v>822</v>
      </c>
      <c r="AJ6" s="148" t="s">
        <v>823</v>
      </c>
      <c r="AK6" s="148" t="s">
        <v>942</v>
      </c>
      <c r="AL6" s="148">
        <v>6.7463818599999996</v>
      </c>
      <c r="AM6" s="148">
        <f>'Cálculo PU'!Q61</f>
        <v>16.655100000000001</v>
      </c>
      <c r="AN6" s="168">
        <f t="shared" si="2"/>
        <v>-9.9087181400000013</v>
      </c>
      <c r="AP6" s="147">
        <v>3161</v>
      </c>
      <c r="AQ6" s="156">
        <v>43374</v>
      </c>
      <c r="AR6" s="156">
        <v>43474</v>
      </c>
      <c r="AS6" s="148" t="s">
        <v>822</v>
      </c>
      <c r="AT6" s="148" t="s">
        <v>823</v>
      </c>
      <c r="AU6" s="148" t="s">
        <v>943</v>
      </c>
      <c r="AV6" s="148">
        <v>71</v>
      </c>
      <c r="AW6" s="152">
        <f>'Cálculo PU'!L61</f>
        <v>763</v>
      </c>
      <c r="AX6" s="168">
        <f t="shared" si="3"/>
        <v>-692</v>
      </c>
      <c r="AZ6" s="147">
        <v>3150</v>
      </c>
      <c r="BA6" s="156">
        <v>43374</v>
      </c>
      <c r="BB6" s="156">
        <v>43474</v>
      </c>
      <c r="BC6" s="148" t="s">
        <v>822</v>
      </c>
      <c r="BD6" s="148" t="s">
        <v>823</v>
      </c>
      <c r="BE6" s="148" t="s">
        <v>945</v>
      </c>
      <c r="BF6" s="148">
        <v>1.001961652686</v>
      </c>
      <c r="BG6" s="148">
        <f>'Cálculo PU'!N61</f>
        <v>1.0019616526860928</v>
      </c>
      <c r="BH6" s="168">
        <f t="shared" si="4"/>
        <v>-9.2814644858663087E-14</v>
      </c>
      <c r="BJ6" s="147">
        <v>3175</v>
      </c>
      <c r="BK6" s="156">
        <v>43374</v>
      </c>
      <c r="BL6" s="156">
        <v>43474</v>
      </c>
      <c r="BM6" s="148" t="s">
        <v>822</v>
      </c>
      <c r="BN6" s="148" t="s">
        <v>823</v>
      </c>
      <c r="BO6" s="148" t="s">
        <v>827</v>
      </c>
      <c r="BP6" s="148">
        <v>1.006982056589</v>
      </c>
      <c r="BQ6" s="148">
        <f>'Cálculo PU'!O61</f>
        <v>1.0776382013366563</v>
      </c>
      <c r="BR6" s="168">
        <f t="shared" si="5"/>
        <v>-7.0656144747656358E-2</v>
      </c>
      <c r="BT6" s="147">
        <v>3149</v>
      </c>
      <c r="BU6" s="156">
        <v>43374</v>
      </c>
      <c r="BV6" s="156">
        <v>43474</v>
      </c>
      <c r="BW6" s="148" t="s">
        <v>822</v>
      </c>
      <c r="BX6" s="148" t="s">
        <v>823</v>
      </c>
      <c r="BY6" s="148" t="s">
        <v>946</v>
      </c>
      <c r="BZ6" s="148">
        <v>1.00548948</v>
      </c>
      <c r="CA6" s="148">
        <f>'Cálculo PU'!S61</f>
        <v>1.01251695</v>
      </c>
      <c r="CB6" s="168">
        <f t="shared" si="6"/>
        <v>-7.0274699999999246E-3</v>
      </c>
      <c r="CD6">
        <v>3139</v>
      </c>
      <c r="CE6" s="215">
        <v>43444</v>
      </c>
      <c r="CF6" s="215">
        <v>43474</v>
      </c>
      <c r="CG6" t="s">
        <v>822</v>
      </c>
      <c r="CH6" t="s">
        <v>823</v>
      </c>
      <c r="CI6" t="s">
        <v>1713</v>
      </c>
      <c r="CJ6">
        <v>1.0019616526860899</v>
      </c>
      <c r="CK6">
        <f t="shared" si="8"/>
        <v>1.0019616526860928</v>
      </c>
      <c r="CL6" s="246">
        <f t="shared" si="9"/>
        <v>43444</v>
      </c>
      <c r="CM6" s="246">
        <f>'Cálculo PU'!G60</f>
        <v>43444</v>
      </c>
      <c r="CN6" s="215">
        <f t="shared" si="10"/>
        <v>43474</v>
      </c>
      <c r="CO6" s="215">
        <f>'Cálculo PU'!G61</f>
        <v>43474</v>
      </c>
      <c r="CQ6">
        <v>3211</v>
      </c>
      <c r="CR6" s="215">
        <v>43382</v>
      </c>
      <c r="CS6" s="215">
        <v>43416</v>
      </c>
      <c r="CT6" t="s">
        <v>822</v>
      </c>
      <c r="CU6" t="s">
        <v>823</v>
      </c>
      <c r="CV6" t="s">
        <v>1714</v>
      </c>
      <c r="CW6">
        <v>2.5</v>
      </c>
      <c r="CY6">
        <v>1.0021580294747401</v>
      </c>
      <c r="CZ6">
        <v>22</v>
      </c>
      <c r="DA6">
        <v>1.0019616526860899</v>
      </c>
    </row>
    <row r="7" spans="2:105">
      <c r="B7" s="147">
        <v>3215</v>
      </c>
      <c r="C7" s="156">
        <v>43374</v>
      </c>
      <c r="D7" s="156">
        <v>43504</v>
      </c>
      <c r="E7" s="148" t="s">
        <v>822</v>
      </c>
      <c r="F7" s="148" t="s">
        <v>823</v>
      </c>
      <c r="G7" s="148" t="s">
        <v>825</v>
      </c>
      <c r="H7" s="148">
        <v>141.56825941690201</v>
      </c>
      <c r="I7" s="148">
        <f>'Cálculo PU'!V62</f>
        <v>84.501955436590094</v>
      </c>
      <c r="J7" s="168">
        <f t="shared" si="7"/>
        <v>57.066303980311915</v>
      </c>
      <c r="L7" s="147">
        <v>3201</v>
      </c>
      <c r="M7" s="156">
        <v>43374</v>
      </c>
      <c r="N7" s="156">
        <v>43504</v>
      </c>
      <c r="O7" s="148" t="s">
        <v>822</v>
      </c>
      <c r="P7" s="148" t="s">
        <v>823</v>
      </c>
      <c r="Q7" s="148" t="s">
        <v>824</v>
      </c>
      <c r="R7" s="148">
        <v>142.86437173868899</v>
      </c>
      <c r="S7" s="148">
        <f>'Cálculo PU'!U62</f>
        <v>91.259072089192969</v>
      </c>
      <c r="T7" s="168">
        <f t="shared" si="0"/>
        <v>51.605299649496018</v>
      </c>
      <c r="V7" s="147">
        <v>3187</v>
      </c>
      <c r="W7" s="156">
        <v>43374</v>
      </c>
      <c r="X7" s="156">
        <v>43504</v>
      </c>
      <c r="Y7" s="148" t="s">
        <v>822</v>
      </c>
      <c r="Z7" s="148" t="s">
        <v>823</v>
      </c>
      <c r="AA7" s="148" t="s">
        <v>830</v>
      </c>
      <c r="AB7" s="148">
        <v>146.42922992097101</v>
      </c>
      <c r="AC7" s="148">
        <f>'Cálculo PU'!T62</f>
        <v>147.47951688750123</v>
      </c>
      <c r="AD7" s="168">
        <f t="shared" si="1"/>
        <v>-1.0502869665302228</v>
      </c>
      <c r="AF7" s="147">
        <v>3199</v>
      </c>
      <c r="AG7" s="156">
        <v>43374</v>
      </c>
      <c r="AH7" s="156">
        <v>43504</v>
      </c>
      <c r="AI7" s="148" t="s">
        <v>822</v>
      </c>
      <c r="AJ7" s="148" t="s">
        <v>823</v>
      </c>
      <c r="AK7" s="148" t="s">
        <v>942</v>
      </c>
      <c r="AL7" s="148">
        <v>6.9064629499999999</v>
      </c>
      <c r="AM7" s="148">
        <f>'Cálculo PU'!Q62</f>
        <v>16.658999999999999</v>
      </c>
      <c r="AN7" s="168">
        <f t="shared" si="2"/>
        <v>-9.752537049999999</v>
      </c>
      <c r="AP7" s="147">
        <v>3200</v>
      </c>
      <c r="AQ7" s="156">
        <v>43374</v>
      </c>
      <c r="AR7" s="156">
        <v>43504</v>
      </c>
      <c r="AS7" s="148" t="s">
        <v>822</v>
      </c>
      <c r="AT7" s="148" t="s">
        <v>823</v>
      </c>
      <c r="AU7" s="148" t="s">
        <v>943</v>
      </c>
      <c r="AV7" s="148">
        <v>93</v>
      </c>
      <c r="AW7" s="152">
        <f>'Cálculo PU'!L62</f>
        <v>785</v>
      </c>
      <c r="AX7" s="168">
        <f t="shared" si="3"/>
        <v>-692</v>
      </c>
      <c r="AZ7" s="147">
        <v>3189</v>
      </c>
      <c r="BA7" s="156">
        <v>43374</v>
      </c>
      <c r="BB7" s="156">
        <v>43504</v>
      </c>
      <c r="BC7" s="148" t="s">
        <v>822</v>
      </c>
      <c r="BD7" s="148" t="s">
        <v>823</v>
      </c>
      <c r="BE7" s="148" t="s">
        <v>945</v>
      </c>
      <c r="BF7" s="148">
        <v>1.0021580294750001</v>
      </c>
      <c r="BG7" s="148">
        <f>'Cálculo PU'!N62</f>
        <v>1.0021580294747356</v>
      </c>
      <c r="BH7" s="168">
        <f t="shared" si="4"/>
        <v>2.6445512446571229E-13</v>
      </c>
      <c r="BJ7" s="147">
        <v>3214</v>
      </c>
      <c r="BK7" s="156">
        <v>43374</v>
      </c>
      <c r="BL7" s="156">
        <v>43504</v>
      </c>
      <c r="BM7" s="148" t="s">
        <v>822</v>
      </c>
      <c r="BN7" s="148" t="s">
        <v>823</v>
      </c>
      <c r="BO7" s="148" t="s">
        <v>827</v>
      </c>
      <c r="BP7" s="148">
        <v>1.0091553878470001</v>
      </c>
      <c r="BQ7" s="148">
        <f>'Cálculo PU'!O62</f>
        <v>1.0799640270771413</v>
      </c>
      <c r="BR7" s="168">
        <f t="shared" si="5"/>
        <v>-7.0808639230141246E-2</v>
      </c>
      <c r="BT7" s="147">
        <v>3188</v>
      </c>
      <c r="BU7" s="156">
        <v>43374</v>
      </c>
      <c r="BV7" s="156">
        <v>43504</v>
      </c>
      <c r="BW7" s="148" t="s">
        <v>822</v>
      </c>
      <c r="BX7" s="148" t="s">
        <v>823</v>
      </c>
      <c r="BY7" s="148" t="s">
        <v>946</v>
      </c>
      <c r="BZ7" s="148">
        <v>1.0062223299999999</v>
      </c>
      <c r="CA7" s="148">
        <f>'Cálculo PU'!S62</f>
        <v>1.01343962</v>
      </c>
      <c r="CB7" s="168">
        <f t="shared" si="6"/>
        <v>-7.2172900000000428E-3</v>
      </c>
      <c r="CD7">
        <v>3177</v>
      </c>
      <c r="CE7" s="215">
        <v>43474</v>
      </c>
      <c r="CF7" s="215">
        <v>43504</v>
      </c>
      <c r="CG7" t="s">
        <v>822</v>
      </c>
      <c r="CH7" t="s">
        <v>823</v>
      </c>
      <c r="CI7" t="s">
        <v>1713</v>
      </c>
      <c r="CJ7">
        <v>1.0021580294747401</v>
      </c>
      <c r="CK7">
        <f t="shared" si="8"/>
        <v>1.0021580294747356</v>
      </c>
      <c r="CL7" s="246">
        <f t="shared" si="9"/>
        <v>43474</v>
      </c>
      <c r="CM7" s="246">
        <f>'Cálculo PU'!G61</f>
        <v>43474</v>
      </c>
      <c r="CN7" s="215">
        <f t="shared" si="10"/>
        <v>43504</v>
      </c>
      <c r="CO7" s="215">
        <f>'Cálculo PU'!G62</f>
        <v>43504</v>
      </c>
      <c r="CQ7">
        <v>3249</v>
      </c>
      <c r="CR7" s="215">
        <v>43416</v>
      </c>
      <c r="CS7" s="215">
        <v>43444</v>
      </c>
      <c r="CT7" t="s">
        <v>822</v>
      </c>
      <c r="CU7" t="s">
        <v>823</v>
      </c>
      <c r="CV7" t="s">
        <v>1714</v>
      </c>
      <c r="CW7">
        <v>2.5</v>
      </c>
    </row>
    <row r="8" spans="2:105">
      <c r="B8" s="147">
        <v>3254</v>
      </c>
      <c r="C8" s="156">
        <v>43374</v>
      </c>
      <c r="D8" s="156">
        <v>43536</v>
      </c>
      <c r="E8" s="148" t="s">
        <v>822</v>
      </c>
      <c r="F8" s="148" t="s">
        <v>823</v>
      </c>
      <c r="G8" s="148" t="s">
        <v>825</v>
      </c>
      <c r="H8" s="148">
        <v>126.088631378511</v>
      </c>
      <c r="I8" s="148">
        <f>'Cálculo PU'!V63</f>
        <v>74.71206899410096</v>
      </c>
      <c r="J8" s="168">
        <f t="shared" si="7"/>
        <v>51.376562384410036</v>
      </c>
      <c r="L8" s="147">
        <v>3240</v>
      </c>
      <c r="M8" s="156">
        <v>43374</v>
      </c>
      <c r="N8" s="156">
        <v>43536</v>
      </c>
      <c r="O8" s="148" t="s">
        <v>822</v>
      </c>
      <c r="P8" s="148" t="s">
        <v>823</v>
      </c>
      <c r="Q8" s="148" t="s">
        <v>824</v>
      </c>
      <c r="R8" s="148">
        <v>127.492655226612</v>
      </c>
      <c r="S8" s="148">
        <f>'Cálculo PU'!U63</f>
        <v>80.844642554878988</v>
      </c>
      <c r="T8" s="168">
        <f t="shared" si="0"/>
        <v>46.648012671733014</v>
      </c>
      <c r="V8" s="147">
        <v>3226</v>
      </c>
      <c r="W8" s="156">
        <v>43374</v>
      </c>
      <c r="X8" s="156">
        <v>43536</v>
      </c>
      <c r="Y8" s="148" t="s">
        <v>822</v>
      </c>
      <c r="Z8" s="148" t="s">
        <v>823</v>
      </c>
      <c r="AA8" s="148" t="s">
        <v>830</v>
      </c>
      <c r="AB8" s="148">
        <v>131.437837928834</v>
      </c>
      <c r="AC8" s="148">
        <f>'Cálculo PU'!T63</f>
        <v>132.26943457650205</v>
      </c>
      <c r="AD8" s="168">
        <f t="shared" si="1"/>
        <v>-0.83159664766805008</v>
      </c>
      <c r="AF8" s="147">
        <v>3238</v>
      </c>
      <c r="AG8" s="156">
        <v>43374</v>
      </c>
      <c r="AH8" s="156">
        <v>43536</v>
      </c>
      <c r="AI8" s="148" t="s">
        <v>822</v>
      </c>
      <c r="AJ8" s="148" t="s">
        <v>823</v>
      </c>
      <c r="AK8" s="148" t="s">
        <v>942</v>
      </c>
      <c r="AL8" s="148">
        <v>7.03252173</v>
      </c>
      <c r="AM8" s="148">
        <f>'Cálculo PU'!Q63</f>
        <v>16.662500000000001</v>
      </c>
      <c r="AN8" s="168">
        <f t="shared" si="2"/>
        <v>-9.6299782700000023</v>
      </c>
      <c r="AP8" s="147">
        <v>3239</v>
      </c>
      <c r="AQ8" s="156">
        <v>43374</v>
      </c>
      <c r="AR8" s="156">
        <v>43536</v>
      </c>
      <c r="AS8" s="148" t="s">
        <v>822</v>
      </c>
      <c r="AT8" s="148" t="s">
        <v>823</v>
      </c>
      <c r="AU8" s="148" t="s">
        <v>943</v>
      </c>
      <c r="AV8" s="148">
        <v>113</v>
      </c>
      <c r="AW8" s="152">
        <f>'Cálculo PU'!L63</f>
        <v>805</v>
      </c>
      <c r="AX8" s="168">
        <f t="shared" si="3"/>
        <v>-692</v>
      </c>
      <c r="AZ8" s="147">
        <v>3228</v>
      </c>
      <c r="BA8" s="156">
        <v>43374</v>
      </c>
      <c r="BB8" s="156">
        <v>43536</v>
      </c>
      <c r="BC8" s="148" t="s">
        <v>822</v>
      </c>
      <c r="BD8" s="148" t="s">
        <v>823</v>
      </c>
      <c r="BE8" s="148" t="s">
        <v>945</v>
      </c>
      <c r="BF8" s="148">
        <v>1.001961652686</v>
      </c>
      <c r="BG8" s="148">
        <f>'Cálculo PU'!N63</f>
        <v>1.0019616526860928</v>
      </c>
      <c r="BH8" s="168">
        <f t="shared" si="4"/>
        <v>-9.2814644858663087E-14</v>
      </c>
      <c r="BJ8" s="147">
        <v>3253</v>
      </c>
      <c r="BK8" s="156">
        <v>43374</v>
      </c>
      <c r="BL8" s="156">
        <v>43536</v>
      </c>
      <c r="BM8" s="148" t="s">
        <v>822</v>
      </c>
      <c r="BN8" s="148" t="s">
        <v>823</v>
      </c>
      <c r="BO8" s="148" t="s">
        <v>827</v>
      </c>
      <c r="BP8" s="148">
        <v>1.0111352136409999</v>
      </c>
      <c r="BQ8" s="148">
        <f>'Cálculo PU'!O63</f>
        <v>1.0820827698033932</v>
      </c>
      <c r="BR8" s="168">
        <f t="shared" si="5"/>
        <v>-7.0947556162393344E-2</v>
      </c>
      <c r="BT8" s="147">
        <v>3227</v>
      </c>
      <c r="BU8" s="156">
        <v>43374</v>
      </c>
      <c r="BV8" s="156">
        <v>43536</v>
      </c>
      <c r="BW8" s="148" t="s">
        <v>822</v>
      </c>
      <c r="BX8" s="148" t="s">
        <v>823</v>
      </c>
      <c r="BY8" s="148" t="s">
        <v>946</v>
      </c>
      <c r="BZ8" s="148">
        <v>1.0058465000000001</v>
      </c>
      <c r="CA8" s="148">
        <f>'Cálculo PU'!S63</f>
        <v>1.01221041</v>
      </c>
      <c r="CB8" s="168">
        <f t="shared" si="6"/>
        <v>-6.3639099999999171E-3</v>
      </c>
      <c r="CD8">
        <v>3215</v>
      </c>
      <c r="CE8" s="215">
        <v>43504</v>
      </c>
      <c r="CF8" s="215">
        <v>43536</v>
      </c>
      <c r="CG8" t="s">
        <v>822</v>
      </c>
      <c r="CH8" t="s">
        <v>823</v>
      </c>
      <c r="CI8" t="s">
        <v>1713</v>
      </c>
      <c r="CJ8">
        <v>1.0019616526860899</v>
      </c>
      <c r="CK8">
        <f t="shared" si="8"/>
        <v>1.0019616526860928</v>
      </c>
      <c r="CL8" s="246">
        <f t="shared" si="9"/>
        <v>43504</v>
      </c>
      <c r="CM8" s="246">
        <f>'Cálculo PU'!G62</f>
        <v>43504</v>
      </c>
      <c r="CN8" s="215">
        <f t="shared" si="10"/>
        <v>43536</v>
      </c>
      <c r="CO8" s="215">
        <f>'Cálculo PU'!G63</f>
        <v>43536</v>
      </c>
      <c r="CQ8">
        <v>3251</v>
      </c>
      <c r="CR8" s="215">
        <v>43416</v>
      </c>
      <c r="CS8" s="215">
        <v>43444</v>
      </c>
      <c r="CT8" t="s">
        <v>822</v>
      </c>
      <c r="CU8" t="s">
        <v>823</v>
      </c>
      <c r="CV8" t="s">
        <v>1714</v>
      </c>
      <c r="CW8">
        <v>2.5</v>
      </c>
    </row>
    <row r="9" spans="2:105">
      <c r="B9" s="147">
        <v>3293</v>
      </c>
      <c r="C9" s="156">
        <v>43374</v>
      </c>
      <c r="D9" s="156">
        <v>43563</v>
      </c>
      <c r="E9" s="148" t="s">
        <v>822</v>
      </c>
      <c r="F9" s="148" t="s">
        <v>823</v>
      </c>
      <c r="G9" s="148" t="s">
        <v>825</v>
      </c>
      <c r="H9" s="148">
        <v>117.382694468697</v>
      </c>
      <c r="I9" s="148">
        <f>'Cálculo PU'!V64</f>
        <v>69.108938105102695</v>
      </c>
      <c r="J9" s="168">
        <f t="shared" si="7"/>
        <v>48.273756363594302</v>
      </c>
      <c r="L9" s="147">
        <v>3279</v>
      </c>
      <c r="M9" s="156">
        <v>43374</v>
      </c>
      <c r="N9" s="156">
        <v>43563</v>
      </c>
      <c r="O9" s="148" t="s">
        <v>822</v>
      </c>
      <c r="P9" s="148" t="s">
        <v>823</v>
      </c>
      <c r="Q9" s="148" t="s">
        <v>824</v>
      </c>
      <c r="R9" s="148">
        <v>118.910975564574</v>
      </c>
      <c r="S9" s="148">
        <f>'Cálculo PU'!U64</f>
        <v>74.920960089565597</v>
      </c>
      <c r="T9" s="168">
        <f t="shared" si="0"/>
        <v>43.990015475008406</v>
      </c>
      <c r="V9" s="147">
        <v>3265</v>
      </c>
      <c r="W9" s="156">
        <v>43374</v>
      </c>
      <c r="X9" s="156">
        <v>43563</v>
      </c>
      <c r="Y9" s="148" t="s">
        <v>822</v>
      </c>
      <c r="Z9" s="148" t="s">
        <v>823</v>
      </c>
      <c r="AA9" s="148" t="s">
        <v>830</v>
      </c>
      <c r="AB9" s="148">
        <v>123.289869549597</v>
      </c>
      <c r="AC9" s="148">
        <f>'Cálculo PU'!T64</f>
        <v>124.02079441669224</v>
      </c>
      <c r="AD9" s="168">
        <f t="shared" si="1"/>
        <v>-0.73092486709523996</v>
      </c>
      <c r="AF9" s="147">
        <v>3277</v>
      </c>
      <c r="AG9" s="156">
        <v>43374</v>
      </c>
      <c r="AH9" s="156">
        <v>43563</v>
      </c>
      <c r="AI9" s="148" t="s">
        <v>822</v>
      </c>
      <c r="AJ9" s="148" t="s">
        <v>823</v>
      </c>
      <c r="AK9" s="148" t="s">
        <v>942</v>
      </c>
      <c r="AL9" s="148">
        <v>7.1477692099999999</v>
      </c>
      <c r="AM9" s="148">
        <f>'Cálculo PU'!Q64</f>
        <v>16.665500000000002</v>
      </c>
      <c r="AN9" s="168">
        <f t="shared" si="2"/>
        <v>-9.5177307900000017</v>
      </c>
      <c r="AP9" s="147">
        <v>3278</v>
      </c>
      <c r="AQ9" s="156">
        <v>43374</v>
      </c>
      <c r="AR9" s="156">
        <v>43563</v>
      </c>
      <c r="AS9" s="148" t="s">
        <v>822</v>
      </c>
      <c r="AT9" s="148" t="s">
        <v>823</v>
      </c>
      <c r="AU9" s="148" t="s">
        <v>943</v>
      </c>
      <c r="AV9" s="148">
        <v>132</v>
      </c>
      <c r="AW9" s="152">
        <f>'Cálculo PU'!L64</f>
        <v>824</v>
      </c>
      <c r="AX9" s="168">
        <f t="shared" si="3"/>
        <v>-692</v>
      </c>
      <c r="AZ9" s="147">
        <v>3267</v>
      </c>
      <c r="BA9" s="156">
        <v>43374</v>
      </c>
      <c r="BB9" s="156">
        <v>43563</v>
      </c>
      <c r="BC9" s="148" t="s">
        <v>822</v>
      </c>
      <c r="BD9" s="148" t="s">
        <v>823</v>
      </c>
      <c r="BE9" s="148" t="s">
        <v>945</v>
      </c>
      <c r="BF9" s="148">
        <v>1.0018634787230001</v>
      </c>
      <c r="BG9" s="148">
        <f>'Cálculo PU'!N64</f>
        <v>1.0018634787225431</v>
      </c>
      <c r="BH9" s="168">
        <f t="shared" si="4"/>
        <v>4.5696779693571443E-13</v>
      </c>
      <c r="BJ9" s="147">
        <v>3292</v>
      </c>
      <c r="BK9" s="156">
        <v>43374</v>
      </c>
      <c r="BL9" s="156">
        <v>43563</v>
      </c>
      <c r="BM9" s="148" t="s">
        <v>822</v>
      </c>
      <c r="BN9" s="148" t="s">
        <v>823</v>
      </c>
      <c r="BO9" s="148" t="s">
        <v>827</v>
      </c>
      <c r="BP9" s="148">
        <v>1.013019645722</v>
      </c>
      <c r="BQ9" s="148">
        <f>'Cálculo PU'!O64</f>
        <v>1.0840994253973897</v>
      </c>
      <c r="BR9" s="168">
        <f t="shared" si="5"/>
        <v>-7.1079779675389698E-2</v>
      </c>
      <c r="BT9" s="147">
        <v>3266</v>
      </c>
      <c r="BU9" s="156">
        <v>43374</v>
      </c>
      <c r="BV9" s="156">
        <v>43563</v>
      </c>
      <c r="BW9" s="148" t="s">
        <v>822</v>
      </c>
      <c r="BX9" s="148" t="s">
        <v>823</v>
      </c>
      <c r="BY9" s="148" t="s">
        <v>946</v>
      </c>
      <c r="BZ9" s="148">
        <v>1.00563593</v>
      </c>
      <c r="CA9" s="148">
        <f>'Cálculo PU'!S64</f>
        <v>1.01159785</v>
      </c>
      <c r="CB9" s="168">
        <f t="shared" si="6"/>
        <v>-5.9619200000000649E-3</v>
      </c>
      <c r="CD9">
        <v>3253</v>
      </c>
      <c r="CE9" s="215">
        <v>43536</v>
      </c>
      <c r="CF9" s="215">
        <v>43563</v>
      </c>
      <c r="CG9" t="s">
        <v>822</v>
      </c>
      <c r="CH9" t="s">
        <v>823</v>
      </c>
      <c r="CI9" t="s">
        <v>1713</v>
      </c>
      <c r="CJ9">
        <v>1.00186347872254</v>
      </c>
      <c r="CK9">
        <f t="shared" si="8"/>
        <v>1.0018634787225431</v>
      </c>
      <c r="CL9" s="246">
        <f t="shared" si="9"/>
        <v>43536</v>
      </c>
      <c r="CM9" s="246">
        <f>'Cálculo PU'!G63</f>
        <v>43536</v>
      </c>
      <c r="CN9" s="215">
        <f t="shared" si="10"/>
        <v>43563</v>
      </c>
      <c r="CO9" s="215">
        <f>'Cálculo PU'!G64</f>
        <v>43563</v>
      </c>
      <c r="CQ9">
        <v>3289</v>
      </c>
      <c r="CR9" s="215">
        <v>43444</v>
      </c>
      <c r="CS9" s="215">
        <v>43474</v>
      </c>
      <c r="CT9" t="s">
        <v>822</v>
      </c>
      <c r="CU9" t="s">
        <v>823</v>
      </c>
      <c r="CV9" t="s">
        <v>1714</v>
      </c>
      <c r="CW9">
        <v>2.5</v>
      </c>
    </row>
    <row r="10" spans="2:105">
      <c r="B10" s="147">
        <v>3332</v>
      </c>
      <c r="C10" s="156">
        <v>43374</v>
      </c>
      <c r="D10" s="156">
        <v>43594</v>
      </c>
      <c r="E10" s="148" t="s">
        <v>822</v>
      </c>
      <c r="F10" s="148" t="s">
        <v>823</v>
      </c>
      <c r="G10" s="148" t="s">
        <v>825</v>
      </c>
      <c r="H10" s="148">
        <v>127.144254889998</v>
      </c>
      <c r="I10" s="148">
        <f>'Cálculo PU'!V65</f>
        <v>74.405440964519698</v>
      </c>
      <c r="J10" s="168">
        <f t="shared" si="7"/>
        <v>52.738813925478297</v>
      </c>
      <c r="L10" s="147">
        <v>3318</v>
      </c>
      <c r="M10" s="156">
        <v>43374</v>
      </c>
      <c r="N10" s="156">
        <v>43594</v>
      </c>
      <c r="O10" s="148" t="s">
        <v>822</v>
      </c>
      <c r="P10" s="148" t="s">
        <v>823</v>
      </c>
      <c r="Q10" s="148" t="s">
        <v>824</v>
      </c>
      <c r="R10" s="148">
        <v>129.06496279299</v>
      </c>
      <c r="S10" s="148">
        <f>'Cálculo PU'!U65</f>
        <v>80.829066067807901</v>
      </c>
      <c r="T10" s="168">
        <f t="shared" si="0"/>
        <v>48.235896725182101</v>
      </c>
      <c r="V10" s="147">
        <v>3304</v>
      </c>
      <c r="W10" s="156">
        <v>43374</v>
      </c>
      <c r="X10" s="156">
        <v>43594</v>
      </c>
      <c r="Y10" s="148" t="s">
        <v>822</v>
      </c>
      <c r="Z10" s="148" t="s">
        <v>823</v>
      </c>
      <c r="AA10" s="148" t="s">
        <v>830</v>
      </c>
      <c r="AB10" s="148">
        <v>134.703562179161</v>
      </c>
      <c r="AC10" s="148">
        <f>'Cálculo PU'!T65</f>
        <v>135.54225902102084</v>
      </c>
      <c r="AD10" s="168">
        <f t="shared" si="1"/>
        <v>-0.83869684185984283</v>
      </c>
      <c r="AF10" s="147">
        <v>3316</v>
      </c>
      <c r="AG10" s="156">
        <v>43374</v>
      </c>
      <c r="AH10" s="156">
        <v>43594</v>
      </c>
      <c r="AI10" s="148" t="s">
        <v>822</v>
      </c>
      <c r="AJ10" s="148" t="s">
        <v>823</v>
      </c>
      <c r="AK10" s="148" t="s">
        <v>942</v>
      </c>
      <c r="AL10" s="148">
        <v>7.2968737499999996</v>
      </c>
      <c r="AM10" s="148">
        <f>'Cálculo PU'!Q65</f>
        <v>16.668500000000002</v>
      </c>
      <c r="AN10" s="168">
        <f t="shared" si="2"/>
        <v>-9.371626250000002</v>
      </c>
      <c r="AP10" s="147">
        <v>3317</v>
      </c>
      <c r="AQ10" s="156">
        <v>43374</v>
      </c>
      <c r="AR10" s="156">
        <v>43594</v>
      </c>
      <c r="AS10" s="148" t="s">
        <v>822</v>
      </c>
      <c r="AT10" s="148" t="s">
        <v>823</v>
      </c>
      <c r="AU10" s="148" t="s">
        <v>943</v>
      </c>
      <c r="AV10" s="148">
        <v>153</v>
      </c>
      <c r="AW10" s="152">
        <f>'Cálculo PU'!L65</f>
        <v>845</v>
      </c>
      <c r="AX10" s="168">
        <f t="shared" si="3"/>
        <v>-692</v>
      </c>
      <c r="AZ10" s="147">
        <v>3306</v>
      </c>
      <c r="BA10" s="156">
        <v>43374</v>
      </c>
      <c r="BB10" s="156">
        <v>43594</v>
      </c>
      <c r="BC10" s="148" t="s">
        <v>822</v>
      </c>
      <c r="BD10" s="148" t="s">
        <v>823</v>
      </c>
      <c r="BE10" s="148" t="s">
        <v>945</v>
      </c>
      <c r="BF10" s="148">
        <v>1.0020598362699999</v>
      </c>
      <c r="BG10" s="148">
        <f>'Cálculo PU'!N65</f>
        <v>1.0020598362698427</v>
      </c>
      <c r="BH10" s="168">
        <f t="shared" si="4"/>
        <v>1.5720758028692217E-13</v>
      </c>
      <c r="BJ10" s="147">
        <v>3331</v>
      </c>
      <c r="BK10" s="156">
        <v>43374</v>
      </c>
      <c r="BL10" s="156">
        <v>43594</v>
      </c>
      <c r="BM10" s="148" t="s">
        <v>822</v>
      </c>
      <c r="BN10" s="148" t="s">
        <v>823</v>
      </c>
      <c r="BO10" s="148" t="s">
        <v>827</v>
      </c>
      <c r="BP10" s="148">
        <v>1.0151065252980001</v>
      </c>
      <c r="BQ10" s="148">
        <f>'Cálculo PU'!O65</f>
        <v>1.0863327334670501</v>
      </c>
      <c r="BR10" s="168">
        <f t="shared" si="5"/>
        <v>-7.1226208169050009E-2</v>
      </c>
      <c r="BT10" s="147">
        <v>3305</v>
      </c>
      <c r="BU10" s="156">
        <v>43374</v>
      </c>
      <c r="BV10" s="156">
        <v>43594</v>
      </c>
      <c r="BW10" s="148" t="s">
        <v>822</v>
      </c>
      <c r="BX10" s="148" t="s">
        <v>823</v>
      </c>
      <c r="BY10" s="148" t="s">
        <v>946</v>
      </c>
      <c r="BZ10" s="148">
        <v>1.0065639799999999</v>
      </c>
      <c r="CA10" s="148">
        <f>'Cálculo PU'!S65</f>
        <v>1.0128310899999999</v>
      </c>
      <c r="CB10" s="168">
        <f t="shared" si="6"/>
        <v>-6.2671100000000202E-3</v>
      </c>
      <c r="CD10">
        <v>3291</v>
      </c>
      <c r="CE10" s="215">
        <v>43563</v>
      </c>
      <c r="CF10" s="215">
        <v>43594</v>
      </c>
      <c r="CG10" t="s">
        <v>822</v>
      </c>
      <c r="CH10" t="s">
        <v>823</v>
      </c>
      <c r="CI10" t="s">
        <v>1713</v>
      </c>
      <c r="CJ10">
        <v>1.0020598362698401</v>
      </c>
      <c r="CK10">
        <f t="shared" si="8"/>
        <v>1.0020598362698427</v>
      </c>
      <c r="CL10" s="246">
        <f t="shared" si="9"/>
        <v>43563</v>
      </c>
      <c r="CM10" s="246">
        <f>'Cálculo PU'!G64</f>
        <v>43563</v>
      </c>
      <c r="CN10" s="215">
        <f t="shared" si="10"/>
        <v>43594</v>
      </c>
      <c r="CO10" s="215">
        <f>'Cálculo PU'!G65</f>
        <v>43594</v>
      </c>
      <c r="CQ10">
        <v>3291</v>
      </c>
      <c r="CR10" s="215">
        <v>43444</v>
      </c>
      <c r="CS10" s="215">
        <v>43474</v>
      </c>
      <c r="CT10" t="s">
        <v>822</v>
      </c>
      <c r="CU10" t="s">
        <v>823</v>
      </c>
      <c r="CV10" t="s">
        <v>1714</v>
      </c>
      <c r="CW10">
        <v>2.5</v>
      </c>
    </row>
    <row r="11" spans="2:105">
      <c r="B11" s="147">
        <v>3371</v>
      </c>
      <c r="C11" s="156">
        <v>43374</v>
      </c>
      <c r="D11" s="156">
        <v>43626</v>
      </c>
      <c r="E11" s="148" t="s">
        <v>822</v>
      </c>
      <c r="F11" s="148" t="s">
        <v>823</v>
      </c>
      <c r="G11" s="148" t="s">
        <v>825</v>
      </c>
      <c r="H11" s="148">
        <v>130.42795354184801</v>
      </c>
      <c r="I11" s="148">
        <f>'Cálculo PU'!V66</f>
        <v>75.840521956055909</v>
      </c>
      <c r="J11" s="168">
        <f t="shared" si="7"/>
        <v>54.587431585792103</v>
      </c>
      <c r="L11" s="147">
        <v>3357</v>
      </c>
      <c r="M11" s="156">
        <v>43374</v>
      </c>
      <c r="N11" s="156">
        <v>43626</v>
      </c>
      <c r="O11" s="148" t="s">
        <v>822</v>
      </c>
      <c r="P11" s="148" t="s">
        <v>823</v>
      </c>
      <c r="Q11" s="148" t="s">
        <v>824</v>
      </c>
      <c r="R11" s="148">
        <v>132.684016889285</v>
      </c>
      <c r="S11" s="148">
        <f>'Cálculo PU'!U66</f>
        <v>82.565856515658808</v>
      </c>
      <c r="T11" s="168">
        <f t="shared" si="0"/>
        <v>50.118160373626196</v>
      </c>
      <c r="V11" s="147">
        <v>3343</v>
      </c>
      <c r="W11" s="156">
        <v>43374</v>
      </c>
      <c r="X11" s="156">
        <v>43626</v>
      </c>
      <c r="Y11" s="148" t="s">
        <v>822</v>
      </c>
      <c r="Z11" s="148" t="s">
        <v>823</v>
      </c>
      <c r="AA11" s="148" t="s">
        <v>830</v>
      </c>
      <c r="AB11" s="148">
        <v>139.46707356848401</v>
      </c>
      <c r="AC11" s="148">
        <f>'Cálculo PU'!T66</f>
        <v>140.34356601179638</v>
      </c>
      <c r="AD11" s="168">
        <f t="shared" si="1"/>
        <v>-0.87649244331237242</v>
      </c>
      <c r="AF11" s="147">
        <v>3355</v>
      </c>
      <c r="AG11" s="156">
        <v>43374</v>
      </c>
      <c r="AH11" s="156">
        <v>43626</v>
      </c>
      <c r="AI11" s="148" t="s">
        <v>822</v>
      </c>
      <c r="AJ11" s="148" t="s">
        <v>823</v>
      </c>
      <c r="AK11" s="148" t="s">
        <v>942</v>
      </c>
      <c r="AL11" s="148">
        <v>7.4435703000000002</v>
      </c>
      <c r="AM11" s="148">
        <f>'Cálculo PU'!Q66</f>
        <v>16.671600000000002</v>
      </c>
      <c r="AN11" s="168">
        <f t="shared" si="2"/>
        <v>-9.2280297000000004</v>
      </c>
      <c r="AP11" s="147">
        <v>3356</v>
      </c>
      <c r="AQ11" s="156">
        <v>43374</v>
      </c>
      <c r="AR11" s="156">
        <v>43626</v>
      </c>
      <c r="AS11" s="148" t="s">
        <v>822</v>
      </c>
      <c r="AT11" s="148" t="s">
        <v>823</v>
      </c>
      <c r="AU11" s="148" t="s">
        <v>943</v>
      </c>
      <c r="AV11" s="148">
        <v>175</v>
      </c>
      <c r="AW11" s="152">
        <f>'Cálculo PU'!L66</f>
        <v>867</v>
      </c>
      <c r="AX11" s="168">
        <f t="shared" si="3"/>
        <v>-692</v>
      </c>
      <c r="AZ11" s="147">
        <v>3345</v>
      </c>
      <c r="BA11" s="156">
        <v>43374</v>
      </c>
      <c r="BB11" s="156">
        <v>43626</v>
      </c>
      <c r="BC11" s="148" t="s">
        <v>822</v>
      </c>
      <c r="BD11" s="148" t="s">
        <v>823</v>
      </c>
      <c r="BE11" s="148" t="s">
        <v>945</v>
      </c>
      <c r="BF11" s="148">
        <v>1.0021580294750001</v>
      </c>
      <c r="BG11" s="148">
        <f>'Cálculo PU'!N66</f>
        <v>1.0021580294747356</v>
      </c>
      <c r="BH11" s="168">
        <f t="shared" si="4"/>
        <v>2.6445512446571229E-13</v>
      </c>
      <c r="BJ11" s="147">
        <v>3370</v>
      </c>
      <c r="BK11" s="156">
        <v>43374</v>
      </c>
      <c r="BL11" s="156">
        <v>43626</v>
      </c>
      <c r="BM11" s="148" t="s">
        <v>822</v>
      </c>
      <c r="BN11" s="148" t="s">
        <v>823</v>
      </c>
      <c r="BO11" s="148" t="s">
        <v>827</v>
      </c>
      <c r="BP11" s="148">
        <v>1.017297391289</v>
      </c>
      <c r="BQ11" s="148">
        <f>'Cálculo PU'!O66</f>
        <v>1.088677324287137</v>
      </c>
      <c r="BR11" s="168">
        <f t="shared" si="5"/>
        <v>-7.1379932998137052E-2</v>
      </c>
      <c r="BT11" s="147">
        <v>3344</v>
      </c>
      <c r="BU11" s="156">
        <v>43374</v>
      </c>
      <c r="BV11" s="156">
        <v>43626</v>
      </c>
      <c r="BW11" s="148" t="s">
        <v>822</v>
      </c>
      <c r="BX11" s="148" t="s">
        <v>823</v>
      </c>
      <c r="BY11" s="148" t="s">
        <v>946</v>
      </c>
      <c r="BZ11" s="148">
        <v>1.0071168699999999</v>
      </c>
      <c r="CA11" s="148">
        <f>'Cálculo PU'!S66</f>
        <v>1.0134461800000001</v>
      </c>
      <c r="CB11" s="168">
        <f t="shared" si="6"/>
        <v>-6.3293100000001434E-3</v>
      </c>
      <c r="CD11">
        <v>3329</v>
      </c>
      <c r="CE11" s="215">
        <v>43594</v>
      </c>
      <c r="CF11" s="215">
        <v>43626</v>
      </c>
      <c r="CG11" t="s">
        <v>822</v>
      </c>
      <c r="CH11" t="s">
        <v>823</v>
      </c>
      <c r="CI11" t="s">
        <v>1713</v>
      </c>
      <c r="CJ11">
        <v>1.0021580294747401</v>
      </c>
      <c r="CK11">
        <f t="shared" si="8"/>
        <v>1.0021580294747356</v>
      </c>
      <c r="CL11" s="246">
        <f t="shared" si="9"/>
        <v>43594</v>
      </c>
      <c r="CM11" s="246">
        <f>'Cálculo PU'!G65</f>
        <v>43594</v>
      </c>
      <c r="CN11" s="215">
        <f t="shared" si="10"/>
        <v>43626</v>
      </c>
      <c r="CO11" s="215">
        <f>'Cálculo PU'!G66</f>
        <v>43626</v>
      </c>
      <c r="CQ11">
        <v>3329</v>
      </c>
      <c r="CR11" s="215">
        <v>43474</v>
      </c>
      <c r="CS11" s="215">
        <v>43504</v>
      </c>
      <c r="CT11" t="s">
        <v>822</v>
      </c>
      <c r="CU11" t="s">
        <v>823</v>
      </c>
      <c r="CV11" t="s">
        <v>1714</v>
      </c>
      <c r="CW11">
        <v>2.5</v>
      </c>
    </row>
    <row r="12" spans="2:105">
      <c r="B12" s="147">
        <v>3410</v>
      </c>
      <c r="C12" s="156">
        <v>43374</v>
      </c>
      <c r="D12" s="156">
        <v>43654</v>
      </c>
      <c r="E12" s="148" t="s">
        <v>822</v>
      </c>
      <c r="F12" s="148" t="s">
        <v>823</v>
      </c>
      <c r="G12" s="148" t="s">
        <v>825</v>
      </c>
      <c r="H12" s="148">
        <v>110.255728553213</v>
      </c>
      <c r="I12" s="148">
        <f>'Cálculo PU'!V67</f>
        <v>63.714471114195987</v>
      </c>
      <c r="J12" s="168">
        <f t="shared" si="7"/>
        <v>46.541257439017016</v>
      </c>
      <c r="L12" s="147">
        <v>3396</v>
      </c>
      <c r="M12" s="156">
        <v>43374</v>
      </c>
      <c r="N12" s="156">
        <v>43654</v>
      </c>
      <c r="O12" s="148" t="s">
        <v>822</v>
      </c>
      <c r="P12" s="148" t="s">
        <v>823</v>
      </c>
      <c r="Q12" s="148" t="s">
        <v>824</v>
      </c>
      <c r="R12" s="148">
        <v>112.371900676471</v>
      </c>
      <c r="S12" s="148">
        <f>'Cálculo PU'!U67</f>
        <v>69.493773135125352</v>
      </c>
      <c r="T12" s="168">
        <f t="shared" si="0"/>
        <v>42.878127541345648</v>
      </c>
      <c r="V12" s="147">
        <v>3382</v>
      </c>
      <c r="W12" s="156">
        <v>43374</v>
      </c>
      <c r="X12" s="156">
        <v>43654</v>
      </c>
      <c r="Y12" s="148" t="s">
        <v>822</v>
      </c>
      <c r="Z12" s="148" t="s">
        <v>823</v>
      </c>
      <c r="AA12" s="148" t="s">
        <v>830</v>
      </c>
      <c r="AB12" s="148">
        <v>118.860642397878</v>
      </c>
      <c r="AC12" s="148">
        <f>'Cálculo PU'!T67</f>
        <v>119.49009353730317</v>
      </c>
      <c r="AD12" s="168">
        <f t="shared" si="1"/>
        <v>-0.62945113942517139</v>
      </c>
      <c r="AF12" s="147">
        <v>3394</v>
      </c>
      <c r="AG12" s="156">
        <v>43374</v>
      </c>
      <c r="AH12" s="156">
        <v>43654</v>
      </c>
      <c r="AI12" s="148" t="s">
        <v>822</v>
      </c>
      <c r="AJ12" s="148" t="s">
        <v>823</v>
      </c>
      <c r="AK12" s="148" t="s">
        <v>942</v>
      </c>
      <c r="AL12" s="148">
        <v>7.5645874900000001</v>
      </c>
      <c r="AM12" s="148">
        <f>'Cálculo PU'!Q67</f>
        <v>16.667400000000001</v>
      </c>
      <c r="AN12" s="168">
        <f t="shared" si="2"/>
        <v>-9.1028125099999997</v>
      </c>
      <c r="AP12" s="147">
        <v>3395</v>
      </c>
      <c r="AQ12" s="156">
        <v>43374</v>
      </c>
      <c r="AR12" s="156">
        <v>43654</v>
      </c>
      <c r="AS12" s="148" t="s">
        <v>822</v>
      </c>
      <c r="AT12" s="148" t="s">
        <v>823</v>
      </c>
      <c r="AU12" s="148" t="s">
        <v>943</v>
      </c>
      <c r="AV12" s="148">
        <v>194</v>
      </c>
      <c r="AW12" s="152">
        <f>'Cálculo PU'!L67</f>
        <v>886</v>
      </c>
      <c r="AX12" s="168">
        <f t="shared" si="3"/>
        <v>-692</v>
      </c>
      <c r="AZ12" s="147">
        <v>3384</v>
      </c>
      <c r="BA12" s="156">
        <v>43374</v>
      </c>
      <c r="BB12" s="156">
        <v>43654</v>
      </c>
      <c r="BC12" s="148" t="s">
        <v>822</v>
      </c>
      <c r="BD12" s="148" t="s">
        <v>823</v>
      </c>
      <c r="BE12" s="148" t="s">
        <v>945</v>
      </c>
      <c r="BF12" s="148">
        <v>1.0018634787230001</v>
      </c>
      <c r="BG12" s="148">
        <f>'Cálculo PU'!N67</f>
        <v>1.0018634787225431</v>
      </c>
      <c r="BH12" s="168">
        <f t="shared" si="4"/>
        <v>4.5696779693571443E-13</v>
      </c>
      <c r="BJ12" s="147">
        <v>3409</v>
      </c>
      <c r="BK12" s="156">
        <v>43374</v>
      </c>
      <c r="BL12" s="156">
        <v>43654</v>
      </c>
      <c r="BM12" s="148" t="s">
        <v>822</v>
      </c>
      <c r="BN12" s="148" t="s">
        <v>823</v>
      </c>
      <c r="BO12" s="148" t="s">
        <v>827</v>
      </c>
      <c r="BP12" s="148">
        <v>1.0191933076949999</v>
      </c>
      <c r="BQ12" s="148">
        <f>'Cálculo PU'!O67</f>
        <v>1.0907062700178594</v>
      </c>
      <c r="BR12" s="168">
        <f t="shared" si="5"/>
        <v>-7.1512962322859419E-2</v>
      </c>
      <c r="BT12" s="147">
        <v>3383</v>
      </c>
      <c r="BU12" s="156">
        <v>43374</v>
      </c>
      <c r="BV12" s="156">
        <v>43654</v>
      </c>
      <c r="BW12" s="148" t="s">
        <v>822</v>
      </c>
      <c r="BX12" s="148" t="s">
        <v>823</v>
      </c>
      <c r="BY12" s="148" t="s">
        <v>946</v>
      </c>
      <c r="BZ12" s="148">
        <v>1.00623953</v>
      </c>
      <c r="CA12" s="148">
        <f>'Cálculo PU'!S67</f>
        <v>1.0115682800000001</v>
      </c>
      <c r="CB12" s="168">
        <f t="shared" si="6"/>
        <v>-5.3287500000001042E-3</v>
      </c>
      <c r="CD12">
        <v>3367</v>
      </c>
      <c r="CE12" s="215">
        <v>43626</v>
      </c>
      <c r="CF12" s="215">
        <v>43654</v>
      </c>
      <c r="CG12" t="s">
        <v>822</v>
      </c>
      <c r="CH12" t="s">
        <v>823</v>
      </c>
      <c r="CI12" t="s">
        <v>1713</v>
      </c>
      <c r="CJ12">
        <v>1.00186347872254</v>
      </c>
      <c r="CK12">
        <f t="shared" si="8"/>
        <v>1.0018634787225431</v>
      </c>
      <c r="CL12" s="246">
        <f t="shared" si="9"/>
        <v>43626</v>
      </c>
      <c r="CM12" s="246">
        <f>'Cálculo PU'!G66</f>
        <v>43626</v>
      </c>
      <c r="CN12" s="215">
        <f t="shared" si="10"/>
        <v>43654</v>
      </c>
      <c r="CO12" s="215">
        <f>'Cálculo PU'!G67</f>
        <v>43654</v>
      </c>
      <c r="CQ12">
        <v>3331</v>
      </c>
      <c r="CR12" s="215">
        <v>43474</v>
      </c>
      <c r="CS12" s="215">
        <v>43504</v>
      </c>
      <c r="CT12" t="s">
        <v>822</v>
      </c>
      <c r="CU12" t="s">
        <v>823</v>
      </c>
      <c r="CV12" t="s">
        <v>1714</v>
      </c>
      <c r="CW12">
        <v>2.5</v>
      </c>
    </row>
    <row r="13" spans="2:105">
      <c r="B13" s="147">
        <v>3449</v>
      </c>
      <c r="C13" s="156">
        <v>43374</v>
      </c>
      <c r="D13" s="156">
        <v>43685</v>
      </c>
      <c r="E13" s="148" t="s">
        <v>822</v>
      </c>
      <c r="F13" s="148" t="s">
        <v>823</v>
      </c>
      <c r="G13" s="148" t="s">
        <v>825</v>
      </c>
      <c r="H13" s="148">
        <v>130.71329682627399</v>
      </c>
      <c r="I13" s="148">
        <f>'Cálculo PU'!V68</f>
        <v>75.151156751916872</v>
      </c>
      <c r="J13" s="168">
        <f t="shared" si="7"/>
        <v>55.562140074357117</v>
      </c>
      <c r="L13" s="147">
        <v>3435</v>
      </c>
      <c r="M13" s="156">
        <v>43374</v>
      </c>
      <c r="N13" s="156">
        <v>43685</v>
      </c>
      <c r="O13" s="148" t="s">
        <v>822</v>
      </c>
      <c r="P13" s="148" t="s">
        <v>823</v>
      </c>
      <c r="Q13" s="148" t="s">
        <v>824</v>
      </c>
      <c r="R13" s="148">
        <v>133.52272980607199</v>
      </c>
      <c r="S13" s="148">
        <f>'Cálculo PU'!U68</f>
        <v>82.152796292589443</v>
      </c>
      <c r="T13" s="168">
        <f t="shared" si="0"/>
        <v>51.36993351348255</v>
      </c>
      <c r="V13" s="147">
        <v>3421</v>
      </c>
      <c r="W13" s="156">
        <v>43374</v>
      </c>
      <c r="X13" s="156">
        <v>43685</v>
      </c>
      <c r="Y13" s="148" t="s">
        <v>822</v>
      </c>
      <c r="Z13" s="148" t="s">
        <v>823</v>
      </c>
      <c r="AA13" s="148" t="s">
        <v>830</v>
      </c>
      <c r="AB13" s="148">
        <v>142.33735828423099</v>
      </c>
      <c r="AC13" s="148">
        <f>'Cálculo PU'!T68</f>
        <v>143.19731093816094</v>
      </c>
      <c r="AD13" s="168">
        <f t="shared" si="1"/>
        <v>-0.85995265392995179</v>
      </c>
      <c r="AF13" s="147">
        <v>3433</v>
      </c>
      <c r="AG13" s="156">
        <v>43374</v>
      </c>
      <c r="AH13" s="156">
        <v>43685</v>
      </c>
      <c r="AI13" s="148" t="s">
        <v>822</v>
      </c>
      <c r="AJ13" s="148" t="s">
        <v>823</v>
      </c>
      <c r="AK13" s="148" t="s">
        <v>942</v>
      </c>
      <c r="AL13" s="148">
        <v>7.7064506599999998</v>
      </c>
      <c r="AM13" s="148">
        <f>'Cálculo PU'!Q68</f>
        <v>16.653700000000001</v>
      </c>
      <c r="AN13" s="168">
        <f t="shared" si="2"/>
        <v>-8.9472493400000008</v>
      </c>
      <c r="AP13" s="147">
        <v>3434</v>
      </c>
      <c r="AQ13" s="156">
        <v>43374</v>
      </c>
      <c r="AR13" s="156">
        <v>43685</v>
      </c>
      <c r="AS13" s="148" t="s">
        <v>822</v>
      </c>
      <c r="AT13" s="148" t="s">
        <v>823</v>
      </c>
      <c r="AU13" s="148" t="s">
        <v>943</v>
      </c>
      <c r="AV13" s="148">
        <v>217</v>
      </c>
      <c r="AW13" s="152">
        <f>'Cálculo PU'!L68</f>
        <v>909</v>
      </c>
      <c r="AX13" s="168">
        <f t="shared" si="3"/>
        <v>-692</v>
      </c>
      <c r="AZ13" s="147">
        <v>3423</v>
      </c>
      <c r="BA13" s="156">
        <v>43374</v>
      </c>
      <c r="BB13" s="156">
        <v>43685</v>
      </c>
      <c r="BC13" s="148" t="s">
        <v>822</v>
      </c>
      <c r="BD13" s="148" t="s">
        <v>823</v>
      </c>
      <c r="BE13" s="148" t="s">
        <v>945</v>
      </c>
      <c r="BF13" s="148">
        <v>1.0022562323019999</v>
      </c>
      <c r="BG13" s="148">
        <f>'Cálculo PU'!N68</f>
        <v>1.0022562323017139</v>
      </c>
      <c r="BH13" s="168">
        <f t="shared" si="4"/>
        <v>2.8599345114344032E-13</v>
      </c>
      <c r="BJ13" s="147">
        <v>3448</v>
      </c>
      <c r="BK13" s="156">
        <v>43374</v>
      </c>
      <c r="BL13" s="156">
        <v>43685</v>
      </c>
      <c r="BM13" s="148" t="s">
        <v>822</v>
      </c>
      <c r="BN13" s="148" t="s">
        <v>823</v>
      </c>
      <c r="BO13" s="148" t="s">
        <v>827</v>
      </c>
      <c r="BP13" s="148">
        <v>1.021493092501</v>
      </c>
      <c r="BQ13" s="148">
        <f>'Cálculo PU'!O68</f>
        <v>1.0931674220768928</v>
      </c>
      <c r="BR13" s="168">
        <f t="shared" si="5"/>
        <v>-7.1674329575892815E-2</v>
      </c>
      <c r="BT13" s="147">
        <v>3422</v>
      </c>
      <c r="BU13" s="156">
        <v>43374</v>
      </c>
      <c r="BV13" s="156">
        <v>43685</v>
      </c>
      <c r="BW13" s="148" t="s">
        <v>822</v>
      </c>
      <c r="BX13" s="148" t="s">
        <v>823</v>
      </c>
      <c r="BY13" s="148" t="s">
        <v>946</v>
      </c>
      <c r="BZ13" s="148">
        <v>1.0078172000000001</v>
      </c>
      <c r="CA13" s="148">
        <f>'Cálculo PU'!S68</f>
        <v>1.0139060799999999</v>
      </c>
      <c r="CB13" s="168">
        <f t="shared" si="6"/>
        <v>-6.0888799999998522E-3</v>
      </c>
      <c r="CD13">
        <v>3405</v>
      </c>
      <c r="CE13" s="215">
        <v>43654</v>
      </c>
      <c r="CF13" s="215">
        <v>43685</v>
      </c>
      <c r="CG13" t="s">
        <v>822</v>
      </c>
      <c r="CH13" t="s">
        <v>823</v>
      </c>
      <c r="CI13" t="s">
        <v>1713</v>
      </c>
      <c r="CJ13">
        <v>1.0022562323017099</v>
      </c>
      <c r="CK13">
        <f t="shared" si="8"/>
        <v>1.0022562323017139</v>
      </c>
      <c r="CL13" s="246">
        <f t="shared" si="9"/>
        <v>43654</v>
      </c>
      <c r="CM13" s="246">
        <f>'Cálculo PU'!G67</f>
        <v>43654</v>
      </c>
      <c r="CN13" s="215">
        <f t="shared" si="10"/>
        <v>43685</v>
      </c>
      <c r="CO13" s="215">
        <f>'Cálculo PU'!G68</f>
        <v>43685</v>
      </c>
      <c r="CQ13">
        <v>3369</v>
      </c>
      <c r="CR13" s="215">
        <v>43504</v>
      </c>
      <c r="CS13" s="215">
        <v>43536</v>
      </c>
      <c r="CT13" t="s">
        <v>822</v>
      </c>
      <c r="CU13" t="s">
        <v>823</v>
      </c>
      <c r="CV13" t="s">
        <v>1714</v>
      </c>
      <c r="CW13">
        <v>2.5</v>
      </c>
    </row>
    <row r="14" spans="2:105">
      <c r="B14" s="147">
        <v>3488</v>
      </c>
      <c r="C14" s="156">
        <v>43374</v>
      </c>
      <c r="D14" s="156">
        <v>43717</v>
      </c>
      <c r="E14" s="148" t="s">
        <v>822</v>
      </c>
      <c r="F14" s="148" t="s">
        <v>823</v>
      </c>
      <c r="G14" s="148" t="s">
        <v>825</v>
      </c>
      <c r="H14" s="148">
        <v>122.28775571544401</v>
      </c>
      <c r="I14" s="148">
        <f>'Cálculo PU'!V69</f>
        <v>69.896990685954307</v>
      </c>
      <c r="J14" s="168">
        <f t="shared" si="7"/>
        <v>52.3907650294897</v>
      </c>
      <c r="L14" s="147">
        <v>3474</v>
      </c>
      <c r="M14" s="156">
        <v>43374</v>
      </c>
      <c r="N14" s="156">
        <v>43717</v>
      </c>
      <c r="O14" s="148" t="s">
        <v>822</v>
      </c>
      <c r="P14" s="148" t="s">
        <v>823</v>
      </c>
      <c r="Q14" s="148" t="s">
        <v>824</v>
      </c>
      <c r="R14" s="148">
        <v>125.18569944637299</v>
      </c>
      <c r="S14" s="148">
        <f>'Cálculo PU'!U69</f>
        <v>76.574024015796724</v>
      </c>
      <c r="T14" s="168">
        <f t="shared" si="0"/>
        <v>48.61167543057627</v>
      </c>
      <c r="V14" s="147">
        <v>3460</v>
      </c>
      <c r="W14" s="156">
        <v>43374</v>
      </c>
      <c r="X14" s="156">
        <v>43717</v>
      </c>
      <c r="Y14" s="148" t="s">
        <v>822</v>
      </c>
      <c r="Z14" s="148" t="s">
        <v>823</v>
      </c>
      <c r="AA14" s="148" t="s">
        <v>830</v>
      </c>
      <c r="AB14" s="148">
        <v>134.45463237147499</v>
      </c>
      <c r="AC14" s="148">
        <f>'Cálculo PU'!T69</f>
        <v>135.22668215976543</v>
      </c>
      <c r="AD14" s="168">
        <f t="shared" si="1"/>
        <v>-0.77204978829044535</v>
      </c>
      <c r="AF14" s="147">
        <v>3472</v>
      </c>
      <c r="AG14" s="156">
        <v>43374</v>
      </c>
      <c r="AH14" s="156">
        <v>43717</v>
      </c>
      <c r="AI14" s="148" t="s">
        <v>822</v>
      </c>
      <c r="AJ14" s="148" t="s">
        <v>823</v>
      </c>
      <c r="AK14" s="148" t="s">
        <v>942</v>
      </c>
      <c r="AL14" s="148">
        <v>7.8222491300000003</v>
      </c>
      <c r="AM14" s="148">
        <f>'Cálculo PU'!Q69</f>
        <v>16.641200000000001</v>
      </c>
      <c r="AN14" s="168">
        <f t="shared" si="2"/>
        <v>-8.8189508700000019</v>
      </c>
      <c r="AP14" s="147">
        <v>3473</v>
      </c>
      <c r="AQ14" s="156">
        <v>43374</v>
      </c>
      <c r="AR14" s="156">
        <v>43717</v>
      </c>
      <c r="AS14" s="148" t="s">
        <v>822</v>
      </c>
      <c r="AT14" s="148" t="s">
        <v>823</v>
      </c>
      <c r="AU14" s="148" t="s">
        <v>943</v>
      </c>
      <c r="AV14" s="148">
        <v>239</v>
      </c>
      <c r="AW14" s="152">
        <f>'Cálculo PU'!L69</f>
        <v>931</v>
      </c>
      <c r="AX14" s="168">
        <f t="shared" si="3"/>
        <v>-692</v>
      </c>
      <c r="AZ14" s="147">
        <v>3462</v>
      </c>
      <c r="BA14" s="156">
        <v>43374</v>
      </c>
      <c r="BB14" s="156">
        <v>43717</v>
      </c>
      <c r="BC14" s="148" t="s">
        <v>822</v>
      </c>
      <c r="BD14" s="148" t="s">
        <v>823</v>
      </c>
      <c r="BE14" s="148" t="s">
        <v>945</v>
      </c>
      <c r="BF14" s="148">
        <v>1.0021580294750001</v>
      </c>
      <c r="BG14" s="148">
        <f>'Cálculo PU'!N69</f>
        <v>1.0021580294747356</v>
      </c>
      <c r="BH14" s="168">
        <f t="shared" si="4"/>
        <v>2.6445512446571229E-13</v>
      </c>
      <c r="BJ14" s="147">
        <v>3487</v>
      </c>
      <c r="BK14" s="156">
        <v>43374</v>
      </c>
      <c r="BL14" s="156">
        <v>43717</v>
      </c>
      <c r="BM14" s="148" t="s">
        <v>822</v>
      </c>
      <c r="BN14" s="148" t="s">
        <v>823</v>
      </c>
      <c r="BO14" s="148" t="s">
        <v>827</v>
      </c>
      <c r="BP14" s="148">
        <v>1.023697742378</v>
      </c>
      <c r="BQ14" s="148">
        <f>'Cálculo PU'!O69</f>
        <v>1.0955267639467081</v>
      </c>
      <c r="BR14" s="168">
        <f t="shared" si="5"/>
        <v>-7.1829021568708074E-2</v>
      </c>
      <c r="BT14" s="147">
        <v>3461</v>
      </c>
      <c r="BU14" s="156">
        <v>43374</v>
      </c>
      <c r="BV14" s="156">
        <v>43717</v>
      </c>
      <c r="BW14" s="148" t="s">
        <v>822</v>
      </c>
      <c r="BX14" s="148" t="s">
        <v>823</v>
      </c>
      <c r="BY14" s="148" t="s">
        <v>946</v>
      </c>
      <c r="BZ14" s="148">
        <v>1.0075122400000001</v>
      </c>
      <c r="CA14" s="148">
        <f>'Cálculo PU'!S69</f>
        <v>1.01329746</v>
      </c>
      <c r="CB14" s="168">
        <f t="shared" si="6"/>
        <v>-5.7852199999999243E-3</v>
      </c>
      <c r="CD14">
        <v>3443</v>
      </c>
      <c r="CE14" s="215">
        <v>43685</v>
      </c>
      <c r="CF14" s="215">
        <v>43717</v>
      </c>
      <c r="CG14" t="s">
        <v>822</v>
      </c>
      <c r="CH14" t="s">
        <v>823</v>
      </c>
      <c r="CI14" t="s">
        <v>1713</v>
      </c>
      <c r="CJ14">
        <v>1.0021580294747401</v>
      </c>
      <c r="CK14">
        <f t="shared" si="8"/>
        <v>1.0021580294747356</v>
      </c>
      <c r="CL14" s="246">
        <f t="shared" si="9"/>
        <v>43685</v>
      </c>
      <c r="CM14" s="246">
        <f>'Cálculo PU'!G68</f>
        <v>43685</v>
      </c>
      <c r="CN14" s="215">
        <f t="shared" si="10"/>
        <v>43717</v>
      </c>
      <c r="CO14" s="215">
        <f>'Cálculo PU'!G69</f>
        <v>43717</v>
      </c>
      <c r="CQ14">
        <v>3371</v>
      </c>
      <c r="CR14" s="215">
        <v>43504</v>
      </c>
      <c r="CS14" s="215">
        <v>43536</v>
      </c>
      <c r="CT14" t="s">
        <v>822</v>
      </c>
      <c r="CU14" t="s">
        <v>823</v>
      </c>
      <c r="CV14" t="s">
        <v>1714</v>
      </c>
      <c r="CW14">
        <v>2.5</v>
      </c>
    </row>
    <row r="15" spans="2:105">
      <c r="B15" s="147">
        <v>3527</v>
      </c>
      <c r="C15" s="156">
        <v>43374</v>
      </c>
      <c r="D15" s="156">
        <v>43746</v>
      </c>
      <c r="E15" s="148" t="s">
        <v>822</v>
      </c>
      <c r="F15" s="148" t="s">
        <v>823</v>
      </c>
      <c r="G15" s="148" t="s">
        <v>825</v>
      </c>
      <c r="H15" s="148">
        <v>114.19515592694</v>
      </c>
      <c r="I15" s="148">
        <f>'Cálculo PU'!V70</f>
        <v>64.914376597338361</v>
      </c>
      <c r="J15" s="168">
        <f t="shared" si="7"/>
        <v>49.280779329601643</v>
      </c>
      <c r="L15" s="147">
        <v>3513</v>
      </c>
      <c r="M15" s="156">
        <v>43374</v>
      </c>
      <c r="N15" s="156">
        <v>43746</v>
      </c>
      <c r="O15" s="148" t="s">
        <v>822</v>
      </c>
      <c r="P15" s="148" t="s">
        <v>823</v>
      </c>
      <c r="Q15" s="148" t="s">
        <v>824</v>
      </c>
      <c r="R15" s="148">
        <v>117.142146859779</v>
      </c>
      <c r="S15" s="148">
        <f>'Cálculo PU'!U70</f>
        <v>71.2619388767028</v>
      </c>
      <c r="T15" s="168">
        <f t="shared" si="0"/>
        <v>45.880207983076204</v>
      </c>
      <c r="V15" s="147">
        <v>3499</v>
      </c>
      <c r="W15" s="156">
        <v>43374</v>
      </c>
      <c r="X15" s="156">
        <v>43746</v>
      </c>
      <c r="Y15" s="148" t="s">
        <v>822</v>
      </c>
      <c r="Z15" s="148" t="s">
        <v>823</v>
      </c>
      <c r="AA15" s="148" t="s">
        <v>830</v>
      </c>
      <c r="AB15" s="148">
        <v>126.75181933278699</v>
      </c>
      <c r="AC15" s="148">
        <f>'Cálculo PU'!T70</f>
        <v>127.42381462567138</v>
      </c>
      <c r="AD15" s="168">
        <f t="shared" si="1"/>
        <v>-0.67199529288438953</v>
      </c>
      <c r="AF15" s="147">
        <v>3511</v>
      </c>
      <c r="AG15" s="156">
        <v>43374</v>
      </c>
      <c r="AH15" s="156">
        <v>43746</v>
      </c>
      <c r="AI15" s="148" t="s">
        <v>822</v>
      </c>
      <c r="AJ15" s="148" t="s">
        <v>823</v>
      </c>
      <c r="AK15" s="148" t="s">
        <v>942</v>
      </c>
      <c r="AL15" s="148">
        <v>7.9412523999999998</v>
      </c>
      <c r="AM15" s="148">
        <f>'Cálculo PU'!Q70</f>
        <v>16.629899999999999</v>
      </c>
      <c r="AN15" s="168">
        <f t="shared" si="2"/>
        <v>-8.6886475999999995</v>
      </c>
      <c r="AP15" s="147">
        <v>3512</v>
      </c>
      <c r="AQ15" s="156">
        <v>43374</v>
      </c>
      <c r="AR15" s="156">
        <v>43746</v>
      </c>
      <c r="AS15" s="148" t="s">
        <v>822</v>
      </c>
      <c r="AT15" s="148" t="s">
        <v>823</v>
      </c>
      <c r="AU15" s="148" t="s">
        <v>943</v>
      </c>
      <c r="AV15" s="148">
        <v>260</v>
      </c>
      <c r="AW15" s="152">
        <f>'Cálculo PU'!L70</f>
        <v>952</v>
      </c>
      <c r="AX15" s="168">
        <f t="shared" si="3"/>
        <v>-692</v>
      </c>
      <c r="AZ15" s="147">
        <v>3501</v>
      </c>
      <c r="BA15" s="156">
        <v>43374</v>
      </c>
      <c r="BB15" s="156">
        <v>43746</v>
      </c>
      <c r="BC15" s="148" t="s">
        <v>822</v>
      </c>
      <c r="BD15" s="148" t="s">
        <v>823</v>
      </c>
      <c r="BE15" s="148" t="s">
        <v>945</v>
      </c>
      <c r="BF15" s="148">
        <v>1.0020598362699999</v>
      </c>
      <c r="BG15" s="148">
        <f>'Cálculo PU'!N70</f>
        <v>1.0020598362698427</v>
      </c>
      <c r="BH15" s="168">
        <f t="shared" si="4"/>
        <v>1.5720758028692217E-13</v>
      </c>
      <c r="BJ15" s="147">
        <v>3526</v>
      </c>
      <c r="BK15" s="156">
        <v>43374</v>
      </c>
      <c r="BL15" s="156">
        <v>43746</v>
      </c>
      <c r="BM15" s="148" t="s">
        <v>822</v>
      </c>
      <c r="BN15" s="148" t="s">
        <v>823</v>
      </c>
      <c r="BO15" s="148" t="s">
        <v>827</v>
      </c>
      <c r="BP15" s="148">
        <v>1.0258066194569999</v>
      </c>
      <c r="BQ15" s="148">
        <f>'Cálculo PU'!O70</f>
        <v>1.0977836130005245</v>
      </c>
      <c r="BR15" s="168">
        <f t="shared" si="5"/>
        <v>-7.1976993543524603E-2</v>
      </c>
      <c r="BT15" s="147">
        <v>3500</v>
      </c>
      <c r="BU15" s="156">
        <v>43374</v>
      </c>
      <c r="BV15" s="156">
        <v>43746</v>
      </c>
      <c r="BW15" s="148" t="s">
        <v>822</v>
      </c>
      <c r="BX15" s="148" t="s">
        <v>823</v>
      </c>
      <c r="BY15" s="148" t="s">
        <v>946</v>
      </c>
      <c r="BZ15" s="148">
        <v>1.0073501499999999</v>
      </c>
      <c r="CA15" s="148">
        <f>'Cálculo PU'!S70</f>
        <v>1.01269078</v>
      </c>
      <c r="CB15" s="168">
        <f t="shared" si="6"/>
        <v>-5.3406300000000684E-3</v>
      </c>
      <c r="CD15">
        <v>3481</v>
      </c>
      <c r="CE15" s="215">
        <v>43717</v>
      </c>
      <c r="CF15" s="215">
        <v>43746</v>
      </c>
      <c r="CG15" t="s">
        <v>822</v>
      </c>
      <c r="CH15" t="s">
        <v>823</v>
      </c>
      <c r="CI15" t="s">
        <v>1713</v>
      </c>
      <c r="CJ15">
        <v>1.0020598362698401</v>
      </c>
      <c r="CK15">
        <f t="shared" si="8"/>
        <v>1.0020598362698427</v>
      </c>
      <c r="CL15" s="246">
        <f t="shared" si="9"/>
        <v>43717</v>
      </c>
      <c r="CM15" s="246">
        <f>'Cálculo PU'!G69</f>
        <v>43717</v>
      </c>
      <c r="CN15" s="215">
        <f t="shared" si="10"/>
        <v>43746</v>
      </c>
      <c r="CO15" s="215">
        <f>'Cálculo PU'!G70</f>
        <v>43746</v>
      </c>
      <c r="CQ15">
        <v>3409</v>
      </c>
      <c r="CR15" s="215">
        <v>43536</v>
      </c>
      <c r="CS15" s="215">
        <v>43563</v>
      </c>
      <c r="CT15" t="s">
        <v>822</v>
      </c>
      <c r="CU15" t="s">
        <v>823</v>
      </c>
      <c r="CV15" t="s">
        <v>1714</v>
      </c>
      <c r="CW15">
        <v>2.5</v>
      </c>
    </row>
    <row r="16" spans="2:105">
      <c r="B16" s="147">
        <v>3566</v>
      </c>
      <c r="C16" s="156">
        <v>43374</v>
      </c>
      <c r="D16" s="156">
        <v>43777</v>
      </c>
      <c r="E16" s="148" t="s">
        <v>822</v>
      </c>
      <c r="F16" s="148" t="s">
        <v>823</v>
      </c>
      <c r="G16" s="148" t="s">
        <v>825</v>
      </c>
      <c r="H16" s="148">
        <v>122.3679254881</v>
      </c>
      <c r="I16" s="148">
        <f>'Cálculo PU'!V71</f>
        <v>69.205234282910908</v>
      </c>
      <c r="J16" s="168">
        <f t="shared" si="7"/>
        <v>53.162691205189091</v>
      </c>
      <c r="L16" s="147">
        <v>3552</v>
      </c>
      <c r="M16" s="156">
        <v>43374</v>
      </c>
      <c r="N16" s="156">
        <v>43777</v>
      </c>
      <c r="O16" s="148" t="s">
        <v>822</v>
      </c>
      <c r="P16" s="148" t="s">
        <v>823</v>
      </c>
      <c r="Q16" s="148" t="s">
        <v>824</v>
      </c>
      <c r="R16" s="148">
        <v>125.809073939957</v>
      </c>
      <c r="S16" s="148">
        <f>'Cálculo PU'!U71</f>
        <v>76.143801931813343</v>
      </c>
      <c r="T16" s="168">
        <f t="shared" si="0"/>
        <v>49.66527200814366</v>
      </c>
      <c r="V16" s="147">
        <v>3538</v>
      </c>
      <c r="W16" s="156">
        <v>43374</v>
      </c>
      <c r="X16" s="156">
        <v>43777</v>
      </c>
      <c r="Y16" s="148" t="s">
        <v>822</v>
      </c>
      <c r="Z16" s="148" t="s">
        <v>823</v>
      </c>
      <c r="AA16" s="148" t="s">
        <v>830</v>
      </c>
      <c r="AB16" s="148">
        <v>137.28069119962001</v>
      </c>
      <c r="AC16" s="148">
        <f>'Cálculo PU'!T71</f>
        <v>138.02374307263759</v>
      </c>
      <c r="AD16" s="168">
        <f t="shared" si="1"/>
        <v>-0.74305187301757769</v>
      </c>
      <c r="AF16" s="147">
        <v>3550</v>
      </c>
      <c r="AG16" s="156">
        <v>43374</v>
      </c>
      <c r="AH16" s="156">
        <v>43777</v>
      </c>
      <c r="AI16" s="148" t="s">
        <v>822</v>
      </c>
      <c r="AJ16" s="148" t="s">
        <v>823</v>
      </c>
      <c r="AK16" s="148" t="s">
        <v>942</v>
      </c>
      <c r="AL16" s="148">
        <v>8.0802090999999994</v>
      </c>
      <c r="AM16" s="148">
        <f>'Cálculo PU'!Q71</f>
        <v>16.617999999999999</v>
      </c>
      <c r="AN16" s="168">
        <f t="shared" si="2"/>
        <v>-8.5377908999999992</v>
      </c>
      <c r="AP16" s="147">
        <v>3551</v>
      </c>
      <c r="AQ16" s="156">
        <v>43374</v>
      </c>
      <c r="AR16" s="156">
        <v>43777</v>
      </c>
      <c r="AS16" s="148" t="s">
        <v>822</v>
      </c>
      <c r="AT16" s="148" t="s">
        <v>823</v>
      </c>
      <c r="AU16" s="148" t="s">
        <v>943</v>
      </c>
      <c r="AV16" s="148">
        <v>283</v>
      </c>
      <c r="AW16" s="152">
        <f>'Cálculo PU'!L71</f>
        <v>975</v>
      </c>
      <c r="AX16" s="168">
        <f t="shared" si="3"/>
        <v>-692</v>
      </c>
      <c r="AZ16" s="147">
        <v>3540</v>
      </c>
      <c r="BA16" s="156">
        <v>43374</v>
      </c>
      <c r="BB16" s="156">
        <v>43777</v>
      </c>
      <c r="BC16" s="148" t="s">
        <v>822</v>
      </c>
      <c r="BD16" s="148" t="s">
        <v>823</v>
      </c>
      <c r="BE16" s="148" t="s">
        <v>945</v>
      </c>
      <c r="BF16" s="148">
        <v>1.0022562323019999</v>
      </c>
      <c r="BG16" s="148">
        <f>'Cálculo PU'!N71</f>
        <v>1.0022562323017139</v>
      </c>
      <c r="BH16" s="168">
        <f t="shared" si="4"/>
        <v>2.8599345114344032E-13</v>
      </c>
      <c r="BJ16" s="147">
        <v>3565</v>
      </c>
      <c r="BK16" s="156">
        <v>43374</v>
      </c>
      <c r="BL16" s="156">
        <v>43777</v>
      </c>
      <c r="BM16" s="148" t="s">
        <v>822</v>
      </c>
      <c r="BN16" s="148" t="s">
        <v>823</v>
      </c>
      <c r="BO16" s="148" t="s">
        <v>827</v>
      </c>
      <c r="BP16" s="148">
        <v>1.02812132704</v>
      </c>
      <c r="BQ16" s="148">
        <f>'Cálculo PU'!O71</f>
        <v>1.1002607349111424</v>
      </c>
      <c r="BR16" s="168">
        <f t="shared" si="5"/>
        <v>-7.2139407871142369E-2</v>
      </c>
      <c r="BT16" s="147">
        <v>3539</v>
      </c>
      <c r="BU16" s="156">
        <v>43374</v>
      </c>
      <c r="BV16" s="156">
        <v>43777</v>
      </c>
      <c r="BW16" s="148" t="s">
        <v>822</v>
      </c>
      <c r="BX16" s="148" t="s">
        <v>823</v>
      </c>
      <c r="BY16" s="148" t="s">
        <v>946</v>
      </c>
      <c r="BZ16" s="148">
        <v>1.00845487</v>
      </c>
      <c r="CA16" s="148">
        <f>'Cálculo PU'!S71</f>
        <v>1.0139132799999999</v>
      </c>
      <c r="CB16" s="168">
        <f t="shared" si="6"/>
        <v>-5.4584099999999136E-3</v>
      </c>
      <c r="CD16">
        <v>3519</v>
      </c>
      <c r="CE16" s="215">
        <v>43746</v>
      </c>
      <c r="CF16" s="215">
        <v>43777</v>
      </c>
      <c r="CG16" t="s">
        <v>822</v>
      </c>
      <c r="CH16" t="s">
        <v>823</v>
      </c>
      <c r="CI16" t="s">
        <v>1713</v>
      </c>
      <c r="CJ16">
        <v>1.0022562323017099</v>
      </c>
      <c r="CK16">
        <f t="shared" si="8"/>
        <v>1.0022562323017139</v>
      </c>
      <c r="CL16" s="246">
        <f t="shared" si="9"/>
        <v>43746</v>
      </c>
      <c r="CM16" s="246">
        <f>'Cálculo PU'!G70</f>
        <v>43746</v>
      </c>
      <c r="CN16" s="215">
        <f t="shared" si="10"/>
        <v>43777</v>
      </c>
      <c r="CO16" s="215">
        <f>'Cálculo PU'!G71</f>
        <v>43777</v>
      </c>
      <c r="CQ16">
        <v>3411</v>
      </c>
      <c r="CR16" s="215">
        <v>43536</v>
      </c>
      <c r="CS16" s="215">
        <v>43563</v>
      </c>
      <c r="CT16" t="s">
        <v>822</v>
      </c>
      <c r="CU16" t="s">
        <v>823</v>
      </c>
      <c r="CV16" t="s">
        <v>1714</v>
      </c>
      <c r="CW16">
        <v>2.5</v>
      </c>
    </row>
    <row r="17" spans="2:101">
      <c r="B17" s="147">
        <v>3605</v>
      </c>
      <c r="C17" s="156">
        <v>43374</v>
      </c>
      <c r="D17" s="156">
        <v>43808</v>
      </c>
      <c r="E17" s="148" t="s">
        <v>822</v>
      </c>
      <c r="F17" s="148" t="s">
        <v>823</v>
      </c>
      <c r="G17" s="148" t="s">
        <v>825</v>
      </c>
      <c r="H17" s="148">
        <v>104.020443267933</v>
      </c>
      <c r="I17" s="148">
        <f>'Cálculo PU'!V72</f>
        <v>58.52063821576327</v>
      </c>
      <c r="J17" s="168">
        <f t="shared" si="7"/>
        <v>45.499805052169734</v>
      </c>
      <c r="L17" s="147">
        <v>3591</v>
      </c>
      <c r="M17" s="156">
        <v>43374</v>
      </c>
      <c r="N17" s="156">
        <v>43808</v>
      </c>
      <c r="O17" s="148" t="s">
        <v>822</v>
      </c>
      <c r="P17" s="148" t="s">
        <v>823</v>
      </c>
      <c r="Q17" s="148" t="s">
        <v>824</v>
      </c>
      <c r="R17" s="148">
        <v>107.15544898325</v>
      </c>
      <c r="S17" s="148">
        <f>'Cálculo PU'!U72</f>
        <v>64.514280843053712</v>
      </c>
      <c r="T17" s="168">
        <f t="shared" si="0"/>
        <v>42.641168140196285</v>
      </c>
      <c r="V17" s="147">
        <v>3577</v>
      </c>
      <c r="W17" s="156">
        <v>43374</v>
      </c>
      <c r="X17" s="156">
        <v>43808</v>
      </c>
      <c r="Y17" s="148" t="s">
        <v>822</v>
      </c>
      <c r="Z17" s="148" t="s">
        <v>823</v>
      </c>
      <c r="AA17" s="148" t="s">
        <v>830</v>
      </c>
      <c r="AB17" s="148">
        <v>117.785353620002</v>
      </c>
      <c r="AC17" s="148">
        <f>'Cálculo PU'!T72</f>
        <v>118.33953342977297</v>
      </c>
      <c r="AD17" s="168">
        <f t="shared" si="1"/>
        <v>-0.55417980977097159</v>
      </c>
      <c r="AF17" s="147">
        <v>3589</v>
      </c>
      <c r="AG17" s="156">
        <v>43374</v>
      </c>
      <c r="AH17" s="156">
        <v>43808</v>
      </c>
      <c r="AI17" s="148" t="s">
        <v>822</v>
      </c>
      <c r="AJ17" s="148" t="s">
        <v>823</v>
      </c>
      <c r="AK17" s="148" t="s">
        <v>942</v>
      </c>
      <c r="AL17" s="148">
        <v>8.1840097800000002</v>
      </c>
      <c r="AM17" s="148">
        <f>'Cálculo PU'!Q72</f>
        <v>16.6082</v>
      </c>
      <c r="AN17" s="168">
        <f t="shared" si="2"/>
        <v>-8.4241902199999998</v>
      </c>
      <c r="AP17" s="147">
        <v>3590</v>
      </c>
      <c r="AQ17" s="156">
        <v>43374</v>
      </c>
      <c r="AR17" s="156">
        <v>43808</v>
      </c>
      <c r="AS17" s="148" t="s">
        <v>822</v>
      </c>
      <c r="AT17" s="148" t="s">
        <v>823</v>
      </c>
      <c r="AU17" s="148" t="s">
        <v>943</v>
      </c>
      <c r="AV17" s="148">
        <v>303</v>
      </c>
      <c r="AW17" s="152">
        <f>'Cálculo PU'!L72</f>
        <v>995</v>
      </c>
      <c r="AX17" s="168">
        <f t="shared" si="3"/>
        <v>-692</v>
      </c>
      <c r="AZ17" s="147">
        <v>3579</v>
      </c>
      <c r="BA17" s="156">
        <v>43374</v>
      </c>
      <c r="BB17" s="156">
        <v>43808</v>
      </c>
      <c r="BC17" s="148" t="s">
        <v>822</v>
      </c>
      <c r="BD17" s="148" t="s">
        <v>823</v>
      </c>
      <c r="BE17" s="148" t="s">
        <v>945</v>
      </c>
      <c r="BF17" s="148">
        <v>1.001961652686</v>
      </c>
      <c r="BG17" s="148">
        <f>'Cálculo PU'!N72</f>
        <v>1.0019616526860928</v>
      </c>
      <c r="BH17" s="168">
        <f t="shared" si="4"/>
        <v>-9.2814644858663087E-14</v>
      </c>
      <c r="BJ17" s="147">
        <v>3604</v>
      </c>
      <c r="BK17" s="156">
        <v>43374</v>
      </c>
      <c r="BL17" s="156">
        <v>43808</v>
      </c>
      <c r="BM17" s="148" t="s">
        <v>822</v>
      </c>
      <c r="BN17" s="148" t="s">
        <v>823</v>
      </c>
      <c r="BO17" s="148" t="s">
        <v>827</v>
      </c>
      <c r="BP17" s="148">
        <v>1.0301383614299999</v>
      </c>
      <c r="BQ17" s="148">
        <f>'Cálculo PU'!O72</f>
        <v>1.1024192970211999</v>
      </c>
      <c r="BR17" s="168">
        <f t="shared" si="5"/>
        <v>-7.2280935591199968E-2</v>
      </c>
      <c r="BT17" s="147">
        <v>3578</v>
      </c>
      <c r="BU17" s="156">
        <v>43374</v>
      </c>
      <c r="BV17" s="156">
        <v>43808</v>
      </c>
      <c r="BW17" s="148" t="s">
        <v>822</v>
      </c>
      <c r="BX17" s="148" t="s">
        <v>823</v>
      </c>
      <c r="BY17" s="148" t="s">
        <v>946</v>
      </c>
      <c r="BZ17" s="148">
        <v>1.00734802</v>
      </c>
      <c r="CA17" s="148">
        <f>'Cálculo PU'!S72</f>
        <v>1.0120875899999999</v>
      </c>
      <c r="CB17" s="168">
        <f t="shared" si="6"/>
        <v>-4.7395699999999152E-3</v>
      </c>
      <c r="CD17">
        <v>3557</v>
      </c>
      <c r="CE17" s="215">
        <v>43777</v>
      </c>
      <c r="CF17" s="215">
        <v>43808</v>
      </c>
      <c r="CG17" t="s">
        <v>822</v>
      </c>
      <c r="CH17" t="s">
        <v>823</v>
      </c>
      <c r="CI17" t="s">
        <v>1713</v>
      </c>
      <c r="CJ17">
        <v>1.0019616526860899</v>
      </c>
      <c r="CK17">
        <f t="shared" si="8"/>
        <v>1.0019616526860928</v>
      </c>
      <c r="CL17" s="246">
        <f t="shared" si="9"/>
        <v>43777</v>
      </c>
      <c r="CM17" s="246">
        <f>'Cálculo PU'!G71</f>
        <v>43777</v>
      </c>
      <c r="CN17" s="215">
        <f t="shared" si="10"/>
        <v>43808</v>
      </c>
      <c r="CO17" s="215">
        <f>'Cálculo PU'!G72</f>
        <v>43808</v>
      </c>
      <c r="CQ17">
        <v>3449</v>
      </c>
      <c r="CR17" s="215">
        <v>43563</v>
      </c>
      <c r="CS17" s="215">
        <v>43594</v>
      </c>
      <c r="CT17" t="s">
        <v>822</v>
      </c>
      <c r="CU17" t="s">
        <v>823</v>
      </c>
      <c r="CV17" t="s">
        <v>1714</v>
      </c>
      <c r="CW17">
        <v>2.5</v>
      </c>
    </row>
    <row r="18" spans="2:101">
      <c r="B18" s="147">
        <v>3644</v>
      </c>
      <c r="C18" s="156">
        <v>43374</v>
      </c>
      <c r="D18" s="156">
        <v>43839</v>
      </c>
      <c r="E18" s="148" t="s">
        <v>822</v>
      </c>
      <c r="F18" s="148" t="s">
        <v>823</v>
      </c>
      <c r="G18" s="148" t="s">
        <v>825</v>
      </c>
      <c r="H18" s="148">
        <v>106.858944104881</v>
      </c>
      <c r="I18" s="148">
        <f>'Cálculo PU'!V73</f>
        <v>59.848819247769136</v>
      </c>
      <c r="J18" s="168">
        <f t="shared" si="7"/>
        <v>47.010124857111869</v>
      </c>
      <c r="L18" s="147">
        <v>3630</v>
      </c>
      <c r="M18" s="156">
        <v>43374</v>
      </c>
      <c r="N18" s="156">
        <v>43839</v>
      </c>
      <c r="O18" s="148" t="s">
        <v>822</v>
      </c>
      <c r="P18" s="148" t="s">
        <v>823</v>
      </c>
      <c r="Q18" s="148" t="s">
        <v>824</v>
      </c>
      <c r="R18" s="148">
        <v>110.306267772171</v>
      </c>
      <c r="S18" s="148">
        <f>'Cálculo PU'!U73</f>
        <v>66.114412788364589</v>
      </c>
      <c r="T18" s="168">
        <f t="shared" si="0"/>
        <v>44.191854983806408</v>
      </c>
      <c r="V18" s="147">
        <v>3616</v>
      </c>
      <c r="W18" s="156">
        <v>43374</v>
      </c>
      <c r="X18" s="156">
        <v>43839</v>
      </c>
      <c r="Y18" s="148" t="s">
        <v>822</v>
      </c>
      <c r="Z18" s="148" t="s">
        <v>823</v>
      </c>
      <c r="AA18" s="148" t="s">
        <v>830</v>
      </c>
      <c r="AB18" s="148">
        <v>122.205708109011</v>
      </c>
      <c r="AC18" s="148">
        <f>'Cálculo PU'!T73</f>
        <v>122.79161650731585</v>
      </c>
      <c r="AD18" s="168">
        <f t="shared" si="1"/>
        <v>-0.58590839830485208</v>
      </c>
      <c r="AF18" s="147">
        <v>3628</v>
      </c>
      <c r="AG18" s="156">
        <v>43374</v>
      </c>
      <c r="AH18" s="156">
        <v>43839</v>
      </c>
      <c r="AI18" s="148" t="s">
        <v>822</v>
      </c>
      <c r="AJ18" s="148" t="s">
        <v>823</v>
      </c>
      <c r="AK18" s="148" t="s">
        <v>942</v>
      </c>
      <c r="AL18" s="148">
        <v>8.2939875900000004</v>
      </c>
      <c r="AM18" s="148">
        <f>'Cálculo PU'!Q73</f>
        <v>16.5974</v>
      </c>
      <c r="AN18" s="168">
        <f t="shared" si="2"/>
        <v>-8.30341241</v>
      </c>
      <c r="AP18" s="147">
        <v>3629</v>
      </c>
      <c r="AQ18" s="156">
        <v>43374</v>
      </c>
      <c r="AR18" s="156">
        <v>43839</v>
      </c>
      <c r="AS18" s="148" t="s">
        <v>822</v>
      </c>
      <c r="AT18" s="148" t="s">
        <v>823</v>
      </c>
      <c r="AU18" s="148" t="s">
        <v>943</v>
      </c>
      <c r="AV18" s="148">
        <v>324</v>
      </c>
      <c r="AW18" s="152">
        <f>'Cálculo PU'!L73</f>
        <v>1016</v>
      </c>
      <c r="AX18" s="168">
        <f t="shared" si="3"/>
        <v>-692</v>
      </c>
      <c r="AZ18" s="147">
        <v>3618</v>
      </c>
      <c r="BA18" s="156">
        <v>43374</v>
      </c>
      <c r="BB18" s="156">
        <v>43839</v>
      </c>
      <c r="BC18" s="148" t="s">
        <v>822</v>
      </c>
      <c r="BD18" s="148" t="s">
        <v>823</v>
      </c>
      <c r="BE18" s="148" t="s">
        <v>945</v>
      </c>
      <c r="BF18" s="148">
        <v>1.0020598362699999</v>
      </c>
      <c r="BG18" s="148">
        <f>'Cálculo PU'!N73</f>
        <v>1.0020598362698427</v>
      </c>
      <c r="BH18" s="168">
        <f t="shared" si="4"/>
        <v>1.5720758028692217E-13</v>
      </c>
      <c r="BJ18" s="147">
        <v>3643</v>
      </c>
      <c r="BK18" s="156">
        <v>43374</v>
      </c>
      <c r="BL18" s="156">
        <v>43839</v>
      </c>
      <c r="BM18" s="148" t="s">
        <v>822</v>
      </c>
      <c r="BN18" s="148" t="s">
        <v>823</v>
      </c>
      <c r="BO18" s="148" t="s">
        <v>827</v>
      </c>
      <c r="BP18" s="148">
        <v>1.0322605065599999</v>
      </c>
      <c r="BQ18" s="148">
        <f>'Cálculo PU'!O73</f>
        <v>1.1046903450953045</v>
      </c>
      <c r="BR18" s="168">
        <f t="shared" si="5"/>
        <v>-7.2429838535304603E-2</v>
      </c>
      <c r="BT18" s="147">
        <v>3617</v>
      </c>
      <c r="BU18" s="156">
        <v>43374</v>
      </c>
      <c r="BV18" s="156">
        <v>43839</v>
      </c>
      <c r="BW18" s="148" t="s">
        <v>822</v>
      </c>
      <c r="BX18" s="148" t="s">
        <v>823</v>
      </c>
      <c r="BY18" s="148" t="s">
        <v>946</v>
      </c>
      <c r="BZ18" s="148">
        <v>1.0078144899999999</v>
      </c>
      <c r="CA18" s="148">
        <f>'Cálculo PU'!S73</f>
        <v>1.0126463999999999</v>
      </c>
      <c r="CB18" s="168">
        <f t="shared" si="6"/>
        <v>-4.8319100000000503E-3</v>
      </c>
      <c r="CD18">
        <v>3595</v>
      </c>
      <c r="CE18" s="215">
        <v>43808</v>
      </c>
      <c r="CF18" s="215">
        <v>43839</v>
      </c>
      <c r="CG18" t="s">
        <v>822</v>
      </c>
      <c r="CH18" t="s">
        <v>823</v>
      </c>
      <c r="CI18" t="s">
        <v>1713</v>
      </c>
      <c r="CJ18">
        <v>1.0020598362698401</v>
      </c>
      <c r="CK18">
        <f t="shared" si="8"/>
        <v>1.0020598362698427</v>
      </c>
      <c r="CL18" s="246">
        <f t="shared" si="9"/>
        <v>43808</v>
      </c>
      <c r="CM18" s="246">
        <f>'Cálculo PU'!G72</f>
        <v>43808</v>
      </c>
      <c r="CN18" s="215">
        <f t="shared" si="10"/>
        <v>43839</v>
      </c>
      <c r="CO18" s="215">
        <f>'Cálculo PU'!G73</f>
        <v>43839</v>
      </c>
      <c r="CQ18">
        <v>3451</v>
      </c>
      <c r="CR18" s="215">
        <v>43563</v>
      </c>
      <c r="CS18" s="215">
        <v>43594</v>
      </c>
      <c r="CT18" t="s">
        <v>822</v>
      </c>
      <c r="CU18" t="s">
        <v>823</v>
      </c>
      <c r="CV18" t="s">
        <v>1714</v>
      </c>
      <c r="CW18">
        <v>2.5</v>
      </c>
    </row>
    <row r="19" spans="2:101">
      <c r="B19" s="147">
        <v>3683</v>
      </c>
      <c r="C19" s="156">
        <v>43374</v>
      </c>
      <c r="D19" s="156">
        <v>43871</v>
      </c>
      <c r="E19" s="148" t="s">
        <v>822</v>
      </c>
      <c r="F19" s="148" t="s">
        <v>823</v>
      </c>
      <c r="G19" s="148" t="s">
        <v>825</v>
      </c>
      <c r="H19" s="148">
        <v>109.37295048517301</v>
      </c>
      <c r="I19" s="148">
        <f>'Cálculo PU'!V74</f>
        <v>60.965790390619077</v>
      </c>
      <c r="J19" s="168">
        <f t="shared" si="7"/>
        <v>48.40716009455393</v>
      </c>
      <c r="L19" s="147">
        <v>3669</v>
      </c>
      <c r="M19" s="156">
        <v>43374</v>
      </c>
      <c r="N19" s="156">
        <v>43871</v>
      </c>
      <c r="O19" s="148" t="s">
        <v>822</v>
      </c>
      <c r="P19" s="148" t="s">
        <v>823</v>
      </c>
      <c r="Q19" s="148" t="s">
        <v>824</v>
      </c>
      <c r="R19" s="148">
        <v>113.145048041008</v>
      </c>
      <c r="S19" s="148">
        <f>'Cálculo PU'!U74</f>
        <v>67.493675355544994</v>
      </c>
      <c r="T19" s="168">
        <f t="shared" si="0"/>
        <v>45.651372685463002</v>
      </c>
      <c r="V19" s="147">
        <v>3655</v>
      </c>
      <c r="W19" s="156">
        <v>43374</v>
      </c>
      <c r="X19" s="156">
        <v>43871</v>
      </c>
      <c r="Y19" s="148" t="s">
        <v>822</v>
      </c>
      <c r="Z19" s="148" t="s">
        <v>823</v>
      </c>
      <c r="AA19" s="148" t="s">
        <v>830</v>
      </c>
      <c r="AB19" s="148">
        <v>126.41817807989401</v>
      </c>
      <c r="AC19" s="148">
        <f>'Cálculo PU'!T74</f>
        <v>126.99118506533775</v>
      </c>
      <c r="AD19" s="168">
        <f t="shared" si="1"/>
        <v>-0.57300698544374029</v>
      </c>
      <c r="AF19" s="147">
        <v>3667</v>
      </c>
      <c r="AG19" s="156">
        <v>43374</v>
      </c>
      <c r="AH19" s="156">
        <v>43871</v>
      </c>
      <c r="AI19" s="148" t="s">
        <v>822</v>
      </c>
      <c r="AJ19" s="148" t="s">
        <v>823</v>
      </c>
      <c r="AK19" s="148" t="s">
        <v>942</v>
      </c>
      <c r="AL19" s="148">
        <v>8.4142196899999995</v>
      </c>
      <c r="AM19" s="148">
        <f>'Cálculo PU'!Q74</f>
        <v>16.5854</v>
      </c>
      <c r="AN19" s="168">
        <f t="shared" si="2"/>
        <v>-8.1711803100000004</v>
      </c>
      <c r="AP19" s="147">
        <v>3668</v>
      </c>
      <c r="AQ19" s="156">
        <v>43374</v>
      </c>
      <c r="AR19" s="156">
        <v>43871</v>
      </c>
      <c r="AS19" s="148" t="s">
        <v>822</v>
      </c>
      <c r="AT19" s="148" t="s">
        <v>823</v>
      </c>
      <c r="AU19" s="148" t="s">
        <v>943</v>
      </c>
      <c r="AV19" s="148">
        <v>346</v>
      </c>
      <c r="AW19" s="152">
        <f>'Cálculo PU'!L74</f>
        <v>1038</v>
      </c>
      <c r="AX19" s="168">
        <f t="shared" si="3"/>
        <v>-692</v>
      </c>
      <c r="AZ19" s="147">
        <v>3657</v>
      </c>
      <c r="BA19" s="156">
        <v>43374</v>
      </c>
      <c r="BB19" s="156">
        <v>43871</v>
      </c>
      <c r="BC19" s="148" t="s">
        <v>822</v>
      </c>
      <c r="BD19" s="148" t="s">
        <v>823</v>
      </c>
      <c r="BE19" s="148" t="s">
        <v>945</v>
      </c>
      <c r="BF19" s="148">
        <v>1.0021580294750001</v>
      </c>
      <c r="BG19" s="148">
        <f>'Cálculo PU'!N74</f>
        <v>1.0021580294747356</v>
      </c>
      <c r="BH19" s="168">
        <f t="shared" si="4"/>
        <v>2.6445512446571229E-13</v>
      </c>
      <c r="BJ19" s="147">
        <v>3682</v>
      </c>
      <c r="BK19" s="156">
        <v>43374</v>
      </c>
      <c r="BL19" s="156">
        <v>43871</v>
      </c>
      <c r="BM19" s="148" t="s">
        <v>822</v>
      </c>
      <c r="BN19" s="148" t="s">
        <v>823</v>
      </c>
      <c r="BO19" s="148" t="s">
        <v>827</v>
      </c>
      <c r="BP19" s="148">
        <v>1.0344883953399999</v>
      </c>
      <c r="BQ19" s="148">
        <f>'Cálculo PU'!O74</f>
        <v>1.1070745564537186</v>
      </c>
      <c r="BR19" s="168">
        <f t="shared" si="5"/>
        <v>-7.2586161113718628E-2</v>
      </c>
      <c r="BT19" s="147">
        <v>3656</v>
      </c>
      <c r="BU19" s="156">
        <v>43374</v>
      </c>
      <c r="BV19" s="156">
        <v>43871</v>
      </c>
      <c r="BW19" s="148" t="s">
        <v>822</v>
      </c>
      <c r="BX19" s="148" t="s">
        <v>823</v>
      </c>
      <c r="BY19" s="148" t="s">
        <v>946</v>
      </c>
      <c r="BZ19" s="148">
        <v>1.0085157199999999</v>
      </c>
      <c r="CA19" s="148">
        <f>'Cálculo PU'!S74</f>
        <v>1.0130869499999999</v>
      </c>
      <c r="CB19" s="168">
        <f t="shared" si="6"/>
        <v>-4.5712300000000372E-3</v>
      </c>
      <c r="CD19">
        <v>3633</v>
      </c>
      <c r="CE19" s="215">
        <v>43839</v>
      </c>
      <c r="CF19" s="215">
        <v>43871</v>
      </c>
      <c r="CG19" t="s">
        <v>822</v>
      </c>
      <c r="CH19" t="s">
        <v>823</v>
      </c>
      <c r="CI19" t="s">
        <v>1713</v>
      </c>
      <c r="CJ19">
        <v>1.0021580294747401</v>
      </c>
      <c r="CK19">
        <f t="shared" si="8"/>
        <v>1.0021580294747356</v>
      </c>
      <c r="CL19" s="246">
        <f t="shared" si="9"/>
        <v>43839</v>
      </c>
      <c r="CM19" s="246">
        <f>'Cálculo PU'!G73</f>
        <v>43839</v>
      </c>
      <c r="CN19" s="215">
        <f t="shared" si="10"/>
        <v>43871</v>
      </c>
      <c r="CO19" s="215">
        <f>'Cálculo PU'!G74</f>
        <v>43871</v>
      </c>
      <c r="CQ19">
        <v>3489</v>
      </c>
      <c r="CR19" s="215">
        <v>43594</v>
      </c>
      <c r="CS19" s="215">
        <v>43626</v>
      </c>
      <c r="CT19" t="s">
        <v>822</v>
      </c>
      <c r="CU19" t="s">
        <v>823</v>
      </c>
      <c r="CV19" t="s">
        <v>1714</v>
      </c>
      <c r="CW19">
        <v>2.5</v>
      </c>
    </row>
    <row r="20" spans="2:101">
      <c r="B20" s="147">
        <v>3722</v>
      </c>
      <c r="C20" s="156">
        <v>43374</v>
      </c>
      <c r="D20" s="156">
        <v>43899</v>
      </c>
      <c r="E20" s="148" t="s">
        <v>822</v>
      </c>
      <c r="F20" s="148" t="s">
        <v>823</v>
      </c>
      <c r="G20" s="148" t="s">
        <v>825</v>
      </c>
      <c r="H20" s="148">
        <v>87.388291182695198</v>
      </c>
      <c r="I20" s="148">
        <f>'Cálculo PU'!V75</f>
        <v>48.492383292919008</v>
      </c>
      <c r="J20" s="168">
        <f t="shared" si="7"/>
        <v>38.89590788977619</v>
      </c>
      <c r="L20" s="147">
        <v>3708</v>
      </c>
      <c r="M20" s="156">
        <v>43374</v>
      </c>
      <c r="N20" s="156">
        <v>43899</v>
      </c>
      <c r="O20" s="148" t="s">
        <v>822</v>
      </c>
      <c r="P20" s="148" t="s">
        <v>823</v>
      </c>
      <c r="Q20" s="148" t="s">
        <v>824</v>
      </c>
      <c r="R20" s="148">
        <v>90.561778576254</v>
      </c>
      <c r="S20" s="148">
        <f>'Cálculo PU'!U75</f>
        <v>53.779464285413646</v>
      </c>
      <c r="T20" s="168">
        <f t="shared" si="0"/>
        <v>36.782314290840354</v>
      </c>
      <c r="V20" s="147">
        <v>3694</v>
      </c>
      <c r="W20" s="156">
        <v>43374</v>
      </c>
      <c r="X20" s="156">
        <v>43899</v>
      </c>
      <c r="Y20" s="148" t="s">
        <v>822</v>
      </c>
      <c r="Z20" s="148" t="s">
        <v>823</v>
      </c>
      <c r="AA20" s="148" t="s">
        <v>830</v>
      </c>
      <c r="AB20" s="148">
        <v>101.890106556845</v>
      </c>
      <c r="AC20" s="148">
        <f>'Cálculo PU'!T75</f>
        <v>102.26781236206452</v>
      </c>
      <c r="AD20" s="168">
        <f t="shared" si="1"/>
        <v>-0.37770580521952013</v>
      </c>
      <c r="AF20" s="147">
        <v>3706</v>
      </c>
      <c r="AG20" s="156">
        <v>43374</v>
      </c>
      <c r="AH20" s="156">
        <v>43899</v>
      </c>
      <c r="AI20" s="148" t="s">
        <v>822</v>
      </c>
      <c r="AJ20" s="148" t="s">
        <v>823</v>
      </c>
      <c r="AK20" s="148" t="s">
        <v>942</v>
      </c>
      <c r="AL20" s="148">
        <v>8.5018653400000002</v>
      </c>
      <c r="AM20" s="148">
        <f>'Cálculo PU'!Q75</f>
        <v>16.575900000000001</v>
      </c>
      <c r="AN20" s="168">
        <f t="shared" si="2"/>
        <v>-8.0740346600000006</v>
      </c>
      <c r="AP20" s="147">
        <v>3707</v>
      </c>
      <c r="AQ20" s="156">
        <v>43374</v>
      </c>
      <c r="AR20" s="156">
        <v>43899</v>
      </c>
      <c r="AS20" s="148" t="s">
        <v>822</v>
      </c>
      <c r="AT20" s="148" t="s">
        <v>823</v>
      </c>
      <c r="AU20" s="148" t="s">
        <v>943</v>
      </c>
      <c r="AV20" s="148">
        <v>364</v>
      </c>
      <c r="AW20" s="152">
        <f>'Cálculo PU'!L75</f>
        <v>1056</v>
      </c>
      <c r="AX20" s="168">
        <f t="shared" si="3"/>
        <v>-692</v>
      </c>
      <c r="AZ20" s="147">
        <v>3696</v>
      </c>
      <c r="BA20" s="156">
        <v>43374</v>
      </c>
      <c r="BB20" s="156">
        <v>43899</v>
      </c>
      <c r="BC20" s="148" t="s">
        <v>822</v>
      </c>
      <c r="BD20" s="148" t="s">
        <v>823</v>
      </c>
      <c r="BE20" s="148" t="s">
        <v>945</v>
      </c>
      <c r="BF20" s="148">
        <v>1.0017653143780001</v>
      </c>
      <c r="BG20" s="148">
        <f>'Cálculo PU'!N75</f>
        <v>1.0017653143782506</v>
      </c>
      <c r="BH20" s="168">
        <f t="shared" si="4"/>
        <v>-2.5046631435543532E-13</v>
      </c>
      <c r="BJ20" s="147">
        <v>3721</v>
      </c>
      <c r="BK20" s="156">
        <v>43374</v>
      </c>
      <c r="BL20" s="156">
        <v>43899</v>
      </c>
      <c r="BM20" s="148" t="s">
        <v>822</v>
      </c>
      <c r="BN20" s="148" t="s">
        <v>823</v>
      </c>
      <c r="BO20" s="148" t="s">
        <v>827</v>
      </c>
      <c r="BP20" s="148">
        <v>1.036314789437</v>
      </c>
      <c r="BQ20" s="148">
        <f>'Cálculo PU'!O75</f>
        <v>1.1090291017572376</v>
      </c>
      <c r="BR20" s="168">
        <f t="shared" si="5"/>
        <v>-7.2714312320237617E-2</v>
      </c>
      <c r="BT20" s="147">
        <v>3695</v>
      </c>
      <c r="BU20" s="156">
        <v>43374</v>
      </c>
      <c r="BV20" s="156">
        <v>43899</v>
      </c>
      <c r="BW20" s="148" t="s">
        <v>822</v>
      </c>
      <c r="BX20" s="148" t="s">
        <v>823</v>
      </c>
      <c r="BY20" s="148" t="s">
        <v>946</v>
      </c>
      <c r="BZ20" s="148">
        <v>1.00696203</v>
      </c>
      <c r="CA20" s="148">
        <f>'Cálculo PU'!S75</f>
        <v>1.01069483</v>
      </c>
      <c r="CB20" s="168">
        <f t="shared" si="6"/>
        <v>-3.7328000000000916E-3</v>
      </c>
      <c r="CD20">
        <v>3671</v>
      </c>
      <c r="CE20" s="215">
        <v>43871</v>
      </c>
      <c r="CF20" s="215">
        <v>43899</v>
      </c>
      <c r="CG20" t="s">
        <v>822</v>
      </c>
      <c r="CH20" t="s">
        <v>823</v>
      </c>
      <c r="CI20" t="s">
        <v>1713</v>
      </c>
      <c r="CJ20">
        <v>1.0017653143782499</v>
      </c>
      <c r="CK20">
        <f t="shared" si="8"/>
        <v>1.0017653143782506</v>
      </c>
      <c r="CL20" s="246">
        <f t="shared" si="9"/>
        <v>43871</v>
      </c>
      <c r="CM20" s="246">
        <f>'Cálculo PU'!G74</f>
        <v>43871</v>
      </c>
      <c r="CN20" s="215">
        <f t="shared" si="10"/>
        <v>43899</v>
      </c>
      <c r="CO20" s="215">
        <f>'Cálculo PU'!G75</f>
        <v>43899</v>
      </c>
      <c r="CQ20">
        <v>3491</v>
      </c>
      <c r="CR20" s="215">
        <v>43594</v>
      </c>
      <c r="CS20" s="215">
        <v>43626</v>
      </c>
      <c r="CT20" t="s">
        <v>822</v>
      </c>
      <c r="CU20" t="s">
        <v>823</v>
      </c>
      <c r="CV20" t="s">
        <v>1714</v>
      </c>
      <c r="CW20">
        <v>2.5</v>
      </c>
    </row>
    <row r="21" spans="2:101">
      <c r="B21" s="147">
        <v>3761</v>
      </c>
      <c r="C21" s="156">
        <v>43374</v>
      </c>
      <c r="D21" s="156">
        <v>43930</v>
      </c>
      <c r="E21" s="148" t="s">
        <v>822</v>
      </c>
      <c r="F21" s="148" t="s">
        <v>823</v>
      </c>
      <c r="G21" s="148" t="s">
        <v>825</v>
      </c>
      <c r="H21" s="148">
        <v>109.20168536516</v>
      </c>
      <c r="I21" s="148">
        <f>'Cálculo PU'!V76</f>
        <v>57.76294229948315</v>
      </c>
      <c r="J21" s="168">
        <f t="shared" si="7"/>
        <v>51.438743065676853</v>
      </c>
      <c r="L21" s="147">
        <v>3747</v>
      </c>
      <c r="M21" s="156">
        <v>43374</v>
      </c>
      <c r="N21" s="156">
        <v>43930</v>
      </c>
      <c r="O21" s="148" t="s">
        <v>822</v>
      </c>
      <c r="P21" s="148" t="s">
        <v>823</v>
      </c>
      <c r="Q21" s="148" t="s">
        <v>824</v>
      </c>
      <c r="R21" s="148">
        <v>113.411566321967</v>
      </c>
      <c r="S21" s="148">
        <f>'Cálculo PU'!U76</f>
        <v>64.199043978635288</v>
      </c>
      <c r="T21" s="168">
        <f t="shared" si="0"/>
        <v>49.212522343331713</v>
      </c>
      <c r="V21" s="147">
        <v>3733</v>
      </c>
      <c r="W21" s="156">
        <v>43374</v>
      </c>
      <c r="X21" s="156">
        <v>43930</v>
      </c>
      <c r="Y21" s="148" t="s">
        <v>822</v>
      </c>
      <c r="Z21" s="148" t="s">
        <v>823</v>
      </c>
      <c r="AA21" s="148" t="s">
        <v>830</v>
      </c>
      <c r="AB21" s="148">
        <v>128.71599087659399</v>
      </c>
      <c r="AC21" s="148">
        <f>'Cálculo PU'!T76</f>
        <v>123.67707430233824</v>
      </c>
      <c r="AD21" s="168">
        <f t="shared" si="1"/>
        <v>5.0389165742557509</v>
      </c>
      <c r="AF21" s="147">
        <v>3745</v>
      </c>
      <c r="AG21" s="156">
        <v>43374</v>
      </c>
      <c r="AH21" s="156">
        <v>43930</v>
      </c>
      <c r="AI21" s="148" t="s">
        <v>822</v>
      </c>
      <c r="AJ21" s="148" t="s">
        <v>823</v>
      </c>
      <c r="AK21" s="148" t="s">
        <v>942</v>
      </c>
      <c r="AL21" s="148">
        <v>8.6151774900000007</v>
      </c>
      <c r="AM21" s="148">
        <f>'Cálculo PU'!Q76</f>
        <v>16.564800000000002</v>
      </c>
      <c r="AN21" s="168">
        <f t="shared" si="2"/>
        <v>-7.9496225100000011</v>
      </c>
      <c r="AP21" s="147">
        <v>3746</v>
      </c>
      <c r="AQ21" s="156">
        <v>43374</v>
      </c>
      <c r="AR21" s="156">
        <v>43930</v>
      </c>
      <c r="AS21" s="148" t="s">
        <v>822</v>
      </c>
      <c r="AT21" s="148" t="s">
        <v>823</v>
      </c>
      <c r="AU21" s="148" t="s">
        <v>943</v>
      </c>
      <c r="AV21" s="148">
        <v>386</v>
      </c>
      <c r="AW21" s="152">
        <f>'Cálculo PU'!L76</f>
        <v>1078</v>
      </c>
      <c r="AX21" s="168">
        <f t="shared" si="3"/>
        <v>-692</v>
      </c>
      <c r="AZ21" s="147">
        <v>3735</v>
      </c>
      <c r="BA21" s="156">
        <v>43374</v>
      </c>
      <c r="BB21" s="156">
        <v>43930</v>
      </c>
      <c r="BC21" s="148" t="s">
        <v>822</v>
      </c>
      <c r="BD21" s="148" t="s">
        <v>823</v>
      </c>
      <c r="BE21" s="148" t="s">
        <v>945</v>
      </c>
      <c r="BF21" s="148">
        <v>1.0022562323019999</v>
      </c>
      <c r="BG21" s="148">
        <f>'Cálculo PU'!N76</f>
        <v>1.0021580294747356</v>
      </c>
      <c r="BH21" s="168">
        <f t="shared" si="4"/>
        <v>9.8202827264248782E-5</v>
      </c>
      <c r="BJ21" s="147">
        <v>3760</v>
      </c>
      <c r="BK21" s="156">
        <v>43374</v>
      </c>
      <c r="BL21" s="156">
        <v>43930</v>
      </c>
      <c r="BM21" s="148" t="s">
        <v>822</v>
      </c>
      <c r="BN21" s="148" t="s">
        <v>823</v>
      </c>
      <c r="BO21" s="148" t="s">
        <v>827</v>
      </c>
      <c r="BP21" s="148">
        <v>1.038551428421</v>
      </c>
      <c r="BQ21" s="148">
        <f>'Cálculo PU'!O76</f>
        <v>1.1114226772899296</v>
      </c>
      <c r="BR21" s="168">
        <f t="shared" si="5"/>
        <v>-7.2871248868929595E-2</v>
      </c>
      <c r="BT21" s="147">
        <v>3734</v>
      </c>
      <c r="BU21" s="156">
        <v>43374</v>
      </c>
      <c r="BV21" s="156">
        <v>43930</v>
      </c>
      <c r="BW21" s="148" t="s">
        <v>822</v>
      </c>
      <c r="BX21" s="148" t="s">
        <v>823</v>
      </c>
      <c r="BY21" s="148" t="s">
        <v>946</v>
      </c>
      <c r="BZ21" s="148">
        <v>1.0090677800000001</v>
      </c>
      <c r="CA21" s="148">
        <f>'Cálculo PU'!S76</f>
        <v>1.0136860700000001</v>
      </c>
      <c r="CB21" s="168">
        <f t="shared" si="6"/>
        <v>-4.6182900000000249E-3</v>
      </c>
      <c r="CD21">
        <v>3709</v>
      </c>
      <c r="CE21" s="215">
        <v>43899</v>
      </c>
      <c r="CF21" s="215">
        <v>43930</v>
      </c>
      <c r="CG21" t="s">
        <v>822</v>
      </c>
      <c r="CH21" t="s">
        <v>823</v>
      </c>
      <c r="CI21" t="s">
        <v>1713</v>
      </c>
      <c r="CJ21">
        <v>1.0022562323017099</v>
      </c>
      <c r="CK21">
        <f t="shared" si="8"/>
        <v>1.0021580294747356</v>
      </c>
      <c r="CL21" s="246">
        <f t="shared" si="9"/>
        <v>43899</v>
      </c>
      <c r="CM21" s="246">
        <f>'Cálculo PU'!G75</f>
        <v>43899</v>
      </c>
      <c r="CN21" s="215">
        <f t="shared" si="10"/>
        <v>43930</v>
      </c>
      <c r="CO21" s="215">
        <f>'Cálculo PU'!G76</f>
        <v>43930</v>
      </c>
      <c r="CQ21">
        <v>3529</v>
      </c>
      <c r="CR21" s="215">
        <v>43626</v>
      </c>
      <c r="CS21" s="215">
        <v>43654</v>
      </c>
      <c r="CT21" t="s">
        <v>822</v>
      </c>
      <c r="CU21" t="s">
        <v>823</v>
      </c>
      <c r="CV21" t="s">
        <v>1714</v>
      </c>
      <c r="CW21">
        <v>2.5</v>
      </c>
    </row>
    <row r="22" spans="2:101">
      <c r="B22" s="147">
        <v>3800</v>
      </c>
      <c r="C22" s="156">
        <v>43374</v>
      </c>
      <c r="D22" s="156">
        <v>43962</v>
      </c>
      <c r="E22" s="148" t="s">
        <v>822</v>
      </c>
      <c r="F22" s="148" t="s">
        <v>823</v>
      </c>
      <c r="G22" s="148" t="s">
        <v>825</v>
      </c>
      <c r="H22" s="148">
        <v>87.986025334184902</v>
      </c>
      <c r="I22" s="148">
        <f>'Cálculo PU'!V77</f>
        <v>50.980807452347861</v>
      </c>
      <c r="J22" s="168">
        <f t="shared" si="7"/>
        <v>37.005217881837041</v>
      </c>
      <c r="L22" s="147">
        <v>3786</v>
      </c>
      <c r="M22" s="156">
        <v>43374</v>
      </c>
      <c r="N22" s="156">
        <v>43962</v>
      </c>
      <c r="O22" s="148" t="s">
        <v>822</v>
      </c>
      <c r="P22" s="148" t="s">
        <v>823</v>
      </c>
      <c r="Q22" s="148" t="s">
        <v>824</v>
      </c>
      <c r="R22" s="148">
        <v>91.557283539958703</v>
      </c>
      <c r="S22" s="148">
        <f>'Cálculo PU'!U77</f>
        <v>56.772387137069174</v>
      </c>
      <c r="T22" s="168">
        <f t="shared" si="0"/>
        <v>34.78489640288953</v>
      </c>
      <c r="V22" s="147">
        <v>3772</v>
      </c>
      <c r="W22" s="156">
        <v>43374</v>
      </c>
      <c r="X22" s="156">
        <v>43962</v>
      </c>
      <c r="Y22" s="148" t="s">
        <v>822</v>
      </c>
      <c r="Z22" s="148" t="s">
        <v>823</v>
      </c>
      <c r="AA22" s="148" t="s">
        <v>830</v>
      </c>
      <c r="AB22" s="148">
        <v>104.773193357629</v>
      </c>
      <c r="AC22" s="148">
        <f>'Cálculo PU'!T77</f>
        <v>110.6679408432546</v>
      </c>
      <c r="AD22" s="168">
        <f t="shared" si="1"/>
        <v>-5.8947474856256008</v>
      </c>
      <c r="AF22" s="147">
        <v>3784</v>
      </c>
      <c r="AG22" s="156">
        <v>43374</v>
      </c>
      <c r="AH22" s="156">
        <v>43962</v>
      </c>
      <c r="AI22" s="148" t="s">
        <v>822</v>
      </c>
      <c r="AJ22" s="148" t="s">
        <v>823</v>
      </c>
      <c r="AK22" s="148" t="s">
        <v>942</v>
      </c>
      <c r="AL22" s="148">
        <v>8.7291265300000003</v>
      </c>
      <c r="AM22" s="148">
        <f>'Cálculo PU'!Q77</f>
        <v>16.555</v>
      </c>
      <c r="AN22" s="168">
        <f t="shared" si="2"/>
        <v>-7.8258734699999994</v>
      </c>
      <c r="AP22" s="147">
        <v>3785</v>
      </c>
      <c r="AQ22" s="156">
        <v>43374</v>
      </c>
      <c r="AR22" s="156">
        <v>43962</v>
      </c>
      <c r="AS22" s="148" t="s">
        <v>822</v>
      </c>
      <c r="AT22" s="148" t="s">
        <v>823</v>
      </c>
      <c r="AU22" s="148" t="s">
        <v>943</v>
      </c>
      <c r="AV22" s="148">
        <v>406</v>
      </c>
      <c r="AW22" s="152">
        <f>'Cálculo PU'!L77</f>
        <v>1098</v>
      </c>
      <c r="AX22" s="168">
        <f t="shared" si="3"/>
        <v>-692</v>
      </c>
      <c r="AZ22" s="147">
        <v>3774</v>
      </c>
      <c r="BA22" s="156">
        <v>43374</v>
      </c>
      <c r="BB22" s="156">
        <v>43962</v>
      </c>
      <c r="BC22" s="148" t="s">
        <v>822</v>
      </c>
      <c r="BD22" s="148" t="s">
        <v>823</v>
      </c>
      <c r="BE22" s="148" t="s">
        <v>945</v>
      </c>
      <c r="BF22" s="148">
        <v>1.0018634787230001</v>
      </c>
      <c r="BG22" s="148">
        <f>'Cálculo PU'!N77</f>
        <v>1.0019616526860928</v>
      </c>
      <c r="BH22" s="168">
        <f t="shared" si="4"/>
        <v>-9.8173963092751393E-5</v>
      </c>
      <c r="BJ22" s="147">
        <v>3799</v>
      </c>
      <c r="BK22" s="156">
        <v>43374</v>
      </c>
      <c r="BL22" s="156">
        <v>43962</v>
      </c>
      <c r="BM22" s="148" t="s">
        <v>822</v>
      </c>
      <c r="BN22" s="148" t="s">
        <v>823</v>
      </c>
      <c r="BO22" s="148" t="s">
        <v>827</v>
      </c>
      <c r="BP22" s="148">
        <v>1.040588925255</v>
      </c>
      <c r="BQ22" s="148">
        <f>'Cálculo PU'!O77</f>
        <v>1.1136031376147728</v>
      </c>
      <c r="BR22" s="168">
        <f t="shared" si="5"/>
        <v>-7.301421235977279E-2</v>
      </c>
      <c r="BT22" s="147">
        <v>3773</v>
      </c>
      <c r="BU22" s="156">
        <v>43374</v>
      </c>
      <c r="BV22" s="156">
        <v>43962</v>
      </c>
      <c r="BW22" s="148" t="s">
        <v>822</v>
      </c>
      <c r="BX22" s="148" t="s">
        <v>823</v>
      </c>
      <c r="BY22" s="148" t="s">
        <v>946</v>
      </c>
      <c r="BZ22" s="148">
        <v>1.0078665200000001</v>
      </c>
      <c r="CA22" s="148">
        <f>'Cálculo PU'!S77</f>
        <v>1.01129297</v>
      </c>
      <c r="CB22" s="168">
        <f t="shared" si="6"/>
        <v>-3.4264499999998588E-3</v>
      </c>
      <c r="CD22">
        <v>3747</v>
      </c>
      <c r="CE22" s="215">
        <v>43930</v>
      </c>
      <c r="CF22" s="215">
        <v>43962</v>
      </c>
      <c r="CG22" t="s">
        <v>822</v>
      </c>
      <c r="CH22" t="s">
        <v>823</v>
      </c>
      <c r="CI22" t="s">
        <v>1713</v>
      </c>
      <c r="CJ22">
        <v>1.00186347872254</v>
      </c>
      <c r="CK22">
        <f t="shared" si="8"/>
        <v>1.0019616526860928</v>
      </c>
      <c r="CL22" s="246">
        <f t="shared" si="9"/>
        <v>43930</v>
      </c>
      <c r="CM22" s="246">
        <f>'Cálculo PU'!G76</f>
        <v>43930</v>
      </c>
      <c r="CN22" s="215">
        <f t="shared" si="10"/>
        <v>43962</v>
      </c>
      <c r="CO22" s="215">
        <f>'Cálculo PU'!G77</f>
        <v>43962</v>
      </c>
      <c r="CQ22">
        <v>3531</v>
      </c>
      <c r="CR22" s="215">
        <v>43626</v>
      </c>
      <c r="CS22" s="215">
        <v>43654</v>
      </c>
      <c r="CT22" t="s">
        <v>822</v>
      </c>
      <c r="CU22" t="s">
        <v>823</v>
      </c>
      <c r="CV22" t="s">
        <v>1714</v>
      </c>
      <c r="CW22">
        <v>2.5</v>
      </c>
    </row>
    <row r="23" spans="2:101">
      <c r="B23" s="147">
        <v>3839</v>
      </c>
      <c r="C23" s="156">
        <v>43374</v>
      </c>
      <c r="D23" s="156">
        <v>43991</v>
      </c>
      <c r="E23" s="148" t="s">
        <v>822</v>
      </c>
      <c r="F23" s="148" t="s">
        <v>823</v>
      </c>
      <c r="G23" s="148" t="s">
        <v>825</v>
      </c>
      <c r="H23" s="148">
        <v>95.047053989915597</v>
      </c>
      <c r="I23" s="148">
        <f>'Cálculo PU'!V78</f>
        <v>49.663332457040717</v>
      </c>
      <c r="J23" s="168">
        <f t="shared" si="7"/>
        <v>45.38372153287488</v>
      </c>
      <c r="L23" s="147">
        <v>3825</v>
      </c>
      <c r="M23" s="156">
        <v>43374</v>
      </c>
      <c r="N23" s="156">
        <v>43991</v>
      </c>
      <c r="O23" s="148" t="s">
        <v>822</v>
      </c>
      <c r="P23" s="148" t="s">
        <v>823</v>
      </c>
      <c r="Q23" s="148" t="s">
        <v>824</v>
      </c>
      <c r="R23" s="148">
        <v>99.098949762339203</v>
      </c>
      <c r="S23" s="148">
        <f>'Cálculo PU'!U78</f>
        <v>55.413744222751838</v>
      </c>
      <c r="T23" s="168">
        <f t="shared" si="0"/>
        <v>43.685205539587365</v>
      </c>
      <c r="V23" s="147">
        <v>3811</v>
      </c>
      <c r="W23" s="156">
        <v>43374</v>
      </c>
      <c r="X23" s="156">
        <v>43991</v>
      </c>
      <c r="Y23" s="148" t="s">
        <v>822</v>
      </c>
      <c r="Z23" s="148" t="s">
        <v>823</v>
      </c>
      <c r="AA23" s="148" t="s">
        <v>830</v>
      </c>
      <c r="AB23" s="148">
        <v>114.342704470436</v>
      </c>
      <c r="AC23" s="148">
        <f>'Cálculo PU'!T78</f>
        <v>109.30172202297386</v>
      </c>
      <c r="AD23" s="168">
        <f t="shared" si="1"/>
        <v>5.0409824474621416</v>
      </c>
      <c r="AF23" s="147">
        <v>3823</v>
      </c>
      <c r="AG23" s="156">
        <v>43374</v>
      </c>
      <c r="AH23" s="156">
        <v>43991</v>
      </c>
      <c r="AI23" s="148" t="s">
        <v>822</v>
      </c>
      <c r="AJ23" s="148" t="s">
        <v>823</v>
      </c>
      <c r="AK23" s="148" t="s">
        <v>942</v>
      </c>
      <c r="AL23" s="148">
        <v>8.8324793600000007</v>
      </c>
      <c r="AM23" s="148">
        <f>'Cálculo PU'!Q78</f>
        <v>16.5456</v>
      </c>
      <c r="AN23" s="168">
        <f t="shared" si="2"/>
        <v>-7.7131206399999996</v>
      </c>
      <c r="AP23" s="147">
        <v>3824</v>
      </c>
      <c r="AQ23" s="156">
        <v>43374</v>
      </c>
      <c r="AR23" s="156">
        <v>43991</v>
      </c>
      <c r="AS23" s="148" t="s">
        <v>822</v>
      </c>
      <c r="AT23" s="148" t="s">
        <v>823</v>
      </c>
      <c r="AU23" s="148" t="s">
        <v>943</v>
      </c>
      <c r="AV23" s="148">
        <v>426</v>
      </c>
      <c r="AW23" s="152">
        <f>'Cálculo PU'!L78</f>
        <v>1118</v>
      </c>
      <c r="AX23" s="168">
        <f t="shared" si="3"/>
        <v>-692</v>
      </c>
      <c r="AZ23" s="147">
        <v>3813</v>
      </c>
      <c r="BA23" s="156">
        <v>43374</v>
      </c>
      <c r="BB23" s="156">
        <v>43991</v>
      </c>
      <c r="BC23" s="148" t="s">
        <v>822</v>
      </c>
      <c r="BD23" s="148" t="s">
        <v>823</v>
      </c>
      <c r="BE23" s="148" t="s">
        <v>945</v>
      </c>
      <c r="BF23" s="148">
        <v>1.0020598362699999</v>
      </c>
      <c r="BG23" s="148">
        <f>'Cálculo PU'!N78</f>
        <v>1.0019616526860928</v>
      </c>
      <c r="BH23" s="168">
        <f t="shared" si="4"/>
        <v>9.8183583907118788E-5</v>
      </c>
      <c r="BJ23" s="147">
        <v>3838</v>
      </c>
      <c r="BK23" s="156">
        <v>43374</v>
      </c>
      <c r="BL23" s="156">
        <v>43991</v>
      </c>
      <c r="BM23" s="148" t="s">
        <v>822</v>
      </c>
      <c r="BN23" s="148" t="s">
        <v>823</v>
      </c>
      <c r="BO23" s="148" t="s">
        <v>827</v>
      </c>
      <c r="BP23" s="148">
        <v>1.04263041938</v>
      </c>
      <c r="BQ23" s="148">
        <f>'Cálculo PU'!O78</f>
        <v>1.1157878757065947</v>
      </c>
      <c r="BR23" s="168">
        <f t="shared" si="5"/>
        <v>-7.315745632659465E-2</v>
      </c>
      <c r="BT23" s="147">
        <v>3812</v>
      </c>
      <c r="BU23" s="156">
        <v>43374</v>
      </c>
      <c r="BV23" s="156">
        <v>43991</v>
      </c>
      <c r="BW23" s="148" t="s">
        <v>822</v>
      </c>
      <c r="BX23" s="148" t="s">
        <v>823</v>
      </c>
      <c r="BY23" s="148" t="s">
        <v>946</v>
      </c>
      <c r="BZ23" s="148">
        <v>1.00869816</v>
      </c>
      <c r="CA23" s="148">
        <f>'Cálculo PU'!S78</f>
        <v>1.0124891</v>
      </c>
      <c r="CB23" s="168">
        <f t="shared" si="6"/>
        <v>-3.7909400000000204E-3</v>
      </c>
      <c r="CD23">
        <v>3785</v>
      </c>
      <c r="CE23" s="215">
        <v>43962</v>
      </c>
      <c r="CF23" s="215">
        <v>43991</v>
      </c>
      <c r="CG23" t="s">
        <v>822</v>
      </c>
      <c r="CH23" t="s">
        <v>823</v>
      </c>
      <c r="CI23" t="s">
        <v>1713</v>
      </c>
      <c r="CJ23">
        <v>1.0020598362698401</v>
      </c>
      <c r="CK23">
        <f t="shared" si="8"/>
        <v>1.0019616526860928</v>
      </c>
      <c r="CL23" s="246">
        <f t="shared" si="9"/>
        <v>43962</v>
      </c>
      <c r="CM23" s="246">
        <f>'Cálculo PU'!G77</f>
        <v>43962</v>
      </c>
      <c r="CN23" s="215">
        <f t="shared" si="10"/>
        <v>43991</v>
      </c>
      <c r="CO23" s="215">
        <f>'Cálculo PU'!G78</f>
        <v>43991</v>
      </c>
      <c r="CQ23">
        <v>3569</v>
      </c>
      <c r="CR23" s="215">
        <v>43654</v>
      </c>
      <c r="CS23" s="215">
        <v>43685</v>
      </c>
      <c r="CT23" t="s">
        <v>822</v>
      </c>
      <c r="CU23" t="s">
        <v>823</v>
      </c>
      <c r="CV23" t="s">
        <v>1714</v>
      </c>
      <c r="CW23">
        <v>2.5</v>
      </c>
    </row>
    <row r="24" spans="2:101">
      <c r="B24" s="147">
        <v>3878</v>
      </c>
      <c r="C24" s="156">
        <v>43374</v>
      </c>
      <c r="D24" s="156">
        <v>44020</v>
      </c>
      <c r="E24" s="148" t="s">
        <v>822</v>
      </c>
      <c r="F24" s="148" t="s">
        <v>823</v>
      </c>
      <c r="G24" s="148" t="s">
        <v>825</v>
      </c>
      <c r="H24" s="148">
        <v>88.296075905664793</v>
      </c>
      <c r="I24" s="148">
        <f>'Cálculo PU'!V79</f>
        <v>50.674433047090204</v>
      </c>
      <c r="J24" s="168">
        <f t="shared" si="7"/>
        <v>37.621642858574589</v>
      </c>
      <c r="L24" s="147">
        <v>3864</v>
      </c>
      <c r="M24" s="156">
        <v>43374</v>
      </c>
      <c r="N24" s="156">
        <v>44020</v>
      </c>
      <c r="O24" s="148" t="s">
        <v>822</v>
      </c>
      <c r="P24" s="148" t="s">
        <v>823</v>
      </c>
      <c r="Q24" s="148" t="s">
        <v>824</v>
      </c>
      <c r="R24" s="148">
        <v>92.249823982234901</v>
      </c>
      <c r="S24" s="148">
        <f>'Cálculo PU'!U79</f>
        <v>56.658397652353081</v>
      </c>
      <c r="T24" s="168">
        <f t="shared" si="0"/>
        <v>35.59142632988182</v>
      </c>
      <c r="V24" s="147">
        <v>3850</v>
      </c>
      <c r="W24" s="156">
        <v>43374</v>
      </c>
      <c r="X24" s="156">
        <v>44020</v>
      </c>
      <c r="Y24" s="148" t="s">
        <v>822</v>
      </c>
      <c r="Z24" s="148" t="s">
        <v>823</v>
      </c>
      <c r="AA24" s="148" t="s">
        <v>830</v>
      </c>
      <c r="AB24" s="148">
        <v>107.380998215041</v>
      </c>
      <c r="AC24" s="148">
        <f>'Cálculo PU'!T79</f>
        <v>113.1501432069086</v>
      </c>
      <c r="AD24" s="168">
        <f t="shared" si="1"/>
        <v>-5.7691449918675914</v>
      </c>
      <c r="AF24" s="147">
        <v>3862</v>
      </c>
      <c r="AG24" s="156">
        <v>43374</v>
      </c>
      <c r="AH24" s="156">
        <v>44020</v>
      </c>
      <c r="AI24" s="148" t="s">
        <v>822</v>
      </c>
      <c r="AJ24" s="148" t="s">
        <v>823</v>
      </c>
      <c r="AK24" s="148" t="s">
        <v>942</v>
      </c>
      <c r="AL24" s="148">
        <v>8.9397988999999995</v>
      </c>
      <c r="AM24" s="148">
        <f>'Cálculo PU'!Q79</f>
        <v>16.536100000000001</v>
      </c>
      <c r="AN24" s="168">
        <f t="shared" si="2"/>
        <v>-7.5963011000000016</v>
      </c>
      <c r="AP24" s="147">
        <v>3863</v>
      </c>
      <c r="AQ24" s="156">
        <v>43374</v>
      </c>
      <c r="AR24" s="156">
        <v>44020</v>
      </c>
      <c r="AS24" s="148" t="s">
        <v>822</v>
      </c>
      <c r="AT24" s="148" t="s">
        <v>823</v>
      </c>
      <c r="AU24" s="148" t="s">
        <v>943</v>
      </c>
      <c r="AV24" s="148">
        <v>447</v>
      </c>
      <c r="AW24" s="152">
        <f>'Cálculo PU'!L79</f>
        <v>1139</v>
      </c>
      <c r="AX24" s="168">
        <f t="shared" si="3"/>
        <v>-692</v>
      </c>
      <c r="AZ24" s="147">
        <v>3852</v>
      </c>
      <c r="BA24" s="156">
        <v>43374</v>
      </c>
      <c r="BB24" s="156">
        <v>44020</v>
      </c>
      <c r="BC24" s="148" t="s">
        <v>822</v>
      </c>
      <c r="BD24" s="148" t="s">
        <v>823</v>
      </c>
      <c r="BE24" s="148" t="s">
        <v>945</v>
      </c>
      <c r="BF24" s="148">
        <v>1.001961652686</v>
      </c>
      <c r="BG24" s="148">
        <f>'Cálculo PU'!N79</f>
        <v>1.0020598362698427</v>
      </c>
      <c r="BH24" s="168">
        <f t="shared" si="4"/>
        <v>-9.8183583842725852E-5</v>
      </c>
      <c r="BJ24" s="147">
        <v>3877</v>
      </c>
      <c r="BK24" s="156">
        <v>43374</v>
      </c>
      <c r="BL24" s="156">
        <v>44020</v>
      </c>
      <c r="BM24" s="148" t="s">
        <v>822</v>
      </c>
      <c r="BN24" s="148" t="s">
        <v>823</v>
      </c>
      <c r="BO24" s="148" t="s">
        <v>827</v>
      </c>
      <c r="BP24" s="148">
        <v>1.044778298877</v>
      </c>
      <c r="BQ24" s="148">
        <f>'Cálculo PU'!O79</f>
        <v>1.1180864638328003</v>
      </c>
      <c r="BR24" s="168">
        <f t="shared" si="5"/>
        <v>-7.3308164955800281E-2</v>
      </c>
      <c r="BT24" s="147">
        <v>3851</v>
      </c>
      <c r="BU24" s="156">
        <v>43374</v>
      </c>
      <c r="BV24" s="156">
        <v>44020</v>
      </c>
      <c r="BW24" s="148" t="s">
        <v>822</v>
      </c>
      <c r="BX24" s="148" t="s">
        <v>823</v>
      </c>
      <c r="BY24" s="148" t="s">
        <v>946</v>
      </c>
      <c r="BZ24" s="148">
        <v>1.00836126</v>
      </c>
      <c r="CA24" s="148">
        <f>'Cálculo PU'!S79</f>
        <v>1.01188985</v>
      </c>
      <c r="CB24" s="168">
        <f t="shared" si="6"/>
        <v>-3.5285899999999426E-3</v>
      </c>
      <c r="CD24">
        <v>3823</v>
      </c>
      <c r="CE24" s="215">
        <v>43991</v>
      </c>
      <c r="CF24" s="215">
        <v>44020</v>
      </c>
      <c r="CG24" t="s">
        <v>822</v>
      </c>
      <c r="CH24" t="s">
        <v>823</v>
      </c>
      <c r="CI24" t="s">
        <v>1713</v>
      </c>
      <c r="CJ24">
        <v>1.0019616526860899</v>
      </c>
      <c r="CK24">
        <f t="shared" si="8"/>
        <v>1.0020598362698427</v>
      </c>
      <c r="CL24" s="246">
        <f t="shared" si="9"/>
        <v>43991</v>
      </c>
      <c r="CM24" s="246">
        <f>'Cálculo PU'!G78</f>
        <v>43991</v>
      </c>
      <c r="CN24" s="215">
        <f t="shared" si="10"/>
        <v>44020</v>
      </c>
      <c r="CO24" s="215">
        <f>'Cálculo PU'!G79</f>
        <v>44020</v>
      </c>
      <c r="CQ24">
        <v>3571</v>
      </c>
      <c r="CR24" s="215">
        <v>43654</v>
      </c>
      <c r="CS24" s="215">
        <v>43685</v>
      </c>
      <c r="CT24" t="s">
        <v>822</v>
      </c>
      <c r="CU24" t="s">
        <v>823</v>
      </c>
      <c r="CV24" t="s">
        <v>1714</v>
      </c>
      <c r="CW24">
        <v>2.5</v>
      </c>
    </row>
    <row r="25" spans="2:101">
      <c r="B25" s="147">
        <v>3917</v>
      </c>
      <c r="C25" s="156">
        <v>43374</v>
      </c>
      <c r="D25" s="156">
        <v>44053</v>
      </c>
      <c r="E25" s="148" t="s">
        <v>822</v>
      </c>
      <c r="F25" s="148" t="s">
        <v>823</v>
      </c>
      <c r="G25" s="148" t="s">
        <v>825</v>
      </c>
      <c r="H25" s="148">
        <v>99.131520547895306</v>
      </c>
      <c r="I25" s="148">
        <f>'Cálculo PU'!V80</f>
        <v>53.993658992728321</v>
      </c>
      <c r="J25" s="168">
        <f t="shared" si="7"/>
        <v>45.137861555166985</v>
      </c>
      <c r="L25" s="147">
        <v>3903</v>
      </c>
      <c r="M25" s="156">
        <v>43374</v>
      </c>
      <c r="N25" s="156">
        <v>44053</v>
      </c>
      <c r="O25" s="148" t="s">
        <v>822</v>
      </c>
      <c r="P25" s="148" t="s">
        <v>823</v>
      </c>
      <c r="Q25" s="148" t="s">
        <v>824</v>
      </c>
      <c r="R25" s="148">
        <v>103.80416561969599</v>
      </c>
      <c r="S25" s="148">
        <f>'Cálculo PU'!U80</f>
        <v>60.505801733698711</v>
      </c>
      <c r="T25" s="168">
        <f t="shared" si="0"/>
        <v>43.298363885997283</v>
      </c>
      <c r="V25" s="147">
        <v>3889</v>
      </c>
      <c r="W25" s="156">
        <v>43374</v>
      </c>
      <c r="X25" s="156">
        <v>44053</v>
      </c>
      <c r="Y25" s="148" t="s">
        <v>822</v>
      </c>
      <c r="Z25" s="148" t="s">
        <v>823</v>
      </c>
      <c r="AA25" s="148" t="s">
        <v>830</v>
      </c>
      <c r="AB25" s="148">
        <v>122.026075941816</v>
      </c>
      <c r="AC25" s="148">
        <f>'Cálculo PU'!T80</f>
        <v>122.48372638412019</v>
      </c>
      <c r="AD25" s="168">
        <f t="shared" si="1"/>
        <v>-0.45765044230418539</v>
      </c>
      <c r="AF25" s="147">
        <v>3901</v>
      </c>
      <c r="AG25" s="156">
        <v>43374</v>
      </c>
      <c r="AH25" s="156">
        <v>44053</v>
      </c>
      <c r="AI25" s="148" t="s">
        <v>822</v>
      </c>
      <c r="AJ25" s="148" t="s">
        <v>823</v>
      </c>
      <c r="AK25" s="148" t="s">
        <v>942</v>
      </c>
      <c r="AL25" s="148">
        <v>9.0584824899999994</v>
      </c>
      <c r="AM25" s="148">
        <f>'Cálculo PU'!Q80</f>
        <v>16.5259</v>
      </c>
      <c r="AN25" s="168">
        <f t="shared" si="2"/>
        <v>-7.4674175100000006</v>
      </c>
      <c r="AP25" s="147">
        <v>3902</v>
      </c>
      <c r="AQ25" s="156">
        <v>43374</v>
      </c>
      <c r="AR25" s="156">
        <v>44053</v>
      </c>
      <c r="AS25" s="148" t="s">
        <v>822</v>
      </c>
      <c r="AT25" s="148" t="s">
        <v>823</v>
      </c>
      <c r="AU25" s="148" t="s">
        <v>943</v>
      </c>
      <c r="AV25" s="148">
        <v>470</v>
      </c>
      <c r="AW25" s="152">
        <f>'Cálculo PU'!L80</f>
        <v>1162</v>
      </c>
      <c r="AX25" s="168">
        <f t="shared" si="3"/>
        <v>-692</v>
      </c>
      <c r="AZ25" s="147">
        <v>3891</v>
      </c>
      <c r="BA25" s="156">
        <v>43374</v>
      </c>
      <c r="BB25" s="156">
        <v>44053</v>
      </c>
      <c r="BC25" s="148" t="s">
        <v>822</v>
      </c>
      <c r="BD25" s="148" t="s">
        <v>823</v>
      </c>
      <c r="BE25" s="148" t="s">
        <v>945</v>
      </c>
      <c r="BF25" s="148">
        <v>1.0022562323019999</v>
      </c>
      <c r="BG25" s="148">
        <f>'Cálculo PU'!N80</f>
        <v>1.0022562323017139</v>
      </c>
      <c r="BH25" s="168">
        <f t="shared" si="4"/>
        <v>2.8599345114344032E-13</v>
      </c>
      <c r="BJ25" s="147">
        <v>3916</v>
      </c>
      <c r="BK25" s="156">
        <v>43374</v>
      </c>
      <c r="BL25" s="156">
        <v>44053</v>
      </c>
      <c r="BM25" s="148" t="s">
        <v>822</v>
      </c>
      <c r="BN25" s="148" t="s">
        <v>823</v>
      </c>
      <c r="BO25" s="148" t="s">
        <v>827</v>
      </c>
      <c r="BP25" s="148">
        <v>1.047135815591</v>
      </c>
      <c r="BQ25" s="148">
        <f>'Cálculo PU'!O80</f>
        <v>1.1206093986304471</v>
      </c>
      <c r="BR25" s="168">
        <f t="shared" si="5"/>
        <v>-7.3473583039447066E-2</v>
      </c>
      <c r="BT25" s="147">
        <v>3890</v>
      </c>
      <c r="BU25" s="156">
        <v>43374</v>
      </c>
      <c r="BV25" s="156">
        <v>44053</v>
      </c>
      <c r="BW25" s="148" t="s">
        <v>822</v>
      </c>
      <c r="BX25" s="148" t="s">
        <v>823</v>
      </c>
      <c r="BY25" s="148" t="s">
        <v>946</v>
      </c>
      <c r="BZ25" s="148">
        <v>1.00989442</v>
      </c>
      <c r="CA25" s="148">
        <f>'Cálculo PU'!S80</f>
        <v>1.01368196</v>
      </c>
      <c r="CB25" s="168">
        <f t="shared" si="6"/>
        <v>-3.7875400000000337E-3</v>
      </c>
      <c r="CD25">
        <v>3861</v>
      </c>
      <c r="CE25" s="215">
        <v>44020</v>
      </c>
      <c r="CF25" s="215">
        <v>44053</v>
      </c>
      <c r="CG25" t="s">
        <v>822</v>
      </c>
      <c r="CH25" t="s">
        <v>823</v>
      </c>
      <c r="CI25" t="s">
        <v>1713</v>
      </c>
      <c r="CJ25">
        <v>1.0022562323017099</v>
      </c>
      <c r="CK25">
        <f t="shared" si="8"/>
        <v>1.0022562323017139</v>
      </c>
      <c r="CL25" s="246">
        <f t="shared" si="9"/>
        <v>44020</v>
      </c>
      <c r="CM25" s="246">
        <f>'Cálculo PU'!G79</f>
        <v>44020</v>
      </c>
      <c r="CN25" s="215">
        <f t="shared" si="10"/>
        <v>44053</v>
      </c>
      <c r="CO25" s="215">
        <f>'Cálculo PU'!G80</f>
        <v>44053</v>
      </c>
      <c r="CQ25">
        <v>3609</v>
      </c>
      <c r="CR25" s="215">
        <v>43685</v>
      </c>
      <c r="CS25" s="215">
        <v>43717</v>
      </c>
      <c r="CT25" t="s">
        <v>822</v>
      </c>
      <c r="CU25" t="s">
        <v>823</v>
      </c>
      <c r="CV25" t="s">
        <v>1714</v>
      </c>
      <c r="CW25">
        <v>2.5</v>
      </c>
    </row>
    <row r="26" spans="2:101">
      <c r="B26" s="147">
        <v>3956</v>
      </c>
      <c r="C26" s="156">
        <v>43374</v>
      </c>
      <c r="D26" s="156">
        <v>44083</v>
      </c>
      <c r="E26" s="148" t="s">
        <v>822</v>
      </c>
      <c r="F26" s="148" t="s">
        <v>823</v>
      </c>
      <c r="G26" s="148" t="s">
        <v>825</v>
      </c>
      <c r="H26" s="148">
        <v>88.241966517363196</v>
      </c>
      <c r="I26" s="148">
        <f>'Cálculo PU'!V81</f>
        <v>47.883894878005414</v>
      </c>
      <c r="J26" s="168">
        <f t="shared" si="7"/>
        <v>40.358071639357782</v>
      </c>
      <c r="L26" s="147">
        <v>3942</v>
      </c>
      <c r="M26" s="156">
        <v>43374</v>
      </c>
      <c r="N26" s="156">
        <v>44083</v>
      </c>
      <c r="O26" s="148" t="s">
        <v>822</v>
      </c>
      <c r="P26" s="148" t="s">
        <v>823</v>
      </c>
      <c r="Q26" s="148" t="s">
        <v>824</v>
      </c>
      <c r="R26" s="148">
        <v>92.591675696393594</v>
      </c>
      <c r="S26" s="148">
        <f>'Cálculo PU'!U81</f>
        <v>53.769683607990366</v>
      </c>
      <c r="T26" s="168">
        <f t="shared" si="0"/>
        <v>38.821992088403228</v>
      </c>
      <c r="V26" s="147">
        <v>3928</v>
      </c>
      <c r="W26" s="156">
        <v>43374</v>
      </c>
      <c r="X26" s="156">
        <v>44083</v>
      </c>
      <c r="Y26" s="148" t="s">
        <v>822</v>
      </c>
      <c r="Z26" s="148" t="s">
        <v>823</v>
      </c>
      <c r="AA26" s="148" t="s">
        <v>830</v>
      </c>
      <c r="AB26" s="148">
        <v>109.82822300830399</v>
      </c>
      <c r="AC26" s="148">
        <f>'Cálculo PU'!T81</f>
        <v>110.20424770383251</v>
      </c>
      <c r="AD26" s="168">
        <f t="shared" si="1"/>
        <v>-0.37602469552851403</v>
      </c>
      <c r="AF26" s="147">
        <v>3940</v>
      </c>
      <c r="AG26" s="156">
        <v>43374</v>
      </c>
      <c r="AH26" s="156">
        <v>44083</v>
      </c>
      <c r="AI26" s="148" t="s">
        <v>822</v>
      </c>
      <c r="AJ26" s="148" t="s">
        <v>823</v>
      </c>
      <c r="AK26" s="148" t="s">
        <v>942</v>
      </c>
      <c r="AL26" s="148">
        <v>9.1572334000000009</v>
      </c>
      <c r="AM26" s="148">
        <f>'Cálculo PU'!Q81</f>
        <v>16.516999999999999</v>
      </c>
      <c r="AN26" s="168">
        <f t="shared" si="2"/>
        <v>-7.3597665999999986</v>
      </c>
      <c r="AP26" s="147">
        <v>3941</v>
      </c>
      <c r="AQ26" s="156">
        <v>43374</v>
      </c>
      <c r="AR26" s="156">
        <v>44083</v>
      </c>
      <c r="AS26" s="148" t="s">
        <v>822</v>
      </c>
      <c r="AT26" s="148" t="s">
        <v>823</v>
      </c>
      <c r="AU26" s="148" t="s">
        <v>943</v>
      </c>
      <c r="AV26" s="148">
        <v>491</v>
      </c>
      <c r="AW26" s="152">
        <f>'Cálculo PU'!L81</f>
        <v>1183</v>
      </c>
      <c r="AX26" s="168">
        <f t="shared" si="3"/>
        <v>-692</v>
      </c>
      <c r="AZ26" s="147">
        <v>3930</v>
      </c>
      <c r="BA26" s="156">
        <v>43374</v>
      </c>
      <c r="BB26" s="156">
        <v>44083</v>
      </c>
      <c r="BC26" s="148" t="s">
        <v>822</v>
      </c>
      <c r="BD26" s="148" t="s">
        <v>823</v>
      </c>
      <c r="BE26" s="148" t="s">
        <v>945</v>
      </c>
      <c r="BF26" s="148">
        <v>1.0020598362699999</v>
      </c>
      <c r="BG26" s="148">
        <f>'Cálculo PU'!N81</f>
        <v>1.0020598362698427</v>
      </c>
      <c r="BH26" s="168">
        <f t="shared" si="4"/>
        <v>1.5720758028692217E-13</v>
      </c>
      <c r="BJ26" s="147">
        <v>3955</v>
      </c>
      <c r="BK26" s="156">
        <v>43374</v>
      </c>
      <c r="BL26" s="156">
        <v>44083</v>
      </c>
      <c r="BM26" s="148" t="s">
        <v>822</v>
      </c>
      <c r="BN26" s="148" t="s">
        <v>823</v>
      </c>
      <c r="BO26" s="148" t="s">
        <v>827</v>
      </c>
      <c r="BP26" s="148">
        <v>1.0492929764679999</v>
      </c>
      <c r="BQ26" s="148">
        <f>'Cálculo PU'!O81</f>
        <v>1.1229179193751944</v>
      </c>
      <c r="BR26" s="168">
        <f t="shared" si="5"/>
        <v>-7.3624942907194457E-2</v>
      </c>
      <c r="BT26" s="147">
        <v>3929</v>
      </c>
      <c r="BU26" s="156">
        <v>43374</v>
      </c>
      <c r="BV26" s="156">
        <v>44083</v>
      </c>
      <c r="BW26" s="148" t="s">
        <v>822</v>
      </c>
      <c r="BX26" s="148" t="s">
        <v>823</v>
      </c>
      <c r="BY26" s="148" t="s">
        <v>946</v>
      </c>
      <c r="BZ26" s="148">
        <v>1.00903016</v>
      </c>
      <c r="CA26" s="148">
        <f>'Cálculo PU'!S81</f>
        <v>1.01248483</v>
      </c>
      <c r="CB26" s="168">
        <f t="shared" si="6"/>
        <v>-3.454669999999993E-3</v>
      </c>
      <c r="CD26">
        <v>3899</v>
      </c>
      <c r="CE26" s="215">
        <v>44053</v>
      </c>
      <c r="CF26" s="215">
        <v>44083</v>
      </c>
      <c r="CG26" t="s">
        <v>822</v>
      </c>
      <c r="CH26" t="s">
        <v>823</v>
      </c>
      <c r="CI26" t="s">
        <v>1713</v>
      </c>
      <c r="CJ26">
        <v>1.0020598362698401</v>
      </c>
      <c r="CK26">
        <f t="shared" si="8"/>
        <v>1.0020598362698427</v>
      </c>
      <c r="CL26" s="246">
        <f t="shared" si="9"/>
        <v>44053</v>
      </c>
      <c r="CM26" s="246">
        <f>'Cálculo PU'!G80</f>
        <v>44053</v>
      </c>
      <c r="CN26" s="215">
        <f t="shared" si="10"/>
        <v>44083</v>
      </c>
      <c r="CO26" s="215">
        <f>'Cálculo PU'!G81</f>
        <v>44083</v>
      </c>
      <c r="CQ26">
        <v>3611</v>
      </c>
      <c r="CR26" s="215">
        <v>43685</v>
      </c>
      <c r="CS26" s="215">
        <v>43717</v>
      </c>
      <c r="CT26" t="s">
        <v>822</v>
      </c>
      <c r="CU26" t="s">
        <v>823</v>
      </c>
      <c r="CV26" t="s">
        <v>1714</v>
      </c>
      <c r="CW26">
        <v>2.5</v>
      </c>
    </row>
    <row r="27" spans="2:101">
      <c r="B27" s="147">
        <v>3995</v>
      </c>
      <c r="C27" s="156">
        <v>43374</v>
      </c>
      <c r="D27" s="156">
        <v>44113</v>
      </c>
      <c r="E27" s="148" t="s">
        <v>822</v>
      </c>
      <c r="F27" s="148" t="s">
        <v>823</v>
      </c>
      <c r="G27" s="148" t="s">
        <v>825</v>
      </c>
      <c r="H27" s="148">
        <v>90.228660554168499</v>
      </c>
      <c r="I27" s="148">
        <f>'Cálculo PU'!V82</f>
        <v>46.588210492350477</v>
      </c>
      <c r="J27" s="168">
        <f t="shared" si="7"/>
        <v>43.640450061818022</v>
      </c>
      <c r="L27" s="147">
        <v>3981</v>
      </c>
      <c r="M27" s="156">
        <v>43374</v>
      </c>
      <c r="N27" s="156">
        <v>44113</v>
      </c>
      <c r="O27" s="148" t="s">
        <v>822</v>
      </c>
      <c r="P27" s="148" t="s">
        <v>823</v>
      </c>
      <c r="Q27" s="148" t="s">
        <v>824</v>
      </c>
      <c r="R27" s="148">
        <v>94.871338497295497</v>
      </c>
      <c r="S27" s="148">
        <f>'Cálculo PU'!U82</f>
        <v>52.422507802832989</v>
      </c>
      <c r="T27" s="168">
        <f t="shared" si="0"/>
        <v>42.448830694462508</v>
      </c>
      <c r="V27" s="147">
        <v>3967</v>
      </c>
      <c r="W27" s="156">
        <v>43374</v>
      </c>
      <c r="X27" s="156">
        <v>44113</v>
      </c>
      <c r="Y27" s="148" t="s">
        <v>822</v>
      </c>
      <c r="Z27" s="148" t="s">
        <v>823</v>
      </c>
      <c r="AA27" s="148" t="s">
        <v>830</v>
      </c>
      <c r="AB27" s="148">
        <v>113.57153316182</v>
      </c>
      <c r="AC27" s="148">
        <f>'Cálculo PU'!T82</f>
        <v>108.77820856480324</v>
      </c>
      <c r="AD27" s="168">
        <f t="shared" si="1"/>
        <v>4.7933245970167633</v>
      </c>
      <c r="AF27" s="147">
        <v>3979</v>
      </c>
      <c r="AG27" s="156">
        <v>43374</v>
      </c>
      <c r="AH27" s="156">
        <v>44113</v>
      </c>
      <c r="AI27" s="148" t="s">
        <v>822</v>
      </c>
      <c r="AJ27" s="148" t="s">
        <v>823</v>
      </c>
      <c r="AK27" s="148" t="s">
        <v>942</v>
      </c>
      <c r="AL27" s="148">
        <v>9.2588952399999993</v>
      </c>
      <c r="AM27" s="148">
        <f>'Cálculo PU'!Q82</f>
        <v>16.5075</v>
      </c>
      <c r="AN27" s="168">
        <f t="shared" si="2"/>
        <v>-7.248604760000001</v>
      </c>
      <c r="AP27" s="147">
        <v>3980</v>
      </c>
      <c r="AQ27" s="156">
        <v>43374</v>
      </c>
      <c r="AR27" s="156">
        <v>44113</v>
      </c>
      <c r="AS27" s="148" t="s">
        <v>822</v>
      </c>
      <c r="AT27" s="148" t="s">
        <v>823</v>
      </c>
      <c r="AU27" s="148" t="s">
        <v>943</v>
      </c>
      <c r="AV27" s="148">
        <v>512</v>
      </c>
      <c r="AW27" s="152">
        <f>'Cálculo PU'!L82</f>
        <v>1204</v>
      </c>
      <c r="AX27" s="168">
        <f t="shared" si="3"/>
        <v>-692</v>
      </c>
      <c r="AZ27" s="147">
        <v>3969</v>
      </c>
      <c r="BA27" s="156">
        <v>43374</v>
      </c>
      <c r="BB27" s="156">
        <v>44113</v>
      </c>
      <c r="BC27" s="148" t="s">
        <v>822</v>
      </c>
      <c r="BD27" s="148" t="s">
        <v>823</v>
      </c>
      <c r="BE27" s="148" t="s">
        <v>945</v>
      </c>
      <c r="BF27" s="148">
        <v>1.0021580294750001</v>
      </c>
      <c r="BG27" s="148">
        <f>'Cálculo PU'!N82</f>
        <v>1.0020598362698427</v>
      </c>
      <c r="BH27" s="168">
        <f t="shared" si="4"/>
        <v>9.8193205157359742E-5</v>
      </c>
      <c r="BJ27" s="147">
        <v>3994</v>
      </c>
      <c r="BK27" s="156">
        <v>43374</v>
      </c>
      <c r="BL27" s="156">
        <v>44113</v>
      </c>
      <c r="BM27" s="148" t="s">
        <v>822</v>
      </c>
      <c r="BN27" s="148" t="s">
        <v>823</v>
      </c>
      <c r="BO27" s="148" t="s">
        <v>827</v>
      </c>
      <c r="BP27" s="148">
        <v>1.0514545812230001</v>
      </c>
      <c r="BQ27" s="148">
        <f>'Cálculo PU'!O82</f>
        <v>1.12523119580737</v>
      </c>
      <c r="BR27" s="168">
        <f t="shared" si="5"/>
        <v>-7.3776614584369904E-2</v>
      </c>
      <c r="BT27" s="147">
        <v>3968</v>
      </c>
      <c r="BU27" s="156">
        <v>43374</v>
      </c>
      <c r="BV27" s="156">
        <v>44113</v>
      </c>
      <c r="BW27" s="148" t="s">
        <v>822</v>
      </c>
      <c r="BX27" s="148" t="s">
        <v>823</v>
      </c>
      <c r="BY27" s="148" t="s">
        <v>946</v>
      </c>
      <c r="BZ27" s="148">
        <v>1.00959903</v>
      </c>
      <c r="CA27" s="148">
        <f>'Cálculo PU'!S82</f>
        <v>1.01308529</v>
      </c>
      <c r="CB27" s="168">
        <f t="shared" si="6"/>
        <v>-3.4862600000000743E-3</v>
      </c>
      <c r="CD27">
        <v>3937</v>
      </c>
      <c r="CE27" s="215">
        <v>44083</v>
      </c>
      <c r="CF27" s="215">
        <v>44113</v>
      </c>
      <c r="CG27" t="s">
        <v>822</v>
      </c>
      <c r="CH27" t="s">
        <v>823</v>
      </c>
      <c r="CI27" t="s">
        <v>1713</v>
      </c>
      <c r="CJ27">
        <v>1.0021580294747401</v>
      </c>
      <c r="CK27">
        <f t="shared" si="8"/>
        <v>1.0020598362698427</v>
      </c>
      <c r="CL27" s="246">
        <f t="shared" si="9"/>
        <v>44083</v>
      </c>
      <c r="CM27" s="246">
        <f>'Cálculo PU'!G81</f>
        <v>44083</v>
      </c>
      <c r="CN27" s="215">
        <f t="shared" si="10"/>
        <v>44113</v>
      </c>
      <c r="CO27" s="215">
        <f>'Cálculo PU'!G82</f>
        <v>44113</v>
      </c>
      <c r="CQ27">
        <v>3649</v>
      </c>
      <c r="CR27" s="215">
        <v>43717</v>
      </c>
      <c r="CS27" s="215">
        <v>43746</v>
      </c>
      <c r="CT27" t="s">
        <v>822</v>
      </c>
      <c r="CU27" t="s">
        <v>823</v>
      </c>
      <c r="CV27" t="s">
        <v>1714</v>
      </c>
      <c r="CW27">
        <v>2.5</v>
      </c>
    </row>
    <row r="28" spans="2:101">
      <c r="B28" s="147">
        <v>4034</v>
      </c>
      <c r="C28" s="156">
        <v>43374</v>
      </c>
      <c r="D28" s="156">
        <v>44145</v>
      </c>
      <c r="E28" s="148" t="s">
        <v>822</v>
      </c>
      <c r="F28" s="148" t="s">
        <v>823</v>
      </c>
      <c r="G28" s="148" t="s">
        <v>825</v>
      </c>
      <c r="H28" s="148">
        <v>79.936161781779006</v>
      </c>
      <c r="I28" s="148">
        <f>'Cálculo PU'!V83</f>
        <v>45.247952514673742</v>
      </c>
      <c r="J28" s="168">
        <f t="shared" si="7"/>
        <v>34.688209267105265</v>
      </c>
      <c r="L28" s="147">
        <v>4020</v>
      </c>
      <c r="M28" s="156">
        <v>43374</v>
      </c>
      <c r="N28" s="156">
        <v>44145</v>
      </c>
      <c r="O28" s="148" t="s">
        <v>822</v>
      </c>
      <c r="P28" s="148" t="s">
        <v>823</v>
      </c>
      <c r="Q28" s="148" t="s">
        <v>824</v>
      </c>
      <c r="R28" s="148">
        <v>84.222389856444806</v>
      </c>
      <c r="S28" s="148">
        <f>'Cálculo PU'!U83</f>
        <v>51.019294366490641</v>
      </c>
      <c r="T28" s="168">
        <f t="shared" si="0"/>
        <v>33.203095489954165</v>
      </c>
      <c r="V28" s="147">
        <v>4006</v>
      </c>
      <c r="W28" s="156">
        <v>43374</v>
      </c>
      <c r="X28" s="156">
        <v>44145</v>
      </c>
      <c r="Y28" s="148" t="s">
        <v>822</v>
      </c>
      <c r="Z28" s="148" t="s">
        <v>823</v>
      </c>
      <c r="AA28" s="148" t="s">
        <v>830</v>
      </c>
      <c r="AB28" s="148">
        <v>101.78228590416199</v>
      </c>
      <c r="AC28" s="148">
        <f>'Cálculo PU'!T83</f>
        <v>107.17739864185533</v>
      </c>
      <c r="AD28" s="168">
        <f t="shared" si="1"/>
        <v>-5.3951127376933385</v>
      </c>
      <c r="AF28" s="147">
        <v>4018</v>
      </c>
      <c r="AG28" s="156">
        <v>43374</v>
      </c>
      <c r="AH28" s="156">
        <v>44145</v>
      </c>
      <c r="AI28" s="148" t="s">
        <v>822</v>
      </c>
      <c r="AJ28" s="148" t="s">
        <v>823</v>
      </c>
      <c r="AK28" s="148" t="s">
        <v>942</v>
      </c>
      <c r="AL28" s="148">
        <v>9.3666464400000002</v>
      </c>
      <c r="AM28" s="148">
        <f>'Cálculo PU'!Q83</f>
        <v>16.497299999999999</v>
      </c>
      <c r="AN28" s="168">
        <f t="shared" si="2"/>
        <v>-7.1306535599999989</v>
      </c>
      <c r="AP28" s="147">
        <v>4019</v>
      </c>
      <c r="AQ28" s="156">
        <v>43374</v>
      </c>
      <c r="AR28" s="156">
        <v>44145</v>
      </c>
      <c r="AS28" s="148" t="s">
        <v>822</v>
      </c>
      <c r="AT28" s="148" t="s">
        <v>823</v>
      </c>
      <c r="AU28" s="148" t="s">
        <v>943</v>
      </c>
      <c r="AV28" s="148">
        <v>533</v>
      </c>
      <c r="AW28" s="152">
        <f>'Cálculo PU'!L83</f>
        <v>1225</v>
      </c>
      <c r="AX28" s="168">
        <f t="shared" si="3"/>
        <v>-692</v>
      </c>
      <c r="AZ28" s="147">
        <v>4008</v>
      </c>
      <c r="BA28" s="156">
        <v>43374</v>
      </c>
      <c r="BB28" s="156">
        <v>44145</v>
      </c>
      <c r="BC28" s="148" t="s">
        <v>822</v>
      </c>
      <c r="BD28" s="148" t="s">
        <v>823</v>
      </c>
      <c r="BE28" s="148" t="s">
        <v>945</v>
      </c>
      <c r="BF28" s="148">
        <v>1.001961652686</v>
      </c>
      <c r="BG28" s="148">
        <f>'Cálculo PU'!N83</f>
        <v>1.0020598362698427</v>
      </c>
      <c r="BH28" s="168">
        <f t="shared" si="4"/>
        <v>-9.8183583842725852E-5</v>
      </c>
      <c r="BJ28" s="147">
        <v>4033</v>
      </c>
      <c r="BK28" s="156">
        <v>43374</v>
      </c>
      <c r="BL28" s="156">
        <v>44145</v>
      </c>
      <c r="BM28" s="148" t="s">
        <v>822</v>
      </c>
      <c r="BN28" s="148" t="s">
        <v>823</v>
      </c>
      <c r="BO28" s="148" t="s">
        <v>827</v>
      </c>
      <c r="BP28" s="148">
        <v>1.0536206390089999</v>
      </c>
      <c r="BQ28" s="148">
        <f>'Cálculo PU'!O83</f>
        <v>1.1275492377239671</v>
      </c>
      <c r="BR28" s="168">
        <f t="shared" si="5"/>
        <v>-7.3928598714967153E-2</v>
      </c>
      <c r="BT28" s="147">
        <v>4007</v>
      </c>
      <c r="BU28" s="156">
        <v>43374</v>
      </c>
      <c r="BV28" s="156">
        <v>44145</v>
      </c>
      <c r="BW28" s="148" t="s">
        <v>822</v>
      </c>
      <c r="BX28" s="148" t="s">
        <v>823</v>
      </c>
      <c r="BY28" s="148" t="s">
        <v>946</v>
      </c>
      <c r="BZ28" s="148">
        <v>1.0090541099999999</v>
      </c>
      <c r="CA28" s="148">
        <f>'Cálculo PU'!S83</f>
        <v>1.01189368</v>
      </c>
      <c r="CB28" s="168">
        <f t="shared" si="6"/>
        <v>-2.8395700000001245E-3</v>
      </c>
      <c r="CD28">
        <v>3975</v>
      </c>
      <c r="CE28" s="215">
        <v>44113</v>
      </c>
      <c r="CF28" s="215">
        <v>44145</v>
      </c>
      <c r="CG28" t="s">
        <v>822</v>
      </c>
      <c r="CH28" t="s">
        <v>823</v>
      </c>
      <c r="CI28" t="s">
        <v>1713</v>
      </c>
      <c r="CJ28">
        <v>1.0019616526860899</v>
      </c>
      <c r="CK28">
        <f t="shared" si="8"/>
        <v>1.0020598362698427</v>
      </c>
      <c r="CL28" s="246">
        <f t="shared" si="9"/>
        <v>44113</v>
      </c>
      <c r="CM28" s="246">
        <f>'Cálculo PU'!G82</f>
        <v>44113</v>
      </c>
      <c r="CN28" s="215">
        <f t="shared" si="10"/>
        <v>44145</v>
      </c>
      <c r="CO28" s="215">
        <f>'Cálculo PU'!G83</f>
        <v>44145</v>
      </c>
      <c r="CQ28">
        <v>3651</v>
      </c>
      <c r="CR28" s="215">
        <v>43717</v>
      </c>
      <c r="CS28" s="215">
        <v>43746</v>
      </c>
      <c r="CT28" t="s">
        <v>822</v>
      </c>
      <c r="CU28" t="s">
        <v>823</v>
      </c>
      <c r="CV28" t="s">
        <v>1714</v>
      </c>
      <c r="CW28">
        <v>2.5</v>
      </c>
    </row>
    <row r="29" spans="2:101">
      <c r="B29" s="147">
        <v>4073</v>
      </c>
      <c r="C29" s="156">
        <v>43374</v>
      </c>
      <c r="D29" s="156">
        <v>44173</v>
      </c>
      <c r="E29" s="148" t="s">
        <v>822</v>
      </c>
      <c r="F29" s="148" t="s">
        <v>823</v>
      </c>
      <c r="G29" s="148" t="s">
        <v>825</v>
      </c>
      <c r="H29" s="148">
        <v>77.990817847263997</v>
      </c>
      <c r="I29" s="148">
        <f>'Cálculo PU'!V84</f>
        <v>41.929028545820934</v>
      </c>
      <c r="J29" s="168">
        <f t="shared" si="7"/>
        <v>36.061789301443063</v>
      </c>
      <c r="L29" s="147">
        <v>4059</v>
      </c>
      <c r="M29" s="156">
        <v>43374</v>
      </c>
      <c r="N29" s="156">
        <v>44173</v>
      </c>
      <c r="O29" s="148" t="s">
        <v>822</v>
      </c>
      <c r="P29" s="148" t="s">
        <v>823</v>
      </c>
      <c r="Q29" s="148" t="s">
        <v>824</v>
      </c>
      <c r="R29" s="148">
        <v>82.333947082008905</v>
      </c>
      <c r="S29" s="148">
        <f>'Cálculo PU'!U84</f>
        <v>47.369795314230906</v>
      </c>
      <c r="T29" s="168">
        <f t="shared" si="0"/>
        <v>34.964151767777999</v>
      </c>
      <c r="V29" s="147">
        <v>4045</v>
      </c>
      <c r="W29" s="156">
        <v>43374</v>
      </c>
      <c r="X29" s="156">
        <v>44173</v>
      </c>
      <c r="Y29" s="148" t="s">
        <v>822</v>
      </c>
      <c r="Z29" s="148" t="s">
        <v>823</v>
      </c>
      <c r="AA29" s="148" t="s">
        <v>830</v>
      </c>
      <c r="AB29" s="148">
        <v>100.400998502869</v>
      </c>
      <c r="AC29" s="148">
        <f>'Cálculo PU'!T84</f>
        <v>100.68353604500892</v>
      </c>
      <c r="AD29" s="168">
        <f t="shared" si="1"/>
        <v>-0.28253754213992011</v>
      </c>
      <c r="AF29" s="147">
        <v>4057</v>
      </c>
      <c r="AG29" s="156">
        <v>43374</v>
      </c>
      <c r="AH29" s="156">
        <v>44173</v>
      </c>
      <c r="AI29" s="148" t="s">
        <v>822</v>
      </c>
      <c r="AJ29" s="148" t="s">
        <v>823</v>
      </c>
      <c r="AK29" s="148" t="s">
        <v>942</v>
      </c>
      <c r="AL29" s="148">
        <v>9.4617464200000008</v>
      </c>
      <c r="AM29" s="148">
        <f>'Cálculo PU'!Q84</f>
        <v>16.4878</v>
      </c>
      <c r="AN29" s="168">
        <f t="shared" si="2"/>
        <v>-7.0260535799999992</v>
      </c>
      <c r="AP29" s="147">
        <v>4058</v>
      </c>
      <c r="AQ29" s="156">
        <v>43374</v>
      </c>
      <c r="AR29" s="156">
        <v>44173</v>
      </c>
      <c r="AS29" s="148" t="s">
        <v>822</v>
      </c>
      <c r="AT29" s="148" t="s">
        <v>823</v>
      </c>
      <c r="AU29" s="148" t="s">
        <v>943</v>
      </c>
      <c r="AV29" s="148">
        <v>553</v>
      </c>
      <c r="AW29" s="152">
        <f>'Cálculo PU'!L84</f>
        <v>1245</v>
      </c>
      <c r="AX29" s="168">
        <f t="shared" si="3"/>
        <v>-692</v>
      </c>
      <c r="AZ29" s="147">
        <v>4047</v>
      </c>
      <c r="BA29" s="156">
        <v>43374</v>
      </c>
      <c r="BB29" s="156">
        <v>44173</v>
      </c>
      <c r="BC29" s="148" t="s">
        <v>822</v>
      </c>
      <c r="BD29" s="148" t="s">
        <v>823</v>
      </c>
      <c r="BE29" s="148" t="s">
        <v>945</v>
      </c>
      <c r="BF29" s="148">
        <v>1.001961652686</v>
      </c>
      <c r="BG29" s="148">
        <f>'Cálculo PU'!N84</f>
        <v>1.0019616526860928</v>
      </c>
      <c r="BH29" s="168">
        <f t="shared" si="4"/>
        <v>-9.2814644858663087E-14</v>
      </c>
      <c r="BJ29" s="147">
        <v>4072</v>
      </c>
      <c r="BK29" s="156">
        <v>43374</v>
      </c>
      <c r="BL29" s="156">
        <v>44173</v>
      </c>
      <c r="BM29" s="148" t="s">
        <v>822</v>
      </c>
      <c r="BN29" s="148" t="s">
        <v>823</v>
      </c>
      <c r="BO29" s="148" t="s">
        <v>827</v>
      </c>
      <c r="BP29" s="148">
        <v>1.0556876995860001</v>
      </c>
      <c r="BQ29" s="148">
        <f>'Cálculo PU'!O84</f>
        <v>1.1297613361698611</v>
      </c>
      <c r="BR29" s="168">
        <f t="shared" si="5"/>
        <v>-7.4073636583861013E-2</v>
      </c>
      <c r="BT29" s="147">
        <v>4046</v>
      </c>
      <c r="BU29" s="156">
        <v>43374</v>
      </c>
      <c r="BV29" s="156">
        <v>44173</v>
      </c>
      <c r="BW29" s="148" t="s">
        <v>822</v>
      </c>
      <c r="BX29" s="148" t="s">
        <v>823</v>
      </c>
      <c r="BY29" s="148" t="s">
        <v>946</v>
      </c>
      <c r="BZ29" s="148">
        <v>1.0090541099999999</v>
      </c>
      <c r="CA29" s="148">
        <f>'Cálculo PU'!S84</f>
        <v>1.01189368</v>
      </c>
      <c r="CB29" s="168">
        <f t="shared" si="6"/>
        <v>-2.8395700000001245E-3</v>
      </c>
      <c r="CD29">
        <v>4013</v>
      </c>
      <c r="CE29" s="215">
        <v>44145</v>
      </c>
      <c r="CF29" s="215">
        <v>44173</v>
      </c>
      <c r="CG29" t="s">
        <v>822</v>
      </c>
      <c r="CH29" t="s">
        <v>823</v>
      </c>
      <c r="CI29" t="s">
        <v>1713</v>
      </c>
      <c r="CJ29">
        <v>1.0019616526860899</v>
      </c>
      <c r="CK29">
        <f t="shared" si="8"/>
        <v>1.0019616526860928</v>
      </c>
      <c r="CL29" s="246">
        <f t="shared" si="9"/>
        <v>44145</v>
      </c>
      <c r="CM29" s="246">
        <f>'Cálculo PU'!G83</f>
        <v>44145</v>
      </c>
      <c r="CN29" s="215">
        <f t="shared" si="10"/>
        <v>44173</v>
      </c>
      <c r="CO29" s="215">
        <f>'Cálculo PU'!G84</f>
        <v>44173</v>
      </c>
      <c r="CQ29">
        <v>3689</v>
      </c>
      <c r="CR29" s="215">
        <v>43746</v>
      </c>
      <c r="CS29" s="215">
        <v>43777</v>
      </c>
      <c r="CT29" t="s">
        <v>822</v>
      </c>
      <c r="CU29" t="s">
        <v>823</v>
      </c>
      <c r="CV29" t="s">
        <v>1714</v>
      </c>
      <c r="CW29">
        <v>2.5</v>
      </c>
    </row>
    <row r="30" spans="2:101">
      <c r="B30" s="147">
        <v>4112</v>
      </c>
      <c r="C30" s="156">
        <v>43374</v>
      </c>
      <c r="D30" s="156">
        <v>44207</v>
      </c>
      <c r="E30" s="148" t="s">
        <v>822</v>
      </c>
      <c r="F30" s="148" t="s">
        <v>823</v>
      </c>
      <c r="G30" s="148" t="s">
        <v>825</v>
      </c>
      <c r="H30" s="148">
        <v>83.675096262498101</v>
      </c>
      <c r="I30" s="148">
        <f>'Cálculo PU'!V85</f>
        <v>44.862545343273652</v>
      </c>
      <c r="J30" s="168">
        <f t="shared" si="7"/>
        <v>38.812550919224449</v>
      </c>
      <c r="L30" s="147">
        <v>4098</v>
      </c>
      <c r="M30" s="156">
        <v>43374</v>
      </c>
      <c r="N30" s="156">
        <v>44207</v>
      </c>
      <c r="O30" s="148" t="s">
        <v>822</v>
      </c>
      <c r="P30" s="148" t="s">
        <v>823</v>
      </c>
      <c r="Q30" s="148" t="s">
        <v>824</v>
      </c>
      <c r="R30" s="148">
        <v>88.525419476347807</v>
      </c>
      <c r="S30" s="148">
        <f>'Cálculo PU'!U85</f>
        <v>50.793358463231179</v>
      </c>
      <c r="T30" s="168">
        <f t="shared" si="0"/>
        <v>37.732061013116628</v>
      </c>
      <c r="V30" s="147">
        <v>4084</v>
      </c>
      <c r="W30" s="156">
        <v>43374</v>
      </c>
      <c r="X30" s="156">
        <v>44207</v>
      </c>
      <c r="Y30" s="148" t="s">
        <v>822</v>
      </c>
      <c r="Z30" s="148" t="s">
        <v>823</v>
      </c>
      <c r="AA30" s="148" t="s">
        <v>830</v>
      </c>
      <c r="AB30" s="148">
        <v>109.035335181229</v>
      </c>
      <c r="AC30" s="148">
        <f>'Cálculo PU'!T85</f>
        <v>109.37099931141316</v>
      </c>
      <c r="AD30" s="168">
        <f t="shared" si="1"/>
        <v>-0.33566413018415631</v>
      </c>
      <c r="AF30" s="147">
        <v>4096</v>
      </c>
      <c r="AG30" s="156">
        <v>43374</v>
      </c>
      <c r="AH30" s="156">
        <v>44207</v>
      </c>
      <c r="AI30" s="148" t="s">
        <v>822</v>
      </c>
      <c r="AJ30" s="148" t="s">
        <v>823</v>
      </c>
      <c r="AK30" s="148" t="s">
        <v>942</v>
      </c>
      <c r="AL30" s="148">
        <v>9.5625896000000008</v>
      </c>
      <c r="AM30" s="148">
        <f>'Cálculo PU'!Q85</f>
        <v>16.479900000000001</v>
      </c>
      <c r="AN30" s="168">
        <f t="shared" si="2"/>
        <v>-6.9173103999999999</v>
      </c>
      <c r="AP30" s="147">
        <v>4097</v>
      </c>
      <c r="AQ30" s="156">
        <v>43374</v>
      </c>
      <c r="AR30" s="156">
        <v>44207</v>
      </c>
      <c r="AS30" s="148" t="s">
        <v>822</v>
      </c>
      <c r="AT30" s="148" t="s">
        <v>823</v>
      </c>
      <c r="AU30" s="148" t="s">
        <v>943</v>
      </c>
      <c r="AV30" s="148">
        <v>575</v>
      </c>
      <c r="AW30" s="152">
        <f>'Cálculo PU'!L85</f>
        <v>1267</v>
      </c>
      <c r="AX30" s="168">
        <f t="shared" si="3"/>
        <v>-692</v>
      </c>
      <c r="AZ30" s="147">
        <v>4086</v>
      </c>
      <c r="BA30" s="156">
        <v>43374</v>
      </c>
      <c r="BB30" s="156">
        <v>44207</v>
      </c>
      <c r="BC30" s="148" t="s">
        <v>822</v>
      </c>
      <c r="BD30" s="148" t="s">
        <v>823</v>
      </c>
      <c r="BE30" s="148" t="s">
        <v>945</v>
      </c>
      <c r="BF30" s="148">
        <v>1.0021580294750001</v>
      </c>
      <c r="BG30" s="148">
        <f>'Cálculo PU'!N85</f>
        <v>1.0021580294747356</v>
      </c>
      <c r="BH30" s="168">
        <f t="shared" si="4"/>
        <v>2.6445512446571229E-13</v>
      </c>
      <c r="BJ30" s="147">
        <v>4111</v>
      </c>
      <c r="BK30" s="156">
        <v>43374</v>
      </c>
      <c r="BL30" s="156">
        <v>44207</v>
      </c>
      <c r="BM30" s="148" t="s">
        <v>822</v>
      </c>
      <c r="BN30" s="148" t="s">
        <v>823</v>
      </c>
      <c r="BO30" s="148" t="s">
        <v>827</v>
      </c>
      <c r="BP30" s="148">
        <v>1.05796615039</v>
      </c>
      <c r="BQ30" s="148">
        <f>'Cálculo PU'!O85</f>
        <v>1.1321996572993545</v>
      </c>
      <c r="BR30" s="168">
        <f t="shared" si="5"/>
        <v>-7.4233506909354485E-2</v>
      </c>
      <c r="BT30" s="147">
        <v>4085</v>
      </c>
      <c r="BU30" s="156">
        <v>43374</v>
      </c>
      <c r="BV30" s="156">
        <v>44207</v>
      </c>
      <c r="BW30" s="148" t="s">
        <v>822</v>
      </c>
      <c r="BX30" s="148" t="s">
        <v>823</v>
      </c>
      <c r="BY30" s="148" t="s">
        <v>946</v>
      </c>
      <c r="BZ30" s="148">
        <v>1.01000829</v>
      </c>
      <c r="CA30" s="148">
        <f>'Cálculo PU'!S85</f>
        <v>1.01311759</v>
      </c>
      <c r="CB30" s="168">
        <f t="shared" si="6"/>
        <v>-3.1092999999999815E-3</v>
      </c>
      <c r="CD30">
        <v>4051</v>
      </c>
      <c r="CE30" s="215">
        <v>44173</v>
      </c>
      <c r="CF30" s="215">
        <v>44207</v>
      </c>
      <c r="CG30" t="s">
        <v>822</v>
      </c>
      <c r="CH30" t="s">
        <v>823</v>
      </c>
      <c r="CI30" t="s">
        <v>1713</v>
      </c>
      <c r="CJ30">
        <v>1.0021580294747401</v>
      </c>
      <c r="CK30">
        <f t="shared" si="8"/>
        <v>1.0021580294747356</v>
      </c>
      <c r="CL30" s="246">
        <f t="shared" si="9"/>
        <v>44173</v>
      </c>
      <c r="CM30" s="246">
        <f>'Cálculo PU'!G84</f>
        <v>44173</v>
      </c>
      <c r="CN30" s="215">
        <f t="shared" si="10"/>
        <v>44207</v>
      </c>
      <c r="CO30" s="215">
        <f>'Cálculo PU'!G85</f>
        <v>44207</v>
      </c>
      <c r="CQ30">
        <v>3691</v>
      </c>
      <c r="CR30" s="215">
        <v>43746</v>
      </c>
      <c r="CS30" s="215">
        <v>43777</v>
      </c>
      <c r="CT30" t="s">
        <v>822</v>
      </c>
      <c r="CU30" t="s">
        <v>823</v>
      </c>
      <c r="CV30" t="s">
        <v>1714</v>
      </c>
      <c r="CW30">
        <v>2.5</v>
      </c>
    </row>
    <row r="31" spans="2:101">
      <c r="B31" s="147">
        <v>4151</v>
      </c>
      <c r="C31" s="156">
        <v>43374</v>
      </c>
      <c r="D31" s="156">
        <v>44235</v>
      </c>
      <c r="E31" s="148" t="s">
        <v>822</v>
      </c>
      <c r="F31" s="148" t="s">
        <v>823</v>
      </c>
      <c r="G31" s="148" t="s">
        <v>825</v>
      </c>
      <c r="H31" s="148">
        <v>74.063460616894702</v>
      </c>
      <c r="I31" s="148">
        <f>'Cálculo PU'!V86</f>
        <v>39.587980891091107</v>
      </c>
      <c r="J31" s="168">
        <f t="shared" si="7"/>
        <v>34.475479725803595</v>
      </c>
      <c r="L31" s="147">
        <v>4137</v>
      </c>
      <c r="M31" s="156">
        <v>43374</v>
      </c>
      <c r="N31" s="156">
        <v>44235</v>
      </c>
      <c r="O31" s="148" t="s">
        <v>822</v>
      </c>
      <c r="P31" s="148" t="s">
        <v>823</v>
      </c>
      <c r="Q31" s="148" t="s">
        <v>824</v>
      </c>
      <c r="R31" s="148">
        <v>78.510359386497797</v>
      </c>
      <c r="S31" s="148">
        <f>'Cálculo PU'!U86</f>
        <v>44.909432089680195</v>
      </c>
      <c r="T31" s="168">
        <f t="shared" si="0"/>
        <v>33.600927296817602</v>
      </c>
      <c r="V31" s="147">
        <v>4123</v>
      </c>
      <c r="W31" s="156">
        <v>43374</v>
      </c>
      <c r="X31" s="156">
        <v>44235</v>
      </c>
      <c r="Y31" s="148" t="s">
        <v>822</v>
      </c>
      <c r="Z31" s="148" t="s">
        <v>823</v>
      </c>
      <c r="AA31" s="148" t="s">
        <v>830</v>
      </c>
      <c r="AB31" s="148">
        <v>97.592591535028802</v>
      </c>
      <c r="AC31" s="148">
        <f>'Cálculo PU'!T86</f>
        <v>97.860412681393612</v>
      </c>
      <c r="AD31" s="168">
        <f t="shared" si="1"/>
        <v>-0.26782114636480969</v>
      </c>
      <c r="AF31" s="147">
        <v>4135</v>
      </c>
      <c r="AG31" s="156">
        <v>43374</v>
      </c>
      <c r="AH31" s="156">
        <v>44235</v>
      </c>
      <c r="AI31" s="148" t="s">
        <v>822</v>
      </c>
      <c r="AJ31" s="148" t="s">
        <v>823</v>
      </c>
      <c r="AK31" s="148" t="s">
        <v>942</v>
      </c>
      <c r="AL31" s="148">
        <v>9.65267871</v>
      </c>
      <c r="AM31" s="148">
        <f>'Cálculo PU'!Q86</f>
        <v>16.4755</v>
      </c>
      <c r="AN31" s="168">
        <f t="shared" si="2"/>
        <v>-6.8228212900000003</v>
      </c>
      <c r="AP31" s="147">
        <v>4136</v>
      </c>
      <c r="AQ31" s="156">
        <v>43374</v>
      </c>
      <c r="AR31" s="156">
        <v>44235</v>
      </c>
      <c r="AS31" s="148" t="s">
        <v>822</v>
      </c>
      <c r="AT31" s="148" t="s">
        <v>823</v>
      </c>
      <c r="AU31" s="148" t="s">
        <v>943</v>
      </c>
      <c r="AV31" s="148">
        <v>595</v>
      </c>
      <c r="AW31" s="152">
        <f>'Cálculo PU'!L86</f>
        <v>1287</v>
      </c>
      <c r="AX31" s="168">
        <f t="shared" si="3"/>
        <v>-692</v>
      </c>
      <c r="AZ31" s="147">
        <v>4125</v>
      </c>
      <c r="BA31" s="156">
        <v>43374</v>
      </c>
      <c r="BB31" s="156">
        <v>44235</v>
      </c>
      <c r="BC31" s="148" t="s">
        <v>822</v>
      </c>
      <c r="BD31" s="148" t="s">
        <v>823</v>
      </c>
      <c r="BE31" s="148" t="s">
        <v>945</v>
      </c>
      <c r="BF31" s="148">
        <v>1.001961652686</v>
      </c>
      <c r="BG31" s="148">
        <f>'Cálculo PU'!N86</f>
        <v>1.0019616526860928</v>
      </c>
      <c r="BH31" s="168">
        <f t="shared" si="4"/>
        <v>-9.2814644858663087E-14</v>
      </c>
      <c r="BJ31" s="147">
        <v>4150</v>
      </c>
      <c r="BK31" s="156">
        <v>43374</v>
      </c>
      <c r="BL31" s="156">
        <v>44235</v>
      </c>
      <c r="BM31" s="148" t="s">
        <v>822</v>
      </c>
      <c r="BN31" s="148" t="s">
        <v>823</v>
      </c>
      <c r="BO31" s="148" t="s">
        <v>827</v>
      </c>
      <c r="BP31" s="148">
        <v>1.0600417362700001</v>
      </c>
      <c r="BQ31" s="148">
        <f>'Cálculo PU'!O86</f>
        <v>1.1344208792367743</v>
      </c>
      <c r="BR31" s="168">
        <f t="shared" si="5"/>
        <v>-7.437914296677417E-2</v>
      </c>
      <c r="BT31" s="147">
        <v>4124</v>
      </c>
      <c r="BU31" s="156">
        <v>43374</v>
      </c>
      <c r="BV31" s="156">
        <v>44235</v>
      </c>
      <c r="BW31" s="148" t="s">
        <v>822</v>
      </c>
      <c r="BX31" s="148" t="s">
        <v>823</v>
      </c>
      <c r="BY31" s="148" t="s">
        <v>946</v>
      </c>
      <c r="BZ31" s="148">
        <v>1.00923107</v>
      </c>
      <c r="CA31" s="148">
        <f>'Cálculo PU'!S86</f>
        <v>1.0120006800000001</v>
      </c>
      <c r="CB31" s="168">
        <f t="shared" si="6"/>
        <v>-2.7696100000000889E-3</v>
      </c>
      <c r="CD31">
        <v>4089</v>
      </c>
      <c r="CE31" s="215">
        <v>44207</v>
      </c>
      <c r="CF31" s="215">
        <v>44235</v>
      </c>
      <c r="CG31" t="s">
        <v>822</v>
      </c>
      <c r="CH31" t="s">
        <v>823</v>
      </c>
      <c r="CI31" t="s">
        <v>1713</v>
      </c>
      <c r="CJ31">
        <v>1.0019616526860899</v>
      </c>
      <c r="CK31">
        <f t="shared" si="8"/>
        <v>1.0019616526860928</v>
      </c>
      <c r="CL31" s="246">
        <f t="shared" si="9"/>
        <v>44207</v>
      </c>
      <c r="CM31" s="246">
        <f>'Cálculo PU'!G85</f>
        <v>44207</v>
      </c>
      <c r="CN31" s="215">
        <f t="shared" si="10"/>
        <v>44235</v>
      </c>
      <c r="CO31" s="215">
        <f>'Cálculo PU'!G86</f>
        <v>44235</v>
      </c>
      <c r="CQ31">
        <v>3729</v>
      </c>
      <c r="CR31" s="215">
        <v>43777</v>
      </c>
      <c r="CS31" s="215">
        <v>43808</v>
      </c>
      <c r="CT31" t="s">
        <v>822</v>
      </c>
      <c r="CU31" t="s">
        <v>823</v>
      </c>
      <c r="CV31" t="s">
        <v>1714</v>
      </c>
      <c r="CW31">
        <v>2.5</v>
      </c>
    </row>
    <row r="32" spans="2:101">
      <c r="B32" s="147">
        <v>4190</v>
      </c>
      <c r="C32" s="156">
        <v>43374</v>
      </c>
      <c r="D32" s="156">
        <v>44263</v>
      </c>
      <c r="E32" s="148" t="s">
        <v>822</v>
      </c>
      <c r="F32" s="148" t="s">
        <v>823</v>
      </c>
      <c r="G32" s="148" t="s">
        <v>825</v>
      </c>
      <c r="H32" s="148">
        <v>64.946307407754304</v>
      </c>
      <c r="I32" s="148">
        <f>'Cálculo PU'!V87</f>
        <v>34.62012922765161</v>
      </c>
      <c r="J32" s="168">
        <f t="shared" si="7"/>
        <v>30.326178180102694</v>
      </c>
      <c r="L32" s="147">
        <v>4176</v>
      </c>
      <c r="M32" s="156">
        <v>43374</v>
      </c>
      <c r="N32" s="156">
        <v>44263</v>
      </c>
      <c r="O32" s="148" t="s">
        <v>822</v>
      </c>
      <c r="P32" s="148" t="s">
        <v>823</v>
      </c>
      <c r="Q32" s="148" t="s">
        <v>824</v>
      </c>
      <c r="R32" s="148">
        <v>68.967344044290698</v>
      </c>
      <c r="S32" s="148">
        <f>'Cálculo PU'!U87</f>
        <v>39.343135510652317</v>
      </c>
      <c r="T32" s="168">
        <f t="shared" si="0"/>
        <v>29.624208533638381</v>
      </c>
      <c r="V32" s="147">
        <v>4162</v>
      </c>
      <c r="W32" s="156">
        <v>43374</v>
      </c>
      <c r="X32" s="156">
        <v>44263</v>
      </c>
      <c r="Y32" s="148" t="s">
        <v>822</v>
      </c>
      <c r="Z32" s="148" t="s">
        <v>823</v>
      </c>
      <c r="AA32" s="148" t="s">
        <v>830</v>
      </c>
      <c r="AB32" s="148">
        <v>86.4420267536469</v>
      </c>
      <c r="AC32" s="148">
        <f>'Cálculo PU'!T87</f>
        <v>86.655496459180569</v>
      </c>
      <c r="AD32" s="168">
        <f t="shared" si="1"/>
        <v>-0.21346970553366873</v>
      </c>
      <c r="AF32" s="147">
        <v>4174</v>
      </c>
      <c r="AG32" s="156">
        <v>43374</v>
      </c>
      <c r="AH32" s="156">
        <v>44263</v>
      </c>
      <c r="AI32" s="148" t="s">
        <v>822</v>
      </c>
      <c r="AJ32" s="148" t="s">
        <v>823</v>
      </c>
      <c r="AK32" s="148" t="s">
        <v>942</v>
      </c>
      <c r="AL32" s="148">
        <v>9.7287903999999994</v>
      </c>
      <c r="AM32" s="148">
        <f>'Cálculo PU'!Q87</f>
        <v>16.471699999999998</v>
      </c>
      <c r="AN32" s="168">
        <f t="shared" si="2"/>
        <v>-6.7429095999999991</v>
      </c>
      <c r="AP32" s="147">
        <v>4175</v>
      </c>
      <c r="AQ32" s="156">
        <v>43374</v>
      </c>
      <c r="AR32" s="156">
        <v>44263</v>
      </c>
      <c r="AS32" s="148" t="s">
        <v>822</v>
      </c>
      <c r="AT32" s="148" t="s">
        <v>823</v>
      </c>
      <c r="AU32" s="148" t="s">
        <v>943</v>
      </c>
      <c r="AV32" s="148">
        <v>613</v>
      </c>
      <c r="AW32" s="152">
        <f>'Cálculo PU'!L87</f>
        <v>1305</v>
      </c>
      <c r="AX32" s="168">
        <f t="shared" si="3"/>
        <v>-692</v>
      </c>
      <c r="AZ32" s="147">
        <v>4164</v>
      </c>
      <c r="BA32" s="156">
        <v>43374</v>
      </c>
      <c r="BB32" s="156">
        <v>44263</v>
      </c>
      <c r="BC32" s="148" t="s">
        <v>822</v>
      </c>
      <c r="BD32" s="148" t="s">
        <v>823</v>
      </c>
      <c r="BE32" s="148" t="s">
        <v>945</v>
      </c>
      <c r="BF32" s="148">
        <v>1.0017653143780001</v>
      </c>
      <c r="BG32" s="148">
        <f>'Cálculo PU'!N87</f>
        <v>1.0017653143782506</v>
      </c>
      <c r="BH32" s="168">
        <f t="shared" si="4"/>
        <v>-2.5046631435543532E-13</v>
      </c>
      <c r="BJ32" s="147">
        <v>4189</v>
      </c>
      <c r="BK32" s="156">
        <v>43374</v>
      </c>
      <c r="BL32" s="156">
        <v>44263</v>
      </c>
      <c r="BM32" s="148" t="s">
        <v>822</v>
      </c>
      <c r="BN32" s="148" t="s">
        <v>823</v>
      </c>
      <c r="BO32" s="148" t="s">
        <v>827</v>
      </c>
      <c r="BP32" s="148">
        <v>1.0619132449099999</v>
      </c>
      <c r="BQ32" s="148">
        <f>'Cálculo PU'!O87</f>
        <v>1.1364237046009744</v>
      </c>
      <c r="BR32" s="168">
        <f t="shared" si="5"/>
        <v>-7.4510459690974473E-2</v>
      </c>
      <c r="BT32" s="147">
        <v>4163</v>
      </c>
      <c r="BU32" s="156">
        <v>43374</v>
      </c>
      <c r="BV32" s="156">
        <v>44263</v>
      </c>
      <c r="BW32" s="148" t="s">
        <v>822</v>
      </c>
      <c r="BX32" s="148" t="s">
        <v>823</v>
      </c>
      <c r="BY32" s="148" t="s">
        <v>946</v>
      </c>
      <c r="BZ32" s="148">
        <v>1.0083041399999999</v>
      </c>
      <c r="CA32" s="148">
        <f>'Cálculo PU'!S87</f>
        <v>1.0107941600000001</v>
      </c>
      <c r="CB32" s="168">
        <f t="shared" si="6"/>
        <v>-2.4900200000002037E-3</v>
      </c>
      <c r="CD32">
        <v>4127</v>
      </c>
      <c r="CE32" s="215">
        <v>44235</v>
      </c>
      <c r="CF32" s="215">
        <v>44263</v>
      </c>
      <c r="CG32" t="s">
        <v>822</v>
      </c>
      <c r="CH32" t="s">
        <v>823</v>
      </c>
      <c r="CI32" t="s">
        <v>1713</v>
      </c>
      <c r="CJ32">
        <v>1.0017653143782499</v>
      </c>
      <c r="CK32">
        <f t="shared" si="8"/>
        <v>1.0017653143782506</v>
      </c>
      <c r="CL32" s="246">
        <f t="shared" si="9"/>
        <v>44235</v>
      </c>
      <c r="CM32" s="246">
        <f>'Cálculo PU'!G86</f>
        <v>44235</v>
      </c>
      <c r="CN32" s="215">
        <f t="shared" si="10"/>
        <v>44263</v>
      </c>
      <c r="CO32" s="215">
        <f>'Cálculo PU'!G87</f>
        <v>44263</v>
      </c>
      <c r="CQ32">
        <v>3731</v>
      </c>
      <c r="CR32" s="215">
        <v>43777</v>
      </c>
      <c r="CS32" s="215">
        <v>43808</v>
      </c>
      <c r="CT32" t="s">
        <v>822</v>
      </c>
      <c r="CU32" t="s">
        <v>823</v>
      </c>
      <c r="CV32" t="s">
        <v>1714</v>
      </c>
      <c r="CW32">
        <v>2.5</v>
      </c>
    </row>
    <row r="33" spans="2:101">
      <c r="B33" s="147">
        <v>4229</v>
      </c>
      <c r="C33" s="156">
        <v>43374</v>
      </c>
      <c r="D33" s="156">
        <v>44295</v>
      </c>
      <c r="E33" s="148" t="s">
        <v>822</v>
      </c>
      <c r="F33" s="148" t="s">
        <v>823</v>
      </c>
      <c r="G33" s="148" t="s">
        <v>825</v>
      </c>
      <c r="H33" s="148">
        <v>80.896703368716103</v>
      </c>
      <c r="I33" s="148">
        <f>'Cálculo PU'!V88</f>
        <v>43.017239823029243</v>
      </c>
      <c r="J33" s="168">
        <f t="shared" si="7"/>
        <v>37.87946354568686</v>
      </c>
      <c r="L33" s="147">
        <v>4215</v>
      </c>
      <c r="M33" s="156">
        <v>43374</v>
      </c>
      <c r="N33" s="156">
        <v>44295</v>
      </c>
      <c r="O33" s="148" t="s">
        <v>822</v>
      </c>
      <c r="P33" s="148" t="s">
        <v>823</v>
      </c>
      <c r="Q33" s="148" t="s">
        <v>824</v>
      </c>
      <c r="R33" s="148">
        <v>86.099123944719693</v>
      </c>
      <c r="S33" s="148">
        <f>'Cálculo PU'!U88</f>
        <v>48.996120680029961</v>
      </c>
      <c r="T33" s="168">
        <f t="shared" si="0"/>
        <v>37.103003264689733</v>
      </c>
      <c r="V33" s="147">
        <v>4201</v>
      </c>
      <c r="W33" s="156">
        <v>43374</v>
      </c>
      <c r="X33" s="156">
        <v>44295</v>
      </c>
      <c r="Y33" s="148" t="s">
        <v>822</v>
      </c>
      <c r="Z33" s="148" t="s">
        <v>823</v>
      </c>
      <c r="AA33" s="148" t="s">
        <v>830</v>
      </c>
      <c r="AB33" s="148">
        <v>109.06225246638</v>
      </c>
      <c r="AC33" s="148">
        <f>'Cálculo PU'!T88</f>
        <v>109.40581653011454</v>
      </c>
      <c r="AD33" s="168">
        <f t="shared" si="1"/>
        <v>-0.34356406373453297</v>
      </c>
      <c r="AF33" s="147">
        <v>4213</v>
      </c>
      <c r="AG33" s="156">
        <v>43374</v>
      </c>
      <c r="AH33" s="156">
        <v>44295</v>
      </c>
      <c r="AI33" s="148" t="s">
        <v>822</v>
      </c>
      <c r="AJ33" s="148" t="s">
        <v>823</v>
      </c>
      <c r="AK33" s="148" t="s">
        <v>942</v>
      </c>
      <c r="AL33" s="148">
        <v>9.8203533099999998</v>
      </c>
      <c r="AM33" s="148">
        <f>'Cálculo PU'!Q88</f>
        <v>16.466999999999999</v>
      </c>
      <c r="AN33" s="168">
        <f t="shared" si="2"/>
        <v>-6.646646689999999</v>
      </c>
      <c r="AP33" s="147">
        <v>4214</v>
      </c>
      <c r="AQ33" s="156">
        <v>43374</v>
      </c>
      <c r="AR33" s="156">
        <v>44295</v>
      </c>
      <c r="AS33" s="148" t="s">
        <v>822</v>
      </c>
      <c r="AT33" s="148" t="s">
        <v>823</v>
      </c>
      <c r="AU33" s="148" t="s">
        <v>943</v>
      </c>
      <c r="AV33" s="148">
        <v>636</v>
      </c>
      <c r="AW33" s="152">
        <f>'Cálculo PU'!L88</f>
        <v>1328</v>
      </c>
      <c r="AX33" s="168">
        <f t="shared" si="3"/>
        <v>-692</v>
      </c>
      <c r="AZ33" s="147">
        <v>4203</v>
      </c>
      <c r="BA33" s="156">
        <v>43374</v>
      </c>
      <c r="BB33" s="156">
        <v>44295</v>
      </c>
      <c r="BC33" s="148" t="s">
        <v>822</v>
      </c>
      <c r="BD33" s="148" t="s">
        <v>823</v>
      </c>
      <c r="BE33" s="148" t="s">
        <v>945</v>
      </c>
      <c r="BF33" s="148">
        <v>1.0022562323019999</v>
      </c>
      <c r="BG33" s="148">
        <f>'Cálculo PU'!N88</f>
        <v>1.0022562323017139</v>
      </c>
      <c r="BH33" s="168">
        <f t="shared" si="4"/>
        <v>2.8599345114344032E-13</v>
      </c>
      <c r="BJ33" s="147">
        <v>4228</v>
      </c>
      <c r="BK33" s="156">
        <v>43374</v>
      </c>
      <c r="BL33" s="156">
        <v>44295</v>
      </c>
      <c r="BM33" s="148" t="s">
        <v>822</v>
      </c>
      <c r="BN33" s="148" t="s">
        <v>823</v>
      </c>
      <c r="BO33" s="148" t="s">
        <v>827</v>
      </c>
      <c r="BP33" s="148">
        <v>1.064309426211</v>
      </c>
      <c r="BQ33" s="148">
        <f>'Cálculo PU'!O88</f>
        <v>1.1389880169345483</v>
      </c>
      <c r="BR33" s="168">
        <f t="shared" si="5"/>
        <v>-7.4678590723548322E-2</v>
      </c>
      <c r="BT33" s="147">
        <v>4202</v>
      </c>
      <c r="BU33" s="156">
        <v>43374</v>
      </c>
      <c r="BV33" s="156">
        <v>44295</v>
      </c>
      <c r="BW33" s="148" t="s">
        <v>822</v>
      </c>
      <c r="BX33" s="148" t="s">
        <v>823</v>
      </c>
      <c r="BY33" s="148" t="s">
        <v>946</v>
      </c>
      <c r="BZ33" s="148">
        <v>1.0106296400000001</v>
      </c>
      <c r="CA33" s="148">
        <f>'Cálculo PU'!S88</f>
        <v>1.0138132900000001</v>
      </c>
      <c r="CB33" s="168">
        <f t="shared" si="6"/>
        <v>-3.1836499999999823E-3</v>
      </c>
      <c r="CD33">
        <v>4165</v>
      </c>
      <c r="CE33" s="215">
        <v>44263</v>
      </c>
      <c r="CF33" s="215">
        <v>44295</v>
      </c>
      <c r="CG33" t="s">
        <v>822</v>
      </c>
      <c r="CH33" t="s">
        <v>823</v>
      </c>
      <c r="CI33" t="s">
        <v>1713</v>
      </c>
      <c r="CJ33">
        <v>1.0022562323017099</v>
      </c>
      <c r="CK33">
        <f t="shared" si="8"/>
        <v>1.0022562323017139</v>
      </c>
      <c r="CL33" s="246">
        <f t="shared" si="9"/>
        <v>44263</v>
      </c>
      <c r="CM33" s="246">
        <f>'Cálculo PU'!G87</f>
        <v>44263</v>
      </c>
      <c r="CN33" s="215">
        <f t="shared" si="10"/>
        <v>44295</v>
      </c>
      <c r="CO33" s="215">
        <f>'Cálculo PU'!G88</f>
        <v>44295</v>
      </c>
      <c r="CQ33">
        <v>3769</v>
      </c>
      <c r="CR33" s="215">
        <v>43808</v>
      </c>
      <c r="CS33" s="215">
        <v>43839</v>
      </c>
      <c r="CT33" t="s">
        <v>822</v>
      </c>
      <c r="CU33" t="s">
        <v>823</v>
      </c>
      <c r="CV33" t="s">
        <v>1714</v>
      </c>
      <c r="CW33">
        <v>2.5</v>
      </c>
    </row>
    <row r="34" spans="2:101">
      <c r="B34" s="147">
        <v>4268</v>
      </c>
      <c r="C34" s="156">
        <v>43374</v>
      </c>
      <c r="D34" s="156">
        <v>44326</v>
      </c>
      <c r="E34" s="148" t="s">
        <v>822</v>
      </c>
      <c r="F34" s="148" t="s">
        <v>823</v>
      </c>
      <c r="G34" s="148" t="s">
        <v>825</v>
      </c>
      <c r="H34" s="148">
        <v>68.440386981313296</v>
      </c>
      <c r="I34" s="148">
        <f>'Cálculo PU'!V89</f>
        <v>36.279795682700723</v>
      </c>
      <c r="J34" s="168">
        <f t="shared" si="7"/>
        <v>32.160591298612573</v>
      </c>
      <c r="L34" s="147">
        <v>4254</v>
      </c>
      <c r="M34" s="156">
        <v>43374</v>
      </c>
      <c r="N34" s="156">
        <v>44326</v>
      </c>
      <c r="O34" s="148" t="s">
        <v>822</v>
      </c>
      <c r="P34" s="148" t="s">
        <v>823</v>
      </c>
      <c r="Q34" s="148" t="s">
        <v>824</v>
      </c>
      <c r="R34" s="148">
        <v>72.984654614968605</v>
      </c>
      <c r="S34" s="148">
        <f>'Cálculo PU'!U89</f>
        <v>41.403321185982136</v>
      </c>
      <c r="T34" s="168">
        <f t="shared" si="0"/>
        <v>31.581333428986468</v>
      </c>
      <c r="V34" s="147">
        <v>4240</v>
      </c>
      <c r="W34" s="156">
        <v>43374</v>
      </c>
      <c r="X34" s="156">
        <v>44326</v>
      </c>
      <c r="Y34" s="148" t="s">
        <v>822</v>
      </c>
      <c r="Z34" s="148" t="s">
        <v>823</v>
      </c>
      <c r="AA34" s="148" t="s">
        <v>830</v>
      </c>
      <c r="AB34" s="148">
        <v>93.305919808306498</v>
      </c>
      <c r="AC34" s="148">
        <f>'Cálculo PU'!T89</f>
        <v>93.559588964289233</v>
      </c>
      <c r="AD34" s="168">
        <f t="shared" si="1"/>
        <v>-0.25366915598273465</v>
      </c>
      <c r="AF34" s="147">
        <v>4252</v>
      </c>
      <c r="AG34" s="156">
        <v>43374</v>
      </c>
      <c r="AH34" s="156">
        <v>44326</v>
      </c>
      <c r="AI34" s="148" t="s">
        <v>822</v>
      </c>
      <c r="AJ34" s="148" t="s">
        <v>823</v>
      </c>
      <c r="AK34" s="148" t="s">
        <v>942</v>
      </c>
      <c r="AL34" s="148">
        <v>9.8954788300000001</v>
      </c>
      <c r="AM34" s="148">
        <f>'Cálculo PU'!Q89</f>
        <v>16.463000000000001</v>
      </c>
      <c r="AN34" s="168">
        <f t="shared" si="2"/>
        <v>-6.5675211700000009</v>
      </c>
      <c r="AP34" s="147">
        <v>4253</v>
      </c>
      <c r="AQ34" s="156">
        <v>43374</v>
      </c>
      <c r="AR34" s="156">
        <v>44326</v>
      </c>
      <c r="AS34" s="148" t="s">
        <v>822</v>
      </c>
      <c r="AT34" s="148" t="s">
        <v>823</v>
      </c>
      <c r="AU34" s="148" t="s">
        <v>943</v>
      </c>
      <c r="AV34" s="148">
        <v>656</v>
      </c>
      <c r="AW34" s="152">
        <f>'Cálculo PU'!L89</f>
        <v>1348</v>
      </c>
      <c r="AX34" s="168">
        <f t="shared" si="3"/>
        <v>-692</v>
      </c>
      <c r="AZ34" s="147">
        <v>4242</v>
      </c>
      <c r="BA34" s="156">
        <v>43374</v>
      </c>
      <c r="BB34" s="156">
        <v>44326</v>
      </c>
      <c r="BC34" s="148" t="s">
        <v>822</v>
      </c>
      <c r="BD34" s="148" t="s">
        <v>823</v>
      </c>
      <c r="BE34" s="148" t="s">
        <v>945</v>
      </c>
      <c r="BF34" s="148">
        <v>1.001961652686</v>
      </c>
      <c r="BG34" s="148">
        <f>'Cálculo PU'!N89</f>
        <v>1.0019616526860928</v>
      </c>
      <c r="BH34" s="168">
        <f t="shared" si="4"/>
        <v>-9.2814644858663087E-14</v>
      </c>
      <c r="BJ34" s="147">
        <v>4267</v>
      </c>
      <c r="BK34" s="156">
        <v>43374</v>
      </c>
      <c r="BL34" s="156">
        <v>44326</v>
      </c>
      <c r="BM34" s="148" t="s">
        <v>822</v>
      </c>
      <c r="BN34" s="148" t="s">
        <v>823</v>
      </c>
      <c r="BO34" s="148" t="s">
        <v>827</v>
      </c>
      <c r="BP34" s="148">
        <v>1.066397456737</v>
      </c>
      <c r="BQ34" s="148">
        <f>'Cálculo PU'!O89</f>
        <v>1.1412225567114884</v>
      </c>
      <c r="BR34" s="168">
        <f t="shared" si="5"/>
        <v>-7.4825099974488385E-2</v>
      </c>
      <c r="BT34" s="147">
        <v>4241</v>
      </c>
      <c r="BU34" s="156">
        <v>43374</v>
      </c>
      <c r="BV34" s="156">
        <v>44326</v>
      </c>
      <c r="BW34" s="148" t="s">
        <v>822</v>
      </c>
      <c r="BX34" s="148" t="s">
        <v>823</v>
      </c>
      <c r="BY34" s="148" t="s">
        <v>946</v>
      </c>
      <c r="BZ34" s="148">
        <v>1.0092573199999999</v>
      </c>
      <c r="CA34" s="148">
        <f>'Cálculo PU'!S89</f>
        <v>1.01200117</v>
      </c>
      <c r="CB34" s="168">
        <f t="shared" si="6"/>
        <v>-2.7438500000001032E-3</v>
      </c>
      <c r="CD34">
        <v>4203</v>
      </c>
      <c r="CE34" s="215">
        <v>44295</v>
      </c>
      <c r="CF34" s="215">
        <v>44326</v>
      </c>
      <c r="CG34" t="s">
        <v>822</v>
      </c>
      <c r="CH34" t="s">
        <v>823</v>
      </c>
      <c r="CI34" t="s">
        <v>1713</v>
      </c>
      <c r="CJ34">
        <v>1.0019616526860899</v>
      </c>
      <c r="CK34">
        <f t="shared" si="8"/>
        <v>1.0019616526860928</v>
      </c>
      <c r="CL34" s="246">
        <f t="shared" si="9"/>
        <v>44295</v>
      </c>
      <c r="CM34" s="246">
        <f>'Cálculo PU'!G88</f>
        <v>44295</v>
      </c>
      <c r="CN34" s="215">
        <f t="shared" si="10"/>
        <v>44326</v>
      </c>
      <c r="CO34" s="215">
        <f>'Cálculo PU'!G89</f>
        <v>44326</v>
      </c>
      <c r="CQ34">
        <v>3771</v>
      </c>
      <c r="CR34" s="215">
        <v>43808</v>
      </c>
      <c r="CS34" s="215">
        <v>43839</v>
      </c>
      <c r="CT34" t="s">
        <v>822</v>
      </c>
      <c r="CU34" t="s">
        <v>823</v>
      </c>
      <c r="CV34" t="s">
        <v>1714</v>
      </c>
      <c r="CW34">
        <v>2.5</v>
      </c>
    </row>
    <row r="35" spans="2:101">
      <c r="B35" s="147">
        <v>4307</v>
      </c>
      <c r="C35" s="156">
        <v>43374</v>
      </c>
      <c r="D35" s="156">
        <v>44356</v>
      </c>
      <c r="E35" s="148" t="s">
        <v>822</v>
      </c>
      <c r="F35" s="148" t="s">
        <v>823</v>
      </c>
      <c r="G35" s="148" t="s">
        <v>825</v>
      </c>
      <c r="H35" s="148">
        <v>69.994166239946097</v>
      </c>
      <c r="I35" s="148">
        <f>'Cálculo PU'!V90</f>
        <v>37.003480885629664</v>
      </c>
      <c r="J35" s="168">
        <f t="shared" si="7"/>
        <v>32.990685354316433</v>
      </c>
      <c r="L35" s="147">
        <v>4293</v>
      </c>
      <c r="M35" s="156">
        <v>43374</v>
      </c>
      <c r="N35" s="156">
        <v>44356</v>
      </c>
      <c r="O35" s="148" t="s">
        <v>822</v>
      </c>
      <c r="P35" s="148" t="s">
        <v>823</v>
      </c>
      <c r="Q35" s="148" t="s">
        <v>824</v>
      </c>
      <c r="R35" s="148">
        <v>74.795366917532107</v>
      </c>
      <c r="S35" s="148">
        <f>'Cálculo PU'!U90</f>
        <v>42.316201693997719</v>
      </c>
      <c r="T35" s="168">
        <f t="shared" ref="T35:T66" si="11">R35-S35</f>
        <v>32.479165223534388</v>
      </c>
      <c r="V35" s="147">
        <v>4279</v>
      </c>
      <c r="W35" s="156">
        <v>43374</v>
      </c>
      <c r="X35" s="156">
        <v>44356</v>
      </c>
      <c r="Y35" s="148" t="s">
        <v>822</v>
      </c>
      <c r="Z35" s="148" t="s">
        <v>823</v>
      </c>
      <c r="AA35" s="148" t="s">
        <v>830</v>
      </c>
      <c r="AB35" s="148">
        <v>96.550459488384504</v>
      </c>
      <c r="AC35" s="148">
        <f>'Cálculo PU'!T90</f>
        <v>96.826093110335279</v>
      </c>
      <c r="AD35" s="168">
        <f t="shared" ref="AD35:AD66" si="12">AB35-AC35</f>
        <v>-0.27563362195077445</v>
      </c>
      <c r="AF35" s="147">
        <v>4291</v>
      </c>
      <c r="AG35" s="156">
        <v>43374</v>
      </c>
      <c r="AH35" s="156">
        <v>44356</v>
      </c>
      <c r="AI35" s="148" t="s">
        <v>822</v>
      </c>
      <c r="AJ35" s="148" t="s">
        <v>823</v>
      </c>
      <c r="AK35" s="148" t="s">
        <v>942</v>
      </c>
      <c r="AL35" s="148">
        <v>9.9696338000000004</v>
      </c>
      <c r="AM35" s="148">
        <f>'Cálculo PU'!Q90</f>
        <v>16.4589</v>
      </c>
      <c r="AN35" s="168">
        <f t="shared" ref="AN35:AN66" si="13">AL35-AM35</f>
        <v>-6.4892661999999994</v>
      </c>
      <c r="AP35" s="147">
        <v>4292</v>
      </c>
      <c r="AQ35" s="156">
        <v>43374</v>
      </c>
      <c r="AR35" s="156">
        <v>44356</v>
      </c>
      <c r="AS35" s="148" t="s">
        <v>822</v>
      </c>
      <c r="AT35" s="148" t="s">
        <v>823</v>
      </c>
      <c r="AU35" s="148" t="s">
        <v>943</v>
      </c>
      <c r="AV35" s="148">
        <v>677</v>
      </c>
      <c r="AW35" s="152">
        <f>'Cálculo PU'!L90</f>
        <v>1369</v>
      </c>
      <c r="AX35" s="168">
        <f t="shared" ref="AX35:AX66" si="14">AV35-AW35</f>
        <v>-692</v>
      </c>
      <c r="AZ35" s="147">
        <v>4281</v>
      </c>
      <c r="BA35" s="156">
        <v>43374</v>
      </c>
      <c r="BB35" s="156">
        <v>44356</v>
      </c>
      <c r="BC35" s="148" t="s">
        <v>822</v>
      </c>
      <c r="BD35" s="148" t="s">
        <v>823</v>
      </c>
      <c r="BE35" s="148" t="s">
        <v>945</v>
      </c>
      <c r="BF35" s="148">
        <v>1.0020598362699999</v>
      </c>
      <c r="BG35" s="148">
        <f>'Cálculo PU'!N90</f>
        <v>1.0020598362698427</v>
      </c>
      <c r="BH35" s="168">
        <f t="shared" ref="BH35:BH66" si="15">BF35-BG35</f>
        <v>1.5720758028692217E-13</v>
      </c>
      <c r="BJ35" s="147">
        <v>4306</v>
      </c>
      <c r="BK35" s="156">
        <v>43374</v>
      </c>
      <c r="BL35" s="156">
        <v>44356</v>
      </c>
      <c r="BM35" s="148" t="s">
        <v>822</v>
      </c>
      <c r="BN35" s="148" t="s">
        <v>823</v>
      </c>
      <c r="BO35" s="148" t="s">
        <v>827</v>
      </c>
      <c r="BP35" s="148">
        <v>1.0685942977180001</v>
      </c>
      <c r="BQ35" s="148">
        <f>'Cálculo PU'!O90</f>
        <v>1.1435735417645871</v>
      </c>
      <c r="BR35" s="168">
        <f t="shared" ref="BR35:BR66" si="16">BP35-BQ35</f>
        <v>-7.4979244046587068E-2</v>
      </c>
      <c r="BT35" s="147">
        <v>4280</v>
      </c>
      <c r="BU35" s="156">
        <v>43374</v>
      </c>
      <c r="BV35" s="156">
        <v>44356</v>
      </c>
      <c r="BW35" s="148" t="s">
        <v>822</v>
      </c>
      <c r="BX35" s="148" t="s">
        <v>823</v>
      </c>
      <c r="BY35" s="148" t="s">
        <v>946</v>
      </c>
      <c r="BZ35" s="148">
        <v>1.0097224300000001</v>
      </c>
      <c r="CA35" s="148">
        <f>'Cálculo PU'!S90</f>
        <v>1.012605</v>
      </c>
      <c r="CB35" s="168">
        <f t="shared" ref="CB35:CB66" si="17">BZ35-CA35</f>
        <v>-2.8825699999999177E-3</v>
      </c>
      <c r="CD35">
        <v>4241</v>
      </c>
      <c r="CE35" s="215">
        <v>44326</v>
      </c>
      <c r="CF35" s="215">
        <v>44356</v>
      </c>
      <c r="CG35" t="s">
        <v>822</v>
      </c>
      <c r="CH35" t="s">
        <v>823</v>
      </c>
      <c r="CI35" t="s">
        <v>1713</v>
      </c>
      <c r="CJ35">
        <v>1.0020598362698401</v>
      </c>
      <c r="CK35">
        <f t="shared" si="8"/>
        <v>1.0020598362698427</v>
      </c>
      <c r="CL35" s="246">
        <f t="shared" si="9"/>
        <v>44326</v>
      </c>
      <c r="CM35" s="246">
        <f>'Cálculo PU'!G89</f>
        <v>44326</v>
      </c>
      <c r="CN35" s="215">
        <f t="shared" si="10"/>
        <v>44356</v>
      </c>
      <c r="CO35" s="215">
        <f>'Cálculo PU'!G90</f>
        <v>44356</v>
      </c>
      <c r="CQ35">
        <v>3809</v>
      </c>
      <c r="CR35" s="215">
        <v>43839</v>
      </c>
      <c r="CS35" s="215">
        <v>43871</v>
      </c>
      <c r="CT35" t="s">
        <v>822</v>
      </c>
      <c r="CU35" t="s">
        <v>823</v>
      </c>
      <c r="CV35" t="s">
        <v>1714</v>
      </c>
      <c r="CW35">
        <v>2.5</v>
      </c>
    </row>
    <row r="36" spans="2:101">
      <c r="B36" s="147">
        <v>4346</v>
      </c>
      <c r="C36" s="156">
        <v>43374</v>
      </c>
      <c r="D36" s="156">
        <v>44385</v>
      </c>
      <c r="E36" s="148" t="s">
        <v>822</v>
      </c>
      <c r="F36" s="148" t="s">
        <v>823</v>
      </c>
      <c r="G36" s="148" t="s">
        <v>825</v>
      </c>
      <c r="H36" s="148">
        <v>68.138986868669406</v>
      </c>
      <c r="I36" s="148">
        <f>'Cálculo PU'!V91</f>
        <v>35.922557655873078</v>
      </c>
      <c r="J36" s="168">
        <f t="shared" si="7"/>
        <v>32.216429212796328</v>
      </c>
      <c r="L36" s="147">
        <v>4332</v>
      </c>
      <c r="M36" s="156">
        <v>43374</v>
      </c>
      <c r="N36" s="156">
        <v>44385</v>
      </c>
      <c r="O36" s="148" t="s">
        <v>822</v>
      </c>
      <c r="P36" s="148" t="s">
        <v>823</v>
      </c>
      <c r="Q36" s="148" t="s">
        <v>824</v>
      </c>
      <c r="R36" s="148">
        <v>72.962931710196798</v>
      </c>
      <c r="S36" s="148">
        <f>'Cálculo PU'!U91</f>
        <v>41.164713862810956</v>
      </c>
      <c r="T36" s="168">
        <f t="shared" si="11"/>
        <v>31.798217847385843</v>
      </c>
      <c r="V36" s="147">
        <v>4318</v>
      </c>
      <c r="W36" s="156">
        <v>43374</v>
      </c>
      <c r="X36" s="156">
        <v>44385</v>
      </c>
      <c r="Y36" s="148" t="s">
        <v>822</v>
      </c>
      <c r="Z36" s="148" t="s">
        <v>823</v>
      </c>
      <c r="AA36" s="148" t="s">
        <v>830</v>
      </c>
      <c r="AB36" s="148">
        <v>95.112712567309998</v>
      </c>
      <c r="AC36" s="148">
        <f>'Cálculo PU'!T91</f>
        <v>95.377746184841769</v>
      </c>
      <c r="AD36" s="168">
        <f t="shared" si="12"/>
        <v>-0.26503361753177046</v>
      </c>
      <c r="AF36" s="147">
        <v>4330</v>
      </c>
      <c r="AG36" s="156">
        <v>43374</v>
      </c>
      <c r="AH36" s="156">
        <v>44385</v>
      </c>
      <c r="AI36" s="148" t="s">
        <v>822</v>
      </c>
      <c r="AJ36" s="148" t="s">
        <v>823</v>
      </c>
      <c r="AK36" s="148" t="s">
        <v>942</v>
      </c>
      <c r="AL36" s="148">
        <v>10.04437046</v>
      </c>
      <c r="AM36" s="148">
        <f>'Cálculo PU'!Q91</f>
        <v>16.455100000000002</v>
      </c>
      <c r="AN36" s="168">
        <f t="shared" si="13"/>
        <v>-6.4107295400000019</v>
      </c>
      <c r="AP36" s="147">
        <v>4331</v>
      </c>
      <c r="AQ36" s="156">
        <v>43374</v>
      </c>
      <c r="AR36" s="156">
        <v>44385</v>
      </c>
      <c r="AS36" s="148" t="s">
        <v>822</v>
      </c>
      <c r="AT36" s="148" t="s">
        <v>823</v>
      </c>
      <c r="AU36" s="148" t="s">
        <v>943</v>
      </c>
      <c r="AV36" s="148">
        <v>698</v>
      </c>
      <c r="AW36" s="152">
        <f>'Cálculo PU'!L91</f>
        <v>1390</v>
      </c>
      <c r="AX36" s="168">
        <f t="shared" si="14"/>
        <v>-692</v>
      </c>
      <c r="AZ36" s="147">
        <v>4320</v>
      </c>
      <c r="BA36" s="156">
        <v>43374</v>
      </c>
      <c r="BB36" s="156">
        <v>44385</v>
      </c>
      <c r="BC36" s="148" t="s">
        <v>822</v>
      </c>
      <c r="BD36" s="148" t="s">
        <v>823</v>
      </c>
      <c r="BE36" s="148" t="s">
        <v>945</v>
      </c>
      <c r="BF36" s="148">
        <v>1.0020598362699999</v>
      </c>
      <c r="BG36" s="148">
        <f>'Cálculo PU'!N91</f>
        <v>1.0020598362698427</v>
      </c>
      <c r="BH36" s="168">
        <f t="shared" si="15"/>
        <v>1.5720758028692217E-13</v>
      </c>
      <c r="BJ36" s="147">
        <v>4345</v>
      </c>
      <c r="BK36" s="156">
        <v>43374</v>
      </c>
      <c r="BL36" s="156">
        <v>44385</v>
      </c>
      <c r="BM36" s="148" t="s">
        <v>822</v>
      </c>
      <c r="BN36" s="148" t="s">
        <v>823</v>
      </c>
      <c r="BO36" s="148" t="s">
        <v>827</v>
      </c>
      <c r="BP36" s="148">
        <v>1.0707956643209999</v>
      </c>
      <c r="BQ36" s="148">
        <f>'Cálculo PU'!O91</f>
        <v>1.1459293699840669</v>
      </c>
      <c r="BR36" s="168">
        <f t="shared" si="16"/>
        <v>-7.5133705663066985E-2</v>
      </c>
      <c r="BT36" s="147">
        <v>4319</v>
      </c>
      <c r="BU36" s="156">
        <v>43374</v>
      </c>
      <c r="BV36" s="156">
        <v>44385</v>
      </c>
      <c r="BW36" s="148" t="s">
        <v>822</v>
      </c>
      <c r="BX36" s="148" t="s">
        <v>823</v>
      </c>
      <c r="BY36" s="148" t="s">
        <v>946</v>
      </c>
      <c r="BZ36" s="148">
        <v>1.0097930100000001</v>
      </c>
      <c r="CA36" s="148">
        <f>'Cálculo PU'!S91</f>
        <v>1.01260682</v>
      </c>
      <c r="CB36" s="168">
        <f t="shared" si="17"/>
        <v>-2.8138099999999167E-3</v>
      </c>
      <c r="CD36">
        <v>4279</v>
      </c>
      <c r="CE36" s="215">
        <v>44356</v>
      </c>
      <c r="CF36" s="215">
        <v>44385</v>
      </c>
      <c r="CG36" t="s">
        <v>822</v>
      </c>
      <c r="CH36" t="s">
        <v>823</v>
      </c>
      <c r="CI36" t="s">
        <v>1713</v>
      </c>
      <c r="CJ36">
        <v>1.0020598362698401</v>
      </c>
      <c r="CK36">
        <f t="shared" si="8"/>
        <v>1.0020598362698427</v>
      </c>
      <c r="CL36" s="246">
        <f t="shared" si="9"/>
        <v>44356</v>
      </c>
      <c r="CM36" s="246">
        <f>'Cálculo PU'!G90</f>
        <v>44356</v>
      </c>
      <c r="CN36" s="215">
        <f t="shared" si="10"/>
        <v>44385</v>
      </c>
      <c r="CO36" s="215">
        <f>'Cálculo PU'!G91</f>
        <v>44385</v>
      </c>
      <c r="CQ36">
        <v>3811</v>
      </c>
      <c r="CR36" s="215">
        <v>43839</v>
      </c>
      <c r="CS36" s="215">
        <v>43871</v>
      </c>
      <c r="CT36" t="s">
        <v>822</v>
      </c>
      <c r="CU36" t="s">
        <v>823</v>
      </c>
      <c r="CV36" t="s">
        <v>1714</v>
      </c>
      <c r="CW36">
        <v>2.5</v>
      </c>
    </row>
    <row r="37" spans="2:101">
      <c r="B37" s="147">
        <v>4385</v>
      </c>
      <c r="C37" s="156">
        <v>43374</v>
      </c>
      <c r="D37" s="156">
        <v>44417</v>
      </c>
      <c r="E37" s="148" t="s">
        <v>822</v>
      </c>
      <c r="F37" s="148" t="s">
        <v>823</v>
      </c>
      <c r="G37" s="148" t="s">
        <v>825</v>
      </c>
      <c r="H37" s="148">
        <v>69.483717894818199</v>
      </c>
      <c r="I37" s="148">
        <f>'Cálculo PU'!V92</f>
        <v>36.53022560344607</v>
      </c>
      <c r="J37" s="168">
        <f t="shared" si="7"/>
        <v>32.953492291372129</v>
      </c>
      <c r="L37" s="147">
        <v>4371</v>
      </c>
      <c r="M37" s="156">
        <v>43374</v>
      </c>
      <c r="N37" s="156">
        <v>44417</v>
      </c>
      <c r="O37" s="148" t="s">
        <v>822</v>
      </c>
      <c r="P37" s="148" t="s">
        <v>823</v>
      </c>
      <c r="Q37" s="148" t="s">
        <v>824</v>
      </c>
      <c r="R37" s="148">
        <v>74.563444747553405</v>
      </c>
      <c r="S37" s="148">
        <f>'Cálculo PU'!U92</f>
        <v>41.951405549027292</v>
      </c>
      <c r="T37" s="168">
        <f t="shared" si="11"/>
        <v>32.612039198526112</v>
      </c>
      <c r="V37" s="147">
        <v>4357</v>
      </c>
      <c r="W37" s="156">
        <v>43374</v>
      </c>
      <c r="X37" s="156">
        <v>44417</v>
      </c>
      <c r="Y37" s="148" t="s">
        <v>822</v>
      </c>
      <c r="Z37" s="148" t="s">
        <v>823</v>
      </c>
      <c r="AA37" s="148" t="s">
        <v>830</v>
      </c>
      <c r="AB37" s="148">
        <v>98.219544377113394</v>
      </c>
      <c r="AC37" s="148">
        <f>'Cálculo PU'!T92</f>
        <v>98.483802483641455</v>
      </c>
      <c r="AD37" s="168">
        <f t="shared" si="12"/>
        <v>-0.26425810652806092</v>
      </c>
      <c r="AF37" s="147">
        <v>4369</v>
      </c>
      <c r="AG37" s="156">
        <v>43374</v>
      </c>
      <c r="AH37" s="156">
        <v>44417</v>
      </c>
      <c r="AI37" s="148" t="s">
        <v>822</v>
      </c>
      <c r="AJ37" s="148" t="s">
        <v>823</v>
      </c>
      <c r="AK37" s="148" t="s">
        <v>942</v>
      </c>
      <c r="AL37" s="148">
        <v>10.124812759999999</v>
      </c>
      <c r="AM37" s="148">
        <f>'Cálculo PU'!Q92</f>
        <v>16.4513</v>
      </c>
      <c r="AN37" s="168">
        <f t="shared" si="13"/>
        <v>-6.3264872400000005</v>
      </c>
      <c r="AP37" s="147">
        <v>4370</v>
      </c>
      <c r="AQ37" s="156">
        <v>43374</v>
      </c>
      <c r="AR37" s="156">
        <v>44417</v>
      </c>
      <c r="AS37" s="148" t="s">
        <v>822</v>
      </c>
      <c r="AT37" s="148" t="s">
        <v>823</v>
      </c>
      <c r="AU37" s="148" t="s">
        <v>943</v>
      </c>
      <c r="AV37" s="148">
        <v>720</v>
      </c>
      <c r="AW37" s="152">
        <f>'Cálculo PU'!L92</f>
        <v>1412</v>
      </c>
      <c r="AX37" s="168">
        <f t="shared" si="14"/>
        <v>-692</v>
      </c>
      <c r="AZ37" s="147">
        <v>4359</v>
      </c>
      <c r="BA37" s="156">
        <v>43374</v>
      </c>
      <c r="BB37" s="156">
        <v>44417</v>
      </c>
      <c r="BC37" s="148" t="s">
        <v>822</v>
      </c>
      <c r="BD37" s="148" t="s">
        <v>823</v>
      </c>
      <c r="BE37" s="148" t="s">
        <v>945</v>
      </c>
      <c r="BF37" s="148">
        <v>1.0021580294750001</v>
      </c>
      <c r="BG37" s="148">
        <f>'Cálculo PU'!N92</f>
        <v>1.0021580294747356</v>
      </c>
      <c r="BH37" s="168">
        <f t="shared" si="15"/>
        <v>2.6445512446571229E-13</v>
      </c>
      <c r="BJ37" s="147">
        <v>4384</v>
      </c>
      <c r="BK37" s="156">
        <v>43374</v>
      </c>
      <c r="BL37" s="156">
        <v>44417</v>
      </c>
      <c r="BM37" s="148" t="s">
        <v>822</v>
      </c>
      <c r="BN37" s="148" t="s">
        <v>823</v>
      </c>
      <c r="BO37" s="148" t="s">
        <v>827</v>
      </c>
      <c r="BP37" s="148">
        <v>1.073106722073</v>
      </c>
      <c r="BQ37" s="148">
        <f>'Cálculo PU'!O92</f>
        <v>1.1484025859689686</v>
      </c>
      <c r="BR37" s="168">
        <f t="shared" si="16"/>
        <v>-7.5295863895968651E-2</v>
      </c>
      <c r="BT37" s="147">
        <v>4358</v>
      </c>
      <c r="BU37" s="156">
        <v>43374</v>
      </c>
      <c r="BV37" s="156">
        <v>44417</v>
      </c>
      <c r="BW37" s="148" t="s">
        <v>822</v>
      </c>
      <c r="BX37" s="148" t="s">
        <v>823</v>
      </c>
      <c r="BY37" s="148" t="s">
        <v>946</v>
      </c>
      <c r="BZ37" s="148">
        <v>1.01049846</v>
      </c>
      <c r="CA37" s="148">
        <f>'Cálculo PU'!S92</f>
        <v>1.01321719</v>
      </c>
      <c r="CB37" s="168">
        <f t="shared" si="17"/>
        <v>-2.7187300000000025E-3</v>
      </c>
      <c r="CD37">
        <v>4317</v>
      </c>
      <c r="CE37" s="215">
        <v>44385</v>
      </c>
      <c r="CF37" s="215">
        <v>44417</v>
      </c>
      <c r="CG37" t="s">
        <v>822</v>
      </c>
      <c r="CH37" t="s">
        <v>823</v>
      </c>
      <c r="CI37" t="s">
        <v>1713</v>
      </c>
      <c r="CJ37">
        <v>1.0021580294747401</v>
      </c>
      <c r="CK37">
        <f t="shared" si="8"/>
        <v>1.0021580294747356</v>
      </c>
      <c r="CL37" s="246">
        <f t="shared" si="9"/>
        <v>44385</v>
      </c>
      <c r="CM37" s="246">
        <f>'Cálculo PU'!G91</f>
        <v>44385</v>
      </c>
      <c r="CN37" s="215">
        <f t="shared" si="10"/>
        <v>44417</v>
      </c>
      <c r="CO37" s="215">
        <f>'Cálculo PU'!G92</f>
        <v>44417</v>
      </c>
      <c r="CQ37">
        <v>3849</v>
      </c>
      <c r="CR37" s="215">
        <v>43871</v>
      </c>
      <c r="CS37" s="215">
        <v>43899</v>
      </c>
      <c r="CT37" t="s">
        <v>822</v>
      </c>
      <c r="CU37" t="s">
        <v>823</v>
      </c>
      <c r="CV37" t="s">
        <v>1714</v>
      </c>
      <c r="CW37">
        <v>2.5</v>
      </c>
    </row>
    <row r="38" spans="2:101">
      <c r="B38" s="147">
        <v>4424</v>
      </c>
      <c r="C38" s="156">
        <v>43374</v>
      </c>
      <c r="D38" s="156">
        <v>44448</v>
      </c>
      <c r="E38" s="148" t="s">
        <v>822</v>
      </c>
      <c r="F38" s="148" t="s">
        <v>823</v>
      </c>
      <c r="G38" s="148" t="s">
        <v>825</v>
      </c>
      <c r="H38" s="148">
        <v>67.587344690198293</v>
      </c>
      <c r="I38" s="148">
        <f>'Cálculo PU'!V93</f>
        <v>35.438421352922568</v>
      </c>
      <c r="J38" s="168">
        <f t="shared" si="7"/>
        <v>32.148923337275725</v>
      </c>
      <c r="L38" s="147">
        <v>4410</v>
      </c>
      <c r="M38" s="156">
        <v>43374</v>
      </c>
      <c r="N38" s="156">
        <v>44448</v>
      </c>
      <c r="O38" s="148" t="s">
        <v>822</v>
      </c>
      <c r="P38" s="148" t="s">
        <v>823</v>
      </c>
      <c r="Q38" s="148" t="s">
        <v>824</v>
      </c>
      <c r="R38" s="148">
        <v>72.684969287753802</v>
      </c>
      <c r="S38" s="148">
        <f>'Cálculo PU'!U93</f>
        <v>40.785410759446307</v>
      </c>
      <c r="T38" s="168">
        <f t="shared" si="11"/>
        <v>31.899558528307494</v>
      </c>
      <c r="V38" s="147">
        <v>4396</v>
      </c>
      <c r="W38" s="156">
        <v>43374</v>
      </c>
      <c r="X38" s="156">
        <v>44448</v>
      </c>
      <c r="Y38" s="148" t="s">
        <v>822</v>
      </c>
      <c r="Z38" s="148" t="s">
        <v>823</v>
      </c>
      <c r="AA38" s="148" t="s">
        <v>830</v>
      </c>
      <c r="AB38" s="148">
        <v>96.750278213101495</v>
      </c>
      <c r="AC38" s="148">
        <f>'Cálculo PU'!T93</f>
        <v>97.010583282614874</v>
      </c>
      <c r="AD38" s="168">
        <f t="shared" si="12"/>
        <v>-0.26030506951337884</v>
      </c>
      <c r="AF38" s="147">
        <v>4408</v>
      </c>
      <c r="AG38" s="156">
        <v>43374</v>
      </c>
      <c r="AH38" s="156">
        <v>44448</v>
      </c>
      <c r="AI38" s="148" t="s">
        <v>822</v>
      </c>
      <c r="AJ38" s="148" t="s">
        <v>823</v>
      </c>
      <c r="AK38" s="148" t="s">
        <v>942</v>
      </c>
      <c r="AL38" s="148">
        <v>10.20053858</v>
      </c>
      <c r="AM38" s="148">
        <f>'Cálculo PU'!Q93</f>
        <v>16.447600000000001</v>
      </c>
      <c r="AN38" s="168">
        <f t="shared" si="13"/>
        <v>-6.2470614200000014</v>
      </c>
      <c r="AP38" s="147">
        <v>4409</v>
      </c>
      <c r="AQ38" s="156">
        <v>43374</v>
      </c>
      <c r="AR38" s="156">
        <v>44448</v>
      </c>
      <c r="AS38" s="148" t="s">
        <v>822</v>
      </c>
      <c r="AT38" s="148" t="s">
        <v>823</v>
      </c>
      <c r="AU38" s="148" t="s">
        <v>943</v>
      </c>
      <c r="AV38" s="148">
        <v>742</v>
      </c>
      <c r="AW38" s="152">
        <f>'Cálculo PU'!L93</f>
        <v>1434</v>
      </c>
      <c r="AX38" s="168">
        <f t="shared" si="14"/>
        <v>-692</v>
      </c>
      <c r="AZ38" s="147">
        <v>4398</v>
      </c>
      <c r="BA38" s="156">
        <v>43374</v>
      </c>
      <c r="BB38" s="156">
        <v>44448</v>
      </c>
      <c r="BC38" s="148" t="s">
        <v>822</v>
      </c>
      <c r="BD38" s="148" t="s">
        <v>823</v>
      </c>
      <c r="BE38" s="148" t="s">
        <v>945</v>
      </c>
      <c r="BF38" s="148">
        <v>1.0021580294750001</v>
      </c>
      <c r="BG38" s="148">
        <f>'Cálculo PU'!N93</f>
        <v>1.0021580294747356</v>
      </c>
      <c r="BH38" s="168">
        <f t="shared" si="15"/>
        <v>2.6445512446571229E-13</v>
      </c>
      <c r="BJ38" s="147">
        <v>4423</v>
      </c>
      <c r="BK38" s="156">
        <v>43374</v>
      </c>
      <c r="BL38" s="156">
        <v>44448</v>
      </c>
      <c r="BM38" s="148" t="s">
        <v>822</v>
      </c>
      <c r="BN38" s="148" t="s">
        <v>823</v>
      </c>
      <c r="BO38" s="148" t="s">
        <v>827</v>
      </c>
      <c r="BP38" s="148">
        <v>1.0754227676929999</v>
      </c>
      <c r="BQ38" s="148">
        <f>'Cálculo PU'!O93</f>
        <v>1.1508811398023173</v>
      </c>
      <c r="BR38" s="168">
        <f t="shared" si="16"/>
        <v>-7.5458372109317384E-2</v>
      </c>
      <c r="BT38" s="147">
        <v>4397</v>
      </c>
      <c r="BU38" s="156">
        <v>43374</v>
      </c>
      <c r="BV38" s="156">
        <v>44448</v>
      </c>
      <c r="BW38" s="148" t="s">
        <v>822</v>
      </c>
      <c r="BX38" s="148" t="s">
        <v>823</v>
      </c>
      <c r="BY38" s="148" t="s">
        <v>946</v>
      </c>
      <c r="BZ38" s="148">
        <v>1.01049846</v>
      </c>
      <c r="CA38" s="148">
        <f>'Cálculo PU'!S93</f>
        <v>1.01321719</v>
      </c>
      <c r="CB38" s="168">
        <f t="shared" si="17"/>
        <v>-2.7187300000000025E-3</v>
      </c>
      <c r="CD38">
        <v>4355</v>
      </c>
      <c r="CE38" s="215">
        <v>44417</v>
      </c>
      <c r="CF38" s="215">
        <v>44448</v>
      </c>
      <c r="CG38" t="s">
        <v>822</v>
      </c>
      <c r="CH38" t="s">
        <v>823</v>
      </c>
      <c r="CI38" t="s">
        <v>1713</v>
      </c>
      <c r="CJ38">
        <v>1.0021580294747401</v>
      </c>
      <c r="CK38">
        <f t="shared" si="8"/>
        <v>1.0021580294747356</v>
      </c>
      <c r="CL38" s="246">
        <f t="shared" si="9"/>
        <v>44417</v>
      </c>
      <c r="CM38" s="246">
        <f>'Cálculo PU'!G92</f>
        <v>44417</v>
      </c>
      <c r="CN38" s="215">
        <f t="shared" si="10"/>
        <v>44448</v>
      </c>
      <c r="CO38" s="215">
        <f>'Cálculo PU'!G93</f>
        <v>44448</v>
      </c>
      <c r="CQ38">
        <v>3851</v>
      </c>
      <c r="CR38" s="215">
        <v>43871</v>
      </c>
      <c r="CS38" s="215">
        <v>43899</v>
      </c>
      <c r="CT38" t="s">
        <v>822</v>
      </c>
      <c r="CU38" t="s">
        <v>823</v>
      </c>
      <c r="CV38" t="s">
        <v>1714</v>
      </c>
      <c r="CW38">
        <v>2.5</v>
      </c>
    </row>
    <row r="39" spans="2:101">
      <c r="B39" s="147">
        <v>4463</v>
      </c>
      <c r="C39" s="156">
        <v>43374</v>
      </c>
      <c r="D39" s="156">
        <v>44480</v>
      </c>
      <c r="E39" s="148" t="s">
        <v>822</v>
      </c>
      <c r="F39" s="148" t="s">
        <v>823</v>
      </c>
      <c r="G39" s="148" t="s">
        <v>825</v>
      </c>
      <c r="H39" s="148">
        <v>65.776715412353994</v>
      </c>
      <c r="I39" s="148">
        <f>'Cálculo PU'!V94</f>
        <v>32.836515137405925</v>
      </c>
      <c r="J39" s="168">
        <f t="shared" si="7"/>
        <v>32.940200274948069</v>
      </c>
      <c r="L39" s="147">
        <v>4449</v>
      </c>
      <c r="M39" s="156">
        <v>43374</v>
      </c>
      <c r="N39" s="156">
        <v>44480</v>
      </c>
      <c r="O39" s="148" t="s">
        <v>822</v>
      </c>
      <c r="P39" s="148" t="s">
        <v>823</v>
      </c>
      <c r="Q39" s="148" t="s">
        <v>824</v>
      </c>
      <c r="R39" s="148">
        <v>70.883501287153706</v>
      </c>
      <c r="S39" s="148">
        <f>'Cálculo PU'!U94</f>
        <v>37.868777480934817</v>
      </c>
      <c r="T39" s="168">
        <f t="shared" si="11"/>
        <v>33.014723806218889</v>
      </c>
      <c r="V39" s="147">
        <v>4435</v>
      </c>
      <c r="W39" s="156">
        <v>43374</v>
      </c>
      <c r="X39" s="156">
        <v>44480</v>
      </c>
      <c r="Y39" s="148" t="s">
        <v>822</v>
      </c>
      <c r="Z39" s="148" t="s">
        <v>823</v>
      </c>
      <c r="AA39" s="148" t="s">
        <v>830</v>
      </c>
      <c r="AB39" s="148">
        <v>95.302320310864999</v>
      </c>
      <c r="AC39" s="148">
        <f>'Cálculo PU'!T94</f>
        <v>91.207156594140841</v>
      </c>
      <c r="AD39" s="168">
        <f t="shared" si="12"/>
        <v>4.0951637167241586</v>
      </c>
      <c r="AF39" s="147">
        <v>4447</v>
      </c>
      <c r="AG39" s="156">
        <v>43374</v>
      </c>
      <c r="AH39" s="156">
        <v>44480</v>
      </c>
      <c r="AI39" s="148" t="s">
        <v>822</v>
      </c>
      <c r="AJ39" s="148" t="s">
        <v>823</v>
      </c>
      <c r="AK39" s="148" t="s">
        <v>942</v>
      </c>
      <c r="AL39" s="148">
        <v>10.270571739999999</v>
      </c>
      <c r="AM39" s="148">
        <f>'Cálculo PU'!Q94</f>
        <v>16.443999999999999</v>
      </c>
      <c r="AN39" s="168">
        <f t="shared" si="13"/>
        <v>-6.1734282599999997</v>
      </c>
      <c r="AP39" s="147">
        <v>4448</v>
      </c>
      <c r="AQ39" s="156">
        <v>43374</v>
      </c>
      <c r="AR39" s="156">
        <v>44480</v>
      </c>
      <c r="AS39" s="148" t="s">
        <v>822</v>
      </c>
      <c r="AT39" s="148" t="s">
        <v>823</v>
      </c>
      <c r="AU39" s="148" t="s">
        <v>943</v>
      </c>
      <c r="AV39" s="148">
        <v>763</v>
      </c>
      <c r="AW39" s="152">
        <f>'Cálculo PU'!L94</f>
        <v>1455</v>
      </c>
      <c r="AX39" s="168">
        <f t="shared" si="14"/>
        <v>-692</v>
      </c>
      <c r="AZ39" s="147">
        <v>4437</v>
      </c>
      <c r="BA39" s="156">
        <v>43374</v>
      </c>
      <c r="BB39" s="156">
        <v>44480</v>
      </c>
      <c r="BC39" s="148" t="s">
        <v>822</v>
      </c>
      <c r="BD39" s="148" t="s">
        <v>823</v>
      </c>
      <c r="BE39" s="148" t="s">
        <v>945</v>
      </c>
      <c r="BF39" s="148">
        <v>1.0021580294750001</v>
      </c>
      <c r="BG39" s="148">
        <f>'Cálculo PU'!N94</f>
        <v>1.0020598362698427</v>
      </c>
      <c r="BH39" s="168">
        <f t="shared" si="15"/>
        <v>9.8193205157359742E-5</v>
      </c>
      <c r="BJ39" s="147">
        <v>4462</v>
      </c>
      <c r="BK39" s="156">
        <v>43374</v>
      </c>
      <c r="BL39" s="156">
        <v>44480</v>
      </c>
      <c r="BM39" s="148" t="s">
        <v>822</v>
      </c>
      <c r="BN39" s="148" t="s">
        <v>823</v>
      </c>
      <c r="BO39" s="148" t="s">
        <v>827</v>
      </c>
      <c r="BP39" s="148">
        <v>1.0776382013420001</v>
      </c>
      <c r="BQ39" s="148">
        <f>'Cálculo PU'!O94</f>
        <v>1.153252022100127</v>
      </c>
      <c r="BR39" s="168">
        <f t="shared" si="16"/>
        <v>-7.5613820758126948E-2</v>
      </c>
      <c r="BT39" s="147">
        <v>4436</v>
      </c>
      <c r="BU39" s="156">
        <v>43374</v>
      </c>
      <c r="BV39" s="156">
        <v>44480</v>
      </c>
      <c r="BW39" s="148" t="s">
        <v>822</v>
      </c>
      <c r="BX39" s="148" t="s">
        <v>823</v>
      </c>
      <c r="BY39" s="148" t="s">
        <v>946</v>
      </c>
      <c r="BZ39" s="148">
        <v>1.0105313600000001</v>
      </c>
      <c r="CA39" s="148">
        <f>'Cálculo PU'!S94</f>
        <v>1.0132110299999999</v>
      </c>
      <c r="CB39" s="168">
        <f t="shared" si="17"/>
        <v>-2.6796699999998008E-3</v>
      </c>
      <c r="CD39">
        <v>4393</v>
      </c>
      <c r="CE39" s="215">
        <v>44448</v>
      </c>
      <c r="CF39" s="215">
        <v>44480</v>
      </c>
      <c r="CG39" t="s">
        <v>822</v>
      </c>
      <c r="CH39" t="s">
        <v>823</v>
      </c>
      <c r="CI39" t="s">
        <v>1713</v>
      </c>
      <c r="CJ39">
        <v>1.0021580294747401</v>
      </c>
      <c r="CK39">
        <f t="shared" si="8"/>
        <v>1.0020598362698427</v>
      </c>
      <c r="CL39" s="246">
        <f t="shared" si="9"/>
        <v>44448</v>
      </c>
      <c r="CM39" s="246">
        <f>'Cálculo PU'!G93</f>
        <v>44448</v>
      </c>
      <c r="CN39" s="215">
        <f t="shared" si="10"/>
        <v>44480</v>
      </c>
      <c r="CO39" s="215">
        <f>'Cálculo PU'!G94</f>
        <v>44480</v>
      </c>
      <c r="CQ39">
        <v>3889</v>
      </c>
      <c r="CR39" s="215">
        <v>43899</v>
      </c>
      <c r="CS39" s="215">
        <v>43930</v>
      </c>
      <c r="CT39" t="s">
        <v>822</v>
      </c>
      <c r="CU39" t="s">
        <v>823</v>
      </c>
      <c r="CV39" t="s">
        <v>1714</v>
      </c>
      <c r="CW39">
        <v>2.5</v>
      </c>
    </row>
    <row r="40" spans="2:101">
      <c r="B40" s="147">
        <v>4502</v>
      </c>
      <c r="C40" s="156">
        <v>43374</v>
      </c>
      <c r="D40" s="156">
        <v>44510</v>
      </c>
      <c r="E40" s="148" t="s">
        <v>822</v>
      </c>
      <c r="F40" s="148" t="s">
        <v>823</v>
      </c>
      <c r="G40" s="148" t="s">
        <v>825</v>
      </c>
      <c r="H40" s="148">
        <v>58.1572445209069</v>
      </c>
      <c r="I40" s="148">
        <f>'Cálculo PU'!V95</f>
        <v>30.336801084993134</v>
      </c>
      <c r="J40" s="168">
        <f t="shared" si="7"/>
        <v>27.820443435913766</v>
      </c>
      <c r="L40" s="147">
        <v>4488</v>
      </c>
      <c r="M40" s="156">
        <v>43374</v>
      </c>
      <c r="N40" s="156">
        <v>44510</v>
      </c>
      <c r="O40" s="148" t="s">
        <v>822</v>
      </c>
      <c r="P40" s="148" t="s">
        <v>823</v>
      </c>
      <c r="Q40" s="148" t="s">
        <v>824</v>
      </c>
      <c r="R40" s="148">
        <v>62.795423250478301</v>
      </c>
      <c r="S40" s="148">
        <f>'Cálculo PU'!U95</f>
        <v>35.05461493032076</v>
      </c>
      <c r="T40" s="168">
        <f t="shared" si="11"/>
        <v>27.740808320157541</v>
      </c>
      <c r="V40" s="147">
        <v>4474</v>
      </c>
      <c r="W40" s="156">
        <v>43374</v>
      </c>
      <c r="X40" s="156">
        <v>44510</v>
      </c>
      <c r="Y40" s="148" t="s">
        <v>822</v>
      </c>
      <c r="Z40" s="148" t="s">
        <v>823</v>
      </c>
      <c r="AA40" s="148" t="s">
        <v>830</v>
      </c>
      <c r="AB40" s="148">
        <v>85.242614629794303</v>
      </c>
      <c r="AC40" s="148">
        <f>'Cálculo PU'!T95</f>
        <v>85.440077285290656</v>
      </c>
      <c r="AD40" s="168">
        <f t="shared" si="12"/>
        <v>-0.19746265549635211</v>
      </c>
      <c r="AF40" s="147">
        <v>4486</v>
      </c>
      <c r="AG40" s="156">
        <v>43374</v>
      </c>
      <c r="AH40" s="156">
        <v>44510</v>
      </c>
      <c r="AI40" s="148" t="s">
        <v>822</v>
      </c>
      <c r="AJ40" s="148" t="s">
        <v>823</v>
      </c>
      <c r="AK40" s="148" t="s">
        <v>942</v>
      </c>
      <c r="AL40" s="148">
        <v>10.336017760000001</v>
      </c>
      <c r="AM40" s="148">
        <f>'Cálculo PU'!Q95</f>
        <v>16.4404</v>
      </c>
      <c r="AN40" s="168">
        <f t="shared" si="13"/>
        <v>-6.1043822399999996</v>
      </c>
      <c r="AP40" s="147">
        <v>4487</v>
      </c>
      <c r="AQ40" s="156">
        <v>43374</v>
      </c>
      <c r="AR40" s="156">
        <v>44510</v>
      </c>
      <c r="AS40" s="148" t="s">
        <v>822</v>
      </c>
      <c r="AT40" s="148" t="s">
        <v>823</v>
      </c>
      <c r="AU40" s="148" t="s">
        <v>943</v>
      </c>
      <c r="AV40" s="148">
        <v>783</v>
      </c>
      <c r="AW40" s="152">
        <f>'Cálculo PU'!L95</f>
        <v>1475</v>
      </c>
      <c r="AX40" s="168">
        <f t="shared" si="14"/>
        <v>-692</v>
      </c>
      <c r="AZ40" s="147">
        <v>4476</v>
      </c>
      <c r="BA40" s="156">
        <v>43374</v>
      </c>
      <c r="BB40" s="156">
        <v>44510</v>
      </c>
      <c r="BC40" s="148" t="s">
        <v>822</v>
      </c>
      <c r="BD40" s="148" t="s">
        <v>823</v>
      </c>
      <c r="BE40" s="148" t="s">
        <v>945</v>
      </c>
      <c r="BF40" s="148">
        <v>1.001961652686</v>
      </c>
      <c r="BG40" s="148">
        <f>'Cálculo PU'!N95</f>
        <v>1.0019616526860928</v>
      </c>
      <c r="BH40" s="168">
        <f t="shared" si="15"/>
        <v>-9.2814644858663087E-14</v>
      </c>
      <c r="BJ40" s="147">
        <v>4501</v>
      </c>
      <c r="BK40" s="156">
        <v>43374</v>
      </c>
      <c r="BL40" s="156">
        <v>44510</v>
      </c>
      <c r="BM40" s="148" t="s">
        <v>822</v>
      </c>
      <c r="BN40" s="148" t="s">
        <v>823</v>
      </c>
      <c r="BO40" s="148" t="s">
        <v>827</v>
      </c>
      <c r="BP40" s="148">
        <v>1.079752381114</v>
      </c>
      <c r="BQ40" s="148">
        <f>'Cálculo PU'!O95</f>
        <v>1.1555145459176779</v>
      </c>
      <c r="BR40" s="168">
        <f t="shared" si="16"/>
        <v>-7.5762164803677923E-2</v>
      </c>
      <c r="BT40" s="147">
        <v>4475</v>
      </c>
      <c r="BU40" s="156">
        <v>43374</v>
      </c>
      <c r="BV40" s="156">
        <v>44510</v>
      </c>
      <c r="BW40" s="148" t="s">
        <v>822</v>
      </c>
      <c r="BX40" s="148" t="s">
        <v>823</v>
      </c>
      <c r="BY40" s="148" t="s">
        <v>946</v>
      </c>
      <c r="BZ40" s="148">
        <v>1.00964908</v>
      </c>
      <c r="CA40" s="148">
        <f>'Cálculo PU'!S95</f>
        <v>1.01198791</v>
      </c>
      <c r="CB40" s="168">
        <f t="shared" si="17"/>
        <v>-2.338830000000014E-3</v>
      </c>
      <c r="CD40">
        <v>4431</v>
      </c>
      <c r="CE40" s="215">
        <v>44480</v>
      </c>
      <c r="CF40" s="215">
        <v>44510</v>
      </c>
      <c r="CG40" t="s">
        <v>822</v>
      </c>
      <c r="CH40" t="s">
        <v>823</v>
      </c>
      <c r="CI40" t="s">
        <v>1713</v>
      </c>
      <c r="CJ40">
        <v>1.0019616526860899</v>
      </c>
      <c r="CK40">
        <f t="shared" si="8"/>
        <v>1.0019616526860928</v>
      </c>
      <c r="CL40" s="246">
        <f t="shared" si="9"/>
        <v>44480</v>
      </c>
      <c r="CM40" s="246">
        <f>'Cálculo PU'!G94</f>
        <v>44480</v>
      </c>
      <c r="CN40" s="215">
        <f t="shared" si="10"/>
        <v>44510</v>
      </c>
      <c r="CO40" s="215">
        <f>'Cálculo PU'!G95</f>
        <v>44510</v>
      </c>
      <c r="CQ40">
        <v>3891</v>
      </c>
      <c r="CR40" s="215">
        <v>43899</v>
      </c>
      <c r="CS40" s="215">
        <v>43930</v>
      </c>
      <c r="CT40" t="s">
        <v>822</v>
      </c>
      <c r="CU40" t="s">
        <v>823</v>
      </c>
      <c r="CV40" t="s">
        <v>1714</v>
      </c>
      <c r="CW40">
        <v>2.5</v>
      </c>
    </row>
    <row r="41" spans="2:101">
      <c r="B41" s="147">
        <v>4541</v>
      </c>
      <c r="C41" s="156">
        <v>43374</v>
      </c>
      <c r="D41" s="156">
        <v>44538</v>
      </c>
      <c r="E41" s="148" t="s">
        <v>822</v>
      </c>
      <c r="F41" s="148" t="s">
        <v>823</v>
      </c>
      <c r="G41" s="148" t="s">
        <v>825</v>
      </c>
      <c r="H41" s="148">
        <v>53.749359333280402</v>
      </c>
      <c r="I41" s="148">
        <f>'Cálculo PU'!V96</f>
        <v>29.4434211287004</v>
      </c>
      <c r="J41" s="168">
        <f t="shared" si="7"/>
        <v>24.305938204580002</v>
      </c>
      <c r="L41" s="147">
        <v>4527</v>
      </c>
      <c r="M41" s="156">
        <v>43374</v>
      </c>
      <c r="N41" s="156">
        <v>44538</v>
      </c>
      <c r="O41" s="148" t="s">
        <v>822</v>
      </c>
      <c r="P41" s="148" t="s">
        <v>823</v>
      </c>
      <c r="Q41" s="148" t="s">
        <v>824</v>
      </c>
      <c r="R41" s="148">
        <v>58.149857469766999</v>
      </c>
      <c r="S41" s="148">
        <f>'Cálculo PU'!U96</f>
        <v>34.089048529776719</v>
      </c>
      <c r="T41" s="168">
        <f t="shared" si="11"/>
        <v>24.060808939990281</v>
      </c>
      <c r="V41" s="147">
        <v>4513</v>
      </c>
      <c r="W41" s="156">
        <v>43374</v>
      </c>
      <c r="X41" s="156">
        <v>44538</v>
      </c>
      <c r="Y41" s="148" t="s">
        <v>822</v>
      </c>
      <c r="Z41" s="148" t="s">
        <v>823</v>
      </c>
      <c r="AA41" s="148" t="s">
        <v>830</v>
      </c>
      <c r="AB41" s="148">
        <v>79.698084227064797</v>
      </c>
      <c r="AC41" s="148">
        <f>'Cálculo PU'!T96</f>
        <v>84.081449587067979</v>
      </c>
      <c r="AD41" s="168">
        <f t="shared" si="12"/>
        <v>-4.3833653600031823</v>
      </c>
      <c r="AF41" s="147">
        <v>4525</v>
      </c>
      <c r="AG41" s="156">
        <v>43374</v>
      </c>
      <c r="AH41" s="156">
        <v>44538</v>
      </c>
      <c r="AI41" s="148" t="s">
        <v>822</v>
      </c>
      <c r="AJ41" s="148" t="s">
        <v>823</v>
      </c>
      <c r="AK41" s="148" t="s">
        <v>942</v>
      </c>
      <c r="AL41" s="148">
        <v>10.39823969</v>
      </c>
      <c r="AM41" s="148">
        <f>'Cálculo PU'!Q96</f>
        <v>16.436900000000001</v>
      </c>
      <c r="AN41" s="168">
        <f t="shared" si="13"/>
        <v>-6.0386603100000009</v>
      </c>
      <c r="AP41" s="147">
        <v>4526</v>
      </c>
      <c r="AQ41" s="156">
        <v>43374</v>
      </c>
      <c r="AR41" s="156">
        <v>44538</v>
      </c>
      <c r="AS41" s="148" t="s">
        <v>822</v>
      </c>
      <c r="AT41" s="148" t="s">
        <v>823</v>
      </c>
      <c r="AU41" s="148" t="s">
        <v>943</v>
      </c>
      <c r="AV41" s="148">
        <v>803</v>
      </c>
      <c r="AW41" s="152">
        <f>'Cálculo PU'!L96</f>
        <v>1495</v>
      </c>
      <c r="AX41" s="168">
        <f t="shared" si="14"/>
        <v>-692</v>
      </c>
      <c r="AZ41" s="147">
        <v>4515</v>
      </c>
      <c r="BA41" s="156">
        <v>43374</v>
      </c>
      <c r="BB41" s="156">
        <v>44538</v>
      </c>
      <c r="BC41" s="148" t="s">
        <v>822</v>
      </c>
      <c r="BD41" s="148" t="s">
        <v>823</v>
      </c>
      <c r="BE41" s="148" t="s">
        <v>945</v>
      </c>
      <c r="BF41" s="148">
        <v>1.0018634787230001</v>
      </c>
      <c r="BG41" s="148">
        <f>'Cálculo PU'!N96</f>
        <v>1.0019616526860928</v>
      </c>
      <c r="BH41" s="168">
        <f t="shared" si="15"/>
        <v>-9.8173963092751393E-5</v>
      </c>
      <c r="BJ41" s="147">
        <v>4540</v>
      </c>
      <c r="BK41" s="156">
        <v>43374</v>
      </c>
      <c r="BL41" s="156">
        <v>44538</v>
      </c>
      <c r="BM41" s="148" t="s">
        <v>822</v>
      </c>
      <c r="BN41" s="148" t="s">
        <v>823</v>
      </c>
      <c r="BO41" s="148" t="s">
        <v>827</v>
      </c>
      <c r="BP41" s="148">
        <v>1.0818707086199999</v>
      </c>
      <c r="BQ41" s="148">
        <f>'Cálculo PU'!O96</f>
        <v>1.157781508499633</v>
      </c>
      <c r="BR41" s="168">
        <f t="shared" si="16"/>
        <v>-7.5910799879633117E-2</v>
      </c>
      <c r="BT41" s="147">
        <v>4514</v>
      </c>
      <c r="BU41" s="156">
        <v>43374</v>
      </c>
      <c r="BV41" s="156">
        <v>44538</v>
      </c>
      <c r="BW41" s="148" t="s">
        <v>822</v>
      </c>
      <c r="BX41" s="148" t="s">
        <v>823</v>
      </c>
      <c r="BY41" s="148" t="s">
        <v>946</v>
      </c>
      <c r="BZ41" s="148">
        <v>1.0091644200000001</v>
      </c>
      <c r="CA41" s="148">
        <f>'Cálculo PU'!S96</f>
        <v>1.0113851199999999</v>
      </c>
      <c r="CB41" s="168">
        <f t="shared" si="17"/>
        <v>-2.2206999999998533E-3</v>
      </c>
      <c r="CD41">
        <v>4469</v>
      </c>
      <c r="CE41" s="215">
        <v>44510</v>
      </c>
      <c r="CF41" s="215">
        <v>44538</v>
      </c>
      <c r="CG41" t="s">
        <v>822</v>
      </c>
      <c r="CH41" t="s">
        <v>823</v>
      </c>
      <c r="CI41" t="s">
        <v>1713</v>
      </c>
      <c r="CJ41">
        <v>1.00186347872254</v>
      </c>
      <c r="CK41">
        <f t="shared" si="8"/>
        <v>1.0019616526860928</v>
      </c>
      <c r="CL41" s="246">
        <f t="shared" si="9"/>
        <v>44510</v>
      </c>
      <c r="CM41" s="246">
        <f>'Cálculo PU'!G95</f>
        <v>44510</v>
      </c>
      <c r="CN41" s="215">
        <f t="shared" si="10"/>
        <v>44538</v>
      </c>
      <c r="CO41" s="215">
        <f>'Cálculo PU'!G96</f>
        <v>44538</v>
      </c>
      <c r="CQ41">
        <v>3929</v>
      </c>
      <c r="CR41" s="215">
        <v>43930</v>
      </c>
      <c r="CS41" s="215">
        <v>43962</v>
      </c>
      <c r="CT41" t="s">
        <v>822</v>
      </c>
      <c r="CU41" t="s">
        <v>823</v>
      </c>
      <c r="CV41" t="s">
        <v>1714</v>
      </c>
      <c r="CW41">
        <v>2.5</v>
      </c>
    </row>
    <row r="42" spans="2:101">
      <c r="B42" s="147">
        <v>4580</v>
      </c>
      <c r="C42" s="156">
        <v>43374</v>
      </c>
      <c r="D42" s="156">
        <v>44571</v>
      </c>
      <c r="E42" s="148" t="s">
        <v>822</v>
      </c>
      <c r="F42" s="148" t="s">
        <v>823</v>
      </c>
      <c r="G42" s="148" t="s">
        <v>825</v>
      </c>
      <c r="H42" s="148">
        <v>63.3528169609313</v>
      </c>
      <c r="I42" s="148">
        <f>'Cálculo PU'!V97</f>
        <v>32.894721550832379</v>
      </c>
      <c r="J42" s="168">
        <f t="shared" si="7"/>
        <v>30.45809541009892</v>
      </c>
      <c r="L42" s="147">
        <v>4566</v>
      </c>
      <c r="M42" s="156">
        <v>43374</v>
      </c>
      <c r="N42" s="156">
        <v>44571</v>
      </c>
      <c r="O42" s="148" t="s">
        <v>822</v>
      </c>
      <c r="P42" s="148" t="s">
        <v>823</v>
      </c>
      <c r="Q42" s="148" t="s">
        <v>824</v>
      </c>
      <c r="R42" s="148">
        <v>68.694214814883296</v>
      </c>
      <c r="S42" s="148">
        <f>'Cálculo PU'!U97</f>
        <v>38.170837986232172</v>
      </c>
      <c r="T42" s="168">
        <f t="shared" si="11"/>
        <v>30.523376828651124</v>
      </c>
      <c r="V42" s="147">
        <v>4552</v>
      </c>
      <c r="W42" s="156">
        <v>43374</v>
      </c>
      <c r="X42" s="156">
        <v>44571</v>
      </c>
      <c r="Y42" s="148" t="s">
        <v>822</v>
      </c>
      <c r="Z42" s="148" t="s">
        <v>823</v>
      </c>
      <c r="AA42" s="148" t="s">
        <v>830</v>
      </c>
      <c r="AB42" s="148">
        <v>95.191740585917799</v>
      </c>
      <c r="AC42" s="148">
        <f>'Cálculo PU'!T97</f>
        <v>95.447806845255542</v>
      </c>
      <c r="AD42" s="168">
        <f t="shared" si="12"/>
        <v>-0.25606625933774296</v>
      </c>
      <c r="AF42" s="147">
        <v>4564</v>
      </c>
      <c r="AG42" s="156">
        <v>43374</v>
      </c>
      <c r="AH42" s="156">
        <v>44571</v>
      </c>
      <c r="AI42" s="148" t="s">
        <v>822</v>
      </c>
      <c r="AJ42" s="148" t="s">
        <v>823</v>
      </c>
      <c r="AK42" s="148" t="s">
        <v>942</v>
      </c>
      <c r="AL42" s="148">
        <v>10.46485669</v>
      </c>
      <c r="AM42" s="148">
        <f>'Cálculo PU'!Q97</f>
        <v>16.433199999999999</v>
      </c>
      <c r="AN42" s="168">
        <f t="shared" si="13"/>
        <v>-5.9683433099999998</v>
      </c>
      <c r="AP42" s="147">
        <v>4565</v>
      </c>
      <c r="AQ42" s="156">
        <v>43374</v>
      </c>
      <c r="AR42" s="156">
        <v>44571</v>
      </c>
      <c r="AS42" s="148" t="s">
        <v>822</v>
      </c>
      <c r="AT42" s="148" t="s">
        <v>823</v>
      </c>
      <c r="AU42" s="148" t="s">
        <v>943</v>
      </c>
      <c r="AV42" s="148">
        <v>826</v>
      </c>
      <c r="AW42" s="152">
        <f>'Cálculo PU'!L97</f>
        <v>1518</v>
      </c>
      <c r="AX42" s="168">
        <f t="shared" si="14"/>
        <v>-692</v>
      </c>
      <c r="AZ42" s="147">
        <v>4554</v>
      </c>
      <c r="BA42" s="156">
        <v>43374</v>
      </c>
      <c r="BB42" s="156">
        <v>44571</v>
      </c>
      <c r="BC42" s="148" t="s">
        <v>822</v>
      </c>
      <c r="BD42" s="148" t="s">
        <v>823</v>
      </c>
      <c r="BE42" s="148" t="s">
        <v>945</v>
      </c>
      <c r="BF42" s="148">
        <v>1.0022562323019999</v>
      </c>
      <c r="BG42" s="148">
        <f>'Cálculo PU'!N97</f>
        <v>1.0022562323017139</v>
      </c>
      <c r="BH42" s="168">
        <f t="shared" si="15"/>
        <v>2.8599345114344032E-13</v>
      </c>
      <c r="BJ42" s="147">
        <v>4579</v>
      </c>
      <c r="BK42" s="156">
        <v>43374</v>
      </c>
      <c r="BL42" s="156">
        <v>44571</v>
      </c>
      <c r="BM42" s="148" t="s">
        <v>822</v>
      </c>
      <c r="BN42" s="148" t="s">
        <v>823</v>
      </c>
      <c r="BO42" s="148" t="s">
        <v>827</v>
      </c>
      <c r="BP42" s="148">
        <v>1.08431192345</v>
      </c>
      <c r="BQ42" s="148">
        <f>'Cálculo PU'!O97</f>
        <v>1.1603940141960642</v>
      </c>
      <c r="BR42" s="168">
        <f t="shared" si="16"/>
        <v>-7.6082090746064202E-2</v>
      </c>
      <c r="BT42" s="147">
        <v>4553</v>
      </c>
      <c r="BU42" s="156">
        <v>43374</v>
      </c>
      <c r="BV42" s="156">
        <v>44571</v>
      </c>
      <c r="BW42" s="148" t="s">
        <v>822</v>
      </c>
      <c r="BX42" s="148" t="s">
        <v>823</v>
      </c>
      <c r="BY42" s="148" t="s">
        <v>946</v>
      </c>
      <c r="BZ42" s="148">
        <v>1.01108357</v>
      </c>
      <c r="CA42" s="148">
        <f>'Cálculo PU'!S97</f>
        <v>1.0138033900000001</v>
      </c>
      <c r="CB42" s="168">
        <f t="shared" si="17"/>
        <v>-2.7198200000000394E-3</v>
      </c>
      <c r="CD42">
        <v>4507</v>
      </c>
      <c r="CE42" s="215">
        <v>44538</v>
      </c>
      <c r="CF42" s="215">
        <v>44571</v>
      </c>
      <c r="CG42" t="s">
        <v>822</v>
      </c>
      <c r="CH42" t="s">
        <v>823</v>
      </c>
      <c r="CI42" t="s">
        <v>1713</v>
      </c>
      <c r="CJ42">
        <v>1.0022562323017099</v>
      </c>
      <c r="CK42">
        <f t="shared" si="8"/>
        <v>1.0022562323017139</v>
      </c>
      <c r="CL42" s="246">
        <f t="shared" si="9"/>
        <v>44538</v>
      </c>
      <c r="CM42" s="246">
        <f>'Cálculo PU'!G96</f>
        <v>44538</v>
      </c>
      <c r="CN42" s="215">
        <f t="shared" si="10"/>
        <v>44571</v>
      </c>
      <c r="CO42" s="215">
        <f>'Cálculo PU'!G97</f>
        <v>44571</v>
      </c>
      <c r="CQ42">
        <v>3931</v>
      </c>
      <c r="CR42" s="215">
        <v>43930</v>
      </c>
      <c r="CS42" s="215">
        <v>43962</v>
      </c>
      <c r="CT42" t="s">
        <v>822</v>
      </c>
      <c r="CU42" t="s">
        <v>823</v>
      </c>
      <c r="CV42" t="s">
        <v>1714</v>
      </c>
      <c r="CW42">
        <v>2.5</v>
      </c>
    </row>
    <row r="43" spans="2:101">
      <c r="B43" s="147">
        <v>4619</v>
      </c>
      <c r="C43" s="156">
        <v>43374</v>
      </c>
      <c r="D43" s="156">
        <v>44600</v>
      </c>
      <c r="E43" s="148" t="s">
        <v>822</v>
      </c>
      <c r="F43" s="148" t="s">
        <v>823</v>
      </c>
      <c r="G43" s="148" t="s">
        <v>825</v>
      </c>
      <c r="H43" s="148">
        <v>56.147389516414897</v>
      </c>
      <c r="I43" s="148">
        <f>'Cálculo PU'!V98</f>
        <v>29.075711943702522</v>
      </c>
      <c r="J43" s="168">
        <f t="shared" si="7"/>
        <v>27.071677572712375</v>
      </c>
      <c r="L43" s="147">
        <v>4605</v>
      </c>
      <c r="M43" s="156">
        <v>43374</v>
      </c>
      <c r="N43" s="156">
        <v>44600</v>
      </c>
      <c r="O43" s="148" t="s">
        <v>822</v>
      </c>
      <c r="P43" s="148" t="s">
        <v>823</v>
      </c>
      <c r="Q43" s="148" t="s">
        <v>824</v>
      </c>
      <c r="R43" s="148">
        <v>61.006702920381798</v>
      </c>
      <c r="S43" s="148">
        <f>'Cálculo PU'!U98</f>
        <v>33.808786987650208</v>
      </c>
      <c r="T43" s="168">
        <f t="shared" si="11"/>
        <v>27.19791593273159</v>
      </c>
      <c r="V43" s="147">
        <v>4591</v>
      </c>
      <c r="W43" s="156">
        <v>43374</v>
      </c>
      <c r="X43" s="156">
        <v>44600</v>
      </c>
      <c r="Y43" s="148" t="s">
        <v>822</v>
      </c>
      <c r="Z43" s="148" t="s">
        <v>823</v>
      </c>
      <c r="AA43" s="148" t="s">
        <v>830</v>
      </c>
      <c r="AB43" s="148">
        <v>85.388219486960097</v>
      </c>
      <c r="AC43" s="148">
        <f>'Cálculo PU'!T98</f>
        <v>85.605098991093001</v>
      </c>
      <c r="AD43" s="168">
        <f t="shared" si="12"/>
        <v>-0.2168795041329048</v>
      </c>
      <c r="AF43" s="147">
        <v>4603</v>
      </c>
      <c r="AG43" s="156">
        <v>43374</v>
      </c>
      <c r="AH43" s="156">
        <v>44600</v>
      </c>
      <c r="AI43" s="148" t="s">
        <v>822</v>
      </c>
      <c r="AJ43" s="148" t="s">
        <v>823</v>
      </c>
      <c r="AK43" s="148" t="s">
        <v>942</v>
      </c>
      <c r="AL43" s="148">
        <v>10.52081707</v>
      </c>
      <c r="AM43" s="148">
        <f>'Cálculo PU'!Q98</f>
        <v>16.430099999999999</v>
      </c>
      <c r="AN43" s="168">
        <f t="shared" si="13"/>
        <v>-5.9092829299999998</v>
      </c>
      <c r="AP43" s="147">
        <v>4604</v>
      </c>
      <c r="AQ43" s="156">
        <v>43374</v>
      </c>
      <c r="AR43" s="156">
        <v>44600</v>
      </c>
      <c r="AS43" s="148" t="s">
        <v>822</v>
      </c>
      <c r="AT43" s="148" t="s">
        <v>823</v>
      </c>
      <c r="AU43" s="148" t="s">
        <v>943</v>
      </c>
      <c r="AV43" s="148">
        <v>847</v>
      </c>
      <c r="AW43" s="152">
        <f>'Cálculo PU'!L98</f>
        <v>1539</v>
      </c>
      <c r="AX43" s="168">
        <f t="shared" si="14"/>
        <v>-692</v>
      </c>
      <c r="AZ43" s="147">
        <v>4593</v>
      </c>
      <c r="BA43" s="156">
        <v>43374</v>
      </c>
      <c r="BB43" s="156">
        <v>44600</v>
      </c>
      <c r="BC43" s="148" t="s">
        <v>822</v>
      </c>
      <c r="BD43" s="148" t="s">
        <v>823</v>
      </c>
      <c r="BE43" s="148" t="s">
        <v>945</v>
      </c>
      <c r="BF43" s="148">
        <v>1.0020598362699999</v>
      </c>
      <c r="BG43" s="148">
        <f>'Cálculo PU'!N98</f>
        <v>1.0020598362698427</v>
      </c>
      <c r="BH43" s="168">
        <f t="shared" si="15"/>
        <v>1.5720758028692217E-13</v>
      </c>
      <c r="BJ43" s="147">
        <v>4618</v>
      </c>
      <c r="BK43" s="156">
        <v>43374</v>
      </c>
      <c r="BL43" s="156">
        <v>44600</v>
      </c>
      <c r="BM43" s="148" t="s">
        <v>822</v>
      </c>
      <c r="BN43" s="148" t="s">
        <v>823</v>
      </c>
      <c r="BO43" s="148" t="s">
        <v>827</v>
      </c>
      <c r="BP43" s="148">
        <v>1.0865456692790001</v>
      </c>
      <c r="BQ43" s="148">
        <f>'Cálculo PU'!O98</f>
        <v>1.1627844935701674</v>
      </c>
      <c r="BR43" s="168">
        <f t="shared" si="16"/>
        <v>-7.6238824291167351E-2</v>
      </c>
      <c r="BT43" s="147">
        <v>4592</v>
      </c>
      <c r="BU43" s="156">
        <v>43374</v>
      </c>
      <c r="BV43" s="156">
        <v>44600</v>
      </c>
      <c r="BW43" s="148" t="s">
        <v>822</v>
      </c>
      <c r="BX43" s="148" t="s">
        <v>823</v>
      </c>
      <c r="BY43" s="148" t="s">
        <v>946</v>
      </c>
      <c r="BZ43" s="148">
        <v>1.01004633</v>
      </c>
      <c r="CA43" s="148">
        <f>'Cálculo PU'!S98</f>
        <v>1.0126117699999999</v>
      </c>
      <c r="CB43" s="168">
        <f t="shared" si="17"/>
        <v>-2.5654399999999189E-3</v>
      </c>
      <c r="CD43">
        <v>4545</v>
      </c>
      <c r="CE43" s="215">
        <v>44571</v>
      </c>
      <c r="CF43" s="215">
        <v>44600</v>
      </c>
      <c r="CG43" t="s">
        <v>822</v>
      </c>
      <c r="CH43" t="s">
        <v>823</v>
      </c>
      <c r="CI43" t="s">
        <v>1713</v>
      </c>
      <c r="CJ43">
        <v>1.0020598362698401</v>
      </c>
      <c r="CK43">
        <f t="shared" si="8"/>
        <v>1.0020598362698427</v>
      </c>
      <c r="CL43" s="246">
        <f t="shared" si="9"/>
        <v>44571</v>
      </c>
      <c r="CM43" s="246">
        <f>'Cálculo PU'!G97</f>
        <v>44571</v>
      </c>
      <c r="CN43" s="215">
        <f t="shared" si="10"/>
        <v>44600</v>
      </c>
      <c r="CO43" s="215">
        <f>'Cálculo PU'!G98</f>
        <v>44600</v>
      </c>
      <c r="CQ43">
        <v>3969</v>
      </c>
      <c r="CR43" s="215">
        <v>43962</v>
      </c>
      <c r="CS43" s="215">
        <v>43991</v>
      </c>
      <c r="CT43" t="s">
        <v>822</v>
      </c>
      <c r="CU43" t="s">
        <v>823</v>
      </c>
      <c r="CV43" t="s">
        <v>1714</v>
      </c>
      <c r="CW43">
        <v>2.5</v>
      </c>
    </row>
    <row r="44" spans="2:101">
      <c r="B44" s="147">
        <v>4658</v>
      </c>
      <c r="C44" s="156">
        <v>43374</v>
      </c>
      <c r="D44" s="156">
        <v>44629</v>
      </c>
      <c r="E44" s="148" t="s">
        <v>822</v>
      </c>
      <c r="F44" s="148" t="s">
        <v>823</v>
      </c>
      <c r="G44" s="148" t="s">
        <v>825</v>
      </c>
      <c r="H44" s="148">
        <v>49.356528778827702</v>
      </c>
      <c r="I44" s="148">
        <f>'Cálculo PU'!V99</f>
        <v>25.494674448158936</v>
      </c>
      <c r="J44" s="168">
        <f t="shared" si="7"/>
        <v>23.861854330668766</v>
      </c>
      <c r="L44" s="147">
        <v>4644</v>
      </c>
      <c r="M44" s="156">
        <v>43374</v>
      </c>
      <c r="N44" s="156">
        <v>44629</v>
      </c>
      <c r="O44" s="148" t="s">
        <v>822</v>
      </c>
      <c r="P44" s="148" t="s">
        <v>823</v>
      </c>
      <c r="Q44" s="148" t="s">
        <v>824</v>
      </c>
      <c r="R44" s="148">
        <v>53.728068233874602</v>
      </c>
      <c r="S44" s="148">
        <f>'Cálculo PU'!U99</f>
        <v>29.700060548811926</v>
      </c>
      <c r="T44" s="168">
        <f t="shared" si="11"/>
        <v>24.028007685062676</v>
      </c>
      <c r="V44" s="147">
        <v>4630</v>
      </c>
      <c r="W44" s="156">
        <v>43374</v>
      </c>
      <c r="X44" s="156">
        <v>44629</v>
      </c>
      <c r="Y44" s="148" t="s">
        <v>822</v>
      </c>
      <c r="Z44" s="148" t="s">
        <v>823</v>
      </c>
      <c r="AA44" s="148" t="s">
        <v>830</v>
      </c>
      <c r="AB44" s="148">
        <v>75.883870028527099</v>
      </c>
      <c r="AC44" s="148">
        <f>'Cálculo PU'!T99</f>
        <v>76.058231755526251</v>
      </c>
      <c r="AD44" s="168">
        <f t="shared" si="12"/>
        <v>-0.17436172699915176</v>
      </c>
      <c r="AF44" s="147">
        <v>4642</v>
      </c>
      <c r="AG44" s="156">
        <v>43374</v>
      </c>
      <c r="AH44" s="156">
        <v>44629</v>
      </c>
      <c r="AI44" s="148" t="s">
        <v>822</v>
      </c>
      <c r="AJ44" s="148" t="s">
        <v>823</v>
      </c>
      <c r="AK44" s="148" t="s">
        <v>942</v>
      </c>
      <c r="AL44" s="148">
        <v>10.56913207</v>
      </c>
      <c r="AM44" s="148">
        <f>'Cálculo PU'!Q99</f>
        <v>16.427399999999999</v>
      </c>
      <c r="AN44" s="168">
        <f t="shared" si="13"/>
        <v>-5.8582679299999985</v>
      </c>
      <c r="AP44" s="147">
        <v>4643</v>
      </c>
      <c r="AQ44" s="156">
        <v>43374</v>
      </c>
      <c r="AR44" s="156">
        <v>44629</v>
      </c>
      <c r="AS44" s="148" t="s">
        <v>822</v>
      </c>
      <c r="AT44" s="148" t="s">
        <v>823</v>
      </c>
      <c r="AU44" s="148" t="s">
        <v>943</v>
      </c>
      <c r="AV44" s="148">
        <v>866</v>
      </c>
      <c r="AW44" s="152">
        <f>'Cálculo PU'!L99</f>
        <v>1558</v>
      </c>
      <c r="AX44" s="168">
        <f t="shared" si="14"/>
        <v>-692</v>
      </c>
      <c r="AZ44" s="147">
        <v>4632</v>
      </c>
      <c r="BA44" s="156">
        <v>43374</v>
      </c>
      <c r="BB44" s="156">
        <v>44629</v>
      </c>
      <c r="BC44" s="148" t="s">
        <v>822</v>
      </c>
      <c r="BD44" s="148" t="s">
        <v>823</v>
      </c>
      <c r="BE44" s="148" t="s">
        <v>945</v>
      </c>
      <c r="BF44" s="148">
        <v>1.0018634787230001</v>
      </c>
      <c r="BG44" s="148">
        <f>'Cálculo PU'!N99</f>
        <v>1.0018634787225431</v>
      </c>
      <c r="BH44" s="168">
        <f t="shared" si="15"/>
        <v>4.5696779693571443E-13</v>
      </c>
      <c r="BJ44" s="147">
        <v>4657</v>
      </c>
      <c r="BK44" s="156">
        <v>43374</v>
      </c>
      <c r="BL44" s="156">
        <v>44629</v>
      </c>
      <c r="BM44" s="148" t="s">
        <v>822</v>
      </c>
      <c r="BN44" s="148" t="s">
        <v>823</v>
      </c>
      <c r="BO44" s="148" t="s">
        <v>827</v>
      </c>
      <c r="BP44" s="148">
        <v>1.0885706422879999</v>
      </c>
      <c r="BQ44" s="148">
        <f>'Cálculo PU'!O99</f>
        <v>1.1649515513212085</v>
      </c>
      <c r="BR44" s="168">
        <f t="shared" si="16"/>
        <v>-7.6380909033208599E-2</v>
      </c>
      <c r="BT44" s="147">
        <v>4631</v>
      </c>
      <c r="BU44" s="156">
        <v>43374</v>
      </c>
      <c r="BV44" s="156">
        <v>44629</v>
      </c>
      <c r="BW44" s="148" t="s">
        <v>822</v>
      </c>
      <c r="BX44" s="148" t="s">
        <v>823</v>
      </c>
      <c r="BY44" s="148" t="s">
        <v>946</v>
      </c>
      <c r="BZ44" s="148">
        <v>1.0090852100000001</v>
      </c>
      <c r="CA44" s="148">
        <f>'Cálculo PU'!S99</f>
        <v>1.0114038299999999</v>
      </c>
      <c r="CB44" s="168">
        <f t="shared" si="17"/>
        <v>-2.3186199999998269E-3</v>
      </c>
      <c r="CD44">
        <v>4583</v>
      </c>
      <c r="CE44" s="215">
        <v>44600</v>
      </c>
      <c r="CF44" s="215">
        <v>44629</v>
      </c>
      <c r="CG44" t="s">
        <v>822</v>
      </c>
      <c r="CH44" t="s">
        <v>823</v>
      </c>
      <c r="CI44" t="s">
        <v>1713</v>
      </c>
      <c r="CJ44">
        <v>1.00186347872254</v>
      </c>
      <c r="CK44">
        <f t="shared" si="8"/>
        <v>1.0018634787225431</v>
      </c>
      <c r="CL44" s="246">
        <f t="shared" si="9"/>
        <v>44600</v>
      </c>
      <c r="CM44" s="246">
        <f>'Cálculo PU'!G98</f>
        <v>44600</v>
      </c>
      <c r="CN44" s="215">
        <f t="shared" si="10"/>
        <v>44629</v>
      </c>
      <c r="CO44" s="215">
        <f>'Cálculo PU'!G99</f>
        <v>44629</v>
      </c>
      <c r="CQ44">
        <v>3971</v>
      </c>
      <c r="CR44" s="215">
        <v>43962</v>
      </c>
      <c r="CS44" s="215">
        <v>43991</v>
      </c>
      <c r="CT44" t="s">
        <v>822</v>
      </c>
      <c r="CU44" t="s">
        <v>823</v>
      </c>
      <c r="CV44" t="s">
        <v>1714</v>
      </c>
      <c r="CW44">
        <v>2.5</v>
      </c>
    </row>
    <row r="45" spans="2:101">
      <c r="B45" s="147">
        <v>4697</v>
      </c>
      <c r="C45" s="156">
        <v>43374</v>
      </c>
      <c r="D45" s="156">
        <v>44659</v>
      </c>
      <c r="E45" s="148" t="s">
        <v>822</v>
      </c>
      <c r="F45" s="148" t="s">
        <v>823</v>
      </c>
      <c r="G45" s="148" t="s">
        <v>825</v>
      </c>
      <c r="H45" s="148">
        <v>55.554602009624702</v>
      </c>
      <c r="I45" s="148">
        <f>'Cálculo PU'!V100</f>
        <v>28.632625730048961</v>
      </c>
      <c r="J45" s="168">
        <f t="shared" si="7"/>
        <v>26.921976279575741</v>
      </c>
      <c r="L45" s="147">
        <v>4683</v>
      </c>
      <c r="M45" s="156">
        <v>43374</v>
      </c>
      <c r="N45" s="156">
        <v>44659</v>
      </c>
      <c r="O45" s="148" t="s">
        <v>822</v>
      </c>
      <c r="P45" s="148" t="s">
        <v>823</v>
      </c>
      <c r="Q45" s="148" t="s">
        <v>824</v>
      </c>
      <c r="R45" s="148">
        <v>60.605629929946197</v>
      </c>
      <c r="S45" s="148">
        <f>'Cálculo PU'!U100</f>
        <v>33.427611938533637</v>
      </c>
      <c r="T45" s="168">
        <f t="shared" si="11"/>
        <v>27.17801799141256</v>
      </c>
      <c r="V45" s="147">
        <v>4669</v>
      </c>
      <c r="W45" s="156">
        <v>43374</v>
      </c>
      <c r="X45" s="156">
        <v>44659</v>
      </c>
      <c r="Y45" s="148" t="s">
        <v>822</v>
      </c>
      <c r="Z45" s="148" t="s">
        <v>823</v>
      </c>
      <c r="AA45" s="148" t="s">
        <v>830</v>
      </c>
      <c r="AB45" s="148">
        <v>86.510924481199396</v>
      </c>
      <c r="AC45" s="148">
        <f>'Cálculo PU'!T100</f>
        <v>86.734284778133031</v>
      </c>
      <c r="AD45" s="168">
        <f t="shared" si="12"/>
        <v>-0.22336029693363457</v>
      </c>
      <c r="AF45" s="147">
        <v>4681</v>
      </c>
      <c r="AG45" s="156">
        <v>43374</v>
      </c>
      <c r="AH45" s="156">
        <v>44659</v>
      </c>
      <c r="AI45" s="148" t="s">
        <v>822</v>
      </c>
      <c r="AJ45" s="148" t="s">
        <v>823</v>
      </c>
      <c r="AK45" s="148" t="s">
        <v>942</v>
      </c>
      <c r="AL45" s="148">
        <v>10.62697811</v>
      </c>
      <c r="AM45" s="148">
        <f>'Cálculo PU'!Q100</f>
        <v>16.424399999999999</v>
      </c>
      <c r="AN45" s="168">
        <f t="shared" si="13"/>
        <v>-5.797421889999999</v>
      </c>
      <c r="AP45" s="147">
        <v>4682</v>
      </c>
      <c r="AQ45" s="156">
        <v>43374</v>
      </c>
      <c r="AR45" s="156">
        <v>44659</v>
      </c>
      <c r="AS45" s="148" t="s">
        <v>822</v>
      </c>
      <c r="AT45" s="148" t="s">
        <v>823</v>
      </c>
      <c r="AU45" s="148" t="s">
        <v>943</v>
      </c>
      <c r="AV45" s="148">
        <v>888</v>
      </c>
      <c r="AW45" s="152">
        <f>'Cálculo PU'!L100</f>
        <v>1580</v>
      </c>
      <c r="AX45" s="168">
        <f t="shared" si="14"/>
        <v>-692</v>
      </c>
      <c r="AZ45" s="147">
        <v>4671</v>
      </c>
      <c r="BA45" s="156">
        <v>43374</v>
      </c>
      <c r="BB45" s="156">
        <v>44659</v>
      </c>
      <c r="BC45" s="148" t="s">
        <v>822</v>
      </c>
      <c r="BD45" s="148" t="s">
        <v>823</v>
      </c>
      <c r="BE45" s="148" t="s">
        <v>945</v>
      </c>
      <c r="BF45" s="148">
        <v>1.0021580294750001</v>
      </c>
      <c r="BG45" s="148">
        <f>'Cálculo PU'!N100</f>
        <v>1.0021580294747356</v>
      </c>
      <c r="BH45" s="168">
        <f t="shared" si="15"/>
        <v>2.6445512446571229E-13</v>
      </c>
      <c r="BJ45" s="147">
        <v>4696</v>
      </c>
      <c r="BK45" s="156">
        <v>43374</v>
      </c>
      <c r="BL45" s="156">
        <v>44659</v>
      </c>
      <c r="BM45" s="148" t="s">
        <v>822</v>
      </c>
      <c r="BN45" s="148" t="s">
        <v>823</v>
      </c>
      <c r="BO45" s="148" t="s">
        <v>827</v>
      </c>
      <c r="BP45" s="148">
        <v>1.090920063102</v>
      </c>
      <c r="BQ45" s="148">
        <f>'Cálculo PU'!O100</f>
        <v>1.1674658221600858</v>
      </c>
      <c r="BR45" s="168">
        <f t="shared" si="16"/>
        <v>-7.6545759058085805E-2</v>
      </c>
      <c r="BT45" s="147">
        <v>4670</v>
      </c>
      <c r="BU45" s="156">
        <v>43374</v>
      </c>
      <c r="BV45" s="156">
        <v>44659</v>
      </c>
      <c r="BW45" s="148" t="s">
        <v>822</v>
      </c>
      <c r="BX45" s="148" t="s">
        <v>823</v>
      </c>
      <c r="BY45" s="148" t="s">
        <v>946</v>
      </c>
      <c r="BZ45" s="148">
        <v>1.0106070199999999</v>
      </c>
      <c r="CA45" s="148">
        <f>'Cálculo PU'!S100</f>
        <v>1.01321628</v>
      </c>
      <c r="CB45" s="168">
        <f t="shared" si="17"/>
        <v>-2.6092600000000576E-3</v>
      </c>
      <c r="CD45">
        <v>4621</v>
      </c>
      <c r="CE45" s="215">
        <v>44629</v>
      </c>
      <c r="CF45" s="215">
        <v>44659</v>
      </c>
      <c r="CG45" t="s">
        <v>822</v>
      </c>
      <c r="CH45" t="s">
        <v>823</v>
      </c>
      <c r="CI45" t="s">
        <v>1713</v>
      </c>
      <c r="CJ45">
        <v>1.0021580294747401</v>
      </c>
      <c r="CK45">
        <f t="shared" si="8"/>
        <v>1.0021580294747356</v>
      </c>
      <c r="CL45" s="246">
        <f t="shared" si="9"/>
        <v>44629</v>
      </c>
      <c r="CM45" s="246">
        <f>'Cálculo PU'!G99</f>
        <v>44629</v>
      </c>
      <c r="CN45" s="215">
        <f t="shared" si="10"/>
        <v>44659</v>
      </c>
      <c r="CO45" s="215">
        <f>'Cálculo PU'!G100</f>
        <v>44659</v>
      </c>
      <c r="CQ45">
        <v>4009</v>
      </c>
      <c r="CR45" s="215">
        <v>43991</v>
      </c>
      <c r="CS45" s="215">
        <v>44020</v>
      </c>
      <c r="CT45" t="s">
        <v>822</v>
      </c>
      <c r="CU45" t="s">
        <v>823</v>
      </c>
      <c r="CV45" t="s">
        <v>1714</v>
      </c>
      <c r="CW45">
        <v>2.5</v>
      </c>
    </row>
    <row r="46" spans="2:101">
      <c r="B46" s="147">
        <v>4736</v>
      </c>
      <c r="C46" s="156">
        <v>43374</v>
      </c>
      <c r="D46" s="156">
        <v>44690</v>
      </c>
      <c r="E46" s="148" t="s">
        <v>822</v>
      </c>
      <c r="F46" s="148" t="s">
        <v>823</v>
      </c>
      <c r="G46" s="148" t="s">
        <v>825</v>
      </c>
      <c r="H46" s="148">
        <v>46.582523498637897</v>
      </c>
      <c r="I46" s="148">
        <f>'Cálculo PU'!V101</f>
        <v>23.946989777344569</v>
      </c>
      <c r="J46" s="168">
        <f t="shared" si="7"/>
        <v>22.635533721293328</v>
      </c>
      <c r="L46" s="147">
        <v>4722</v>
      </c>
      <c r="M46" s="156">
        <v>43374</v>
      </c>
      <c r="N46" s="156">
        <v>44690</v>
      </c>
      <c r="O46" s="148" t="s">
        <v>822</v>
      </c>
      <c r="P46" s="148" t="s">
        <v>823</v>
      </c>
      <c r="Q46" s="148" t="s">
        <v>824</v>
      </c>
      <c r="R46" s="148">
        <v>50.912517589892502</v>
      </c>
      <c r="S46" s="148">
        <f>'Cálculo PU'!U101</f>
        <v>28.009395543909669</v>
      </c>
      <c r="T46" s="168">
        <f t="shared" si="11"/>
        <v>22.903122045982833</v>
      </c>
      <c r="V46" s="147">
        <v>4708</v>
      </c>
      <c r="W46" s="156">
        <v>43374</v>
      </c>
      <c r="X46" s="156">
        <v>44690</v>
      </c>
      <c r="Y46" s="148" t="s">
        <v>822</v>
      </c>
      <c r="Z46" s="148" t="s">
        <v>823</v>
      </c>
      <c r="AA46" s="148" t="s">
        <v>830</v>
      </c>
      <c r="AB46" s="148">
        <v>73.356850285777199</v>
      </c>
      <c r="AC46" s="148">
        <f>'Cálculo PU'!T101</f>
        <v>73.503353509993715</v>
      </c>
      <c r="AD46" s="168">
        <f t="shared" si="12"/>
        <v>-0.14650322421651651</v>
      </c>
      <c r="AF46" s="147">
        <v>4720</v>
      </c>
      <c r="AG46" s="156">
        <v>43374</v>
      </c>
      <c r="AH46" s="156">
        <v>44690</v>
      </c>
      <c r="AI46" s="148" t="s">
        <v>822</v>
      </c>
      <c r="AJ46" s="148" t="s">
        <v>823</v>
      </c>
      <c r="AK46" s="148" t="s">
        <v>942</v>
      </c>
      <c r="AL46" s="148">
        <v>10.68015128</v>
      </c>
      <c r="AM46" s="148">
        <f>'Cálculo PU'!Q101</f>
        <v>16.421800000000001</v>
      </c>
      <c r="AN46" s="168">
        <f t="shared" si="13"/>
        <v>-5.7416487200000006</v>
      </c>
      <c r="AP46" s="147">
        <v>4721</v>
      </c>
      <c r="AQ46" s="156">
        <v>43374</v>
      </c>
      <c r="AR46" s="156">
        <v>44690</v>
      </c>
      <c r="AS46" s="148" t="s">
        <v>822</v>
      </c>
      <c r="AT46" s="148" t="s">
        <v>823</v>
      </c>
      <c r="AU46" s="148" t="s">
        <v>943</v>
      </c>
      <c r="AV46" s="148">
        <v>907</v>
      </c>
      <c r="AW46" s="152">
        <f>'Cálculo PU'!L101</f>
        <v>1599</v>
      </c>
      <c r="AX46" s="168">
        <f t="shared" si="14"/>
        <v>-692</v>
      </c>
      <c r="AZ46" s="147">
        <v>4710</v>
      </c>
      <c r="BA46" s="156">
        <v>43374</v>
      </c>
      <c r="BB46" s="156">
        <v>44690</v>
      </c>
      <c r="BC46" s="148" t="s">
        <v>822</v>
      </c>
      <c r="BD46" s="148" t="s">
        <v>823</v>
      </c>
      <c r="BE46" s="148" t="s">
        <v>945</v>
      </c>
      <c r="BF46" s="148">
        <v>1.0018634787230001</v>
      </c>
      <c r="BG46" s="148">
        <f>'Cálculo PU'!N101</f>
        <v>1.0018634787225431</v>
      </c>
      <c r="BH46" s="168">
        <f t="shared" si="15"/>
        <v>4.5696779693571443E-13</v>
      </c>
      <c r="BJ46" s="147">
        <v>4735</v>
      </c>
      <c r="BK46" s="156">
        <v>43374</v>
      </c>
      <c r="BL46" s="156">
        <v>44690</v>
      </c>
      <c r="BM46" s="148" t="s">
        <v>822</v>
      </c>
      <c r="BN46" s="148" t="s">
        <v>823</v>
      </c>
      <c r="BO46" s="148" t="s">
        <v>827</v>
      </c>
      <c r="BP46" s="148">
        <v>1.092953188579</v>
      </c>
      <c r="BQ46" s="148">
        <f>'Cálculo PU'!O101</f>
        <v>1.1696416044077658</v>
      </c>
      <c r="BR46" s="168">
        <f t="shared" si="16"/>
        <v>-7.6688415828765732E-2</v>
      </c>
      <c r="BT46" s="147">
        <v>4709</v>
      </c>
      <c r="BU46" s="156">
        <v>43374</v>
      </c>
      <c r="BV46" s="156">
        <v>44690</v>
      </c>
      <c r="BW46" s="148" t="s">
        <v>822</v>
      </c>
      <c r="BX46" s="148" t="s">
        <v>823</v>
      </c>
      <c r="BY46" s="148" t="s">
        <v>946</v>
      </c>
      <c r="BZ46" s="148">
        <v>1.00938795</v>
      </c>
      <c r="CA46" s="148">
        <f>'Cálculo PU'!S101</f>
        <v>1.0114038299999999</v>
      </c>
      <c r="CB46" s="168">
        <f t="shared" si="17"/>
        <v>-2.0158799999998589E-3</v>
      </c>
      <c r="CD46">
        <v>4659</v>
      </c>
      <c r="CE46" s="215">
        <v>44659</v>
      </c>
      <c r="CF46" s="215">
        <v>44690</v>
      </c>
      <c r="CG46" t="s">
        <v>822</v>
      </c>
      <c r="CH46" t="s">
        <v>823</v>
      </c>
      <c r="CI46" t="s">
        <v>1713</v>
      </c>
      <c r="CJ46">
        <v>1.00186347872254</v>
      </c>
      <c r="CK46">
        <f t="shared" si="8"/>
        <v>1.0018634787225431</v>
      </c>
      <c r="CL46" s="246">
        <f t="shared" si="9"/>
        <v>44659</v>
      </c>
      <c r="CM46" s="246">
        <f>'Cálculo PU'!G100</f>
        <v>44659</v>
      </c>
      <c r="CN46" s="215">
        <f t="shared" si="10"/>
        <v>44690</v>
      </c>
      <c r="CO46" s="215">
        <f>'Cálculo PU'!G101</f>
        <v>44690</v>
      </c>
      <c r="CQ46">
        <v>4011</v>
      </c>
      <c r="CR46" s="215">
        <v>43991</v>
      </c>
      <c r="CS46" s="215">
        <v>44020</v>
      </c>
      <c r="CT46" t="s">
        <v>822</v>
      </c>
      <c r="CU46" t="s">
        <v>823</v>
      </c>
      <c r="CV46" t="s">
        <v>1714</v>
      </c>
      <c r="CW46">
        <v>2.5</v>
      </c>
    </row>
    <row r="47" spans="2:101">
      <c r="B47" s="147">
        <v>4775</v>
      </c>
      <c r="C47" s="156">
        <v>43374</v>
      </c>
      <c r="D47" s="156">
        <v>44720</v>
      </c>
      <c r="E47" s="148" t="s">
        <v>822</v>
      </c>
      <c r="F47" s="148" t="s">
        <v>823</v>
      </c>
      <c r="G47" s="148" t="s">
        <v>825</v>
      </c>
      <c r="H47" s="148">
        <v>52.409322670954701</v>
      </c>
      <c r="I47" s="148">
        <f>'Cálculo PU'!V102</f>
        <v>26.88898661533457</v>
      </c>
      <c r="J47" s="168">
        <f t="shared" si="7"/>
        <v>25.520336055620131</v>
      </c>
      <c r="L47" s="147">
        <v>4761</v>
      </c>
      <c r="M47" s="156">
        <v>43374</v>
      </c>
      <c r="N47" s="156">
        <v>44720</v>
      </c>
      <c r="O47" s="148" t="s">
        <v>822</v>
      </c>
      <c r="P47" s="148" t="s">
        <v>823</v>
      </c>
      <c r="Q47" s="148" t="s">
        <v>824</v>
      </c>
      <c r="R47" s="148">
        <v>57.404563601238202</v>
      </c>
      <c r="S47" s="148">
        <f>'Cálculo PU'!U102</f>
        <v>31.51835582070434</v>
      </c>
      <c r="T47" s="168">
        <f t="shared" si="11"/>
        <v>25.886207780533862</v>
      </c>
      <c r="V47" s="147">
        <v>4747</v>
      </c>
      <c r="W47" s="156">
        <v>43374</v>
      </c>
      <c r="X47" s="156">
        <v>44720</v>
      </c>
      <c r="Y47" s="148" t="s">
        <v>822</v>
      </c>
      <c r="Z47" s="148" t="s">
        <v>823</v>
      </c>
      <c r="AA47" s="148" t="s">
        <v>830</v>
      </c>
      <c r="AB47" s="148">
        <v>83.610611030643696</v>
      </c>
      <c r="AC47" s="148">
        <f>'Cálculo PU'!T102</f>
        <v>83.803987351013888</v>
      </c>
      <c r="AD47" s="168">
        <f t="shared" si="12"/>
        <v>-0.19337632037019148</v>
      </c>
      <c r="AF47" s="147">
        <v>4759</v>
      </c>
      <c r="AG47" s="156">
        <v>43374</v>
      </c>
      <c r="AH47" s="156">
        <v>44720</v>
      </c>
      <c r="AI47" s="148" t="s">
        <v>822</v>
      </c>
      <c r="AJ47" s="148" t="s">
        <v>823</v>
      </c>
      <c r="AK47" s="148" t="s">
        <v>942</v>
      </c>
      <c r="AL47" s="148">
        <v>10.739032760000001</v>
      </c>
      <c r="AM47" s="148">
        <f>'Cálculo PU'!Q102</f>
        <v>16.419</v>
      </c>
      <c r="AN47" s="168">
        <f t="shared" si="13"/>
        <v>-5.6799672399999999</v>
      </c>
      <c r="AP47" s="147">
        <v>4760</v>
      </c>
      <c r="AQ47" s="156">
        <v>43374</v>
      </c>
      <c r="AR47" s="156">
        <v>44720</v>
      </c>
      <c r="AS47" s="148" t="s">
        <v>822</v>
      </c>
      <c r="AT47" s="148" t="s">
        <v>823</v>
      </c>
      <c r="AU47" s="148" t="s">
        <v>943</v>
      </c>
      <c r="AV47" s="148">
        <v>929</v>
      </c>
      <c r="AW47" s="152">
        <f>'Cálculo PU'!L102</f>
        <v>1621</v>
      </c>
      <c r="AX47" s="168">
        <f t="shared" si="14"/>
        <v>-692</v>
      </c>
      <c r="AZ47" s="147">
        <v>4749</v>
      </c>
      <c r="BA47" s="156">
        <v>43374</v>
      </c>
      <c r="BB47" s="156">
        <v>44720</v>
      </c>
      <c r="BC47" s="148" t="s">
        <v>822</v>
      </c>
      <c r="BD47" s="148" t="s">
        <v>823</v>
      </c>
      <c r="BE47" s="148" t="s">
        <v>945</v>
      </c>
      <c r="BF47" s="148">
        <v>1.0021580294750001</v>
      </c>
      <c r="BG47" s="148">
        <f>'Cálculo PU'!N102</f>
        <v>1.0021580294747356</v>
      </c>
      <c r="BH47" s="168">
        <f t="shared" si="15"/>
        <v>2.6445512446571229E-13</v>
      </c>
      <c r="BJ47" s="147">
        <v>4774</v>
      </c>
      <c r="BK47" s="156">
        <v>43374</v>
      </c>
      <c r="BL47" s="156">
        <v>44720</v>
      </c>
      <c r="BM47" s="148" t="s">
        <v>822</v>
      </c>
      <c r="BN47" s="148" t="s">
        <v>823</v>
      </c>
      <c r="BO47" s="148" t="s">
        <v>827</v>
      </c>
      <c r="BP47" s="148">
        <v>1.0953120680770001</v>
      </c>
      <c r="BQ47" s="148">
        <f>'Cálculo PU'!O102</f>
        <v>1.1721659976106975</v>
      </c>
      <c r="BR47" s="168">
        <f t="shared" si="16"/>
        <v>-7.6853929533697407E-2</v>
      </c>
      <c r="BT47" s="147">
        <v>4748</v>
      </c>
      <c r="BU47" s="156">
        <v>43374</v>
      </c>
      <c r="BV47" s="156">
        <v>44720</v>
      </c>
      <c r="BW47" s="148" t="s">
        <v>822</v>
      </c>
      <c r="BX47" s="148" t="s">
        <v>823</v>
      </c>
      <c r="BY47" s="148" t="s">
        <v>946</v>
      </c>
      <c r="BZ47" s="148">
        <v>1.0108782999999999</v>
      </c>
      <c r="CA47" s="148">
        <f>'Cálculo PU'!S102</f>
        <v>1.01321628</v>
      </c>
      <c r="CB47" s="168">
        <f t="shared" si="17"/>
        <v>-2.3379800000000728E-3</v>
      </c>
      <c r="CD47">
        <v>4697</v>
      </c>
      <c r="CE47" s="215">
        <v>44690</v>
      </c>
      <c r="CF47" s="215">
        <v>44720</v>
      </c>
      <c r="CG47" t="s">
        <v>822</v>
      </c>
      <c r="CH47" t="s">
        <v>823</v>
      </c>
      <c r="CI47" t="s">
        <v>1713</v>
      </c>
      <c r="CJ47">
        <v>1.0021580294747401</v>
      </c>
      <c r="CK47">
        <f t="shared" si="8"/>
        <v>1.0021580294747356</v>
      </c>
      <c r="CL47" s="246">
        <f t="shared" si="9"/>
        <v>44690</v>
      </c>
      <c r="CM47" s="246">
        <f>'Cálculo PU'!G101</f>
        <v>44690</v>
      </c>
      <c r="CN47" s="215">
        <f t="shared" si="10"/>
        <v>44720</v>
      </c>
      <c r="CO47" s="215">
        <f>'Cálculo PU'!G102</f>
        <v>44720</v>
      </c>
      <c r="CQ47">
        <v>4049</v>
      </c>
      <c r="CR47" s="215">
        <v>44020</v>
      </c>
      <c r="CS47" s="215">
        <v>44053</v>
      </c>
      <c r="CT47" t="s">
        <v>822</v>
      </c>
      <c r="CU47" t="s">
        <v>823</v>
      </c>
      <c r="CV47" t="s">
        <v>1714</v>
      </c>
      <c r="CW47">
        <v>2.5</v>
      </c>
    </row>
    <row r="48" spans="2:101">
      <c r="B48" s="147">
        <v>4814</v>
      </c>
      <c r="C48" s="156">
        <v>43374</v>
      </c>
      <c r="D48" s="156">
        <v>44750</v>
      </c>
      <c r="E48" s="148" t="s">
        <v>822</v>
      </c>
      <c r="F48" s="148" t="s">
        <v>823</v>
      </c>
      <c r="G48" s="148" t="s">
        <v>825</v>
      </c>
      <c r="H48" s="148">
        <v>48.546821957490799</v>
      </c>
      <c r="I48" s="148">
        <f>'Cálculo PU'!V103</f>
        <v>24.848355013692697</v>
      </c>
      <c r="J48" s="168">
        <f t="shared" si="7"/>
        <v>23.698466943798103</v>
      </c>
      <c r="L48" s="147">
        <v>4800</v>
      </c>
      <c r="M48" s="156">
        <v>43374</v>
      </c>
      <c r="N48" s="156">
        <v>44750</v>
      </c>
      <c r="O48" s="148" t="s">
        <v>822</v>
      </c>
      <c r="P48" s="148" t="s">
        <v>823</v>
      </c>
      <c r="Q48" s="148" t="s">
        <v>824</v>
      </c>
      <c r="R48" s="148">
        <v>53.283461334454998</v>
      </c>
      <c r="S48" s="148">
        <f>'Cálculo PU'!U103</f>
        <v>29.186398920529264</v>
      </c>
      <c r="T48" s="168">
        <f t="shared" si="11"/>
        <v>24.097062413925734</v>
      </c>
      <c r="V48" s="147">
        <v>4786</v>
      </c>
      <c r="W48" s="156">
        <v>43374</v>
      </c>
      <c r="X48" s="156">
        <v>44750</v>
      </c>
      <c r="Y48" s="148" t="s">
        <v>822</v>
      </c>
      <c r="Z48" s="148" t="s">
        <v>823</v>
      </c>
      <c r="AA48" s="148" t="s">
        <v>830</v>
      </c>
      <c r="AB48" s="148">
        <v>78.400142175021898</v>
      </c>
      <c r="AC48" s="148">
        <f>'Cálculo PU'!T103</f>
        <v>78.58064164250743</v>
      </c>
      <c r="AD48" s="168">
        <f t="shared" si="12"/>
        <v>-0.18049946748553225</v>
      </c>
      <c r="AF48" s="147">
        <v>4798</v>
      </c>
      <c r="AG48" s="156">
        <v>43374</v>
      </c>
      <c r="AH48" s="156">
        <v>44750</v>
      </c>
      <c r="AI48" s="148" t="s">
        <v>822</v>
      </c>
      <c r="AJ48" s="148" t="s">
        <v>823</v>
      </c>
      <c r="AK48" s="148" t="s">
        <v>942</v>
      </c>
      <c r="AL48" s="148">
        <v>10.78758859</v>
      </c>
      <c r="AM48" s="148">
        <f>'Cálculo PU'!Q103</f>
        <v>16.4162</v>
      </c>
      <c r="AN48" s="168">
        <f t="shared" si="13"/>
        <v>-5.6286114099999995</v>
      </c>
      <c r="AP48" s="147">
        <v>4799</v>
      </c>
      <c r="AQ48" s="156">
        <v>43374</v>
      </c>
      <c r="AR48" s="156">
        <v>44750</v>
      </c>
      <c r="AS48" s="148" t="s">
        <v>822</v>
      </c>
      <c r="AT48" s="148" t="s">
        <v>823</v>
      </c>
      <c r="AU48" s="148" t="s">
        <v>943</v>
      </c>
      <c r="AV48" s="148">
        <v>950</v>
      </c>
      <c r="AW48" s="152">
        <f>'Cálculo PU'!L103</f>
        <v>1642</v>
      </c>
      <c r="AX48" s="168">
        <f t="shared" si="14"/>
        <v>-692</v>
      </c>
      <c r="AZ48" s="147">
        <v>4788</v>
      </c>
      <c r="BA48" s="156">
        <v>43374</v>
      </c>
      <c r="BB48" s="156">
        <v>44750</v>
      </c>
      <c r="BC48" s="148" t="s">
        <v>822</v>
      </c>
      <c r="BD48" s="148" t="s">
        <v>823</v>
      </c>
      <c r="BE48" s="148" t="s">
        <v>945</v>
      </c>
      <c r="BF48" s="148">
        <v>1.0020598362699999</v>
      </c>
      <c r="BG48" s="148">
        <f>'Cálculo PU'!N103</f>
        <v>1.0020598362698427</v>
      </c>
      <c r="BH48" s="168">
        <f t="shared" si="15"/>
        <v>1.5720758028692217E-13</v>
      </c>
      <c r="BJ48" s="147">
        <v>4813</v>
      </c>
      <c r="BK48" s="156">
        <v>43374</v>
      </c>
      <c r="BL48" s="156">
        <v>44750</v>
      </c>
      <c r="BM48" s="148" t="s">
        <v>822</v>
      </c>
      <c r="BN48" s="148" t="s">
        <v>823</v>
      </c>
      <c r="BO48" s="148" t="s">
        <v>827</v>
      </c>
      <c r="BP48" s="148">
        <v>1.0975684748450001</v>
      </c>
      <c r="BQ48" s="148">
        <f>'Cálculo PU'!O103</f>
        <v>1.174580727957488</v>
      </c>
      <c r="BR48" s="168">
        <f t="shared" si="16"/>
        <v>-7.7012253112487938E-2</v>
      </c>
      <c r="BT48" s="147">
        <v>4787</v>
      </c>
      <c r="BU48" s="156">
        <v>43374</v>
      </c>
      <c r="BV48" s="156">
        <v>44750</v>
      </c>
      <c r="BW48" s="148" t="s">
        <v>822</v>
      </c>
      <c r="BX48" s="148" t="s">
        <v>823</v>
      </c>
      <c r="BY48" s="148" t="s">
        <v>946</v>
      </c>
      <c r="BZ48" s="148">
        <v>1.0102832500000001</v>
      </c>
      <c r="CA48" s="148">
        <f>'Cálculo PU'!S103</f>
        <v>1.0126092099999999</v>
      </c>
      <c r="CB48" s="168">
        <f t="shared" si="17"/>
        <v>-2.3259599999998493E-3</v>
      </c>
      <c r="CD48">
        <v>4735</v>
      </c>
      <c r="CE48" s="215">
        <v>44720</v>
      </c>
      <c r="CF48" s="215">
        <v>44750</v>
      </c>
      <c r="CG48" t="s">
        <v>822</v>
      </c>
      <c r="CH48" t="s">
        <v>823</v>
      </c>
      <c r="CI48" t="s">
        <v>1713</v>
      </c>
      <c r="CJ48">
        <v>1.0020598362698401</v>
      </c>
      <c r="CK48">
        <f t="shared" si="8"/>
        <v>1.0020598362698427</v>
      </c>
      <c r="CL48" s="246">
        <f t="shared" si="9"/>
        <v>44720</v>
      </c>
      <c r="CM48" s="246">
        <f>'Cálculo PU'!G102</f>
        <v>44720</v>
      </c>
      <c r="CN48" s="215">
        <f t="shared" si="10"/>
        <v>44750</v>
      </c>
      <c r="CO48" s="215">
        <f>'Cálculo PU'!G103</f>
        <v>44750</v>
      </c>
      <c r="CQ48">
        <v>4051</v>
      </c>
      <c r="CR48" s="215">
        <v>44020</v>
      </c>
      <c r="CS48" s="215">
        <v>44053</v>
      </c>
      <c r="CT48" t="s">
        <v>822</v>
      </c>
      <c r="CU48" t="s">
        <v>823</v>
      </c>
      <c r="CV48" t="s">
        <v>1714</v>
      </c>
      <c r="CW48">
        <v>2.5</v>
      </c>
    </row>
    <row r="49" spans="2:101">
      <c r="B49" s="147">
        <v>4853</v>
      </c>
      <c r="C49" s="156">
        <v>43374</v>
      </c>
      <c r="D49" s="156">
        <v>44781</v>
      </c>
      <c r="E49" s="148" t="s">
        <v>822</v>
      </c>
      <c r="F49" s="148" t="s">
        <v>823</v>
      </c>
      <c r="G49" s="148" t="s">
        <v>825</v>
      </c>
      <c r="H49" s="148">
        <v>47.127219077007098</v>
      </c>
      <c r="I49" s="148">
        <f>'Cálculo PU'!V104</f>
        <v>24.066675529818646</v>
      </c>
      <c r="J49" s="168">
        <f t="shared" si="7"/>
        <v>23.060543547188452</v>
      </c>
      <c r="L49" s="147">
        <v>4839</v>
      </c>
      <c r="M49" s="156">
        <v>43374</v>
      </c>
      <c r="N49" s="156">
        <v>44781</v>
      </c>
      <c r="O49" s="148" t="s">
        <v>822</v>
      </c>
      <c r="P49" s="148" t="s">
        <v>823</v>
      </c>
      <c r="Q49" s="148" t="s">
        <v>824</v>
      </c>
      <c r="R49" s="148">
        <v>51.831907204985498</v>
      </c>
      <c r="S49" s="148">
        <f>'Cálculo PU'!U104</f>
        <v>28.326487514405443</v>
      </c>
      <c r="T49" s="168">
        <f t="shared" si="11"/>
        <v>23.505419690580055</v>
      </c>
      <c r="V49" s="147">
        <v>4825</v>
      </c>
      <c r="W49" s="156">
        <v>43374</v>
      </c>
      <c r="X49" s="156">
        <v>44781</v>
      </c>
      <c r="Y49" s="148" t="s">
        <v>822</v>
      </c>
      <c r="Z49" s="148" t="s">
        <v>823</v>
      </c>
      <c r="AA49" s="148" t="s">
        <v>830</v>
      </c>
      <c r="AB49" s="148">
        <v>77.024684096662298</v>
      </c>
      <c r="AC49" s="148">
        <f>'Cálculo PU'!T104</f>
        <v>77.225364593644954</v>
      </c>
      <c r="AD49" s="168">
        <f t="shared" si="12"/>
        <v>-0.20068049698265611</v>
      </c>
      <c r="AF49" s="147">
        <v>4837</v>
      </c>
      <c r="AG49" s="156">
        <v>43374</v>
      </c>
      <c r="AH49" s="156">
        <v>44781</v>
      </c>
      <c r="AI49" s="148" t="s">
        <v>822</v>
      </c>
      <c r="AJ49" s="148" t="s">
        <v>823</v>
      </c>
      <c r="AK49" s="148" t="s">
        <v>942</v>
      </c>
      <c r="AL49" s="148">
        <v>10.827366339999999</v>
      </c>
      <c r="AM49" s="148">
        <f>'Cálculo PU'!Q104</f>
        <v>16.413399999999999</v>
      </c>
      <c r="AN49" s="168">
        <f t="shared" si="13"/>
        <v>-5.58603366</v>
      </c>
      <c r="AP49" s="147">
        <v>4838</v>
      </c>
      <c r="AQ49" s="156">
        <v>43374</v>
      </c>
      <c r="AR49" s="156">
        <v>44781</v>
      </c>
      <c r="AS49" s="148" t="s">
        <v>822</v>
      </c>
      <c r="AT49" s="148" t="s">
        <v>823</v>
      </c>
      <c r="AU49" s="148" t="s">
        <v>943</v>
      </c>
      <c r="AV49" s="148">
        <v>971</v>
      </c>
      <c r="AW49" s="152">
        <f>'Cálculo PU'!L104</f>
        <v>1663</v>
      </c>
      <c r="AX49" s="168">
        <f t="shared" si="14"/>
        <v>-692</v>
      </c>
      <c r="AZ49" s="147">
        <v>4827</v>
      </c>
      <c r="BA49" s="156">
        <v>43374</v>
      </c>
      <c r="BB49" s="156">
        <v>44781</v>
      </c>
      <c r="BC49" s="148" t="s">
        <v>822</v>
      </c>
      <c r="BD49" s="148" t="s">
        <v>823</v>
      </c>
      <c r="BE49" s="148" t="s">
        <v>945</v>
      </c>
      <c r="BF49" s="148">
        <v>1.0020598362699999</v>
      </c>
      <c r="BG49" s="148">
        <f>'Cálculo PU'!N104</f>
        <v>1.0020598362698427</v>
      </c>
      <c r="BH49" s="168">
        <f t="shared" si="15"/>
        <v>1.5720758028692217E-13</v>
      </c>
      <c r="BJ49" s="147">
        <v>4852</v>
      </c>
      <c r="BK49" s="156">
        <v>43374</v>
      </c>
      <c r="BL49" s="156">
        <v>44781</v>
      </c>
      <c r="BM49" s="148" t="s">
        <v>822</v>
      </c>
      <c r="BN49" s="148" t="s">
        <v>823</v>
      </c>
      <c r="BO49" s="148" t="s">
        <v>827</v>
      </c>
      <c r="BP49" s="148">
        <v>1.0998295299430001</v>
      </c>
      <c r="BQ49" s="148">
        <f>'Cálculo PU'!O104</f>
        <v>1.1770004327896839</v>
      </c>
      <c r="BR49" s="168">
        <f t="shared" si="16"/>
        <v>-7.717090284668382E-2</v>
      </c>
      <c r="BT49" s="147">
        <v>4826</v>
      </c>
      <c r="BU49" s="156">
        <v>43374</v>
      </c>
      <c r="BV49" s="156">
        <v>44781</v>
      </c>
      <c r="BW49" s="148" t="s">
        <v>822</v>
      </c>
      <c r="BX49" s="148" t="s">
        <v>823</v>
      </c>
      <c r="BY49" s="148" t="s">
        <v>946</v>
      </c>
      <c r="BZ49" s="148">
        <v>1.0099696300000001</v>
      </c>
      <c r="CA49" s="148">
        <f>'Cálculo PU'!S104</f>
        <v>1.01260101</v>
      </c>
      <c r="CB49" s="168">
        <f t="shared" si="17"/>
        <v>-2.631379999999961E-3</v>
      </c>
      <c r="CD49">
        <v>4773</v>
      </c>
      <c r="CE49" s="215">
        <v>44750</v>
      </c>
      <c r="CF49" s="215">
        <v>44781</v>
      </c>
      <c r="CG49" t="s">
        <v>822</v>
      </c>
      <c r="CH49" t="s">
        <v>823</v>
      </c>
      <c r="CI49" t="s">
        <v>1713</v>
      </c>
      <c r="CJ49">
        <v>1.0020598362698401</v>
      </c>
      <c r="CK49">
        <f t="shared" si="8"/>
        <v>1.0020598362698427</v>
      </c>
      <c r="CL49" s="246">
        <f t="shared" si="9"/>
        <v>44750</v>
      </c>
      <c r="CM49" s="246">
        <f>'Cálculo PU'!G103</f>
        <v>44750</v>
      </c>
      <c r="CN49" s="215">
        <f t="shared" si="10"/>
        <v>44781</v>
      </c>
      <c r="CO49" s="215">
        <f>'Cálculo PU'!G104</f>
        <v>44781</v>
      </c>
      <c r="CQ49">
        <v>4089</v>
      </c>
      <c r="CR49" s="215">
        <v>44053</v>
      </c>
      <c r="CS49" s="215">
        <v>44083</v>
      </c>
      <c r="CT49" t="s">
        <v>822</v>
      </c>
      <c r="CU49" t="s">
        <v>823</v>
      </c>
      <c r="CV49" t="s">
        <v>1714</v>
      </c>
      <c r="CW49">
        <v>2.5</v>
      </c>
    </row>
    <row r="50" spans="2:101">
      <c r="B50" s="147">
        <v>4892</v>
      </c>
      <c r="C50" s="156">
        <v>43374</v>
      </c>
      <c r="D50" s="156">
        <v>44813</v>
      </c>
      <c r="E50" s="148" t="s">
        <v>822</v>
      </c>
      <c r="F50" s="148" t="s">
        <v>823</v>
      </c>
      <c r="G50" s="148" t="s">
        <v>825</v>
      </c>
      <c r="H50" s="148">
        <v>50.111787891295997</v>
      </c>
      <c r="I50" s="148">
        <f>'Cálculo PU'!V105</f>
        <v>25.524734916488889</v>
      </c>
      <c r="J50" s="168">
        <f t="shared" si="7"/>
        <v>24.587052974807108</v>
      </c>
      <c r="L50" s="147">
        <v>4878</v>
      </c>
      <c r="M50" s="156">
        <v>43374</v>
      </c>
      <c r="N50" s="156">
        <v>44813</v>
      </c>
      <c r="O50" s="148" t="s">
        <v>822</v>
      </c>
      <c r="P50" s="148" t="s">
        <v>823</v>
      </c>
      <c r="Q50" s="148" t="s">
        <v>824</v>
      </c>
      <c r="R50" s="148">
        <v>55.238788472997904</v>
      </c>
      <c r="S50" s="148">
        <f>'Cálculo PU'!U105</f>
        <v>30.110414490946685</v>
      </c>
      <c r="T50" s="168">
        <f t="shared" si="11"/>
        <v>25.128373982051219</v>
      </c>
      <c r="V50" s="147">
        <v>4864</v>
      </c>
      <c r="W50" s="156">
        <v>43374</v>
      </c>
      <c r="X50" s="156">
        <v>44813</v>
      </c>
      <c r="Y50" s="148" t="s">
        <v>822</v>
      </c>
      <c r="Z50" s="148" t="s">
        <v>823</v>
      </c>
      <c r="AA50" s="148" t="s">
        <v>830</v>
      </c>
      <c r="AB50" s="148">
        <v>82.984219220983704</v>
      </c>
      <c r="AC50" s="148">
        <f>'Cálculo PU'!T105</f>
        <v>83.221047315253927</v>
      </c>
      <c r="AD50" s="168">
        <f t="shared" si="12"/>
        <v>-0.23682809427022278</v>
      </c>
      <c r="AF50" s="147">
        <v>4876</v>
      </c>
      <c r="AG50" s="156">
        <v>43374</v>
      </c>
      <c r="AH50" s="156">
        <v>44813</v>
      </c>
      <c r="AI50" s="148" t="s">
        <v>822</v>
      </c>
      <c r="AJ50" s="148" t="s">
        <v>823</v>
      </c>
      <c r="AK50" s="148" t="s">
        <v>942</v>
      </c>
      <c r="AL50" s="148">
        <v>10.86901926</v>
      </c>
      <c r="AM50" s="148">
        <f>'Cálculo PU'!Q105</f>
        <v>16.410399999999999</v>
      </c>
      <c r="AN50" s="168">
        <f t="shared" si="13"/>
        <v>-5.5413807399999992</v>
      </c>
      <c r="AP50" s="147">
        <v>4877</v>
      </c>
      <c r="AQ50" s="156">
        <v>43374</v>
      </c>
      <c r="AR50" s="156">
        <v>44813</v>
      </c>
      <c r="AS50" s="148" t="s">
        <v>822</v>
      </c>
      <c r="AT50" s="148" t="s">
        <v>823</v>
      </c>
      <c r="AU50" s="148" t="s">
        <v>943</v>
      </c>
      <c r="AV50" s="148">
        <v>994</v>
      </c>
      <c r="AW50" s="152">
        <f>'Cálculo PU'!L105</f>
        <v>1686</v>
      </c>
      <c r="AX50" s="168">
        <f t="shared" si="14"/>
        <v>-692</v>
      </c>
      <c r="AZ50" s="147">
        <v>4866</v>
      </c>
      <c r="BA50" s="156">
        <v>43374</v>
      </c>
      <c r="BB50" s="156">
        <v>44813</v>
      </c>
      <c r="BC50" s="148" t="s">
        <v>822</v>
      </c>
      <c r="BD50" s="148" t="s">
        <v>823</v>
      </c>
      <c r="BE50" s="148" t="s">
        <v>945</v>
      </c>
      <c r="BF50" s="148">
        <v>1.0022562323019999</v>
      </c>
      <c r="BG50" s="148">
        <f>'Cálculo PU'!N105</f>
        <v>1.0022562323017139</v>
      </c>
      <c r="BH50" s="168">
        <f t="shared" si="15"/>
        <v>2.8599345114344032E-13</v>
      </c>
      <c r="BJ50" s="147">
        <v>4891</v>
      </c>
      <c r="BK50" s="156">
        <v>43374</v>
      </c>
      <c r="BL50" s="156">
        <v>44813</v>
      </c>
      <c r="BM50" s="148" t="s">
        <v>822</v>
      </c>
      <c r="BN50" s="148" t="s">
        <v>823</v>
      </c>
      <c r="BO50" s="148" t="s">
        <v>827</v>
      </c>
      <c r="BP50" s="148">
        <v>1.102311268415</v>
      </c>
      <c r="BQ50" s="148">
        <f>'Cálculo PU'!O105</f>
        <v>1.1796563055193754</v>
      </c>
      <c r="BR50" s="168">
        <f t="shared" si="16"/>
        <v>-7.7345037104375347E-2</v>
      </c>
      <c r="BT50" s="147">
        <v>4865</v>
      </c>
      <c r="BU50" s="156">
        <v>43374</v>
      </c>
      <c r="BV50" s="156">
        <v>44813</v>
      </c>
      <c r="BW50" s="148" t="s">
        <v>822</v>
      </c>
      <c r="BX50" s="148" t="s">
        <v>823</v>
      </c>
      <c r="BY50" s="148" t="s">
        <v>946</v>
      </c>
      <c r="BZ50" s="148">
        <v>1.01092428</v>
      </c>
      <c r="CA50" s="148">
        <f>'Cálculo PU'!S105</f>
        <v>1.0138093500000001</v>
      </c>
      <c r="CB50" s="168">
        <f t="shared" si="17"/>
        <v>-2.8850700000000451E-3</v>
      </c>
      <c r="CD50">
        <v>4811</v>
      </c>
      <c r="CE50" s="215">
        <v>44781</v>
      </c>
      <c r="CF50" s="215">
        <v>44813</v>
      </c>
      <c r="CG50" t="s">
        <v>822</v>
      </c>
      <c r="CH50" t="s">
        <v>823</v>
      </c>
      <c r="CI50" t="s">
        <v>1713</v>
      </c>
      <c r="CJ50">
        <v>1.0022562323017099</v>
      </c>
      <c r="CK50">
        <f t="shared" si="8"/>
        <v>1.0022562323017139</v>
      </c>
      <c r="CL50" s="246">
        <f t="shared" si="9"/>
        <v>44781</v>
      </c>
      <c r="CM50" s="246">
        <f>'Cálculo PU'!G104</f>
        <v>44781</v>
      </c>
      <c r="CN50" s="215">
        <f t="shared" si="10"/>
        <v>44813</v>
      </c>
      <c r="CO50" s="215">
        <f>'Cálculo PU'!G105</f>
        <v>44813</v>
      </c>
      <c r="CQ50">
        <v>4091</v>
      </c>
      <c r="CR50" s="215">
        <v>44053</v>
      </c>
      <c r="CS50" s="215">
        <v>44083</v>
      </c>
      <c r="CT50" t="s">
        <v>822</v>
      </c>
      <c r="CU50" t="s">
        <v>823</v>
      </c>
      <c r="CV50" t="s">
        <v>1714</v>
      </c>
      <c r="CW50">
        <v>2.5</v>
      </c>
    </row>
    <row r="51" spans="2:101">
      <c r="B51" s="147">
        <v>4931</v>
      </c>
      <c r="C51" s="156">
        <v>43374</v>
      </c>
      <c r="D51" s="156">
        <v>44845</v>
      </c>
      <c r="E51" s="148" t="s">
        <v>822</v>
      </c>
      <c r="F51" s="148" t="s">
        <v>823</v>
      </c>
      <c r="G51" s="148" t="s">
        <v>825</v>
      </c>
      <c r="H51" s="148">
        <v>46.519381846052902</v>
      </c>
      <c r="I51" s="148">
        <f>'Cálculo PU'!V106</f>
        <v>22.556791956270903</v>
      </c>
      <c r="J51" s="168">
        <f t="shared" si="7"/>
        <v>23.962589889781999</v>
      </c>
      <c r="L51" s="147">
        <v>4917</v>
      </c>
      <c r="M51" s="156">
        <v>43374</v>
      </c>
      <c r="N51" s="156">
        <v>44845</v>
      </c>
      <c r="O51" s="148" t="s">
        <v>822</v>
      </c>
      <c r="P51" s="148" t="s">
        <v>823</v>
      </c>
      <c r="Q51" s="148" t="s">
        <v>824</v>
      </c>
      <c r="R51" s="148">
        <v>51.384476208493602</v>
      </c>
      <c r="S51" s="148">
        <f>'Cálculo PU'!U106</f>
        <v>26.664078495498202</v>
      </c>
      <c r="T51" s="168">
        <f t="shared" si="11"/>
        <v>24.7203977129954</v>
      </c>
      <c r="V51" s="147">
        <v>4903</v>
      </c>
      <c r="W51" s="156">
        <v>43374</v>
      </c>
      <c r="X51" s="156">
        <v>44845</v>
      </c>
      <c r="Y51" s="148" t="s">
        <v>822</v>
      </c>
      <c r="Z51" s="148" t="s">
        <v>823</v>
      </c>
      <c r="AA51" s="148" t="s">
        <v>830</v>
      </c>
      <c r="AB51" s="148">
        <v>77.976104544138806</v>
      </c>
      <c r="AC51" s="148">
        <f>'Cálculo PU'!T106</f>
        <v>74.623240516205442</v>
      </c>
      <c r="AD51" s="168">
        <f t="shared" si="12"/>
        <v>3.3528640279333644</v>
      </c>
      <c r="AF51" s="147">
        <v>4915</v>
      </c>
      <c r="AG51" s="156">
        <v>43374</v>
      </c>
      <c r="AH51" s="156">
        <v>44845</v>
      </c>
      <c r="AI51" s="148" t="s">
        <v>822</v>
      </c>
      <c r="AJ51" s="148" t="s">
        <v>823</v>
      </c>
      <c r="AK51" s="148" t="s">
        <v>942</v>
      </c>
      <c r="AL51" s="148">
        <v>10.909847449999999</v>
      </c>
      <c r="AM51" s="148">
        <f>'Cálculo PU'!Q106</f>
        <v>16.407699999999998</v>
      </c>
      <c r="AN51" s="168">
        <f t="shared" si="13"/>
        <v>-5.4978525499999993</v>
      </c>
      <c r="AP51" s="147">
        <v>4916</v>
      </c>
      <c r="AQ51" s="156">
        <v>43374</v>
      </c>
      <c r="AR51" s="156">
        <v>44845</v>
      </c>
      <c r="AS51" s="148" t="s">
        <v>822</v>
      </c>
      <c r="AT51" s="148" t="s">
        <v>823</v>
      </c>
      <c r="AU51" s="148" t="s">
        <v>943</v>
      </c>
      <c r="AV51" s="148">
        <v>1015</v>
      </c>
      <c r="AW51" s="152">
        <f>'Cálculo PU'!L106</f>
        <v>1707</v>
      </c>
      <c r="AX51" s="168">
        <f t="shared" si="14"/>
        <v>-692</v>
      </c>
      <c r="AZ51" s="147">
        <v>4905</v>
      </c>
      <c r="BA51" s="156">
        <v>43374</v>
      </c>
      <c r="BB51" s="156">
        <v>44845</v>
      </c>
      <c r="BC51" s="148" t="s">
        <v>822</v>
      </c>
      <c r="BD51" s="148" t="s">
        <v>823</v>
      </c>
      <c r="BE51" s="148" t="s">
        <v>945</v>
      </c>
      <c r="BF51" s="148">
        <v>1.0021580294750001</v>
      </c>
      <c r="BG51" s="148">
        <f>'Cálculo PU'!N106</f>
        <v>1.0020598362698427</v>
      </c>
      <c r="BH51" s="168">
        <f t="shared" si="15"/>
        <v>9.8193205157359742E-5</v>
      </c>
      <c r="BJ51" s="147">
        <v>4930</v>
      </c>
      <c r="BK51" s="156">
        <v>43374</v>
      </c>
      <c r="BL51" s="156">
        <v>44845</v>
      </c>
      <c r="BM51" s="148" t="s">
        <v>822</v>
      </c>
      <c r="BN51" s="148" t="s">
        <v>823</v>
      </c>
      <c r="BO51" s="148" t="s">
        <v>827</v>
      </c>
      <c r="BP51" s="148">
        <v>1.1045820939440001</v>
      </c>
      <c r="BQ51" s="148">
        <f>'Cálculo PU'!O106</f>
        <v>1.1820864663374906</v>
      </c>
      <c r="BR51" s="168">
        <f t="shared" si="16"/>
        <v>-7.7504372393490506E-2</v>
      </c>
      <c r="BT51" s="147">
        <v>4904</v>
      </c>
      <c r="BU51" s="156">
        <v>43374</v>
      </c>
      <c r="BV51" s="156">
        <v>44845</v>
      </c>
      <c r="BW51" s="148" t="s">
        <v>822</v>
      </c>
      <c r="BX51" s="148" t="s">
        <v>823</v>
      </c>
      <c r="BY51" s="148" t="s">
        <v>946</v>
      </c>
      <c r="BZ51" s="148">
        <v>1.0105553</v>
      </c>
      <c r="CA51" s="148">
        <f>'Cálculo PU'!S106</f>
        <v>1.0132049999999999</v>
      </c>
      <c r="CB51" s="168">
        <f t="shared" si="17"/>
        <v>-2.6496999999998661E-3</v>
      </c>
      <c r="CD51">
        <v>4849</v>
      </c>
      <c r="CE51" s="215">
        <v>44813</v>
      </c>
      <c r="CF51" s="215">
        <v>44845</v>
      </c>
      <c r="CG51" t="s">
        <v>822</v>
      </c>
      <c r="CH51" t="s">
        <v>823</v>
      </c>
      <c r="CI51" t="s">
        <v>1713</v>
      </c>
      <c r="CJ51">
        <v>1.0021580294747401</v>
      </c>
      <c r="CK51">
        <f t="shared" si="8"/>
        <v>1.0020598362698427</v>
      </c>
      <c r="CL51" s="246">
        <f t="shared" si="9"/>
        <v>44813</v>
      </c>
      <c r="CM51" s="246">
        <f>'Cálculo PU'!G105</f>
        <v>44813</v>
      </c>
      <c r="CN51" s="215">
        <f t="shared" si="10"/>
        <v>44845</v>
      </c>
      <c r="CO51" s="215">
        <f>'Cálculo PU'!G106</f>
        <v>44845</v>
      </c>
      <c r="CQ51">
        <v>4129</v>
      </c>
      <c r="CR51" s="215">
        <v>44083</v>
      </c>
      <c r="CS51" s="215">
        <v>44113</v>
      </c>
      <c r="CT51" t="s">
        <v>822</v>
      </c>
      <c r="CU51" t="s">
        <v>823</v>
      </c>
      <c r="CV51" t="s">
        <v>1714</v>
      </c>
      <c r="CW51">
        <v>2.5</v>
      </c>
    </row>
    <row r="52" spans="2:101">
      <c r="B52" s="147">
        <v>4970</v>
      </c>
      <c r="C52" s="156">
        <v>43374</v>
      </c>
      <c r="D52" s="156">
        <v>44875</v>
      </c>
      <c r="E52" s="148" t="s">
        <v>822</v>
      </c>
      <c r="F52" s="148" t="s">
        <v>823</v>
      </c>
      <c r="G52" s="148" t="s">
        <v>825</v>
      </c>
      <c r="H52" s="148">
        <v>41.030447827573902</v>
      </c>
      <c r="I52" s="148">
        <f>'Cálculo PU'!V107</f>
        <v>20.789363535825903</v>
      </c>
      <c r="J52" s="168">
        <f t="shared" si="7"/>
        <v>20.241084291747999</v>
      </c>
      <c r="L52" s="147">
        <v>4956</v>
      </c>
      <c r="M52" s="156">
        <v>43374</v>
      </c>
      <c r="N52" s="156">
        <v>44875</v>
      </c>
      <c r="O52" s="148" t="s">
        <v>822</v>
      </c>
      <c r="P52" s="148" t="s">
        <v>823</v>
      </c>
      <c r="Q52" s="148" t="s">
        <v>824</v>
      </c>
      <c r="R52" s="148">
        <v>45.410412599732801</v>
      </c>
      <c r="S52" s="148">
        <f>'Cálculo PU'!U107</f>
        <v>24.623037748593273</v>
      </c>
      <c r="T52" s="168">
        <f t="shared" si="11"/>
        <v>20.787374851139528</v>
      </c>
      <c r="V52" s="147">
        <v>4942</v>
      </c>
      <c r="W52" s="156">
        <v>43374</v>
      </c>
      <c r="X52" s="156">
        <v>44875</v>
      </c>
      <c r="Y52" s="148" t="s">
        <v>822</v>
      </c>
      <c r="Z52" s="148" t="s">
        <v>823</v>
      </c>
      <c r="AA52" s="148" t="s">
        <v>830</v>
      </c>
      <c r="AB52" s="148">
        <v>69.589478525389495</v>
      </c>
      <c r="AC52" s="148">
        <f>'Cálculo PU'!T107</f>
        <v>69.737188755903532</v>
      </c>
      <c r="AD52" s="168">
        <f t="shared" si="12"/>
        <v>-0.14771023051403631</v>
      </c>
      <c r="AF52" s="147">
        <v>4954</v>
      </c>
      <c r="AG52" s="156">
        <v>43374</v>
      </c>
      <c r="AH52" s="156">
        <v>44875</v>
      </c>
      <c r="AI52" s="148" t="s">
        <v>822</v>
      </c>
      <c r="AJ52" s="148" t="s">
        <v>823</v>
      </c>
      <c r="AK52" s="148" t="s">
        <v>942</v>
      </c>
      <c r="AL52" s="148">
        <v>10.95272692</v>
      </c>
      <c r="AM52" s="148">
        <f>'Cálculo PU'!Q107</f>
        <v>16.4053</v>
      </c>
      <c r="AN52" s="168">
        <f t="shared" si="13"/>
        <v>-5.4525730800000005</v>
      </c>
      <c r="AP52" s="147">
        <v>4955</v>
      </c>
      <c r="AQ52" s="156">
        <v>43374</v>
      </c>
      <c r="AR52" s="156">
        <v>44875</v>
      </c>
      <c r="AS52" s="148" t="s">
        <v>822</v>
      </c>
      <c r="AT52" s="148" t="s">
        <v>823</v>
      </c>
      <c r="AU52" s="148" t="s">
        <v>943</v>
      </c>
      <c r="AV52" s="148">
        <v>1035</v>
      </c>
      <c r="AW52" s="152">
        <f>'Cálculo PU'!L107</f>
        <v>1727</v>
      </c>
      <c r="AX52" s="168">
        <f t="shared" si="14"/>
        <v>-692</v>
      </c>
      <c r="AZ52" s="147">
        <v>4944</v>
      </c>
      <c r="BA52" s="156">
        <v>43374</v>
      </c>
      <c r="BB52" s="156">
        <v>44875</v>
      </c>
      <c r="BC52" s="148" t="s">
        <v>822</v>
      </c>
      <c r="BD52" s="148" t="s">
        <v>823</v>
      </c>
      <c r="BE52" s="148" t="s">
        <v>945</v>
      </c>
      <c r="BF52" s="148">
        <v>1.001961652686</v>
      </c>
      <c r="BG52" s="148">
        <f>'Cálculo PU'!N107</f>
        <v>1.0019616526860928</v>
      </c>
      <c r="BH52" s="168">
        <f t="shared" si="15"/>
        <v>-9.2814644858663087E-14</v>
      </c>
      <c r="BJ52" s="147">
        <v>4969</v>
      </c>
      <c r="BK52" s="156">
        <v>43374</v>
      </c>
      <c r="BL52" s="156">
        <v>44875</v>
      </c>
      <c r="BM52" s="148" t="s">
        <v>822</v>
      </c>
      <c r="BN52" s="148" t="s">
        <v>823</v>
      </c>
      <c r="BO52" s="148" t="s">
        <v>827</v>
      </c>
      <c r="BP52" s="148">
        <v>1.1067491339740001</v>
      </c>
      <c r="BQ52" s="148">
        <f>'Cálculo PU'!O107</f>
        <v>1.1844055594179628</v>
      </c>
      <c r="BR52" s="168">
        <f t="shared" si="16"/>
        <v>-7.7656425443962673E-2</v>
      </c>
      <c r="BT52" s="147">
        <v>4943</v>
      </c>
      <c r="BU52" s="156">
        <v>43374</v>
      </c>
      <c r="BV52" s="156">
        <v>44875</v>
      </c>
      <c r="BW52" s="148" t="s">
        <v>822</v>
      </c>
      <c r="BX52" s="148" t="s">
        <v>823</v>
      </c>
      <c r="BY52" s="148" t="s">
        <v>946</v>
      </c>
      <c r="BZ52" s="148">
        <v>1.00985386</v>
      </c>
      <c r="CA52" s="148">
        <f>'Cálculo PU'!S107</f>
        <v>1.01199737</v>
      </c>
      <c r="CB52" s="168">
        <f t="shared" si="17"/>
        <v>-2.1435100000000151E-3</v>
      </c>
      <c r="CD52">
        <v>4887</v>
      </c>
      <c r="CE52" s="215">
        <v>44845</v>
      </c>
      <c r="CF52" s="215">
        <v>44875</v>
      </c>
      <c r="CG52" t="s">
        <v>822</v>
      </c>
      <c r="CH52" t="s">
        <v>823</v>
      </c>
      <c r="CI52" t="s">
        <v>1713</v>
      </c>
      <c r="CJ52">
        <v>1.0019616526860899</v>
      </c>
      <c r="CK52">
        <f t="shared" si="8"/>
        <v>1.0019616526860928</v>
      </c>
      <c r="CL52" s="246">
        <f t="shared" si="9"/>
        <v>44845</v>
      </c>
      <c r="CM52" s="246">
        <f>'Cálculo PU'!G106</f>
        <v>44845</v>
      </c>
      <c r="CN52" s="215">
        <f t="shared" si="10"/>
        <v>44875</v>
      </c>
      <c r="CO52" s="215">
        <f>'Cálculo PU'!G107</f>
        <v>44875</v>
      </c>
      <c r="CQ52">
        <v>4131</v>
      </c>
      <c r="CR52" s="215">
        <v>44083</v>
      </c>
      <c r="CS52" s="215">
        <v>44113</v>
      </c>
      <c r="CT52" t="s">
        <v>822</v>
      </c>
      <c r="CU52" t="s">
        <v>823</v>
      </c>
      <c r="CV52" t="s">
        <v>1714</v>
      </c>
      <c r="CW52">
        <v>2.5</v>
      </c>
    </row>
    <row r="53" spans="2:101">
      <c r="B53" s="147">
        <v>5009</v>
      </c>
      <c r="C53" s="156">
        <v>43374</v>
      </c>
      <c r="D53" s="156">
        <v>44903</v>
      </c>
      <c r="E53" s="148" t="s">
        <v>822</v>
      </c>
      <c r="F53" s="148" t="s">
        <v>823</v>
      </c>
      <c r="G53" s="148" t="s">
        <v>825</v>
      </c>
      <c r="H53" s="148">
        <v>37.818896211749298</v>
      </c>
      <c r="I53" s="148">
        <f>'Cálculo PU'!V108</f>
        <v>20.127168589066478</v>
      </c>
      <c r="J53" s="168">
        <f t="shared" si="7"/>
        <v>17.691727622682819</v>
      </c>
      <c r="L53" s="147">
        <v>4995</v>
      </c>
      <c r="M53" s="156">
        <v>43374</v>
      </c>
      <c r="N53" s="156">
        <v>44903</v>
      </c>
      <c r="O53" s="148" t="s">
        <v>822</v>
      </c>
      <c r="P53" s="148" t="s">
        <v>823</v>
      </c>
      <c r="Q53" s="148" t="s">
        <v>824</v>
      </c>
      <c r="R53" s="148">
        <v>41.938146476879901</v>
      </c>
      <c r="S53" s="148">
        <f>'Cálculo PU'!U108</f>
        <v>23.885498723134351</v>
      </c>
      <c r="T53" s="168">
        <f t="shared" si="11"/>
        <v>18.05264775374555</v>
      </c>
      <c r="V53" s="147">
        <v>4981</v>
      </c>
      <c r="W53" s="156">
        <v>43374</v>
      </c>
      <c r="X53" s="156">
        <v>44903</v>
      </c>
      <c r="Y53" s="148" t="s">
        <v>822</v>
      </c>
      <c r="Z53" s="148" t="s">
        <v>823</v>
      </c>
      <c r="AA53" s="148" t="s">
        <v>830</v>
      </c>
      <c r="AB53" s="148">
        <v>64.901674053885003</v>
      </c>
      <c r="AC53" s="148">
        <f>'Cálculo PU'!T108</f>
        <v>68.458659339772865</v>
      </c>
      <c r="AD53" s="168">
        <f t="shared" si="12"/>
        <v>-3.5569852858878619</v>
      </c>
      <c r="AF53" s="147">
        <v>4993</v>
      </c>
      <c r="AG53" s="156">
        <v>43374</v>
      </c>
      <c r="AH53" s="156">
        <v>44903</v>
      </c>
      <c r="AI53" s="148" t="s">
        <v>822</v>
      </c>
      <c r="AJ53" s="148" t="s">
        <v>823</v>
      </c>
      <c r="AK53" s="148" t="s">
        <v>942</v>
      </c>
      <c r="AL53" s="148">
        <v>10.99399627</v>
      </c>
      <c r="AM53" s="148">
        <f>'Cálculo PU'!Q108</f>
        <v>16.402799999999999</v>
      </c>
      <c r="AN53" s="168">
        <f t="shared" si="13"/>
        <v>-5.4088037299999989</v>
      </c>
      <c r="AP53" s="147">
        <v>4994</v>
      </c>
      <c r="AQ53" s="156">
        <v>43374</v>
      </c>
      <c r="AR53" s="156">
        <v>44903</v>
      </c>
      <c r="AS53" s="148" t="s">
        <v>822</v>
      </c>
      <c r="AT53" s="148" t="s">
        <v>823</v>
      </c>
      <c r="AU53" s="148" t="s">
        <v>943</v>
      </c>
      <c r="AV53" s="148">
        <v>1055</v>
      </c>
      <c r="AW53" s="152">
        <f>'Cálculo PU'!L108</f>
        <v>1747</v>
      </c>
      <c r="AX53" s="168">
        <f t="shared" si="14"/>
        <v>-692</v>
      </c>
      <c r="AZ53" s="147">
        <v>4983</v>
      </c>
      <c r="BA53" s="156">
        <v>43374</v>
      </c>
      <c r="BB53" s="156">
        <v>44903</v>
      </c>
      <c r="BC53" s="148" t="s">
        <v>822</v>
      </c>
      <c r="BD53" s="148" t="s">
        <v>823</v>
      </c>
      <c r="BE53" s="148" t="s">
        <v>945</v>
      </c>
      <c r="BF53" s="148">
        <v>1.0018634787230001</v>
      </c>
      <c r="BG53" s="148">
        <f>'Cálculo PU'!N108</f>
        <v>1.0019616526860928</v>
      </c>
      <c r="BH53" s="168">
        <f t="shared" si="15"/>
        <v>-9.8173963092751393E-5</v>
      </c>
      <c r="BJ53" s="147">
        <v>5008</v>
      </c>
      <c r="BK53" s="156">
        <v>43374</v>
      </c>
      <c r="BL53" s="156">
        <v>44903</v>
      </c>
      <c r="BM53" s="148" t="s">
        <v>822</v>
      </c>
      <c r="BN53" s="148" t="s">
        <v>823</v>
      </c>
      <c r="BO53" s="148" t="s">
        <v>827</v>
      </c>
      <c r="BP53" s="148">
        <v>1.108920425442</v>
      </c>
      <c r="BQ53" s="148">
        <f>'Cálculo PU'!O108</f>
        <v>1.1867292022440494</v>
      </c>
      <c r="BR53" s="168">
        <f t="shared" si="16"/>
        <v>-7.7808776802049451E-2</v>
      </c>
      <c r="BT53" s="147">
        <v>4982</v>
      </c>
      <c r="BU53" s="156">
        <v>43374</v>
      </c>
      <c r="BV53" s="156">
        <v>44903</v>
      </c>
      <c r="BW53" s="148" t="s">
        <v>822</v>
      </c>
      <c r="BX53" s="148" t="s">
        <v>823</v>
      </c>
      <c r="BY53" s="148" t="s">
        <v>946</v>
      </c>
      <c r="BZ53" s="148">
        <v>1.00935887</v>
      </c>
      <c r="CA53" s="148">
        <f>'Cálculo PU'!S108</f>
        <v>1.0113941</v>
      </c>
      <c r="CB53" s="168">
        <f t="shared" si="17"/>
        <v>-2.0352299999999435E-3</v>
      </c>
      <c r="CD53">
        <v>4925</v>
      </c>
      <c r="CE53" s="215">
        <v>44875</v>
      </c>
      <c r="CF53" s="215">
        <v>44903</v>
      </c>
      <c r="CG53" t="s">
        <v>822</v>
      </c>
      <c r="CH53" t="s">
        <v>823</v>
      </c>
      <c r="CI53" t="s">
        <v>1713</v>
      </c>
      <c r="CJ53">
        <v>1.00186347872254</v>
      </c>
      <c r="CK53">
        <f t="shared" si="8"/>
        <v>1.0019616526860928</v>
      </c>
      <c r="CL53" s="246">
        <f t="shared" si="9"/>
        <v>44875</v>
      </c>
      <c r="CM53" s="246">
        <f>'Cálculo PU'!G107</f>
        <v>44875</v>
      </c>
      <c r="CN53" s="215">
        <f t="shared" si="10"/>
        <v>44903</v>
      </c>
      <c r="CO53" s="215">
        <f>'Cálculo PU'!G108</f>
        <v>44903</v>
      </c>
      <c r="CQ53">
        <v>4169</v>
      </c>
      <c r="CR53" s="215">
        <v>44113</v>
      </c>
      <c r="CS53" s="215">
        <v>44145</v>
      </c>
      <c r="CT53" t="s">
        <v>822</v>
      </c>
      <c r="CU53" t="s">
        <v>823</v>
      </c>
      <c r="CV53" t="s">
        <v>1714</v>
      </c>
      <c r="CW53">
        <v>2.5</v>
      </c>
    </row>
    <row r="54" spans="2:101">
      <c r="B54" s="147">
        <v>5048</v>
      </c>
      <c r="C54" s="156">
        <v>43374</v>
      </c>
      <c r="D54" s="156">
        <v>44935</v>
      </c>
      <c r="E54" s="148" t="s">
        <v>822</v>
      </c>
      <c r="F54" s="148" t="s">
        <v>823</v>
      </c>
      <c r="G54" s="148" t="s">
        <v>825</v>
      </c>
      <c r="H54" s="148">
        <v>42.522595761126901</v>
      </c>
      <c r="I54" s="148">
        <f>'Cálculo PU'!V109</f>
        <v>21.455995567548307</v>
      </c>
      <c r="J54" s="168">
        <f t="shared" si="7"/>
        <v>21.066600193578594</v>
      </c>
      <c r="L54" s="147">
        <v>5034</v>
      </c>
      <c r="M54" s="156">
        <v>43374</v>
      </c>
      <c r="N54" s="156">
        <v>44935</v>
      </c>
      <c r="O54" s="148" t="s">
        <v>822</v>
      </c>
      <c r="P54" s="148" t="s">
        <v>823</v>
      </c>
      <c r="Q54" s="148" t="s">
        <v>824</v>
      </c>
      <c r="R54" s="148">
        <v>47.2559460533381</v>
      </c>
      <c r="S54" s="148">
        <f>'Cálculo PU'!U109</f>
        <v>25.517411159325221</v>
      </c>
      <c r="T54" s="168">
        <f t="shared" si="11"/>
        <v>21.738534894012879</v>
      </c>
      <c r="V54" s="147">
        <v>5020</v>
      </c>
      <c r="W54" s="156">
        <v>43374</v>
      </c>
      <c r="X54" s="156">
        <v>44935</v>
      </c>
      <c r="Y54" s="148" t="s">
        <v>822</v>
      </c>
      <c r="Z54" s="148" t="s">
        <v>823</v>
      </c>
      <c r="AA54" s="148" t="s">
        <v>830</v>
      </c>
      <c r="AB54" s="148">
        <v>73.926640898297507</v>
      </c>
      <c r="AC54" s="148">
        <f>'Cálculo PU'!T109</f>
        <v>74.10231559451509</v>
      </c>
      <c r="AD54" s="168">
        <f t="shared" si="12"/>
        <v>-0.17567469621758391</v>
      </c>
      <c r="AF54" s="147">
        <v>5032</v>
      </c>
      <c r="AG54" s="156">
        <v>43374</v>
      </c>
      <c r="AH54" s="156">
        <v>44935</v>
      </c>
      <c r="AI54" s="148" t="s">
        <v>822</v>
      </c>
      <c r="AJ54" s="148" t="s">
        <v>823</v>
      </c>
      <c r="AK54" s="148" t="s">
        <v>942</v>
      </c>
      <c r="AL54" s="148">
        <v>11.03844404</v>
      </c>
      <c r="AM54" s="148">
        <f>'Cálculo PU'!Q109</f>
        <v>16.400600000000001</v>
      </c>
      <c r="AN54" s="168">
        <f t="shared" si="13"/>
        <v>-5.3621559600000008</v>
      </c>
      <c r="AP54" s="147">
        <v>5033</v>
      </c>
      <c r="AQ54" s="156">
        <v>43374</v>
      </c>
      <c r="AR54" s="156">
        <v>44935</v>
      </c>
      <c r="AS54" s="148" t="s">
        <v>822</v>
      </c>
      <c r="AT54" s="148" t="s">
        <v>823</v>
      </c>
      <c r="AU54" s="148" t="s">
        <v>943</v>
      </c>
      <c r="AV54" s="148">
        <v>1077</v>
      </c>
      <c r="AW54" s="152">
        <f>'Cálculo PU'!L109</f>
        <v>1769</v>
      </c>
      <c r="AX54" s="168">
        <f t="shared" si="14"/>
        <v>-692</v>
      </c>
      <c r="AZ54" s="147">
        <v>5022</v>
      </c>
      <c r="BA54" s="156">
        <v>43374</v>
      </c>
      <c r="BB54" s="156">
        <v>44935</v>
      </c>
      <c r="BC54" s="148" t="s">
        <v>822</v>
      </c>
      <c r="BD54" s="148" t="s">
        <v>823</v>
      </c>
      <c r="BE54" s="148" t="s">
        <v>945</v>
      </c>
      <c r="BF54" s="148">
        <v>1.0021580294750001</v>
      </c>
      <c r="BG54" s="148">
        <f>'Cálculo PU'!N109</f>
        <v>1.0021580294747356</v>
      </c>
      <c r="BH54" s="168">
        <f t="shared" si="15"/>
        <v>2.6445512446571229E-13</v>
      </c>
      <c r="BJ54" s="147">
        <v>5047</v>
      </c>
      <c r="BK54" s="156">
        <v>43374</v>
      </c>
      <c r="BL54" s="156">
        <v>44935</v>
      </c>
      <c r="BM54" s="148" t="s">
        <v>822</v>
      </c>
      <c r="BN54" s="148" t="s">
        <v>823</v>
      </c>
      <c r="BO54" s="148" t="s">
        <v>827</v>
      </c>
      <c r="BP54" s="148">
        <v>1.1113137664220001</v>
      </c>
      <c r="BQ54" s="148">
        <f>'Cálculo PU'!O109</f>
        <v>1.1892904749626119</v>
      </c>
      <c r="BR54" s="168">
        <f t="shared" si="16"/>
        <v>-7.7976708540611783E-2</v>
      </c>
      <c r="BT54" s="147">
        <v>5021</v>
      </c>
      <c r="BU54" s="156">
        <v>43374</v>
      </c>
      <c r="BV54" s="156">
        <v>44935</v>
      </c>
      <c r="BW54" s="148" t="s">
        <v>822</v>
      </c>
      <c r="BX54" s="148" t="s">
        <v>823</v>
      </c>
      <c r="BY54" s="148" t="s">
        <v>946</v>
      </c>
      <c r="BZ54" s="148">
        <v>1.01086198</v>
      </c>
      <c r="CA54" s="148">
        <f>'Cálculo PU'!S109</f>
        <v>1.01326413</v>
      </c>
      <c r="CB54" s="168">
        <f t="shared" si="17"/>
        <v>-2.4021499999999918E-3</v>
      </c>
      <c r="CD54">
        <v>4963</v>
      </c>
      <c r="CE54" s="215">
        <v>44903</v>
      </c>
      <c r="CF54" s="215">
        <v>44935</v>
      </c>
      <c r="CG54" t="s">
        <v>822</v>
      </c>
      <c r="CH54" t="s">
        <v>823</v>
      </c>
      <c r="CI54" t="s">
        <v>1713</v>
      </c>
      <c r="CJ54">
        <v>1.0021580294747401</v>
      </c>
      <c r="CK54">
        <f t="shared" si="8"/>
        <v>1.0021580294747356</v>
      </c>
      <c r="CL54" s="246">
        <f t="shared" si="9"/>
        <v>44903</v>
      </c>
      <c r="CM54" s="246">
        <f>'Cálculo PU'!G108</f>
        <v>44903</v>
      </c>
      <c r="CN54" s="215">
        <f t="shared" si="10"/>
        <v>44935</v>
      </c>
      <c r="CO54" s="215">
        <f>'Cálculo PU'!G109</f>
        <v>44935</v>
      </c>
      <c r="CQ54">
        <v>4171</v>
      </c>
      <c r="CR54" s="215">
        <v>44113</v>
      </c>
      <c r="CS54" s="215">
        <v>44145</v>
      </c>
      <c r="CT54" t="s">
        <v>822</v>
      </c>
      <c r="CU54" t="s">
        <v>823</v>
      </c>
      <c r="CV54" t="s">
        <v>1714</v>
      </c>
      <c r="CW54">
        <v>2.5</v>
      </c>
    </row>
    <row r="55" spans="2:101">
      <c r="B55" s="147">
        <v>5087</v>
      </c>
      <c r="C55" s="156">
        <v>43374</v>
      </c>
      <c r="D55" s="156">
        <v>44965</v>
      </c>
      <c r="E55" s="148" t="s">
        <v>822</v>
      </c>
      <c r="F55" s="148" t="s">
        <v>823</v>
      </c>
      <c r="G55" s="148" t="s">
        <v>825</v>
      </c>
      <c r="H55" s="148">
        <v>41.167023461527698</v>
      </c>
      <c r="I55" s="148">
        <f>'Cálculo PU'!V110</f>
        <v>20.727336082541015</v>
      </c>
      <c r="J55" s="168">
        <f t="shared" si="7"/>
        <v>20.439687378986683</v>
      </c>
      <c r="L55" s="147">
        <v>5073</v>
      </c>
      <c r="M55" s="156">
        <v>43374</v>
      </c>
      <c r="N55" s="156">
        <v>44965</v>
      </c>
      <c r="O55" s="148" t="s">
        <v>822</v>
      </c>
      <c r="P55" s="148" t="s">
        <v>823</v>
      </c>
      <c r="Q55" s="148" t="s">
        <v>824</v>
      </c>
      <c r="R55" s="148">
        <v>45.848219266260102</v>
      </c>
      <c r="S55" s="148">
        <f>'Cálculo PU'!U110</f>
        <v>24.704026313350468</v>
      </c>
      <c r="T55" s="168">
        <f t="shared" si="11"/>
        <v>21.144192952909634</v>
      </c>
      <c r="V55" s="147">
        <v>5059</v>
      </c>
      <c r="W55" s="156">
        <v>43374</v>
      </c>
      <c r="X55" s="156">
        <v>44965</v>
      </c>
      <c r="Y55" s="148" t="s">
        <v>822</v>
      </c>
      <c r="Z55" s="148" t="s">
        <v>823</v>
      </c>
      <c r="AA55" s="148" t="s">
        <v>830</v>
      </c>
      <c r="AB55" s="148">
        <v>72.507723069262994</v>
      </c>
      <c r="AC55" s="148">
        <f>'Cálculo PU'!T110</f>
        <v>72.690193545688686</v>
      </c>
      <c r="AD55" s="168">
        <f t="shared" si="12"/>
        <v>-0.18247047642569214</v>
      </c>
      <c r="AF55" s="147">
        <v>5071</v>
      </c>
      <c r="AG55" s="156">
        <v>43374</v>
      </c>
      <c r="AH55" s="156">
        <v>44965</v>
      </c>
      <c r="AI55" s="148" t="s">
        <v>822</v>
      </c>
      <c r="AJ55" s="148" t="s">
        <v>823</v>
      </c>
      <c r="AK55" s="148" t="s">
        <v>942</v>
      </c>
      <c r="AL55" s="148">
        <v>11.08226915</v>
      </c>
      <c r="AM55" s="148">
        <f>'Cálculo PU'!Q110</f>
        <v>16.398900000000001</v>
      </c>
      <c r="AN55" s="168">
        <f t="shared" si="13"/>
        <v>-5.316630850000001</v>
      </c>
      <c r="AP55" s="147">
        <v>5072</v>
      </c>
      <c r="AQ55" s="156">
        <v>43374</v>
      </c>
      <c r="AR55" s="156">
        <v>44965</v>
      </c>
      <c r="AS55" s="148" t="s">
        <v>822</v>
      </c>
      <c r="AT55" s="148" t="s">
        <v>823</v>
      </c>
      <c r="AU55" s="148" t="s">
        <v>943</v>
      </c>
      <c r="AV55" s="148">
        <v>1099</v>
      </c>
      <c r="AW55" s="152">
        <f>'Cálculo PU'!L110</f>
        <v>1791</v>
      </c>
      <c r="AX55" s="168">
        <f t="shared" si="14"/>
        <v>-692</v>
      </c>
      <c r="AZ55" s="147">
        <v>5061</v>
      </c>
      <c r="BA55" s="156">
        <v>43374</v>
      </c>
      <c r="BB55" s="156">
        <v>44965</v>
      </c>
      <c r="BC55" s="148" t="s">
        <v>822</v>
      </c>
      <c r="BD55" s="148" t="s">
        <v>823</v>
      </c>
      <c r="BE55" s="148" t="s">
        <v>945</v>
      </c>
      <c r="BF55" s="148">
        <v>1.0021580294750001</v>
      </c>
      <c r="BG55" s="148">
        <f>'Cálculo PU'!N110</f>
        <v>1.0021580294747356</v>
      </c>
      <c r="BH55" s="168">
        <f t="shared" si="15"/>
        <v>2.6445512446571229E-13</v>
      </c>
      <c r="BJ55" s="147">
        <v>5086</v>
      </c>
      <c r="BK55" s="156">
        <v>43374</v>
      </c>
      <c r="BL55" s="156">
        <v>44965</v>
      </c>
      <c r="BM55" s="148" t="s">
        <v>822</v>
      </c>
      <c r="BN55" s="148" t="s">
        <v>823</v>
      </c>
      <c r="BO55" s="148" t="s">
        <v>827</v>
      </c>
      <c r="BP55" s="148">
        <v>1.1137122728610001</v>
      </c>
      <c r="BQ55" s="148">
        <f>'Cálculo PU'!O110</f>
        <v>1.1918572755791366</v>
      </c>
      <c r="BR55" s="168">
        <f t="shared" si="16"/>
        <v>-7.8145002718136514E-2</v>
      </c>
      <c r="BT55" s="147">
        <v>5060</v>
      </c>
      <c r="BU55" s="156">
        <v>43374</v>
      </c>
      <c r="BV55" s="156">
        <v>44965</v>
      </c>
      <c r="BW55" s="148" t="s">
        <v>822</v>
      </c>
      <c r="BX55" s="148" t="s">
        <v>823</v>
      </c>
      <c r="BY55" s="148" t="s">
        <v>946</v>
      </c>
      <c r="BZ55" s="148">
        <v>1.0109211499999999</v>
      </c>
      <c r="CA55" s="148">
        <f>'Cálculo PU'!S110</f>
        <v>1.0134652</v>
      </c>
      <c r="CB55" s="168">
        <f t="shared" si="17"/>
        <v>-2.5440500000000199E-3</v>
      </c>
      <c r="CD55">
        <v>5001</v>
      </c>
      <c r="CE55" s="215">
        <v>44935</v>
      </c>
      <c r="CF55" s="215">
        <v>44965</v>
      </c>
      <c r="CG55" t="s">
        <v>822</v>
      </c>
      <c r="CH55" t="s">
        <v>823</v>
      </c>
      <c r="CI55" t="s">
        <v>1713</v>
      </c>
      <c r="CJ55">
        <v>1.0021580294747401</v>
      </c>
      <c r="CK55">
        <f t="shared" si="8"/>
        <v>1.0021580294747356</v>
      </c>
      <c r="CL55" s="246">
        <f t="shared" si="9"/>
        <v>44935</v>
      </c>
      <c r="CM55" s="246">
        <f>'Cálculo PU'!G109</f>
        <v>44935</v>
      </c>
      <c r="CN55" s="215">
        <f t="shared" si="10"/>
        <v>44965</v>
      </c>
      <c r="CO55" s="215">
        <f>'Cálculo PU'!G110</f>
        <v>44965</v>
      </c>
      <c r="CQ55">
        <v>4209</v>
      </c>
      <c r="CR55" s="215">
        <v>44145</v>
      </c>
      <c r="CS55" s="215">
        <v>44173</v>
      </c>
      <c r="CT55" t="s">
        <v>822</v>
      </c>
      <c r="CU55" t="s">
        <v>823</v>
      </c>
      <c r="CV55" t="s">
        <v>1714</v>
      </c>
      <c r="CW55">
        <v>2.5</v>
      </c>
    </row>
    <row r="56" spans="2:101">
      <c r="B56" s="147">
        <v>5126</v>
      </c>
      <c r="C56" s="156">
        <v>43374</v>
      </c>
      <c r="D56" s="156">
        <v>44993</v>
      </c>
      <c r="E56" s="148" t="s">
        <v>822</v>
      </c>
      <c r="F56" s="148" t="s">
        <v>823</v>
      </c>
      <c r="G56" s="148" t="s">
        <v>825</v>
      </c>
      <c r="H56" s="148">
        <v>32.608121797654299</v>
      </c>
      <c r="I56" s="148">
        <f>'Cálculo PU'!V111</f>
        <v>16.37966916662489</v>
      </c>
      <c r="J56" s="168">
        <f t="shared" si="7"/>
        <v>16.228452631029409</v>
      </c>
      <c r="L56" s="147">
        <v>5112</v>
      </c>
      <c r="M56" s="156">
        <v>43374</v>
      </c>
      <c r="N56" s="156">
        <v>44993</v>
      </c>
      <c r="O56" s="148" t="s">
        <v>822</v>
      </c>
      <c r="P56" s="148" t="s">
        <v>823</v>
      </c>
      <c r="Q56" s="148" t="s">
        <v>824</v>
      </c>
      <c r="R56" s="148">
        <v>36.380181624263898</v>
      </c>
      <c r="S56" s="148">
        <f>'Cálculo PU'!U111</f>
        <v>19.556694452362194</v>
      </c>
      <c r="T56" s="168">
        <f t="shared" si="11"/>
        <v>16.823487171901704</v>
      </c>
      <c r="V56" s="147">
        <v>5098</v>
      </c>
      <c r="W56" s="156">
        <v>43374</v>
      </c>
      <c r="X56" s="156">
        <v>44993</v>
      </c>
      <c r="Y56" s="148" t="s">
        <v>822</v>
      </c>
      <c r="Z56" s="148" t="s">
        <v>823</v>
      </c>
      <c r="AA56" s="148" t="s">
        <v>830</v>
      </c>
      <c r="AB56" s="148">
        <v>58.047865371357602</v>
      </c>
      <c r="AC56" s="148">
        <f>'Cálculo PU'!T111</f>
        <v>58.167359470233571</v>
      </c>
      <c r="AD56" s="168">
        <f t="shared" si="12"/>
        <v>-0.11949409887596829</v>
      </c>
      <c r="AF56" s="147">
        <v>5110</v>
      </c>
      <c r="AG56" s="156">
        <v>43374</v>
      </c>
      <c r="AH56" s="156">
        <v>44993</v>
      </c>
      <c r="AI56" s="148" t="s">
        <v>822</v>
      </c>
      <c r="AJ56" s="148" t="s">
        <v>823</v>
      </c>
      <c r="AK56" s="148" t="s">
        <v>942</v>
      </c>
      <c r="AL56" s="148">
        <v>11.11685422</v>
      </c>
      <c r="AM56" s="148">
        <f>'Cálculo PU'!Q111</f>
        <v>16.397600000000001</v>
      </c>
      <c r="AN56" s="168">
        <f t="shared" si="13"/>
        <v>-5.2807457800000002</v>
      </c>
      <c r="AP56" s="147">
        <v>5111</v>
      </c>
      <c r="AQ56" s="156">
        <v>43374</v>
      </c>
      <c r="AR56" s="156">
        <v>44993</v>
      </c>
      <c r="AS56" s="148" t="s">
        <v>822</v>
      </c>
      <c r="AT56" s="148" t="s">
        <v>823</v>
      </c>
      <c r="AU56" s="148" t="s">
        <v>943</v>
      </c>
      <c r="AV56" s="148">
        <v>1117</v>
      </c>
      <c r="AW56" s="152">
        <f>'Cálculo PU'!L111</f>
        <v>1809</v>
      </c>
      <c r="AX56" s="168">
        <f t="shared" si="14"/>
        <v>-692</v>
      </c>
      <c r="AZ56" s="147">
        <v>5100</v>
      </c>
      <c r="BA56" s="156">
        <v>43374</v>
      </c>
      <c r="BB56" s="156">
        <v>44993</v>
      </c>
      <c r="BC56" s="148" t="s">
        <v>822</v>
      </c>
      <c r="BD56" s="148" t="s">
        <v>823</v>
      </c>
      <c r="BE56" s="148" t="s">
        <v>945</v>
      </c>
      <c r="BF56" s="148">
        <v>1.0017653143780001</v>
      </c>
      <c r="BG56" s="148">
        <f>'Cálculo PU'!N111</f>
        <v>1.0017653143782506</v>
      </c>
      <c r="BH56" s="168">
        <f t="shared" si="15"/>
        <v>-2.5046631435543532E-13</v>
      </c>
      <c r="BJ56" s="147">
        <v>5125</v>
      </c>
      <c r="BK56" s="156">
        <v>43374</v>
      </c>
      <c r="BL56" s="156">
        <v>44993</v>
      </c>
      <c r="BM56" s="148" t="s">
        <v>822</v>
      </c>
      <c r="BN56" s="148" t="s">
        <v>823</v>
      </c>
      <c r="BO56" s="148" t="s">
        <v>827</v>
      </c>
      <c r="BP56" s="148">
        <v>1.1156785370840001</v>
      </c>
      <c r="BQ56" s="148">
        <f>'Cálculo PU'!O111</f>
        <v>1.1939615051695178</v>
      </c>
      <c r="BR56" s="168">
        <f t="shared" si="16"/>
        <v>-7.8282968085517712E-2</v>
      </c>
      <c r="BT56" s="147">
        <v>5099</v>
      </c>
      <c r="BU56" s="156">
        <v>43374</v>
      </c>
      <c r="BV56" s="156">
        <v>44993</v>
      </c>
      <c r="BW56" s="148" t="s">
        <v>822</v>
      </c>
      <c r="BX56" s="148" t="s">
        <v>823</v>
      </c>
      <c r="BY56" s="148" t="s">
        <v>946</v>
      </c>
      <c r="BZ56" s="148">
        <v>1.00892665</v>
      </c>
      <c r="CA56" s="148">
        <f>'Cálculo PU'!S111</f>
        <v>1.01100357</v>
      </c>
      <c r="CB56" s="168">
        <f t="shared" si="17"/>
        <v>-2.0769199999999266E-3</v>
      </c>
      <c r="CD56">
        <v>5039</v>
      </c>
      <c r="CE56" s="215">
        <v>44965</v>
      </c>
      <c r="CF56" s="215">
        <v>44993</v>
      </c>
      <c r="CG56" t="s">
        <v>822</v>
      </c>
      <c r="CH56" t="s">
        <v>823</v>
      </c>
      <c r="CI56" t="s">
        <v>1713</v>
      </c>
      <c r="CJ56">
        <v>1.0017653143782499</v>
      </c>
      <c r="CK56">
        <f t="shared" si="8"/>
        <v>1.0017653143782506</v>
      </c>
      <c r="CL56" s="246">
        <f t="shared" si="9"/>
        <v>44965</v>
      </c>
      <c r="CM56" s="246">
        <f>'Cálculo PU'!G110</f>
        <v>44965</v>
      </c>
      <c r="CN56" s="215">
        <f t="shared" si="10"/>
        <v>44993</v>
      </c>
      <c r="CO56" s="215">
        <f>'Cálculo PU'!G111</f>
        <v>44993</v>
      </c>
      <c r="CQ56">
        <v>4211</v>
      </c>
      <c r="CR56" s="215">
        <v>44145</v>
      </c>
      <c r="CS56" s="215">
        <v>44173</v>
      </c>
      <c r="CT56" t="s">
        <v>822</v>
      </c>
      <c r="CU56" t="s">
        <v>823</v>
      </c>
      <c r="CV56" t="s">
        <v>1714</v>
      </c>
      <c r="CW56">
        <v>2.5</v>
      </c>
    </row>
    <row r="57" spans="2:101">
      <c r="B57" s="147">
        <v>5165</v>
      </c>
      <c r="C57" s="156">
        <v>43374</v>
      </c>
      <c r="D57" s="156">
        <v>45027</v>
      </c>
      <c r="E57" s="148" t="s">
        <v>822</v>
      </c>
      <c r="F57" s="148" t="s">
        <v>823</v>
      </c>
      <c r="G57" s="148" t="s">
        <v>825</v>
      </c>
      <c r="H57" s="148">
        <v>40.393615631369798</v>
      </c>
      <c r="I57" s="148">
        <f>'Cálculo PU'!V112</f>
        <v>20.252060773602569</v>
      </c>
      <c r="J57" s="168">
        <f t="shared" si="7"/>
        <v>20.141554857767229</v>
      </c>
      <c r="L57" s="147">
        <v>5151</v>
      </c>
      <c r="M57" s="156">
        <v>43374</v>
      </c>
      <c r="N57" s="156">
        <v>45027</v>
      </c>
      <c r="O57" s="148" t="s">
        <v>822</v>
      </c>
      <c r="P57" s="148" t="s">
        <v>823</v>
      </c>
      <c r="Q57" s="148" t="s">
        <v>824</v>
      </c>
      <c r="R57" s="148">
        <v>45.167980977790897</v>
      </c>
      <c r="S57" s="148">
        <f>'Cálculo PU'!U112</f>
        <v>24.234742951806965</v>
      </c>
      <c r="T57" s="168">
        <f t="shared" si="11"/>
        <v>20.933238025983933</v>
      </c>
      <c r="V57" s="147">
        <v>5137</v>
      </c>
      <c r="W57" s="156">
        <v>43374</v>
      </c>
      <c r="X57" s="156">
        <v>45027</v>
      </c>
      <c r="Y57" s="148" t="s">
        <v>822</v>
      </c>
      <c r="Z57" s="148" t="s">
        <v>823</v>
      </c>
      <c r="AA57" s="148" t="s">
        <v>830</v>
      </c>
      <c r="AB57" s="148">
        <v>72.8813088740079</v>
      </c>
      <c r="AC57" s="148">
        <f>'Cálculo PU'!T112</f>
        <v>73.07938852658765</v>
      </c>
      <c r="AD57" s="168">
        <f t="shared" si="12"/>
        <v>-0.19807965257975013</v>
      </c>
      <c r="AF57" s="147">
        <v>5149</v>
      </c>
      <c r="AG57" s="156">
        <v>43374</v>
      </c>
      <c r="AH57" s="156">
        <v>45027</v>
      </c>
      <c r="AI57" s="148" t="s">
        <v>822</v>
      </c>
      <c r="AJ57" s="148" t="s">
        <v>823</v>
      </c>
      <c r="AK57" s="148" t="s">
        <v>942</v>
      </c>
      <c r="AL57" s="148">
        <v>11.15564636</v>
      </c>
      <c r="AM57" s="148">
        <f>'Cálculo PU'!Q112</f>
        <v>16.395900000000001</v>
      </c>
      <c r="AN57" s="168">
        <f t="shared" si="13"/>
        <v>-5.2402536400000006</v>
      </c>
      <c r="AP57" s="147">
        <v>5150</v>
      </c>
      <c r="AQ57" s="156">
        <v>43374</v>
      </c>
      <c r="AR57" s="156">
        <v>45027</v>
      </c>
      <c r="AS57" s="148" t="s">
        <v>822</v>
      </c>
      <c r="AT57" s="148" t="s">
        <v>823</v>
      </c>
      <c r="AU57" s="148" t="s">
        <v>943</v>
      </c>
      <c r="AV57" s="148">
        <v>1140</v>
      </c>
      <c r="AW57" s="152">
        <f>'Cálculo PU'!L112</f>
        <v>1832</v>
      </c>
      <c r="AX57" s="168">
        <f t="shared" si="14"/>
        <v>-692</v>
      </c>
      <c r="AZ57" s="147">
        <v>5139</v>
      </c>
      <c r="BA57" s="156">
        <v>43374</v>
      </c>
      <c r="BB57" s="156">
        <v>45027</v>
      </c>
      <c r="BC57" s="148" t="s">
        <v>822</v>
      </c>
      <c r="BD57" s="148" t="s">
        <v>823</v>
      </c>
      <c r="BE57" s="148" t="s">
        <v>945</v>
      </c>
      <c r="BF57" s="148">
        <v>1.0022562323019999</v>
      </c>
      <c r="BG57" s="148">
        <f>'Cálculo PU'!N112</f>
        <v>1.0022562323017139</v>
      </c>
      <c r="BH57" s="168">
        <f t="shared" si="15"/>
        <v>2.8599345114344032E-13</v>
      </c>
      <c r="BJ57" s="147">
        <v>5164</v>
      </c>
      <c r="BK57" s="156">
        <v>43374</v>
      </c>
      <c r="BL57" s="156">
        <v>45027</v>
      </c>
      <c r="BM57" s="148" t="s">
        <v>822</v>
      </c>
      <c r="BN57" s="148" t="s">
        <v>823</v>
      </c>
      <c r="BO57" s="148" t="s">
        <v>827</v>
      </c>
      <c r="BP57" s="148">
        <v>1.1181960384530001</v>
      </c>
      <c r="BQ57" s="148">
        <f>'Cálculo PU'!O112</f>
        <v>1.1966556501447794</v>
      </c>
      <c r="BR57" s="168">
        <f t="shared" si="16"/>
        <v>-7.8459611691779285E-2</v>
      </c>
      <c r="BT57" s="147">
        <v>5138</v>
      </c>
      <c r="BU57" s="156">
        <v>43374</v>
      </c>
      <c r="BV57" s="156">
        <v>45027</v>
      </c>
      <c r="BW57" s="148" t="s">
        <v>822</v>
      </c>
      <c r="BX57" s="148" t="s">
        <v>823</v>
      </c>
      <c r="BY57" s="148" t="s">
        <v>946</v>
      </c>
      <c r="BZ57" s="148">
        <v>1.0113329099999999</v>
      </c>
      <c r="CA57" s="148">
        <f>'Cálculo PU'!S112</f>
        <v>1.01408155</v>
      </c>
      <c r="CB57" s="168">
        <f t="shared" si="17"/>
        <v>-2.7486400000000799E-3</v>
      </c>
      <c r="CD57">
        <v>5077</v>
      </c>
      <c r="CE57" s="215">
        <v>44993</v>
      </c>
      <c r="CF57" s="215">
        <v>45027</v>
      </c>
      <c r="CG57" t="s">
        <v>822</v>
      </c>
      <c r="CH57" t="s">
        <v>823</v>
      </c>
      <c r="CI57" t="s">
        <v>1713</v>
      </c>
      <c r="CJ57">
        <v>1.0022562323017099</v>
      </c>
      <c r="CK57">
        <f t="shared" si="8"/>
        <v>1.0022562323017139</v>
      </c>
      <c r="CL57" s="246">
        <f t="shared" si="9"/>
        <v>44993</v>
      </c>
      <c r="CM57" s="246">
        <f>'Cálculo PU'!G111</f>
        <v>44993</v>
      </c>
      <c r="CN57" s="215">
        <f t="shared" si="10"/>
        <v>45027</v>
      </c>
      <c r="CO57" s="215">
        <f>'Cálculo PU'!G112</f>
        <v>45027</v>
      </c>
      <c r="CQ57">
        <v>4249</v>
      </c>
      <c r="CR57" s="215">
        <v>44173</v>
      </c>
      <c r="CS57" s="215">
        <v>44207</v>
      </c>
      <c r="CT57" t="s">
        <v>822</v>
      </c>
      <c r="CU57" t="s">
        <v>823</v>
      </c>
      <c r="CV57" t="s">
        <v>1714</v>
      </c>
      <c r="CW57">
        <v>2.5</v>
      </c>
    </row>
    <row r="58" spans="2:101">
      <c r="B58" s="147">
        <v>5204</v>
      </c>
      <c r="C58" s="156">
        <v>43374</v>
      </c>
      <c r="D58" s="156">
        <v>45055</v>
      </c>
      <c r="E58" s="148" t="s">
        <v>822</v>
      </c>
      <c r="F58" s="148" t="s">
        <v>823</v>
      </c>
      <c r="G58" s="148" t="s">
        <v>825</v>
      </c>
      <c r="H58" s="148">
        <v>30.5827053218282</v>
      </c>
      <c r="I58" s="148">
        <f>'Cálculo PU'!V113</f>
        <v>15.294388504008953</v>
      </c>
      <c r="J58" s="168">
        <f t="shared" si="7"/>
        <v>15.288316817819247</v>
      </c>
      <c r="L58" s="147">
        <v>5190</v>
      </c>
      <c r="M58" s="156">
        <v>43374</v>
      </c>
      <c r="N58" s="156">
        <v>45055</v>
      </c>
      <c r="O58" s="148" t="s">
        <v>822</v>
      </c>
      <c r="P58" s="148" t="s">
        <v>823</v>
      </c>
      <c r="Q58" s="148" t="s">
        <v>824</v>
      </c>
      <c r="R58" s="148">
        <v>34.25783571142</v>
      </c>
      <c r="S58" s="148">
        <f>'Cálculo PU'!U113</f>
        <v>18.334428890907152</v>
      </c>
      <c r="T58" s="168">
        <f t="shared" si="11"/>
        <v>15.923406820512849</v>
      </c>
      <c r="V58" s="147">
        <v>5176</v>
      </c>
      <c r="W58" s="156">
        <v>43374</v>
      </c>
      <c r="X58" s="156">
        <v>45055</v>
      </c>
      <c r="Y58" s="148" t="s">
        <v>822</v>
      </c>
      <c r="Z58" s="148" t="s">
        <v>823</v>
      </c>
      <c r="AA58" s="148" t="s">
        <v>830</v>
      </c>
      <c r="AB58" s="148">
        <v>55.753197745304398</v>
      </c>
      <c r="AC58" s="148">
        <f>'Cálculo PU'!T113</f>
        <v>55.885365900476415</v>
      </c>
      <c r="AD58" s="168">
        <f t="shared" si="12"/>
        <v>-0.13216815517201752</v>
      </c>
      <c r="AF58" s="147">
        <v>5188</v>
      </c>
      <c r="AG58" s="156">
        <v>43374</v>
      </c>
      <c r="AH58" s="156">
        <v>45055</v>
      </c>
      <c r="AI58" s="148" t="s">
        <v>822</v>
      </c>
      <c r="AJ58" s="148" t="s">
        <v>823</v>
      </c>
      <c r="AK58" s="148" t="s">
        <v>942</v>
      </c>
      <c r="AL58" s="148">
        <v>11.18035394</v>
      </c>
      <c r="AM58" s="148">
        <f>'Cálculo PU'!Q113</f>
        <v>16.394600000000001</v>
      </c>
      <c r="AN58" s="168">
        <f t="shared" si="13"/>
        <v>-5.2142460600000007</v>
      </c>
      <c r="AP58" s="147">
        <v>5189</v>
      </c>
      <c r="AQ58" s="156">
        <v>43374</v>
      </c>
      <c r="AR58" s="156">
        <v>45055</v>
      </c>
      <c r="AS58" s="148" t="s">
        <v>822</v>
      </c>
      <c r="AT58" s="148" t="s">
        <v>823</v>
      </c>
      <c r="AU58" s="148" t="s">
        <v>943</v>
      </c>
      <c r="AV58" s="148">
        <v>1158</v>
      </c>
      <c r="AW58" s="152">
        <f>'Cálculo PU'!L113</f>
        <v>1850</v>
      </c>
      <c r="AX58" s="168">
        <f t="shared" si="14"/>
        <v>-692</v>
      </c>
      <c r="AZ58" s="147">
        <v>5178</v>
      </c>
      <c r="BA58" s="156">
        <v>43374</v>
      </c>
      <c r="BB58" s="156">
        <v>45055</v>
      </c>
      <c r="BC58" s="148" t="s">
        <v>822</v>
      </c>
      <c r="BD58" s="148" t="s">
        <v>823</v>
      </c>
      <c r="BE58" s="148" t="s">
        <v>945</v>
      </c>
      <c r="BF58" s="148">
        <v>1.0017653143780001</v>
      </c>
      <c r="BG58" s="148">
        <f>'Cálculo PU'!N113</f>
        <v>1.0017653143782506</v>
      </c>
      <c r="BH58" s="168">
        <f t="shared" si="15"/>
        <v>-2.5046631435543532E-13</v>
      </c>
      <c r="BJ58" s="147">
        <v>5203</v>
      </c>
      <c r="BK58" s="156">
        <v>43374</v>
      </c>
      <c r="BL58" s="156">
        <v>45055</v>
      </c>
      <c r="BM58" s="148" t="s">
        <v>822</v>
      </c>
      <c r="BN58" s="148" t="s">
        <v>823</v>
      </c>
      <c r="BO58" s="148" t="s">
        <v>827</v>
      </c>
      <c r="BP58" s="148">
        <v>1.1201702187860001</v>
      </c>
      <c r="BQ58" s="148">
        <f>'Cálculo PU'!O113</f>
        <v>1.1987683512878822</v>
      </c>
      <c r="BR58" s="168">
        <f t="shared" si="16"/>
        <v>-7.8598132501882079E-2</v>
      </c>
      <c r="BT58" s="147">
        <v>5177</v>
      </c>
      <c r="BU58" s="156">
        <v>43374</v>
      </c>
      <c r="BV58" s="156">
        <v>45055</v>
      </c>
      <c r="BW58" s="148" t="s">
        <v>822</v>
      </c>
      <c r="BX58" s="148" t="s">
        <v>823</v>
      </c>
      <c r="BY58" s="148" t="s">
        <v>946</v>
      </c>
      <c r="BZ58" s="148">
        <v>1.00861256</v>
      </c>
      <c r="CA58" s="148">
        <f>'Cálculo PU'!S113</f>
        <v>1.01100357</v>
      </c>
      <c r="CB58" s="168">
        <f t="shared" si="17"/>
        <v>-2.3910099999999712E-3</v>
      </c>
      <c r="CD58">
        <v>5115</v>
      </c>
      <c r="CE58" s="215">
        <v>45027</v>
      </c>
      <c r="CF58" s="215">
        <v>45055</v>
      </c>
      <c r="CG58" t="s">
        <v>822</v>
      </c>
      <c r="CH58" t="s">
        <v>823</v>
      </c>
      <c r="CI58" t="s">
        <v>1713</v>
      </c>
      <c r="CJ58">
        <v>1.0017653143782499</v>
      </c>
      <c r="CK58">
        <f t="shared" si="8"/>
        <v>1.0017653143782506</v>
      </c>
      <c r="CL58" s="246">
        <f t="shared" si="9"/>
        <v>45027</v>
      </c>
      <c r="CM58" s="246">
        <f>'Cálculo PU'!G112</f>
        <v>45027</v>
      </c>
      <c r="CN58" s="215">
        <f t="shared" si="10"/>
        <v>45055</v>
      </c>
      <c r="CO58" s="215">
        <f>'Cálculo PU'!G113</f>
        <v>45055</v>
      </c>
      <c r="CQ58">
        <v>4251</v>
      </c>
      <c r="CR58" s="215">
        <v>44173</v>
      </c>
      <c r="CS58" s="215">
        <v>44207</v>
      </c>
      <c r="CT58" t="s">
        <v>822</v>
      </c>
      <c r="CU58" t="s">
        <v>823</v>
      </c>
      <c r="CV58" t="s">
        <v>1714</v>
      </c>
      <c r="CW58">
        <v>2.5</v>
      </c>
    </row>
    <row r="59" spans="2:101">
      <c r="B59" s="147">
        <v>5243</v>
      </c>
      <c r="C59" s="156">
        <v>43374</v>
      </c>
      <c r="D59" s="156">
        <v>45086</v>
      </c>
      <c r="E59" s="148" t="s">
        <v>822</v>
      </c>
      <c r="F59" s="148" t="s">
        <v>823</v>
      </c>
      <c r="G59" s="148" t="s">
        <v>825</v>
      </c>
      <c r="H59" s="148">
        <v>36.234876871696997</v>
      </c>
      <c r="I59" s="148">
        <f>'Cálculo PU'!V114</f>
        <v>18.08222387149921</v>
      </c>
      <c r="J59" s="168">
        <f t="shared" si="7"/>
        <v>18.152653000197787</v>
      </c>
      <c r="L59" s="147">
        <v>5229</v>
      </c>
      <c r="M59" s="156">
        <v>43374</v>
      </c>
      <c r="N59" s="156">
        <v>45086</v>
      </c>
      <c r="O59" s="148" t="s">
        <v>822</v>
      </c>
      <c r="P59" s="148" t="s">
        <v>823</v>
      </c>
      <c r="Q59" s="148" t="s">
        <v>824</v>
      </c>
      <c r="R59" s="148">
        <v>40.676832151730302</v>
      </c>
      <c r="S59" s="148">
        <f>'Cálculo PU'!U114</f>
        <v>21.723181046738375</v>
      </c>
      <c r="T59" s="168">
        <f t="shared" si="11"/>
        <v>18.953651104991927</v>
      </c>
      <c r="V59" s="147">
        <v>5215</v>
      </c>
      <c r="W59" s="156">
        <v>43374</v>
      </c>
      <c r="X59" s="156">
        <v>45086</v>
      </c>
      <c r="Y59" s="148" t="s">
        <v>822</v>
      </c>
      <c r="Z59" s="148" t="s">
        <v>823</v>
      </c>
      <c r="AA59" s="148" t="s">
        <v>830</v>
      </c>
      <c r="AB59" s="148">
        <v>66.897362363152794</v>
      </c>
      <c r="AC59" s="148">
        <f>'Cálculo PU'!T114</f>
        <v>67.091241184879976</v>
      </c>
      <c r="AD59" s="168">
        <f t="shared" si="12"/>
        <v>-0.19387882172718207</v>
      </c>
      <c r="AF59" s="147">
        <v>5227</v>
      </c>
      <c r="AG59" s="156">
        <v>43374</v>
      </c>
      <c r="AH59" s="156">
        <v>45086</v>
      </c>
      <c r="AI59" s="148" t="s">
        <v>822</v>
      </c>
      <c r="AJ59" s="148" t="s">
        <v>823</v>
      </c>
      <c r="AK59" s="148" t="s">
        <v>942</v>
      </c>
      <c r="AL59" s="148">
        <v>11.20953549</v>
      </c>
      <c r="AM59" s="148">
        <f>'Cálculo PU'!Q114</f>
        <v>16.393000000000001</v>
      </c>
      <c r="AN59" s="168">
        <f t="shared" si="13"/>
        <v>-5.1834645100000003</v>
      </c>
      <c r="AP59" s="147">
        <v>5228</v>
      </c>
      <c r="AQ59" s="156">
        <v>43374</v>
      </c>
      <c r="AR59" s="156">
        <v>45086</v>
      </c>
      <c r="AS59" s="148" t="s">
        <v>822</v>
      </c>
      <c r="AT59" s="148" t="s">
        <v>823</v>
      </c>
      <c r="AU59" s="148" t="s">
        <v>943</v>
      </c>
      <c r="AV59" s="148">
        <v>1180</v>
      </c>
      <c r="AW59" s="152">
        <f>'Cálculo PU'!L114</f>
        <v>1872</v>
      </c>
      <c r="AX59" s="168">
        <f t="shared" si="14"/>
        <v>-692</v>
      </c>
      <c r="AZ59" s="147">
        <v>5217</v>
      </c>
      <c r="BA59" s="156">
        <v>43374</v>
      </c>
      <c r="BB59" s="156">
        <v>45086</v>
      </c>
      <c r="BC59" s="148" t="s">
        <v>822</v>
      </c>
      <c r="BD59" s="148" t="s">
        <v>823</v>
      </c>
      <c r="BE59" s="148" t="s">
        <v>945</v>
      </c>
      <c r="BF59" s="148">
        <v>1.0021580294750001</v>
      </c>
      <c r="BG59" s="148">
        <f>'Cálculo PU'!N114</f>
        <v>1.0021580294747356</v>
      </c>
      <c r="BH59" s="168">
        <f t="shared" si="15"/>
        <v>2.6445512446571229E-13</v>
      </c>
      <c r="BJ59" s="147">
        <v>5242</v>
      </c>
      <c r="BK59" s="156">
        <v>43374</v>
      </c>
      <c r="BL59" s="156">
        <v>45086</v>
      </c>
      <c r="BM59" s="148" t="s">
        <v>822</v>
      </c>
      <c r="BN59" s="148" t="s">
        <v>823</v>
      </c>
      <c r="BO59" s="148" t="s">
        <v>827</v>
      </c>
      <c r="BP59" s="148">
        <v>1.12258783977</v>
      </c>
      <c r="BQ59" s="148">
        <f>'Cálculo PU'!O114</f>
        <v>1.2013556076461347</v>
      </c>
      <c r="BR59" s="168">
        <f t="shared" si="16"/>
        <v>-7.8767767876134709E-2</v>
      </c>
      <c r="BT59" s="147">
        <v>5216</v>
      </c>
      <c r="BU59" s="156">
        <v>43374</v>
      </c>
      <c r="BV59" s="156">
        <v>45086</v>
      </c>
      <c r="BW59" s="148" t="s">
        <v>822</v>
      </c>
      <c r="BX59" s="148" t="s">
        <v>823</v>
      </c>
      <c r="BY59" s="148" t="s">
        <v>946</v>
      </c>
      <c r="BZ59" s="148">
        <v>1.0105365100000001</v>
      </c>
      <c r="CA59" s="148">
        <f>'Cálculo PU'!S114</f>
        <v>1.0134652</v>
      </c>
      <c r="CB59" s="168">
        <f t="shared" si="17"/>
        <v>-2.928689999999845E-3</v>
      </c>
      <c r="CD59">
        <v>5153</v>
      </c>
      <c r="CE59" s="215">
        <v>45055</v>
      </c>
      <c r="CF59" s="215">
        <v>45086</v>
      </c>
      <c r="CG59" t="s">
        <v>822</v>
      </c>
      <c r="CH59" t="s">
        <v>823</v>
      </c>
      <c r="CI59" t="s">
        <v>1713</v>
      </c>
      <c r="CJ59">
        <v>1.0021580294747401</v>
      </c>
      <c r="CK59">
        <f t="shared" si="8"/>
        <v>1.0021580294747356</v>
      </c>
      <c r="CL59" s="246">
        <f t="shared" si="9"/>
        <v>45055</v>
      </c>
      <c r="CM59" s="246">
        <f>'Cálculo PU'!G113</f>
        <v>45055</v>
      </c>
      <c r="CN59" s="215">
        <f t="shared" si="10"/>
        <v>45086</v>
      </c>
      <c r="CO59" s="215">
        <f>'Cálculo PU'!G114</f>
        <v>45086</v>
      </c>
      <c r="CQ59">
        <v>4289</v>
      </c>
      <c r="CR59" s="215">
        <v>44207</v>
      </c>
      <c r="CS59" s="215">
        <v>44235</v>
      </c>
      <c r="CT59" t="s">
        <v>822</v>
      </c>
      <c r="CU59" t="s">
        <v>823</v>
      </c>
      <c r="CV59" t="s">
        <v>1714</v>
      </c>
      <c r="CW59">
        <v>2.5</v>
      </c>
    </row>
    <row r="60" spans="2:101">
      <c r="B60" s="147">
        <v>5282</v>
      </c>
      <c r="C60" s="156">
        <v>43374</v>
      </c>
      <c r="D60" s="156">
        <v>45117</v>
      </c>
      <c r="E60" s="148" t="s">
        <v>822</v>
      </c>
      <c r="F60" s="148" t="s">
        <v>823</v>
      </c>
      <c r="G60" s="148" t="s">
        <v>825</v>
      </c>
      <c r="H60" s="148">
        <v>33.466988896508703</v>
      </c>
      <c r="I60" s="148">
        <f>'Cálculo PU'!V115</f>
        <v>16.65670136950386</v>
      </c>
      <c r="J60" s="168">
        <f t="shared" si="7"/>
        <v>16.810287527004842</v>
      </c>
      <c r="L60" s="147">
        <v>5268</v>
      </c>
      <c r="M60" s="156">
        <v>43374</v>
      </c>
      <c r="N60" s="156">
        <v>45117</v>
      </c>
      <c r="O60" s="148" t="s">
        <v>822</v>
      </c>
      <c r="P60" s="148" t="s">
        <v>823</v>
      </c>
      <c r="Q60" s="148" t="s">
        <v>824</v>
      </c>
      <c r="R60" s="148">
        <v>37.647030408619003</v>
      </c>
      <c r="S60" s="148">
        <f>'Cálculo PU'!U115</f>
        <v>20.051844643175027</v>
      </c>
      <c r="T60" s="168">
        <f t="shared" si="11"/>
        <v>17.595185765443976</v>
      </c>
      <c r="V60" s="147">
        <v>5254</v>
      </c>
      <c r="W60" s="156">
        <v>43374</v>
      </c>
      <c r="X60" s="156">
        <v>45117</v>
      </c>
      <c r="Y60" s="148" t="s">
        <v>822</v>
      </c>
      <c r="Z60" s="148" t="s">
        <v>823</v>
      </c>
      <c r="AA60" s="148" t="s">
        <v>830</v>
      </c>
      <c r="AB60" s="148">
        <v>62.541611072357902</v>
      </c>
      <c r="AC60" s="148">
        <f>'Cálculo PU'!T115</f>
        <v>62.712108111604849</v>
      </c>
      <c r="AD60" s="168">
        <f t="shared" si="12"/>
        <v>-0.17049703924694626</v>
      </c>
      <c r="AF60" s="147">
        <v>5266</v>
      </c>
      <c r="AG60" s="156">
        <v>43374</v>
      </c>
      <c r="AH60" s="156">
        <v>45117</v>
      </c>
      <c r="AI60" s="148" t="s">
        <v>822</v>
      </c>
      <c r="AJ60" s="148" t="s">
        <v>823</v>
      </c>
      <c r="AK60" s="148" t="s">
        <v>942</v>
      </c>
      <c r="AL60" s="148">
        <v>11.23808577</v>
      </c>
      <c r="AM60" s="148">
        <f>'Cálculo PU'!Q115</f>
        <v>16.3916</v>
      </c>
      <c r="AN60" s="168">
        <f t="shared" si="13"/>
        <v>-5.1535142300000008</v>
      </c>
      <c r="AP60" s="147">
        <v>5267</v>
      </c>
      <c r="AQ60" s="156">
        <v>43374</v>
      </c>
      <c r="AR60" s="156">
        <v>45117</v>
      </c>
      <c r="AS60" s="148" t="s">
        <v>822</v>
      </c>
      <c r="AT60" s="148" t="s">
        <v>823</v>
      </c>
      <c r="AU60" s="148" t="s">
        <v>943</v>
      </c>
      <c r="AV60" s="148">
        <v>1201</v>
      </c>
      <c r="AW60" s="152">
        <f>'Cálculo PU'!L115</f>
        <v>1893</v>
      </c>
      <c r="AX60" s="168">
        <f t="shared" si="14"/>
        <v>-692</v>
      </c>
      <c r="AZ60" s="147">
        <v>5256</v>
      </c>
      <c r="BA60" s="156">
        <v>43374</v>
      </c>
      <c r="BB60" s="156">
        <v>45117</v>
      </c>
      <c r="BC60" s="148" t="s">
        <v>822</v>
      </c>
      <c r="BD60" s="148" t="s">
        <v>823</v>
      </c>
      <c r="BE60" s="148" t="s">
        <v>945</v>
      </c>
      <c r="BF60" s="148">
        <v>1.0020598362699999</v>
      </c>
      <c r="BG60" s="148">
        <f>'Cálculo PU'!N115</f>
        <v>1.0020598362698427</v>
      </c>
      <c r="BH60" s="168">
        <f t="shared" si="15"/>
        <v>1.5720758028692217E-13</v>
      </c>
      <c r="BJ60" s="147">
        <v>5281</v>
      </c>
      <c r="BK60" s="156">
        <v>43374</v>
      </c>
      <c r="BL60" s="156">
        <v>45117</v>
      </c>
      <c r="BM60" s="148" t="s">
        <v>822</v>
      </c>
      <c r="BN60" s="148" t="s">
        <v>823</v>
      </c>
      <c r="BO60" s="148" t="s">
        <v>827</v>
      </c>
      <c r="BP60" s="148">
        <v>1.124900436219</v>
      </c>
      <c r="BQ60" s="148">
        <f>'Cálculo PU'!O115</f>
        <v>1.2038304702927081</v>
      </c>
      <c r="BR60" s="168">
        <f t="shared" si="16"/>
        <v>-7.8930034073708022E-2</v>
      </c>
      <c r="BT60" s="147">
        <v>5255</v>
      </c>
      <c r="BU60" s="156">
        <v>43374</v>
      </c>
      <c r="BV60" s="156">
        <v>45117</v>
      </c>
      <c r="BW60" s="148" t="s">
        <v>822</v>
      </c>
      <c r="BX60" s="148" t="s">
        <v>823</v>
      </c>
      <c r="BY60" s="148" t="s">
        <v>946</v>
      </c>
      <c r="BZ60" s="148">
        <v>1.0100957100000001</v>
      </c>
      <c r="CA60" s="148">
        <f>'Cálculo PU'!S115</f>
        <v>1.0128493700000001</v>
      </c>
      <c r="CB60" s="168">
        <f t="shared" si="17"/>
        <v>-2.7536599999999911E-3</v>
      </c>
      <c r="CD60">
        <v>5191</v>
      </c>
      <c r="CE60" s="215">
        <v>45086</v>
      </c>
      <c r="CF60" s="215">
        <v>45117</v>
      </c>
      <c r="CG60" t="s">
        <v>822</v>
      </c>
      <c r="CH60" t="s">
        <v>823</v>
      </c>
      <c r="CI60" t="s">
        <v>1713</v>
      </c>
      <c r="CJ60">
        <v>1.0020598362698401</v>
      </c>
      <c r="CK60">
        <f t="shared" si="8"/>
        <v>1.0020598362698427</v>
      </c>
      <c r="CL60" s="246">
        <f t="shared" si="9"/>
        <v>45086</v>
      </c>
      <c r="CM60" s="246">
        <f>'Cálculo PU'!G114</f>
        <v>45086</v>
      </c>
      <c r="CN60" s="215">
        <f t="shared" si="10"/>
        <v>45117</v>
      </c>
      <c r="CO60" s="215">
        <f>'Cálculo PU'!G115</f>
        <v>45117</v>
      </c>
      <c r="CQ60">
        <v>4291</v>
      </c>
      <c r="CR60" s="215">
        <v>44207</v>
      </c>
      <c r="CS60" s="215">
        <v>44235</v>
      </c>
      <c r="CT60" t="s">
        <v>822</v>
      </c>
      <c r="CU60" t="s">
        <v>823</v>
      </c>
      <c r="CV60" t="s">
        <v>1714</v>
      </c>
      <c r="CW60">
        <v>2.5</v>
      </c>
    </row>
    <row r="61" spans="2:101">
      <c r="B61" s="147">
        <v>5321</v>
      </c>
      <c r="C61" s="156">
        <v>43374</v>
      </c>
      <c r="D61" s="156">
        <v>45146</v>
      </c>
      <c r="E61" s="148" t="s">
        <v>822</v>
      </c>
      <c r="F61" s="148" t="s">
        <v>823</v>
      </c>
      <c r="G61" s="148" t="s">
        <v>825</v>
      </c>
      <c r="H61" s="148">
        <v>32.389964059919699</v>
      </c>
      <c r="I61" s="148">
        <f>'Cálculo PU'!V116</f>
        <v>16.080211403368715</v>
      </c>
      <c r="J61" s="168">
        <f t="shared" si="7"/>
        <v>16.309752656550984</v>
      </c>
      <c r="L61" s="147">
        <v>5307</v>
      </c>
      <c r="M61" s="156">
        <v>43374</v>
      </c>
      <c r="N61" s="156">
        <v>45146</v>
      </c>
      <c r="O61" s="148" t="s">
        <v>822</v>
      </c>
      <c r="P61" s="148" t="s">
        <v>823</v>
      </c>
      <c r="Q61" s="148" t="s">
        <v>824</v>
      </c>
      <c r="R61" s="148">
        <v>36.510543924466702</v>
      </c>
      <c r="S61" s="148">
        <f>'Cálculo PU'!U116</f>
        <v>19.39772675340468</v>
      </c>
      <c r="T61" s="168">
        <f t="shared" si="11"/>
        <v>17.112817171062023</v>
      </c>
      <c r="V61" s="147">
        <v>5293</v>
      </c>
      <c r="W61" s="156">
        <v>43374</v>
      </c>
      <c r="X61" s="156">
        <v>45146</v>
      </c>
      <c r="Y61" s="148" t="s">
        <v>822</v>
      </c>
      <c r="Z61" s="148" t="s">
        <v>823</v>
      </c>
      <c r="AA61" s="148" t="s">
        <v>830</v>
      </c>
      <c r="AB61" s="148">
        <v>61.2738166057581</v>
      </c>
      <c r="AC61" s="148">
        <f>'Cálculo PU'!T116</f>
        <v>61.432996537989141</v>
      </c>
      <c r="AD61" s="168">
        <f t="shared" si="12"/>
        <v>-0.15917993223104077</v>
      </c>
      <c r="AF61" s="147">
        <v>5305</v>
      </c>
      <c r="AG61" s="156">
        <v>43374</v>
      </c>
      <c r="AH61" s="156">
        <v>45146</v>
      </c>
      <c r="AI61" s="148" t="s">
        <v>822</v>
      </c>
      <c r="AJ61" s="148" t="s">
        <v>823</v>
      </c>
      <c r="AK61" s="148" t="s">
        <v>942</v>
      </c>
      <c r="AL61" s="148">
        <v>11.26787131</v>
      </c>
      <c r="AM61" s="148">
        <f>'Cálculo PU'!Q116</f>
        <v>16.3902</v>
      </c>
      <c r="AN61" s="168">
        <f t="shared" si="13"/>
        <v>-5.1223286899999998</v>
      </c>
      <c r="AP61" s="147">
        <v>5306</v>
      </c>
      <c r="AQ61" s="156">
        <v>43374</v>
      </c>
      <c r="AR61" s="156">
        <v>45146</v>
      </c>
      <c r="AS61" s="148" t="s">
        <v>822</v>
      </c>
      <c r="AT61" s="148" t="s">
        <v>823</v>
      </c>
      <c r="AU61" s="148" t="s">
        <v>943</v>
      </c>
      <c r="AV61" s="148">
        <v>1222</v>
      </c>
      <c r="AW61" s="152">
        <f>'Cálculo PU'!L116</f>
        <v>1914</v>
      </c>
      <c r="AX61" s="168">
        <f t="shared" si="14"/>
        <v>-692</v>
      </c>
      <c r="AZ61" s="147">
        <v>5295</v>
      </c>
      <c r="BA61" s="156">
        <v>43374</v>
      </c>
      <c r="BB61" s="156">
        <v>45146</v>
      </c>
      <c r="BC61" s="148" t="s">
        <v>822</v>
      </c>
      <c r="BD61" s="148" t="s">
        <v>823</v>
      </c>
      <c r="BE61" s="148" t="s">
        <v>945</v>
      </c>
      <c r="BF61" s="148">
        <v>1.0020598362699999</v>
      </c>
      <c r="BG61" s="148">
        <f>'Cálculo PU'!N116</f>
        <v>1.0020598362698427</v>
      </c>
      <c r="BH61" s="168">
        <f t="shared" si="15"/>
        <v>1.5720758028692217E-13</v>
      </c>
      <c r="BJ61" s="147">
        <v>5320</v>
      </c>
      <c r="BK61" s="156">
        <v>43374</v>
      </c>
      <c r="BL61" s="156">
        <v>45146</v>
      </c>
      <c r="BM61" s="148" t="s">
        <v>822</v>
      </c>
      <c r="BN61" s="148" t="s">
        <v>823</v>
      </c>
      <c r="BO61" s="148" t="s">
        <v>827</v>
      </c>
      <c r="BP61" s="148">
        <v>1.127217796751</v>
      </c>
      <c r="BQ61" s="148">
        <f>'Cálculo PU'!O116</f>
        <v>1.2063104313007329</v>
      </c>
      <c r="BR61" s="168">
        <f t="shared" si="16"/>
        <v>-7.9092634549732921E-2</v>
      </c>
      <c r="BT61" s="147">
        <v>5294</v>
      </c>
      <c r="BU61" s="156">
        <v>43374</v>
      </c>
      <c r="BV61" s="156">
        <v>45146</v>
      </c>
      <c r="BW61" s="148" t="s">
        <v>822</v>
      </c>
      <c r="BX61" s="148" t="s">
        <v>823</v>
      </c>
      <c r="BY61" s="148" t="s">
        <v>946</v>
      </c>
      <c r="BZ61" s="148">
        <v>1.0102254100000001</v>
      </c>
      <c r="CA61" s="148">
        <f>'Cálculo PU'!S116</f>
        <v>1.01284982</v>
      </c>
      <c r="CB61" s="168">
        <f t="shared" si="17"/>
        <v>-2.6244099999999104E-3</v>
      </c>
      <c r="CD61">
        <v>5229</v>
      </c>
      <c r="CE61" s="215">
        <v>45117</v>
      </c>
      <c r="CF61" s="215">
        <v>45146</v>
      </c>
      <c r="CG61" t="s">
        <v>822</v>
      </c>
      <c r="CH61" t="s">
        <v>823</v>
      </c>
      <c r="CI61" t="s">
        <v>1713</v>
      </c>
      <c r="CJ61">
        <v>1.0020598362698401</v>
      </c>
      <c r="CK61">
        <f t="shared" si="8"/>
        <v>1.0020598362698427</v>
      </c>
      <c r="CL61" s="246">
        <f t="shared" si="9"/>
        <v>45117</v>
      </c>
      <c r="CM61" s="246">
        <f>'Cálculo PU'!G115</f>
        <v>45117</v>
      </c>
      <c r="CN61" s="215">
        <f t="shared" si="10"/>
        <v>45146</v>
      </c>
      <c r="CO61" s="215">
        <f>'Cálculo PU'!G116</f>
        <v>45146</v>
      </c>
      <c r="CQ61">
        <v>4329</v>
      </c>
      <c r="CR61" s="215">
        <v>44235</v>
      </c>
      <c r="CS61" s="215">
        <v>44263</v>
      </c>
      <c r="CT61" t="s">
        <v>822</v>
      </c>
      <c r="CU61" t="s">
        <v>823</v>
      </c>
      <c r="CV61" t="s">
        <v>1714</v>
      </c>
      <c r="CW61">
        <v>2.5</v>
      </c>
    </row>
    <row r="62" spans="2:101">
      <c r="B62" s="147">
        <v>5360</v>
      </c>
      <c r="C62" s="156">
        <v>43374</v>
      </c>
      <c r="D62" s="156">
        <v>45180</v>
      </c>
      <c r="E62" s="148" t="s">
        <v>822</v>
      </c>
      <c r="F62" s="148" t="s">
        <v>823</v>
      </c>
      <c r="G62" s="148" t="s">
        <v>825</v>
      </c>
      <c r="H62" s="148">
        <v>34.318691645705897</v>
      </c>
      <c r="I62" s="148">
        <f>'Cálculo PU'!V117</f>
        <v>16.997507594714978</v>
      </c>
      <c r="J62" s="168">
        <f t="shared" si="7"/>
        <v>17.321184050990919</v>
      </c>
      <c r="L62" s="147">
        <v>5346</v>
      </c>
      <c r="M62" s="156">
        <v>43374</v>
      </c>
      <c r="N62" s="156">
        <v>45180</v>
      </c>
      <c r="O62" s="148" t="s">
        <v>822</v>
      </c>
      <c r="P62" s="148" t="s">
        <v>823</v>
      </c>
      <c r="Q62" s="148" t="s">
        <v>824</v>
      </c>
      <c r="R62" s="148">
        <v>38.771930929567802</v>
      </c>
      <c r="S62" s="148">
        <f>'Cálculo PU'!U117</f>
        <v>20.550538103698894</v>
      </c>
      <c r="T62" s="168">
        <f t="shared" si="11"/>
        <v>18.221392825868907</v>
      </c>
      <c r="V62" s="147">
        <v>5332</v>
      </c>
      <c r="W62" s="156">
        <v>43374</v>
      </c>
      <c r="X62" s="156">
        <v>45180</v>
      </c>
      <c r="Y62" s="148" t="s">
        <v>822</v>
      </c>
      <c r="Z62" s="148" t="s">
        <v>823</v>
      </c>
      <c r="AA62" s="148" t="s">
        <v>830</v>
      </c>
      <c r="AB62" s="148">
        <v>65.798067550633306</v>
      </c>
      <c r="AC62" s="148">
        <f>'Cálculo PU'!T117</f>
        <v>65.985303560109486</v>
      </c>
      <c r="AD62" s="168">
        <f t="shared" si="12"/>
        <v>-0.18723600947618024</v>
      </c>
      <c r="AF62" s="147">
        <v>5344</v>
      </c>
      <c r="AG62" s="156">
        <v>43374</v>
      </c>
      <c r="AH62" s="156">
        <v>45180</v>
      </c>
      <c r="AI62" s="148" t="s">
        <v>822</v>
      </c>
      <c r="AJ62" s="148" t="s">
        <v>823</v>
      </c>
      <c r="AK62" s="148" t="s">
        <v>942</v>
      </c>
      <c r="AL62" s="148">
        <v>11.29934931</v>
      </c>
      <c r="AM62" s="148">
        <f>'Cálculo PU'!Q117</f>
        <v>16.3887</v>
      </c>
      <c r="AN62" s="168">
        <f t="shared" si="13"/>
        <v>-5.0893506899999998</v>
      </c>
      <c r="AP62" s="147">
        <v>5345</v>
      </c>
      <c r="AQ62" s="156">
        <v>43374</v>
      </c>
      <c r="AR62" s="156">
        <v>45180</v>
      </c>
      <c r="AS62" s="148" t="s">
        <v>822</v>
      </c>
      <c r="AT62" s="148" t="s">
        <v>823</v>
      </c>
      <c r="AU62" s="148" t="s">
        <v>943</v>
      </c>
      <c r="AV62" s="148">
        <v>1245</v>
      </c>
      <c r="AW62" s="152">
        <f>'Cálculo PU'!L117</f>
        <v>1937</v>
      </c>
      <c r="AX62" s="168">
        <f t="shared" si="14"/>
        <v>-692</v>
      </c>
      <c r="AZ62" s="147">
        <v>5334</v>
      </c>
      <c r="BA62" s="156">
        <v>43374</v>
      </c>
      <c r="BB62" s="156">
        <v>45180</v>
      </c>
      <c r="BC62" s="148" t="s">
        <v>822</v>
      </c>
      <c r="BD62" s="148" t="s">
        <v>823</v>
      </c>
      <c r="BE62" s="148" t="s">
        <v>945</v>
      </c>
      <c r="BF62" s="148">
        <v>1.0022562323019999</v>
      </c>
      <c r="BG62" s="148">
        <f>'Cálculo PU'!N117</f>
        <v>1.0022562323017139</v>
      </c>
      <c r="BH62" s="168">
        <f t="shared" si="15"/>
        <v>2.8599345114344032E-13</v>
      </c>
      <c r="BJ62" s="147">
        <v>5359</v>
      </c>
      <c r="BK62" s="156">
        <v>43374</v>
      </c>
      <c r="BL62" s="156">
        <v>45180</v>
      </c>
      <c r="BM62" s="148" t="s">
        <v>822</v>
      </c>
      <c r="BN62" s="148" t="s">
        <v>823</v>
      </c>
      <c r="BO62" s="148" t="s">
        <v>827</v>
      </c>
      <c r="BP62" s="148">
        <v>1.129761336179</v>
      </c>
      <c r="BQ62" s="148">
        <f>'Cálculo PU'!O117</f>
        <v>1.209032441326201</v>
      </c>
      <c r="BR62" s="168">
        <f t="shared" si="16"/>
        <v>-7.9271105147201038E-2</v>
      </c>
      <c r="BT62" s="147">
        <v>5333</v>
      </c>
      <c r="BU62" s="156">
        <v>43374</v>
      </c>
      <c r="BV62" s="156">
        <v>45180</v>
      </c>
      <c r="BW62" s="148" t="s">
        <v>822</v>
      </c>
      <c r="BX62" s="148" t="s">
        <v>823</v>
      </c>
      <c r="BY62" s="148" t="s">
        <v>946</v>
      </c>
      <c r="BZ62" s="148">
        <v>1.01120469</v>
      </c>
      <c r="CA62" s="148">
        <f>'Cálculo PU'!S117</f>
        <v>1.0140821900000001</v>
      </c>
      <c r="CB62" s="168">
        <f t="shared" si="17"/>
        <v>-2.8775000000000883E-3</v>
      </c>
      <c r="CD62">
        <v>5267</v>
      </c>
      <c r="CE62" s="215">
        <v>45146</v>
      </c>
      <c r="CF62" s="215">
        <v>45180</v>
      </c>
      <c r="CG62" t="s">
        <v>822</v>
      </c>
      <c r="CH62" t="s">
        <v>823</v>
      </c>
      <c r="CI62" t="s">
        <v>1713</v>
      </c>
      <c r="CJ62">
        <v>1.0022562323017099</v>
      </c>
      <c r="CK62">
        <f t="shared" si="8"/>
        <v>1.0022562323017139</v>
      </c>
      <c r="CL62" s="246">
        <f t="shared" si="9"/>
        <v>45146</v>
      </c>
      <c r="CM62" s="246">
        <f>'Cálculo PU'!G116</f>
        <v>45146</v>
      </c>
      <c r="CN62" s="215">
        <f t="shared" si="10"/>
        <v>45180</v>
      </c>
      <c r="CO62" s="215">
        <f>'Cálculo PU'!G117</f>
        <v>45180</v>
      </c>
      <c r="CQ62">
        <v>4331</v>
      </c>
      <c r="CR62" s="215">
        <v>44235</v>
      </c>
      <c r="CS62" s="215">
        <v>44263</v>
      </c>
      <c r="CT62" t="s">
        <v>822</v>
      </c>
      <c r="CU62" t="s">
        <v>823</v>
      </c>
      <c r="CV62" t="s">
        <v>1714</v>
      </c>
      <c r="CW62">
        <v>2.5</v>
      </c>
    </row>
    <row r="63" spans="2:101">
      <c r="B63" s="147">
        <v>5399</v>
      </c>
      <c r="C63" s="156">
        <v>43374</v>
      </c>
      <c r="D63" s="156">
        <v>45209</v>
      </c>
      <c r="E63" s="148" t="s">
        <v>822</v>
      </c>
      <c r="F63" s="148" t="s">
        <v>823</v>
      </c>
      <c r="G63" s="148" t="s">
        <v>825</v>
      </c>
      <c r="H63" s="148">
        <v>30.302527168215502</v>
      </c>
      <c r="I63" s="148">
        <f>'Cálculo PU'!V118</f>
        <v>14.257034161088781</v>
      </c>
      <c r="J63" s="168">
        <f t="shared" si="7"/>
        <v>16.045493007126723</v>
      </c>
      <c r="L63" s="147">
        <v>5385</v>
      </c>
      <c r="M63" s="156">
        <v>43374</v>
      </c>
      <c r="N63" s="156">
        <v>45209</v>
      </c>
      <c r="O63" s="148" t="s">
        <v>822</v>
      </c>
      <c r="P63" s="148" t="s">
        <v>823</v>
      </c>
      <c r="Q63" s="148" t="s">
        <v>824</v>
      </c>
      <c r="R63" s="148">
        <v>34.301787264450901</v>
      </c>
      <c r="S63" s="148">
        <f>'Cálculo PU'!U118</f>
        <v>17.271033895864058</v>
      </c>
      <c r="T63" s="168">
        <f t="shared" si="11"/>
        <v>17.030753368586844</v>
      </c>
      <c r="V63" s="147">
        <v>5371</v>
      </c>
      <c r="W63" s="156">
        <v>43374</v>
      </c>
      <c r="X63" s="156">
        <v>45209</v>
      </c>
      <c r="Y63" s="148" t="s">
        <v>822</v>
      </c>
      <c r="Z63" s="148" t="s">
        <v>823</v>
      </c>
      <c r="AA63" s="148" t="s">
        <v>830</v>
      </c>
      <c r="AB63" s="148">
        <v>58.778413022869898</v>
      </c>
      <c r="AC63" s="148">
        <f>'Cálculo PU'!T118</f>
        <v>56.122331335027127</v>
      </c>
      <c r="AD63" s="168">
        <f t="shared" si="12"/>
        <v>2.6560816878427715</v>
      </c>
      <c r="AF63" s="147">
        <v>5383</v>
      </c>
      <c r="AG63" s="156">
        <v>43374</v>
      </c>
      <c r="AH63" s="156">
        <v>45209</v>
      </c>
      <c r="AI63" s="148" t="s">
        <v>822</v>
      </c>
      <c r="AJ63" s="148" t="s">
        <v>823</v>
      </c>
      <c r="AK63" s="148" t="s">
        <v>942</v>
      </c>
      <c r="AL63" s="148">
        <v>11.32567046</v>
      </c>
      <c r="AM63" s="148">
        <f>'Cálculo PU'!Q118</f>
        <v>16.3874</v>
      </c>
      <c r="AN63" s="168">
        <f t="shared" si="13"/>
        <v>-5.06172954</v>
      </c>
      <c r="AP63" s="147">
        <v>5384</v>
      </c>
      <c r="AQ63" s="156">
        <v>43374</v>
      </c>
      <c r="AR63" s="156">
        <v>45209</v>
      </c>
      <c r="AS63" s="148" t="s">
        <v>822</v>
      </c>
      <c r="AT63" s="148" t="s">
        <v>823</v>
      </c>
      <c r="AU63" s="148" t="s">
        <v>943</v>
      </c>
      <c r="AV63" s="148">
        <v>1265</v>
      </c>
      <c r="AW63" s="152">
        <f>'Cálculo PU'!L118</f>
        <v>1957</v>
      </c>
      <c r="AX63" s="168">
        <f t="shared" si="14"/>
        <v>-692</v>
      </c>
      <c r="AZ63" s="147">
        <v>5373</v>
      </c>
      <c r="BA63" s="156">
        <v>43374</v>
      </c>
      <c r="BB63" s="156">
        <v>45209</v>
      </c>
      <c r="BC63" s="148" t="s">
        <v>822</v>
      </c>
      <c r="BD63" s="148" t="s">
        <v>823</v>
      </c>
      <c r="BE63" s="148" t="s">
        <v>945</v>
      </c>
      <c r="BF63" s="148">
        <v>1.0020598362699999</v>
      </c>
      <c r="BG63" s="148">
        <f>'Cálculo PU'!N118</f>
        <v>1.0019616526860928</v>
      </c>
      <c r="BH63" s="168">
        <f t="shared" si="15"/>
        <v>9.8183583907118788E-5</v>
      </c>
      <c r="BJ63" s="147">
        <v>5398</v>
      </c>
      <c r="BK63" s="156">
        <v>43374</v>
      </c>
      <c r="BL63" s="156">
        <v>45209</v>
      </c>
      <c r="BM63" s="148" t="s">
        <v>822</v>
      </c>
      <c r="BN63" s="148" t="s">
        <v>823</v>
      </c>
      <c r="BO63" s="148" t="s">
        <v>827</v>
      </c>
      <c r="BP63" s="148">
        <v>1.1319777744620001</v>
      </c>
      <c r="BQ63" s="148">
        <f>'Cálculo PU'!O118</f>
        <v>1.2114043987494454</v>
      </c>
      <c r="BR63" s="168">
        <f t="shared" si="16"/>
        <v>-7.9426624287445291E-2</v>
      </c>
      <c r="BT63" s="147">
        <v>5372</v>
      </c>
      <c r="BU63" s="156">
        <v>43374</v>
      </c>
      <c r="BV63" s="156">
        <v>45209</v>
      </c>
      <c r="BW63" s="148" t="s">
        <v>822</v>
      </c>
      <c r="BX63" s="148" t="s">
        <v>823</v>
      </c>
      <c r="BY63" s="148" t="s">
        <v>946</v>
      </c>
      <c r="BZ63" s="148">
        <v>1.0102215400000001</v>
      </c>
      <c r="CA63" s="148">
        <f>'Cálculo PU'!S118</f>
        <v>1.01284982</v>
      </c>
      <c r="CB63" s="168">
        <f t="shared" si="17"/>
        <v>-2.6282799999999273E-3</v>
      </c>
      <c r="CD63">
        <v>5305</v>
      </c>
      <c r="CE63" s="215">
        <v>45180</v>
      </c>
      <c r="CF63" s="215">
        <v>45209</v>
      </c>
      <c r="CG63" t="s">
        <v>822</v>
      </c>
      <c r="CH63" t="s">
        <v>823</v>
      </c>
      <c r="CI63" t="s">
        <v>1713</v>
      </c>
      <c r="CJ63">
        <v>1.0020598362698401</v>
      </c>
      <c r="CK63">
        <f t="shared" si="8"/>
        <v>1.0019616526860928</v>
      </c>
      <c r="CL63" s="246">
        <f t="shared" si="9"/>
        <v>45180</v>
      </c>
      <c r="CM63" s="246">
        <f>'Cálculo PU'!G117</f>
        <v>45180</v>
      </c>
      <c r="CN63" s="215">
        <f t="shared" si="10"/>
        <v>45209</v>
      </c>
      <c r="CO63" s="215">
        <f>'Cálculo PU'!G118</f>
        <v>45209</v>
      </c>
      <c r="CQ63">
        <v>4369</v>
      </c>
      <c r="CR63" s="215">
        <v>44263</v>
      </c>
      <c r="CS63" s="215">
        <v>44295</v>
      </c>
      <c r="CT63" t="s">
        <v>822</v>
      </c>
      <c r="CU63" t="s">
        <v>823</v>
      </c>
      <c r="CV63" t="s">
        <v>1714</v>
      </c>
      <c r="CW63">
        <v>2.5</v>
      </c>
    </row>
    <row r="64" spans="2:101">
      <c r="B64" s="147">
        <v>5438</v>
      </c>
      <c r="C64" s="156">
        <v>43374</v>
      </c>
      <c r="D64" s="156">
        <v>45240</v>
      </c>
      <c r="E64" s="148" t="s">
        <v>822</v>
      </c>
      <c r="F64" s="148" t="s">
        <v>823</v>
      </c>
      <c r="G64" s="148" t="s">
        <v>825</v>
      </c>
      <c r="H64" s="148">
        <v>29.3037509289681</v>
      </c>
      <c r="I64" s="148">
        <f>'Cálculo PU'!V119</f>
        <v>14.442740449407843</v>
      </c>
      <c r="J64" s="168">
        <f t="shared" si="7"/>
        <v>14.861010479560257</v>
      </c>
      <c r="L64" s="147">
        <v>5424</v>
      </c>
      <c r="M64" s="156">
        <v>43374</v>
      </c>
      <c r="N64" s="156">
        <v>45240</v>
      </c>
      <c r="O64" s="148" t="s">
        <v>822</v>
      </c>
      <c r="P64" s="148" t="s">
        <v>823</v>
      </c>
      <c r="Q64" s="148" t="s">
        <v>824</v>
      </c>
      <c r="R64" s="148">
        <v>33.239529356581002</v>
      </c>
      <c r="S64" s="148">
        <f>'Cálculo PU'!U119</f>
        <v>17.532042089817914</v>
      </c>
      <c r="T64" s="168">
        <f t="shared" si="11"/>
        <v>15.707487266763088</v>
      </c>
      <c r="V64" s="147">
        <v>5410</v>
      </c>
      <c r="W64" s="156">
        <v>43374</v>
      </c>
      <c r="X64" s="156">
        <v>45240</v>
      </c>
      <c r="Y64" s="148" t="s">
        <v>822</v>
      </c>
      <c r="Z64" s="148" t="s">
        <v>823</v>
      </c>
      <c r="AA64" s="148" t="s">
        <v>830</v>
      </c>
      <c r="AB64" s="148">
        <v>57.539811955348803</v>
      </c>
      <c r="AC64" s="148">
        <f>'Cálculo PU'!T119</f>
        <v>57.690065307054603</v>
      </c>
      <c r="AD64" s="168">
        <f t="shared" si="12"/>
        <v>-0.15025335170579979</v>
      </c>
      <c r="AF64" s="147">
        <v>5422</v>
      </c>
      <c r="AG64" s="156">
        <v>43374</v>
      </c>
      <c r="AH64" s="156">
        <v>45240</v>
      </c>
      <c r="AI64" s="148" t="s">
        <v>822</v>
      </c>
      <c r="AJ64" s="148" t="s">
        <v>823</v>
      </c>
      <c r="AK64" s="148" t="s">
        <v>942</v>
      </c>
      <c r="AL64" s="148">
        <v>11.352271979999999</v>
      </c>
      <c r="AM64" s="148">
        <f>'Cálculo PU'!Q119</f>
        <v>16.385999999999999</v>
      </c>
      <c r="AN64" s="168">
        <f t="shared" si="13"/>
        <v>-5.0337280199999999</v>
      </c>
      <c r="AP64" s="147">
        <v>5423</v>
      </c>
      <c r="AQ64" s="156">
        <v>43374</v>
      </c>
      <c r="AR64" s="156">
        <v>45240</v>
      </c>
      <c r="AS64" s="148" t="s">
        <v>822</v>
      </c>
      <c r="AT64" s="148" t="s">
        <v>823</v>
      </c>
      <c r="AU64" s="148" t="s">
        <v>943</v>
      </c>
      <c r="AV64" s="148">
        <v>1286</v>
      </c>
      <c r="AW64" s="152">
        <f>'Cálculo PU'!L119</f>
        <v>1978</v>
      </c>
      <c r="AX64" s="168">
        <f t="shared" si="14"/>
        <v>-692</v>
      </c>
      <c r="AZ64" s="147">
        <v>5412</v>
      </c>
      <c r="BA64" s="156">
        <v>43374</v>
      </c>
      <c r="BB64" s="156">
        <v>45240</v>
      </c>
      <c r="BC64" s="148" t="s">
        <v>822</v>
      </c>
      <c r="BD64" s="148" t="s">
        <v>823</v>
      </c>
      <c r="BE64" s="148" t="s">
        <v>945</v>
      </c>
      <c r="BF64" s="148">
        <v>1.0020598362699999</v>
      </c>
      <c r="BG64" s="148">
        <f>'Cálculo PU'!N119</f>
        <v>1.0020598362698427</v>
      </c>
      <c r="BH64" s="168">
        <f t="shared" si="15"/>
        <v>1.5720758028692217E-13</v>
      </c>
      <c r="BJ64" s="147">
        <v>5437</v>
      </c>
      <c r="BK64" s="156">
        <v>43374</v>
      </c>
      <c r="BL64" s="156">
        <v>45240</v>
      </c>
      <c r="BM64" s="148" t="s">
        <v>822</v>
      </c>
      <c r="BN64" s="148" t="s">
        <v>823</v>
      </c>
      <c r="BO64" s="148" t="s">
        <v>827</v>
      </c>
      <c r="BP64" s="148">
        <v>1.134309714724</v>
      </c>
      <c r="BQ64" s="148">
        <f>'Cálculo PU'!O119</f>
        <v>1.2138999624920028</v>
      </c>
      <c r="BR64" s="168">
        <f t="shared" si="16"/>
        <v>-7.9590247768002831E-2</v>
      </c>
      <c r="BT64" s="147">
        <v>5411</v>
      </c>
      <c r="BU64" s="156">
        <v>43374</v>
      </c>
      <c r="BV64" s="156">
        <v>45240</v>
      </c>
      <c r="BW64" s="148" t="s">
        <v>822</v>
      </c>
      <c r="BX64" s="148" t="s">
        <v>823</v>
      </c>
      <c r="BY64" s="148" t="s">
        <v>946</v>
      </c>
      <c r="BZ64" s="148">
        <v>1.0102118600000001</v>
      </c>
      <c r="CA64" s="148">
        <f>'Cálculo PU'!S119</f>
        <v>1.01284982</v>
      </c>
      <c r="CB64" s="168">
        <f t="shared" si="17"/>
        <v>-2.6379599999999392E-3</v>
      </c>
      <c r="CD64">
        <v>5343</v>
      </c>
      <c r="CE64" s="215">
        <v>45209</v>
      </c>
      <c r="CF64" s="215">
        <v>45240</v>
      </c>
      <c r="CG64" t="s">
        <v>822</v>
      </c>
      <c r="CH64" t="s">
        <v>823</v>
      </c>
      <c r="CI64" t="s">
        <v>1713</v>
      </c>
      <c r="CJ64">
        <v>1.0020598362698401</v>
      </c>
      <c r="CK64">
        <f t="shared" si="8"/>
        <v>1.0020598362698427</v>
      </c>
      <c r="CL64" s="246">
        <f t="shared" si="9"/>
        <v>45209</v>
      </c>
      <c r="CM64" s="246">
        <f>'Cálculo PU'!G118</f>
        <v>45209</v>
      </c>
      <c r="CN64" s="215">
        <f t="shared" si="10"/>
        <v>45240</v>
      </c>
      <c r="CO64" s="215">
        <f>'Cálculo PU'!G119</f>
        <v>45240</v>
      </c>
      <c r="CQ64">
        <v>4371</v>
      </c>
      <c r="CR64" s="215">
        <v>44263</v>
      </c>
      <c r="CS64" s="215">
        <v>44295</v>
      </c>
      <c r="CT64" t="s">
        <v>822</v>
      </c>
      <c r="CU64" t="s">
        <v>823</v>
      </c>
      <c r="CV64" t="s">
        <v>1714</v>
      </c>
      <c r="CW64">
        <v>2.5</v>
      </c>
    </row>
    <row r="65" spans="2:101">
      <c r="B65" s="147">
        <v>5477</v>
      </c>
      <c r="C65" s="156">
        <v>43374</v>
      </c>
      <c r="D65" s="156">
        <v>45268</v>
      </c>
      <c r="E65" s="148" t="s">
        <v>822</v>
      </c>
      <c r="F65" s="148" t="s">
        <v>823</v>
      </c>
      <c r="G65" s="148" t="s">
        <v>825</v>
      </c>
      <c r="H65" s="148">
        <v>25.623959089309199</v>
      </c>
      <c r="I65" s="148">
        <f>'Cálculo PU'!V120</f>
        <v>13.260810396077828</v>
      </c>
      <c r="J65" s="168">
        <f t="shared" si="7"/>
        <v>12.363148693231372</v>
      </c>
      <c r="L65" s="147">
        <v>5463</v>
      </c>
      <c r="M65" s="156">
        <v>43374</v>
      </c>
      <c r="N65" s="156">
        <v>45268</v>
      </c>
      <c r="O65" s="148" t="s">
        <v>822</v>
      </c>
      <c r="P65" s="148" t="s">
        <v>823</v>
      </c>
      <c r="Q65" s="148" t="s">
        <v>824</v>
      </c>
      <c r="R65" s="148">
        <v>29.1225282988811</v>
      </c>
      <c r="S65" s="148">
        <f>'Cálculo PU'!U120</f>
        <v>16.12887795305609</v>
      </c>
      <c r="T65" s="168">
        <f t="shared" si="11"/>
        <v>12.99365034582501</v>
      </c>
      <c r="V65" s="147">
        <v>5449</v>
      </c>
      <c r="W65" s="156">
        <v>43374</v>
      </c>
      <c r="X65" s="156">
        <v>45268</v>
      </c>
      <c r="Y65" s="148" t="s">
        <v>822</v>
      </c>
      <c r="Z65" s="148" t="s">
        <v>823</v>
      </c>
      <c r="AA65" s="148" t="s">
        <v>830</v>
      </c>
      <c r="AB65" s="148">
        <v>50.9031895818772</v>
      </c>
      <c r="AC65" s="148">
        <f>'Cálculo PU'!T120</f>
        <v>53.711514276492132</v>
      </c>
      <c r="AD65" s="168">
        <f t="shared" si="12"/>
        <v>-2.8083246946149316</v>
      </c>
      <c r="AF65" s="147">
        <v>5461</v>
      </c>
      <c r="AG65" s="156">
        <v>43374</v>
      </c>
      <c r="AH65" s="156">
        <v>45268</v>
      </c>
      <c r="AI65" s="148" t="s">
        <v>822</v>
      </c>
      <c r="AJ65" s="148" t="s">
        <v>823</v>
      </c>
      <c r="AK65" s="148" t="s">
        <v>942</v>
      </c>
      <c r="AL65" s="148">
        <v>11.376817040000001</v>
      </c>
      <c r="AM65" s="148">
        <f>'Cálculo PU'!Q120</f>
        <v>16.384799999999998</v>
      </c>
      <c r="AN65" s="168">
        <f t="shared" si="13"/>
        <v>-5.0079829599999979</v>
      </c>
      <c r="AP65" s="147">
        <v>5462</v>
      </c>
      <c r="AQ65" s="156">
        <v>43374</v>
      </c>
      <c r="AR65" s="156">
        <v>45268</v>
      </c>
      <c r="AS65" s="148" t="s">
        <v>822</v>
      </c>
      <c r="AT65" s="148" t="s">
        <v>823</v>
      </c>
      <c r="AU65" s="148" t="s">
        <v>943</v>
      </c>
      <c r="AV65" s="148">
        <v>1306</v>
      </c>
      <c r="AW65" s="152">
        <f>'Cálculo PU'!L120</f>
        <v>1998</v>
      </c>
      <c r="AX65" s="168">
        <f t="shared" si="14"/>
        <v>-692</v>
      </c>
      <c r="AZ65" s="147">
        <v>5451</v>
      </c>
      <c r="BA65" s="156">
        <v>43374</v>
      </c>
      <c r="BB65" s="156">
        <v>45268</v>
      </c>
      <c r="BC65" s="148" t="s">
        <v>822</v>
      </c>
      <c r="BD65" s="148" t="s">
        <v>823</v>
      </c>
      <c r="BE65" s="148" t="s">
        <v>945</v>
      </c>
      <c r="BF65" s="148">
        <v>1.0018634787230001</v>
      </c>
      <c r="BG65" s="148">
        <f>'Cálculo PU'!N120</f>
        <v>1.0019616526860928</v>
      </c>
      <c r="BH65" s="168">
        <f t="shared" si="15"/>
        <v>-9.8173963092751393E-5</v>
      </c>
      <c r="BJ65" s="147">
        <v>5476</v>
      </c>
      <c r="BK65" s="156">
        <v>43374</v>
      </c>
      <c r="BL65" s="156">
        <v>45268</v>
      </c>
      <c r="BM65" s="148" t="s">
        <v>822</v>
      </c>
      <c r="BN65" s="148" t="s">
        <v>823</v>
      </c>
      <c r="BO65" s="148" t="s">
        <v>827</v>
      </c>
      <c r="BP65" s="148">
        <v>1.136535076308</v>
      </c>
      <c r="BQ65" s="148">
        <f>'Cálculo PU'!O120</f>
        <v>1.2162814693306041</v>
      </c>
      <c r="BR65" s="168">
        <f t="shared" si="16"/>
        <v>-7.9746393022604112E-2</v>
      </c>
      <c r="BT65" s="147">
        <v>5450</v>
      </c>
      <c r="BU65" s="156">
        <v>43374</v>
      </c>
      <c r="BV65" s="156">
        <v>45268</v>
      </c>
      <c r="BW65" s="148" t="s">
        <v>822</v>
      </c>
      <c r="BX65" s="148" t="s">
        <v>823</v>
      </c>
      <c r="BY65" s="148" t="s">
        <v>946</v>
      </c>
      <c r="BZ65" s="148">
        <v>1.00923483</v>
      </c>
      <c r="CA65" s="148">
        <f>'Cálculo PU'!S120</f>
        <v>1.01161894</v>
      </c>
      <c r="CB65" s="168">
        <f t="shared" si="17"/>
        <v>-2.3841099999999393E-3</v>
      </c>
      <c r="CD65">
        <v>5381</v>
      </c>
      <c r="CE65" s="215">
        <v>45240</v>
      </c>
      <c r="CF65" s="215">
        <v>45268</v>
      </c>
      <c r="CG65" t="s">
        <v>822</v>
      </c>
      <c r="CH65" t="s">
        <v>823</v>
      </c>
      <c r="CI65" t="s">
        <v>1713</v>
      </c>
      <c r="CJ65">
        <v>1.00186347872254</v>
      </c>
      <c r="CK65">
        <f t="shared" si="8"/>
        <v>1.0019616526860928</v>
      </c>
      <c r="CL65" s="246">
        <f t="shared" si="9"/>
        <v>45240</v>
      </c>
      <c r="CM65" s="246">
        <f>'Cálculo PU'!G119</f>
        <v>45240</v>
      </c>
      <c r="CN65" s="215">
        <f t="shared" si="10"/>
        <v>45268</v>
      </c>
      <c r="CO65" s="215">
        <f>'Cálculo PU'!G120</f>
        <v>45268</v>
      </c>
      <c r="CQ65">
        <v>4409</v>
      </c>
      <c r="CR65" s="215">
        <v>44295</v>
      </c>
      <c r="CS65" s="215">
        <v>44326</v>
      </c>
      <c r="CT65" t="s">
        <v>822</v>
      </c>
      <c r="CU65" t="s">
        <v>823</v>
      </c>
      <c r="CV65" t="s">
        <v>1714</v>
      </c>
      <c r="CW65">
        <v>2.5</v>
      </c>
    </row>
    <row r="66" spans="2:101">
      <c r="B66" s="147">
        <v>5516</v>
      </c>
      <c r="C66" s="156">
        <v>43374</v>
      </c>
      <c r="D66" s="156">
        <v>45300</v>
      </c>
      <c r="E66" s="148" t="s">
        <v>822</v>
      </c>
      <c r="F66" s="148" t="s">
        <v>823</v>
      </c>
      <c r="G66" s="148" t="s">
        <v>825</v>
      </c>
      <c r="H66" s="148">
        <v>26.101430644498901</v>
      </c>
      <c r="I66" s="148">
        <f>'Cálculo PU'!V121</f>
        <v>12.804107087850527</v>
      </c>
      <c r="J66" s="168">
        <f t="shared" si="7"/>
        <v>13.297323556648374</v>
      </c>
      <c r="L66" s="147">
        <v>5502</v>
      </c>
      <c r="M66" s="156">
        <v>43374</v>
      </c>
      <c r="N66" s="156">
        <v>45300</v>
      </c>
      <c r="O66" s="148" t="s">
        <v>822</v>
      </c>
      <c r="P66" s="148" t="s">
        <v>823</v>
      </c>
      <c r="Q66" s="148" t="s">
        <v>824</v>
      </c>
      <c r="R66" s="148">
        <v>29.723390545451</v>
      </c>
      <c r="S66" s="148">
        <f>'Cálculo PU'!U121</f>
        <v>15.60395107412775</v>
      </c>
      <c r="T66" s="168">
        <f t="shared" si="11"/>
        <v>14.119439471323251</v>
      </c>
      <c r="V66" s="147">
        <v>5488</v>
      </c>
      <c r="W66" s="156">
        <v>43374</v>
      </c>
      <c r="X66" s="156">
        <v>45300</v>
      </c>
      <c r="Y66" s="148" t="s">
        <v>822</v>
      </c>
      <c r="Z66" s="148" t="s">
        <v>823</v>
      </c>
      <c r="AA66" s="148" t="s">
        <v>830</v>
      </c>
      <c r="AB66" s="148">
        <v>52.457655090476202</v>
      </c>
      <c r="AC66" s="148">
        <f>'Cálculo PU'!T121</f>
        <v>52.588626068664276</v>
      </c>
      <c r="AD66" s="168">
        <f t="shared" si="12"/>
        <v>-0.13097097818807413</v>
      </c>
      <c r="AF66" s="147">
        <v>5500</v>
      </c>
      <c r="AG66" s="156">
        <v>43374</v>
      </c>
      <c r="AH66" s="156">
        <v>45300</v>
      </c>
      <c r="AI66" s="148" t="s">
        <v>822</v>
      </c>
      <c r="AJ66" s="148" t="s">
        <v>823</v>
      </c>
      <c r="AK66" s="148" t="s">
        <v>942</v>
      </c>
      <c r="AL66" s="148">
        <v>11.40024942</v>
      </c>
      <c r="AM66" s="148">
        <f>'Cálculo PU'!Q121</f>
        <v>16.383600000000001</v>
      </c>
      <c r="AN66" s="168">
        <f t="shared" si="13"/>
        <v>-4.9833505800000015</v>
      </c>
      <c r="AP66" s="147">
        <v>5501</v>
      </c>
      <c r="AQ66" s="156">
        <v>43374</v>
      </c>
      <c r="AR66" s="156">
        <v>45300</v>
      </c>
      <c r="AS66" s="148" t="s">
        <v>822</v>
      </c>
      <c r="AT66" s="148" t="s">
        <v>823</v>
      </c>
      <c r="AU66" s="148" t="s">
        <v>943</v>
      </c>
      <c r="AV66" s="148">
        <v>1326</v>
      </c>
      <c r="AW66" s="152">
        <f>'Cálculo PU'!L121</f>
        <v>2018</v>
      </c>
      <c r="AX66" s="168">
        <f t="shared" si="14"/>
        <v>-692</v>
      </c>
      <c r="AZ66" s="147">
        <v>5490</v>
      </c>
      <c r="BA66" s="156">
        <v>43374</v>
      </c>
      <c r="BB66" s="156">
        <v>45300</v>
      </c>
      <c r="BC66" s="148" t="s">
        <v>822</v>
      </c>
      <c r="BD66" s="148" t="s">
        <v>823</v>
      </c>
      <c r="BE66" s="148" t="s">
        <v>945</v>
      </c>
      <c r="BF66" s="148">
        <v>1.001961652686</v>
      </c>
      <c r="BG66" s="148">
        <f>'Cálculo PU'!N121</f>
        <v>1.0019616526860928</v>
      </c>
      <c r="BH66" s="168">
        <f t="shared" si="15"/>
        <v>-9.2814644858663087E-14</v>
      </c>
      <c r="BJ66" s="147">
        <v>5515</v>
      </c>
      <c r="BK66" s="156">
        <v>43374</v>
      </c>
      <c r="BL66" s="156">
        <v>45300</v>
      </c>
      <c r="BM66" s="148" t="s">
        <v>822</v>
      </c>
      <c r="BN66" s="148" t="s">
        <v>823</v>
      </c>
      <c r="BO66" s="148" t="s">
        <v>827</v>
      </c>
      <c r="BP66" s="148">
        <v>1.1387648037489999</v>
      </c>
      <c r="BQ66" s="148">
        <f>'Cálculo PU'!O121</f>
        <v>1.2186676483621353</v>
      </c>
      <c r="BR66" s="168">
        <f t="shared" si="16"/>
        <v>-7.9902844613135349E-2</v>
      </c>
      <c r="BT66" s="147">
        <v>5489</v>
      </c>
      <c r="BU66" s="156">
        <v>43374</v>
      </c>
      <c r="BV66" s="156">
        <v>45300</v>
      </c>
      <c r="BW66" s="148" t="s">
        <v>822</v>
      </c>
      <c r="BX66" s="148" t="s">
        <v>823</v>
      </c>
      <c r="BY66" s="148" t="s">
        <v>946</v>
      </c>
      <c r="BZ66" s="148">
        <v>1.0097132200000001</v>
      </c>
      <c r="CA66" s="148">
        <f>'Cálculo PU'!S121</f>
        <v>1.0122341699999999</v>
      </c>
      <c r="CB66" s="168">
        <f t="shared" si="17"/>
        <v>-2.5209499999998553E-3</v>
      </c>
      <c r="CD66">
        <v>5419</v>
      </c>
      <c r="CE66" s="215">
        <v>45268</v>
      </c>
      <c r="CF66" s="215">
        <v>45300</v>
      </c>
      <c r="CG66" t="s">
        <v>822</v>
      </c>
      <c r="CH66" t="s">
        <v>823</v>
      </c>
      <c r="CI66" t="s">
        <v>1713</v>
      </c>
      <c r="CJ66">
        <v>1.0019616526860899</v>
      </c>
      <c r="CK66">
        <f t="shared" si="8"/>
        <v>1.0019616526860928</v>
      </c>
      <c r="CL66" s="246">
        <f t="shared" si="9"/>
        <v>45268</v>
      </c>
      <c r="CM66" s="246">
        <f>'Cálculo PU'!G120</f>
        <v>45268</v>
      </c>
      <c r="CN66" s="215">
        <f t="shared" si="10"/>
        <v>45300</v>
      </c>
      <c r="CO66" s="215">
        <f>'Cálculo PU'!G121</f>
        <v>45300</v>
      </c>
      <c r="CQ66">
        <v>4411</v>
      </c>
      <c r="CR66" s="215">
        <v>44295</v>
      </c>
      <c r="CS66" s="215">
        <v>44326</v>
      </c>
      <c r="CT66" t="s">
        <v>822</v>
      </c>
      <c r="CU66" t="s">
        <v>823</v>
      </c>
      <c r="CV66" t="s">
        <v>1714</v>
      </c>
      <c r="CW66">
        <v>2.5</v>
      </c>
    </row>
    <row r="67" spans="2:101">
      <c r="B67" s="147">
        <v>5555</v>
      </c>
      <c r="C67" s="156">
        <v>43374</v>
      </c>
      <c r="D67" s="156">
        <v>45334</v>
      </c>
      <c r="E67" s="148" t="s">
        <v>822</v>
      </c>
      <c r="F67" s="148" t="s">
        <v>823</v>
      </c>
      <c r="G67" s="148" t="s">
        <v>825</v>
      </c>
      <c r="H67" s="148">
        <v>30.255254794335801</v>
      </c>
      <c r="I67" s="148">
        <f>'Cálculo PU'!V122</f>
        <v>13.576166948930778</v>
      </c>
      <c r="J67" s="168">
        <f t="shared" si="7"/>
        <v>16.679087845405022</v>
      </c>
      <c r="L67" s="147">
        <v>5541</v>
      </c>
      <c r="M67" s="156">
        <v>43374</v>
      </c>
      <c r="N67" s="156">
        <v>45334</v>
      </c>
      <c r="O67" s="148" t="s">
        <v>822</v>
      </c>
      <c r="P67" s="148" t="s">
        <v>823</v>
      </c>
      <c r="Q67" s="148" t="s">
        <v>824</v>
      </c>
      <c r="R67" s="148">
        <v>34.5279792306372</v>
      </c>
      <c r="S67" s="148">
        <f>'Cálculo PU'!U122</f>
        <v>16.580543541540575</v>
      </c>
      <c r="T67" s="168">
        <f t="shared" ref="T67:T98" si="18">R67-S67</f>
        <v>17.947435689096626</v>
      </c>
      <c r="V67" s="147">
        <v>5527</v>
      </c>
      <c r="W67" s="156">
        <v>43374</v>
      </c>
      <c r="X67" s="156">
        <v>45334</v>
      </c>
      <c r="Y67" s="148" t="s">
        <v>822</v>
      </c>
      <c r="Z67" s="148" t="s">
        <v>823</v>
      </c>
      <c r="AA67" s="148" t="s">
        <v>830</v>
      </c>
      <c r="AB67" s="148">
        <v>61.5864745063488</v>
      </c>
      <c r="AC67" s="148">
        <f>'Cálculo PU'!T122</f>
        <v>56.619912651379366</v>
      </c>
      <c r="AD67" s="168">
        <f t="shared" ref="AD67:AD98" si="19">AB67-AC67</f>
        <v>4.9665618549694344</v>
      </c>
      <c r="AF67" s="147">
        <v>5539</v>
      </c>
      <c r="AG67" s="156">
        <v>43374</v>
      </c>
      <c r="AH67" s="156">
        <v>45334</v>
      </c>
      <c r="AI67" s="148" t="s">
        <v>822</v>
      </c>
      <c r="AJ67" s="148" t="s">
        <v>823</v>
      </c>
      <c r="AK67" s="148" t="s">
        <v>942</v>
      </c>
      <c r="AL67" s="148">
        <v>11.424728099999999</v>
      </c>
      <c r="AM67" s="148">
        <f>'Cálculo PU'!Q122</f>
        <v>16.382300000000001</v>
      </c>
      <c r="AN67" s="168">
        <f t="shared" ref="AN67:AN98" si="20">AL67-AM67</f>
        <v>-4.9575719000000014</v>
      </c>
      <c r="AP67" s="147">
        <v>5540</v>
      </c>
      <c r="AQ67" s="156">
        <v>43374</v>
      </c>
      <c r="AR67" s="156">
        <v>45334</v>
      </c>
      <c r="AS67" s="148" t="s">
        <v>822</v>
      </c>
      <c r="AT67" s="148" t="s">
        <v>823</v>
      </c>
      <c r="AU67" s="148" t="s">
        <v>943</v>
      </c>
      <c r="AV67" s="148">
        <v>1348</v>
      </c>
      <c r="AW67" s="152">
        <f>'Cálculo PU'!L122</f>
        <v>2040</v>
      </c>
      <c r="AX67" s="168">
        <f t="shared" ref="AX67:AX98" si="21">AV67-AW67</f>
        <v>-692</v>
      </c>
      <c r="AZ67" s="147">
        <v>5529</v>
      </c>
      <c r="BA67" s="156">
        <v>43374</v>
      </c>
      <c r="BB67" s="156">
        <v>45334</v>
      </c>
      <c r="BC67" s="148" t="s">
        <v>822</v>
      </c>
      <c r="BD67" s="148" t="s">
        <v>823</v>
      </c>
      <c r="BE67" s="148" t="s">
        <v>945</v>
      </c>
      <c r="BF67" s="148">
        <v>1.0023544447520001</v>
      </c>
      <c r="BG67" s="148">
        <f>'Cálculo PU'!N122</f>
        <v>1.0021580294747356</v>
      </c>
      <c r="BH67" s="168">
        <f t="shared" ref="BH67:BH98" si="22">BF67-BG67</f>
        <v>1.9641527726443897E-4</v>
      </c>
      <c r="BJ67" s="147">
        <v>5554</v>
      </c>
      <c r="BK67" s="156">
        <v>43374</v>
      </c>
      <c r="BL67" s="156">
        <v>45334</v>
      </c>
      <c r="BM67" s="148" t="s">
        <v>822</v>
      </c>
      <c r="BN67" s="148" t="s">
        <v>823</v>
      </c>
      <c r="BO67" s="148" t="s">
        <v>827</v>
      </c>
      <c r="BP67" s="148">
        <v>1.1412225567209999</v>
      </c>
      <c r="BQ67" s="148">
        <f>'Cálculo PU'!O122</f>
        <v>1.2212978526200589</v>
      </c>
      <c r="BR67" s="168">
        <f t="shared" ref="BR67:BR98" si="23">BP67-BQ67</f>
        <v>-8.0075295899058929E-2</v>
      </c>
      <c r="BT67" s="147">
        <v>5528</v>
      </c>
      <c r="BU67" s="156">
        <v>43374</v>
      </c>
      <c r="BV67" s="156">
        <v>45334</v>
      </c>
      <c r="BW67" s="148" t="s">
        <v>822</v>
      </c>
      <c r="BX67" s="148" t="s">
        <v>823</v>
      </c>
      <c r="BY67" s="148" t="s">
        <v>946</v>
      </c>
      <c r="BZ67" s="148">
        <v>1.0116310900000001</v>
      </c>
      <c r="CA67" s="148">
        <f>'Cálculo PU'!S122</f>
        <v>1.0146988100000001</v>
      </c>
      <c r="CB67" s="168">
        <f t="shared" ref="CB67:CB98" si="24">BZ67-CA67</f>
        <v>-3.067719999999996E-3</v>
      </c>
      <c r="CD67">
        <v>5457</v>
      </c>
      <c r="CE67" s="215">
        <v>45300</v>
      </c>
      <c r="CF67" s="215">
        <v>45336</v>
      </c>
      <c r="CG67" t="s">
        <v>822</v>
      </c>
      <c r="CH67" t="s">
        <v>823</v>
      </c>
      <c r="CI67" t="s">
        <v>1713</v>
      </c>
      <c r="CJ67">
        <v>1.0023544447517201</v>
      </c>
      <c r="CK67">
        <f t="shared" si="8"/>
        <v>1.0021580294747356</v>
      </c>
      <c r="CL67" s="246">
        <f t="shared" si="9"/>
        <v>45300</v>
      </c>
      <c r="CM67" s="246">
        <f>'Cálculo PU'!G121</f>
        <v>45300</v>
      </c>
      <c r="CN67" s="215">
        <f t="shared" si="10"/>
        <v>45336</v>
      </c>
      <c r="CO67" s="215">
        <f>'Cálculo PU'!G122</f>
        <v>45336</v>
      </c>
      <c r="CQ67">
        <v>4449</v>
      </c>
      <c r="CR67" s="215">
        <v>44326</v>
      </c>
      <c r="CS67" s="215">
        <v>44356</v>
      </c>
      <c r="CT67" t="s">
        <v>822</v>
      </c>
      <c r="CU67" t="s">
        <v>823</v>
      </c>
      <c r="CV67" t="s">
        <v>1714</v>
      </c>
      <c r="CW67">
        <v>2.5</v>
      </c>
    </row>
    <row r="68" spans="2:101">
      <c r="B68" s="147">
        <v>5594</v>
      </c>
      <c r="C68" s="156">
        <v>43374</v>
      </c>
      <c r="D68" s="156">
        <v>45359</v>
      </c>
      <c r="E68" s="148" t="s">
        <v>822</v>
      </c>
      <c r="F68" s="148" t="s">
        <v>823</v>
      </c>
      <c r="G68" s="148" t="s">
        <v>825</v>
      </c>
      <c r="H68" s="148">
        <v>20.6150890515068</v>
      </c>
      <c r="I68" s="148">
        <f>'Cálculo PU'!V123</f>
        <v>11.246002432071204</v>
      </c>
      <c r="J68" s="168">
        <f t="shared" ref="J68:J113" si="25">H68-I68</f>
        <v>9.3690866194355955</v>
      </c>
      <c r="L68" s="147">
        <v>5580</v>
      </c>
      <c r="M68" s="156">
        <v>43374</v>
      </c>
      <c r="N68" s="156">
        <v>45359</v>
      </c>
      <c r="O68" s="148" t="s">
        <v>822</v>
      </c>
      <c r="P68" s="148" t="s">
        <v>823</v>
      </c>
      <c r="Q68" s="148" t="s">
        <v>824</v>
      </c>
      <c r="R68" s="148">
        <v>23.570250315016999</v>
      </c>
      <c r="S68" s="148">
        <f>'Cálculo PU'!U123</f>
        <v>13.760315735885973</v>
      </c>
      <c r="T68" s="168">
        <f t="shared" si="18"/>
        <v>9.809934579131026</v>
      </c>
      <c r="V68" s="147">
        <v>5566</v>
      </c>
      <c r="W68" s="156">
        <v>43374</v>
      </c>
      <c r="X68" s="156">
        <v>45359</v>
      </c>
      <c r="Y68" s="148" t="s">
        <v>822</v>
      </c>
      <c r="Z68" s="148" t="s">
        <v>823</v>
      </c>
      <c r="AA68" s="148" t="s">
        <v>830</v>
      </c>
      <c r="AB68" s="148">
        <v>42.428166251303402</v>
      </c>
      <c r="AC68" s="148">
        <f>'Cálculo PU'!T123</f>
        <v>47.526185373433364</v>
      </c>
      <c r="AD68" s="168">
        <f t="shared" si="19"/>
        <v>-5.098019122129962</v>
      </c>
      <c r="AF68" s="147">
        <v>5578</v>
      </c>
      <c r="AG68" s="156">
        <v>43374</v>
      </c>
      <c r="AH68" s="156">
        <v>45359</v>
      </c>
      <c r="AI68" s="148" t="s">
        <v>822</v>
      </c>
      <c r="AJ68" s="148" t="s">
        <v>823</v>
      </c>
      <c r="AK68" s="148" t="s">
        <v>942</v>
      </c>
      <c r="AL68" s="148">
        <v>11.445238850000001</v>
      </c>
      <c r="AM68" s="148">
        <f>'Cálculo PU'!Q123</f>
        <v>16.3812</v>
      </c>
      <c r="AN68" s="168">
        <f t="shared" si="20"/>
        <v>-4.9359611499999989</v>
      </c>
      <c r="AP68" s="147">
        <v>5579</v>
      </c>
      <c r="AQ68" s="156">
        <v>43374</v>
      </c>
      <c r="AR68" s="156">
        <v>45359</v>
      </c>
      <c r="AS68" s="148" t="s">
        <v>822</v>
      </c>
      <c r="AT68" s="148" t="s">
        <v>823</v>
      </c>
      <c r="AU68" s="148" t="s">
        <v>943</v>
      </c>
      <c r="AV68" s="148">
        <v>1367</v>
      </c>
      <c r="AW68" s="152">
        <f>'Cálculo PU'!L123</f>
        <v>2059</v>
      </c>
      <c r="AX68" s="168">
        <f t="shared" si="21"/>
        <v>-692</v>
      </c>
      <c r="AZ68" s="147">
        <v>5568</v>
      </c>
      <c r="BA68" s="156">
        <v>43374</v>
      </c>
      <c r="BB68" s="156">
        <v>45359</v>
      </c>
      <c r="BC68" s="148" t="s">
        <v>822</v>
      </c>
      <c r="BD68" s="148" t="s">
        <v>823</v>
      </c>
      <c r="BE68" s="148" t="s">
        <v>945</v>
      </c>
      <c r="BF68" s="148">
        <v>1.0016671596519999</v>
      </c>
      <c r="BG68" s="148">
        <f>'Cálculo PU'!N123</f>
        <v>1.0018634787225431</v>
      </c>
      <c r="BH68" s="168">
        <f t="shared" si="22"/>
        <v>-1.9631907054318276E-4</v>
      </c>
      <c r="BJ68" s="147">
        <v>5593</v>
      </c>
      <c r="BK68" s="156">
        <v>43374</v>
      </c>
      <c r="BL68" s="156">
        <v>45359</v>
      </c>
      <c r="BM68" s="148" t="s">
        <v>822</v>
      </c>
      <c r="BN68" s="148" t="s">
        <v>823</v>
      </c>
      <c r="BO68" s="148" t="s">
        <v>827</v>
      </c>
      <c r="BP68" s="148">
        <v>1.1433494299310001</v>
      </c>
      <c r="BQ68" s="148">
        <f>'Cálculo PU'!O123</f>
        <v>1.2235739605252514</v>
      </c>
      <c r="BR68" s="168">
        <f t="shared" si="23"/>
        <v>-8.0224530594251275E-2</v>
      </c>
      <c r="BT68" s="147">
        <v>5567</v>
      </c>
      <c r="BU68" s="156">
        <v>43374</v>
      </c>
      <c r="BV68" s="156">
        <v>45359</v>
      </c>
      <c r="BW68" s="148" t="s">
        <v>822</v>
      </c>
      <c r="BX68" s="148" t="s">
        <v>823</v>
      </c>
      <c r="BY68" s="148" t="s">
        <v>946</v>
      </c>
      <c r="BZ68" s="148">
        <v>1.0082247799999999</v>
      </c>
      <c r="CA68" s="148">
        <f>'Cálculo PU'!S123</f>
        <v>1.01038948</v>
      </c>
      <c r="CB68" s="168">
        <f t="shared" si="24"/>
        <v>-2.1647000000000194E-3</v>
      </c>
      <c r="CD68">
        <v>5495</v>
      </c>
      <c r="CE68" s="215">
        <v>45336</v>
      </c>
      <c r="CF68" s="215">
        <v>45359</v>
      </c>
      <c r="CG68" t="s">
        <v>822</v>
      </c>
      <c r="CH68" t="s">
        <v>823</v>
      </c>
      <c r="CI68" t="s">
        <v>1713</v>
      </c>
      <c r="CJ68">
        <v>1.0016671596522699</v>
      </c>
      <c r="CK68">
        <f t="shared" ref="CK68:CK113" si="26">BG68</f>
        <v>1.0018634787225431</v>
      </c>
      <c r="CL68" s="246">
        <f t="shared" ref="CL68:CL113" si="27">CE68</f>
        <v>45336</v>
      </c>
      <c r="CM68" s="246">
        <f>'Cálculo PU'!G122</f>
        <v>45336</v>
      </c>
      <c r="CN68" s="215">
        <f t="shared" ref="CN68:CN113" si="28">CF68</f>
        <v>45359</v>
      </c>
      <c r="CO68" s="215">
        <f>'Cálculo PU'!G123</f>
        <v>45359</v>
      </c>
      <c r="CQ68">
        <v>4451</v>
      </c>
      <c r="CR68" s="215">
        <v>44326</v>
      </c>
      <c r="CS68" s="215">
        <v>44356</v>
      </c>
      <c r="CT68" t="s">
        <v>822</v>
      </c>
      <c r="CU68" t="s">
        <v>823</v>
      </c>
      <c r="CV68" t="s">
        <v>1714</v>
      </c>
      <c r="CW68">
        <v>2.5</v>
      </c>
    </row>
    <row r="69" spans="2:101">
      <c r="B69" s="147">
        <v>5633</v>
      </c>
      <c r="C69" s="156">
        <v>43374</v>
      </c>
      <c r="D69" s="156">
        <v>45390</v>
      </c>
      <c r="E69" s="148" t="s">
        <v>822</v>
      </c>
      <c r="F69" s="148" t="s">
        <v>823</v>
      </c>
      <c r="G69" s="148" t="s">
        <v>825</v>
      </c>
      <c r="H69" s="148">
        <v>23.4252385233506</v>
      </c>
      <c r="I69" s="148">
        <f>'Cálculo PU'!V124</f>
        <v>11.410571439482162</v>
      </c>
      <c r="J69" s="168">
        <f t="shared" si="25"/>
        <v>12.014667083868439</v>
      </c>
      <c r="L69" s="147">
        <v>5619</v>
      </c>
      <c r="M69" s="156">
        <v>43374</v>
      </c>
      <c r="N69" s="156">
        <v>45390</v>
      </c>
      <c r="O69" s="148" t="s">
        <v>822</v>
      </c>
      <c r="P69" s="148" t="s">
        <v>823</v>
      </c>
      <c r="Q69" s="148" t="s">
        <v>824</v>
      </c>
      <c r="R69" s="148">
        <v>26.8357781769902</v>
      </c>
      <c r="S69" s="148">
        <f>'Cálculo PU'!U124</f>
        <v>13.989069004014121</v>
      </c>
      <c r="T69" s="168">
        <f t="shared" si="18"/>
        <v>12.846709172976079</v>
      </c>
      <c r="V69" s="147">
        <v>5605</v>
      </c>
      <c r="W69" s="156">
        <v>43374</v>
      </c>
      <c r="X69" s="156">
        <v>45390</v>
      </c>
      <c r="Y69" s="148" t="s">
        <v>822</v>
      </c>
      <c r="Z69" s="148" t="s">
        <v>823</v>
      </c>
      <c r="AA69" s="148" t="s">
        <v>830</v>
      </c>
      <c r="AB69" s="148">
        <v>48.774115553374102</v>
      </c>
      <c r="AC69" s="148">
        <f>'Cálculo PU'!T124</f>
        <v>48.897338786179439</v>
      </c>
      <c r="AD69" s="168">
        <f t="shared" si="19"/>
        <v>-0.12322323280533709</v>
      </c>
      <c r="AF69" s="147">
        <v>5617</v>
      </c>
      <c r="AG69" s="156">
        <v>43374</v>
      </c>
      <c r="AH69" s="156">
        <v>45390</v>
      </c>
      <c r="AI69" s="148" t="s">
        <v>822</v>
      </c>
      <c r="AJ69" s="148" t="s">
        <v>823</v>
      </c>
      <c r="AK69" s="148" t="s">
        <v>942</v>
      </c>
      <c r="AL69" s="148">
        <v>11.466225939999999</v>
      </c>
      <c r="AM69" s="148">
        <f>'Cálculo PU'!Q124</f>
        <v>16.38</v>
      </c>
      <c r="AN69" s="168">
        <f t="shared" si="20"/>
        <v>-4.9137740599999997</v>
      </c>
      <c r="AP69" s="147">
        <v>5618</v>
      </c>
      <c r="AQ69" s="156">
        <v>43374</v>
      </c>
      <c r="AR69" s="156">
        <v>45390</v>
      </c>
      <c r="AS69" s="148" t="s">
        <v>822</v>
      </c>
      <c r="AT69" s="148" t="s">
        <v>823</v>
      </c>
      <c r="AU69" s="148" t="s">
        <v>943</v>
      </c>
      <c r="AV69" s="148">
        <v>1387</v>
      </c>
      <c r="AW69" s="152">
        <f>'Cálculo PU'!L124</f>
        <v>2079</v>
      </c>
      <c r="AX69" s="168">
        <f t="shared" si="21"/>
        <v>-692</v>
      </c>
      <c r="AZ69" s="147">
        <v>5607</v>
      </c>
      <c r="BA69" s="156">
        <v>43374</v>
      </c>
      <c r="BB69" s="156">
        <v>45390</v>
      </c>
      <c r="BC69" s="148" t="s">
        <v>822</v>
      </c>
      <c r="BD69" s="148" t="s">
        <v>823</v>
      </c>
      <c r="BE69" s="148" t="s">
        <v>945</v>
      </c>
      <c r="BF69" s="148">
        <v>1.001961652686</v>
      </c>
      <c r="BG69" s="148">
        <f>'Cálculo PU'!N124</f>
        <v>1.0019616526860928</v>
      </c>
      <c r="BH69" s="168">
        <f t="shared" si="22"/>
        <v>-9.2814644858663087E-14</v>
      </c>
      <c r="BJ69" s="147">
        <v>5632</v>
      </c>
      <c r="BK69" s="156">
        <v>43374</v>
      </c>
      <c r="BL69" s="156">
        <v>45390</v>
      </c>
      <c r="BM69" s="148" t="s">
        <v>822</v>
      </c>
      <c r="BN69" s="148" t="s">
        <v>823</v>
      </c>
      <c r="BO69" s="148" t="s">
        <v>827</v>
      </c>
      <c r="BP69" s="148">
        <v>1.145592526208</v>
      </c>
      <c r="BQ69" s="148">
        <f>'Cálculo PU'!O124</f>
        <v>1.2259744464339446</v>
      </c>
      <c r="BR69" s="168">
        <f t="shared" si="23"/>
        <v>-8.0381920225944592E-2</v>
      </c>
      <c r="BT69" s="147">
        <v>5606</v>
      </c>
      <c r="BU69" s="156">
        <v>43374</v>
      </c>
      <c r="BV69" s="156">
        <v>45390</v>
      </c>
      <c r="BW69" s="148" t="s">
        <v>822</v>
      </c>
      <c r="BX69" s="148" t="s">
        <v>823</v>
      </c>
      <c r="BY69" s="148" t="s">
        <v>946</v>
      </c>
      <c r="BZ69" s="148">
        <v>1.0096832200000001</v>
      </c>
      <c r="CA69" s="148">
        <f>'Cálculo PU'!S124</f>
        <v>1.01223409</v>
      </c>
      <c r="CB69" s="168">
        <f t="shared" si="24"/>
        <v>-2.5508699999998719E-3</v>
      </c>
      <c r="CD69">
        <v>5533</v>
      </c>
      <c r="CE69" s="215">
        <v>45359</v>
      </c>
      <c r="CF69" s="215">
        <v>45390</v>
      </c>
      <c r="CG69" t="s">
        <v>822</v>
      </c>
      <c r="CH69" t="s">
        <v>823</v>
      </c>
      <c r="CI69" t="s">
        <v>1713</v>
      </c>
      <c r="CJ69">
        <v>1.0019616526860899</v>
      </c>
      <c r="CK69">
        <f t="shared" si="26"/>
        <v>1.0019616526860928</v>
      </c>
      <c r="CL69" s="246">
        <f t="shared" si="27"/>
        <v>45359</v>
      </c>
      <c r="CM69" s="246">
        <f>'Cálculo PU'!G123</f>
        <v>45359</v>
      </c>
      <c r="CN69" s="215">
        <f t="shared" si="28"/>
        <v>45390</v>
      </c>
      <c r="CO69" s="215">
        <f>'Cálculo PU'!G124</f>
        <v>45390</v>
      </c>
      <c r="CQ69">
        <v>4489</v>
      </c>
      <c r="CR69" s="215">
        <v>44356</v>
      </c>
      <c r="CS69" s="215">
        <v>44385</v>
      </c>
      <c r="CT69" t="s">
        <v>822</v>
      </c>
      <c r="CU69" t="s">
        <v>823</v>
      </c>
      <c r="CV69" t="s">
        <v>1714</v>
      </c>
      <c r="CW69">
        <v>2.5</v>
      </c>
    </row>
    <row r="70" spans="2:101">
      <c r="B70" s="147">
        <v>5672</v>
      </c>
      <c r="C70" s="156">
        <v>43374</v>
      </c>
      <c r="D70" s="156">
        <v>45421</v>
      </c>
      <c r="E70" s="148" t="s">
        <v>822</v>
      </c>
      <c r="F70" s="148" t="s">
        <v>823</v>
      </c>
      <c r="G70" s="148" t="s">
        <v>825</v>
      </c>
      <c r="H70" s="148">
        <v>24.8399005750328</v>
      </c>
      <c r="I70" s="148">
        <f>'Cálculo PU'!V125</f>
        <v>12.071813340326388</v>
      </c>
      <c r="J70" s="168">
        <f t="shared" si="25"/>
        <v>12.768087234706412</v>
      </c>
      <c r="L70" s="147">
        <v>5658</v>
      </c>
      <c r="M70" s="156">
        <v>43374</v>
      </c>
      <c r="N70" s="156">
        <v>45421</v>
      </c>
      <c r="O70" s="148" t="s">
        <v>822</v>
      </c>
      <c r="P70" s="148" t="s">
        <v>823</v>
      </c>
      <c r="Q70" s="148" t="s">
        <v>824</v>
      </c>
      <c r="R70" s="148">
        <v>28.517820831117302</v>
      </c>
      <c r="S70" s="148">
        <f>'Cálculo PU'!U125</f>
        <v>14.831676384533012</v>
      </c>
      <c r="T70" s="168">
        <f t="shared" si="18"/>
        <v>13.68614444658429</v>
      </c>
      <c r="V70" s="147">
        <v>5644</v>
      </c>
      <c r="W70" s="156">
        <v>43374</v>
      </c>
      <c r="X70" s="156">
        <v>45421</v>
      </c>
      <c r="Y70" s="148" t="s">
        <v>822</v>
      </c>
      <c r="Z70" s="148" t="s">
        <v>823</v>
      </c>
      <c r="AA70" s="148" t="s">
        <v>830</v>
      </c>
      <c r="AB70" s="148">
        <v>52.3835831977919</v>
      </c>
      <c r="AC70" s="148">
        <f>'Cálculo PU'!T125</f>
        <v>52.529177645430465</v>
      </c>
      <c r="AD70" s="168">
        <f t="shared" si="19"/>
        <v>-0.14559444763856533</v>
      </c>
      <c r="AF70" s="147">
        <v>5656</v>
      </c>
      <c r="AG70" s="156">
        <v>43374</v>
      </c>
      <c r="AH70" s="156">
        <v>45421</v>
      </c>
      <c r="AI70" s="148" t="s">
        <v>822</v>
      </c>
      <c r="AJ70" s="148" t="s">
        <v>823</v>
      </c>
      <c r="AK70" s="148" t="s">
        <v>942</v>
      </c>
      <c r="AL70" s="148">
        <v>11.48862795</v>
      </c>
      <c r="AM70" s="148">
        <f>'Cálculo PU'!Q125</f>
        <v>16.378799999999998</v>
      </c>
      <c r="AN70" s="168">
        <f t="shared" si="20"/>
        <v>-4.8901720499999985</v>
      </c>
      <c r="AP70" s="147">
        <v>5657</v>
      </c>
      <c r="AQ70" s="156">
        <v>43374</v>
      </c>
      <c r="AR70" s="156">
        <v>45421</v>
      </c>
      <c r="AS70" s="148" t="s">
        <v>822</v>
      </c>
      <c r="AT70" s="148" t="s">
        <v>823</v>
      </c>
      <c r="AU70" s="148" t="s">
        <v>943</v>
      </c>
      <c r="AV70" s="148">
        <v>1409</v>
      </c>
      <c r="AW70" s="152">
        <f>'Cálculo PU'!L125</f>
        <v>2101</v>
      </c>
      <c r="AX70" s="168">
        <f t="shared" si="21"/>
        <v>-692</v>
      </c>
      <c r="AZ70" s="147">
        <v>5646</v>
      </c>
      <c r="BA70" s="156">
        <v>43374</v>
      </c>
      <c r="BB70" s="156">
        <v>45421</v>
      </c>
      <c r="BC70" s="148" t="s">
        <v>822</v>
      </c>
      <c r="BD70" s="148" t="s">
        <v>823</v>
      </c>
      <c r="BE70" s="148" t="s">
        <v>945</v>
      </c>
      <c r="BF70" s="148">
        <v>1.0021580294750001</v>
      </c>
      <c r="BG70" s="148">
        <f>'Cálculo PU'!N125</f>
        <v>1.0021580294747356</v>
      </c>
      <c r="BH70" s="168">
        <f t="shared" si="22"/>
        <v>2.6445512446571229E-13</v>
      </c>
      <c r="BJ70" s="147">
        <v>5671</v>
      </c>
      <c r="BK70" s="156">
        <v>43374</v>
      </c>
      <c r="BL70" s="156">
        <v>45421</v>
      </c>
      <c r="BM70" s="148" t="s">
        <v>822</v>
      </c>
      <c r="BN70" s="148" t="s">
        <v>823</v>
      </c>
      <c r="BO70" s="148" t="s">
        <v>827</v>
      </c>
      <c r="BP70" s="148">
        <v>1.148065015195</v>
      </c>
      <c r="BQ70" s="148">
        <f>'Cálculo PU'!O125</f>
        <v>1.2286204206775786</v>
      </c>
      <c r="BR70" s="168">
        <f t="shared" si="23"/>
        <v>-8.0555405482578557E-2</v>
      </c>
      <c r="BT70" s="147">
        <v>5645</v>
      </c>
      <c r="BU70" s="156">
        <v>43374</v>
      </c>
      <c r="BV70" s="156">
        <v>45421</v>
      </c>
      <c r="BW70" s="148" t="s">
        <v>822</v>
      </c>
      <c r="BX70" s="148" t="s">
        <v>823</v>
      </c>
      <c r="BY70" s="148" t="s">
        <v>946</v>
      </c>
      <c r="BZ70" s="148">
        <v>1.01065669</v>
      </c>
      <c r="CA70" s="148">
        <f>'Cálculo PU'!S125</f>
        <v>1.0134657</v>
      </c>
      <c r="CB70" s="168">
        <f t="shared" si="24"/>
        <v>-2.8090100000000007E-3</v>
      </c>
      <c r="CD70">
        <v>5571</v>
      </c>
      <c r="CE70" s="215">
        <v>45390</v>
      </c>
      <c r="CF70" s="215">
        <v>45421</v>
      </c>
      <c r="CG70" t="s">
        <v>822</v>
      </c>
      <c r="CH70" t="s">
        <v>823</v>
      </c>
      <c r="CI70" t="s">
        <v>1713</v>
      </c>
      <c r="CJ70">
        <v>1.0021580294747401</v>
      </c>
      <c r="CK70">
        <f t="shared" si="26"/>
        <v>1.0021580294747356</v>
      </c>
      <c r="CL70" s="246">
        <f t="shared" si="27"/>
        <v>45390</v>
      </c>
      <c r="CM70" s="246">
        <f>'Cálculo PU'!G124</f>
        <v>45390</v>
      </c>
      <c r="CN70" s="215">
        <f t="shared" si="28"/>
        <v>45421</v>
      </c>
      <c r="CO70" s="215">
        <f>'Cálculo PU'!G125</f>
        <v>45421</v>
      </c>
      <c r="CQ70">
        <v>4491</v>
      </c>
      <c r="CR70" s="215">
        <v>44356</v>
      </c>
      <c r="CS70" s="215">
        <v>44385</v>
      </c>
      <c r="CT70" t="s">
        <v>822</v>
      </c>
      <c r="CU70" t="s">
        <v>823</v>
      </c>
      <c r="CV70" t="s">
        <v>1714</v>
      </c>
      <c r="CW70">
        <v>2.5</v>
      </c>
    </row>
    <row r="71" spans="2:101">
      <c r="B71" s="147">
        <v>5711</v>
      </c>
      <c r="C71" s="156">
        <v>43374</v>
      </c>
      <c r="D71" s="156">
        <v>45453</v>
      </c>
      <c r="E71" s="148" t="s">
        <v>822</v>
      </c>
      <c r="F71" s="148" t="s">
        <v>823</v>
      </c>
      <c r="G71" s="148" t="s">
        <v>825</v>
      </c>
      <c r="H71" s="148">
        <v>22.830841106653001</v>
      </c>
      <c r="I71" s="148">
        <f>'Cálculo PU'!V126</f>
        <v>11.066983346945216</v>
      </c>
      <c r="J71" s="168">
        <f t="shared" si="25"/>
        <v>11.763857759707784</v>
      </c>
      <c r="L71" s="147">
        <v>5697</v>
      </c>
      <c r="M71" s="156">
        <v>43374</v>
      </c>
      <c r="N71" s="156">
        <v>45453</v>
      </c>
      <c r="O71" s="148" t="s">
        <v>822</v>
      </c>
      <c r="P71" s="148" t="s">
        <v>823</v>
      </c>
      <c r="Q71" s="148" t="s">
        <v>824</v>
      </c>
      <c r="R71" s="148">
        <v>26.2652867286446</v>
      </c>
      <c r="S71" s="148">
        <f>'Cálculo PU'!U126</f>
        <v>13.625132599474062</v>
      </c>
      <c r="T71" s="168">
        <f t="shared" si="18"/>
        <v>12.640154129170538</v>
      </c>
      <c r="V71" s="147">
        <v>5683</v>
      </c>
      <c r="W71" s="156">
        <v>43374</v>
      </c>
      <c r="X71" s="156">
        <v>45453</v>
      </c>
      <c r="Y71" s="148" t="s">
        <v>822</v>
      </c>
      <c r="Z71" s="148" t="s">
        <v>823</v>
      </c>
      <c r="AA71" s="148" t="s">
        <v>830</v>
      </c>
      <c r="AB71" s="148">
        <v>48.736620592547702</v>
      </c>
      <c r="AC71" s="148">
        <f>'Cálculo PU'!T126</f>
        <v>48.865913507944974</v>
      </c>
      <c r="AD71" s="168">
        <f t="shared" si="19"/>
        <v>-0.12929291539727217</v>
      </c>
      <c r="AF71" s="147">
        <v>5695</v>
      </c>
      <c r="AG71" s="156">
        <v>43374</v>
      </c>
      <c r="AH71" s="156">
        <v>45453</v>
      </c>
      <c r="AI71" s="148" t="s">
        <v>822</v>
      </c>
      <c r="AJ71" s="148" t="s">
        <v>823</v>
      </c>
      <c r="AK71" s="148" t="s">
        <v>942</v>
      </c>
      <c r="AL71" s="148">
        <v>11.5093727</v>
      </c>
      <c r="AM71" s="148">
        <f>'Cálculo PU'!Q126</f>
        <v>16.377700000000001</v>
      </c>
      <c r="AN71" s="168">
        <f t="shared" si="20"/>
        <v>-4.8683273000000007</v>
      </c>
      <c r="AP71" s="147">
        <v>5696</v>
      </c>
      <c r="AQ71" s="156">
        <v>43374</v>
      </c>
      <c r="AR71" s="156">
        <v>45453</v>
      </c>
      <c r="AS71" s="148" t="s">
        <v>822</v>
      </c>
      <c r="AT71" s="148" t="s">
        <v>823</v>
      </c>
      <c r="AU71" s="148" t="s">
        <v>943</v>
      </c>
      <c r="AV71" s="148">
        <v>1430</v>
      </c>
      <c r="AW71" s="152">
        <f>'Cálculo PU'!L126</f>
        <v>2122</v>
      </c>
      <c r="AX71" s="168">
        <f t="shared" si="21"/>
        <v>-692</v>
      </c>
      <c r="AZ71" s="147">
        <v>5685</v>
      </c>
      <c r="BA71" s="156">
        <v>43374</v>
      </c>
      <c r="BB71" s="156">
        <v>45453</v>
      </c>
      <c r="BC71" s="148" t="s">
        <v>822</v>
      </c>
      <c r="BD71" s="148" t="s">
        <v>823</v>
      </c>
      <c r="BE71" s="148" t="s">
        <v>945</v>
      </c>
      <c r="BF71" s="148">
        <v>1.0020598362699999</v>
      </c>
      <c r="BG71" s="148">
        <f>'Cálculo PU'!N126</f>
        <v>1.0020598362698427</v>
      </c>
      <c r="BH71" s="168">
        <f t="shared" si="22"/>
        <v>1.5720758028692217E-13</v>
      </c>
      <c r="BJ71" s="147">
        <v>5710</v>
      </c>
      <c r="BK71" s="156">
        <v>43374</v>
      </c>
      <c r="BL71" s="156">
        <v>45453</v>
      </c>
      <c r="BM71" s="148" t="s">
        <v>822</v>
      </c>
      <c r="BN71" s="148" t="s">
        <v>823</v>
      </c>
      <c r="BO71" s="148" t="s">
        <v>827</v>
      </c>
      <c r="BP71" s="148">
        <v>1.150430096112</v>
      </c>
      <c r="BQ71" s="148">
        <f>'Cálculo PU'!O126</f>
        <v>1.2311514504298016</v>
      </c>
      <c r="BR71" s="168">
        <f t="shared" si="23"/>
        <v>-8.0721354317801586E-2</v>
      </c>
      <c r="BT71" s="147">
        <v>5684</v>
      </c>
      <c r="BU71" s="156">
        <v>43374</v>
      </c>
      <c r="BV71" s="156">
        <v>45453</v>
      </c>
      <c r="BW71" s="148" t="s">
        <v>822</v>
      </c>
      <c r="BX71" s="148" t="s">
        <v>823</v>
      </c>
      <c r="BY71" s="148" t="s">
        <v>946</v>
      </c>
      <c r="BZ71" s="148">
        <v>1.0101698400000001</v>
      </c>
      <c r="CA71" s="148">
        <f>'Cálculo PU'!S126</f>
        <v>1.01284971</v>
      </c>
      <c r="CB71" s="168">
        <f t="shared" si="24"/>
        <v>-2.6798699999999176E-3</v>
      </c>
      <c r="CD71">
        <v>5609</v>
      </c>
      <c r="CE71" s="215">
        <v>45421</v>
      </c>
      <c r="CF71" s="215">
        <v>45453</v>
      </c>
      <c r="CG71" t="s">
        <v>822</v>
      </c>
      <c r="CH71" t="s">
        <v>823</v>
      </c>
      <c r="CI71" t="s">
        <v>1713</v>
      </c>
      <c r="CJ71">
        <v>1.0020598362698401</v>
      </c>
      <c r="CK71">
        <f t="shared" si="26"/>
        <v>1.0020598362698427</v>
      </c>
      <c r="CL71" s="246">
        <f t="shared" si="27"/>
        <v>45421</v>
      </c>
      <c r="CM71" s="246">
        <f>'Cálculo PU'!G125</f>
        <v>45421</v>
      </c>
      <c r="CN71" s="215">
        <f t="shared" si="28"/>
        <v>45453</v>
      </c>
      <c r="CO71" s="215">
        <f>'Cálculo PU'!G126</f>
        <v>45453</v>
      </c>
      <c r="CQ71">
        <v>4529</v>
      </c>
      <c r="CR71" s="215">
        <v>44385</v>
      </c>
      <c r="CS71" s="215">
        <v>44417</v>
      </c>
      <c r="CT71" t="s">
        <v>822</v>
      </c>
      <c r="CU71" t="s">
        <v>823</v>
      </c>
      <c r="CV71" t="s">
        <v>1714</v>
      </c>
      <c r="CW71">
        <v>2.5</v>
      </c>
    </row>
    <row r="72" spans="2:101">
      <c r="B72" s="147">
        <v>5750</v>
      </c>
      <c r="C72" s="156">
        <v>43374</v>
      </c>
      <c r="D72" s="156">
        <v>45481</v>
      </c>
      <c r="E72" s="148" t="s">
        <v>822</v>
      </c>
      <c r="F72" s="148" t="s">
        <v>823</v>
      </c>
      <c r="G72" s="148" t="s">
        <v>825</v>
      </c>
      <c r="H72" s="148">
        <v>20.9386491492895</v>
      </c>
      <c r="I72" s="148">
        <f>'Cálculo PU'!V127</f>
        <v>10.125220274716426</v>
      </c>
      <c r="J72" s="168">
        <f t="shared" si="25"/>
        <v>10.813428874573074</v>
      </c>
      <c r="L72" s="147">
        <v>5736</v>
      </c>
      <c r="M72" s="156">
        <v>43374</v>
      </c>
      <c r="N72" s="156">
        <v>45481</v>
      </c>
      <c r="O72" s="148" t="s">
        <v>822</v>
      </c>
      <c r="P72" s="148" t="s">
        <v>823</v>
      </c>
      <c r="Q72" s="148" t="s">
        <v>824</v>
      </c>
      <c r="R72" s="148">
        <v>24.1357104244073</v>
      </c>
      <c r="S72" s="148">
        <f>'Cálculo PU'!U127</f>
        <v>12.490135597314765</v>
      </c>
      <c r="T72" s="168">
        <f t="shared" si="18"/>
        <v>11.645574827092535</v>
      </c>
      <c r="V72" s="147">
        <v>5722</v>
      </c>
      <c r="W72" s="156">
        <v>43374</v>
      </c>
      <c r="X72" s="156">
        <v>45481</v>
      </c>
      <c r="Y72" s="148" t="s">
        <v>822</v>
      </c>
      <c r="Z72" s="148" t="s">
        <v>823</v>
      </c>
      <c r="AA72" s="148" t="s">
        <v>830</v>
      </c>
      <c r="AB72" s="148">
        <v>45.221475260884397</v>
      </c>
      <c r="AC72" s="148">
        <f>'Cálculo PU'!T127</f>
        <v>45.334132020440897</v>
      </c>
      <c r="AD72" s="168">
        <f t="shared" si="19"/>
        <v>-0.11265675955650067</v>
      </c>
      <c r="AF72" s="147">
        <v>5734</v>
      </c>
      <c r="AG72" s="156">
        <v>43374</v>
      </c>
      <c r="AH72" s="156">
        <v>45481</v>
      </c>
      <c r="AI72" s="148" t="s">
        <v>822</v>
      </c>
      <c r="AJ72" s="148" t="s">
        <v>823</v>
      </c>
      <c r="AK72" s="148" t="s">
        <v>942</v>
      </c>
      <c r="AL72" s="148">
        <v>11.529745139999999</v>
      </c>
      <c r="AM72" s="148">
        <f>'Cálculo PU'!Q127</f>
        <v>16.3766</v>
      </c>
      <c r="AN72" s="168">
        <f t="shared" si="20"/>
        <v>-4.8468548600000005</v>
      </c>
      <c r="AP72" s="147">
        <v>5735</v>
      </c>
      <c r="AQ72" s="156">
        <v>43374</v>
      </c>
      <c r="AR72" s="156">
        <v>45481</v>
      </c>
      <c r="AS72" s="148" t="s">
        <v>822</v>
      </c>
      <c r="AT72" s="148" t="s">
        <v>823</v>
      </c>
      <c r="AU72" s="148" t="s">
        <v>943</v>
      </c>
      <c r="AV72" s="148">
        <v>1450</v>
      </c>
      <c r="AW72" s="152">
        <f>'Cálculo PU'!L127</f>
        <v>2142</v>
      </c>
      <c r="AX72" s="168">
        <f t="shared" si="21"/>
        <v>-692</v>
      </c>
      <c r="AZ72" s="147">
        <v>5724</v>
      </c>
      <c r="BA72" s="156">
        <v>43374</v>
      </c>
      <c r="BB72" s="156">
        <v>45481</v>
      </c>
      <c r="BC72" s="148" t="s">
        <v>822</v>
      </c>
      <c r="BD72" s="148" t="s">
        <v>823</v>
      </c>
      <c r="BE72" s="148" t="s">
        <v>945</v>
      </c>
      <c r="BF72" s="148">
        <v>1.001961652686</v>
      </c>
      <c r="BG72" s="148">
        <f>'Cálculo PU'!N127</f>
        <v>1.0019616526860928</v>
      </c>
      <c r="BH72" s="168">
        <f t="shared" si="22"/>
        <v>-9.2814644858663087E-14</v>
      </c>
      <c r="BJ72" s="147">
        <v>5749</v>
      </c>
      <c r="BK72" s="156">
        <v>43374</v>
      </c>
      <c r="BL72" s="156">
        <v>45481</v>
      </c>
      <c r="BM72" s="148" t="s">
        <v>822</v>
      </c>
      <c r="BN72" s="148" t="s">
        <v>823</v>
      </c>
      <c r="BO72" s="148" t="s">
        <v>827</v>
      </c>
      <c r="BP72" s="148">
        <v>1.1526870836950001</v>
      </c>
      <c r="BQ72" s="148">
        <f>'Cálculo PU'!O127</f>
        <v>1.2335668023444135</v>
      </c>
      <c r="BR72" s="168">
        <f t="shared" si="23"/>
        <v>-8.0879718649413457E-2</v>
      </c>
      <c r="BT72" s="147">
        <v>5723</v>
      </c>
      <c r="BU72" s="156">
        <v>43374</v>
      </c>
      <c r="BV72" s="156">
        <v>45481</v>
      </c>
      <c r="BW72" s="148" t="s">
        <v>822</v>
      </c>
      <c r="BX72" s="148" t="s">
        <v>823</v>
      </c>
      <c r="BY72" s="148" t="s">
        <v>946</v>
      </c>
      <c r="BZ72" s="148">
        <v>1.00971711</v>
      </c>
      <c r="CA72" s="148">
        <f>'Cálculo PU'!S127</f>
        <v>1.0122325400000001</v>
      </c>
      <c r="CB72" s="168">
        <f t="shared" si="24"/>
        <v>-2.5154300000000962E-3</v>
      </c>
      <c r="CD72">
        <v>5647</v>
      </c>
      <c r="CE72" s="215">
        <v>45453</v>
      </c>
      <c r="CF72" s="215">
        <v>45481</v>
      </c>
      <c r="CG72" t="s">
        <v>822</v>
      </c>
      <c r="CH72" t="s">
        <v>823</v>
      </c>
      <c r="CI72" t="s">
        <v>1713</v>
      </c>
      <c r="CJ72">
        <v>1.0019616526860899</v>
      </c>
      <c r="CK72">
        <f t="shared" si="26"/>
        <v>1.0019616526860928</v>
      </c>
      <c r="CL72" s="246">
        <f t="shared" si="27"/>
        <v>45453</v>
      </c>
      <c r="CM72" s="246">
        <f>'Cálculo PU'!G126</f>
        <v>45453</v>
      </c>
      <c r="CN72" s="215">
        <f t="shared" si="28"/>
        <v>45481</v>
      </c>
      <c r="CO72" s="215">
        <f>'Cálculo PU'!G127</f>
        <v>45481</v>
      </c>
      <c r="CQ72">
        <v>4531</v>
      </c>
      <c r="CR72" s="215">
        <v>44385</v>
      </c>
      <c r="CS72" s="215">
        <v>44417</v>
      </c>
      <c r="CT72" t="s">
        <v>822</v>
      </c>
      <c r="CU72" t="s">
        <v>823</v>
      </c>
      <c r="CV72" t="s">
        <v>1714</v>
      </c>
      <c r="CW72">
        <v>2.5</v>
      </c>
    </row>
    <row r="73" spans="2:101">
      <c r="B73" s="147">
        <v>5789</v>
      </c>
      <c r="C73" s="156">
        <v>43374</v>
      </c>
      <c r="D73" s="156">
        <v>45512</v>
      </c>
      <c r="E73" s="148" t="s">
        <v>822</v>
      </c>
      <c r="F73" s="148" t="s">
        <v>823</v>
      </c>
      <c r="G73" s="148" t="s">
        <v>825</v>
      </c>
      <c r="H73" s="148">
        <v>23.185237060981301</v>
      </c>
      <c r="I73" s="148">
        <f>'Cálculo PU'!V128</f>
        <v>11.186147724721652</v>
      </c>
      <c r="J73" s="168">
        <f t="shared" si="25"/>
        <v>11.999089336259649</v>
      </c>
      <c r="L73" s="147">
        <v>5775</v>
      </c>
      <c r="M73" s="156">
        <v>43374</v>
      </c>
      <c r="N73" s="156">
        <v>45512</v>
      </c>
      <c r="O73" s="148" t="s">
        <v>822</v>
      </c>
      <c r="P73" s="148" t="s">
        <v>823</v>
      </c>
      <c r="Q73" s="148" t="s">
        <v>824</v>
      </c>
      <c r="R73" s="148">
        <v>26.785628331867201</v>
      </c>
      <c r="S73" s="148">
        <f>'Cálculo PU'!U128</f>
        <v>13.829997270987256</v>
      </c>
      <c r="T73" s="168">
        <f t="shared" si="18"/>
        <v>12.955631060879945</v>
      </c>
      <c r="V73" s="147">
        <v>5761</v>
      </c>
      <c r="W73" s="156">
        <v>43374</v>
      </c>
      <c r="X73" s="156">
        <v>45512</v>
      </c>
      <c r="Y73" s="148" t="s">
        <v>822</v>
      </c>
      <c r="Z73" s="148" t="s">
        <v>823</v>
      </c>
      <c r="AA73" s="148" t="s">
        <v>830</v>
      </c>
      <c r="AB73" s="148">
        <v>50.7535504689356</v>
      </c>
      <c r="AC73" s="148">
        <f>'Cálculo PU'!T128</f>
        <v>50.892821375960168</v>
      </c>
      <c r="AD73" s="168">
        <f t="shared" si="19"/>
        <v>-0.13927090702456724</v>
      </c>
      <c r="AF73" s="147">
        <v>5773</v>
      </c>
      <c r="AG73" s="156">
        <v>43374</v>
      </c>
      <c r="AH73" s="156">
        <v>45512</v>
      </c>
      <c r="AI73" s="148" t="s">
        <v>822</v>
      </c>
      <c r="AJ73" s="148" t="s">
        <v>823</v>
      </c>
      <c r="AK73" s="148" t="s">
        <v>942</v>
      </c>
      <c r="AL73" s="148">
        <v>11.55411415</v>
      </c>
      <c r="AM73" s="148">
        <f>'Cálculo PU'!Q128</f>
        <v>16.375499999999999</v>
      </c>
      <c r="AN73" s="168">
        <f t="shared" si="20"/>
        <v>-4.8213858499999986</v>
      </c>
      <c r="AP73" s="147">
        <v>5774</v>
      </c>
      <c r="AQ73" s="156">
        <v>43374</v>
      </c>
      <c r="AR73" s="156">
        <v>45512</v>
      </c>
      <c r="AS73" s="148" t="s">
        <v>822</v>
      </c>
      <c r="AT73" s="148" t="s">
        <v>823</v>
      </c>
      <c r="AU73" s="148" t="s">
        <v>943</v>
      </c>
      <c r="AV73" s="148">
        <v>1473</v>
      </c>
      <c r="AW73" s="152">
        <f>'Cálculo PU'!L128</f>
        <v>2165</v>
      </c>
      <c r="AX73" s="168">
        <f t="shared" si="21"/>
        <v>-692</v>
      </c>
      <c r="AZ73" s="147">
        <v>5763</v>
      </c>
      <c r="BA73" s="156">
        <v>43374</v>
      </c>
      <c r="BB73" s="156">
        <v>45512</v>
      </c>
      <c r="BC73" s="148" t="s">
        <v>822</v>
      </c>
      <c r="BD73" s="148" t="s">
        <v>823</v>
      </c>
      <c r="BE73" s="148" t="s">
        <v>945</v>
      </c>
      <c r="BF73" s="148">
        <v>1.0022562323019999</v>
      </c>
      <c r="BG73" s="148">
        <f>'Cálculo PU'!N128</f>
        <v>1.0022562323017139</v>
      </c>
      <c r="BH73" s="168">
        <f t="shared" si="22"/>
        <v>2.8599345114344032E-13</v>
      </c>
      <c r="BJ73" s="147">
        <v>5788</v>
      </c>
      <c r="BK73" s="156">
        <v>43374</v>
      </c>
      <c r="BL73" s="156">
        <v>45512</v>
      </c>
      <c r="BM73" s="148" t="s">
        <v>822</v>
      </c>
      <c r="BN73" s="148" t="s">
        <v>823</v>
      </c>
      <c r="BO73" s="148" t="s">
        <v>827</v>
      </c>
      <c r="BP73" s="148">
        <v>1.155288093946</v>
      </c>
      <c r="BQ73" s="148">
        <f>'Cálculo PU'!O128</f>
        <v>1.2363503157054359</v>
      </c>
      <c r="BR73" s="168">
        <f t="shared" si="23"/>
        <v>-8.1062221759435893E-2</v>
      </c>
      <c r="BT73" s="147">
        <v>5762</v>
      </c>
      <c r="BU73" s="156">
        <v>43374</v>
      </c>
      <c r="BV73" s="156">
        <v>45512</v>
      </c>
      <c r="BW73" s="148" t="s">
        <v>822</v>
      </c>
      <c r="BX73" s="148" t="s">
        <v>823</v>
      </c>
      <c r="BY73" s="148" t="s">
        <v>946</v>
      </c>
      <c r="BZ73" s="148">
        <v>1.0112998600000001</v>
      </c>
      <c r="CA73" s="148">
        <f>'Cálculo PU'!S128</f>
        <v>1.01407493</v>
      </c>
      <c r="CB73" s="168">
        <f t="shared" si="24"/>
        <v>-2.7750699999999906E-3</v>
      </c>
      <c r="CD73">
        <v>5685</v>
      </c>
      <c r="CE73" s="215">
        <v>45481</v>
      </c>
      <c r="CF73" s="215">
        <v>45512</v>
      </c>
      <c r="CG73" t="s">
        <v>822</v>
      </c>
      <c r="CH73" t="s">
        <v>823</v>
      </c>
      <c r="CI73" t="s">
        <v>1713</v>
      </c>
      <c r="CJ73">
        <v>1.0022562323017099</v>
      </c>
      <c r="CK73">
        <f t="shared" si="26"/>
        <v>1.0022562323017139</v>
      </c>
      <c r="CL73" s="246">
        <f t="shared" si="27"/>
        <v>45481</v>
      </c>
      <c r="CM73" s="246">
        <f>'Cálculo PU'!G127</f>
        <v>45481</v>
      </c>
      <c r="CN73" s="215">
        <f t="shared" si="28"/>
        <v>45512</v>
      </c>
      <c r="CO73" s="215">
        <f>'Cálculo PU'!G128</f>
        <v>45512</v>
      </c>
      <c r="CQ73">
        <v>4569</v>
      </c>
      <c r="CR73" s="215">
        <v>44417</v>
      </c>
      <c r="CS73" s="215">
        <v>44448</v>
      </c>
      <c r="CT73" t="s">
        <v>822</v>
      </c>
      <c r="CU73" t="s">
        <v>823</v>
      </c>
      <c r="CV73" t="s">
        <v>1714</v>
      </c>
      <c r="CW73">
        <v>2.5</v>
      </c>
    </row>
    <row r="74" spans="2:101">
      <c r="B74" s="147">
        <v>5828</v>
      </c>
      <c r="C74" s="156">
        <v>43374</v>
      </c>
      <c r="D74" s="156">
        <v>45544</v>
      </c>
      <c r="E74" s="148" t="s">
        <v>822</v>
      </c>
      <c r="F74" s="148" t="s">
        <v>823</v>
      </c>
      <c r="G74" s="148" t="s">
        <v>825</v>
      </c>
      <c r="H74" s="148">
        <v>21.316814933632401</v>
      </c>
      <c r="I74" s="148">
        <f>'Cálculo PU'!V129</f>
        <v>10.258643264789255</v>
      </c>
      <c r="J74" s="168">
        <f t="shared" si="25"/>
        <v>11.058171668843146</v>
      </c>
      <c r="L74" s="147">
        <v>5814</v>
      </c>
      <c r="M74" s="156">
        <v>43374</v>
      </c>
      <c r="N74" s="156">
        <v>45544</v>
      </c>
      <c r="O74" s="148" t="s">
        <v>822</v>
      </c>
      <c r="P74" s="148" t="s">
        <v>823</v>
      </c>
      <c r="Q74" s="148" t="s">
        <v>824</v>
      </c>
      <c r="R74" s="148">
        <v>24.6802141505107</v>
      </c>
      <c r="S74" s="148">
        <f>'Cálculo PU'!U129</f>
        <v>12.710650675461455</v>
      </c>
      <c r="T74" s="168">
        <f t="shared" si="18"/>
        <v>11.969563475049245</v>
      </c>
      <c r="V74" s="147">
        <v>5800</v>
      </c>
      <c r="W74" s="156">
        <v>43374</v>
      </c>
      <c r="X74" s="156">
        <v>45544</v>
      </c>
      <c r="Y74" s="148" t="s">
        <v>822</v>
      </c>
      <c r="Z74" s="148" t="s">
        <v>823</v>
      </c>
      <c r="AA74" s="148" t="s">
        <v>830</v>
      </c>
      <c r="AB74" s="148">
        <v>47.269530928453896</v>
      </c>
      <c r="AC74" s="148">
        <f>'Cálculo PU'!T129</f>
        <v>47.393594476579409</v>
      </c>
      <c r="AD74" s="168">
        <f t="shared" si="19"/>
        <v>-0.12406354812551257</v>
      </c>
      <c r="AF74" s="147">
        <v>5812</v>
      </c>
      <c r="AG74" s="156">
        <v>43374</v>
      </c>
      <c r="AH74" s="156">
        <v>45544</v>
      </c>
      <c r="AI74" s="148" t="s">
        <v>822</v>
      </c>
      <c r="AJ74" s="148" t="s">
        <v>823</v>
      </c>
      <c r="AK74" s="148" t="s">
        <v>942</v>
      </c>
      <c r="AL74" s="148">
        <v>11.57672676</v>
      </c>
      <c r="AM74" s="148">
        <f>'Cálculo PU'!Q129</f>
        <v>16.374500000000001</v>
      </c>
      <c r="AN74" s="168">
        <f t="shared" si="20"/>
        <v>-4.7977732400000015</v>
      </c>
      <c r="AP74" s="147">
        <v>5813</v>
      </c>
      <c r="AQ74" s="156">
        <v>43374</v>
      </c>
      <c r="AR74" s="156">
        <v>45544</v>
      </c>
      <c r="AS74" s="148" t="s">
        <v>822</v>
      </c>
      <c r="AT74" s="148" t="s">
        <v>823</v>
      </c>
      <c r="AU74" s="148" t="s">
        <v>943</v>
      </c>
      <c r="AV74" s="148">
        <v>1495</v>
      </c>
      <c r="AW74" s="152">
        <f>'Cálculo PU'!L129</f>
        <v>2187</v>
      </c>
      <c r="AX74" s="168">
        <f t="shared" si="21"/>
        <v>-692</v>
      </c>
      <c r="AZ74" s="147">
        <v>5802</v>
      </c>
      <c r="BA74" s="156">
        <v>43374</v>
      </c>
      <c r="BB74" s="156">
        <v>45544</v>
      </c>
      <c r="BC74" s="148" t="s">
        <v>822</v>
      </c>
      <c r="BD74" s="148" t="s">
        <v>823</v>
      </c>
      <c r="BE74" s="148" t="s">
        <v>945</v>
      </c>
      <c r="BF74" s="148">
        <v>1.0021580294750001</v>
      </c>
      <c r="BG74" s="148">
        <f>'Cálculo PU'!N129</f>
        <v>1.0021580294747356</v>
      </c>
      <c r="BH74" s="168">
        <f t="shared" si="22"/>
        <v>2.6445512446571229E-13</v>
      </c>
      <c r="BJ74" s="147">
        <v>5827</v>
      </c>
      <c r="BK74" s="156">
        <v>43374</v>
      </c>
      <c r="BL74" s="156">
        <v>45544</v>
      </c>
      <c r="BM74" s="148" t="s">
        <v>822</v>
      </c>
      <c r="BN74" s="148" t="s">
        <v>823</v>
      </c>
      <c r="BO74" s="148" t="s">
        <v>827</v>
      </c>
      <c r="BP74" s="148">
        <v>1.1577815085109999</v>
      </c>
      <c r="BQ74" s="148">
        <f>'Cálculo PU'!O129</f>
        <v>1.2390186837949835</v>
      </c>
      <c r="BR74" s="168">
        <f t="shared" si="23"/>
        <v>-8.1237175283983554E-2</v>
      </c>
      <c r="BT74" s="147">
        <v>5801</v>
      </c>
      <c r="BU74" s="156">
        <v>43374</v>
      </c>
      <c r="BV74" s="156">
        <v>45544</v>
      </c>
      <c r="BW74" s="148" t="s">
        <v>822</v>
      </c>
      <c r="BX74" s="148" t="s">
        <v>823</v>
      </c>
      <c r="BY74" s="148" t="s">
        <v>946</v>
      </c>
      <c r="BZ74" s="148">
        <v>1.0108059199999999</v>
      </c>
      <c r="CA74" s="148">
        <f>'Cálculo PU'!S129</f>
        <v>1.01345888</v>
      </c>
      <c r="CB74" s="168">
        <f t="shared" si="24"/>
        <v>-2.6529600000000375E-3</v>
      </c>
      <c r="CD74">
        <v>5723</v>
      </c>
      <c r="CE74" s="215">
        <v>45512</v>
      </c>
      <c r="CF74" s="215">
        <v>45544</v>
      </c>
      <c r="CG74" t="s">
        <v>822</v>
      </c>
      <c r="CH74" t="s">
        <v>823</v>
      </c>
      <c r="CI74" t="s">
        <v>1713</v>
      </c>
      <c r="CJ74">
        <v>1.0021580294747401</v>
      </c>
      <c r="CK74">
        <f t="shared" si="26"/>
        <v>1.0021580294747356</v>
      </c>
      <c r="CL74" s="246">
        <f t="shared" si="27"/>
        <v>45512</v>
      </c>
      <c r="CM74" s="246">
        <f>'Cálculo PU'!G128</f>
        <v>45512</v>
      </c>
      <c r="CN74" s="215">
        <f t="shared" si="28"/>
        <v>45544</v>
      </c>
      <c r="CO74" s="215">
        <f>'Cálculo PU'!G129</f>
        <v>45544</v>
      </c>
      <c r="CQ74">
        <v>4571</v>
      </c>
      <c r="CR74" s="215">
        <v>44417</v>
      </c>
      <c r="CS74" s="215">
        <v>44448</v>
      </c>
      <c r="CT74" t="s">
        <v>822</v>
      </c>
      <c r="CU74" t="s">
        <v>823</v>
      </c>
      <c r="CV74" t="s">
        <v>1714</v>
      </c>
      <c r="CW74">
        <v>2.5</v>
      </c>
    </row>
    <row r="75" spans="2:101">
      <c r="B75" s="147">
        <v>5867</v>
      </c>
      <c r="C75" s="156">
        <v>43374</v>
      </c>
      <c r="D75" s="156">
        <v>45573</v>
      </c>
      <c r="E75" s="148" t="s">
        <v>822</v>
      </c>
      <c r="F75" s="148" t="s">
        <v>823</v>
      </c>
      <c r="G75" s="148" t="s">
        <v>825</v>
      </c>
      <c r="H75" s="148">
        <v>19.560402478457899</v>
      </c>
      <c r="I75" s="148">
        <f>'Cálculo PU'!V130</f>
        <v>9.3906100831327084</v>
      </c>
      <c r="J75" s="168">
        <f t="shared" si="25"/>
        <v>10.169792395325191</v>
      </c>
      <c r="L75" s="147">
        <v>5853</v>
      </c>
      <c r="M75" s="156">
        <v>43374</v>
      </c>
      <c r="N75" s="156">
        <v>45573</v>
      </c>
      <c r="O75" s="148" t="s">
        <v>822</v>
      </c>
      <c r="P75" s="148" t="s">
        <v>823</v>
      </c>
      <c r="Q75" s="148" t="s">
        <v>824</v>
      </c>
      <c r="R75" s="148">
        <v>22.693325754859199</v>
      </c>
      <c r="S75" s="148">
        <f>'Cálculo PU'!U130</f>
        <v>11.659110415275245</v>
      </c>
      <c r="T75" s="168">
        <f t="shared" si="18"/>
        <v>11.034215339583954</v>
      </c>
      <c r="V75" s="147">
        <v>5839</v>
      </c>
      <c r="W75" s="156">
        <v>43374</v>
      </c>
      <c r="X75" s="156">
        <v>45573</v>
      </c>
      <c r="Y75" s="148" t="s">
        <v>822</v>
      </c>
      <c r="Z75" s="148" t="s">
        <v>823</v>
      </c>
      <c r="AA75" s="148" t="s">
        <v>830</v>
      </c>
      <c r="AB75" s="148">
        <v>43.9122937862169</v>
      </c>
      <c r="AC75" s="148">
        <f>'Cálculo PU'!T130</f>
        <v>44.022300506646971</v>
      </c>
      <c r="AD75" s="168">
        <f t="shared" si="19"/>
        <v>-0.11000672043007143</v>
      </c>
      <c r="AF75" s="147">
        <v>5851</v>
      </c>
      <c r="AG75" s="156">
        <v>43374</v>
      </c>
      <c r="AH75" s="156">
        <v>45573</v>
      </c>
      <c r="AI75" s="148" t="s">
        <v>822</v>
      </c>
      <c r="AJ75" s="148" t="s">
        <v>823</v>
      </c>
      <c r="AK75" s="148" t="s">
        <v>942</v>
      </c>
      <c r="AL75" s="148">
        <v>11.5977034</v>
      </c>
      <c r="AM75" s="148">
        <f>'Cálculo PU'!Q130</f>
        <v>16.3735</v>
      </c>
      <c r="AN75" s="168">
        <f t="shared" si="20"/>
        <v>-4.7757965999999996</v>
      </c>
      <c r="AP75" s="147">
        <v>5852</v>
      </c>
      <c r="AQ75" s="156">
        <v>43374</v>
      </c>
      <c r="AR75" s="156">
        <v>45573</v>
      </c>
      <c r="AS75" s="148" t="s">
        <v>822</v>
      </c>
      <c r="AT75" s="148" t="s">
        <v>823</v>
      </c>
      <c r="AU75" s="148" t="s">
        <v>943</v>
      </c>
      <c r="AV75" s="148">
        <v>1516</v>
      </c>
      <c r="AW75" s="152">
        <f>'Cálculo PU'!L130</f>
        <v>2208</v>
      </c>
      <c r="AX75" s="168">
        <f t="shared" si="21"/>
        <v>-692</v>
      </c>
      <c r="AZ75" s="147">
        <v>5841</v>
      </c>
      <c r="BA75" s="156">
        <v>43374</v>
      </c>
      <c r="BB75" s="156">
        <v>45573</v>
      </c>
      <c r="BC75" s="148" t="s">
        <v>822</v>
      </c>
      <c r="BD75" s="148" t="s">
        <v>823</v>
      </c>
      <c r="BE75" s="148" t="s">
        <v>945</v>
      </c>
      <c r="BF75" s="148">
        <v>1.0020598362699999</v>
      </c>
      <c r="BG75" s="148">
        <f>'Cálculo PU'!N130</f>
        <v>1.0020598362698427</v>
      </c>
      <c r="BH75" s="168">
        <f t="shared" si="22"/>
        <v>1.5720758028692217E-13</v>
      </c>
      <c r="BJ75" s="147">
        <v>5866</v>
      </c>
      <c r="BK75" s="156">
        <v>43374</v>
      </c>
      <c r="BL75" s="156">
        <v>45573</v>
      </c>
      <c r="BM75" s="148" t="s">
        <v>822</v>
      </c>
      <c r="BN75" s="148" t="s">
        <v>823</v>
      </c>
      <c r="BO75" s="148" t="s">
        <v>827</v>
      </c>
      <c r="BP75" s="148">
        <v>1.1601666059710001</v>
      </c>
      <c r="BQ75" s="148">
        <f>'Cálculo PU'!O130</f>
        <v>1.2415711345759299</v>
      </c>
      <c r="BR75" s="168">
        <f t="shared" si="23"/>
        <v>-8.140452860492986E-2</v>
      </c>
      <c r="BT75" s="147">
        <v>5840</v>
      </c>
      <c r="BU75" s="156">
        <v>43374</v>
      </c>
      <c r="BV75" s="156">
        <v>45573</v>
      </c>
      <c r="BW75" s="148" t="s">
        <v>822</v>
      </c>
      <c r="BX75" s="148" t="s">
        <v>823</v>
      </c>
      <c r="BY75" s="148" t="s">
        <v>946</v>
      </c>
      <c r="BZ75" s="148">
        <v>1.0103122200000001</v>
      </c>
      <c r="CA75" s="148">
        <f>'Cálculo PU'!S130</f>
        <v>1.0128432000000001</v>
      </c>
      <c r="CB75" s="168">
        <f t="shared" si="24"/>
        <v>-2.5309799999999605E-3</v>
      </c>
      <c r="CD75">
        <v>5761</v>
      </c>
      <c r="CE75" s="215">
        <v>45544</v>
      </c>
      <c r="CF75" s="215">
        <v>45573</v>
      </c>
      <c r="CG75" t="s">
        <v>822</v>
      </c>
      <c r="CH75" t="s">
        <v>823</v>
      </c>
      <c r="CI75" t="s">
        <v>1713</v>
      </c>
      <c r="CJ75">
        <v>1.0020598362698401</v>
      </c>
      <c r="CK75">
        <f t="shared" si="26"/>
        <v>1.0020598362698427</v>
      </c>
      <c r="CL75" s="246">
        <f t="shared" si="27"/>
        <v>45544</v>
      </c>
      <c r="CM75" s="246">
        <f>'Cálculo PU'!G129</f>
        <v>45544</v>
      </c>
      <c r="CN75" s="215">
        <f t="shared" si="28"/>
        <v>45573</v>
      </c>
      <c r="CO75" s="215">
        <f>'Cálculo PU'!G130</f>
        <v>45573</v>
      </c>
      <c r="CQ75">
        <v>4609</v>
      </c>
      <c r="CR75" s="215">
        <v>44448</v>
      </c>
      <c r="CS75" s="215">
        <v>44480</v>
      </c>
      <c r="CT75" t="s">
        <v>822</v>
      </c>
      <c r="CU75" t="s">
        <v>823</v>
      </c>
      <c r="CV75" t="s">
        <v>1714</v>
      </c>
      <c r="CW75">
        <v>2.5</v>
      </c>
    </row>
    <row r="76" spans="2:101">
      <c r="B76" s="147">
        <v>5906</v>
      </c>
      <c r="C76" s="156">
        <v>43374</v>
      </c>
      <c r="D76" s="156">
        <v>45604</v>
      </c>
      <c r="E76" s="148" t="s">
        <v>822</v>
      </c>
      <c r="F76" s="148" t="s">
        <v>823</v>
      </c>
      <c r="G76" s="148" t="s">
        <v>825</v>
      </c>
      <c r="H76" s="148">
        <v>20.592475931394301</v>
      </c>
      <c r="I76" s="148">
        <f>'Cálculo PU'!V131</f>
        <v>9.8635642457627277</v>
      </c>
      <c r="J76" s="168">
        <f t="shared" si="25"/>
        <v>10.728911685631573</v>
      </c>
      <c r="L76" s="147">
        <v>5892</v>
      </c>
      <c r="M76" s="156">
        <v>43374</v>
      </c>
      <c r="N76" s="156">
        <v>45604</v>
      </c>
      <c r="O76" s="148" t="s">
        <v>822</v>
      </c>
      <c r="P76" s="148" t="s">
        <v>823</v>
      </c>
      <c r="Q76" s="148" t="s">
        <v>824</v>
      </c>
      <c r="R76" s="148">
        <v>23.944611697485801</v>
      </c>
      <c r="S76" s="148">
        <f>'Cálculo PU'!U131</f>
        <v>12.273950165996109</v>
      </c>
      <c r="T76" s="168">
        <f t="shared" si="18"/>
        <v>11.670661531489692</v>
      </c>
      <c r="V76" s="147">
        <v>5878</v>
      </c>
      <c r="W76" s="156">
        <v>43374</v>
      </c>
      <c r="X76" s="156">
        <v>45604</v>
      </c>
      <c r="Y76" s="148" t="s">
        <v>822</v>
      </c>
      <c r="Z76" s="148" t="s">
        <v>823</v>
      </c>
      <c r="AA76" s="148" t="s">
        <v>830</v>
      </c>
      <c r="AB76" s="148">
        <v>46.857134377722801</v>
      </c>
      <c r="AC76" s="148">
        <f>'Cálculo PU'!T131</f>
        <v>46.985713276047377</v>
      </c>
      <c r="AD76" s="168">
        <f t="shared" si="19"/>
        <v>-0.12857889832457658</v>
      </c>
      <c r="AF76" s="147">
        <v>5890</v>
      </c>
      <c r="AG76" s="156">
        <v>43374</v>
      </c>
      <c r="AH76" s="156">
        <v>45604</v>
      </c>
      <c r="AI76" s="148" t="s">
        <v>822</v>
      </c>
      <c r="AJ76" s="148" t="s">
        <v>823</v>
      </c>
      <c r="AK76" s="148" t="s">
        <v>942</v>
      </c>
      <c r="AL76" s="148">
        <v>11.6200253</v>
      </c>
      <c r="AM76" s="148">
        <f>'Cálculo PU'!Q131</f>
        <v>16.372399999999999</v>
      </c>
      <c r="AN76" s="168">
        <f t="shared" si="20"/>
        <v>-4.752374699999999</v>
      </c>
      <c r="AP76" s="147">
        <v>5891</v>
      </c>
      <c r="AQ76" s="156">
        <v>43374</v>
      </c>
      <c r="AR76" s="156">
        <v>45604</v>
      </c>
      <c r="AS76" s="148" t="s">
        <v>822</v>
      </c>
      <c r="AT76" s="148" t="s">
        <v>823</v>
      </c>
      <c r="AU76" s="148" t="s">
        <v>943</v>
      </c>
      <c r="AV76" s="148">
        <v>1539</v>
      </c>
      <c r="AW76" s="152">
        <f>'Cálculo PU'!L131</f>
        <v>2231</v>
      </c>
      <c r="AX76" s="168">
        <f t="shared" si="21"/>
        <v>-692</v>
      </c>
      <c r="AZ76" s="147">
        <v>5880</v>
      </c>
      <c r="BA76" s="156">
        <v>43374</v>
      </c>
      <c r="BB76" s="156">
        <v>45604</v>
      </c>
      <c r="BC76" s="148" t="s">
        <v>822</v>
      </c>
      <c r="BD76" s="148" t="s">
        <v>823</v>
      </c>
      <c r="BE76" s="148" t="s">
        <v>945</v>
      </c>
      <c r="BF76" s="148">
        <v>1.0022562323019999</v>
      </c>
      <c r="BG76" s="148">
        <f>'Cálculo PU'!N131</f>
        <v>1.0022562323017139</v>
      </c>
      <c r="BH76" s="168">
        <f t="shared" si="22"/>
        <v>2.8599345114344032E-13</v>
      </c>
      <c r="BJ76" s="147">
        <v>5905</v>
      </c>
      <c r="BK76" s="156">
        <v>43374</v>
      </c>
      <c r="BL76" s="156">
        <v>45604</v>
      </c>
      <c r="BM76" s="148" t="s">
        <v>822</v>
      </c>
      <c r="BN76" s="148" t="s">
        <v>823</v>
      </c>
      <c r="BO76" s="148" t="s">
        <v>827</v>
      </c>
      <c r="BP76" s="148">
        <v>1.162784493582</v>
      </c>
      <c r="BQ76" s="148">
        <f>'Cálculo PU'!O131</f>
        <v>1.2443727095171357</v>
      </c>
      <c r="BR76" s="168">
        <f t="shared" si="23"/>
        <v>-8.1588215935135766E-2</v>
      </c>
      <c r="BT76" s="147">
        <v>5879</v>
      </c>
      <c r="BU76" s="156">
        <v>43374</v>
      </c>
      <c r="BV76" s="156">
        <v>45604</v>
      </c>
      <c r="BW76" s="148" t="s">
        <v>822</v>
      </c>
      <c r="BX76" s="148" t="s">
        <v>823</v>
      </c>
      <c r="BY76" s="148" t="s">
        <v>946</v>
      </c>
      <c r="BZ76" s="148">
        <v>1.0112998600000001</v>
      </c>
      <c r="CA76" s="148">
        <f>'Cálculo PU'!S131</f>
        <v>1.01407493</v>
      </c>
      <c r="CB76" s="168">
        <f t="shared" si="24"/>
        <v>-2.7750699999999906E-3</v>
      </c>
      <c r="CD76">
        <v>5799</v>
      </c>
      <c r="CE76" s="215">
        <v>45573</v>
      </c>
      <c r="CF76" s="215">
        <v>45604</v>
      </c>
      <c r="CG76" t="s">
        <v>822</v>
      </c>
      <c r="CH76" t="s">
        <v>823</v>
      </c>
      <c r="CI76" t="s">
        <v>1713</v>
      </c>
      <c r="CJ76">
        <v>1.0022562323017099</v>
      </c>
      <c r="CK76">
        <f t="shared" si="26"/>
        <v>1.0022562323017139</v>
      </c>
      <c r="CL76" s="246">
        <f t="shared" si="27"/>
        <v>45573</v>
      </c>
      <c r="CM76" s="246">
        <f>'Cálculo PU'!G130</f>
        <v>45573</v>
      </c>
      <c r="CN76" s="215">
        <f t="shared" si="28"/>
        <v>45604</v>
      </c>
      <c r="CO76" s="215">
        <f>'Cálculo PU'!G131</f>
        <v>45604</v>
      </c>
      <c r="CQ76">
        <v>4611</v>
      </c>
      <c r="CR76" s="215">
        <v>44448</v>
      </c>
      <c r="CS76" s="215">
        <v>44480</v>
      </c>
      <c r="CT76" t="s">
        <v>822</v>
      </c>
      <c r="CU76" t="s">
        <v>823</v>
      </c>
      <c r="CV76" t="s">
        <v>1714</v>
      </c>
      <c r="CW76">
        <v>2.5</v>
      </c>
    </row>
    <row r="77" spans="2:101">
      <c r="B77" s="147">
        <v>5945</v>
      </c>
      <c r="C77" s="156">
        <v>43374</v>
      </c>
      <c r="D77" s="156">
        <v>45635</v>
      </c>
      <c r="E77" s="148" t="s">
        <v>822</v>
      </c>
      <c r="F77" s="148" t="s">
        <v>823</v>
      </c>
      <c r="G77" s="148" t="s">
        <v>825</v>
      </c>
      <c r="H77" s="148">
        <v>17.1924922780039</v>
      </c>
      <c r="I77" s="148">
        <f>'Cálculo PU'!V132</f>
        <v>8.2140276783531423</v>
      </c>
      <c r="J77" s="168">
        <f t="shared" si="25"/>
        <v>8.9784645996507582</v>
      </c>
      <c r="L77" s="147">
        <v>5931</v>
      </c>
      <c r="M77" s="156">
        <v>43374</v>
      </c>
      <c r="N77" s="156">
        <v>45635</v>
      </c>
      <c r="O77" s="148" t="s">
        <v>822</v>
      </c>
      <c r="P77" s="148" t="s">
        <v>823</v>
      </c>
      <c r="Q77" s="148" t="s">
        <v>824</v>
      </c>
      <c r="R77" s="148">
        <v>20.030383374076699</v>
      </c>
      <c r="S77" s="148">
        <f>'Cálculo PU'!U132</f>
        <v>10.241364703673412</v>
      </c>
      <c r="T77" s="168">
        <f t="shared" si="18"/>
        <v>9.7890186704032871</v>
      </c>
      <c r="V77" s="147">
        <v>5917</v>
      </c>
      <c r="W77" s="156">
        <v>43374</v>
      </c>
      <c r="X77" s="156">
        <v>45635</v>
      </c>
      <c r="Y77" s="148" t="s">
        <v>822</v>
      </c>
      <c r="Z77" s="148" t="s">
        <v>823</v>
      </c>
      <c r="AA77" s="148" t="s">
        <v>830</v>
      </c>
      <c r="AB77" s="148">
        <v>39.582263292308198</v>
      </c>
      <c r="AC77" s="148">
        <f>'Cálculo PU'!T132</f>
        <v>39.67669491077131</v>
      </c>
      <c r="AD77" s="168">
        <f t="shared" si="19"/>
        <v>-9.4431618463111988E-2</v>
      </c>
      <c r="AF77" s="147">
        <v>5929</v>
      </c>
      <c r="AG77" s="156">
        <v>43374</v>
      </c>
      <c r="AH77" s="156">
        <v>45635</v>
      </c>
      <c r="AI77" s="148" t="s">
        <v>822</v>
      </c>
      <c r="AJ77" s="148" t="s">
        <v>823</v>
      </c>
      <c r="AK77" s="148" t="s">
        <v>942</v>
      </c>
      <c r="AL77" s="148">
        <v>11.63890376</v>
      </c>
      <c r="AM77" s="148">
        <f>'Cálculo PU'!Q132</f>
        <v>16.371500000000001</v>
      </c>
      <c r="AN77" s="168">
        <f t="shared" si="20"/>
        <v>-4.7325962400000012</v>
      </c>
      <c r="AP77" s="147">
        <v>5930</v>
      </c>
      <c r="AQ77" s="156">
        <v>43374</v>
      </c>
      <c r="AR77" s="156">
        <v>45635</v>
      </c>
      <c r="AS77" s="148" t="s">
        <v>822</v>
      </c>
      <c r="AT77" s="148" t="s">
        <v>823</v>
      </c>
      <c r="AU77" s="148" t="s">
        <v>943</v>
      </c>
      <c r="AV77" s="148">
        <v>1559</v>
      </c>
      <c r="AW77" s="152">
        <f>'Cálculo PU'!L132</f>
        <v>2251</v>
      </c>
      <c r="AX77" s="168">
        <f t="shared" si="21"/>
        <v>-692</v>
      </c>
      <c r="AZ77" s="147">
        <v>5919</v>
      </c>
      <c r="BA77" s="156">
        <v>43374</v>
      </c>
      <c r="BB77" s="156">
        <v>45635</v>
      </c>
      <c r="BC77" s="148" t="s">
        <v>822</v>
      </c>
      <c r="BD77" s="148" t="s">
        <v>823</v>
      </c>
      <c r="BE77" s="148" t="s">
        <v>945</v>
      </c>
      <c r="BF77" s="148">
        <v>1.001961652686</v>
      </c>
      <c r="BG77" s="148">
        <f>'Cálculo PU'!N132</f>
        <v>1.0019616526860928</v>
      </c>
      <c r="BH77" s="168">
        <f t="shared" si="22"/>
        <v>-9.2814644858663087E-14</v>
      </c>
      <c r="BJ77" s="147">
        <v>5944</v>
      </c>
      <c r="BK77" s="156">
        <v>43374</v>
      </c>
      <c r="BL77" s="156">
        <v>45635</v>
      </c>
      <c r="BM77" s="148" t="s">
        <v>822</v>
      </c>
      <c r="BN77" s="148" t="s">
        <v>823</v>
      </c>
      <c r="BO77" s="148" t="s">
        <v>827</v>
      </c>
      <c r="BP77" s="148">
        <v>1.1650657188139999</v>
      </c>
      <c r="BQ77" s="148">
        <f>'Cálculo PU'!O132</f>
        <v>1.2468139997461924</v>
      </c>
      <c r="BR77" s="168">
        <f t="shared" si="23"/>
        <v>-8.1748280932192552E-2</v>
      </c>
      <c r="BT77" s="147">
        <v>5918</v>
      </c>
      <c r="BU77" s="156">
        <v>43374</v>
      </c>
      <c r="BV77" s="156">
        <v>45635</v>
      </c>
      <c r="BW77" s="148" t="s">
        <v>822</v>
      </c>
      <c r="BX77" s="148" t="s">
        <v>823</v>
      </c>
      <c r="BY77" s="148" t="s">
        <v>946</v>
      </c>
      <c r="BZ77" s="148">
        <v>1.0098187599999999</v>
      </c>
      <c r="CA77" s="148">
        <f>'Cálculo PU'!S132</f>
        <v>1.0122278899999999</v>
      </c>
      <c r="CB77" s="168">
        <f t="shared" si="24"/>
        <v>-2.4091299999999816E-3</v>
      </c>
      <c r="CD77">
        <v>5837</v>
      </c>
      <c r="CE77" s="215">
        <v>45604</v>
      </c>
      <c r="CF77" s="215">
        <v>45635</v>
      </c>
      <c r="CG77" t="s">
        <v>822</v>
      </c>
      <c r="CH77" t="s">
        <v>823</v>
      </c>
      <c r="CI77" t="s">
        <v>1713</v>
      </c>
      <c r="CJ77">
        <v>1.0019616526860899</v>
      </c>
      <c r="CK77">
        <f t="shared" si="26"/>
        <v>1.0019616526860928</v>
      </c>
      <c r="CL77" s="246">
        <f t="shared" si="27"/>
        <v>45604</v>
      </c>
      <c r="CM77" s="246">
        <f>'Cálculo PU'!G131</f>
        <v>45604</v>
      </c>
      <c r="CN77" s="215">
        <f t="shared" si="28"/>
        <v>45635</v>
      </c>
      <c r="CO77" s="215">
        <f>'Cálculo PU'!G132</f>
        <v>45635</v>
      </c>
      <c r="CQ77">
        <v>4649</v>
      </c>
      <c r="CR77" s="215">
        <v>44480</v>
      </c>
      <c r="CS77" s="215">
        <v>44510</v>
      </c>
      <c r="CT77" t="s">
        <v>822</v>
      </c>
      <c r="CU77" t="s">
        <v>823</v>
      </c>
      <c r="CV77" t="s">
        <v>1714</v>
      </c>
      <c r="CW77">
        <v>2.5</v>
      </c>
    </row>
    <row r="78" spans="2:101">
      <c r="B78" s="147">
        <v>5984</v>
      </c>
      <c r="C78" s="156">
        <v>43374</v>
      </c>
      <c r="D78" s="156">
        <v>45666</v>
      </c>
      <c r="E78" s="148" t="s">
        <v>822</v>
      </c>
      <c r="F78" s="148" t="s">
        <v>823</v>
      </c>
      <c r="G78" s="148" t="s">
        <v>825</v>
      </c>
      <c r="H78" s="148">
        <v>17.3463283231875</v>
      </c>
      <c r="I78" s="148">
        <f>'Cálculo PU'!V133</f>
        <v>8.269415678747059</v>
      </c>
      <c r="J78" s="168">
        <f t="shared" si="25"/>
        <v>9.0769126444404407</v>
      </c>
      <c r="L78" s="147">
        <v>5970</v>
      </c>
      <c r="M78" s="156">
        <v>43374</v>
      </c>
      <c r="N78" s="156">
        <v>45666</v>
      </c>
      <c r="O78" s="148" t="s">
        <v>822</v>
      </c>
      <c r="P78" s="148" t="s">
        <v>823</v>
      </c>
      <c r="Q78" s="148" t="s">
        <v>824</v>
      </c>
      <c r="R78" s="148">
        <v>20.2512454574955</v>
      </c>
      <c r="S78" s="148">
        <f>'Cálculo PU'!U133</f>
        <v>10.331663311429224</v>
      </c>
      <c r="T78" s="168">
        <f t="shared" si="18"/>
        <v>9.9195821460662756</v>
      </c>
      <c r="V78" s="147">
        <v>5956</v>
      </c>
      <c r="W78" s="156">
        <v>43374</v>
      </c>
      <c r="X78" s="156">
        <v>45666</v>
      </c>
      <c r="Y78" s="148" t="s">
        <v>822</v>
      </c>
      <c r="Z78" s="148" t="s">
        <v>823</v>
      </c>
      <c r="AA78" s="148" t="s">
        <v>830</v>
      </c>
      <c r="AB78" s="148">
        <v>40.4292499552473</v>
      </c>
      <c r="AC78" s="148">
        <f>'Cálculo PU'!T133</f>
        <v>40.527610826738368</v>
      </c>
      <c r="AD78" s="168">
        <f t="shared" si="19"/>
        <v>-9.8360871491067314E-2</v>
      </c>
      <c r="AF78" s="147">
        <v>5968</v>
      </c>
      <c r="AG78" s="156">
        <v>43374</v>
      </c>
      <c r="AH78" s="156">
        <v>45666</v>
      </c>
      <c r="AI78" s="148" t="s">
        <v>822</v>
      </c>
      <c r="AJ78" s="148" t="s">
        <v>823</v>
      </c>
      <c r="AK78" s="148" t="s">
        <v>942</v>
      </c>
      <c r="AL78" s="148">
        <v>11.65727103</v>
      </c>
      <c r="AM78" s="148">
        <f>'Cálculo PU'!Q133</f>
        <v>16.369</v>
      </c>
      <c r="AN78" s="168">
        <f t="shared" si="20"/>
        <v>-4.7117289699999994</v>
      </c>
      <c r="AP78" s="147">
        <v>5969</v>
      </c>
      <c r="AQ78" s="156">
        <v>43374</v>
      </c>
      <c r="AR78" s="156">
        <v>45666</v>
      </c>
      <c r="AS78" s="148" t="s">
        <v>822</v>
      </c>
      <c r="AT78" s="148" t="s">
        <v>823</v>
      </c>
      <c r="AU78" s="148" t="s">
        <v>943</v>
      </c>
      <c r="AV78" s="148">
        <v>1580</v>
      </c>
      <c r="AW78" s="152">
        <f>'Cálculo PU'!L133</f>
        <v>2272</v>
      </c>
      <c r="AX78" s="168">
        <f t="shared" si="21"/>
        <v>-692</v>
      </c>
      <c r="AZ78" s="147">
        <v>5958</v>
      </c>
      <c r="BA78" s="156">
        <v>43374</v>
      </c>
      <c r="BB78" s="156">
        <v>45666</v>
      </c>
      <c r="BC78" s="148" t="s">
        <v>822</v>
      </c>
      <c r="BD78" s="148" t="s">
        <v>823</v>
      </c>
      <c r="BE78" s="148" t="s">
        <v>945</v>
      </c>
      <c r="BF78" s="148">
        <v>1.0020598362699999</v>
      </c>
      <c r="BG78" s="148">
        <f>'Cálculo PU'!N133</f>
        <v>1.0020598362698427</v>
      </c>
      <c r="BH78" s="168">
        <f t="shared" si="22"/>
        <v>1.5720758028692217E-13</v>
      </c>
      <c r="BJ78" s="147">
        <v>5983</v>
      </c>
      <c r="BK78" s="156">
        <v>43374</v>
      </c>
      <c r="BL78" s="156">
        <v>45666</v>
      </c>
      <c r="BM78" s="148" t="s">
        <v>822</v>
      </c>
      <c r="BN78" s="148" t="s">
        <v>823</v>
      </c>
      <c r="BO78" s="148" t="s">
        <v>827</v>
      </c>
      <c r="BP78" s="148">
        <v>1.167465822172</v>
      </c>
      <c r="BQ78" s="148">
        <f>'Cálculo PU'!O133</f>
        <v>1.2493825093328272</v>
      </c>
      <c r="BR78" s="168">
        <f t="shared" si="23"/>
        <v>-8.1916687160827228E-2</v>
      </c>
      <c r="BT78" s="147">
        <v>5957</v>
      </c>
      <c r="BU78" s="156">
        <v>43374</v>
      </c>
      <c r="BV78" s="156">
        <v>45666</v>
      </c>
      <c r="BW78" s="148" t="s">
        <v>822</v>
      </c>
      <c r="BX78" s="148" t="s">
        <v>823</v>
      </c>
      <c r="BY78" s="148" t="s">
        <v>946</v>
      </c>
      <c r="BZ78" s="148">
        <v>1.01028246</v>
      </c>
      <c r="CA78" s="148">
        <f>'Cálculo PU'!S133</f>
        <v>1.01274039</v>
      </c>
      <c r="CB78" s="168">
        <f t="shared" si="24"/>
        <v>-2.4579300000000526E-3</v>
      </c>
      <c r="CD78">
        <v>5875</v>
      </c>
      <c r="CE78" s="215">
        <v>45635</v>
      </c>
      <c r="CF78" s="215">
        <v>45666</v>
      </c>
      <c r="CG78" t="s">
        <v>822</v>
      </c>
      <c r="CH78" t="s">
        <v>823</v>
      </c>
      <c r="CI78" t="s">
        <v>1713</v>
      </c>
      <c r="CJ78">
        <v>1.0020598362698401</v>
      </c>
      <c r="CK78">
        <f t="shared" si="26"/>
        <v>1.0020598362698427</v>
      </c>
      <c r="CL78" s="246">
        <f t="shared" si="27"/>
        <v>45635</v>
      </c>
      <c r="CM78" s="246">
        <f>'Cálculo PU'!G132</f>
        <v>45635</v>
      </c>
      <c r="CN78" s="215">
        <f t="shared" si="28"/>
        <v>45666</v>
      </c>
      <c r="CO78" s="215">
        <f>'Cálculo PU'!G133</f>
        <v>45666</v>
      </c>
      <c r="CQ78">
        <v>4651</v>
      </c>
      <c r="CR78" s="215">
        <v>44480</v>
      </c>
      <c r="CS78" s="215">
        <v>44510</v>
      </c>
      <c r="CT78" t="s">
        <v>822</v>
      </c>
      <c r="CU78" t="s">
        <v>823</v>
      </c>
      <c r="CV78" t="s">
        <v>1714</v>
      </c>
      <c r="CW78">
        <v>2.5</v>
      </c>
    </row>
    <row r="79" spans="2:101">
      <c r="B79" s="147">
        <v>6023</v>
      </c>
      <c r="C79" s="156">
        <v>43374</v>
      </c>
      <c r="D79" s="156">
        <v>45698</v>
      </c>
      <c r="E79" s="148" t="s">
        <v>822</v>
      </c>
      <c r="F79" s="148" t="s">
        <v>823</v>
      </c>
      <c r="G79" s="148" t="s">
        <v>825</v>
      </c>
      <c r="H79" s="148">
        <v>17.397672760091201</v>
      </c>
      <c r="I79" s="148">
        <f>'Cálculo PU'!V134</f>
        <v>8.2742234132625025</v>
      </c>
      <c r="J79" s="168">
        <f t="shared" si="25"/>
        <v>9.1234493468286981</v>
      </c>
      <c r="L79" s="147">
        <v>6009</v>
      </c>
      <c r="M79" s="156">
        <v>43374</v>
      </c>
      <c r="N79" s="156">
        <v>45698</v>
      </c>
      <c r="O79" s="148" t="s">
        <v>822</v>
      </c>
      <c r="P79" s="148" t="s">
        <v>823</v>
      </c>
      <c r="Q79" s="148" t="s">
        <v>824</v>
      </c>
      <c r="R79" s="148">
        <v>20.355025201732101</v>
      </c>
      <c r="S79" s="148">
        <f>'Cálculo PU'!U134</f>
        <v>10.359981412737735</v>
      </c>
      <c r="T79" s="168">
        <f t="shared" si="18"/>
        <v>9.9950437889943657</v>
      </c>
      <c r="V79" s="147">
        <v>5995</v>
      </c>
      <c r="W79" s="156">
        <v>43374</v>
      </c>
      <c r="X79" s="156">
        <v>45698</v>
      </c>
      <c r="Y79" s="148" t="s">
        <v>822</v>
      </c>
      <c r="Z79" s="148" t="s">
        <v>823</v>
      </c>
      <c r="AA79" s="148" t="s">
        <v>830</v>
      </c>
      <c r="AB79" s="148">
        <v>41.070226135748797</v>
      </c>
      <c r="AC79" s="148">
        <f>'Cálculo PU'!T134</f>
        <v>41.164965507108761</v>
      </c>
      <c r="AD79" s="168">
        <f t="shared" si="19"/>
        <v>-9.4739371359963798E-2</v>
      </c>
      <c r="AF79" s="147">
        <v>6007</v>
      </c>
      <c r="AG79" s="156">
        <v>43374</v>
      </c>
      <c r="AH79" s="156">
        <v>45698</v>
      </c>
      <c r="AI79" s="148" t="s">
        <v>822</v>
      </c>
      <c r="AJ79" s="148" t="s">
        <v>823</v>
      </c>
      <c r="AK79" s="148" t="s">
        <v>942</v>
      </c>
      <c r="AL79" s="148">
        <v>11.674698810000001</v>
      </c>
      <c r="AM79" s="148">
        <f>'Cálculo PU'!Q134</f>
        <v>16.3643</v>
      </c>
      <c r="AN79" s="168">
        <f t="shared" si="20"/>
        <v>-4.6896011899999994</v>
      </c>
      <c r="AP79" s="147">
        <v>6008</v>
      </c>
      <c r="AQ79" s="156">
        <v>43374</v>
      </c>
      <c r="AR79" s="156">
        <v>45698</v>
      </c>
      <c r="AS79" s="148" t="s">
        <v>822</v>
      </c>
      <c r="AT79" s="148" t="s">
        <v>823</v>
      </c>
      <c r="AU79" s="148" t="s">
        <v>943</v>
      </c>
      <c r="AV79" s="148">
        <v>1602</v>
      </c>
      <c r="AW79" s="152">
        <f>'Cálculo PU'!L134</f>
        <v>2294</v>
      </c>
      <c r="AX79" s="168">
        <f t="shared" si="21"/>
        <v>-692</v>
      </c>
      <c r="AZ79" s="147">
        <v>5997</v>
      </c>
      <c r="BA79" s="156">
        <v>43374</v>
      </c>
      <c r="BB79" s="156">
        <v>45698</v>
      </c>
      <c r="BC79" s="148" t="s">
        <v>822</v>
      </c>
      <c r="BD79" s="148" t="s">
        <v>823</v>
      </c>
      <c r="BE79" s="148" t="s">
        <v>945</v>
      </c>
      <c r="BF79" s="148">
        <v>1.0021580294750001</v>
      </c>
      <c r="BG79" s="148">
        <f>'Cálculo PU'!N134</f>
        <v>1.0021580294747356</v>
      </c>
      <c r="BH79" s="168">
        <f t="shared" si="22"/>
        <v>2.6445512446571229E-13</v>
      </c>
      <c r="BJ79" s="147">
        <v>6022</v>
      </c>
      <c r="BK79" s="156">
        <v>43374</v>
      </c>
      <c r="BL79" s="156">
        <v>45698</v>
      </c>
      <c r="BM79" s="148" t="s">
        <v>822</v>
      </c>
      <c r="BN79" s="148" t="s">
        <v>823</v>
      </c>
      <c r="BO79" s="148" t="s">
        <v>827</v>
      </c>
      <c r="BP79" s="148">
        <v>1.1699855194669999</v>
      </c>
      <c r="BQ79" s="148">
        <f>'Cálculo PU'!O134</f>
        <v>1.2520790043126022</v>
      </c>
      <c r="BR79" s="168">
        <f t="shared" si="23"/>
        <v>-8.2093484845602305E-2</v>
      </c>
      <c r="BT79" s="147">
        <v>5996</v>
      </c>
      <c r="BU79" s="156">
        <v>43374</v>
      </c>
      <c r="BV79" s="156">
        <v>45698</v>
      </c>
      <c r="BW79" s="148" t="s">
        <v>822</v>
      </c>
      <c r="BX79" s="148" t="s">
        <v>823</v>
      </c>
      <c r="BY79" s="148" t="s">
        <v>946</v>
      </c>
      <c r="BZ79" s="148">
        <v>1.0106749500000001</v>
      </c>
      <c r="CA79" s="148">
        <f>'Cálculo PU'!S134</f>
        <v>1.01300634</v>
      </c>
      <c r="CB79" s="168">
        <f t="shared" si="24"/>
        <v>-2.3313899999999332E-3</v>
      </c>
      <c r="CD79">
        <v>5913</v>
      </c>
      <c r="CE79" s="215">
        <v>45666</v>
      </c>
      <c r="CF79" s="215">
        <v>45698</v>
      </c>
      <c r="CG79" t="s">
        <v>822</v>
      </c>
      <c r="CH79" t="s">
        <v>823</v>
      </c>
      <c r="CI79" t="s">
        <v>1713</v>
      </c>
      <c r="CJ79">
        <v>1.0021580294747401</v>
      </c>
      <c r="CK79">
        <f t="shared" si="26"/>
        <v>1.0021580294747356</v>
      </c>
      <c r="CL79" s="246">
        <f t="shared" si="27"/>
        <v>45666</v>
      </c>
      <c r="CM79" s="246">
        <f>'Cálculo PU'!G133</f>
        <v>45666</v>
      </c>
      <c r="CN79" s="215">
        <f t="shared" si="28"/>
        <v>45698</v>
      </c>
      <c r="CO79" s="215">
        <f>'Cálculo PU'!G134</f>
        <v>45698</v>
      </c>
      <c r="CQ79">
        <v>4689</v>
      </c>
      <c r="CR79" s="215">
        <v>44510</v>
      </c>
      <c r="CS79" s="215">
        <v>44538</v>
      </c>
      <c r="CT79" t="s">
        <v>822</v>
      </c>
      <c r="CU79" t="s">
        <v>823</v>
      </c>
      <c r="CV79" t="s">
        <v>1714</v>
      </c>
      <c r="CW79">
        <v>2.5</v>
      </c>
    </row>
    <row r="80" spans="2:101">
      <c r="B80" s="147">
        <v>6062</v>
      </c>
      <c r="C80" s="156">
        <v>43374</v>
      </c>
      <c r="D80" s="156">
        <v>45728</v>
      </c>
      <c r="E80" s="148" t="s">
        <v>822</v>
      </c>
      <c r="F80" s="148" t="s">
        <v>823</v>
      </c>
      <c r="G80" s="148" t="s">
        <v>825</v>
      </c>
      <c r="H80" s="148">
        <v>15.1287060934376</v>
      </c>
      <c r="I80" s="148">
        <f>'Cálculo PU'!V135</f>
        <v>7.1789801286064829</v>
      </c>
      <c r="J80" s="168">
        <f t="shared" si="25"/>
        <v>7.9497259648311172</v>
      </c>
      <c r="L80" s="147">
        <v>6048</v>
      </c>
      <c r="M80" s="156">
        <v>43374</v>
      </c>
      <c r="N80" s="156">
        <v>45728</v>
      </c>
      <c r="O80" s="148" t="s">
        <v>822</v>
      </c>
      <c r="P80" s="148" t="s">
        <v>823</v>
      </c>
      <c r="Q80" s="148" t="s">
        <v>824</v>
      </c>
      <c r="R80" s="148">
        <v>17.735092773458899</v>
      </c>
      <c r="S80" s="148">
        <f>'Cálculo PU'!U135</f>
        <v>9.0062848023209678</v>
      </c>
      <c r="T80" s="168">
        <f t="shared" si="18"/>
        <v>8.7288079711379307</v>
      </c>
      <c r="V80" s="147">
        <v>6034</v>
      </c>
      <c r="W80" s="156">
        <v>43374</v>
      </c>
      <c r="X80" s="156">
        <v>45728</v>
      </c>
      <c r="Y80" s="148" t="s">
        <v>822</v>
      </c>
      <c r="Z80" s="148" t="s">
        <v>823</v>
      </c>
      <c r="AA80" s="148" t="s">
        <v>830</v>
      </c>
      <c r="AB80" s="148">
        <v>36.1311004833506</v>
      </c>
      <c r="AC80" s="148">
        <f>'Cálculo PU'!T135</f>
        <v>36.206861301548756</v>
      </c>
      <c r="AD80" s="168">
        <f t="shared" si="19"/>
        <v>-7.5760818198155278E-2</v>
      </c>
      <c r="AF80" s="147">
        <v>6046</v>
      </c>
      <c r="AG80" s="156">
        <v>43374</v>
      </c>
      <c r="AH80" s="156">
        <v>45728</v>
      </c>
      <c r="AI80" s="148" t="s">
        <v>822</v>
      </c>
      <c r="AJ80" s="148" t="s">
        <v>823</v>
      </c>
      <c r="AK80" s="148" t="s">
        <v>942</v>
      </c>
      <c r="AL80" s="148">
        <v>11.690134260000001</v>
      </c>
      <c r="AM80" s="148">
        <f>'Cálculo PU'!Q135</f>
        <v>16.36</v>
      </c>
      <c r="AN80" s="168">
        <f t="shared" si="20"/>
        <v>-4.6698657399999988</v>
      </c>
      <c r="AP80" s="147">
        <v>6047</v>
      </c>
      <c r="AQ80" s="156">
        <v>43374</v>
      </c>
      <c r="AR80" s="156">
        <v>45728</v>
      </c>
      <c r="AS80" s="148" t="s">
        <v>822</v>
      </c>
      <c r="AT80" s="148" t="s">
        <v>823</v>
      </c>
      <c r="AU80" s="148" t="s">
        <v>943</v>
      </c>
      <c r="AV80" s="148">
        <v>1622</v>
      </c>
      <c r="AW80" s="152">
        <f>'Cálculo PU'!L135</f>
        <v>2314</v>
      </c>
      <c r="AX80" s="168">
        <f t="shared" si="21"/>
        <v>-692</v>
      </c>
      <c r="AZ80" s="147">
        <v>6036</v>
      </c>
      <c r="BA80" s="156">
        <v>43374</v>
      </c>
      <c r="BB80" s="156">
        <v>45728</v>
      </c>
      <c r="BC80" s="148" t="s">
        <v>822</v>
      </c>
      <c r="BD80" s="148" t="s">
        <v>823</v>
      </c>
      <c r="BE80" s="148" t="s">
        <v>945</v>
      </c>
      <c r="BF80" s="148">
        <v>1.001961652686</v>
      </c>
      <c r="BG80" s="148">
        <f>'Cálculo PU'!N135</f>
        <v>1.0019616526860928</v>
      </c>
      <c r="BH80" s="168">
        <f t="shared" si="22"/>
        <v>-9.2814644858663087E-14</v>
      </c>
      <c r="BJ80" s="147">
        <v>6061</v>
      </c>
      <c r="BK80" s="156">
        <v>43374</v>
      </c>
      <c r="BL80" s="156">
        <v>45728</v>
      </c>
      <c r="BM80" s="148" t="s">
        <v>822</v>
      </c>
      <c r="BN80" s="148" t="s">
        <v>823</v>
      </c>
      <c r="BO80" s="148" t="s">
        <v>827</v>
      </c>
      <c r="BP80" s="148">
        <v>1.172280872133</v>
      </c>
      <c r="BQ80" s="148">
        <f>'Cálculo PU'!O135</f>
        <v>1.2545354132452773</v>
      </c>
      <c r="BR80" s="168">
        <f t="shared" si="23"/>
        <v>-8.2254541112277257E-2</v>
      </c>
      <c r="BT80" s="147">
        <v>6035</v>
      </c>
      <c r="BU80" s="156">
        <v>43374</v>
      </c>
      <c r="BV80" s="156">
        <v>45728</v>
      </c>
      <c r="BW80" s="148" t="s">
        <v>822</v>
      </c>
      <c r="BX80" s="148" t="s">
        <v>823</v>
      </c>
      <c r="BY80" s="148" t="s">
        <v>946</v>
      </c>
      <c r="BZ80" s="148">
        <v>1.0096998100000001</v>
      </c>
      <c r="CA80" s="148">
        <f>'Cálculo PU'!S135</f>
        <v>1.0118169800000001</v>
      </c>
      <c r="CB80" s="168">
        <f t="shared" si="24"/>
        <v>-2.1171700000000016E-3</v>
      </c>
      <c r="CD80">
        <v>5951</v>
      </c>
      <c r="CE80" s="215">
        <v>45698</v>
      </c>
      <c r="CF80" s="215">
        <v>45728</v>
      </c>
      <c r="CG80" t="s">
        <v>822</v>
      </c>
      <c r="CH80" t="s">
        <v>823</v>
      </c>
      <c r="CI80" t="s">
        <v>1713</v>
      </c>
      <c r="CJ80">
        <v>1.0019616526860899</v>
      </c>
      <c r="CK80">
        <f t="shared" si="26"/>
        <v>1.0019616526860928</v>
      </c>
      <c r="CL80" s="246">
        <f t="shared" si="27"/>
        <v>45698</v>
      </c>
      <c r="CM80" s="246">
        <f>'Cálculo PU'!G134</f>
        <v>45698</v>
      </c>
      <c r="CN80" s="215">
        <f t="shared" si="28"/>
        <v>45728</v>
      </c>
      <c r="CO80" s="215">
        <f>'Cálculo PU'!G135</f>
        <v>45728</v>
      </c>
      <c r="CQ80">
        <v>4691</v>
      </c>
      <c r="CR80" s="215">
        <v>44510</v>
      </c>
      <c r="CS80" s="215">
        <v>44538</v>
      </c>
      <c r="CT80" t="s">
        <v>822</v>
      </c>
      <c r="CU80" t="s">
        <v>823</v>
      </c>
      <c r="CV80" t="s">
        <v>1714</v>
      </c>
      <c r="CW80">
        <v>2.5</v>
      </c>
    </row>
    <row r="81" spans="2:101">
      <c r="B81" s="147">
        <v>6101</v>
      </c>
      <c r="C81" s="156">
        <v>43374</v>
      </c>
      <c r="D81" s="156">
        <v>45755</v>
      </c>
      <c r="E81" s="148" t="s">
        <v>822</v>
      </c>
      <c r="F81" s="148" t="s">
        <v>823</v>
      </c>
      <c r="G81" s="148" t="s">
        <v>825</v>
      </c>
      <c r="H81" s="148">
        <v>13.750512360805301</v>
      </c>
      <c r="I81" s="148">
        <f>'Cálculo PU'!V136</f>
        <v>6.5116920107976721</v>
      </c>
      <c r="J81" s="168">
        <f t="shared" si="25"/>
        <v>7.2388203500076287</v>
      </c>
      <c r="L81" s="147">
        <v>6087</v>
      </c>
      <c r="M81" s="156">
        <v>43374</v>
      </c>
      <c r="N81" s="156">
        <v>45755</v>
      </c>
      <c r="O81" s="148" t="s">
        <v>822</v>
      </c>
      <c r="P81" s="148" t="s">
        <v>823</v>
      </c>
      <c r="Q81" s="148" t="s">
        <v>824</v>
      </c>
      <c r="R81" s="148">
        <v>16.149504136419999</v>
      </c>
      <c r="S81" s="148">
        <f>'Cálculo PU'!U136</f>
        <v>8.1843729026718872</v>
      </c>
      <c r="T81" s="168">
        <f t="shared" si="18"/>
        <v>7.9651312337481119</v>
      </c>
      <c r="V81" s="147">
        <v>6073</v>
      </c>
      <c r="W81" s="156">
        <v>43374</v>
      </c>
      <c r="X81" s="156">
        <v>45755</v>
      </c>
      <c r="Y81" s="148" t="s">
        <v>822</v>
      </c>
      <c r="Z81" s="148" t="s">
        <v>823</v>
      </c>
      <c r="AA81" s="148" t="s">
        <v>830</v>
      </c>
      <c r="AB81" s="148">
        <v>33.203936792118597</v>
      </c>
      <c r="AC81" s="148">
        <f>'Cálculo PU'!T136</f>
        <v>33.270075358288544</v>
      </c>
      <c r="AD81" s="168">
        <f t="shared" si="19"/>
        <v>-6.6138566169946955E-2</v>
      </c>
      <c r="AF81" s="147">
        <v>6085</v>
      </c>
      <c r="AG81" s="156">
        <v>43374</v>
      </c>
      <c r="AH81" s="156">
        <v>45755</v>
      </c>
      <c r="AI81" s="148" t="s">
        <v>822</v>
      </c>
      <c r="AJ81" s="148" t="s">
        <v>823</v>
      </c>
      <c r="AK81" s="148" t="s">
        <v>942</v>
      </c>
      <c r="AL81" s="148">
        <v>11.704451349999999</v>
      </c>
      <c r="AM81" s="148">
        <f>'Cálculo PU'!Q136</f>
        <v>16.356000000000002</v>
      </c>
      <c r="AN81" s="168">
        <f t="shared" si="20"/>
        <v>-4.6515486500000023</v>
      </c>
      <c r="AP81" s="147">
        <v>6086</v>
      </c>
      <c r="AQ81" s="156">
        <v>43374</v>
      </c>
      <c r="AR81" s="156">
        <v>45755</v>
      </c>
      <c r="AS81" s="148" t="s">
        <v>822</v>
      </c>
      <c r="AT81" s="148" t="s">
        <v>823</v>
      </c>
      <c r="AU81" s="148" t="s">
        <v>943</v>
      </c>
      <c r="AV81" s="148">
        <v>1641</v>
      </c>
      <c r="AW81" s="152">
        <f>'Cálculo PU'!L136</f>
        <v>2333</v>
      </c>
      <c r="AX81" s="168">
        <f t="shared" si="21"/>
        <v>-692</v>
      </c>
      <c r="AZ81" s="147">
        <v>6075</v>
      </c>
      <c r="BA81" s="156">
        <v>43374</v>
      </c>
      <c r="BB81" s="156">
        <v>45755</v>
      </c>
      <c r="BC81" s="148" t="s">
        <v>822</v>
      </c>
      <c r="BD81" s="148" t="s">
        <v>823</v>
      </c>
      <c r="BE81" s="148" t="s">
        <v>945</v>
      </c>
      <c r="BF81" s="148">
        <v>1.0018634787230001</v>
      </c>
      <c r="BG81" s="148">
        <f>'Cálculo PU'!N136</f>
        <v>1.0018634787225431</v>
      </c>
      <c r="BH81" s="168">
        <f t="shared" si="22"/>
        <v>4.5696779693571443E-13</v>
      </c>
      <c r="BJ81" s="147">
        <v>6100</v>
      </c>
      <c r="BK81" s="156">
        <v>43374</v>
      </c>
      <c r="BL81" s="156">
        <v>45755</v>
      </c>
      <c r="BM81" s="148" t="s">
        <v>822</v>
      </c>
      <c r="BN81" s="148" t="s">
        <v>823</v>
      </c>
      <c r="BO81" s="148" t="s">
        <v>827</v>
      </c>
      <c r="BP81" s="148">
        <v>1.1744656280920001</v>
      </c>
      <c r="BQ81" s="148">
        <f>'Cálculo PU'!O136</f>
        <v>1.2568734653144804</v>
      </c>
      <c r="BR81" s="168">
        <f t="shared" si="23"/>
        <v>-8.2407837222480351E-2</v>
      </c>
      <c r="BT81" s="147">
        <v>6074</v>
      </c>
      <c r="BU81" s="156">
        <v>43374</v>
      </c>
      <c r="BV81" s="156">
        <v>45755</v>
      </c>
      <c r="BW81" s="148" t="s">
        <v>822</v>
      </c>
      <c r="BX81" s="148" t="s">
        <v>823</v>
      </c>
      <c r="BY81" s="148" t="s">
        <v>946</v>
      </c>
      <c r="BZ81" s="148">
        <v>1.00921259</v>
      </c>
      <c r="CA81" s="148">
        <f>'Cálculo PU'!S136</f>
        <v>1.0112228299999999</v>
      </c>
      <c r="CB81" s="168">
        <f t="shared" si="24"/>
        <v>-2.010239999999941E-3</v>
      </c>
      <c r="CD81">
        <v>5989</v>
      </c>
      <c r="CE81" s="215">
        <v>45728</v>
      </c>
      <c r="CF81" s="215">
        <v>45755</v>
      </c>
      <c r="CG81" t="s">
        <v>822</v>
      </c>
      <c r="CH81" t="s">
        <v>823</v>
      </c>
      <c r="CI81" t="s">
        <v>1713</v>
      </c>
      <c r="CJ81">
        <v>1.00186347872254</v>
      </c>
      <c r="CK81">
        <f t="shared" si="26"/>
        <v>1.0018634787225431</v>
      </c>
      <c r="CL81" s="246">
        <f t="shared" si="27"/>
        <v>45728</v>
      </c>
      <c r="CM81" s="246">
        <f>'Cálculo PU'!G135</f>
        <v>45728</v>
      </c>
      <c r="CN81" s="215">
        <f t="shared" si="28"/>
        <v>45755</v>
      </c>
      <c r="CO81" s="215">
        <f>'Cálculo PU'!G136</f>
        <v>45755</v>
      </c>
      <c r="CQ81">
        <v>4729</v>
      </c>
      <c r="CR81" s="215">
        <v>44538</v>
      </c>
      <c r="CS81" s="215">
        <v>44571</v>
      </c>
      <c r="CT81" t="s">
        <v>822</v>
      </c>
      <c r="CU81" t="s">
        <v>823</v>
      </c>
      <c r="CV81" t="s">
        <v>1714</v>
      </c>
      <c r="CW81">
        <v>2.5</v>
      </c>
    </row>
    <row r="82" spans="2:101">
      <c r="B82" s="147">
        <v>6140</v>
      </c>
      <c r="C82" s="156">
        <v>43374</v>
      </c>
      <c r="D82" s="156">
        <v>45786</v>
      </c>
      <c r="E82" s="148" t="s">
        <v>822</v>
      </c>
      <c r="F82" s="148" t="s">
        <v>823</v>
      </c>
      <c r="G82" s="148" t="s">
        <v>825</v>
      </c>
      <c r="H82" s="148">
        <v>13.8426729985227</v>
      </c>
      <c r="I82" s="148">
        <f>'Cálculo PU'!V137</f>
        <v>6.5426584376916592</v>
      </c>
      <c r="J82" s="168">
        <f t="shared" si="25"/>
        <v>7.3000145608310403</v>
      </c>
      <c r="L82" s="147">
        <v>6126</v>
      </c>
      <c r="M82" s="156">
        <v>43374</v>
      </c>
      <c r="N82" s="156">
        <v>45786</v>
      </c>
      <c r="O82" s="148" t="s">
        <v>822</v>
      </c>
      <c r="P82" s="148" t="s">
        <v>823</v>
      </c>
      <c r="Q82" s="148" t="s">
        <v>824</v>
      </c>
      <c r="R82" s="148">
        <v>16.2896391223594</v>
      </c>
      <c r="S82" s="148">
        <f>'Cálculo PU'!U137</f>
        <v>8.239426768357113</v>
      </c>
      <c r="T82" s="168">
        <f t="shared" si="18"/>
        <v>8.0502123540022872</v>
      </c>
      <c r="V82" s="147">
        <v>6112</v>
      </c>
      <c r="W82" s="156">
        <v>43374</v>
      </c>
      <c r="X82" s="156">
        <v>45786</v>
      </c>
      <c r="Y82" s="148" t="s">
        <v>822</v>
      </c>
      <c r="Z82" s="148" t="s">
        <v>823</v>
      </c>
      <c r="AA82" s="148" t="s">
        <v>830</v>
      </c>
      <c r="AB82" s="148">
        <v>33.816925821351703</v>
      </c>
      <c r="AC82" s="148">
        <f>'Cálculo PU'!T137</f>
        <v>33.887834205953808</v>
      </c>
      <c r="AD82" s="168">
        <f t="shared" si="19"/>
        <v>-7.0908384602105912E-2</v>
      </c>
      <c r="AF82" s="147">
        <v>6124</v>
      </c>
      <c r="AG82" s="156">
        <v>43374</v>
      </c>
      <c r="AH82" s="156">
        <v>45786</v>
      </c>
      <c r="AI82" s="148" t="s">
        <v>822</v>
      </c>
      <c r="AJ82" s="148" t="s">
        <v>823</v>
      </c>
      <c r="AK82" s="148" t="s">
        <v>942</v>
      </c>
      <c r="AL82" s="148">
        <v>11.719170030000001</v>
      </c>
      <c r="AM82" s="148">
        <f>'Cálculo PU'!Q137</f>
        <v>16.351900000000001</v>
      </c>
      <c r="AN82" s="168">
        <f t="shared" si="20"/>
        <v>-4.6327299699999998</v>
      </c>
      <c r="AP82" s="147">
        <v>6125</v>
      </c>
      <c r="AQ82" s="156">
        <v>43374</v>
      </c>
      <c r="AR82" s="156">
        <v>45786</v>
      </c>
      <c r="AS82" s="148" t="s">
        <v>822</v>
      </c>
      <c r="AT82" s="148" t="s">
        <v>823</v>
      </c>
      <c r="AU82" s="148" t="s">
        <v>943</v>
      </c>
      <c r="AV82" s="148">
        <v>1661</v>
      </c>
      <c r="AW82" s="152">
        <f>'Cálculo PU'!L137</f>
        <v>2353</v>
      </c>
      <c r="AX82" s="168">
        <f t="shared" si="21"/>
        <v>-692</v>
      </c>
      <c r="AZ82" s="147">
        <v>6114</v>
      </c>
      <c r="BA82" s="156">
        <v>43374</v>
      </c>
      <c r="BB82" s="156">
        <v>45786</v>
      </c>
      <c r="BC82" s="148" t="s">
        <v>822</v>
      </c>
      <c r="BD82" s="148" t="s">
        <v>823</v>
      </c>
      <c r="BE82" s="148" t="s">
        <v>945</v>
      </c>
      <c r="BF82" s="148">
        <v>1.001961652686</v>
      </c>
      <c r="BG82" s="148">
        <f>'Cálculo PU'!N137</f>
        <v>1.0019616526860928</v>
      </c>
      <c r="BH82" s="168">
        <f t="shared" si="22"/>
        <v>-9.2814644858663087E-14</v>
      </c>
      <c r="BJ82" s="147">
        <v>6139</v>
      </c>
      <c r="BK82" s="156">
        <v>43374</v>
      </c>
      <c r="BL82" s="156">
        <v>45786</v>
      </c>
      <c r="BM82" s="148" t="s">
        <v>822</v>
      </c>
      <c r="BN82" s="148" t="s">
        <v>823</v>
      </c>
      <c r="BO82" s="148" t="s">
        <v>827</v>
      </c>
      <c r="BP82" s="148">
        <v>1.176769770123</v>
      </c>
      <c r="BQ82" s="148">
        <f>'Cálculo PU'!O137</f>
        <v>1.2593392803283947</v>
      </c>
      <c r="BR82" s="168">
        <f t="shared" si="23"/>
        <v>-8.2569510205394714E-2</v>
      </c>
      <c r="BT82" s="147">
        <v>6113</v>
      </c>
      <c r="BU82" s="156">
        <v>43374</v>
      </c>
      <c r="BV82" s="156">
        <v>45786</v>
      </c>
      <c r="BW82" s="148" t="s">
        <v>822</v>
      </c>
      <c r="BX82" s="148" t="s">
        <v>823</v>
      </c>
      <c r="BY82" s="148" t="s">
        <v>946</v>
      </c>
      <c r="BZ82" s="148">
        <v>1.0096998100000001</v>
      </c>
      <c r="CA82" s="148">
        <f>'Cálculo PU'!S137</f>
        <v>1.0118169800000001</v>
      </c>
      <c r="CB82" s="168">
        <f t="shared" si="24"/>
        <v>-2.1171700000000016E-3</v>
      </c>
      <c r="CD82">
        <v>6027</v>
      </c>
      <c r="CE82" s="215">
        <v>45755</v>
      </c>
      <c r="CF82" s="215">
        <v>45786</v>
      </c>
      <c r="CG82" t="s">
        <v>822</v>
      </c>
      <c r="CH82" t="s">
        <v>823</v>
      </c>
      <c r="CI82" t="s">
        <v>1713</v>
      </c>
      <c r="CJ82">
        <v>1.0019616526860899</v>
      </c>
      <c r="CK82">
        <f t="shared" si="26"/>
        <v>1.0019616526860928</v>
      </c>
      <c r="CL82" s="246">
        <f t="shared" si="27"/>
        <v>45755</v>
      </c>
      <c r="CM82" s="246">
        <f>'Cálculo PU'!G136</f>
        <v>45755</v>
      </c>
      <c r="CN82" s="215">
        <f t="shared" si="28"/>
        <v>45786</v>
      </c>
      <c r="CO82" s="215">
        <f>'Cálculo PU'!G137</f>
        <v>45786</v>
      </c>
      <c r="CQ82">
        <v>4731</v>
      </c>
      <c r="CR82" s="215">
        <v>44538</v>
      </c>
      <c r="CS82" s="215">
        <v>44571</v>
      </c>
      <c r="CT82" t="s">
        <v>822</v>
      </c>
      <c r="CU82" t="s">
        <v>823</v>
      </c>
      <c r="CV82" t="s">
        <v>1714</v>
      </c>
      <c r="CW82">
        <v>2.5</v>
      </c>
    </row>
    <row r="83" spans="2:101">
      <c r="B83" s="147">
        <v>6179</v>
      </c>
      <c r="C83" s="156">
        <v>43374</v>
      </c>
      <c r="D83" s="156">
        <v>45817</v>
      </c>
      <c r="E83" s="148" t="s">
        <v>822</v>
      </c>
      <c r="F83" s="148" t="s">
        <v>823</v>
      </c>
      <c r="G83" s="148" t="s">
        <v>825</v>
      </c>
      <c r="H83" s="148">
        <v>13.882875075224</v>
      </c>
      <c r="I83" s="148">
        <f>'Cálculo PU'!V138</f>
        <v>6.548286140594568</v>
      </c>
      <c r="J83" s="168">
        <f t="shared" si="25"/>
        <v>7.3345889346294317</v>
      </c>
      <c r="L83" s="147">
        <v>6165</v>
      </c>
      <c r="M83" s="156">
        <v>43374</v>
      </c>
      <c r="N83" s="156">
        <v>45817</v>
      </c>
      <c r="O83" s="148" t="s">
        <v>822</v>
      </c>
      <c r="P83" s="148" t="s">
        <v>823</v>
      </c>
      <c r="Q83" s="148" t="s">
        <v>824</v>
      </c>
      <c r="R83" s="148">
        <v>16.370602776407999</v>
      </c>
      <c r="S83" s="148">
        <f>'Cálculo PU'!U138</f>
        <v>8.2635022555841964</v>
      </c>
      <c r="T83" s="168">
        <f t="shared" si="18"/>
        <v>8.1071005208238027</v>
      </c>
      <c r="V83" s="147">
        <v>6151</v>
      </c>
      <c r="W83" s="156">
        <v>43374</v>
      </c>
      <c r="X83" s="156">
        <v>45817</v>
      </c>
      <c r="Y83" s="148" t="s">
        <v>822</v>
      </c>
      <c r="Z83" s="148" t="s">
        <v>823</v>
      </c>
      <c r="AA83" s="148" t="s">
        <v>830</v>
      </c>
      <c r="AB83" s="148">
        <v>34.331218793144501</v>
      </c>
      <c r="AC83" s="148">
        <f>'Cálculo PU'!T138</f>
        <v>34.406809257553654</v>
      </c>
      <c r="AD83" s="168">
        <f t="shared" si="19"/>
        <v>-7.5590464409152958E-2</v>
      </c>
      <c r="AF83" s="147">
        <v>6163</v>
      </c>
      <c r="AG83" s="156">
        <v>43374</v>
      </c>
      <c r="AH83" s="156">
        <v>45817</v>
      </c>
      <c r="AI83" s="148" t="s">
        <v>822</v>
      </c>
      <c r="AJ83" s="148" t="s">
        <v>823</v>
      </c>
      <c r="AK83" s="148" t="s">
        <v>942</v>
      </c>
      <c r="AL83" s="148">
        <v>11.73424994</v>
      </c>
      <c r="AM83" s="148">
        <f>'Cálculo PU'!Q138</f>
        <v>16.3477</v>
      </c>
      <c r="AN83" s="168">
        <f t="shared" si="20"/>
        <v>-4.6134500599999999</v>
      </c>
      <c r="AP83" s="147">
        <v>6164</v>
      </c>
      <c r="AQ83" s="156">
        <v>43374</v>
      </c>
      <c r="AR83" s="156">
        <v>45817</v>
      </c>
      <c r="AS83" s="148" t="s">
        <v>822</v>
      </c>
      <c r="AT83" s="148" t="s">
        <v>823</v>
      </c>
      <c r="AU83" s="148" t="s">
        <v>943</v>
      </c>
      <c r="AV83" s="148">
        <v>1682</v>
      </c>
      <c r="AW83" s="152">
        <f>'Cálculo PU'!L138</f>
        <v>2374</v>
      </c>
      <c r="AX83" s="168">
        <f t="shared" si="21"/>
        <v>-692</v>
      </c>
      <c r="AZ83" s="147">
        <v>6153</v>
      </c>
      <c r="BA83" s="156">
        <v>43374</v>
      </c>
      <c r="BB83" s="156">
        <v>45817</v>
      </c>
      <c r="BC83" s="148" t="s">
        <v>822</v>
      </c>
      <c r="BD83" s="148" t="s">
        <v>823</v>
      </c>
      <c r="BE83" s="148" t="s">
        <v>945</v>
      </c>
      <c r="BF83" s="148">
        <v>1.0020598362699999</v>
      </c>
      <c r="BG83" s="148">
        <f>'Cálculo PU'!N138</f>
        <v>1.0020598362698427</v>
      </c>
      <c r="BH83" s="168">
        <f t="shared" si="22"/>
        <v>1.5720758028692217E-13</v>
      </c>
      <c r="BJ83" s="147">
        <v>6178</v>
      </c>
      <c r="BK83" s="156">
        <v>43374</v>
      </c>
      <c r="BL83" s="156">
        <v>45817</v>
      </c>
      <c r="BM83" s="148" t="s">
        <v>822</v>
      </c>
      <c r="BN83" s="148" t="s">
        <v>823</v>
      </c>
      <c r="BO83" s="148" t="s">
        <v>827</v>
      </c>
      <c r="BP83" s="148">
        <v>1.1791939845099999</v>
      </c>
      <c r="BQ83" s="148">
        <f>'Cálculo PU'!O138</f>
        <v>1.2619335927238347</v>
      </c>
      <c r="BR83" s="168">
        <f t="shared" si="23"/>
        <v>-8.2739608213834748E-2</v>
      </c>
      <c r="BT83" s="147">
        <v>6152</v>
      </c>
      <c r="BU83" s="156">
        <v>43374</v>
      </c>
      <c r="BV83" s="156">
        <v>45817</v>
      </c>
      <c r="BW83" s="148" t="s">
        <v>822</v>
      </c>
      <c r="BX83" s="148" t="s">
        <v>823</v>
      </c>
      <c r="BY83" s="148" t="s">
        <v>946</v>
      </c>
      <c r="BZ83" s="148">
        <v>1.0101872599999999</v>
      </c>
      <c r="CA83" s="148">
        <f>'Cálculo PU'!S138</f>
        <v>1.0124114900000001</v>
      </c>
      <c r="CB83" s="168">
        <f t="shared" si="24"/>
        <v>-2.2242300000001602E-3</v>
      </c>
      <c r="CD83">
        <v>6065</v>
      </c>
      <c r="CE83" s="215">
        <v>45786</v>
      </c>
      <c r="CF83" s="215">
        <v>45817</v>
      </c>
      <c r="CG83" t="s">
        <v>822</v>
      </c>
      <c r="CH83" t="s">
        <v>823</v>
      </c>
      <c r="CI83" t="s">
        <v>1713</v>
      </c>
      <c r="CJ83">
        <v>1.0020598362698401</v>
      </c>
      <c r="CK83">
        <f t="shared" si="26"/>
        <v>1.0020598362698427</v>
      </c>
      <c r="CL83" s="246">
        <f t="shared" si="27"/>
        <v>45786</v>
      </c>
      <c r="CM83" s="246">
        <f>'Cálculo PU'!G137</f>
        <v>45786</v>
      </c>
      <c r="CN83" s="215">
        <f t="shared" si="28"/>
        <v>45817</v>
      </c>
      <c r="CO83" s="215">
        <f>'Cálculo PU'!G138</f>
        <v>45817</v>
      </c>
      <c r="CQ83">
        <v>4769</v>
      </c>
      <c r="CR83" s="215">
        <v>44571</v>
      </c>
      <c r="CS83" s="215">
        <v>44600</v>
      </c>
      <c r="CT83" t="s">
        <v>822</v>
      </c>
      <c r="CU83" t="s">
        <v>823</v>
      </c>
      <c r="CV83" t="s">
        <v>1714</v>
      </c>
      <c r="CW83">
        <v>2.5</v>
      </c>
    </row>
    <row r="84" spans="2:101">
      <c r="B84" s="147">
        <v>6218</v>
      </c>
      <c r="C84" s="156">
        <v>43374</v>
      </c>
      <c r="D84" s="156">
        <v>45846</v>
      </c>
      <c r="E84" s="148" t="s">
        <v>822</v>
      </c>
      <c r="F84" s="148" t="s">
        <v>823</v>
      </c>
      <c r="G84" s="148" t="s">
        <v>825</v>
      </c>
      <c r="H84" s="148">
        <v>12.6141272233706</v>
      </c>
      <c r="I84" s="148">
        <f>'Cálculo PU'!V139</f>
        <v>5.9368515132068689</v>
      </c>
      <c r="J84" s="168">
        <f t="shared" si="25"/>
        <v>6.6772757101637312</v>
      </c>
      <c r="L84" s="147">
        <v>6204</v>
      </c>
      <c r="M84" s="156">
        <v>43374</v>
      </c>
      <c r="N84" s="156">
        <v>45846</v>
      </c>
      <c r="O84" s="148" t="s">
        <v>822</v>
      </c>
      <c r="P84" s="148" t="s">
        <v>823</v>
      </c>
      <c r="Q84" s="148" t="s">
        <v>824</v>
      </c>
      <c r="R84" s="148">
        <v>14.903684695963699</v>
      </c>
      <c r="S84" s="148">
        <f>'Cálculo PU'!U139</f>
        <v>7.5066104739287125</v>
      </c>
      <c r="T84" s="168">
        <f t="shared" si="18"/>
        <v>7.3970742220349868</v>
      </c>
      <c r="V84" s="147">
        <v>6190</v>
      </c>
      <c r="W84" s="156">
        <v>43374</v>
      </c>
      <c r="X84" s="156">
        <v>45846</v>
      </c>
      <c r="Y84" s="148" t="s">
        <v>822</v>
      </c>
      <c r="Z84" s="148" t="s">
        <v>823</v>
      </c>
      <c r="AA84" s="148" t="s">
        <v>830</v>
      </c>
      <c r="AB84" s="148">
        <v>31.5549647489084</v>
      </c>
      <c r="AC84" s="148">
        <f>'Cálculo PU'!T139</f>
        <v>31.622860874906578</v>
      </c>
      <c r="AD84" s="168">
        <f t="shared" si="19"/>
        <v>-6.7896125998178292E-2</v>
      </c>
      <c r="AF84" s="147">
        <v>6202</v>
      </c>
      <c r="AG84" s="156">
        <v>43374</v>
      </c>
      <c r="AH84" s="156">
        <v>45846</v>
      </c>
      <c r="AI84" s="148" t="s">
        <v>822</v>
      </c>
      <c r="AJ84" s="148" t="s">
        <v>823</v>
      </c>
      <c r="AK84" s="148" t="s">
        <v>942</v>
      </c>
      <c r="AL84" s="148">
        <v>11.74663778</v>
      </c>
      <c r="AM84" s="148">
        <f>'Cálculo PU'!Q139</f>
        <v>16.343699999999998</v>
      </c>
      <c r="AN84" s="168">
        <f t="shared" si="20"/>
        <v>-4.597062219999998</v>
      </c>
      <c r="AP84" s="147">
        <v>6203</v>
      </c>
      <c r="AQ84" s="156">
        <v>43374</v>
      </c>
      <c r="AR84" s="156">
        <v>45846</v>
      </c>
      <c r="AS84" s="148" t="s">
        <v>822</v>
      </c>
      <c r="AT84" s="148" t="s">
        <v>823</v>
      </c>
      <c r="AU84" s="148" t="s">
        <v>943</v>
      </c>
      <c r="AV84" s="148">
        <v>1702</v>
      </c>
      <c r="AW84" s="152">
        <f>'Cálculo PU'!L139</f>
        <v>2394</v>
      </c>
      <c r="AX84" s="168">
        <f t="shared" si="21"/>
        <v>-692</v>
      </c>
      <c r="AZ84" s="147">
        <v>6192</v>
      </c>
      <c r="BA84" s="156">
        <v>43374</v>
      </c>
      <c r="BB84" s="156">
        <v>45846</v>
      </c>
      <c r="BC84" s="148" t="s">
        <v>822</v>
      </c>
      <c r="BD84" s="148" t="s">
        <v>823</v>
      </c>
      <c r="BE84" s="148" t="s">
        <v>945</v>
      </c>
      <c r="BF84" s="148">
        <v>1.001961652686</v>
      </c>
      <c r="BG84" s="148">
        <f>'Cálculo PU'!N139</f>
        <v>1.0019616526860928</v>
      </c>
      <c r="BH84" s="168">
        <f t="shared" si="22"/>
        <v>-9.2814644858663087E-14</v>
      </c>
      <c r="BJ84" s="147">
        <v>6217</v>
      </c>
      <c r="BK84" s="156">
        <v>43374</v>
      </c>
      <c r="BL84" s="156">
        <v>45846</v>
      </c>
      <c r="BM84" s="148" t="s">
        <v>822</v>
      </c>
      <c r="BN84" s="148" t="s">
        <v>823</v>
      </c>
      <c r="BO84" s="148" t="s">
        <v>827</v>
      </c>
      <c r="BP84" s="148">
        <v>1.181507402934</v>
      </c>
      <c r="BQ84" s="148">
        <f>'Cálculo PU'!O139</f>
        <v>1.2644093350203933</v>
      </c>
      <c r="BR84" s="168">
        <f t="shared" si="23"/>
        <v>-8.2901932086393293E-2</v>
      </c>
      <c r="BT84" s="147">
        <v>6191</v>
      </c>
      <c r="BU84" s="156">
        <v>43374</v>
      </c>
      <c r="BV84" s="156">
        <v>45846</v>
      </c>
      <c r="BW84" s="148" t="s">
        <v>822</v>
      </c>
      <c r="BX84" s="148" t="s">
        <v>823</v>
      </c>
      <c r="BY84" s="148" t="s">
        <v>946</v>
      </c>
      <c r="BZ84" s="148">
        <v>1.00964455</v>
      </c>
      <c r="CA84" s="148">
        <f>'Cálculo PU'!S139</f>
        <v>1.0118169800000001</v>
      </c>
      <c r="CB84" s="168">
        <f t="shared" si="24"/>
        <v>-2.172430000000114E-3</v>
      </c>
      <c r="CD84">
        <v>6103</v>
      </c>
      <c r="CE84" s="215">
        <v>45817</v>
      </c>
      <c r="CF84" s="215">
        <v>45846</v>
      </c>
      <c r="CG84" t="s">
        <v>822</v>
      </c>
      <c r="CH84" t="s">
        <v>823</v>
      </c>
      <c r="CI84" t="s">
        <v>1713</v>
      </c>
      <c r="CJ84">
        <v>1.0019616526860899</v>
      </c>
      <c r="CK84">
        <f t="shared" si="26"/>
        <v>1.0019616526860928</v>
      </c>
      <c r="CL84" s="246">
        <f t="shared" si="27"/>
        <v>45817</v>
      </c>
      <c r="CM84" s="246">
        <f>'Cálculo PU'!G138</f>
        <v>45817</v>
      </c>
      <c r="CN84" s="215">
        <f t="shared" si="28"/>
        <v>45846</v>
      </c>
      <c r="CO84" s="215">
        <f>'Cálculo PU'!G139</f>
        <v>45846</v>
      </c>
      <c r="CQ84">
        <v>4771</v>
      </c>
      <c r="CR84" s="215">
        <v>44571</v>
      </c>
      <c r="CS84" s="215">
        <v>44600</v>
      </c>
      <c r="CT84" t="s">
        <v>822</v>
      </c>
      <c r="CU84" t="s">
        <v>823</v>
      </c>
      <c r="CV84" t="s">
        <v>1714</v>
      </c>
      <c r="CW84">
        <v>2.5</v>
      </c>
    </row>
    <row r="85" spans="2:101">
      <c r="B85" s="147">
        <v>6257</v>
      </c>
      <c r="C85" s="156">
        <v>43374</v>
      </c>
      <c r="D85" s="156">
        <v>45877</v>
      </c>
      <c r="E85" s="148" t="s">
        <v>822</v>
      </c>
      <c r="F85" s="148" t="s">
        <v>823</v>
      </c>
      <c r="G85" s="148" t="s">
        <v>825</v>
      </c>
      <c r="H85" s="148">
        <v>13.8313111114888</v>
      </c>
      <c r="I85" s="148">
        <f>'Cálculo PU'!V140</f>
        <v>6.4961629846895415</v>
      </c>
      <c r="J85" s="168">
        <f t="shared" si="25"/>
        <v>7.3351481267992584</v>
      </c>
      <c r="L85" s="147">
        <v>6243</v>
      </c>
      <c r="M85" s="156">
        <v>43374</v>
      </c>
      <c r="N85" s="156">
        <v>45877</v>
      </c>
      <c r="O85" s="148" t="s">
        <v>822</v>
      </c>
      <c r="P85" s="148" t="s">
        <v>823</v>
      </c>
      <c r="Q85" s="148" t="s">
        <v>824</v>
      </c>
      <c r="R85" s="148">
        <v>16.378671335116799</v>
      </c>
      <c r="S85" s="148">
        <f>'Cálculo PU'!U140</f>
        <v>8.2323433793209411</v>
      </c>
      <c r="T85" s="168">
        <f t="shared" si="18"/>
        <v>8.1463279557958579</v>
      </c>
      <c r="V85" s="147">
        <v>6229</v>
      </c>
      <c r="W85" s="156">
        <v>43374</v>
      </c>
      <c r="X85" s="156">
        <v>45877</v>
      </c>
      <c r="Y85" s="148" t="s">
        <v>822</v>
      </c>
      <c r="Z85" s="148" t="s">
        <v>823</v>
      </c>
      <c r="AA85" s="148" t="s">
        <v>830</v>
      </c>
      <c r="AB85" s="148">
        <v>35.0561728475978</v>
      </c>
      <c r="AC85" s="148">
        <f>'Cálculo PU'!T140</f>
        <v>35.149567001130521</v>
      </c>
      <c r="AD85" s="168">
        <f t="shared" si="19"/>
        <v>-9.3394153532720736E-2</v>
      </c>
      <c r="AF85" s="147">
        <v>6241</v>
      </c>
      <c r="AG85" s="156">
        <v>43374</v>
      </c>
      <c r="AH85" s="156">
        <v>45877</v>
      </c>
      <c r="AI85" s="148" t="s">
        <v>822</v>
      </c>
      <c r="AJ85" s="148" t="s">
        <v>823</v>
      </c>
      <c r="AK85" s="148" t="s">
        <v>942</v>
      </c>
      <c r="AL85" s="148">
        <v>11.758269800000001</v>
      </c>
      <c r="AM85" s="148">
        <f>'Cálculo PU'!Q140</f>
        <v>16.339200000000002</v>
      </c>
      <c r="AN85" s="168">
        <f t="shared" si="20"/>
        <v>-4.580930200000001</v>
      </c>
      <c r="AP85" s="147">
        <v>6242</v>
      </c>
      <c r="AQ85" s="156">
        <v>43374</v>
      </c>
      <c r="AR85" s="156">
        <v>45877</v>
      </c>
      <c r="AS85" s="148" t="s">
        <v>822</v>
      </c>
      <c r="AT85" s="148" t="s">
        <v>823</v>
      </c>
      <c r="AU85" s="148" t="s">
        <v>943</v>
      </c>
      <c r="AV85" s="148">
        <v>1725</v>
      </c>
      <c r="AW85" s="152">
        <f>'Cálculo PU'!L140</f>
        <v>2417</v>
      </c>
      <c r="AX85" s="168">
        <f t="shared" si="21"/>
        <v>-692</v>
      </c>
      <c r="AZ85" s="147">
        <v>6231</v>
      </c>
      <c r="BA85" s="156">
        <v>43374</v>
      </c>
      <c r="BB85" s="156">
        <v>45877</v>
      </c>
      <c r="BC85" s="148" t="s">
        <v>822</v>
      </c>
      <c r="BD85" s="148" t="s">
        <v>823</v>
      </c>
      <c r="BE85" s="148" t="s">
        <v>945</v>
      </c>
      <c r="BF85" s="148">
        <v>1.0022562323019999</v>
      </c>
      <c r="BG85" s="148">
        <f>'Cálculo PU'!N140</f>
        <v>1.0022562323017139</v>
      </c>
      <c r="BH85" s="168">
        <f t="shared" si="22"/>
        <v>2.8599345114344032E-13</v>
      </c>
      <c r="BJ85" s="147">
        <v>6256</v>
      </c>
      <c r="BK85" s="156">
        <v>43374</v>
      </c>
      <c r="BL85" s="156">
        <v>45877</v>
      </c>
      <c r="BM85" s="148" t="s">
        <v>822</v>
      </c>
      <c r="BN85" s="148" t="s">
        <v>823</v>
      </c>
      <c r="BO85" s="148" t="s">
        <v>827</v>
      </c>
      <c r="BP85" s="148">
        <v>1.1841734455320001</v>
      </c>
      <c r="BQ85" s="148">
        <f>'Cálculo PU'!O140</f>
        <v>1.267262443803105</v>
      </c>
      <c r="BR85" s="168">
        <f t="shared" si="23"/>
        <v>-8.3088998271104941E-2</v>
      </c>
      <c r="BT85" s="147">
        <v>6230</v>
      </c>
      <c r="BU85" s="156">
        <v>43374</v>
      </c>
      <c r="BV85" s="156">
        <v>45877</v>
      </c>
      <c r="BW85" s="148" t="s">
        <v>822</v>
      </c>
      <c r="BX85" s="148" t="s">
        <v>823</v>
      </c>
      <c r="BY85" s="148" t="s">
        <v>946</v>
      </c>
      <c r="BZ85" s="148">
        <v>1.01090835</v>
      </c>
      <c r="CA85" s="148">
        <f>'Cálculo PU'!S140</f>
        <v>1.01360154</v>
      </c>
      <c r="CB85" s="168">
        <f t="shared" si="24"/>
        <v>-2.693190000000012E-3</v>
      </c>
      <c r="CD85">
        <v>6141</v>
      </c>
      <c r="CE85" s="215">
        <v>45846</v>
      </c>
      <c r="CF85" s="215">
        <v>45877</v>
      </c>
      <c r="CG85" t="s">
        <v>822</v>
      </c>
      <c r="CH85" t="s">
        <v>823</v>
      </c>
      <c r="CI85" t="s">
        <v>1713</v>
      </c>
      <c r="CJ85">
        <v>1.0022562323017099</v>
      </c>
      <c r="CK85">
        <f t="shared" si="26"/>
        <v>1.0022562323017139</v>
      </c>
      <c r="CL85" s="246">
        <f t="shared" si="27"/>
        <v>45846</v>
      </c>
      <c r="CM85" s="246">
        <f>'Cálculo PU'!G139</f>
        <v>45846</v>
      </c>
      <c r="CN85" s="215">
        <f t="shared" si="28"/>
        <v>45877</v>
      </c>
      <c r="CO85" s="215">
        <f>'Cálculo PU'!G140</f>
        <v>45877</v>
      </c>
      <c r="CQ85">
        <v>4809</v>
      </c>
      <c r="CR85" s="215">
        <v>44600</v>
      </c>
      <c r="CS85" s="215">
        <v>44629</v>
      </c>
      <c r="CT85" t="s">
        <v>822</v>
      </c>
      <c r="CU85" t="s">
        <v>823</v>
      </c>
      <c r="CV85" t="s">
        <v>1714</v>
      </c>
      <c r="CW85">
        <v>2.5</v>
      </c>
    </row>
    <row r="86" spans="2:101">
      <c r="B86" s="147">
        <v>6296</v>
      </c>
      <c r="C86" s="156">
        <v>43374</v>
      </c>
      <c r="D86" s="156">
        <v>45908</v>
      </c>
      <c r="E86" s="148" t="s">
        <v>822</v>
      </c>
      <c r="F86" s="148" t="s">
        <v>823</v>
      </c>
      <c r="G86" s="148" t="s">
        <v>825</v>
      </c>
      <c r="H86" s="148">
        <v>12.0184539881094</v>
      </c>
      <c r="I86" s="148">
        <f>'Cálculo PU'!V141</f>
        <v>5.6300343239445123</v>
      </c>
      <c r="J86" s="168">
        <f t="shared" si="25"/>
        <v>6.3884196641648874</v>
      </c>
      <c r="L86" s="147">
        <v>6282</v>
      </c>
      <c r="M86" s="156">
        <v>43374</v>
      </c>
      <c r="N86" s="156">
        <v>45908</v>
      </c>
      <c r="O86" s="148" t="s">
        <v>822</v>
      </c>
      <c r="P86" s="148" t="s">
        <v>823</v>
      </c>
      <c r="Q86" s="148" t="s">
        <v>824</v>
      </c>
      <c r="R86" s="148">
        <v>14.261252683631101</v>
      </c>
      <c r="S86" s="148">
        <f>'Cálculo PU'!U141</f>
        <v>7.1494290183189166</v>
      </c>
      <c r="T86" s="168">
        <f t="shared" si="18"/>
        <v>7.1118236653121842</v>
      </c>
      <c r="V86" s="147">
        <v>6268</v>
      </c>
      <c r="W86" s="156">
        <v>43374</v>
      </c>
      <c r="X86" s="156">
        <v>45908</v>
      </c>
      <c r="Y86" s="148" t="s">
        <v>822</v>
      </c>
      <c r="Z86" s="148" t="s">
        <v>823</v>
      </c>
      <c r="AA86" s="148" t="s">
        <v>830</v>
      </c>
      <c r="AB86" s="148">
        <v>30.828015998449001</v>
      </c>
      <c r="AC86" s="148">
        <f>'Cálculo PU'!T141</f>
        <v>30.90299489558646</v>
      </c>
      <c r="AD86" s="168">
        <f t="shared" si="19"/>
        <v>-7.4978897137459199E-2</v>
      </c>
      <c r="AF86" s="147">
        <v>6280</v>
      </c>
      <c r="AG86" s="156">
        <v>43374</v>
      </c>
      <c r="AH86" s="156">
        <v>45908</v>
      </c>
      <c r="AI86" s="148" t="s">
        <v>822</v>
      </c>
      <c r="AJ86" s="148" t="s">
        <v>823</v>
      </c>
      <c r="AK86" s="148" t="s">
        <v>942</v>
      </c>
      <c r="AL86" s="148">
        <v>11.768623720000001</v>
      </c>
      <c r="AM86" s="148">
        <f>'Cálculo PU'!Q141</f>
        <v>16.3352</v>
      </c>
      <c r="AN86" s="168">
        <f t="shared" si="20"/>
        <v>-4.5665762799999996</v>
      </c>
      <c r="AP86" s="147">
        <v>6281</v>
      </c>
      <c r="AQ86" s="156">
        <v>43374</v>
      </c>
      <c r="AR86" s="156">
        <v>45908</v>
      </c>
      <c r="AS86" s="148" t="s">
        <v>822</v>
      </c>
      <c r="AT86" s="148" t="s">
        <v>823</v>
      </c>
      <c r="AU86" s="148" t="s">
        <v>943</v>
      </c>
      <c r="AV86" s="148">
        <v>1746</v>
      </c>
      <c r="AW86" s="152">
        <f>'Cálculo PU'!L141</f>
        <v>2438</v>
      </c>
      <c r="AX86" s="168">
        <f t="shared" si="21"/>
        <v>-692</v>
      </c>
      <c r="AZ86" s="147">
        <v>6270</v>
      </c>
      <c r="BA86" s="156">
        <v>43374</v>
      </c>
      <c r="BB86" s="156">
        <v>45908</v>
      </c>
      <c r="BC86" s="148" t="s">
        <v>822</v>
      </c>
      <c r="BD86" s="148" t="s">
        <v>823</v>
      </c>
      <c r="BE86" s="148" t="s">
        <v>945</v>
      </c>
      <c r="BF86" s="148">
        <v>1.0020598362699999</v>
      </c>
      <c r="BG86" s="148">
        <f>'Cálculo PU'!N141</f>
        <v>1.0020598362698427</v>
      </c>
      <c r="BH86" s="168">
        <f t="shared" si="22"/>
        <v>1.5720758028692217E-13</v>
      </c>
      <c r="BJ86" s="147">
        <v>6295</v>
      </c>
      <c r="BK86" s="156">
        <v>43374</v>
      </c>
      <c r="BL86" s="156">
        <v>45908</v>
      </c>
      <c r="BM86" s="148" t="s">
        <v>822</v>
      </c>
      <c r="BN86" s="148" t="s">
        <v>823</v>
      </c>
      <c r="BO86" s="148" t="s">
        <v>827</v>
      </c>
      <c r="BP86" s="148">
        <v>1.1866129119219999</v>
      </c>
      <c r="BQ86" s="148">
        <f>'Cálculo PU'!O141</f>
        <v>1.2698730783775909</v>
      </c>
      <c r="BR86" s="168">
        <f t="shared" si="23"/>
        <v>-8.3260166455590978E-2</v>
      </c>
      <c r="BT86" s="147">
        <v>6269</v>
      </c>
      <c r="BU86" s="156">
        <v>43374</v>
      </c>
      <c r="BV86" s="156">
        <v>45908</v>
      </c>
      <c r="BW86" s="148" t="s">
        <v>822</v>
      </c>
      <c r="BX86" s="148" t="s">
        <v>823</v>
      </c>
      <c r="BY86" s="148" t="s">
        <v>946</v>
      </c>
      <c r="BZ86" s="148">
        <v>1.0099551</v>
      </c>
      <c r="CA86" s="148">
        <f>'Cálculo PU'!S141</f>
        <v>1.0124114799999999</v>
      </c>
      <c r="CB86" s="168">
        <f t="shared" si="24"/>
        <v>-2.4563799999999247E-3</v>
      </c>
      <c r="CD86">
        <v>6179</v>
      </c>
      <c r="CE86" s="215">
        <v>45877</v>
      </c>
      <c r="CF86" s="215">
        <v>45908</v>
      </c>
      <c r="CG86" t="s">
        <v>822</v>
      </c>
      <c r="CH86" t="s">
        <v>823</v>
      </c>
      <c r="CI86" t="s">
        <v>1713</v>
      </c>
      <c r="CJ86">
        <v>1.0020598362698401</v>
      </c>
      <c r="CK86">
        <f t="shared" si="26"/>
        <v>1.0020598362698427</v>
      </c>
      <c r="CL86" s="246">
        <f t="shared" si="27"/>
        <v>45877</v>
      </c>
      <c r="CM86" s="246">
        <f>'Cálculo PU'!G140</f>
        <v>45877</v>
      </c>
      <c r="CN86" s="215">
        <f t="shared" si="28"/>
        <v>45908</v>
      </c>
      <c r="CO86" s="215">
        <f>'Cálculo PU'!G141</f>
        <v>45908</v>
      </c>
      <c r="CQ86">
        <v>4811</v>
      </c>
      <c r="CR86" s="215">
        <v>44600</v>
      </c>
      <c r="CS86" s="215">
        <v>44629</v>
      </c>
      <c r="CT86" t="s">
        <v>822</v>
      </c>
      <c r="CU86" t="s">
        <v>823</v>
      </c>
      <c r="CV86" t="s">
        <v>1714</v>
      </c>
      <c r="CW86">
        <v>2.5</v>
      </c>
    </row>
    <row r="87" spans="2:101">
      <c r="B87" s="147">
        <v>6335</v>
      </c>
      <c r="C87" s="156">
        <v>43374</v>
      </c>
      <c r="D87" s="156">
        <v>45938</v>
      </c>
      <c r="E87" s="148" t="s">
        <v>822</v>
      </c>
      <c r="F87" s="148" t="s">
        <v>823</v>
      </c>
      <c r="G87" s="148" t="s">
        <v>825</v>
      </c>
      <c r="H87" s="148">
        <v>11.980232339340899</v>
      </c>
      <c r="I87" s="148">
        <f>'Cálculo PU'!V142</f>
        <v>5.5988338609275035</v>
      </c>
      <c r="J87" s="168">
        <f t="shared" si="25"/>
        <v>6.3813984784133959</v>
      </c>
      <c r="L87" s="147">
        <v>6321</v>
      </c>
      <c r="M87" s="156">
        <v>43374</v>
      </c>
      <c r="N87" s="156">
        <v>45938</v>
      </c>
      <c r="O87" s="148" t="s">
        <v>822</v>
      </c>
      <c r="P87" s="148" t="s">
        <v>823</v>
      </c>
      <c r="Q87" s="148" t="s">
        <v>824</v>
      </c>
      <c r="R87" s="148">
        <v>14.246580017086799</v>
      </c>
      <c r="S87" s="148">
        <f>'Cálculo PU'!U142</f>
        <v>7.1251532206376051</v>
      </c>
      <c r="T87" s="168">
        <f t="shared" si="18"/>
        <v>7.1214267964491942</v>
      </c>
      <c r="V87" s="147">
        <v>6307</v>
      </c>
      <c r="W87" s="156">
        <v>43374</v>
      </c>
      <c r="X87" s="156">
        <v>45938</v>
      </c>
      <c r="Y87" s="148" t="s">
        <v>822</v>
      </c>
      <c r="Z87" s="148" t="s">
        <v>823</v>
      </c>
      <c r="AA87" s="148" t="s">
        <v>830</v>
      </c>
      <c r="AB87" s="148">
        <v>31.1175538818025</v>
      </c>
      <c r="AC87" s="148">
        <f>'Cálculo PU'!T142</f>
        <v>31.196846032652076</v>
      </c>
      <c r="AD87" s="168">
        <f t="shared" si="19"/>
        <v>-7.9292150849575194E-2</v>
      </c>
      <c r="AF87" s="147">
        <v>6319</v>
      </c>
      <c r="AG87" s="156">
        <v>43374</v>
      </c>
      <c r="AH87" s="156">
        <v>45938</v>
      </c>
      <c r="AI87" s="148" t="s">
        <v>822</v>
      </c>
      <c r="AJ87" s="148" t="s">
        <v>823</v>
      </c>
      <c r="AK87" s="148" t="s">
        <v>942</v>
      </c>
      <c r="AL87" s="148">
        <v>11.77920786</v>
      </c>
      <c r="AM87" s="148">
        <f>'Cálculo PU'!Q142</f>
        <v>16.331099999999999</v>
      </c>
      <c r="AN87" s="168">
        <f t="shared" si="20"/>
        <v>-4.5518921399999996</v>
      </c>
      <c r="AP87" s="147">
        <v>6320</v>
      </c>
      <c r="AQ87" s="156">
        <v>43374</v>
      </c>
      <c r="AR87" s="156">
        <v>45938</v>
      </c>
      <c r="AS87" s="148" t="s">
        <v>822</v>
      </c>
      <c r="AT87" s="148" t="s">
        <v>823</v>
      </c>
      <c r="AU87" s="148" t="s">
        <v>943</v>
      </c>
      <c r="AV87" s="148">
        <v>1768</v>
      </c>
      <c r="AW87" s="152">
        <f>'Cálculo PU'!L142</f>
        <v>2460</v>
      </c>
      <c r="AX87" s="168">
        <f t="shared" si="21"/>
        <v>-692</v>
      </c>
      <c r="AZ87" s="147">
        <v>6309</v>
      </c>
      <c r="BA87" s="156">
        <v>43374</v>
      </c>
      <c r="BB87" s="156">
        <v>45938</v>
      </c>
      <c r="BC87" s="148" t="s">
        <v>822</v>
      </c>
      <c r="BD87" s="148" t="s">
        <v>823</v>
      </c>
      <c r="BE87" s="148" t="s">
        <v>945</v>
      </c>
      <c r="BF87" s="148">
        <v>1.0021580294750001</v>
      </c>
      <c r="BG87" s="148">
        <f>'Cálculo PU'!N142</f>
        <v>1.0021580294747356</v>
      </c>
      <c r="BH87" s="168">
        <f t="shared" si="22"/>
        <v>2.6445512446571229E-13</v>
      </c>
      <c r="BJ87" s="147">
        <v>6334</v>
      </c>
      <c r="BK87" s="156">
        <v>43374</v>
      </c>
      <c r="BL87" s="156">
        <v>45938</v>
      </c>
      <c r="BM87" s="148" t="s">
        <v>822</v>
      </c>
      <c r="BN87" s="148" t="s">
        <v>823</v>
      </c>
      <c r="BO87" s="148" t="s">
        <v>827</v>
      </c>
      <c r="BP87" s="148">
        <v>1.1891739336560001</v>
      </c>
      <c r="BQ87" s="148">
        <f>'Cálculo PU'!O142</f>
        <v>1.2726137973769509</v>
      </c>
      <c r="BR87" s="168">
        <f t="shared" si="23"/>
        <v>-8.3439863720950802E-2</v>
      </c>
      <c r="BT87" s="147">
        <v>6308</v>
      </c>
      <c r="BU87" s="156">
        <v>43374</v>
      </c>
      <c r="BV87" s="156">
        <v>45938</v>
      </c>
      <c r="BW87" s="148" t="s">
        <v>822</v>
      </c>
      <c r="BX87" s="148" t="s">
        <v>823</v>
      </c>
      <c r="BY87" s="148" t="s">
        <v>946</v>
      </c>
      <c r="BZ87" s="148">
        <v>1.0104316099999999</v>
      </c>
      <c r="CA87" s="148">
        <f>'Cálculo PU'!S142</f>
        <v>1.01300634</v>
      </c>
      <c r="CB87" s="168">
        <f t="shared" si="24"/>
        <v>-2.5747300000000806E-3</v>
      </c>
      <c r="CD87">
        <v>6217</v>
      </c>
      <c r="CE87" s="215">
        <v>45908</v>
      </c>
      <c r="CF87" s="215">
        <v>45938</v>
      </c>
      <c r="CG87" t="s">
        <v>822</v>
      </c>
      <c r="CH87" t="s">
        <v>823</v>
      </c>
      <c r="CI87" t="s">
        <v>1713</v>
      </c>
      <c r="CJ87">
        <v>1.0021580294747401</v>
      </c>
      <c r="CK87">
        <f t="shared" si="26"/>
        <v>1.0021580294747356</v>
      </c>
      <c r="CL87" s="246">
        <f t="shared" si="27"/>
        <v>45908</v>
      </c>
      <c r="CM87" s="246">
        <f>'Cálculo PU'!G141</f>
        <v>45908</v>
      </c>
      <c r="CN87" s="215">
        <f t="shared" si="28"/>
        <v>45938</v>
      </c>
      <c r="CO87" s="215">
        <f>'Cálculo PU'!G142</f>
        <v>45938</v>
      </c>
      <c r="CQ87">
        <v>4849</v>
      </c>
      <c r="CR87" s="215">
        <v>44629</v>
      </c>
      <c r="CS87" s="215">
        <v>44659</v>
      </c>
      <c r="CT87" t="s">
        <v>822</v>
      </c>
      <c r="CU87" t="s">
        <v>823</v>
      </c>
      <c r="CV87" t="s">
        <v>1714</v>
      </c>
      <c r="CW87">
        <v>2.5</v>
      </c>
    </row>
    <row r="88" spans="2:101">
      <c r="B88" s="147">
        <v>6374</v>
      </c>
      <c r="C88" s="156">
        <v>43374</v>
      </c>
      <c r="D88" s="156">
        <v>45971</v>
      </c>
      <c r="E88" s="148" t="s">
        <v>822</v>
      </c>
      <c r="F88" s="148" t="s">
        <v>823</v>
      </c>
      <c r="G88" s="148" t="s">
        <v>825</v>
      </c>
      <c r="H88" s="148">
        <v>11.8997127753432</v>
      </c>
      <c r="I88" s="148">
        <f>'Cálculo PU'!V143</f>
        <v>5.5474445891347735</v>
      </c>
      <c r="J88" s="168">
        <f t="shared" si="25"/>
        <v>6.3522681862084269</v>
      </c>
      <c r="L88" s="147">
        <v>6360</v>
      </c>
      <c r="M88" s="156">
        <v>43374</v>
      </c>
      <c r="N88" s="156">
        <v>45971</v>
      </c>
      <c r="O88" s="148" t="s">
        <v>822</v>
      </c>
      <c r="P88" s="148" t="s">
        <v>823</v>
      </c>
      <c r="Q88" s="148" t="s">
        <v>824</v>
      </c>
      <c r="R88" s="148">
        <v>14.182759248759799</v>
      </c>
      <c r="S88" s="148">
        <f>'Cálculo PU'!U143</f>
        <v>7.0756846879746593</v>
      </c>
      <c r="T88" s="168">
        <f t="shared" si="18"/>
        <v>7.10707456078514</v>
      </c>
      <c r="V88" s="147">
        <v>6346</v>
      </c>
      <c r="W88" s="156">
        <v>43374</v>
      </c>
      <c r="X88" s="156">
        <v>45971</v>
      </c>
      <c r="Y88" s="148" t="s">
        <v>822</v>
      </c>
      <c r="Z88" s="148" t="s">
        <v>823</v>
      </c>
      <c r="AA88" s="148" t="s">
        <v>830</v>
      </c>
      <c r="AB88" s="148">
        <v>31.316076640103901</v>
      </c>
      <c r="AC88" s="148">
        <f>'Cálculo PU'!T143</f>
        <v>31.399506696273551</v>
      </c>
      <c r="AD88" s="168">
        <f t="shared" si="19"/>
        <v>-8.3430056169650157E-2</v>
      </c>
      <c r="AF88" s="147">
        <v>6358</v>
      </c>
      <c r="AG88" s="156">
        <v>43374</v>
      </c>
      <c r="AH88" s="156">
        <v>45971</v>
      </c>
      <c r="AI88" s="148" t="s">
        <v>822</v>
      </c>
      <c r="AJ88" s="148" t="s">
        <v>823</v>
      </c>
      <c r="AK88" s="148" t="s">
        <v>942</v>
      </c>
      <c r="AL88" s="148">
        <v>11.7899961</v>
      </c>
      <c r="AM88" s="148">
        <f>'Cálculo PU'!Q143</f>
        <v>16.326799999999999</v>
      </c>
      <c r="AN88" s="168">
        <f t="shared" si="20"/>
        <v>-4.5368038999999989</v>
      </c>
      <c r="AP88" s="147">
        <v>6359</v>
      </c>
      <c r="AQ88" s="156">
        <v>43374</v>
      </c>
      <c r="AR88" s="156">
        <v>45971</v>
      </c>
      <c r="AS88" s="148" t="s">
        <v>822</v>
      </c>
      <c r="AT88" s="148" t="s">
        <v>823</v>
      </c>
      <c r="AU88" s="148" t="s">
        <v>943</v>
      </c>
      <c r="AV88" s="148">
        <v>1791</v>
      </c>
      <c r="AW88" s="152">
        <f>'Cálculo PU'!L143</f>
        <v>2483</v>
      </c>
      <c r="AX88" s="168">
        <f t="shared" si="21"/>
        <v>-692</v>
      </c>
      <c r="AZ88" s="147">
        <v>6348</v>
      </c>
      <c r="BA88" s="156">
        <v>43374</v>
      </c>
      <c r="BB88" s="156">
        <v>45971</v>
      </c>
      <c r="BC88" s="148" t="s">
        <v>822</v>
      </c>
      <c r="BD88" s="148" t="s">
        <v>823</v>
      </c>
      <c r="BE88" s="148" t="s">
        <v>945</v>
      </c>
      <c r="BF88" s="148">
        <v>1.0022562323019999</v>
      </c>
      <c r="BG88" s="148">
        <f>'Cálculo PU'!N143</f>
        <v>1.0022562323017139</v>
      </c>
      <c r="BH88" s="168">
        <f t="shared" si="22"/>
        <v>2.8599345114344032E-13</v>
      </c>
      <c r="BJ88" s="147">
        <v>6373</v>
      </c>
      <c r="BK88" s="156">
        <v>43374</v>
      </c>
      <c r="BL88" s="156">
        <v>45971</v>
      </c>
      <c r="BM88" s="148" t="s">
        <v>822</v>
      </c>
      <c r="BN88" s="148" t="s">
        <v>823</v>
      </c>
      <c r="BO88" s="148" t="s">
        <v>827</v>
      </c>
      <c r="BP88" s="148">
        <v>1.1918572755929999</v>
      </c>
      <c r="BQ88" s="148">
        <f>'Cálculo PU'!O143</f>
        <v>1.2754854193285856</v>
      </c>
      <c r="BR88" s="168">
        <f t="shared" si="23"/>
        <v>-8.3628143735585692E-2</v>
      </c>
      <c r="BT88" s="147">
        <v>6347</v>
      </c>
      <c r="BU88" s="156">
        <v>43374</v>
      </c>
      <c r="BV88" s="156">
        <v>45971</v>
      </c>
      <c r="BW88" s="148" t="s">
        <v>822</v>
      </c>
      <c r="BX88" s="148" t="s">
        <v>823</v>
      </c>
      <c r="BY88" s="148" t="s">
        <v>946</v>
      </c>
      <c r="BZ88" s="148">
        <v>1.01090835</v>
      </c>
      <c r="CA88" s="148">
        <f>'Cálculo PU'!S143</f>
        <v>1.01360154</v>
      </c>
      <c r="CB88" s="168">
        <f t="shared" si="24"/>
        <v>-2.693190000000012E-3</v>
      </c>
      <c r="CD88">
        <v>6255</v>
      </c>
      <c r="CE88" s="215">
        <v>45938</v>
      </c>
      <c r="CF88" s="215">
        <v>45971</v>
      </c>
      <c r="CG88" t="s">
        <v>822</v>
      </c>
      <c r="CH88" t="s">
        <v>823</v>
      </c>
      <c r="CI88" t="s">
        <v>1713</v>
      </c>
      <c r="CJ88">
        <v>1.0022562323017099</v>
      </c>
      <c r="CK88">
        <f t="shared" si="26"/>
        <v>1.0022562323017139</v>
      </c>
      <c r="CL88" s="246">
        <f t="shared" si="27"/>
        <v>45938</v>
      </c>
      <c r="CM88" s="246">
        <f>'Cálculo PU'!G142</f>
        <v>45938</v>
      </c>
      <c r="CN88" s="215">
        <f t="shared" si="28"/>
        <v>45971</v>
      </c>
      <c r="CO88" s="215">
        <f>'Cálculo PU'!G143</f>
        <v>45971</v>
      </c>
      <c r="CQ88">
        <v>4851</v>
      </c>
      <c r="CR88" s="215">
        <v>44629</v>
      </c>
      <c r="CS88" s="215">
        <v>44659</v>
      </c>
      <c r="CT88" t="s">
        <v>822</v>
      </c>
      <c r="CU88" t="s">
        <v>823</v>
      </c>
      <c r="CV88" t="s">
        <v>1714</v>
      </c>
      <c r="CW88">
        <v>2.5</v>
      </c>
    </row>
    <row r="89" spans="2:101">
      <c r="B89" s="147">
        <v>6413</v>
      </c>
      <c r="C89" s="156">
        <v>43374</v>
      </c>
      <c r="D89" s="156">
        <v>45999</v>
      </c>
      <c r="E89" s="148" t="s">
        <v>822</v>
      </c>
      <c r="F89" s="148" t="s">
        <v>823</v>
      </c>
      <c r="G89" s="148" t="s">
        <v>825</v>
      </c>
      <c r="H89" s="148">
        <v>9.8180369429383703</v>
      </c>
      <c r="I89" s="148">
        <f>'Cálculo PU'!V144</f>
        <v>4.5650807331675862</v>
      </c>
      <c r="J89" s="168">
        <f t="shared" si="25"/>
        <v>5.252956209770784</v>
      </c>
      <c r="L89" s="147">
        <v>6399</v>
      </c>
      <c r="M89" s="156">
        <v>43374</v>
      </c>
      <c r="N89" s="156">
        <v>45999</v>
      </c>
      <c r="O89" s="148" t="s">
        <v>822</v>
      </c>
      <c r="P89" s="148" t="s">
        <v>823</v>
      </c>
      <c r="Q89" s="148" t="s">
        <v>824</v>
      </c>
      <c r="R89" s="148">
        <v>11.724655905975499</v>
      </c>
      <c r="S89" s="148">
        <f>'Cálculo PU'!U144</f>
        <v>5.8341172477562013</v>
      </c>
      <c r="T89" s="168">
        <f t="shared" si="18"/>
        <v>5.890538658219298</v>
      </c>
      <c r="V89" s="147">
        <v>6385</v>
      </c>
      <c r="W89" s="156">
        <v>43374</v>
      </c>
      <c r="X89" s="156">
        <v>45999</v>
      </c>
      <c r="Y89" s="148" t="s">
        <v>822</v>
      </c>
      <c r="Z89" s="148" t="s">
        <v>823</v>
      </c>
      <c r="AA89" s="148" t="s">
        <v>830</v>
      </c>
      <c r="AB89" s="148">
        <v>26.133882212799801</v>
      </c>
      <c r="AC89" s="148">
        <f>'Cálculo PU'!T144</f>
        <v>26.194414164499491</v>
      </c>
      <c r="AD89" s="168">
        <f t="shared" si="19"/>
        <v>-6.0531951699690723E-2</v>
      </c>
      <c r="AF89" s="147">
        <v>6397</v>
      </c>
      <c r="AG89" s="156">
        <v>43374</v>
      </c>
      <c r="AH89" s="156">
        <v>45999</v>
      </c>
      <c r="AI89" s="148" t="s">
        <v>822</v>
      </c>
      <c r="AJ89" s="148" t="s">
        <v>823</v>
      </c>
      <c r="AK89" s="148" t="s">
        <v>942</v>
      </c>
      <c r="AL89" s="148">
        <v>11.799155259999999</v>
      </c>
      <c r="AM89" s="148">
        <f>'Cálculo PU'!Q144</f>
        <v>16.3232</v>
      </c>
      <c r="AN89" s="168">
        <f t="shared" si="20"/>
        <v>-4.5240447400000008</v>
      </c>
      <c r="AP89" s="147">
        <v>6398</v>
      </c>
      <c r="AQ89" s="156">
        <v>43374</v>
      </c>
      <c r="AR89" s="156">
        <v>45999</v>
      </c>
      <c r="AS89" s="148" t="s">
        <v>822</v>
      </c>
      <c r="AT89" s="148" t="s">
        <v>823</v>
      </c>
      <c r="AU89" s="148" t="s">
        <v>943</v>
      </c>
      <c r="AV89" s="148">
        <v>1811</v>
      </c>
      <c r="AW89" s="152">
        <f>'Cálculo PU'!L144</f>
        <v>2503</v>
      </c>
      <c r="AX89" s="168">
        <f t="shared" si="21"/>
        <v>-692</v>
      </c>
      <c r="AZ89" s="147">
        <v>6387</v>
      </c>
      <c r="BA89" s="156">
        <v>43374</v>
      </c>
      <c r="BB89" s="156">
        <v>45999</v>
      </c>
      <c r="BC89" s="148" t="s">
        <v>822</v>
      </c>
      <c r="BD89" s="148" t="s">
        <v>823</v>
      </c>
      <c r="BE89" s="148" t="s">
        <v>945</v>
      </c>
      <c r="BF89" s="148">
        <v>1.001961652686</v>
      </c>
      <c r="BG89" s="148">
        <f>'Cálculo PU'!N144</f>
        <v>1.0019616526860928</v>
      </c>
      <c r="BH89" s="168">
        <f t="shared" si="22"/>
        <v>-9.2814644858663087E-14</v>
      </c>
      <c r="BJ89" s="147">
        <v>6412</v>
      </c>
      <c r="BK89" s="156">
        <v>43374</v>
      </c>
      <c r="BL89" s="156">
        <v>45999</v>
      </c>
      <c r="BM89" s="148" t="s">
        <v>822</v>
      </c>
      <c r="BN89" s="148" t="s">
        <v>823</v>
      </c>
      <c r="BO89" s="148" t="s">
        <v>827</v>
      </c>
      <c r="BP89" s="148">
        <v>1.1941955376740001</v>
      </c>
      <c r="BQ89" s="148">
        <f>'Cálculo PU'!O144</f>
        <v>1.2779877484681559</v>
      </c>
      <c r="BR89" s="168">
        <f t="shared" si="23"/>
        <v>-8.3792210794155775E-2</v>
      </c>
      <c r="BT89" s="147">
        <v>6386</v>
      </c>
      <c r="BU89" s="156">
        <v>43374</v>
      </c>
      <c r="BV89" s="156">
        <v>45999</v>
      </c>
      <c r="BW89" s="148" t="s">
        <v>822</v>
      </c>
      <c r="BX89" s="148" t="s">
        <v>823</v>
      </c>
      <c r="BY89" s="148" t="s">
        <v>946</v>
      </c>
      <c r="BZ89" s="148">
        <v>1.0094787999999999</v>
      </c>
      <c r="CA89" s="148">
        <f>'Cálculo PU'!S144</f>
        <v>1.0118169800000001</v>
      </c>
      <c r="CB89" s="168">
        <f t="shared" si="24"/>
        <v>-2.3381800000001896E-3</v>
      </c>
      <c r="CD89">
        <v>6293</v>
      </c>
      <c r="CE89" s="215">
        <v>45971</v>
      </c>
      <c r="CF89" s="215">
        <v>45999</v>
      </c>
      <c r="CG89" t="s">
        <v>822</v>
      </c>
      <c r="CH89" t="s">
        <v>823</v>
      </c>
      <c r="CI89" t="s">
        <v>1713</v>
      </c>
      <c r="CJ89">
        <v>1.0019616526860899</v>
      </c>
      <c r="CK89">
        <f t="shared" si="26"/>
        <v>1.0019616526860928</v>
      </c>
      <c r="CL89" s="246">
        <f t="shared" si="27"/>
        <v>45971</v>
      </c>
      <c r="CM89" s="246">
        <f>'Cálculo PU'!G143</f>
        <v>45971</v>
      </c>
      <c r="CN89" s="215">
        <f t="shared" si="28"/>
        <v>45999</v>
      </c>
      <c r="CO89" s="215">
        <f>'Cálculo PU'!G144</f>
        <v>45999</v>
      </c>
      <c r="CQ89">
        <v>4889</v>
      </c>
      <c r="CR89" s="215">
        <v>44659</v>
      </c>
      <c r="CS89" s="215">
        <v>44690</v>
      </c>
      <c r="CT89" t="s">
        <v>822</v>
      </c>
      <c r="CU89" t="s">
        <v>823</v>
      </c>
      <c r="CV89" t="s">
        <v>1714</v>
      </c>
      <c r="CW89">
        <v>2.5</v>
      </c>
    </row>
    <row r="90" spans="2:101">
      <c r="B90" s="147">
        <v>6452</v>
      </c>
      <c r="C90" s="156">
        <v>43374</v>
      </c>
      <c r="D90" s="156">
        <v>46031</v>
      </c>
      <c r="E90" s="148" t="s">
        <v>822</v>
      </c>
      <c r="F90" s="148" t="s">
        <v>823</v>
      </c>
      <c r="G90" s="148" t="s">
        <v>825</v>
      </c>
      <c r="H90" s="148">
        <v>10.2457950544064</v>
      </c>
      <c r="I90" s="148">
        <f>'Cálculo PU'!V145</f>
        <v>4.7534307512248875</v>
      </c>
      <c r="J90" s="168">
        <f t="shared" si="25"/>
        <v>5.492364303181513</v>
      </c>
      <c r="L90" s="147">
        <v>6438</v>
      </c>
      <c r="M90" s="156">
        <v>43374</v>
      </c>
      <c r="N90" s="156">
        <v>46031</v>
      </c>
      <c r="O90" s="148" t="s">
        <v>822</v>
      </c>
      <c r="P90" s="148" t="s">
        <v>823</v>
      </c>
      <c r="Q90" s="148" t="s">
        <v>824</v>
      </c>
      <c r="R90" s="148">
        <v>12.2618901131592</v>
      </c>
      <c r="S90" s="148">
        <f>'Cálculo PU'!U145</f>
        <v>6.0879373308441886</v>
      </c>
      <c r="T90" s="168">
        <f t="shared" si="18"/>
        <v>6.1739527823150118</v>
      </c>
      <c r="V90" s="147">
        <v>6424</v>
      </c>
      <c r="W90" s="156">
        <v>43374</v>
      </c>
      <c r="X90" s="156">
        <v>46031</v>
      </c>
      <c r="Y90" s="148" t="s">
        <v>822</v>
      </c>
      <c r="Z90" s="148" t="s">
        <v>823</v>
      </c>
      <c r="AA90" s="148" t="s">
        <v>830</v>
      </c>
      <c r="AB90" s="148">
        <v>27.6213827368206</v>
      </c>
      <c r="AC90" s="148">
        <f>'Cálculo PU'!T145</f>
        <v>27.692706822746828</v>
      </c>
      <c r="AD90" s="168">
        <f t="shared" si="19"/>
        <v>-7.132408592622852E-2</v>
      </c>
      <c r="AF90" s="147">
        <v>6436</v>
      </c>
      <c r="AG90" s="156">
        <v>43374</v>
      </c>
      <c r="AH90" s="156">
        <v>46031</v>
      </c>
      <c r="AI90" s="148" t="s">
        <v>822</v>
      </c>
      <c r="AJ90" s="148" t="s">
        <v>823</v>
      </c>
      <c r="AK90" s="148" t="s">
        <v>942</v>
      </c>
      <c r="AL90" s="148">
        <v>11.811734360000001</v>
      </c>
      <c r="AM90" s="148">
        <f>'Cálculo PU'!Q145</f>
        <v>16.321300000000001</v>
      </c>
      <c r="AN90" s="168">
        <f t="shared" si="20"/>
        <v>-4.5095656399999999</v>
      </c>
      <c r="AP90" s="147">
        <v>6437</v>
      </c>
      <c r="AQ90" s="156">
        <v>43374</v>
      </c>
      <c r="AR90" s="156">
        <v>46031</v>
      </c>
      <c r="AS90" s="148" t="s">
        <v>822</v>
      </c>
      <c r="AT90" s="148" t="s">
        <v>823</v>
      </c>
      <c r="AU90" s="148" t="s">
        <v>943</v>
      </c>
      <c r="AV90" s="148">
        <v>1833</v>
      </c>
      <c r="AW90" s="152">
        <f>'Cálculo PU'!L145</f>
        <v>2525</v>
      </c>
      <c r="AX90" s="168">
        <f t="shared" si="21"/>
        <v>-692</v>
      </c>
      <c r="AZ90" s="147">
        <v>6426</v>
      </c>
      <c r="BA90" s="156">
        <v>43374</v>
      </c>
      <c r="BB90" s="156">
        <v>46031</v>
      </c>
      <c r="BC90" s="148" t="s">
        <v>822</v>
      </c>
      <c r="BD90" s="148" t="s">
        <v>823</v>
      </c>
      <c r="BE90" s="148" t="s">
        <v>945</v>
      </c>
      <c r="BF90" s="148">
        <v>1.0021580294750001</v>
      </c>
      <c r="BG90" s="148">
        <f>'Cálculo PU'!N145</f>
        <v>1.0021580294747356</v>
      </c>
      <c r="BH90" s="168">
        <f t="shared" si="22"/>
        <v>2.6445512446571229E-13</v>
      </c>
      <c r="BJ90" s="147">
        <v>6451</v>
      </c>
      <c r="BK90" s="156">
        <v>43374</v>
      </c>
      <c r="BL90" s="156">
        <v>46031</v>
      </c>
      <c r="BM90" s="148" t="s">
        <v>822</v>
      </c>
      <c r="BN90" s="148" t="s">
        <v>823</v>
      </c>
      <c r="BO90" s="148" t="s">
        <v>827</v>
      </c>
      <c r="BP90" s="148">
        <v>1.196772924702</v>
      </c>
      <c r="BQ90" s="148">
        <f>'Cálculo PU'!O145</f>
        <v>1.2807459810528257</v>
      </c>
      <c r="BR90" s="168">
        <f t="shared" si="23"/>
        <v>-8.3973056350825637E-2</v>
      </c>
      <c r="BT90" s="147">
        <v>6425</v>
      </c>
      <c r="BU90" s="156">
        <v>43374</v>
      </c>
      <c r="BV90" s="156">
        <v>46031</v>
      </c>
      <c r="BW90" s="148" t="s">
        <v>822</v>
      </c>
      <c r="BX90" s="148" t="s">
        <v>823</v>
      </c>
      <c r="BY90" s="148" t="s">
        <v>946</v>
      </c>
      <c r="BZ90" s="148">
        <v>1.0105314599999999</v>
      </c>
      <c r="CA90" s="148">
        <f>'Cálculo PU'!S145</f>
        <v>1.01314086</v>
      </c>
      <c r="CB90" s="168">
        <f t="shared" si="24"/>
        <v>-2.609400000000095E-3</v>
      </c>
      <c r="CD90">
        <v>6331</v>
      </c>
      <c r="CE90" s="215">
        <v>45999</v>
      </c>
      <c r="CF90" s="215">
        <v>46031</v>
      </c>
      <c r="CG90" t="s">
        <v>822</v>
      </c>
      <c r="CH90" t="s">
        <v>823</v>
      </c>
      <c r="CI90" t="s">
        <v>1713</v>
      </c>
      <c r="CJ90">
        <v>1.0021580294747401</v>
      </c>
      <c r="CK90">
        <f t="shared" si="26"/>
        <v>1.0021580294747356</v>
      </c>
      <c r="CL90" s="246">
        <f t="shared" si="27"/>
        <v>45999</v>
      </c>
      <c r="CM90" s="246">
        <f>'Cálculo PU'!G144</f>
        <v>45999</v>
      </c>
      <c r="CN90" s="215">
        <f t="shared" si="28"/>
        <v>46031</v>
      </c>
      <c r="CO90" s="215">
        <f>'Cálculo PU'!G145</f>
        <v>46031</v>
      </c>
      <c r="CQ90">
        <v>4891</v>
      </c>
      <c r="CR90" s="215">
        <v>44659</v>
      </c>
      <c r="CS90" s="215">
        <v>44690</v>
      </c>
      <c r="CT90" t="s">
        <v>822</v>
      </c>
      <c r="CU90" t="s">
        <v>823</v>
      </c>
      <c r="CV90" t="s">
        <v>1714</v>
      </c>
      <c r="CW90">
        <v>2.5</v>
      </c>
    </row>
    <row r="91" spans="2:101">
      <c r="B91" s="147">
        <v>6491</v>
      </c>
      <c r="C91" s="156">
        <v>43374</v>
      </c>
      <c r="D91" s="156">
        <v>46062</v>
      </c>
      <c r="E91" s="148" t="s">
        <v>822</v>
      </c>
      <c r="F91" s="148" t="s">
        <v>823</v>
      </c>
      <c r="G91" s="148" t="s">
        <v>825</v>
      </c>
      <c r="H91" s="148">
        <v>9.2239351855537901</v>
      </c>
      <c r="I91" s="148">
        <f>'Cálculo PU'!V146</f>
        <v>4.2691746845621106</v>
      </c>
      <c r="J91" s="168">
        <f t="shared" si="25"/>
        <v>4.9547605009916795</v>
      </c>
      <c r="L91" s="147">
        <v>6477</v>
      </c>
      <c r="M91" s="156">
        <v>43374</v>
      </c>
      <c r="N91" s="156">
        <v>46062</v>
      </c>
      <c r="O91" s="148" t="s">
        <v>822</v>
      </c>
      <c r="P91" s="148" t="s">
        <v>823</v>
      </c>
      <c r="Q91" s="148" t="s">
        <v>824</v>
      </c>
      <c r="R91" s="148">
        <v>11.0616967824988</v>
      </c>
      <c r="S91" s="148">
        <f>'Cálculo PU'!U146</f>
        <v>5.4789921590263786</v>
      </c>
      <c r="T91" s="168">
        <f t="shared" si="18"/>
        <v>5.5827046234724209</v>
      </c>
      <c r="V91" s="147">
        <v>6463</v>
      </c>
      <c r="W91" s="156">
        <v>43374</v>
      </c>
      <c r="X91" s="156">
        <v>46062</v>
      </c>
      <c r="Y91" s="148" t="s">
        <v>822</v>
      </c>
      <c r="Z91" s="148" t="s">
        <v>823</v>
      </c>
      <c r="AA91" s="148" t="s">
        <v>830</v>
      </c>
      <c r="AB91" s="148">
        <v>25.176308477917299</v>
      </c>
      <c r="AC91" s="148">
        <f>'Cálculo PU'!T146</f>
        <v>25.24114260588696</v>
      </c>
      <c r="AD91" s="168">
        <f t="shared" si="19"/>
        <v>-6.4834127969660926E-2</v>
      </c>
      <c r="AF91" s="147">
        <v>6475</v>
      </c>
      <c r="AG91" s="156">
        <v>43374</v>
      </c>
      <c r="AH91" s="156">
        <v>46062</v>
      </c>
      <c r="AI91" s="148" t="s">
        <v>822</v>
      </c>
      <c r="AJ91" s="148" t="s">
        <v>823</v>
      </c>
      <c r="AK91" s="148" t="s">
        <v>942</v>
      </c>
      <c r="AL91" s="148">
        <v>11.82719195</v>
      </c>
      <c r="AM91" s="148">
        <f>'Cálculo PU'!Q146</f>
        <v>16.322399999999998</v>
      </c>
      <c r="AN91" s="168">
        <f t="shared" si="20"/>
        <v>-4.4952080499999987</v>
      </c>
      <c r="AP91" s="147">
        <v>6476</v>
      </c>
      <c r="AQ91" s="156">
        <v>43374</v>
      </c>
      <c r="AR91" s="156">
        <v>46062</v>
      </c>
      <c r="AS91" s="148" t="s">
        <v>822</v>
      </c>
      <c r="AT91" s="148" t="s">
        <v>823</v>
      </c>
      <c r="AU91" s="148" t="s">
        <v>943</v>
      </c>
      <c r="AV91" s="148">
        <v>1854</v>
      </c>
      <c r="AW91" s="152">
        <f>'Cálculo PU'!L146</f>
        <v>2546</v>
      </c>
      <c r="AX91" s="168">
        <f t="shared" si="21"/>
        <v>-692</v>
      </c>
      <c r="AZ91" s="147">
        <v>6465</v>
      </c>
      <c r="BA91" s="156">
        <v>43374</v>
      </c>
      <c r="BB91" s="156">
        <v>46062</v>
      </c>
      <c r="BC91" s="148" t="s">
        <v>822</v>
      </c>
      <c r="BD91" s="148" t="s">
        <v>823</v>
      </c>
      <c r="BE91" s="148" t="s">
        <v>945</v>
      </c>
      <c r="BF91" s="148">
        <v>1.0020598362699999</v>
      </c>
      <c r="BG91" s="148">
        <f>'Cálculo PU'!N146</f>
        <v>1.0020598362698427</v>
      </c>
      <c r="BH91" s="168">
        <f t="shared" si="22"/>
        <v>1.5720758028692217E-13</v>
      </c>
      <c r="BJ91" s="147">
        <v>6490</v>
      </c>
      <c r="BK91" s="156">
        <v>43374</v>
      </c>
      <c r="BL91" s="156">
        <v>46062</v>
      </c>
      <c r="BM91" s="148" t="s">
        <v>822</v>
      </c>
      <c r="BN91" s="148" t="s">
        <v>823</v>
      </c>
      <c r="BO91" s="148" t="s">
        <v>827</v>
      </c>
      <c r="BP91" s="148">
        <v>1.1992383467550001</v>
      </c>
      <c r="BQ91" s="148">
        <f>'Cálculo PU'!O146</f>
        <v>1.2833843925007624</v>
      </c>
      <c r="BR91" s="168">
        <f t="shared" si="23"/>
        <v>-8.4146045745762343E-2</v>
      </c>
      <c r="BT91" s="147">
        <v>6464</v>
      </c>
      <c r="BU91" s="156">
        <v>43374</v>
      </c>
      <c r="BV91" s="156">
        <v>46062</v>
      </c>
      <c r="BW91" s="148" t="s">
        <v>822</v>
      </c>
      <c r="BX91" s="148" t="s">
        <v>823</v>
      </c>
      <c r="BY91" s="148" t="s">
        <v>946</v>
      </c>
      <c r="BZ91" s="148">
        <v>1.0103743300000001</v>
      </c>
      <c r="CA91" s="148">
        <f>'Cálculo PU'!S146</f>
        <v>1.0129762499999999</v>
      </c>
      <c r="CB91" s="168">
        <f t="shared" si="24"/>
        <v>-2.6019199999998133E-3</v>
      </c>
      <c r="CD91">
        <v>6369</v>
      </c>
      <c r="CE91" s="215">
        <v>46031</v>
      </c>
      <c r="CF91" s="215">
        <v>46062</v>
      </c>
      <c r="CG91" t="s">
        <v>822</v>
      </c>
      <c r="CH91" t="s">
        <v>823</v>
      </c>
      <c r="CI91" t="s">
        <v>1713</v>
      </c>
      <c r="CJ91">
        <v>1.0020598362698401</v>
      </c>
      <c r="CK91">
        <f t="shared" si="26"/>
        <v>1.0020598362698427</v>
      </c>
      <c r="CL91" s="246">
        <f t="shared" si="27"/>
        <v>46031</v>
      </c>
      <c r="CM91" s="246">
        <f>'Cálculo PU'!G145</f>
        <v>46031</v>
      </c>
      <c r="CN91" s="215">
        <f t="shared" si="28"/>
        <v>46062</v>
      </c>
      <c r="CO91" s="215">
        <f>'Cálculo PU'!G146</f>
        <v>46062</v>
      </c>
      <c r="CQ91">
        <v>4929</v>
      </c>
      <c r="CR91" s="215">
        <v>44690</v>
      </c>
      <c r="CS91" s="215">
        <v>44720</v>
      </c>
      <c r="CT91" t="s">
        <v>822</v>
      </c>
      <c r="CU91" t="s">
        <v>823</v>
      </c>
      <c r="CV91" t="s">
        <v>1714</v>
      </c>
      <c r="CW91">
        <v>2.5</v>
      </c>
    </row>
    <row r="92" spans="2:101">
      <c r="B92" s="147">
        <v>6530</v>
      </c>
      <c r="C92" s="156">
        <v>43374</v>
      </c>
      <c r="D92" s="156">
        <v>46090</v>
      </c>
      <c r="E92" s="148" t="s">
        <v>822</v>
      </c>
      <c r="F92" s="148" t="s">
        <v>823</v>
      </c>
      <c r="G92" s="148" t="s">
        <v>825</v>
      </c>
      <c r="H92" s="148">
        <v>7.4458711303132201</v>
      </c>
      <c r="I92" s="148">
        <f>'Cálculo PU'!V147</f>
        <v>3.4379628517558438</v>
      </c>
      <c r="J92" s="168">
        <f t="shared" si="25"/>
        <v>4.0079082785573767</v>
      </c>
      <c r="L92" s="147">
        <v>6516</v>
      </c>
      <c r="M92" s="156">
        <v>43374</v>
      </c>
      <c r="N92" s="156">
        <v>46090</v>
      </c>
      <c r="O92" s="148" t="s">
        <v>822</v>
      </c>
      <c r="P92" s="148" t="s">
        <v>823</v>
      </c>
      <c r="Q92" s="148" t="s">
        <v>824</v>
      </c>
      <c r="R92" s="148">
        <v>8.9451390363229404</v>
      </c>
      <c r="S92" s="148">
        <f>'Cálculo PU'!U147</f>
        <v>4.4200176748594737</v>
      </c>
      <c r="T92" s="168">
        <f t="shared" si="18"/>
        <v>4.5251213614634667</v>
      </c>
      <c r="V92" s="147">
        <v>6502</v>
      </c>
      <c r="W92" s="156">
        <v>43374</v>
      </c>
      <c r="X92" s="156">
        <v>46090</v>
      </c>
      <c r="Y92" s="148" t="s">
        <v>822</v>
      </c>
      <c r="Z92" s="148" t="s">
        <v>823</v>
      </c>
      <c r="AA92" s="148" t="s">
        <v>830</v>
      </c>
      <c r="AB92" s="148">
        <v>20.539949559404</v>
      </c>
      <c r="AC92" s="148">
        <f>'Cálculo PU'!T147</f>
        <v>20.585279382726025</v>
      </c>
      <c r="AD92" s="168">
        <f t="shared" si="19"/>
        <v>-4.5329823322024509E-2</v>
      </c>
      <c r="AF92" s="147">
        <v>6514</v>
      </c>
      <c r="AG92" s="156">
        <v>43374</v>
      </c>
      <c r="AH92" s="156">
        <v>46090</v>
      </c>
      <c r="AI92" s="148" t="s">
        <v>822</v>
      </c>
      <c r="AJ92" s="148" t="s">
        <v>823</v>
      </c>
      <c r="AK92" s="148" t="s">
        <v>942</v>
      </c>
      <c r="AL92" s="148">
        <v>11.84016692</v>
      </c>
      <c r="AM92" s="148">
        <f>'Cálculo PU'!Q147</f>
        <v>16.3233</v>
      </c>
      <c r="AN92" s="168">
        <f t="shared" si="20"/>
        <v>-4.48313308</v>
      </c>
      <c r="AP92" s="147">
        <v>6515</v>
      </c>
      <c r="AQ92" s="156">
        <v>43374</v>
      </c>
      <c r="AR92" s="156">
        <v>46090</v>
      </c>
      <c r="AS92" s="148" t="s">
        <v>822</v>
      </c>
      <c r="AT92" s="148" t="s">
        <v>823</v>
      </c>
      <c r="AU92" s="148" t="s">
        <v>943</v>
      </c>
      <c r="AV92" s="148">
        <v>1872</v>
      </c>
      <c r="AW92" s="152">
        <f>'Cálculo PU'!L147</f>
        <v>2564</v>
      </c>
      <c r="AX92" s="168">
        <f t="shared" si="21"/>
        <v>-692</v>
      </c>
      <c r="AZ92" s="147">
        <v>6504</v>
      </c>
      <c r="BA92" s="156">
        <v>43374</v>
      </c>
      <c r="BB92" s="156">
        <v>46090</v>
      </c>
      <c r="BC92" s="148" t="s">
        <v>822</v>
      </c>
      <c r="BD92" s="148" t="s">
        <v>823</v>
      </c>
      <c r="BE92" s="148" t="s">
        <v>945</v>
      </c>
      <c r="BF92" s="148">
        <v>1.0017653143780001</v>
      </c>
      <c r="BG92" s="148">
        <f>'Cálculo PU'!N147</f>
        <v>1.0017653143782506</v>
      </c>
      <c r="BH92" s="168">
        <f t="shared" si="22"/>
        <v>-2.5046631435543532E-13</v>
      </c>
      <c r="BJ92" s="147">
        <v>6529</v>
      </c>
      <c r="BK92" s="156">
        <v>43374</v>
      </c>
      <c r="BL92" s="156">
        <v>46090</v>
      </c>
      <c r="BM92" s="148" t="s">
        <v>822</v>
      </c>
      <c r="BN92" s="148" t="s">
        <v>823</v>
      </c>
      <c r="BO92" s="148" t="s">
        <v>827</v>
      </c>
      <c r="BP92" s="148">
        <v>1.2013556076609999</v>
      </c>
      <c r="BQ92" s="148">
        <f>'Cálculo PU'!O147</f>
        <v>1.2856502136438364</v>
      </c>
      <c r="BR92" s="168">
        <f t="shared" si="23"/>
        <v>-8.4294605982836446E-2</v>
      </c>
      <c r="BT92" s="147">
        <v>6503</v>
      </c>
      <c r="BU92" s="156">
        <v>43374</v>
      </c>
      <c r="BV92" s="156">
        <v>46090</v>
      </c>
      <c r="BW92" s="148" t="s">
        <v>822</v>
      </c>
      <c r="BX92" s="148" t="s">
        <v>823</v>
      </c>
      <c r="BY92" s="148" t="s">
        <v>946</v>
      </c>
      <c r="BZ92" s="148">
        <v>1.0088857200000001</v>
      </c>
      <c r="CA92" s="148">
        <f>'Cálculo PU'!S147</f>
        <v>1.0111122400000001</v>
      </c>
      <c r="CB92" s="168">
        <f t="shared" si="24"/>
        <v>-2.2265200000000096E-3</v>
      </c>
      <c r="CD92">
        <v>6407</v>
      </c>
      <c r="CE92" s="215">
        <v>46062</v>
      </c>
      <c r="CF92" s="215">
        <v>46090</v>
      </c>
      <c r="CG92" t="s">
        <v>822</v>
      </c>
      <c r="CH92" t="s">
        <v>823</v>
      </c>
      <c r="CI92" t="s">
        <v>1713</v>
      </c>
      <c r="CJ92">
        <v>1.0017653143782499</v>
      </c>
      <c r="CK92">
        <f t="shared" si="26"/>
        <v>1.0017653143782506</v>
      </c>
      <c r="CL92" s="246">
        <f t="shared" si="27"/>
        <v>46062</v>
      </c>
      <c r="CM92" s="246">
        <f>'Cálculo PU'!G146</f>
        <v>46062</v>
      </c>
      <c r="CN92" s="215">
        <f t="shared" si="28"/>
        <v>46090</v>
      </c>
      <c r="CO92" s="215">
        <f>'Cálculo PU'!G147</f>
        <v>46090</v>
      </c>
      <c r="CQ92">
        <v>4931</v>
      </c>
      <c r="CR92" s="215">
        <v>44690</v>
      </c>
      <c r="CS92" s="215">
        <v>44720</v>
      </c>
      <c r="CT92" t="s">
        <v>822</v>
      </c>
      <c r="CU92" t="s">
        <v>823</v>
      </c>
      <c r="CV92" t="s">
        <v>1714</v>
      </c>
      <c r="CW92">
        <v>2.5</v>
      </c>
    </row>
    <row r="93" spans="2:101">
      <c r="B93" s="147">
        <v>6569</v>
      </c>
      <c r="C93" s="156">
        <v>43374</v>
      </c>
      <c r="D93" s="156">
        <v>46121</v>
      </c>
      <c r="E93" s="148" t="s">
        <v>822</v>
      </c>
      <c r="F93" s="148" t="s">
        <v>823</v>
      </c>
      <c r="G93" s="148" t="s">
        <v>825</v>
      </c>
      <c r="H93" s="148">
        <v>8.5636066228369199</v>
      </c>
      <c r="I93" s="148">
        <f>'Cálculo PU'!V148</f>
        <v>3.9461712270986546</v>
      </c>
      <c r="J93" s="168">
        <f t="shared" si="25"/>
        <v>4.6174353957382657</v>
      </c>
      <c r="L93" s="147">
        <v>6555</v>
      </c>
      <c r="M93" s="156">
        <v>43374</v>
      </c>
      <c r="N93" s="156">
        <v>46121</v>
      </c>
      <c r="O93" s="148" t="s">
        <v>822</v>
      </c>
      <c r="P93" s="148" t="s">
        <v>823</v>
      </c>
      <c r="Q93" s="148" t="s">
        <v>824</v>
      </c>
      <c r="R93" s="148">
        <v>10.310140902821299</v>
      </c>
      <c r="S93" s="148">
        <f>'Cálculo PU'!U148</f>
        <v>5.0843455994928721</v>
      </c>
      <c r="T93" s="168">
        <f t="shared" si="18"/>
        <v>5.225795303328427</v>
      </c>
      <c r="V93" s="147">
        <v>6541</v>
      </c>
      <c r="W93" s="156">
        <v>43374</v>
      </c>
      <c r="X93" s="156">
        <v>46121</v>
      </c>
      <c r="Y93" s="148" t="s">
        <v>822</v>
      </c>
      <c r="Z93" s="148" t="s">
        <v>823</v>
      </c>
      <c r="AA93" s="148" t="s">
        <v>830</v>
      </c>
      <c r="AB93" s="148">
        <v>23.9316491190371</v>
      </c>
      <c r="AC93" s="148">
        <f>'Cálculo PU'!T148</f>
        <v>23.996216705136582</v>
      </c>
      <c r="AD93" s="168">
        <f t="shared" si="19"/>
        <v>-6.4567586099482099E-2</v>
      </c>
      <c r="AF93" s="147">
        <v>6553</v>
      </c>
      <c r="AG93" s="156">
        <v>43374</v>
      </c>
      <c r="AH93" s="156">
        <v>46121</v>
      </c>
      <c r="AI93" s="148" t="s">
        <v>822</v>
      </c>
      <c r="AJ93" s="148" t="s">
        <v>823</v>
      </c>
      <c r="AK93" s="148" t="s">
        <v>942</v>
      </c>
      <c r="AL93" s="148">
        <v>11.85569229</v>
      </c>
      <c r="AM93" s="148">
        <f>'Cálculo PU'!Q148</f>
        <v>16.324400000000001</v>
      </c>
      <c r="AN93" s="168">
        <f t="shared" si="20"/>
        <v>-4.4687077100000003</v>
      </c>
      <c r="AP93" s="147">
        <v>6554</v>
      </c>
      <c r="AQ93" s="156">
        <v>43374</v>
      </c>
      <c r="AR93" s="156">
        <v>46121</v>
      </c>
      <c r="AS93" s="148" t="s">
        <v>822</v>
      </c>
      <c r="AT93" s="148" t="s">
        <v>823</v>
      </c>
      <c r="AU93" s="148" t="s">
        <v>943</v>
      </c>
      <c r="AV93" s="148">
        <v>1894</v>
      </c>
      <c r="AW93" s="152">
        <f>'Cálculo PU'!L148</f>
        <v>2586</v>
      </c>
      <c r="AX93" s="168">
        <f t="shared" si="21"/>
        <v>-692</v>
      </c>
      <c r="AZ93" s="147">
        <v>6543</v>
      </c>
      <c r="BA93" s="156">
        <v>43374</v>
      </c>
      <c r="BB93" s="156">
        <v>46121</v>
      </c>
      <c r="BC93" s="148" t="s">
        <v>822</v>
      </c>
      <c r="BD93" s="148" t="s">
        <v>823</v>
      </c>
      <c r="BE93" s="148" t="s">
        <v>945</v>
      </c>
      <c r="BF93" s="148">
        <v>1.0021580294750001</v>
      </c>
      <c r="BG93" s="148">
        <f>'Cálculo PU'!N148</f>
        <v>1.0021580294747356</v>
      </c>
      <c r="BH93" s="168">
        <f t="shared" si="22"/>
        <v>2.6445512446571229E-13</v>
      </c>
      <c r="BJ93" s="147">
        <v>6568</v>
      </c>
      <c r="BK93" s="156">
        <v>43374</v>
      </c>
      <c r="BL93" s="156">
        <v>46121</v>
      </c>
      <c r="BM93" s="148" t="s">
        <v>822</v>
      </c>
      <c r="BN93" s="148" t="s">
        <v>823</v>
      </c>
      <c r="BO93" s="148" t="s">
        <v>827</v>
      </c>
      <c r="BP93" s="148">
        <v>1.203948447997</v>
      </c>
      <c r="BQ93" s="148">
        <f>'Cálculo PU'!O148</f>
        <v>1.2884249838370643</v>
      </c>
      <c r="BR93" s="168">
        <f t="shared" si="23"/>
        <v>-8.4476535840064315E-2</v>
      </c>
      <c r="BT93" s="147">
        <v>6542</v>
      </c>
      <c r="BU93" s="156">
        <v>43374</v>
      </c>
      <c r="BV93" s="156">
        <v>46121</v>
      </c>
      <c r="BW93" s="148" t="s">
        <v>822</v>
      </c>
      <c r="BX93" s="148" t="s">
        <v>823</v>
      </c>
      <c r="BY93" s="148" t="s">
        <v>946</v>
      </c>
      <c r="BZ93" s="148">
        <v>1.01087102</v>
      </c>
      <c r="CA93" s="148">
        <f>'Cálculo PU'!S148</f>
        <v>1.0135983500000001</v>
      </c>
      <c r="CB93" s="168">
        <f t="shared" si="24"/>
        <v>-2.7273300000001388E-3</v>
      </c>
      <c r="CD93">
        <v>6445</v>
      </c>
      <c r="CE93" s="215">
        <v>46090</v>
      </c>
      <c r="CF93" s="215">
        <v>46121</v>
      </c>
      <c r="CG93" t="s">
        <v>822</v>
      </c>
      <c r="CH93" t="s">
        <v>823</v>
      </c>
      <c r="CI93" t="s">
        <v>1713</v>
      </c>
      <c r="CJ93">
        <v>1.0021580294747401</v>
      </c>
      <c r="CK93">
        <f t="shared" si="26"/>
        <v>1.0021580294747356</v>
      </c>
      <c r="CL93" s="246">
        <f t="shared" si="27"/>
        <v>46090</v>
      </c>
      <c r="CM93" s="246">
        <f>'Cálculo PU'!G147</f>
        <v>46090</v>
      </c>
      <c r="CN93" s="215">
        <f t="shared" si="28"/>
        <v>46121</v>
      </c>
      <c r="CO93" s="215">
        <f>'Cálculo PU'!G148</f>
        <v>46121</v>
      </c>
      <c r="CQ93">
        <v>4969</v>
      </c>
      <c r="CR93" s="215">
        <v>44720</v>
      </c>
      <c r="CS93" s="215">
        <v>44750</v>
      </c>
      <c r="CT93" t="s">
        <v>822</v>
      </c>
      <c r="CU93" t="s">
        <v>823</v>
      </c>
      <c r="CV93" t="s">
        <v>1714</v>
      </c>
      <c r="CW93">
        <v>2.5</v>
      </c>
    </row>
    <row r="94" spans="2:101">
      <c r="B94" s="147">
        <v>6608</v>
      </c>
      <c r="C94" s="156">
        <v>43374</v>
      </c>
      <c r="D94" s="156">
        <v>46153</v>
      </c>
      <c r="E94" s="148" t="s">
        <v>822</v>
      </c>
      <c r="F94" s="148" t="s">
        <v>823</v>
      </c>
      <c r="G94" s="148" t="s">
        <v>825</v>
      </c>
      <c r="H94" s="148">
        <v>7.2991515997713501</v>
      </c>
      <c r="I94" s="148">
        <f>'Cálculo PU'!V149</f>
        <v>3.3550848687486763</v>
      </c>
      <c r="J94" s="168">
        <f t="shared" si="25"/>
        <v>3.9440667310226738</v>
      </c>
      <c r="L94" s="147">
        <v>6594</v>
      </c>
      <c r="M94" s="156">
        <v>43374</v>
      </c>
      <c r="N94" s="156">
        <v>46153</v>
      </c>
      <c r="O94" s="148" t="s">
        <v>822</v>
      </c>
      <c r="P94" s="148" t="s">
        <v>823</v>
      </c>
      <c r="Q94" s="148" t="s">
        <v>824</v>
      </c>
      <c r="R94" s="148">
        <v>8.8050427145610506</v>
      </c>
      <c r="S94" s="148">
        <f>'Cálculo PU'!U149</f>
        <v>4.3312558654926976</v>
      </c>
      <c r="T94" s="168">
        <f t="shared" si="18"/>
        <v>4.473786849068353</v>
      </c>
      <c r="V94" s="147">
        <v>6580</v>
      </c>
      <c r="W94" s="156">
        <v>43374</v>
      </c>
      <c r="X94" s="156">
        <v>46153</v>
      </c>
      <c r="Y94" s="148" t="s">
        <v>822</v>
      </c>
      <c r="Z94" s="148" t="s">
        <v>823</v>
      </c>
      <c r="AA94" s="148" t="s">
        <v>830</v>
      </c>
      <c r="AB94" s="148">
        <v>20.639936441071701</v>
      </c>
      <c r="AC94" s="148">
        <f>'Cálculo PU'!T149</f>
        <v>20.690554547465744</v>
      </c>
      <c r="AD94" s="168">
        <f t="shared" si="19"/>
        <v>-5.0618106394043849E-2</v>
      </c>
      <c r="AF94" s="147">
        <v>6592</v>
      </c>
      <c r="AG94" s="156">
        <v>43374</v>
      </c>
      <c r="AH94" s="156">
        <v>46153</v>
      </c>
      <c r="AI94" s="148" t="s">
        <v>822</v>
      </c>
      <c r="AJ94" s="148" t="s">
        <v>823</v>
      </c>
      <c r="AK94" s="148" t="s">
        <v>942</v>
      </c>
      <c r="AL94" s="148">
        <v>11.86949836</v>
      </c>
      <c r="AM94" s="148">
        <f>'Cálculo PU'!Q149</f>
        <v>16.325399999999998</v>
      </c>
      <c r="AN94" s="168">
        <f t="shared" si="20"/>
        <v>-4.4559016399999987</v>
      </c>
      <c r="AP94" s="147">
        <v>6593</v>
      </c>
      <c r="AQ94" s="156">
        <v>43374</v>
      </c>
      <c r="AR94" s="156">
        <v>46153</v>
      </c>
      <c r="AS94" s="148" t="s">
        <v>822</v>
      </c>
      <c r="AT94" s="148" t="s">
        <v>823</v>
      </c>
      <c r="AU94" s="148" t="s">
        <v>943</v>
      </c>
      <c r="AV94" s="148">
        <v>1914</v>
      </c>
      <c r="AW94" s="152">
        <f>'Cálculo PU'!L149</f>
        <v>2606</v>
      </c>
      <c r="AX94" s="168">
        <f t="shared" si="21"/>
        <v>-692</v>
      </c>
      <c r="AZ94" s="147">
        <v>6582</v>
      </c>
      <c r="BA94" s="156">
        <v>43374</v>
      </c>
      <c r="BB94" s="156">
        <v>46153</v>
      </c>
      <c r="BC94" s="148" t="s">
        <v>822</v>
      </c>
      <c r="BD94" s="148" t="s">
        <v>823</v>
      </c>
      <c r="BE94" s="148" t="s">
        <v>945</v>
      </c>
      <c r="BF94" s="148">
        <v>1.001961652686</v>
      </c>
      <c r="BG94" s="148">
        <f>'Cálculo PU'!N149</f>
        <v>1.0019616526860928</v>
      </c>
      <c r="BH94" s="168">
        <f t="shared" si="22"/>
        <v>-9.2814644858663087E-14</v>
      </c>
      <c r="BJ94" s="147">
        <v>6607</v>
      </c>
      <c r="BK94" s="156">
        <v>43374</v>
      </c>
      <c r="BL94" s="156">
        <v>46153</v>
      </c>
      <c r="BM94" s="148" t="s">
        <v>822</v>
      </c>
      <c r="BN94" s="148" t="s">
        <v>823</v>
      </c>
      <c r="BO94" s="148" t="s">
        <v>827</v>
      </c>
      <c r="BP94" s="148">
        <v>1.206310431316</v>
      </c>
      <c r="BQ94" s="148">
        <f>'Cálculo PU'!O149</f>
        <v>1.2909526986445792</v>
      </c>
      <c r="BR94" s="168">
        <f t="shared" si="23"/>
        <v>-8.4642267328579157E-2</v>
      </c>
      <c r="BT94" s="147">
        <v>6581</v>
      </c>
      <c r="BU94" s="156">
        <v>43374</v>
      </c>
      <c r="BV94" s="156">
        <v>46153</v>
      </c>
      <c r="BW94" s="148" t="s">
        <v>822</v>
      </c>
      <c r="BX94" s="148" t="s">
        <v>823</v>
      </c>
      <c r="BY94" s="148" t="s">
        <v>946</v>
      </c>
      <c r="BZ94" s="148">
        <v>1.0098778799999999</v>
      </c>
      <c r="CA94" s="148">
        <f>'Cálculo PU'!S149</f>
        <v>1.01235454</v>
      </c>
      <c r="CB94" s="168">
        <f t="shared" si="24"/>
        <v>-2.4766600000001304E-3</v>
      </c>
      <c r="CD94">
        <v>6483</v>
      </c>
      <c r="CE94" s="215">
        <v>46121</v>
      </c>
      <c r="CF94" s="215">
        <v>46153</v>
      </c>
      <c r="CG94" t="s">
        <v>822</v>
      </c>
      <c r="CH94" t="s">
        <v>823</v>
      </c>
      <c r="CI94" t="s">
        <v>1713</v>
      </c>
      <c r="CJ94">
        <v>1.0019616526860899</v>
      </c>
      <c r="CK94">
        <f t="shared" si="26"/>
        <v>1.0019616526860928</v>
      </c>
      <c r="CL94" s="246">
        <f t="shared" si="27"/>
        <v>46121</v>
      </c>
      <c r="CM94" s="246">
        <f>'Cálculo PU'!G148</f>
        <v>46121</v>
      </c>
      <c r="CN94" s="215">
        <f t="shared" si="28"/>
        <v>46153</v>
      </c>
      <c r="CO94" s="215">
        <f>'Cálculo PU'!G149</f>
        <v>46153</v>
      </c>
      <c r="CQ94">
        <v>4971</v>
      </c>
      <c r="CR94" s="215">
        <v>44720</v>
      </c>
      <c r="CS94" s="215">
        <v>44750</v>
      </c>
      <c r="CT94" t="s">
        <v>822</v>
      </c>
      <c r="CU94" t="s">
        <v>823</v>
      </c>
      <c r="CV94" t="s">
        <v>1714</v>
      </c>
      <c r="CW94">
        <v>2.5</v>
      </c>
    </row>
    <row r="95" spans="2:101">
      <c r="B95" s="147">
        <v>6647</v>
      </c>
      <c r="C95" s="156">
        <v>43374</v>
      </c>
      <c r="D95" s="156">
        <v>46182</v>
      </c>
      <c r="E95" s="148" t="s">
        <v>822</v>
      </c>
      <c r="F95" s="148" t="s">
        <v>823</v>
      </c>
      <c r="G95" s="148" t="s">
        <v>825</v>
      </c>
      <c r="H95" s="148">
        <v>6.8342266393567197</v>
      </c>
      <c r="I95" s="148">
        <f>'Cálculo PU'!V150</f>
        <v>3.1343109897327519</v>
      </c>
      <c r="J95" s="168">
        <f t="shared" si="25"/>
        <v>3.6999156496239678</v>
      </c>
      <c r="L95" s="147">
        <v>6633</v>
      </c>
      <c r="M95" s="156">
        <v>43374</v>
      </c>
      <c r="N95" s="156">
        <v>46182</v>
      </c>
      <c r="O95" s="148" t="s">
        <v>822</v>
      </c>
      <c r="P95" s="148" t="s">
        <v>823</v>
      </c>
      <c r="Q95" s="148" t="s">
        <v>824</v>
      </c>
      <c r="R95" s="148">
        <v>8.2603728834086105</v>
      </c>
      <c r="S95" s="148">
        <f>'Cálculo PU'!U150</f>
        <v>4.0541854180389212</v>
      </c>
      <c r="T95" s="168">
        <f t="shared" si="18"/>
        <v>4.2061874653696893</v>
      </c>
      <c r="V95" s="147">
        <v>6619</v>
      </c>
      <c r="W95" s="156">
        <v>43374</v>
      </c>
      <c r="X95" s="156">
        <v>46182</v>
      </c>
      <c r="Y95" s="148" t="s">
        <v>822</v>
      </c>
      <c r="Z95" s="148" t="s">
        <v>823</v>
      </c>
      <c r="AA95" s="148" t="s">
        <v>830</v>
      </c>
      <c r="AB95" s="148">
        <v>19.554440904620101</v>
      </c>
      <c r="AC95" s="148">
        <f>'Cálculo PU'!T150</f>
        <v>19.602396903564784</v>
      </c>
      <c r="AD95" s="168">
        <f t="shared" si="19"/>
        <v>-4.7955998944683387E-2</v>
      </c>
      <c r="AF95" s="147">
        <v>6631</v>
      </c>
      <c r="AG95" s="156">
        <v>43374</v>
      </c>
      <c r="AH95" s="156">
        <v>46182</v>
      </c>
      <c r="AI95" s="148" t="s">
        <v>822</v>
      </c>
      <c r="AJ95" s="148" t="s">
        <v>823</v>
      </c>
      <c r="AK95" s="148" t="s">
        <v>942</v>
      </c>
      <c r="AL95" s="148">
        <v>11.88302054</v>
      </c>
      <c r="AM95" s="148">
        <f>'Cálculo PU'!Q150</f>
        <v>16.3263</v>
      </c>
      <c r="AN95" s="168">
        <f t="shared" si="20"/>
        <v>-4.4432794599999994</v>
      </c>
      <c r="AP95" s="147">
        <v>6632</v>
      </c>
      <c r="AQ95" s="156">
        <v>43374</v>
      </c>
      <c r="AR95" s="156">
        <v>46182</v>
      </c>
      <c r="AS95" s="148" t="s">
        <v>822</v>
      </c>
      <c r="AT95" s="148" t="s">
        <v>823</v>
      </c>
      <c r="AU95" s="148" t="s">
        <v>943</v>
      </c>
      <c r="AV95" s="148">
        <v>1934</v>
      </c>
      <c r="AW95" s="152">
        <f>'Cálculo PU'!L150</f>
        <v>2626</v>
      </c>
      <c r="AX95" s="168">
        <f t="shared" si="21"/>
        <v>-692</v>
      </c>
      <c r="AZ95" s="147">
        <v>6621</v>
      </c>
      <c r="BA95" s="156">
        <v>43374</v>
      </c>
      <c r="BB95" s="156">
        <v>46182</v>
      </c>
      <c r="BC95" s="148" t="s">
        <v>822</v>
      </c>
      <c r="BD95" s="148" t="s">
        <v>823</v>
      </c>
      <c r="BE95" s="148" t="s">
        <v>945</v>
      </c>
      <c r="BF95" s="148">
        <v>1.001961652686</v>
      </c>
      <c r="BG95" s="148">
        <f>'Cálculo PU'!N150</f>
        <v>1.0019616526860928</v>
      </c>
      <c r="BH95" s="168">
        <f t="shared" si="22"/>
        <v>-9.2814644858663087E-14</v>
      </c>
      <c r="BJ95" s="147">
        <v>6646</v>
      </c>
      <c r="BK95" s="156">
        <v>43374</v>
      </c>
      <c r="BL95" s="156">
        <v>46182</v>
      </c>
      <c r="BM95" s="148" t="s">
        <v>822</v>
      </c>
      <c r="BN95" s="148" t="s">
        <v>823</v>
      </c>
      <c r="BO95" s="148" t="s">
        <v>827</v>
      </c>
      <c r="BP95" s="148">
        <v>1.208677048525</v>
      </c>
      <c r="BQ95" s="148">
        <f>'Cálculo PU'!O150</f>
        <v>1.2934853724851989</v>
      </c>
      <c r="BR95" s="168">
        <f t="shared" si="23"/>
        <v>-8.4808323960198884E-2</v>
      </c>
      <c r="BT95" s="147">
        <v>6620</v>
      </c>
      <c r="BU95" s="156">
        <v>43374</v>
      </c>
      <c r="BV95" s="156">
        <v>46182</v>
      </c>
      <c r="BW95" s="148" t="s">
        <v>822</v>
      </c>
      <c r="BX95" s="148" t="s">
        <v>823</v>
      </c>
      <c r="BY95" s="148" t="s">
        <v>946</v>
      </c>
      <c r="BZ95" s="148">
        <v>1.0098778799999999</v>
      </c>
      <c r="CA95" s="148">
        <f>'Cálculo PU'!S150</f>
        <v>1.01235454</v>
      </c>
      <c r="CB95" s="168">
        <f t="shared" si="24"/>
        <v>-2.4766600000001304E-3</v>
      </c>
      <c r="CD95">
        <v>6521</v>
      </c>
      <c r="CE95" s="215">
        <v>46153</v>
      </c>
      <c r="CF95" s="215">
        <v>46182</v>
      </c>
      <c r="CG95" t="s">
        <v>822</v>
      </c>
      <c r="CH95" t="s">
        <v>823</v>
      </c>
      <c r="CI95" t="s">
        <v>1713</v>
      </c>
      <c r="CJ95">
        <v>1.0019616526860899</v>
      </c>
      <c r="CK95">
        <f t="shared" si="26"/>
        <v>1.0019616526860928</v>
      </c>
      <c r="CL95" s="246">
        <f t="shared" si="27"/>
        <v>46153</v>
      </c>
      <c r="CM95" s="246">
        <f>'Cálculo PU'!G149</f>
        <v>46153</v>
      </c>
      <c r="CN95" s="215">
        <f t="shared" si="28"/>
        <v>46182</v>
      </c>
      <c r="CO95" s="215">
        <f>'Cálculo PU'!G150</f>
        <v>46182</v>
      </c>
      <c r="CQ95">
        <v>5009</v>
      </c>
      <c r="CR95" s="215">
        <v>44750</v>
      </c>
      <c r="CS95" s="215">
        <v>44781</v>
      </c>
      <c r="CT95" t="s">
        <v>822</v>
      </c>
      <c r="CU95" t="s">
        <v>823</v>
      </c>
      <c r="CV95" t="s">
        <v>1714</v>
      </c>
      <c r="CW95">
        <v>2.5</v>
      </c>
    </row>
    <row r="96" spans="2:101">
      <c r="B96" s="147">
        <v>6686</v>
      </c>
      <c r="C96" s="156">
        <v>43374</v>
      </c>
      <c r="D96" s="156">
        <v>46211</v>
      </c>
      <c r="E96" s="148" t="s">
        <v>822</v>
      </c>
      <c r="F96" s="148" t="s">
        <v>823</v>
      </c>
      <c r="G96" s="148" t="s">
        <v>825</v>
      </c>
      <c r="H96" s="148">
        <v>6.70212460431636</v>
      </c>
      <c r="I96" s="148">
        <f>'Cálculo PU'!V151</f>
        <v>3.0666764428416005</v>
      </c>
      <c r="J96" s="168">
        <f t="shared" si="25"/>
        <v>3.6354481614747596</v>
      </c>
      <c r="L96" s="147">
        <v>6672</v>
      </c>
      <c r="M96" s="156">
        <v>43374</v>
      </c>
      <c r="N96" s="156">
        <v>46211</v>
      </c>
      <c r="O96" s="148" t="s">
        <v>822</v>
      </c>
      <c r="P96" s="148" t="s">
        <v>823</v>
      </c>
      <c r="Q96" s="148" t="s">
        <v>824</v>
      </c>
      <c r="R96" s="148">
        <v>8.1173921088683905</v>
      </c>
      <c r="S96" s="148">
        <f>'Cálculo PU'!U151</f>
        <v>3.9748727567126187</v>
      </c>
      <c r="T96" s="168">
        <f t="shared" si="18"/>
        <v>4.1425193521557713</v>
      </c>
      <c r="V96" s="147">
        <v>6658</v>
      </c>
      <c r="W96" s="156">
        <v>43374</v>
      </c>
      <c r="X96" s="156">
        <v>46211</v>
      </c>
      <c r="Y96" s="148" t="s">
        <v>822</v>
      </c>
      <c r="Z96" s="148" t="s">
        <v>823</v>
      </c>
      <c r="AA96" s="148" t="s">
        <v>830</v>
      </c>
      <c r="AB96" s="148">
        <v>19.413273005630199</v>
      </c>
      <c r="AC96" s="148">
        <f>'Cálculo PU'!T151</f>
        <v>19.464406988794536</v>
      </c>
      <c r="AD96" s="168">
        <f t="shared" si="19"/>
        <v>-5.1133983164337593E-2</v>
      </c>
      <c r="AF96" s="147">
        <v>6670</v>
      </c>
      <c r="AG96" s="156">
        <v>43374</v>
      </c>
      <c r="AH96" s="156">
        <v>46211</v>
      </c>
      <c r="AI96" s="148" t="s">
        <v>822</v>
      </c>
      <c r="AJ96" s="148" t="s">
        <v>823</v>
      </c>
      <c r="AK96" s="148" t="s">
        <v>942</v>
      </c>
      <c r="AL96" s="148">
        <v>11.89540105</v>
      </c>
      <c r="AM96" s="148">
        <f>'Cálculo PU'!Q151</f>
        <v>16.327300000000001</v>
      </c>
      <c r="AN96" s="168">
        <f t="shared" si="20"/>
        <v>-4.4318989500000008</v>
      </c>
      <c r="AP96" s="147">
        <v>6671</v>
      </c>
      <c r="AQ96" s="156">
        <v>43374</v>
      </c>
      <c r="AR96" s="156">
        <v>46211</v>
      </c>
      <c r="AS96" s="148" t="s">
        <v>822</v>
      </c>
      <c r="AT96" s="148" t="s">
        <v>823</v>
      </c>
      <c r="AU96" s="148" t="s">
        <v>943</v>
      </c>
      <c r="AV96" s="148">
        <v>1955</v>
      </c>
      <c r="AW96" s="152">
        <f>'Cálculo PU'!L151</f>
        <v>2647</v>
      </c>
      <c r="AX96" s="168">
        <f t="shared" si="21"/>
        <v>-692</v>
      </c>
      <c r="AZ96" s="147">
        <v>6660</v>
      </c>
      <c r="BA96" s="156">
        <v>43374</v>
      </c>
      <c r="BB96" s="156">
        <v>46211</v>
      </c>
      <c r="BC96" s="148" t="s">
        <v>822</v>
      </c>
      <c r="BD96" s="148" t="s">
        <v>823</v>
      </c>
      <c r="BE96" s="148" t="s">
        <v>945</v>
      </c>
      <c r="BF96" s="148">
        <v>1.0020598362699999</v>
      </c>
      <c r="BG96" s="148">
        <f>'Cálculo PU'!N151</f>
        <v>1.0020598362698427</v>
      </c>
      <c r="BH96" s="168">
        <f t="shared" si="22"/>
        <v>1.5720758028692217E-13</v>
      </c>
      <c r="BJ96" s="147">
        <v>6685</v>
      </c>
      <c r="BK96" s="156">
        <v>43374</v>
      </c>
      <c r="BL96" s="156">
        <v>46211</v>
      </c>
      <c r="BM96" s="148" t="s">
        <v>822</v>
      </c>
      <c r="BN96" s="148" t="s">
        <v>823</v>
      </c>
      <c r="BO96" s="148" t="s">
        <v>827</v>
      </c>
      <c r="BP96" s="148">
        <v>1.2111669937680001</v>
      </c>
      <c r="BQ96" s="148">
        <f>'Cálculo PU'!O151</f>
        <v>1.2961500278227847</v>
      </c>
      <c r="BR96" s="168">
        <f t="shared" si="23"/>
        <v>-8.4983034054784579E-2</v>
      </c>
      <c r="BT96" s="147">
        <v>6659</v>
      </c>
      <c r="BU96" s="156">
        <v>43374</v>
      </c>
      <c r="BV96" s="156">
        <v>46211</v>
      </c>
      <c r="BW96" s="148" t="s">
        <v>822</v>
      </c>
      <c r="BX96" s="148" t="s">
        <v>823</v>
      </c>
      <c r="BY96" s="148" t="s">
        <v>946</v>
      </c>
      <c r="BZ96" s="148">
        <v>1.0103151100000001</v>
      </c>
      <c r="CA96" s="148">
        <f>'Cálculo PU'!S151</f>
        <v>1.0129762499999999</v>
      </c>
      <c r="CB96" s="168">
        <f t="shared" si="24"/>
        <v>-2.6611399999998397E-3</v>
      </c>
      <c r="CD96">
        <v>6559</v>
      </c>
      <c r="CE96" s="215">
        <v>46182</v>
      </c>
      <c r="CF96" s="215">
        <v>46211</v>
      </c>
      <c r="CG96" t="s">
        <v>822</v>
      </c>
      <c r="CH96" t="s">
        <v>823</v>
      </c>
      <c r="CI96" t="s">
        <v>1713</v>
      </c>
      <c r="CJ96">
        <v>1.0020598362698401</v>
      </c>
      <c r="CK96">
        <f t="shared" si="26"/>
        <v>1.0020598362698427</v>
      </c>
      <c r="CL96" s="246">
        <f t="shared" si="27"/>
        <v>46182</v>
      </c>
      <c r="CM96" s="246">
        <f>'Cálculo PU'!G150</f>
        <v>46182</v>
      </c>
      <c r="CN96" s="215">
        <f t="shared" si="28"/>
        <v>46211</v>
      </c>
      <c r="CO96" s="215">
        <f>'Cálculo PU'!G151</f>
        <v>46211</v>
      </c>
      <c r="CQ96">
        <v>5011</v>
      </c>
      <c r="CR96" s="215">
        <v>44750</v>
      </c>
      <c r="CS96" s="215">
        <v>44781</v>
      </c>
      <c r="CT96" t="s">
        <v>822</v>
      </c>
      <c r="CU96" t="s">
        <v>823</v>
      </c>
      <c r="CV96" t="s">
        <v>1714</v>
      </c>
      <c r="CW96">
        <v>2.5</v>
      </c>
    </row>
    <row r="97" spans="2:101">
      <c r="B97" s="147">
        <v>6725</v>
      </c>
      <c r="C97" s="156">
        <v>43374</v>
      </c>
      <c r="D97" s="156">
        <v>46244</v>
      </c>
      <c r="E97" s="148" t="s">
        <v>822</v>
      </c>
      <c r="F97" s="148" t="s">
        <v>823</v>
      </c>
      <c r="G97" s="148" t="s">
        <v>825</v>
      </c>
      <c r="H97" s="148">
        <v>6.8334587903731503</v>
      </c>
      <c r="I97" s="148">
        <f>'Cálculo PU'!V152</f>
        <v>3.1192335339879893</v>
      </c>
      <c r="J97" s="168">
        <f t="shared" si="25"/>
        <v>3.714225256385161</v>
      </c>
      <c r="L97" s="147">
        <v>6711</v>
      </c>
      <c r="M97" s="156">
        <v>43374</v>
      </c>
      <c r="N97" s="156">
        <v>46244</v>
      </c>
      <c r="O97" s="148" t="s">
        <v>822</v>
      </c>
      <c r="P97" s="148" t="s">
        <v>823</v>
      </c>
      <c r="Q97" s="148" t="s">
        <v>824</v>
      </c>
      <c r="R97" s="148">
        <v>8.2951353694339396</v>
      </c>
      <c r="S97" s="148">
        <f>'Cálculo PU'!U152</f>
        <v>4.0521175505055451</v>
      </c>
      <c r="T97" s="168">
        <f t="shared" si="18"/>
        <v>4.2430178189283945</v>
      </c>
      <c r="V97" s="147">
        <v>6697</v>
      </c>
      <c r="W97" s="156">
        <v>43374</v>
      </c>
      <c r="X97" s="156">
        <v>46244</v>
      </c>
      <c r="Y97" s="148" t="s">
        <v>822</v>
      </c>
      <c r="Z97" s="148" t="s">
        <v>823</v>
      </c>
      <c r="AA97" s="148" t="s">
        <v>830</v>
      </c>
      <c r="AB97" s="148">
        <v>20.058470439651799</v>
      </c>
      <c r="AC97" s="148">
        <f>'Cálculo PU'!T152</f>
        <v>20.120475819277836</v>
      </c>
      <c r="AD97" s="168">
        <f t="shared" si="19"/>
        <v>-6.2005379626036472E-2</v>
      </c>
      <c r="AF97" s="147">
        <v>6709</v>
      </c>
      <c r="AG97" s="156">
        <v>43374</v>
      </c>
      <c r="AH97" s="156">
        <v>46244</v>
      </c>
      <c r="AI97" s="148" t="s">
        <v>822</v>
      </c>
      <c r="AJ97" s="148" t="s">
        <v>823</v>
      </c>
      <c r="AK97" s="148" t="s">
        <v>942</v>
      </c>
      <c r="AL97" s="148">
        <v>11.90646398</v>
      </c>
      <c r="AM97" s="148">
        <f>'Cálculo PU'!Q152</f>
        <v>16.328399999999998</v>
      </c>
      <c r="AN97" s="168">
        <f t="shared" si="20"/>
        <v>-4.4219360199999986</v>
      </c>
      <c r="AP97" s="147">
        <v>6710</v>
      </c>
      <c r="AQ97" s="156">
        <v>43374</v>
      </c>
      <c r="AR97" s="156">
        <v>46244</v>
      </c>
      <c r="AS97" s="148" t="s">
        <v>822</v>
      </c>
      <c r="AT97" s="148" t="s">
        <v>823</v>
      </c>
      <c r="AU97" s="148" t="s">
        <v>943</v>
      </c>
      <c r="AV97" s="148">
        <v>1978</v>
      </c>
      <c r="AW97" s="152">
        <f>'Cálculo PU'!L152</f>
        <v>2670</v>
      </c>
      <c r="AX97" s="168">
        <f t="shared" si="21"/>
        <v>-692</v>
      </c>
      <c r="AZ97" s="147">
        <v>6699</v>
      </c>
      <c r="BA97" s="156">
        <v>43374</v>
      </c>
      <c r="BB97" s="156">
        <v>46244</v>
      </c>
      <c r="BC97" s="148" t="s">
        <v>822</v>
      </c>
      <c r="BD97" s="148" t="s">
        <v>823</v>
      </c>
      <c r="BE97" s="148" t="s">
        <v>945</v>
      </c>
      <c r="BF97" s="148">
        <v>1.0022562323019999</v>
      </c>
      <c r="BG97" s="148">
        <f>'Cálculo PU'!N152</f>
        <v>1.0022562323017139</v>
      </c>
      <c r="BH97" s="168">
        <f t="shared" si="22"/>
        <v>2.8599345114344032E-13</v>
      </c>
      <c r="BJ97" s="147">
        <v>6724</v>
      </c>
      <c r="BK97" s="156">
        <v>43374</v>
      </c>
      <c r="BL97" s="156">
        <v>46244</v>
      </c>
      <c r="BM97" s="148" t="s">
        <v>822</v>
      </c>
      <c r="BN97" s="148" t="s">
        <v>823</v>
      </c>
      <c r="BO97" s="148" t="s">
        <v>827</v>
      </c>
      <c r="BP97" s="148">
        <v>1.213899962508</v>
      </c>
      <c r="BQ97" s="148">
        <f>'Cálculo PU'!O152</f>
        <v>1.2990747587035745</v>
      </c>
      <c r="BR97" s="168">
        <f t="shared" si="23"/>
        <v>-8.5174796195574443E-2</v>
      </c>
      <c r="BT97" s="147">
        <v>6698</v>
      </c>
      <c r="BU97" s="156">
        <v>43374</v>
      </c>
      <c r="BV97" s="156">
        <v>46244</v>
      </c>
      <c r="BW97" s="148" t="s">
        <v>822</v>
      </c>
      <c r="BX97" s="148" t="s">
        <v>823</v>
      </c>
      <c r="BY97" s="148" t="s">
        <v>946</v>
      </c>
      <c r="BZ97" s="148">
        <v>1.01109531</v>
      </c>
      <c r="CA97" s="148">
        <f>'Cálculo PU'!S152</f>
        <v>1.0142208399999999</v>
      </c>
      <c r="CB97" s="168">
        <f t="shared" si="24"/>
        <v>-3.125529999999932E-3</v>
      </c>
      <c r="CD97">
        <v>6597</v>
      </c>
      <c r="CE97" s="215">
        <v>46211</v>
      </c>
      <c r="CF97" s="215">
        <v>46244</v>
      </c>
      <c r="CG97" t="s">
        <v>822</v>
      </c>
      <c r="CH97" t="s">
        <v>823</v>
      </c>
      <c r="CI97" t="s">
        <v>1713</v>
      </c>
      <c r="CJ97">
        <v>1.0022562323017099</v>
      </c>
      <c r="CK97">
        <f t="shared" si="26"/>
        <v>1.0022562323017139</v>
      </c>
      <c r="CL97" s="246">
        <f t="shared" si="27"/>
        <v>46211</v>
      </c>
      <c r="CM97" s="246">
        <f>'Cálculo PU'!G151</f>
        <v>46211</v>
      </c>
      <c r="CN97" s="215">
        <f t="shared" si="28"/>
        <v>46244</v>
      </c>
      <c r="CO97" s="215">
        <f>'Cálculo PU'!G152</f>
        <v>46244</v>
      </c>
      <c r="CQ97">
        <v>5049</v>
      </c>
      <c r="CR97" s="215">
        <v>44781</v>
      </c>
      <c r="CS97" s="215">
        <v>44813</v>
      </c>
      <c r="CT97" t="s">
        <v>822</v>
      </c>
      <c r="CU97" t="s">
        <v>823</v>
      </c>
      <c r="CV97" t="s">
        <v>1714</v>
      </c>
      <c r="CW97">
        <v>2.5</v>
      </c>
    </row>
    <row r="98" spans="2:101">
      <c r="B98" s="147">
        <v>6764</v>
      </c>
      <c r="C98" s="156">
        <v>43374</v>
      </c>
      <c r="D98" s="156">
        <v>46274</v>
      </c>
      <c r="E98" s="148" t="s">
        <v>822</v>
      </c>
      <c r="F98" s="148" t="s">
        <v>823</v>
      </c>
      <c r="G98" s="148" t="s">
        <v>825</v>
      </c>
      <c r="H98" s="148">
        <v>5.7879038300057202</v>
      </c>
      <c r="I98" s="148">
        <f>'Cálculo PU'!V153</f>
        <v>2.6343759757431995</v>
      </c>
      <c r="J98" s="168">
        <f t="shared" si="25"/>
        <v>3.1535278542625207</v>
      </c>
      <c r="L98" s="147">
        <v>6750</v>
      </c>
      <c r="M98" s="156">
        <v>43374</v>
      </c>
      <c r="N98" s="156">
        <v>46274</v>
      </c>
      <c r="O98" s="148" t="s">
        <v>822</v>
      </c>
      <c r="P98" s="148" t="s">
        <v>823</v>
      </c>
      <c r="Q98" s="148" t="s">
        <v>824</v>
      </c>
      <c r="R98" s="148">
        <v>7.0404100808440901</v>
      </c>
      <c r="S98" s="148">
        <f>'Cálculo PU'!U153</f>
        <v>3.4293013724494186</v>
      </c>
      <c r="T98" s="168">
        <f t="shared" si="18"/>
        <v>3.6111087083946716</v>
      </c>
      <c r="V98" s="147">
        <v>6736</v>
      </c>
      <c r="W98" s="156">
        <v>43374</v>
      </c>
      <c r="X98" s="156">
        <v>46274</v>
      </c>
      <c r="Y98" s="148" t="s">
        <v>822</v>
      </c>
      <c r="Z98" s="148" t="s">
        <v>823</v>
      </c>
      <c r="AA98" s="148" t="s">
        <v>830</v>
      </c>
      <c r="AB98" s="148">
        <v>17.196801767917201</v>
      </c>
      <c r="AC98" s="148">
        <f>'Cálculo PU'!T153</f>
        <v>17.245331915326918</v>
      </c>
      <c r="AD98" s="168">
        <f t="shared" si="19"/>
        <v>-4.8530147409717728E-2</v>
      </c>
      <c r="AF98" s="147">
        <v>6748</v>
      </c>
      <c r="AG98" s="156">
        <v>43374</v>
      </c>
      <c r="AH98" s="156">
        <v>46274</v>
      </c>
      <c r="AI98" s="148" t="s">
        <v>822</v>
      </c>
      <c r="AJ98" s="148" t="s">
        <v>823</v>
      </c>
      <c r="AK98" s="148" t="s">
        <v>942</v>
      </c>
      <c r="AL98" s="148">
        <v>11.916343510000001</v>
      </c>
      <c r="AM98" s="148">
        <f>'Cálculo PU'!Q153</f>
        <v>16.3293</v>
      </c>
      <c r="AN98" s="168">
        <f t="shared" si="20"/>
        <v>-4.4129564899999991</v>
      </c>
      <c r="AP98" s="147">
        <v>6749</v>
      </c>
      <c r="AQ98" s="156">
        <v>43374</v>
      </c>
      <c r="AR98" s="156">
        <v>46274</v>
      </c>
      <c r="AS98" s="148" t="s">
        <v>822</v>
      </c>
      <c r="AT98" s="148" t="s">
        <v>823</v>
      </c>
      <c r="AU98" s="148" t="s">
        <v>943</v>
      </c>
      <c r="AV98" s="148">
        <v>1999</v>
      </c>
      <c r="AW98" s="152">
        <f>'Cálculo PU'!L153</f>
        <v>2691</v>
      </c>
      <c r="AX98" s="168">
        <f t="shared" si="21"/>
        <v>-692</v>
      </c>
      <c r="AZ98" s="147">
        <v>6738</v>
      </c>
      <c r="BA98" s="156">
        <v>43374</v>
      </c>
      <c r="BB98" s="156">
        <v>46274</v>
      </c>
      <c r="BC98" s="148" t="s">
        <v>822</v>
      </c>
      <c r="BD98" s="148" t="s">
        <v>823</v>
      </c>
      <c r="BE98" s="148" t="s">
        <v>945</v>
      </c>
      <c r="BF98" s="148">
        <v>1.0020598362699999</v>
      </c>
      <c r="BG98" s="148">
        <f>'Cálculo PU'!N153</f>
        <v>1.0020598362698427</v>
      </c>
      <c r="BH98" s="168">
        <f t="shared" si="22"/>
        <v>1.5720758028692217E-13</v>
      </c>
      <c r="BJ98" s="147">
        <v>6763</v>
      </c>
      <c r="BK98" s="156">
        <v>43374</v>
      </c>
      <c r="BL98" s="156">
        <v>46274</v>
      </c>
      <c r="BM98" s="148" t="s">
        <v>822</v>
      </c>
      <c r="BN98" s="148" t="s">
        <v>823</v>
      </c>
      <c r="BO98" s="148" t="s">
        <v>827</v>
      </c>
      <c r="BP98" s="148">
        <v>1.2164006672579999</v>
      </c>
      <c r="BQ98" s="148">
        <f>'Cálculo PU'!O153</f>
        <v>1.3017509285028908</v>
      </c>
      <c r="BR98" s="168">
        <f t="shared" si="23"/>
        <v>-8.5350261244890868E-2</v>
      </c>
      <c r="BT98" s="147">
        <v>6737</v>
      </c>
      <c r="BU98" s="156">
        <v>43374</v>
      </c>
      <c r="BV98" s="156">
        <v>46274</v>
      </c>
      <c r="BW98" s="148" t="s">
        <v>822</v>
      </c>
      <c r="BX98" s="148" t="s">
        <v>823</v>
      </c>
      <c r="BY98" s="148" t="s">
        <v>946</v>
      </c>
      <c r="BZ98" s="148">
        <v>1.0101256300000001</v>
      </c>
      <c r="CA98" s="148">
        <f>'Cálculo PU'!S153</f>
        <v>1.0129762499999999</v>
      </c>
      <c r="CB98" s="168">
        <f t="shared" si="24"/>
        <v>-2.8506199999998039E-3</v>
      </c>
      <c r="CD98">
        <v>6635</v>
      </c>
      <c r="CE98" s="215">
        <v>46244</v>
      </c>
      <c r="CF98" s="215">
        <v>46274</v>
      </c>
      <c r="CG98" t="s">
        <v>822</v>
      </c>
      <c r="CH98" t="s">
        <v>823</v>
      </c>
      <c r="CI98" t="s">
        <v>1713</v>
      </c>
      <c r="CJ98">
        <v>1.0020598362698401</v>
      </c>
      <c r="CK98">
        <f t="shared" si="26"/>
        <v>1.0020598362698427</v>
      </c>
      <c r="CL98" s="246">
        <f t="shared" si="27"/>
        <v>46244</v>
      </c>
      <c r="CM98" s="246">
        <f>'Cálculo PU'!G152</f>
        <v>46244</v>
      </c>
      <c r="CN98" s="215">
        <f t="shared" si="28"/>
        <v>46274</v>
      </c>
      <c r="CO98" s="215">
        <f>'Cálculo PU'!G153</f>
        <v>46274</v>
      </c>
      <c r="CQ98">
        <v>5051</v>
      </c>
      <c r="CR98" s="215">
        <v>44781</v>
      </c>
      <c r="CS98" s="215">
        <v>44813</v>
      </c>
      <c r="CT98" t="s">
        <v>822</v>
      </c>
      <c r="CU98" t="s">
        <v>823</v>
      </c>
      <c r="CV98" t="s">
        <v>1714</v>
      </c>
      <c r="CW98">
        <v>2.5</v>
      </c>
    </row>
    <row r="99" spans="2:101">
      <c r="B99" s="147">
        <v>6803</v>
      </c>
      <c r="C99" s="156">
        <v>43374</v>
      </c>
      <c r="D99" s="156">
        <v>46304</v>
      </c>
      <c r="E99" s="148" t="s">
        <v>822</v>
      </c>
      <c r="F99" s="148" t="s">
        <v>823</v>
      </c>
      <c r="G99" s="148" t="s">
        <v>825</v>
      </c>
      <c r="H99" s="148">
        <v>5.6136324967126701</v>
      </c>
      <c r="I99" s="148">
        <f>'Cálculo PU'!V154</f>
        <v>2.4327369822277105</v>
      </c>
      <c r="J99" s="168">
        <f t="shared" si="25"/>
        <v>3.1808955144849596</v>
      </c>
      <c r="L99" s="147">
        <v>6789</v>
      </c>
      <c r="M99" s="156">
        <v>43374</v>
      </c>
      <c r="N99" s="156">
        <v>46304</v>
      </c>
      <c r="O99" s="148" t="s">
        <v>822</v>
      </c>
      <c r="P99" s="148" t="s">
        <v>823</v>
      </c>
      <c r="Q99" s="148" t="s">
        <v>824</v>
      </c>
      <c r="R99" s="148">
        <v>6.8424932713640896</v>
      </c>
      <c r="S99" s="148">
        <f>'Cálculo PU'!U154</f>
        <v>3.1733414544991381</v>
      </c>
      <c r="T99" s="168">
        <f t="shared" ref="T99:T113" si="29">R99-S99</f>
        <v>3.6691518168649515</v>
      </c>
      <c r="V99" s="147">
        <v>6775</v>
      </c>
      <c r="W99" s="156">
        <v>43374</v>
      </c>
      <c r="X99" s="156">
        <v>46304</v>
      </c>
      <c r="Y99" s="148" t="s">
        <v>822</v>
      </c>
      <c r="Z99" s="148" t="s">
        <v>823</v>
      </c>
      <c r="AA99" s="148" t="s">
        <v>830</v>
      </c>
      <c r="AB99" s="148">
        <v>16.8826066493959</v>
      </c>
      <c r="AC99" s="148">
        <f>'Cálculo PU'!T154</f>
        <v>16.162069861312812</v>
      </c>
      <c r="AD99" s="168">
        <f t="shared" ref="AD99:AD113" si="30">AB99-AC99</f>
        <v>0.72053678808308774</v>
      </c>
      <c r="AF99" s="147">
        <v>6787</v>
      </c>
      <c r="AG99" s="156">
        <v>43374</v>
      </c>
      <c r="AH99" s="156">
        <v>46304</v>
      </c>
      <c r="AI99" s="148" t="s">
        <v>822</v>
      </c>
      <c r="AJ99" s="148" t="s">
        <v>823</v>
      </c>
      <c r="AK99" s="148" t="s">
        <v>942</v>
      </c>
      <c r="AL99" s="148">
        <v>11.926018470000001</v>
      </c>
      <c r="AM99" s="148">
        <f>'Cálculo PU'!Q154</f>
        <v>16.330300000000001</v>
      </c>
      <c r="AN99" s="168">
        <f t="shared" ref="AN99:AN113" si="31">AL99-AM99</f>
        <v>-4.4042815300000004</v>
      </c>
      <c r="AP99" s="147">
        <v>6788</v>
      </c>
      <c r="AQ99" s="156">
        <v>43374</v>
      </c>
      <c r="AR99" s="156">
        <v>46304</v>
      </c>
      <c r="AS99" s="148" t="s">
        <v>822</v>
      </c>
      <c r="AT99" s="148" t="s">
        <v>823</v>
      </c>
      <c r="AU99" s="148" t="s">
        <v>943</v>
      </c>
      <c r="AV99" s="148">
        <v>2020</v>
      </c>
      <c r="AW99" s="152">
        <f>'Cálculo PU'!L154</f>
        <v>2712</v>
      </c>
      <c r="AX99" s="168">
        <f t="shared" ref="AX99:AX113" si="32">AV99-AW99</f>
        <v>-692</v>
      </c>
      <c r="AZ99" s="147">
        <v>6777</v>
      </c>
      <c r="BA99" s="156">
        <v>43374</v>
      </c>
      <c r="BB99" s="156">
        <v>46304</v>
      </c>
      <c r="BC99" s="148" t="s">
        <v>822</v>
      </c>
      <c r="BD99" s="148" t="s">
        <v>823</v>
      </c>
      <c r="BE99" s="148" t="s">
        <v>945</v>
      </c>
      <c r="BF99" s="148">
        <v>1.0021580294750001</v>
      </c>
      <c r="BG99" s="148">
        <f>'Cálculo PU'!N154</f>
        <v>1.0020598362698427</v>
      </c>
      <c r="BH99" s="168">
        <f t="shared" ref="BH99:BH113" si="33">BF99-BG99</f>
        <v>9.8193205157359742E-5</v>
      </c>
      <c r="BJ99" s="147">
        <v>6802</v>
      </c>
      <c r="BK99" s="156">
        <v>43374</v>
      </c>
      <c r="BL99" s="156">
        <v>46304</v>
      </c>
      <c r="BM99" s="148" t="s">
        <v>822</v>
      </c>
      <c r="BN99" s="148" t="s">
        <v>823</v>
      </c>
      <c r="BO99" s="148" t="s">
        <v>827</v>
      </c>
      <c r="BP99" s="148">
        <v>1.2189065236050001</v>
      </c>
      <c r="BQ99" s="148">
        <f>'Cálculo PU'!O154</f>
        <v>1.3044326113681388</v>
      </c>
      <c r="BR99" s="168">
        <f t="shared" ref="BR99:BR113" si="34">BP99-BQ99</f>
        <v>-8.5526087763138747E-2</v>
      </c>
      <c r="BT99" s="147">
        <v>6776</v>
      </c>
      <c r="BU99" s="156">
        <v>43374</v>
      </c>
      <c r="BV99" s="156">
        <v>46304</v>
      </c>
      <c r="BW99" s="148" t="s">
        <v>822</v>
      </c>
      <c r="BX99" s="148" t="s">
        <v>823</v>
      </c>
      <c r="BY99" s="148" t="s">
        <v>946</v>
      </c>
      <c r="BZ99" s="148">
        <v>1.01061036</v>
      </c>
      <c r="CA99" s="148">
        <f>'Cálculo PU'!S154</f>
        <v>1.0135983500000001</v>
      </c>
      <c r="CB99" s="168">
        <f t="shared" ref="CB99:CB113" si="35">BZ99-CA99</f>
        <v>-2.9879900000000514E-3</v>
      </c>
      <c r="CD99">
        <v>6673</v>
      </c>
      <c r="CE99" s="215">
        <v>46274</v>
      </c>
      <c r="CF99" s="215">
        <v>46304</v>
      </c>
      <c r="CG99" t="s">
        <v>822</v>
      </c>
      <c r="CH99" t="s">
        <v>823</v>
      </c>
      <c r="CI99" t="s">
        <v>1713</v>
      </c>
      <c r="CJ99">
        <v>1.0021580294747401</v>
      </c>
      <c r="CK99">
        <f t="shared" si="26"/>
        <v>1.0020598362698427</v>
      </c>
      <c r="CL99" s="246">
        <f t="shared" si="27"/>
        <v>46274</v>
      </c>
      <c r="CM99" s="246">
        <f>'Cálculo PU'!G153</f>
        <v>46274</v>
      </c>
      <c r="CN99" s="215">
        <f t="shared" si="28"/>
        <v>46304</v>
      </c>
      <c r="CO99" s="215">
        <f>'Cálculo PU'!G154</f>
        <v>46304</v>
      </c>
      <c r="CQ99">
        <v>5089</v>
      </c>
      <c r="CR99" s="215">
        <v>44813</v>
      </c>
      <c r="CS99" s="215">
        <v>44845</v>
      </c>
      <c r="CT99" t="s">
        <v>822</v>
      </c>
      <c r="CU99" t="s">
        <v>823</v>
      </c>
      <c r="CV99" t="s">
        <v>1714</v>
      </c>
      <c r="CW99">
        <v>2.5</v>
      </c>
    </row>
    <row r="100" spans="2:101">
      <c r="B100" s="147">
        <v>6842</v>
      </c>
      <c r="C100" s="156">
        <v>43374</v>
      </c>
      <c r="D100" s="156">
        <v>46336</v>
      </c>
      <c r="E100" s="148" t="s">
        <v>822</v>
      </c>
      <c r="F100" s="148" t="s">
        <v>823</v>
      </c>
      <c r="G100" s="148" t="s">
        <v>825</v>
      </c>
      <c r="H100" s="148">
        <v>4.6991359764144498</v>
      </c>
      <c r="I100" s="148">
        <f>'Cálculo PU'!V155</f>
        <v>2.2338419613436025</v>
      </c>
      <c r="J100" s="168">
        <f t="shared" si="25"/>
        <v>2.4652940150708473</v>
      </c>
      <c r="L100" s="147">
        <v>6828</v>
      </c>
      <c r="M100" s="156">
        <v>43374</v>
      </c>
      <c r="N100" s="156">
        <v>46336</v>
      </c>
      <c r="O100" s="148" t="s">
        <v>822</v>
      </c>
      <c r="P100" s="148" t="s">
        <v>823</v>
      </c>
      <c r="Q100" s="148" t="s">
        <v>824</v>
      </c>
      <c r="R100" s="148">
        <v>5.7396071146018697</v>
      </c>
      <c r="S100" s="148">
        <f>'Cálculo PU'!U155</f>
        <v>2.9198990994188545</v>
      </c>
      <c r="T100" s="168">
        <f t="shared" si="29"/>
        <v>2.8197080151830152</v>
      </c>
      <c r="V100" s="147">
        <v>6814</v>
      </c>
      <c r="W100" s="156">
        <v>43374</v>
      </c>
      <c r="X100" s="156">
        <v>46336</v>
      </c>
      <c r="Y100" s="148" t="s">
        <v>822</v>
      </c>
      <c r="Z100" s="148" t="s">
        <v>823</v>
      </c>
      <c r="AA100" s="148" t="s">
        <v>830</v>
      </c>
      <c r="AB100" s="148">
        <v>14.304829378849799</v>
      </c>
      <c r="AC100" s="148">
        <f>'Cálculo PU'!T155</f>
        <v>15.061175257066211</v>
      </c>
      <c r="AD100" s="168">
        <f t="shared" si="30"/>
        <v>-0.75634587821641119</v>
      </c>
      <c r="AF100" s="147">
        <v>6826</v>
      </c>
      <c r="AG100" s="156">
        <v>43374</v>
      </c>
      <c r="AH100" s="156">
        <v>46336</v>
      </c>
      <c r="AI100" s="148" t="s">
        <v>822</v>
      </c>
      <c r="AJ100" s="148" t="s">
        <v>823</v>
      </c>
      <c r="AK100" s="148" t="s">
        <v>942</v>
      </c>
      <c r="AL100" s="148">
        <v>11.935495149999999</v>
      </c>
      <c r="AM100" s="148">
        <f>'Cálculo PU'!Q155</f>
        <v>16.331199999999999</v>
      </c>
      <c r="AN100" s="168">
        <f t="shared" si="31"/>
        <v>-4.3957048499999996</v>
      </c>
      <c r="AP100" s="147">
        <v>6827</v>
      </c>
      <c r="AQ100" s="156">
        <v>43374</v>
      </c>
      <c r="AR100" s="156">
        <v>46336</v>
      </c>
      <c r="AS100" s="148" t="s">
        <v>822</v>
      </c>
      <c r="AT100" s="148" t="s">
        <v>823</v>
      </c>
      <c r="AU100" s="148" t="s">
        <v>943</v>
      </c>
      <c r="AV100" s="148">
        <v>2041</v>
      </c>
      <c r="AW100" s="152">
        <f>'Cálculo PU'!L155</f>
        <v>2733</v>
      </c>
      <c r="AX100" s="168">
        <f t="shared" si="32"/>
        <v>-692</v>
      </c>
      <c r="AZ100" s="147">
        <v>6816</v>
      </c>
      <c r="BA100" s="156">
        <v>43374</v>
      </c>
      <c r="BB100" s="156">
        <v>46336</v>
      </c>
      <c r="BC100" s="148" t="s">
        <v>822</v>
      </c>
      <c r="BD100" s="148" t="s">
        <v>823</v>
      </c>
      <c r="BE100" s="148" t="s">
        <v>945</v>
      </c>
      <c r="BF100" s="148">
        <v>1.001961652686</v>
      </c>
      <c r="BG100" s="148">
        <f>'Cálculo PU'!N155</f>
        <v>1.0020598362698427</v>
      </c>
      <c r="BH100" s="168">
        <f t="shared" si="33"/>
        <v>-9.8183583842725852E-5</v>
      </c>
      <c r="BJ100" s="147">
        <v>6841</v>
      </c>
      <c r="BK100" s="156">
        <v>43374</v>
      </c>
      <c r="BL100" s="156">
        <v>46336</v>
      </c>
      <c r="BM100" s="148" t="s">
        <v>822</v>
      </c>
      <c r="BN100" s="148" t="s">
        <v>823</v>
      </c>
      <c r="BO100" s="148" t="s">
        <v>827</v>
      </c>
      <c r="BP100" s="148">
        <v>1.221417542163</v>
      </c>
      <c r="BQ100" s="148">
        <f>'Cálculo PU'!O155</f>
        <v>1.3071198186565558</v>
      </c>
      <c r="BR100" s="168">
        <f t="shared" si="34"/>
        <v>-8.5702276493555773E-2</v>
      </c>
      <c r="BT100" s="147">
        <v>6815</v>
      </c>
      <c r="BU100" s="156">
        <v>43374</v>
      </c>
      <c r="BV100" s="156">
        <v>46336</v>
      </c>
      <c r="BW100" s="148" t="s">
        <v>822</v>
      </c>
      <c r="BX100" s="148" t="s">
        <v>823</v>
      </c>
      <c r="BY100" s="148" t="s">
        <v>946</v>
      </c>
      <c r="BZ100" s="148">
        <v>1.00964114</v>
      </c>
      <c r="CA100" s="148">
        <f>'Cálculo PU'!S155</f>
        <v>1.01235454</v>
      </c>
      <c r="CB100" s="168">
        <f t="shared" si="35"/>
        <v>-2.7133999999999769E-3</v>
      </c>
      <c r="CD100">
        <v>6711</v>
      </c>
      <c r="CE100" s="215">
        <v>46304</v>
      </c>
      <c r="CF100" s="215">
        <v>46336</v>
      </c>
      <c r="CG100" t="s">
        <v>822</v>
      </c>
      <c r="CH100" t="s">
        <v>823</v>
      </c>
      <c r="CI100" t="s">
        <v>1713</v>
      </c>
      <c r="CJ100">
        <v>1.0019616526860899</v>
      </c>
      <c r="CK100">
        <f t="shared" si="26"/>
        <v>1.0020598362698427</v>
      </c>
      <c r="CL100" s="246">
        <f t="shared" si="27"/>
        <v>46304</v>
      </c>
      <c r="CM100" s="246">
        <f>'Cálculo PU'!G154</f>
        <v>46304</v>
      </c>
      <c r="CN100" s="215">
        <f t="shared" si="28"/>
        <v>46336</v>
      </c>
      <c r="CO100" s="215">
        <f>'Cálculo PU'!G155</f>
        <v>46336</v>
      </c>
      <c r="CQ100">
        <v>5091</v>
      </c>
      <c r="CR100" s="215">
        <v>44813</v>
      </c>
      <c r="CS100" s="215">
        <v>44845</v>
      </c>
      <c r="CT100" t="s">
        <v>822</v>
      </c>
      <c r="CU100" t="s">
        <v>823</v>
      </c>
      <c r="CV100" t="s">
        <v>1714</v>
      </c>
      <c r="CW100">
        <v>2.5</v>
      </c>
    </row>
    <row r="101" spans="2:101">
      <c r="B101" s="147">
        <v>6881</v>
      </c>
      <c r="C101" s="156">
        <v>43374</v>
      </c>
      <c r="D101" s="156">
        <v>46364</v>
      </c>
      <c r="E101" s="148" t="s">
        <v>822</v>
      </c>
      <c r="F101" s="148" t="s">
        <v>823</v>
      </c>
      <c r="G101" s="148" t="s">
        <v>825</v>
      </c>
      <c r="H101" s="148">
        <v>4.3152146385699197</v>
      </c>
      <c r="I101" s="148">
        <f>'Cálculo PU'!V156</f>
        <v>1.9487076090339763</v>
      </c>
      <c r="J101" s="168">
        <f t="shared" si="25"/>
        <v>2.3665070295359434</v>
      </c>
      <c r="L101" s="147">
        <v>6867</v>
      </c>
      <c r="M101" s="156">
        <v>43374</v>
      </c>
      <c r="N101" s="156">
        <v>46364</v>
      </c>
      <c r="O101" s="148" t="s">
        <v>822</v>
      </c>
      <c r="P101" s="148" t="s">
        <v>823</v>
      </c>
      <c r="Q101" s="148" t="s">
        <v>824</v>
      </c>
      <c r="R101" s="148">
        <v>5.2810192137350098</v>
      </c>
      <c r="S101" s="148">
        <f>'Cálculo PU'!U156</f>
        <v>2.552191585830093</v>
      </c>
      <c r="T101" s="168">
        <f t="shared" si="29"/>
        <v>2.7288276279049168</v>
      </c>
      <c r="V101" s="147">
        <v>6853</v>
      </c>
      <c r="W101" s="156">
        <v>43374</v>
      </c>
      <c r="X101" s="156">
        <v>46364</v>
      </c>
      <c r="Y101" s="148" t="s">
        <v>822</v>
      </c>
      <c r="Z101" s="148" t="s">
        <v>823</v>
      </c>
      <c r="AA101" s="148" t="s">
        <v>830</v>
      </c>
      <c r="AB101" s="148">
        <v>13.28878595938</v>
      </c>
      <c r="AC101" s="148">
        <f>'Cálculo PU'!T156</f>
        <v>13.32449943323738</v>
      </c>
      <c r="AD101" s="168">
        <f t="shared" si="30"/>
        <v>-3.5713473857379441E-2</v>
      </c>
      <c r="AF101" s="147">
        <v>6865</v>
      </c>
      <c r="AG101" s="156">
        <v>43374</v>
      </c>
      <c r="AH101" s="156">
        <v>46364</v>
      </c>
      <c r="AI101" s="148" t="s">
        <v>822</v>
      </c>
      <c r="AJ101" s="148" t="s">
        <v>823</v>
      </c>
      <c r="AK101" s="148" t="s">
        <v>942</v>
      </c>
      <c r="AL101" s="148">
        <v>11.94434174</v>
      </c>
      <c r="AM101" s="148">
        <f>'Cálculo PU'!Q156</f>
        <v>16.332000000000001</v>
      </c>
      <c r="AN101" s="168">
        <f t="shared" si="31"/>
        <v>-4.3876582600000003</v>
      </c>
      <c r="AP101" s="147">
        <v>6866</v>
      </c>
      <c r="AQ101" s="156">
        <v>43374</v>
      </c>
      <c r="AR101" s="156">
        <v>46364</v>
      </c>
      <c r="AS101" s="148" t="s">
        <v>822</v>
      </c>
      <c r="AT101" s="148" t="s">
        <v>823</v>
      </c>
      <c r="AU101" s="148" t="s">
        <v>943</v>
      </c>
      <c r="AV101" s="148">
        <v>2061</v>
      </c>
      <c r="AW101" s="152">
        <f>'Cálculo PU'!L156</f>
        <v>2753</v>
      </c>
      <c r="AX101" s="168">
        <f t="shared" si="32"/>
        <v>-692</v>
      </c>
      <c r="AZ101" s="147">
        <v>6855</v>
      </c>
      <c r="BA101" s="156">
        <v>43374</v>
      </c>
      <c r="BB101" s="156">
        <v>46364</v>
      </c>
      <c r="BC101" s="148" t="s">
        <v>822</v>
      </c>
      <c r="BD101" s="148" t="s">
        <v>823</v>
      </c>
      <c r="BE101" s="148" t="s">
        <v>945</v>
      </c>
      <c r="BF101" s="148">
        <v>1.001961652686</v>
      </c>
      <c r="BG101" s="148">
        <f>'Cálculo PU'!N156</f>
        <v>1.0019616526860928</v>
      </c>
      <c r="BH101" s="168">
        <f t="shared" si="33"/>
        <v>-9.2814644858663087E-14</v>
      </c>
      <c r="BJ101" s="147">
        <v>6880</v>
      </c>
      <c r="BK101" s="156">
        <v>43374</v>
      </c>
      <c r="BL101" s="156">
        <v>46364</v>
      </c>
      <c r="BM101" s="148" t="s">
        <v>822</v>
      </c>
      <c r="BN101" s="148" t="s">
        <v>823</v>
      </c>
      <c r="BO101" s="148" t="s">
        <v>827</v>
      </c>
      <c r="BP101" s="148">
        <v>1.223813797472</v>
      </c>
      <c r="BQ101" s="148">
        <f>'Cálculo PU'!O156</f>
        <v>1.3096842101906088</v>
      </c>
      <c r="BR101" s="168">
        <f t="shared" si="34"/>
        <v>-8.5870412718608735E-2</v>
      </c>
      <c r="BT101" s="147">
        <v>6854</v>
      </c>
      <c r="BU101" s="156">
        <v>43374</v>
      </c>
      <c r="BV101" s="156">
        <v>46364</v>
      </c>
      <c r="BW101" s="148" t="s">
        <v>822</v>
      </c>
      <c r="BX101" s="148" t="s">
        <v>823</v>
      </c>
      <c r="BY101" s="148" t="s">
        <v>946</v>
      </c>
      <c r="BZ101" s="148">
        <v>1.00964114</v>
      </c>
      <c r="CA101" s="148">
        <f>'Cálculo PU'!S156</f>
        <v>1.01235454</v>
      </c>
      <c r="CB101" s="168">
        <f t="shared" si="35"/>
        <v>-2.7133999999999769E-3</v>
      </c>
      <c r="CD101">
        <v>6749</v>
      </c>
      <c r="CE101" s="215">
        <v>46336</v>
      </c>
      <c r="CF101" s="215">
        <v>46364</v>
      </c>
      <c r="CG101" t="s">
        <v>822</v>
      </c>
      <c r="CH101" t="s">
        <v>823</v>
      </c>
      <c r="CI101" t="s">
        <v>1713</v>
      </c>
      <c r="CJ101">
        <v>1.0019616526860899</v>
      </c>
      <c r="CK101">
        <f t="shared" si="26"/>
        <v>1.0019616526860928</v>
      </c>
      <c r="CL101" s="246">
        <f t="shared" si="27"/>
        <v>46336</v>
      </c>
      <c r="CM101" s="246">
        <f>'Cálculo PU'!G155</f>
        <v>46336</v>
      </c>
      <c r="CN101" s="215">
        <f t="shared" si="28"/>
        <v>46364</v>
      </c>
      <c r="CO101" s="215">
        <f>'Cálculo PU'!G156</f>
        <v>46364</v>
      </c>
      <c r="CQ101">
        <v>5129</v>
      </c>
      <c r="CR101" s="215">
        <v>44845</v>
      </c>
      <c r="CS101" s="215">
        <v>44875</v>
      </c>
      <c r="CT101" t="s">
        <v>822</v>
      </c>
      <c r="CU101" t="s">
        <v>823</v>
      </c>
      <c r="CV101" t="s">
        <v>1714</v>
      </c>
      <c r="CW101">
        <v>2.5</v>
      </c>
    </row>
    <row r="102" spans="2:101">
      <c r="B102" s="147">
        <v>6920</v>
      </c>
      <c r="C102" s="156">
        <v>43374</v>
      </c>
      <c r="D102" s="156">
        <v>46398</v>
      </c>
      <c r="E102" s="148" t="s">
        <v>822</v>
      </c>
      <c r="F102" s="148" t="s">
        <v>823</v>
      </c>
      <c r="G102" s="148" t="s">
        <v>825</v>
      </c>
      <c r="H102" s="148">
        <v>4.3360781184394002</v>
      </c>
      <c r="I102" s="148">
        <f>'Cálculo PU'!V157</f>
        <v>1.953189315663826</v>
      </c>
      <c r="J102" s="168">
        <f t="shared" si="25"/>
        <v>2.3828888027755744</v>
      </c>
      <c r="L102" s="147">
        <v>6906</v>
      </c>
      <c r="M102" s="156">
        <v>43374</v>
      </c>
      <c r="N102" s="156">
        <v>46398</v>
      </c>
      <c r="O102" s="148" t="s">
        <v>822</v>
      </c>
      <c r="P102" s="148" t="s">
        <v>823</v>
      </c>
      <c r="Q102" s="148" t="s">
        <v>824</v>
      </c>
      <c r="R102" s="148">
        <v>5.3180051590763204</v>
      </c>
      <c r="S102" s="148">
        <f>'Cálculo PU'!U157</f>
        <v>2.5635821729146926</v>
      </c>
      <c r="T102" s="168">
        <f t="shared" si="29"/>
        <v>2.7544229861616278</v>
      </c>
      <c r="V102" s="147">
        <v>6892</v>
      </c>
      <c r="W102" s="156">
        <v>43374</v>
      </c>
      <c r="X102" s="156">
        <v>46398</v>
      </c>
      <c r="Y102" s="148" t="s">
        <v>822</v>
      </c>
      <c r="Z102" s="148" t="s">
        <v>823</v>
      </c>
      <c r="AA102" s="148" t="s">
        <v>830</v>
      </c>
      <c r="AB102" s="148">
        <v>13.523964673482</v>
      </c>
      <c r="AC102" s="148">
        <f>'Cálculo PU'!T157</f>
        <v>13.563183166787038</v>
      </c>
      <c r="AD102" s="168">
        <f t="shared" si="30"/>
        <v>-3.9218493305037683E-2</v>
      </c>
      <c r="AF102" s="147">
        <v>6904</v>
      </c>
      <c r="AG102" s="156">
        <v>43374</v>
      </c>
      <c r="AH102" s="156">
        <v>46398</v>
      </c>
      <c r="AI102" s="148" t="s">
        <v>822</v>
      </c>
      <c r="AJ102" s="148" t="s">
        <v>823</v>
      </c>
      <c r="AK102" s="148" t="s">
        <v>942</v>
      </c>
      <c r="AL102" s="148">
        <v>11.95400132</v>
      </c>
      <c r="AM102" s="148">
        <f>'Cálculo PU'!Q157</f>
        <v>16.332999999999998</v>
      </c>
      <c r="AN102" s="168">
        <f t="shared" si="31"/>
        <v>-4.3789986799999987</v>
      </c>
      <c r="AP102" s="147">
        <v>6905</v>
      </c>
      <c r="AQ102" s="156">
        <v>43374</v>
      </c>
      <c r="AR102" s="156">
        <v>46398</v>
      </c>
      <c r="AS102" s="148" t="s">
        <v>822</v>
      </c>
      <c r="AT102" s="148" t="s">
        <v>823</v>
      </c>
      <c r="AU102" s="148" t="s">
        <v>943</v>
      </c>
      <c r="AV102" s="148">
        <v>2083</v>
      </c>
      <c r="AW102" s="152">
        <f>'Cálculo PU'!L157</f>
        <v>2775</v>
      </c>
      <c r="AX102" s="168">
        <f t="shared" si="32"/>
        <v>-692</v>
      </c>
      <c r="AZ102" s="147">
        <v>6894</v>
      </c>
      <c r="BA102" s="156">
        <v>43374</v>
      </c>
      <c r="BB102" s="156">
        <v>46398</v>
      </c>
      <c r="BC102" s="148" t="s">
        <v>822</v>
      </c>
      <c r="BD102" s="148" t="s">
        <v>823</v>
      </c>
      <c r="BE102" s="148" t="s">
        <v>945</v>
      </c>
      <c r="BF102" s="148">
        <v>1.0021580294750001</v>
      </c>
      <c r="BG102" s="148">
        <f>'Cálculo PU'!N157</f>
        <v>1.0021580294747356</v>
      </c>
      <c r="BH102" s="168">
        <f t="shared" si="33"/>
        <v>2.6445512446571229E-13</v>
      </c>
      <c r="BJ102" s="147">
        <v>6919</v>
      </c>
      <c r="BK102" s="156">
        <v>43374</v>
      </c>
      <c r="BL102" s="156">
        <v>46398</v>
      </c>
      <c r="BM102" s="148" t="s">
        <v>822</v>
      </c>
      <c r="BN102" s="148" t="s">
        <v>823</v>
      </c>
      <c r="BO102" s="148" t="s">
        <v>827</v>
      </c>
      <c r="BP102" s="148">
        <v>1.226455108468</v>
      </c>
      <c r="BQ102" s="148">
        <f>'Cálculo PU'!O157</f>
        <v>1.3125108520488777</v>
      </c>
      <c r="BR102" s="168">
        <f t="shared" si="34"/>
        <v>-8.6055743580877753E-2</v>
      </c>
      <c r="BT102" s="147">
        <v>6893</v>
      </c>
      <c r="BU102" s="156">
        <v>43374</v>
      </c>
      <c r="BV102" s="156">
        <v>46398</v>
      </c>
      <c r="BW102" s="148" t="s">
        <v>822</v>
      </c>
      <c r="BX102" s="148" t="s">
        <v>823</v>
      </c>
      <c r="BY102" s="148" t="s">
        <v>946</v>
      </c>
      <c r="BZ102" s="148">
        <v>1.0106154899999999</v>
      </c>
      <c r="CA102" s="148">
        <f>'Cálculo PU'!S157</f>
        <v>1.0135462</v>
      </c>
      <c r="CB102" s="168">
        <f t="shared" si="35"/>
        <v>-2.930710000000003E-3</v>
      </c>
      <c r="CD102">
        <v>6787</v>
      </c>
      <c r="CE102" s="215">
        <v>46364</v>
      </c>
      <c r="CF102" s="215">
        <v>46398</v>
      </c>
      <c r="CG102" t="s">
        <v>822</v>
      </c>
      <c r="CH102" t="s">
        <v>823</v>
      </c>
      <c r="CI102" t="s">
        <v>1713</v>
      </c>
      <c r="CJ102">
        <v>1.0021580294747401</v>
      </c>
      <c r="CK102">
        <f t="shared" si="26"/>
        <v>1.0021580294747356</v>
      </c>
      <c r="CL102" s="246">
        <f t="shared" si="27"/>
        <v>46364</v>
      </c>
      <c r="CM102" s="246">
        <f>'Cálculo PU'!G156</f>
        <v>46364</v>
      </c>
      <c r="CN102" s="215">
        <f t="shared" si="28"/>
        <v>46398</v>
      </c>
      <c r="CO102" s="215">
        <f>'Cálculo PU'!G157</f>
        <v>46398</v>
      </c>
      <c r="CQ102">
        <v>5131</v>
      </c>
      <c r="CR102" s="215">
        <v>44845</v>
      </c>
      <c r="CS102" s="215">
        <v>44875</v>
      </c>
      <c r="CT102" t="s">
        <v>822</v>
      </c>
      <c r="CU102" t="s">
        <v>823</v>
      </c>
      <c r="CV102" t="s">
        <v>1714</v>
      </c>
      <c r="CW102">
        <v>2.5</v>
      </c>
    </row>
    <row r="103" spans="2:101">
      <c r="B103" s="147">
        <v>6959</v>
      </c>
      <c r="C103" s="156">
        <v>43374</v>
      </c>
      <c r="D103" s="156">
        <v>46428</v>
      </c>
      <c r="E103" s="148" t="s">
        <v>822</v>
      </c>
      <c r="F103" s="148" t="s">
        <v>823</v>
      </c>
      <c r="G103" s="148" t="s">
        <v>825</v>
      </c>
      <c r="H103" s="148">
        <v>3.5499513017232398</v>
      </c>
      <c r="I103" s="148">
        <f>'Cálculo PU'!V158</f>
        <v>1.5944380009309982</v>
      </c>
      <c r="J103" s="168">
        <f t="shared" si="25"/>
        <v>1.9555133007922416</v>
      </c>
      <c r="L103" s="147">
        <v>6945</v>
      </c>
      <c r="M103" s="156">
        <v>43374</v>
      </c>
      <c r="N103" s="156">
        <v>46428</v>
      </c>
      <c r="O103" s="148" t="s">
        <v>822</v>
      </c>
      <c r="P103" s="148" t="s">
        <v>823</v>
      </c>
      <c r="Q103" s="148" t="s">
        <v>824</v>
      </c>
      <c r="R103" s="148">
        <v>4.3623975827078096</v>
      </c>
      <c r="S103" s="148">
        <f>'Cálculo PU'!U158</f>
        <v>2.0968228059862439</v>
      </c>
      <c r="T103" s="168">
        <f t="shared" si="29"/>
        <v>2.2655747767215657</v>
      </c>
      <c r="V103" s="147">
        <v>6931</v>
      </c>
      <c r="W103" s="156">
        <v>43374</v>
      </c>
      <c r="X103" s="156">
        <v>46428</v>
      </c>
      <c r="Y103" s="148" t="s">
        <v>822</v>
      </c>
      <c r="Z103" s="148" t="s">
        <v>823</v>
      </c>
      <c r="AA103" s="148" t="s">
        <v>830</v>
      </c>
      <c r="AB103" s="148">
        <v>11.200989203302999</v>
      </c>
      <c r="AC103" s="148">
        <f>'Cálculo PU'!T158</f>
        <v>11.228552094536665</v>
      </c>
      <c r="AD103" s="168">
        <f t="shared" si="30"/>
        <v>-2.7562891233666065E-2</v>
      </c>
      <c r="AF103" s="147">
        <v>6943</v>
      </c>
      <c r="AG103" s="156">
        <v>43374</v>
      </c>
      <c r="AH103" s="156">
        <v>46428</v>
      </c>
      <c r="AI103" s="148" t="s">
        <v>822</v>
      </c>
      <c r="AJ103" s="148" t="s">
        <v>823</v>
      </c>
      <c r="AK103" s="148" t="s">
        <v>942</v>
      </c>
      <c r="AL103" s="148">
        <v>11.962769079999999</v>
      </c>
      <c r="AM103" s="148">
        <f>'Cálculo PU'!Q158</f>
        <v>16.3338</v>
      </c>
      <c r="AN103" s="168">
        <f t="shared" si="31"/>
        <v>-4.3710309200000008</v>
      </c>
      <c r="AP103" s="147">
        <v>6944</v>
      </c>
      <c r="AQ103" s="156">
        <v>43374</v>
      </c>
      <c r="AR103" s="156">
        <v>46428</v>
      </c>
      <c r="AS103" s="148" t="s">
        <v>822</v>
      </c>
      <c r="AT103" s="148" t="s">
        <v>823</v>
      </c>
      <c r="AU103" s="148" t="s">
        <v>943</v>
      </c>
      <c r="AV103" s="148">
        <v>2103</v>
      </c>
      <c r="AW103" s="152">
        <f>'Cálculo PU'!L158</f>
        <v>2795</v>
      </c>
      <c r="AX103" s="168">
        <f t="shared" si="32"/>
        <v>-692</v>
      </c>
      <c r="AZ103" s="147">
        <v>6933</v>
      </c>
      <c r="BA103" s="156">
        <v>43374</v>
      </c>
      <c r="BB103" s="156">
        <v>46428</v>
      </c>
      <c r="BC103" s="148" t="s">
        <v>822</v>
      </c>
      <c r="BD103" s="148" t="s">
        <v>823</v>
      </c>
      <c r="BE103" s="148" t="s">
        <v>945</v>
      </c>
      <c r="BF103" s="148">
        <v>1.001961652686</v>
      </c>
      <c r="BG103" s="148">
        <f>'Cálculo PU'!N158</f>
        <v>1.0019616526860928</v>
      </c>
      <c r="BH103" s="168">
        <f t="shared" si="33"/>
        <v>-9.2814644858663087E-14</v>
      </c>
      <c r="BJ103" s="147">
        <v>6958</v>
      </c>
      <c r="BK103" s="156">
        <v>43374</v>
      </c>
      <c r="BL103" s="156">
        <v>46428</v>
      </c>
      <c r="BM103" s="148" t="s">
        <v>822</v>
      </c>
      <c r="BN103" s="148" t="s">
        <v>823</v>
      </c>
      <c r="BO103" s="148" t="s">
        <v>827</v>
      </c>
      <c r="BP103" s="148">
        <v>1.228861246798</v>
      </c>
      <c r="BQ103" s="148">
        <f>'Cálculo PU'!O158</f>
        <v>1.3150858200581657</v>
      </c>
      <c r="BR103" s="168">
        <f t="shared" si="34"/>
        <v>-8.6224573260165638E-2</v>
      </c>
      <c r="BT103" s="147">
        <v>6932</v>
      </c>
      <c r="BU103" s="156">
        <v>43374</v>
      </c>
      <c r="BV103" s="156">
        <v>46428</v>
      </c>
      <c r="BW103" s="148" t="s">
        <v>822</v>
      </c>
      <c r="BX103" s="148" t="s">
        <v>823</v>
      </c>
      <c r="BY103" s="148" t="s">
        <v>946</v>
      </c>
      <c r="BZ103" s="148">
        <v>1.00966165</v>
      </c>
      <c r="CA103" s="148">
        <f>'Cálculo PU'!S158</f>
        <v>1.01214618</v>
      </c>
      <c r="CB103" s="168">
        <f t="shared" si="35"/>
        <v>-2.4845300000000403E-3</v>
      </c>
      <c r="CD103">
        <v>6825</v>
      </c>
      <c r="CE103" s="215">
        <v>46398</v>
      </c>
      <c r="CF103" s="215">
        <v>46428</v>
      </c>
      <c r="CG103" t="s">
        <v>822</v>
      </c>
      <c r="CH103" t="s">
        <v>823</v>
      </c>
      <c r="CI103" t="s">
        <v>1713</v>
      </c>
      <c r="CJ103">
        <v>1.0019616526860899</v>
      </c>
      <c r="CK103">
        <f t="shared" si="26"/>
        <v>1.0019616526860928</v>
      </c>
      <c r="CL103" s="246">
        <f t="shared" si="27"/>
        <v>46398</v>
      </c>
      <c r="CM103" s="246">
        <f>'Cálculo PU'!G157</f>
        <v>46398</v>
      </c>
      <c r="CN103" s="215">
        <f t="shared" si="28"/>
        <v>46428</v>
      </c>
      <c r="CO103" s="215">
        <f>'Cálculo PU'!G158</f>
        <v>46428</v>
      </c>
      <c r="CQ103">
        <v>5169</v>
      </c>
      <c r="CR103" s="215">
        <v>44875</v>
      </c>
      <c r="CS103" s="215">
        <v>44903</v>
      </c>
      <c r="CT103" t="s">
        <v>822</v>
      </c>
      <c r="CU103" t="s">
        <v>823</v>
      </c>
      <c r="CV103" t="s">
        <v>1714</v>
      </c>
      <c r="CW103">
        <v>2.5</v>
      </c>
    </row>
    <row r="104" spans="2:101">
      <c r="B104" s="147">
        <v>6998</v>
      </c>
      <c r="C104" s="156">
        <v>43374</v>
      </c>
      <c r="D104" s="156">
        <v>46454</v>
      </c>
      <c r="E104" s="148" t="s">
        <v>822</v>
      </c>
      <c r="F104" s="148" t="s">
        <v>823</v>
      </c>
      <c r="G104" s="148" t="s">
        <v>825</v>
      </c>
      <c r="H104" s="148">
        <v>2.8560831136057998</v>
      </c>
      <c r="I104" s="148">
        <f>'Cálculo PU'!V159</f>
        <v>1.2796199460231057</v>
      </c>
      <c r="J104" s="168">
        <f t="shared" si="25"/>
        <v>1.5764631675826941</v>
      </c>
      <c r="L104" s="147">
        <v>6984</v>
      </c>
      <c r="M104" s="156">
        <v>43374</v>
      </c>
      <c r="N104" s="156">
        <v>46454</v>
      </c>
      <c r="O104" s="148" t="s">
        <v>822</v>
      </c>
      <c r="P104" s="148" t="s">
        <v>823</v>
      </c>
      <c r="Q104" s="148" t="s">
        <v>824</v>
      </c>
      <c r="R104" s="148">
        <v>3.5159263004097099</v>
      </c>
      <c r="S104" s="148">
        <f>'Cálculo PU'!U159</f>
        <v>1.6857810550798304</v>
      </c>
      <c r="T104" s="168">
        <f t="shared" si="29"/>
        <v>1.8301452453298794</v>
      </c>
      <c r="V104" s="147">
        <v>6970</v>
      </c>
      <c r="W104" s="156">
        <v>43374</v>
      </c>
      <c r="X104" s="156">
        <v>46454</v>
      </c>
      <c r="Y104" s="148" t="s">
        <v>822</v>
      </c>
      <c r="Z104" s="148" t="s">
        <v>823</v>
      </c>
      <c r="AA104" s="148" t="s">
        <v>830</v>
      </c>
      <c r="AB104" s="148">
        <v>9.1060320108031192</v>
      </c>
      <c r="AC104" s="148">
        <f>'Cálculo PU'!T159</f>
        <v>9.1261964453601347</v>
      </c>
      <c r="AD104" s="168">
        <f t="shared" si="30"/>
        <v>-2.0164434557015554E-2</v>
      </c>
      <c r="AF104" s="147">
        <v>6982</v>
      </c>
      <c r="AG104" s="156">
        <v>43374</v>
      </c>
      <c r="AH104" s="156">
        <v>46454</v>
      </c>
      <c r="AI104" s="148" t="s">
        <v>822</v>
      </c>
      <c r="AJ104" s="148" t="s">
        <v>823</v>
      </c>
      <c r="AK104" s="148" t="s">
        <v>942</v>
      </c>
      <c r="AL104" s="148">
        <v>11.97051926</v>
      </c>
      <c r="AM104" s="148">
        <f>'Cálculo PU'!Q159</f>
        <v>16.334599999999998</v>
      </c>
      <c r="AN104" s="168">
        <f t="shared" si="31"/>
        <v>-4.3640807399999986</v>
      </c>
      <c r="AP104" s="147">
        <v>6983</v>
      </c>
      <c r="AQ104" s="156">
        <v>43374</v>
      </c>
      <c r="AR104" s="156">
        <v>46454</v>
      </c>
      <c r="AS104" s="148" t="s">
        <v>822</v>
      </c>
      <c r="AT104" s="148" t="s">
        <v>823</v>
      </c>
      <c r="AU104" s="148" t="s">
        <v>943</v>
      </c>
      <c r="AV104" s="148">
        <v>2121</v>
      </c>
      <c r="AW104" s="152">
        <f>'Cálculo PU'!L159</f>
        <v>2813</v>
      </c>
      <c r="AX104" s="168">
        <f t="shared" si="32"/>
        <v>-692</v>
      </c>
      <c r="AZ104" s="147">
        <v>6972</v>
      </c>
      <c r="BA104" s="156">
        <v>43374</v>
      </c>
      <c r="BB104" s="156">
        <v>46454</v>
      </c>
      <c r="BC104" s="148" t="s">
        <v>822</v>
      </c>
      <c r="BD104" s="148" t="s">
        <v>823</v>
      </c>
      <c r="BE104" s="148" t="s">
        <v>945</v>
      </c>
      <c r="BF104" s="148">
        <v>1.0017653143780001</v>
      </c>
      <c r="BG104" s="148">
        <f>'Cálculo PU'!N159</f>
        <v>1.0017653143782506</v>
      </c>
      <c r="BH104" s="168">
        <f t="shared" si="33"/>
        <v>-2.5046631435543532E-13</v>
      </c>
      <c r="BJ104" s="147">
        <v>6997</v>
      </c>
      <c r="BK104" s="156">
        <v>43374</v>
      </c>
      <c r="BL104" s="156">
        <v>46454</v>
      </c>
      <c r="BM104" s="148" t="s">
        <v>822</v>
      </c>
      <c r="BN104" s="148" t="s">
        <v>823</v>
      </c>
      <c r="BO104" s="148" t="s">
        <v>827</v>
      </c>
      <c r="BP104" s="148">
        <v>1.2310308070730001</v>
      </c>
      <c r="BQ104" s="148">
        <f>'Cálculo PU'!O159</f>
        <v>1.3174076102197541</v>
      </c>
      <c r="BR104" s="168">
        <f t="shared" si="34"/>
        <v>-8.6376803146754E-2</v>
      </c>
      <c r="BT104" s="147">
        <v>6971</v>
      </c>
      <c r="BU104" s="156">
        <v>43374</v>
      </c>
      <c r="BV104" s="156">
        <v>46454</v>
      </c>
      <c r="BW104" s="148" t="s">
        <v>822</v>
      </c>
      <c r="BX104" s="148" t="s">
        <v>823</v>
      </c>
      <c r="BY104" s="148" t="s">
        <v>946</v>
      </c>
      <c r="BZ104" s="148">
        <v>1.0086913</v>
      </c>
      <c r="CA104" s="148">
        <f>'Cálculo PU'!S159</f>
        <v>1.0109249499999999</v>
      </c>
      <c r="CB104" s="168">
        <f t="shared" si="35"/>
        <v>-2.2336499999999759E-3</v>
      </c>
      <c r="CD104">
        <v>6863</v>
      </c>
      <c r="CE104" s="215">
        <v>46428</v>
      </c>
      <c r="CF104" s="215">
        <v>46454</v>
      </c>
      <c r="CG104" t="s">
        <v>822</v>
      </c>
      <c r="CH104" t="s">
        <v>823</v>
      </c>
      <c r="CI104" t="s">
        <v>1713</v>
      </c>
      <c r="CJ104">
        <v>1.0017653143782499</v>
      </c>
      <c r="CK104">
        <f t="shared" si="26"/>
        <v>1.0017653143782506</v>
      </c>
      <c r="CL104" s="246">
        <f t="shared" si="27"/>
        <v>46428</v>
      </c>
      <c r="CM104" s="246">
        <f>'Cálculo PU'!G158</f>
        <v>46428</v>
      </c>
      <c r="CN104" s="215">
        <f t="shared" si="28"/>
        <v>46454</v>
      </c>
      <c r="CO104" s="215">
        <f>'Cálculo PU'!G159</f>
        <v>46454</v>
      </c>
      <c r="CQ104">
        <v>5171</v>
      </c>
      <c r="CR104" s="215">
        <v>44875</v>
      </c>
      <c r="CS104" s="215">
        <v>44903</v>
      </c>
      <c r="CT104" t="s">
        <v>822</v>
      </c>
      <c r="CU104" t="s">
        <v>823</v>
      </c>
      <c r="CV104" t="s">
        <v>1714</v>
      </c>
      <c r="CW104">
        <v>2.5</v>
      </c>
    </row>
    <row r="105" spans="2:101">
      <c r="B105" s="147">
        <v>7037</v>
      </c>
      <c r="C105" s="156">
        <v>43374</v>
      </c>
      <c r="D105" s="156">
        <v>46485</v>
      </c>
      <c r="E105" s="148" t="s">
        <v>822</v>
      </c>
      <c r="F105" s="148" t="s">
        <v>823</v>
      </c>
      <c r="G105" s="148" t="s">
        <v>825</v>
      </c>
      <c r="H105" s="148">
        <v>3.09076290740592</v>
      </c>
      <c r="I105" s="148">
        <f>'Cálculo PU'!V160</f>
        <v>1.3816832316625545</v>
      </c>
      <c r="J105" s="168">
        <f t="shared" si="25"/>
        <v>1.7090796757433655</v>
      </c>
      <c r="L105" s="147">
        <v>7023</v>
      </c>
      <c r="M105" s="156">
        <v>43374</v>
      </c>
      <c r="N105" s="156">
        <v>46485</v>
      </c>
      <c r="O105" s="148" t="s">
        <v>822</v>
      </c>
      <c r="P105" s="148" t="s">
        <v>823</v>
      </c>
      <c r="Q105" s="148" t="s">
        <v>824</v>
      </c>
      <c r="R105" s="148">
        <v>3.8130361647697599</v>
      </c>
      <c r="S105" s="148">
        <f>'Cálculo PU'!U160</f>
        <v>1.8241685594090382</v>
      </c>
      <c r="T105" s="168">
        <f t="shared" si="29"/>
        <v>1.9888676053607217</v>
      </c>
      <c r="V105" s="147">
        <v>7009</v>
      </c>
      <c r="W105" s="156">
        <v>43374</v>
      </c>
      <c r="X105" s="156">
        <v>46485</v>
      </c>
      <c r="Y105" s="148" t="s">
        <v>822</v>
      </c>
      <c r="Z105" s="148" t="s">
        <v>823</v>
      </c>
      <c r="AA105" s="148" t="s">
        <v>830</v>
      </c>
      <c r="AB105" s="148">
        <v>9.9805340657327299</v>
      </c>
      <c r="AC105" s="148">
        <f>'Cálculo PU'!T160</f>
        <v>10.007553016062989</v>
      </c>
      <c r="AD105" s="168">
        <f t="shared" si="30"/>
        <v>-2.7018950330258917E-2</v>
      </c>
      <c r="AF105" s="147">
        <v>7021</v>
      </c>
      <c r="AG105" s="156">
        <v>43374</v>
      </c>
      <c r="AH105" s="156">
        <v>46485</v>
      </c>
      <c r="AI105" s="148" t="s">
        <v>822</v>
      </c>
      <c r="AJ105" s="148" t="s">
        <v>823</v>
      </c>
      <c r="AK105" s="148" t="s">
        <v>942</v>
      </c>
      <c r="AL105" s="148">
        <v>11.9798156</v>
      </c>
      <c r="AM105" s="148">
        <f>'Cálculo PU'!Q160</f>
        <v>16.3355</v>
      </c>
      <c r="AN105" s="168">
        <f t="shared" si="31"/>
        <v>-4.3556843999999995</v>
      </c>
      <c r="AP105" s="147">
        <v>7022</v>
      </c>
      <c r="AQ105" s="156">
        <v>43374</v>
      </c>
      <c r="AR105" s="156">
        <v>46485</v>
      </c>
      <c r="AS105" s="148" t="s">
        <v>822</v>
      </c>
      <c r="AT105" s="148" t="s">
        <v>823</v>
      </c>
      <c r="AU105" s="148" t="s">
        <v>943</v>
      </c>
      <c r="AV105" s="148">
        <v>2143</v>
      </c>
      <c r="AW105" s="152">
        <f>'Cálculo PU'!L160</f>
        <v>2835</v>
      </c>
      <c r="AX105" s="168">
        <f t="shared" si="32"/>
        <v>-692</v>
      </c>
      <c r="AZ105" s="147">
        <v>7011</v>
      </c>
      <c r="BA105" s="156">
        <v>43374</v>
      </c>
      <c r="BB105" s="156">
        <v>46485</v>
      </c>
      <c r="BC105" s="148" t="s">
        <v>822</v>
      </c>
      <c r="BD105" s="148" t="s">
        <v>823</v>
      </c>
      <c r="BE105" s="148" t="s">
        <v>945</v>
      </c>
      <c r="BF105" s="148">
        <v>1.0021580294750001</v>
      </c>
      <c r="BG105" s="148">
        <f>'Cálculo PU'!N160</f>
        <v>1.0021580294747356</v>
      </c>
      <c r="BH105" s="168">
        <f t="shared" si="33"/>
        <v>2.6445512446571229E-13</v>
      </c>
      <c r="BJ105" s="147">
        <v>7036</v>
      </c>
      <c r="BK105" s="156">
        <v>43374</v>
      </c>
      <c r="BL105" s="156">
        <v>46485</v>
      </c>
      <c r="BM105" s="148" t="s">
        <v>822</v>
      </c>
      <c r="BN105" s="148" t="s">
        <v>823</v>
      </c>
      <c r="BO105" s="148" t="s">
        <v>827</v>
      </c>
      <c r="BP105" s="148">
        <v>1.233687694269</v>
      </c>
      <c r="BQ105" s="148">
        <f>'Cálculo PU'!O160</f>
        <v>1.3202509211999693</v>
      </c>
      <c r="BR105" s="168">
        <f t="shared" si="34"/>
        <v>-8.6563226930969295E-2</v>
      </c>
      <c r="BT105" s="147">
        <v>7010</v>
      </c>
      <c r="BU105" s="156">
        <v>43374</v>
      </c>
      <c r="BV105" s="156">
        <v>46485</v>
      </c>
      <c r="BW105" s="148" t="s">
        <v>822</v>
      </c>
      <c r="BX105" s="148" t="s">
        <v>823</v>
      </c>
      <c r="BY105" s="148" t="s">
        <v>946</v>
      </c>
      <c r="BZ105" s="148">
        <v>1.0106329300000001</v>
      </c>
      <c r="CA105" s="148">
        <f>'Cálculo PU'!S160</f>
        <v>1.01336888</v>
      </c>
      <c r="CB105" s="168">
        <f t="shared" si="35"/>
        <v>-2.7359499999999315E-3</v>
      </c>
      <c r="CD105">
        <v>6901</v>
      </c>
      <c r="CE105" s="215">
        <v>46454</v>
      </c>
      <c r="CF105" s="215">
        <v>46485</v>
      </c>
      <c r="CG105" t="s">
        <v>822</v>
      </c>
      <c r="CH105" t="s">
        <v>823</v>
      </c>
      <c r="CI105" t="s">
        <v>1713</v>
      </c>
      <c r="CJ105">
        <v>1.0021580294747401</v>
      </c>
      <c r="CK105">
        <f t="shared" si="26"/>
        <v>1.0021580294747356</v>
      </c>
      <c r="CL105" s="246">
        <f t="shared" si="27"/>
        <v>46454</v>
      </c>
      <c r="CM105" s="246">
        <f>'Cálculo PU'!G159</f>
        <v>46454</v>
      </c>
      <c r="CN105" s="215">
        <f t="shared" si="28"/>
        <v>46485</v>
      </c>
      <c r="CO105" s="215">
        <f>'Cálculo PU'!G160</f>
        <v>46485</v>
      </c>
      <c r="CQ105">
        <v>5209</v>
      </c>
      <c r="CR105" s="215">
        <v>44903</v>
      </c>
      <c r="CS105" s="215">
        <v>44935</v>
      </c>
      <c r="CT105" t="s">
        <v>822</v>
      </c>
      <c r="CU105" t="s">
        <v>823</v>
      </c>
      <c r="CV105" t="s">
        <v>1714</v>
      </c>
      <c r="CW105">
        <v>2.5</v>
      </c>
    </row>
    <row r="106" spans="2:101">
      <c r="B106" s="147">
        <v>7076</v>
      </c>
      <c r="C106" s="156">
        <v>43374</v>
      </c>
      <c r="D106" s="156">
        <v>46517</v>
      </c>
      <c r="E106" s="148" t="s">
        <v>822</v>
      </c>
      <c r="F106" s="148" t="s">
        <v>823</v>
      </c>
      <c r="G106" s="148" t="s">
        <v>825</v>
      </c>
      <c r="H106" s="148">
        <v>2.57592265544712</v>
      </c>
      <c r="I106" s="148">
        <f>'Cálculo PU'!V161</f>
        <v>1.1484101691574604</v>
      </c>
      <c r="J106" s="168">
        <f t="shared" si="25"/>
        <v>1.4275124862896595</v>
      </c>
      <c r="L106" s="147">
        <v>7062</v>
      </c>
      <c r="M106" s="156">
        <v>43374</v>
      </c>
      <c r="N106" s="156">
        <v>46517</v>
      </c>
      <c r="O106" s="148" t="s">
        <v>822</v>
      </c>
      <c r="P106" s="148" t="s">
        <v>823</v>
      </c>
      <c r="Q106" s="148" t="s">
        <v>824</v>
      </c>
      <c r="R106" s="148">
        <v>3.1844307080385299</v>
      </c>
      <c r="S106" s="148">
        <f>'Cálculo PU'!U161</f>
        <v>1.5193130227523295</v>
      </c>
      <c r="T106" s="168">
        <f t="shared" si="29"/>
        <v>1.6651176852862004</v>
      </c>
      <c r="V106" s="147">
        <v>7048</v>
      </c>
      <c r="W106" s="156">
        <v>43374</v>
      </c>
      <c r="X106" s="156">
        <v>46517</v>
      </c>
      <c r="Y106" s="148" t="s">
        <v>822</v>
      </c>
      <c r="Z106" s="148" t="s">
        <v>823</v>
      </c>
      <c r="AA106" s="148" t="s">
        <v>830</v>
      </c>
      <c r="AB106" s="148">
        <v>8.4197522843058401</v>
      </c>
      <c r="AC106" s="148">
        <f>'Cálculo PU'!T161</f>
        <v>8.44150850441107</v>
      </c>
      <c r="AD106" s="168">
        <f t="shared" si="30"/>
        <v>-2.1756220105229929E-2</v>
      </c>
      <c r="AF106" s="147">
        <v>7060</v>
      </c>
      <c r="AG106" s="156">
        <v>43374</v>
      </c>
      <c r="AH106" s="156">
        <v>46517</v>
      </c>
      <c r="AI106" s="148" t="s">
        <v>822</v>
      </c>
      <c r="AJ106" s="148" t="s">
        <v>823</v>
      </c>
      <c r="AK106" s="148" t="s">
        <v>942</v>
      </c>
      <c r="AL106" s="148">
        <v>11.988513749999999</v>
      </c>
      <c r="AM106" s="148">
        <f>'Cálculo PU'!Q161</f>
        <v>16.336300000000001</v>
      </c>
      <c r="AN106" s="168">
        <f t="shared" si="31"/>
        <v>-4.3477862500000022</v>
      </c>
      <c r="AP106" s="147">
        <v>7061</v>
      </c>
      <c r="AQ106" s="156">
        <v>43374</v>
      </c>
      <c r="AR106" s="156">
        <v>46517</v>
      </c>
      <c r="AS106" s="148" t="s">
        <v>822</v>
      </c>
      <c r="AT106" s="148" t="s">
        <v>823</v>
      </c>
      <c r="AU106" s="148" t="s">
        <v>943</v>
      </c>
      <c r="AV106" s="148">
        <v>2164</v>
      </c>
      <c r="AW106" s="152">
        <f>'Cálculo PU'!L161</f>
        <v>2856</v>
      </c>
      <c r="AX106" s="168">
        <f t="shared" si="32"/>
        <v>-692</v>
      </c>
      <c r="AZ106" s="147">
        <v>7050</v>
      </c>
      <c r="BA106" s="156">
        <v>43374</v>
      </c>
      <c r="BB106" s="156">
        <v>46517</v>
      </c>
      <c r="BC106" s="148" t="s">
        <v>822</v>
      </c>
      <c r="BD106" s="148" t="s">
        <v>823</v>
      </c>
      <c r="BE106" s="148" t="s">
        <v>945</v>
      </c>
      <c r="BF106" s="148">
        <v>1.0020598362699999</v>
      </c>
      <c r="BG106" s="148">
        <f>'Cálculo PU'!N161</f>
        <v>1.0020598362698427</v>
      </c>
      <c r="BH106" s="168">
        <f t="shared" si="33"/>
        <v>1.5720758028692217E-13</v>
      </c>
      <c r="BJ106" s="147">
        <v>7075</v>
      </c>
      <c r="BK106" s="156">
        <v>43374</v>
      </c>
      <c r="BL106" s="156">
        <v>46517</v>
      </c>
      <c r="BM106" s="148" t="s">
        <v>822</v>
      </c>
      <c r="BN106" s="148" t="s">
        <v>823</v>
      </c>
      <c r="BO106" s="148" t="s">
        <v>827</v>
      </c>
      <c r="BP106" s="148">
        <v>1.2362291629</v>
      </c>
      <c r="BQ106" s="148">
        <f>'Cálculo PU'!O161</f>
        <v>1.322970715129582</v>
      </c>
      <c r="BR106" s="168">
        <f t="shared" si="34"/>
        <v>-8.674155222958202E-2</v>
      </c>
      <c r="BT106" s="147">
        <v>7049</v>
      </c>
      <c r="BU106" s="156">
        <v>43374</v>
      </c>
      <c r="BV106" s="156">
        <v>46517</v>
      </c>
      <c r="BW106" s="148" t="s">
        <v>822</v>
      </c>
      <c r="BX106" s="148" t="s">
        <v>823</v>
      </c>
      <c r="BY106" s="148" t="s">
        <v>946</v>
      </c>
      <c r="BZ106" s="148">
        <v>1.01014717</v>
      </c>
      <c r="CA106" s="148">
        <f>'Cálculo PU'!S161</f>
        <v>1.0127573400000001</v>
      </c>
      <c r="CB106" s="168">
        <f t="shared" si="35"/>
        <v>-2.6101700000000783E-3</v>
      </c>
      <c r="CD106">
        <v>6939</v>
      </c>
      <c r="CE106" s="215">
        <v>46485</v>
      </c>
      <c r="CF106" s="215">
        <v>46517</v>
      </c>
      <c r="CG106" t="s">
        <v>822</v>
      </c>
      <c r="CH106" t="s">
        <v>823</v>
      </c>
      <c r="CI106" t="s">
        <v>1713</v>
      </c>
      <c r="CJ106">
        <v>1.0020598362698401</v>
      </c>
      <c r="CK106">
        <f t="shared" si="26"/>
        <v>1.0020598362698427</v>
      </c>
      <c r="CL106" s="246">
        <f t="shared" si="27"/>
        <v>46485</v>
      </c>
      <c r="CM106" s="246">
        <f>'Cálculo PU'!G160</f>
        <v>46485</v>
      </c>
      <c r="CN106" s="215">
        <f t="shared" si="28"/>
        <v>46517</v>
      </c>
      <c r="CO106" s="215">
        <f>'Cálculo PU'!G161</f>
        <v>46517</v>
      </c>
      <c r="CQ106">
        <v>5211</v>
      </c>
      <c r="CR106" s="215">
        <v>44903</v>
      </c>
      <c r="CS106" s="215">
        <v>44935</v>
      </c>
      <c r="CT106" t="s">
        <v>822</v>
      </c>
      <c r="CU106" t="s">
        <v>823</v>
      </c>
      <c r="CV106" t="s">
        <v>1714</v>
      </c>
      <c r="CW106">
        <v>2.5</v>
      </c>
    </row>
    <row r="107" spans="2:101">
      <c r="B107" s="147">
        <v>7115</v>
      </c>
      <c r="C107" s="156">
        <v>43374</v>
      </c>
      <c r="D107" s="156">
        <v>46546</v>
      </c>
      <c r="E107" s="148" t="s">
        <v>822</v>
      </c>
      <c r="F107" s="148" t="s">
        <v>823</v>
      </c>
      <c r="G107" s="148" t="s">
        <v>825</v>
      </c>
      <c r="H107" s="148">
        <v>2.10960565869448</v>
      </c>
      <c r="I107" s="148">
        <f>'Cálculo PU'!V162</f>
        <v>0.93807682265418957</v>
      </c>
      <c r="J107" s="168">
        <f t="shared" si="25"/>
        <v>1.1715288360402905</v>
      </c>
      <c r="L107" s="147">
        <v>7101</v>
      </c>
      <c r="M107" s="156">
        <v>43374</v>
      </c>
      <c r="N107" s="156">
        <v>46546</v>
      </c>
      <c r="O107" s="148" t="s">
        <v>822</v>
      </c>
      <c r="P107" s="148" t="s">
        <v>823</v>
      </c>
      <c r="Q107" s="148" t="s">
        <v>824</v>
      </c>
      <c r="R107" s="148">
        <v>2.6130724929962801</v>
      </c>
      <c r="S107" s="148">
        <f>'Cálculo PU'!U162</f>
        <v>1.2434829328374262</v>
      </c>
      <c r="T107" s="168">
        <f t="shared" si="29"/>
        <v>1.3695895601588539</v>
      </c>
      <c r="V107" s="147">
        <v>7087</v>
      </c>
      <c r="W107" s="156">
        <v>43374</v>
      </c>
      <c r="X107" s="156">
        <v>46546</v>
      </c>
      <c r="Y107" s="148" t="s">
        <v>822</v>
      </c>
      <c r="Z107" s="148" t="s">
        <v>823</v>
      </c>
      <c r="AA107" s="148" t="s">
        <v>830</v>
      </c>
      <c r="AB107" s="148">
        <v>6.9758130097992197</v>
      </c>
      <c r="AC107" s="148">
        <f>'Cálculo PU'!T162</f>
        <v>6.9929787771940184</v>
      </c>
      <c r="AD107" s="168">
        <f t="shared" si="30"/>
        <v>-1.7165767394798692E-2</v>
      </c>
      <c r="AF107" s="147">
        <v>7099</v>
      </c>
      <c r="AG107" s="156">
        <v>43374</v>
      </c>
      <c r="AH107" s="156">
        <v>46546</v>
      </c>
      <c r="AI107" s="148" t="s">
        <v>822</v>
      </c>
      <c r="AJ107" s="148" t="s">
        <v>823</v>
      </c>
      <c r="AK107" s="148" t="s">
        <v>942</v>
      </c>
      <c r="AL107" s="148">
        <v>11.9966428</v>
      </c>
      <c r="AM107" s="148">
        <f>'Cálculo PU'!Q162</f>
        <v>16.3371</v>
      </c>
      <c r="AN107" s="168">
        <f t="shared" si="31"/>
        <v>-4.3404571999999995</v>
      </c>
      <c r="AP107" s="147">
        <v>7100</v>
      </c>
      <c r="AQ107" s="156">
        <v>43374</v>
      </c>
      <c r="AR107" s="156">
        <v>46546</v>
      </c>
      <c r="AS107" s="148" t="s">
        <v>822</v>
      </c>
      <c r="AT107" s="148" t="s">
        <v>823</v>
      </c>
      <c r="AU107" s="148" t="s">
        <v>943</v>
      </c>
      <c r="AV107" s="148">
        <v>2184</v>
      </c>
      <c r="AW107" s="152">
        <f>'Cálculo PU'!L162</f>
        <v>2876</v>
      </c>
      <c r="AX107" s="168">
        <f t="shared" si="32"/>
        <v>-692</v>
      </c>
      <c r="AZ107" s="147">
        <v>7089</v>
      </c>
      <c r="BA107" s="156">
        <v>43374</v>
      </c>
      <c r="BB107" s="156">
        <v>46546</v>
      </c>
      <c r="BC107" s="148" t="s">
        <v>822</v>
      </c>
      <c r="BD107" s="148" t="s">
        <v>823</v>
      </c>
      <c r="BE107" s="148" t="s">
        <v>945</v>
      </c>
      <c r="BF107" s="148">
        <v>1.001961652686</v>
      </c>
      <c r="BG107" s="148">
        <f>'Cálculo PU'!N162</f>
        <v>1.0019616526860928</v>
      </c>
      <c r="BH107" s="168">
        <f t="shared" si="33"/>
        <v>-9.2814644858663087E-14</v>
      </c>
      <c r="BJ107" s="147">
        <v>7114</v>
      </c>
      <c r="BK107" s="156">
        <v>43374</v>
      </c>
      <c r="BL107" s="156">
        <v>46546</v>
      </c>
      <c r="BM107" s="148" t="s">
        <v>822</v>
      </c>
      <c r="BN107" s="148" t="s">
        <v>823</v>
      </c>
      <c r="BO107" s="148" t="s">
        <v>827</v>
      </c>
      <c r="BP107" s="148">
        <v>1.238654476597</v>
      </c>
      <c r="BQ107" s="148">
        <f>'Cálculo PU'!O162</f>
        <v>1.3255662039694385</v>
      </c>
      <c r="BR107" s="168">
        <f t="shared" si="34"/>
        <v>-8.6911727372438463E-2</v>
      </c>
      <c r="BT107" s="147">
        <v>7088</v>
      </c>
      <c r="BU107" s="156">
        <v>43374</v>
      </c>
      <c r="BV107" s="156">
        <v>46546</v>
      </c>
      <c r="BW107" s="148" t="s">
        <v>822</v>
      </c>
      <c r="BX107" s="148" t="s">
        <v>823</v>
      </c>
      <c r="BY107" s="148" t="s">
        <v>946</v>
      </c>
      <c r="BZ107" s="148">
        <v>1.00966165</v>
      </c>
      <c r="CA107" s="148">
        <f>'Cálculo PU'!S162</f>
        <v>1.01214618</v>
      </c>
      <c r="CB107" s="168">
        <f t="shared" si="35"/>
        <v>-2.4845300000000403E-3</v>
      </c>
      <c r="CD107">
        <v>6977</v>
      </c>
      <c r="CE107" s="215">
        <v>46517</v>
      </c>
      <c r="CF107" s="215">
        <v>46546</v>
      </c>
      <c r="CG107" t="s">
        <v>822</v>
      </c>
      <c r="CH107" t="s">
        <v>823</v>
      </c>
      <c r="CI107" t="s">
        <v>1713</v>
      </c>
      <c r="CJ107">
        <v>1.0019616526860899</v>
      </c>
      <c r="CK107">
        <f t="shared" si="26"/>
        <v>1.0019616526860928</v>
      </c>
      <c r="CL107" s="246">
        <f t="shared" si="27"/>
        <v>46517</v>
      </c>
      <c r="CM107" s="246">
        <f>'Cálculo PU'!G161</f>
        <v>46517</v>
      </c>
      <c r="CN107" s="215">
        <f t="shared" si="28"/>
        <v>46546</v>
      </c>
      <c r="CO107" s="215">
        <f>'Cálculo PU'!G162</f>
        <v>46546</v>
      </c>
      <c r="CQ107">
        <v>5249</v>
      </c>
      <c r="CR107" s="215">
        <v>44935</v>
      </c>
      <c r="CS107" s="215">
        <v>44965</v>
      </c>
      <c r="CT107" t="s">
        <v>822</v>
      </c>
      <c r="CU107" t="s">
        <v>823</v>
      </c>
      <c r="CV107" t="s">
        <v>1714</v>
      </c>
      <c r="CW107">
        <v>2.5</v>
      </c>
    </row>
    <row r="108" spans="2:101">
      <c r="B108" s="147">
        <v>7154</v>
      </c>
      <c r="C108" s="156">
        <v>43374</v>
      </c>
      <c r="D108" s="156">
        <v>46576</v>
      </c>
      <c r="E108" s="148" t="s">
        <v>822</v>
      </c>
      <c r="F108" s="148" t="s">
        <v>823</v>
      </c>
      <c r="G108" s="148" t="s">
        <v>825</v>
      </c>
      <c r="H108" s="148">
        <v>1.95521169779001</v>
      </c>
      <c r="I108" s="148">
        <f>'Cálculo PU'!V163</f>
        <v>0.86727165699692577</v>
      </c>
      <c r="J108" s="168">
        <f t="shared" si="25"/>
        <v>1.0879400407930842</v>
      </c>
      <c r="L108" s="147">
        <v>7140</v>
      </c>
      <c r="M108" s="156">
        <v>43374</v>
      </c>
      <c r="N108" s="156">
        <v>46576</v>
      </c>
      <c r="O108" s="148" t="s">
        <v>822</v>
      </c>
      <c r="P108" s="148" t="s">
        <v>823</v>
      </c>
      <c r="Q108" s="148" t="s">
        <v>824</v>
      </c>
      <c r="R108" s="148">
        <v>2.4270586699005201</v>
      </c>
      <c r="S108" s="148">
        <f>'Cálculo PU'!U163</f>
        <v>1.1521071924533073</v>
      </c>
      <c r="T108" s="168">
        <f t="shared" si="29"/>
        <v>1.2749514774472128</v>
      </c>
      <c r="V108" s="147">
        <v>7126</v>
      </c>
      <c r="W108" s="156">
        <v>43374</v>
      </c>
      <c r="X108" s="156">
        <v>46576</v>
      </c>
      <c r="Y108" s="148" t="s">
        <v>822</v>
      </c>
      <c r="Z108" s="148" t="s">
        <v>823</v>
      </c>
      <c r="AA108" s="148" t="s">
        <v>830</v>
      </c>
      <c r="AB108" s="148">
        <v>6.5481270063011801</v>
      </c>
      <c r="AC108" s="148">
        <f>'Cálculo PU'!T163</f>
        <v>6.5658538651220013</v>
      </c>
      <c r="AD108" s="168">
        <f t="shared" si="30"/>
        <v>-1.7726858820821256E-2</v>
      </c>
      <c r="AF108" s="147">
        <v>7138</v>
      </c>
      <c r="AG108" s="156">
        <v>43374</v>
      </c>
      <c r="AH108" s="156">
        <v>46576</v>
      </c>
      <c r="AI108" s="148" t="s">
        <v>822</v>
      </c>
      <c r="AJ108" s="148" t="s">
        <v>823</v>
      </c>
      <c r="AK108" s="148" t="s">
        <v>942</v>
      </c>
      <c r="AL108" s="148">
        <v>12.005415169999999</v>
      </c>
      <c r="AM108" s="148">
        <f>'Cálculo PU'!Q163</f>
        <v>16.338000000000001</v>
      </c>
      <c r="AN108" s="168">
        <f t="shared" si="31"/>
        <v>-4.3325848300000018</v>
      </c>
      <c r="AP108" s="147">
        <v>7139</v>
      </c>
      <c r="AQ108" s="156">
        <v>43374</v>
      </c>
      <c r="AR108" s="156">
        <v>46576</v>
      </c>
      <c r="AS108" s="148" t="s">
        <v>822</v>
      </c>
      <c r="AT108" s="148" t="s">
        <v>823</v>
      </c>
      <c r="AU108" s="148" t="s">
        <v>943</v>
      </c>
      <c r="AV108" s="148">
        <v>2206</v>
      </c>
      <c r="AW108" s="152">
        <f>'Cálculo PU'!L163</f>
        <v>2898</v>
      </c>
      <c r="AX108" s="168">
        <f t="shared" si="32"/>
        <v>-692</v>
      </c>
      <c r="AZ108" s="147">
        <v>7128</v>
      </c>
      <c r="BA108" s="156">
        <v>43374</v>
      </c>
      <c r="BB108" s="156">
        <v>46576</v>
      </c>
      <c r="BC108" s="148" t="s">
        <v>822</v>
      </c>
      <c r="BD108" s="148" t="s">
        <v>823</v>
      </c>
      <c r="BE108" s="148" t="s">
        <v>945</v>
      </c>
      <c r="BF108" s="148">
        <v>1.0021580294750001</v>
      </c>
      <c r="BG108" s="148">
        <f>'Cálculo PU'!N163</f>
        <v>1.0021580294747356</v>
      </c>
      <c r="BH108" s="168">
        <f t="shared" si="33"/>
        <v>2.6445512446571229E-13</v>
      </c>
      <c r="BJ108" s="147">
        <v>7153</v>
      </c>
      <c r="BK108" s="156">
        <v>43374</v>
      </c>
      <c r="BL108" s="156">
        <v>46576</v>
      </c>
      <c r="BM108" s="148" t="s">
        <v>822</v>
      </c>
      <c r="BN108" s="148" t="s">
        <v>823</v>
      </c>
      <c r="BO108" s="148" t="s">
        <v>827</v>
      </c>
      <c r="BP108" s="148">
        <v>1.24132781767</v>
      </c>
      <c r="BQ108" s="148">
        <f>'Cálculo PU'!O163</f>
        <v>1.3284271233337344</v>
      </c>
      <c r="BR108" s="168">
        <f t="shared" si="34"/>
        <v>-8.7099305663734361E-2</v>
      </c>
      <c r="BT108" s="147">
        <v>7127</v>
      </c>
      <c r="BU108" s="156">
        <v>43374</v>
      </c>
      <c r="BV108" s="156">
        <v>46576</v>
      </c>
      <c r="BW108" s="148" t="s">
        <v>822</v>
      </c>
      <c r="BX108" s="148" t="s">
        <v>823</v>
      </c>
      <c r="BY108" s="148" t="s">
        <v>946</v>
      </c>
      <c r="BZ108" s="148">
        <v>1.0106329300000001</v>
      </c>
      <c r="CA108" s="148">
        <f>'Cálculo PU'!S163</f>
        <v>1.01336888</v>
      </c>
      <c r="CB108" s="168">
        <f t="shared" si="35"/>
        <v>-2.7359499999999315E-3</v>
      </c>
      <c r="CD108">
        <v>7015</v>
      </c>
      <c r="CE108" s="215">
        <v>46546</v>
      </c>
      <c r="CF108" s="215">
        <v>46576</v>
      </c>
      <c r="CG108" t="s">
        <v>822</v>
      </c>
      <c r="CH108" t="s">
        <v>823</v>
      </c>
      <c r="CI108" t="s">
        <v>1713</v>
      </c>
      <c r="CJ108">
        <v>1.0021580294747401</v>
      </c>
      <c r="CK108">
        <f t="shared" si="26"/>
        <v>1.0021580294747356</v>
      </c>
      <c r="CL108" s="246">
        <f t="shared" si="27"/>
        <v>46546</v>
      </c>
      <c r="CM108" s="246">
        <f>'Cálculo PU'!G162</f>
        <v>46546</v>
      </c>
      <c r="CN108" s="215">
        <f t="shared" si="28"/>
        <v>46576</v>
      </c>
      <c r="CO108" s="215">
        <f>'Cálculo PU'!G163</f>
        <v>46576</v>
      </c>
      <c r="CQ108">
        <v>5251</v>
      </c>
      <c r="CR108" s="215">
        <v>44935</v>
      </c>
      <c r="CS108" s="215">
        <v>44965</v>
      </c>
      <c r="CT108" t="s">
        <v>822</v>
      </c>
      <c r="CU108" t="s">
        <v>823</v>
      </c>
      <c r="CV108" t="s">
        <v>1714</v>
      </c>
      <c r="CW108">
        <v>2.5</v>
      </c>
    </row>
    <row r="109" spans="2:101">
      <c r="B109" s="147">
        <v>7193</v>
      </c>
      <c r="C109" s="156">
        <v>43374</v>
      </c>
      <c r="D109" s="156">
        <v>46608</v>
      </c>
      <c r="E109" s="148" t="s">
        <v>822</v>
      </c>
      <c r="F109" s="148" t="s">
        <v>823</v>
      </c>
      <c r="G109" s="148" t="s">
        <v>825</v>
      </c>
      <c r="H109" s="148">
        <v>1.6003477667252399</v>
      </c>
      <c r="I109" s="148">
        <f>'Cálculo PU'!V164</f>
        <v>0.7079408580702744</v>
      </c>
      <c r="J109" s="168">
        <f t="shared" si="25"/>
        <v>0.89240690865496552</v>
      </c>
      <c r="L109" s="147">
        <v>7179</v>
      </c>
      <c r="M109" s="156">
        <v>43374</v>
      </c>
      <c r="N109" s="156">
        <v>46608</v>
      </c>
      <c r="O109" s="148" t="s">
        <v>822</v>
      </c>
      <c r="P109" s="148" t="s">
        <v>823</v>
      </c>
      <c r="Q109" s="148" t="s">
        <v>824</v>
      </c>
      <c r="R109" s="148">
        <v>1.9908437098381</v>
      </c>
      <c r="S109" s="148">
        <f>'Cálculo PU'!U164</f>
        <v>0.94247757054785586</v>
      </c>
      <c r="T109" s="168">
        <f t="shared" si="29"/>
        <v>1.0483661392902441</v>
      </c>
      <c r="V109" s="147">
        <v>7165</v>
      </c>
      <c r="W109" s="156">
        <v>43374</v>
      </c>
      <c r="X109" s="156">
        <v>46608</v>
      </c>
      <c r="Y109" s="148" t="s">
        <v>822</v>
      </c>
      <c r="Z109" s="148" t="s">
        <v>823</v>
      </c>
      <c r="AA109" s="148" t="s">
        <v>830</v>
      </c>
      <c r="AB109" s="148">
        <v>5.42834490454287</v>
      </c>
      <c r="AC109" s="148">
        <f>'Cálculo PU'!T164</f>
        <v>5.4430403286940958</v>
      </c>
      <c r="AD109" s="168">
        <f t="shared" si="30"/>
        <v>-1.4695424151225822E-2</v>
      </c>
      <c r="AF109" s="147">
        <v>7177</v>
      </c>
      <c r="AG109" s="156">
        <v>43374</v>
      </c>
      <c r="AH109" s="156">
        <v>46608</v>
      </c>
      <c r="AI109" s="148" t="s">
        <v>822</v>
      </c>
      <c r="AJ109" s="148" t="s">
        <v>823</v>
      </c>
      <c r="AK109" s="148" t="s">
        <v>942</v>
      </c>
      <c r="AL109" s="148">
        <v>12.014014960000001</v>
      </c>
      <c r="AM109" s="148">
        <f>'Cálculo PU'!Q164</f>
        <v>16.338799999999999</v>
      </c>
      <c r="AN109" s="168">
        <f t="shared" si="31"/>
        <v>-4.3247850399999983</v>
      </c>
      <c r="AP109" s="147">
        <v>7178</v>
      </c>
      <c r="AQ109" s="156">
        <v>43374</v>
      </c>
      <c r="AR109" s="156">
        <v>46608</v>
      </c>
      <c r="AS109" s="148" t="s">
        <v>822</v>
      </c>
      <c r="AT109" s="148" t="s">
        <v>823</v>
      </c>
      <c r="AU109" s="148" t="s">
        <v>943</v>
      </c>
      <c r="AV109" s="148">
        <v>2228</v>
      </c>
      <c r="AW109" s="152">
        <f>'Cálculo PU'!L164</f>
        <v>2920</v>
      </c>
      <c r="AX109" s="168">
        <f t="shared" si="32"/>
        <v>-692</v>
      </c>
      <c r="AZ109" s="147">
        <v>7167</v>
      </c>
      <c r="BA109" s="156">
        <v>43374</v>
      </c>
      <c r="BB109" s="156">
        <v>46608</v>
      </c>
      <c r="BC109" s="148" t="s">
        <v>822</v>
      </c>
      <c r="BD109" s="148" t="s">
        <v>823</v>
      </c>
      <c r="BE109" s="148" t="s">
        <v>945</v>
      </c>
      <c r="BF109" s="148">
        <v>1.0021580294750001</v>
      </c>
      <c r="BG109" s="148">
        <f>'Cálculo PU'!N164</f>
        <v>1.0021580294747356</v>
      </c>
      <c r="BH109" s="168">
        <f t="shared" si="33"/>
        <v>2.6445512446571229E-13</v>
      </c>
      <c r="BJ109" s="147">
        <v>7192</v>
      </c>
      <c r="BK109" s="156">
        <v>43374</v>
      </c>
      <c r="BL109" s="156">
        <v>46608</v>
      </c>
      <c r="BM109" s="148" t="s">
        <v>822</v>
      </c>
      <c r="BN109" s="148" t="s">
        <v>823</v>
      </c>
      <c r="BO109" s="148" t="s">
        <v>827</v>
      </c>
      <c r="BP109" s="148">
        <v>1.2440069285140001</v>
      </c>
      <c r="BQ109" s="148">
        <f>'Cálculo PU'!O164</f>
        <v>1.3312942173120059</v>
      </c>
      <c r="BR109" s="168">
        <f t="shared" si="34"/>
        <v>-8.7287288798005847E-2</v>
      </c>
      <c r="BT109" s="147">
        <v>7166</v>
      </c>
      <c r="BU109" s="156">
        <v>43374</v>
      </c>
      <c r="BV109" s="156">
        <v>46608</v>
      </c>
      <c r="BW109" s="148" t="s">
        <v>822</v>
      </c>
      <c r="BX109" s="148" t="s">
        <v>823</v>
      </c>
      <c r="BY109" s="148" t="s">
        <v>946</v>
      </c>
      <c r="BZ109" s="148">
        <v>1.0106329300000001</v>
      </c>
      <c r="CA109" s="148">
        <f>'Cálculo PU'!S164</f>
        <v>1.01336888</v>
      </c>
      <c r="CB109" s="168">
        <f t="shared" si="35"/>
        <v>-2.7359499999999315E-3</v>
      </c>
      <c r="CD109">
        <v>7053</v>
      </c>
      <c r="CE109" s="215">
        <v>46576</v>
      </c>
      <c r="CF109" s="215">
        <v>46608</v>
      </c>
      <c r="CG109" t="s">
        <v>822</v>
      </c>
      <c r="CH109" t="s">
        <v>823</v>
      </c>
      <c r="CI109" t="s">
        <v>1713</v>
      </c>
      <c r="CJ109">
        <v>1.0021580294747401</v>
      </c>
      <c r="CK109">
        <f t="shared" si="26"/>
        <v>1.0021580294747356</v>
      </c>
      <c r="CL109" s="246">
        <f t="shared" si="27"/>
        <v>46576</v>
      </c>
      <c r="CM109" s="246">
        <f>'Cálculo PU'!G163</f>
        <v>46576</v>
      </c>
      <c r="CN109" s="215">
        <f t="shared" si="28"/>
        <v>46608</v>
      </c>
      <c r="CO109" s="215">
        <f>'Cálculo PU'!G164</f>
        <v>46608</v>
      </c>
      <c r="CQ109">
        <v>5289</v>
      </c>
      <c r="CR109" s="215">
        <v>44965</v>
      </c>
      <c r="CS109" s="215">
        <v>44993</v>
      </c>
      <c r="CT109" t="s">
        <v>822</v>
      </c>
      <c r="CU109" t="s">
        <v>823</v>
      </c>
      <c r="CV109" t="s">
        <v>1714</v>
      </c>
      <c r="CW109">
        <v>2.5</v>
      </c>
    </row>
    <row r="110" spans="2:101">
      <c r="B110" s="147">
        <v>7232</v>
      </c>
      <c r="C110" s="156">
        <v>43374</v>
      </c>
      <c r="D110" s="156">
        <v>46639</v>
      </c>
      <c r="E110" s="148" t="s">
        <v>822</v>
      </c>
      <c r="F110" s="148" t="s">
        <v>823</v>
      </c>
      <c r="G110" s="148" t="s">
        <v>825</v>
      </c>
      <c r="H110" s="148">
        <v>1.2576490982119199</v>
      </c>
      <c r="I110" s="148">
        <f>'Cálculo PU'!V165</f>
        <v>0.55482811194323245</v>
      </c>
      <c r="J110" s="168">
        <f t="shared" si="25"/>
        <v>0.7028209862686875</v>
      </c>
      <c r="L110" s="147">
        <v>7218</v>
      </c>
      <c r="M110" s="156">
        <v>43374</v>
      </c>
      <c r="N110" s="156">
        <v>46639</v>
      </c>
      <c r="O110" s="148" t="s">
        <v>822</v>
      </c>
      <c r="P110" s="148" t="s">
        <v>823</v>
      </c>
      <c r="Q110" s="148" t="s">
        <v>824</v>
      </c>
      <c r="R110" s="148">
        <v>1.56790084515951</v>
      </c>
      <c r="S110" s="148">
        <f>'Cálculo PU'!U165</f>
        <v>0.74023363461418734</v>
      </c>
      <c r="T110" s="168">
        <f t="shared" si="29"/>
        <v>0.82766721054532266</v>
      </c>
      <c r="V110" s="147">
        <v>7204</v>
      </c>
      <c r="W110" s="156">
        <v>43374</v>
      </c>
      <c r="X110" s="156">
        <v>46639</v>
      </c>
      <c r="Y110" s="148" t="s">
        <v>822</v>
      </c>
      <c r="Z110" s="148" t="s">
        <v>823</v>
      </c>
      <c r="AA110" s="148" t="s">
        <v>830</v>
      </c>
      <c r="AB110" s="148">
        <v>4.3205825608986501</v>
      </c>
      <c r="AC110" s="148">
        <f>'Cálculo PU'!T165</f>
        <v>4.3322790898461392</v>
      </c>
      <c r="AD110" s="168">
        <f t="shared" si="30"/>
        <v>-1.1696528947489071E-2</v>
      </c>
      <c r="AF110" s="147">
        <v>7216</v>
      </c>
      <c r="AG110" s="156">
        <v>43374</v>
      </c>
      <c r="AH110" s="156">
        <v>46639</v>
      </c>
      <c r="AI110" s="148" t="s">
        <v>822</v>
      </c>
      <c r="AJ110" s="148" t="s">
        <v>823</v>
      </c>
      <c r="AK110" s="148" t="s">
        <v>942</v>
      </c>
      <c r="AL110" s="148">
        <v>12.022447229999999</v>
      </c>
      <c r="AM110" s="148">
        <f>'Cálculo PU'!Q165</f>
        <v>16.339700000000001</v>
      </c>
      <c r="AN110" s="168">
        <f t="shared" si="31"/>
        <v>-4.3172527700000014</v>
      </c>
      <c r="AP110" s="147">
        <v>7217</v>
      </c>
      <c r="AQ110" s="156">
        <v>43374</v>
      </c>
      <c r="AR110" s="156">
        <v>46639</v>
      </c>
      <c r="AS110" s="148" t="s">
        <v>822</v>
      </c>
      <c r="AT110" s="148" t="s">
        <v>823</v>
      </c>
      <c r="AU110" s="148" t="s">
        <v>943</v>
      </c>
      <c r="AV110" s="148">
        <v>2250</v>
      </c>
      <c r="AW110" s="152">
        <f>'Cálculo PU'!L165</f>
        <v>2942</v>
      </c>
      <c r="AX110" s="168">
        <f t="shared" si="32"/>
        <v>-692</v>
      </c>
      <c r="AZ110" s="147">
        <v>7206</v>
      </c>
      <c r="BA110" s="156">
        <v>43374</v>
      </c>
      <c r="BB110" s="156">
        <v>46639</v>
      </c>
      <c r="BC110" s="148" t="s">
        <v>822</v>
      </c>
      <c r="BD110" s="148" t="s">
        <v>823</v>
      </c>
      <c r="BE110" s="148" t="s">
        <v>945</v>
      </c>
      <c r="BF110" s="148">
        <v>1.0021580294750001</v>
      </c>
      <c r="BG110" s="148">
        <f>'Cálculo PU'!N165</f>
        <v>1.0021580294747356</v>
      </c>
      <c r="BH110" s="168">
        <f t="shared" si="33"/>
        <v>2.6445512446571229E-13</v>
      </c>
      <c r="BJ110" s="147">
        <v>7231</v>
      </c>
      <c r="BK110" s="156">
        <v>43374</v>
      </c>
      <c r="BL110" s="156">
        <v>46639</v>
      </c>
      <c r="BM110" s="148" t="s">
        <v>822</v>
      </c>
      <c r="BN110" s="148" t="s">
        <v>823</v>
      </c>
      <c r="BO110" s="148" t="s">
        <v>827</v>
      </c>
      <c r="BP110" s="148">
        <v>1.2466918215809999</v>
      </c>
      <c r="BQ110" s="148">
        <f>'Cálculo PU'!O165</f>
        <v>1.3341674992306893</v>
      </c>
      <c r="BR110" s="168">
        <f t="shared" si="34"/>
        <v>-8.7475677649689443E-2</v>
      </c>
      <c r="BT110" s="147">
        <v>7205</v>
      </c>
      <c r="BU110" s="156">
        <v>43374</v>
      </c>
      <c r="BV110" s="156">
        <v>46639</v>
      </c>
      <c r="BW110" s="148" t="s">
        <v>822</v>
      </c>
      <c r="BX110" s="148" t="s">
        <v>823</v>
      </c>
      <c r="BY110" s="148" t="s">
        <v>946</v>
      </c>
      <c r="BZ110" s="148">
        <v>1.0106329300000001</v>
      </c>
      <c r="CA110" s="148">
        <f>'Cálculo PU'!S165</f>
        <v>1.01336888</v>
      </c>
      <c r="CB110" s="168">
        <f t="shared" si="35"/>
        <v>-2.7359499999999315E-3</v>
      </c>
      <c r="CD110">
        <v>7091</v>
      </c>
      <c r="CE110" s="215">
        <v>46608</v>
      </c>
      <c r="CF110" s="215">
        <v>46639</v>
      </c>
      <c r="CG110" t="s">
        <v>822</v>
      </c>
      <c r="CH110" t="s">
        <v>823</v>
      </c>
      <c r="CI110" t="s">
        <v>1713</v>
      </c>
      <c r="CJ110">
        <v>1.0021580294747401</v>
      </c>
      <c r="CK110">
        <f t="shared" si="26"/>
        <v>1.0021580294747356</v>
      </c>
      <c r="CL110" s="246">
        <f t="shared" si="27"/>
        <v>46608</v>
      </c>
      <c r="CM110" s="246">
        <f>'Cálculo PU'!G164</f>
        <v>46608</v>
      </c>
      <c r="CN110" s="215">
        <f t="shared" si="28"/>
        <v>46639</v>
      </c>
      <c r="CO110" s="215">
        <f>'Cálculo PU'!G165</f>
        <v>46639</v>
      </c>
      <c r="CQ110">
        <v>5291</v>
      </c>
      <c r="CR110" s="215">
        <v>44965</v>
      </c>
      <c r="CS110" s="215">
        <v>44993</v>
      </c>
      <c r="CT110" t="s">
        <v>822</v>
      </c>
      <c r="CU110" t="s">
        <v>823</v>
      </c>
      <c r="CV110" t="s">
        <v>1714</v>
      </c>
      <c r="CW110">
        <v>2.5</v>
      </c>
    </row>
    <row r="111" spans="2:101">
      <c r="B111" s="147">
        <v>7271</v>
      </c>
      <c r="C111" s="156">
        <v>43374</v>
      </c>
      <c r="D111" s="156">
        <v>46671</v>
      </c>
      <c r="E111" s="148" t="s">
        <v>822</v>
      </c>
      <c r="F111" s="148" t="s">
        <v>823</v>
      </c>
      <c r="G111" s="148" t="s">
        <v>825</v>
      </c>
      <c r="H111" s="148">
        <v>0.92731213403011703</v>
      </c>
      <c r="I111" s="148">
        <f>'Cálculo PU'!V166</f>
        <v>0.3894686074750674</v>
      </c>
      <c r="J111" s="168">
        <f t="shared" si="25"/>
        <v>0.53784352655504963</v>
      </c>
      <c r="L111" s="147">
        <v>7257</v>
      </c>
      <c r="M111" s="156">
        <v>43374</v>
      </c>
      <c r="N111" s="156">
        <v>46671</v>
      </c>
      <c r="O111" s="148" t="s">
        <v>822</v>
      </c>
      <c r="P111" s="148" t="s">
        <v>823</v>
      </c>
      <c r="Q111" s="148" t="s">
        <v>824</v>
      </c>
      <c r="R111" s="148">
        <v>1.1584540302556701</v>
      </c>
      <c r="S111" s="148">
        <f>'Cálculo PU'!U166</f>
        <v>0.52068679807924567</v>
      </c>
      <c r="T111" s="168">
        <f t="shared" si="29"/>
        <v>0.63776723217642439</v>
      </c>
      <c r="V111" s="147">
        <v>7243</v>
      </c>
      <c r="W111" s="156">
        <v>43374</v>
      </c>
      <c r="X111" s="156">
        <v>46671</v>
      </c>
      <c r="Y111" s="148" t="s">
        <v>822</v>
      </c>
      <c r="Z111" s="148" t="s">
        <v>823</v>
      </c>
      <c r="AA111" s="148" t="s">
        <v>830</v>
      </c>
      <c r="AB111" s="148">
        <v>3.2246840770479901</v>
      </c>
      <c r="AC111" s="148">
        <f>'Cálculo PU'!T166</f>
        <v>3.0862892081603692</v>
      </c>
      <c r="AD111" s="168">
        <f t="shared" si="30"/>
        <v>0.13839486888762087</v>
      </c>
      <c r="AF111" s="147">
        <v>7255</v>
      </c>
      <c r="AG111" s="156">
        <v>43374</v>
      </c>
      <c r="AH111" s="156">
        <v>46671</v>
      </c>
      <c r="AI111" s="148" t="s">
        <v>822</v>
      </c>
      <c r="AJ111" s="148" t="s">
        <v>823</v>
      </c>
      <c r="AK111" s="148" t="s">
        <v>942</v>
      </c>
      <c r="AL111" s="148">
        <v>12.030344380000001</v>
      </c>
      <c r="AM111" s="148">
        <f>'Cálculo PU'!Q166</f>
        <v>16.340499999999999</v>
      </c>
      <c r="AN111" s="168">
        <f t="shared" si="31"/>
        <v>-4.310155619999998</v>
      </c>
      <c r="AP111" s="147">
        <v>7256</v>
      </c>
      <c r="AQ111" s="156">
        <v>43374</v>
      </c>
      <c r="AR111" s="156">
        <v>46671</v>
      </c>
      <c r="AS111" s="148" t="s">
        <v>822</v>
      </c>
      <c r="AT111" s="148" t="s">
        <v>823</v>
      </c>
      <c r="AU111" s="148" t="s">
        <v>943</v>
      </c>
      <c r="AV111" s="148">
        <v>2271</v>
      </c>
      <c r="AW111" s="152">
        <f>'Cálculo PU'!L166</f>
        <v>2963</v>
      </c>
      <c r="AX111" s="168">
        <f t="shared" si="32"/>
        <v>-692</v>
      </c>
      <c r="AZ111" s="147">
        <v>7245</v>
      </c>
      <c r="BA111" s="156">
        <v>43374</v>
      </c>
      <c r="BB111" s="156">
        <v>46671</v>
      </c>
      <c r="BC111" s="148" t="s">
        <v>822</v>
      </c>
      <c r="BD111" s="148" t="s">
        <v>823</v>
      </c>
      <c r="BE111" s="148" t="s">
        <v>945</v>
      </c>
      <c r="BF111" s="148">
        <v>1.0021580294750001</v>
      </c>
      <c r="BG111" s="148">
        <f>'Cálculo PU'!N166</f>
        <v>1.0020598362698427</v>
      </c>
      <c r="BH111" s="168">
        <f t="shared" si="33"/>
        <v>9.8193205157359742E-5</v>
      </c>
      <c r="BJ111" s="147">
        <v>7270</v>
      </c>
      <c r="BK111" s="156">
        <v>43374</v>
      </c>
      <c r="BL111" s="156">
        <v>46671</v>
      </c>
      <c r="BM111" s="148" t="s">
        <v>822</v>
      </c>
      <c r="BN111" s="148" t="s">
        <v>823</v>
      </c>
      <c r="BO111" s="148" t="s">
        <v>827</v>
      </c>
      <c r="BP111" s="148">
        <v>1.2492600794740001</v>
      </c>
      <c r="BQ111" s="148">
        <f>'Cálculo PU'!O166</f>
        <v>1.336915962123028</v>
      </c>
      <c r="BR111" s="168">
        <f t="shared" si="34"/>
        <v>-8.7655882649027905E-2</v>
      </c>
      <c r="BT111" s="147">
        <v>7244</v>
      </c>
      <c r="BU111" s="156">
        <v>43374</v>
      </c>
      <c r="BV111" s="156">
        <v>46671</v>
      </c>
      <c r="BW111" s="148" t="s">
        <v>822</v>
      </c>
      <c r="BX111" s="148" t="s">
        <v>823</v>
      </c>
      <c r="BY111" s="148" t="s">
        <v>946</v>
      </c>
      <c r="BZ111" s="148">
        <v>1.0106329300000001</v>
      </c>
      <c r="CA111" s="148">
        <f>'Cálculo PU'!S166</f>
        <v>1.01336888</v>
      </c>
      <c r="CB111" s="168">
        <f t="shared" si="35"/>
        <v>-2.7359499999999315E-3</v>
      </c>
      <c r="CD111">
        <v>7129</v>
      </c>
      <c r="CE111" s="215">
        <v>46639</v>
      </c>
      <c r="CF111" s="215">
        <v>46671</v>
      </c>
      <c r="CG111" t="s">
        <v>822</v>
      </c>
      <c r="CH111" t="s">
        <v>823</v>
      </c>
      <c r="CI111" t="s">
        <v>1713</v>
      </c>
      <c r="CJ111">
        <v>1.0021580294747401</v>
      </c>
      <c r="CK111">
        <f t="shared" si="26"/>
        <v>1.0020598362698427</v>
      </c>
      <c r="CL111" s="246">
        <f t="shared" si="27"/>
        <v>46639</v>
      </c>
      <c r="CM111" s="246">
        <f>'Cálculo PU'!G165</f>
        <v>46639</v>
      </c>
      <c r="CN111" s="215">
        <f t="shared" si="28"/>
        <v>46671</v>
      </c>
      <c r="CO111" s="215">
        <f>'Cálculo PU'!G166</f>
        <v>46671</v>
      </c>
      <c r="CQ111">
        <v>5329</v>
      </c>
      <c r="CR111" s="215">
        <v>44993</v>
      </c>
      <c r="CS111" s="215">
        <v>45027</v>
      </c>
      <c r="CT111" t="s">
        <v>822</v>
      </c>
      <c r="CU111" t="s">
        <v>823</v>
      </c>
      <c r="CV111" t="s">
        <v>1714</v>
      </c>
      <c r="CW111">
        <v>2.5</v>
      </c>
    </row>
    <row r="112" spans="2:101">
      <c r="B112" s="147">
        <v>7310</v>
      </c>
      <c r="C112" s="156">
        <v>43374</v>
      </c>
      <c r="D112" s="156">
        <v>46701</v>
      </c>
      <c r="E112" s="148" t="s">
        <v>822</v>
      </c>
      <c r="F112" s="148" t="s">
        <v>823</v>
      </c>
      <c r="G112" s="148" t="s">
        <v>825</v>
      </c>
      <c r="H112" s="148">
        <v>0.55230269108170804</v>
      </c>
      <c r="I112" s="148">
        <f>'Cálculo PU'!V167</f>
        <v>0.24236494019962382</v>
      </c>
      <c r="J112" s="168">
        <f t="shared" si="25"/>
        <v>0.3099377508820842</v>
      </c>
      <c r="L112" s="147">
        <v>7296</v>
      </c>
      <c r="M112" s="156">
        <v>43374</v>
      </c>
      <c r="N112" s="156">
        <v>46701</v>
      </c>
      <c r="O112" s="148" t="s">
        <v>822</v>
      </c>
      <c r="P112" s="148" t="s">
        <v>823</v>
      </c>
      <c r="Q112" s="148" t="s">
        <v>824</v>
      </c>
      <c r="R112" s="148">
        <v>0.69132333059244899</v>
      </c>
      <c r="S112" s="148">
        <f>'Cálculo PU'!U167</f>
        <v>0.32465724349426384</v>
      </c>
      <c r="T112" s="168">
        <f t="shared" si="29"/>
        <v>0.36666608709818516</v>
      </c>
      <c r="V112" s="147">
        <v>7282</v>
      </c>
      <c r="W112" s="156">
        <v>43374</v>
      </c>
      <c r="X112" s="156">
        <v>46701</v>
      </c>
      <c r="Y112" s="148" t="s">
        <v>822</v>
      </c>
      <c r="Z112" s="148" t="s">
        <v>823</v>
      </c>
      <c r="AA112" s="148" t="s">
        <v>830</v>
      </c>
      <c r="AB112" s="148">
        <v>1.94296708297839</v>
      </c>
      <c r="AC112" s="148">
        <f>'Cálculo PU'!T167</f>
        <v>1.9477482491242994</v>
      </c>
      <c r="AD112" s="168">
        <f t="shared" si="30"/>
        <v>-4.781166145909399E-3</v>
      </c>
      <c r="AF112" s="147">
        <v>7294</v>
      </c>
      <c r="AG112" s="156">
        <v>43374</v>
      </c>
      <c r="AH112" s="156">
        <v>46701</v>
      </c>
      <c r="AI112" s="148" t="s">
        <v>822</v>
      </c>
      <c r="AJ112" s="148" t="s">
        <v>823</v>
      </c>
      <c r="AK112" s="148" t="s">
        <v>942</v>
      </c>
      <c r="AL112" s="148">
        <v>12.03773138</v>
      </c>
      <c r="AM112" s="148">
        <f>'Cálculo PU'!Q167</f>
        <v>16.341200000000001</v>
      </c>
      <c r="AN112" s="168">
        <f t="shared" si="31"/>
        <v>-4.3034686200000003</v>
      </c>
      <c r="AP112" s="147">
        <v>7295</v>
      </c>
      <c r="AQ112" s="156">
        <v>43374</v>
      </c>
      <c r="AR112" s="156">
        <v>46701</v>
      </c>
      <c r="AS112" s="148" t="s">
        <v>822</v>
      </c>
      <c r="AT112" s="148" t="s">
        <v>823</v>
      </c>
      <c r="AU112" s="148" t="s">
        <v>943</v>
      </c>
      <c r="AV112" s="148">
        <v>2291</v>
      </c>
      <c r="AW112" s="152">
        <f>'Cálculo PU'!L167</f>
        <v>2983</v>
      </c>
      <c r="AX112" s="168">
        <f t="shared" si="32"/>
        <v>-692</v>
      </c>
      <c r="AZ112" s="147">
        <v>7284</v>
      </c>
      <c r="BA112" s="156">
        <v>43374</v>
      </c>
      <c r="BB112" s="156">
        <v>46701</v>
      </c>
      <c r="BC112" s="148" t="s">
        <v>822</v>
      </c>
      <c r="BD112" s="148" t="s">
        <v>823</v>
      </c>
      <c r="BE112" s="148" t="s">
        <v>945</v>
      </c>
      <c r="BF112" s="148">
        <v>1.001961652686</v>
      </c>
      <c r="BG112" s="148">
        <f>'Cálculo PU'!N167</f>
        <v>1.0019616526860928</v>
      </c>
      <c r="BH112" s="168">
        <f t="shared" si="33"/>
        <v>-9.2814644858663087E-14</v>
      </c>
      <c r="BJ112" s="147">
        <v>7309</v>
      </c>
      <c r="BK112" s="156">
        <v>43374</v>
      </c>
      <c r="BL112" s="156">
        <v>46701</v>
      </c>
      <c r="BM112" s="148" t="s">
        <v>822</v>
      </c>
      <c r="BN112" s="148" t="s">
        <v>823</v>
      </c>
      <c r="BO112" s="148" t="s">
        <v>827</v>
      </c>
      <c r="BP112" s="148">
        <v>1.251710958059</v>
      </c>
      <c r="BQ112" s="148">
        <f>'Cálculo PU'!O167</f>
        <v>1.3395388096432594</v>
      </c>
      <c r="BR112" s="168">
        <f t="shared" si="34"/>
        <v>-8.7827851584259431E-2</v>
      </c>
      <c r="BT112" s="147">
        <v>7283</v>
      </c>
      <c r="BU112" s="156">
        <v>43374</v>
      </c>
      <c r="BV112" s="156">
        <v>46701</v>
      </c>
      <c r="BW112" s="148" t="s">
        <v>822</v>
      </c>
      <c r="BX112" s="148" t="s">
        <v>823</v>
      </c>
      <c r="BY112" s="148" t="s">
        <v>946</v>
      </c>
      <c r="BZ112" s="148">
        <v>1.00966165</v>
      </c>
      <c r="CA112" s="148">
        <f>'Cálculo PU'!S167</f>
        <v>1.01214618</v>
      </c>
      <c r="CB112" s="168">
        <f t="shared" si="35"/>
        <v>-2.4845300000000403E-3</v>
      </c>
      <c r="CD112">
        <v>7167</v>
      </c>
      <c r="CE112" s="215">
        <v>46671</v>
      </c>
      <c r="CF112" s="215">
        <v>46701</v>
      </c>
      <c r="CG112" t="s">
        <v>822</v>
      </c>
      <c r="CH112" t="s">
        <v>823</v>
      </c>
      <c r="CI112" t="s">
        <v>1713</v>
      </c>
      <c r="CJ112">
        <v>1.0019616526860899</v>
      </c>
      <c r="CK112">
        <f t="shared" si="26"/>
        <v>1.0019616526860928</v>
      </c>
      <c r="CL112" s="246">
        <f t="shared" si="27"/>
        <v>46671</v>
      </c>
      <c r="CM112" s="246">
        <f>'Cálculo PU'!G166</f>
        <v>46671</v>
      </c>
      <c r="CN112" s="215">
        <f t="shared" si="28"/>
        <v>46701</v>
      </c>
      <c r="CO112" s="215">
        <f>'Cálculo PU'!G167</f>
        <v>46701</v>
      </c>
      <c r="CQ112">
        <v>5331</v>
      </c>
      <c r="CR112" s="215">
        <v>44993</v>
      </c>
      <c r="CS112" s="215">
        <v>45027</v>
      </c>
      <c r="CT112" t="s">
        <v>822</v>
      </c>
      <c r="CU112" t="s">
        <v>823</v>
      </c>
      <c r="CV112" t="s">
        <v>1714</v>
      </c>
      <c r="CW112">
        <v>2.5</v>
      </c>
    </row>
    <row r="113" spans="2:101" ht="15.75" thickBot="1">
      <c r="B113" s="147">
        <v>7349</v>
      </c>
      <c r="C113" s="156">
        <v>43374</v>
      </c>
      <c r="D113" s="156">
        <v>46729</v>
      </c>
      <c r="E113" s="148" t="s">
        <v>822</v>
      </c>
      <c r="F113" s="148" t="s">
        <v>823</v>
      </c>
      <c r="G113" s="148" t="s">
        <v>825</v>
      </c>
      <c r="H113" s="148">
        <v>0.25792708258375202</v>
      </c>
      <c r="I113" s="148">
        <f>'Cálculo PU'!V168</f>
        <v>0.11883973374869755</v>
      </c>
      <c r="J113" s="168">
        <f t="shared" si="25"/>
        <v>0.13908734883505447</v>
      </c>
      <c r="L113" s="147">
        <v>7335</v>
      </c>
      <c r="M113" s="156">
        <v>43374</v>
      </c>
      <c r="N113" s="156">
        <v>46729</v>
      </c>
      <c r="O113" s="148" t="s">
        <v>822</v>
      </c>
      <c r="P113" s="148" t="s">
        <v>823</v>
      </c>
      <c r="Q113" s="148" t="s">
        <v>824</v>
      </c>
      <c r="R113" s="148">
        <v>0.323483543801936</v>
      </c>
      <c r="S113" s="148">
        <f>'Cálculo PU'!U168</f>
        <v>0.15950274549513985</v>
      </c>
      <c r="T113" s="168">
        <f t="shared" si="29"/>
        <v>0.16398079830679615</v>
      </c>
      <c r="V113" s="147">
        <v>7321</v>
      </c>
      <c r="W113" s="156">
        <v>43374</v>
      </c>
      <c r="X113" s="156">
        <v>46729</v>
      </c>
      <c r="Y113" s="148" t="s">
        <v>822</v>
      </c>
      <c r="Z113" s="148" t="s">
        <v>823</v>
      </c>
      <c r="AA113" s="148" t="s">
        <v>830</v>
      </c>
      <c r="AB113" s="148">
        <v>0.917935747050172</v>
      </c>
      <c r="AC113" s="148">
        <f>'Cálculo PU'!T168</f>
        <v>0.96855430308044888</v>
      </c>
      <c r="AD113" s="168">
        <f t="shared" si="30"/>
        <v>-5.0618556030276873E-2</v>
      </c>
      <c r="AF113" s="147">
        <v>7333</v>
      </c>
      <c r="AG113" s="156">
        <v>43374</v>
      </c>
      <c r="AH113" s="156">
        <v>46729</v>
      </c>
      <c r="AI113" s="148" t="s">
        <v>822</v>
      </c>
      <c r="AJ113" s="148" t="s">
        <v>823</v>
      </c>
      <c r="AK113" s="148" t="s">
        <v>942</v>
      </c>
      <c r="AL113" s="148">
        <v>12.044991</v>
      </c>
      <c r="AM113" s="148">
        <f>'Cálculo PU'!Q168</f>
        <v>16.341899999999999</v>
      </c>
      <c r="AN113" s="168">
        <f t="shared" si="31"/>
        <v>-4.2969089999999994</v>
      </c>
      <c r="AP113" s="147">
        <v>7334</v>
      </c>
      <c r="AQ113" s="156">
        <v>43374</v>
      </c>
      <c r="AR113" s="156">
        <v>46729</v>
      </c>
      <c r="AS113" s="148" t="s">
        <v>822</v>
      </c>
      <c r="AT113" s="148" t="s">
        <v>823</v>
      </c>
      <c r="AU113" s="148" t="s">
        <v>943</v>
      </c>
      <c r="AV113" s="148">
        <v>2311</v>
      </c>
      <c r="AW113" s="152">
        <f>'Cálculo PU'!L168</f>
        <v>3003</v>
      </c>
      <c r="AX113" s="168">
        <f t="shared" si="32"/>
        <v>-692</v>
      </c>
      <c r="AZ113" s="147">
        <v>7323</v>
      </c>
      <c r="BA113" s="156">
        <v>43374</v>
      </c>
      <c r="BB113" s="156">
        <v>46729</v>
      </c>
      <c r="BC113" s="148" t="s">
        <v>822</v>
      </c>
      <c r="BD113" s="148" t="s">
        <v>823</v>
      </c>
      <c r="BE113" s="148" t="s">
        <v>945</v>
      </c>
      <c r="BF113" s="148">
        <v>1.0018634787230001</v>
      </c>
      <c r="BG113" s="148">
        <f>'Cálculo PU'!N168</f>
        <v>1.0019616526860928</v>
      </c>
      <c r="BH113" s="168">
        <f t="shared" si="33"/>
        <v>-9.8173963092751393E-5</v>
      </c>
      <c r="BJ113" s="147">
        <v>7348</v>
      </c>
      <c r="BK113" s="156">
        <v>43374</v>
      </c>
      <c r="BL113" s="156">
        <v>46729</v>
      </c>
      <c r="BM113" s="148" t="s">
        <v>822</v>
      </c>
      <c r="BN113" s="148" t="s">
        <v>823</v>
      </c>
      <c r="BO113" s="148" t="s">
        <v>827</v>
      </c>
      <c r="BP113" s="148">
        <v>1.254166644935</v>
      </c>
      <c r="BQ113" s="148">
        <f>'Cálculo PU'!O168</f>
        <v>1.3421668028340559</v>
      </c>
      <c r="BR113" s="168">
        <f t="shared" si="34"/>
        <v>-8.8000157899055909E-2</v>
      </c>
      <c r="BT113" s="147">
        <v>7322</v>
      </c>
      <c r="BU113" s="156">
        <v>43374</v>
      </c>
      <c r="BV113" s="156">
        <v>46729</v>
      </c>
      <c r="BW113" s="148" t="s">
        <v>822</v>
      </c>
      <c r="BX113" s="148" t="s">
        <v>823</v>
      </c>
      <c r="BY113" s="148" t="s">
        <v>946</v>
      </c>
      <c r="BZ113" s="148">
        <v>1.0091763499999999</v>
      </c>
      <c r="CA113" s="148">
        <f>'Cálculo PU'!S168</f>
        <v>1.01153538</v>
      </c>
      <c r="CB113" s="173">
        <f t="shared" si="35"/>
        <v>-2.3590300000000397E-3</v>
      </c>
      <c r="CD113">
        <v>7205</v>
      </c>
      <c r="CE113" s="215">
        <v>46701</v>
      </c>
      <c r="CF113" s="215">
        <v>46729</v>
      </c>
      <c r="CG113" t="s">
        <v>822</v>
      </c>
      <c r="CH113" t="s">
        <v>823</v>
      </c>
      <c r="CI113" t="s">
        <v>1713</v>
      </c>
      <c r="CJ113">
        <v>1.00186347872254</v>
      </c>
      <c r="CK113">
        <f t="shared" si="26"/>
        <v>1.0019616526860928</v>
      </c>
      <c r="CL113" s="246">
        <f t="shared" si="27"/>
        <v>46701</v>
      </c>
      <c r="CM113" s="246">
        <f>'Cálculo PU'!G167</f>
        <v>46701</v>
      </c>
      <c r="CN113" s="215">
        <f t="shared" si="28"/>
        <v>46729</v>
      </c>
      <c r="CO113" s="215">
        <f>'Cálculo PU'!G168</f>
        <v>46729</v>
      </c>
      <c r="CQ113">
        <v>5369</v>
      </c>
      <c r="CR113" s="215">
        <v>45027</v>
      </c>
      <c r="CS113" s="215">
        <v>45055</v>
      </c>
      <c r="CT113" t="s">
        <v>822</v>
      </c>
      <c r="CU113" t="s">
        <v>823</v>
      </c>
      <c r="CV113" t="s">
        <v>1714</v>
      </c>
      <c r="CW113">
        <v>2.5</v>
      </c>
    </row>
    <row r="114" spans="2:101">
      <c r="B114" s="148"/>
      <c r="C114" s="156"/>
      <c r="D114" s="156"/>
      <c r="E114" s="148"/>
      <c r="F114" s="148"/>
      <c r="G114" s="148"/>
      <c r="H114" s="148"/>
      <c r="I114" s="148"/>
      <c r="J114" s="243"/>
      <c r="K114" s="148"/>
      <c r="L114" s="148"/>
      <c r="M114" s="156"/>
      <c r="N114" s="156"/>
      <c r="O114" s="148"/>
      <c r="P114" s="148"/>
      <c r="Q114" s="148"/>
      <c r="R114" s="148"/>
      <c r="S114" s="148"/>
      <c r="T114" s="243"/>
      <c r="U114" s="148"/>
      <c r="V114" s="148"/>
      <c r="W114" s="156"/>
      <c r="X114" s="156"/>
      <c r="Y114" s="148"/>
      <c r="Z114" s="148"/>
      <c r="AA114" s="148"/>
      <c r="AB114" s="148"/>
      <c r="AC114" s="148"/>
      <c r="AD114" s="243"/>
      <c r="AE114" s="148"/>
      <c r="AF114" s="148"/>
      <c r="AG114" s="156"/>
      <c r="AH114" s="156"/>
      <c r="AI114" s="148"/>
      <c r="AJ114" s="148"/>
      <c r="AK114" s="148"/>
      <c r="AL114" s="148"/>
      <c r="AM114" s="148"/>
      <c r="AN114" s="243"/>
      <c r="AO114" s="148"/>
      <c r="AP114" s="148"/>
      <c r="AQ114" s="156"/>
      <c r="AR114" s="156"/>
      <c r="AS114" s="148"/>
      <c r="AT114" s="148"/>
      <c r="AU114" s="148"/>
      <c r="AV114" s="148"/>
      <c r="AW114" s="148"/>
      <c r="AX114" s="244"/>
      <c r="AY114" s="148"/>
      <c r="AZ114" s="148"/>
      <c r="BA114" s="156"/>
      <c r="BB114" s="156"/>
      <c r="BC114" s="148"/>
      <c r="BD114" s="148"/>
      <c r="BE114" s="148"/>
      <c r="BF114" s="148"/>
      <c r="BG114" s="148"/>
      <c r="BH114" s="243"/>
      <c r="BI114" s="148"/>
      <c r="BJ114" s="148"/>
      <c r="BK114" s="156"/>
      <c r="BL114" s="156"/>
      <c r="BM114" s="148"/>
      <c r="BN114" s="148"/>
      <c r="BO114" s="148"/>
      <c r="BP114" s="148"/>
      <c r="BQ114" s="148"/>
      <c r="BR114" s="243"/>
      <c r="BS114" s="148"/>
      <c r="BT114" s="148"/>
      <c r="BU114" s="156"/>
      <c r="BV114" s="156"/>
      <c r="BW114" s="148"/>
      <c r="BX114" s="148"/>
      <c r="BY114" s="148"/>
      <c r="BZ114" s="148"/>
      <c r="CQ114">
        <v>5371</v>
      </c>
      <c r="CR114" s="215">
        <v>45027</v>
      </c>
      <c r="CS114" s="215">
        <v>45055</v>
      </c>
      <c r="CT114" t="s">
        <v>822</v>
      </c>
      <c r="CU114" t="s">
        <v>823</v>
      </c>
      <c r="CV114" t="s">
        <v>1714</v>
      </c>
      <c r="CW114">
        <v>2.5</v>
      </c>
    </row>
    <row r="115" spans="2:101">
      <c r="B115" s="148"/>
      <c r="C115" s="156"/>
      <c r="D115" s="156"/>
      <c r="E115" s="148"/>
      <c r="F115" s="148"/>
      <c r="G115" s="148"/>
      <c r="H115" s="148"/>
      <c r="I115" s="148"/>
      <c r="J115" s="243"/>
      <c r="K115" s="148"/>
      <c r="L115" s="148"/>
      <c r="M115" s="156"/>
      <c r="N115" s="156"/>
      <c r="O115" s="148"/>
      <c r="P115" s="148"/>
      <c r="Q115" s="148"/>
      <c r="R115" s="148"/>
      <c r="S115" s="148"/>
      <c r="T115" s="243"/>
      <c r="U115" s="148"/>
      <c r="V115" s="148"/>
      <c r="W115" s="156"/>
      <c r="X115" s="156"/>
      <c r="Y115" s="148"/>
      <c r="Z115" s="148"/>
      <c r="AA115" s="148"/>
      <c r="AB115" s="148"/>
      <c r="AC115" s="148"/>
      <c r="AD115" s="243"/>
      <c r="AE115" s="148"/>
      <c r="AF115" s="148"/>
      <c r="AG115" s="156"/>
      <c r="AH115" s="156"/>
      <c r="AI115" s="148"/>
      <c r="AJ115" s="148"/>
      <c r="AK115" s="148"/>
      <c r="AL115" s="148"/>
      <c r="AM115" s="148"/>
      <c r="AN115" s="243"/>
      <c r="AO115" s="148"/>
      <c r="AP115" s="148"/>
      <c r="AQ115" s="156"/>
      <c r="AR115" s="156"/>
      <c r="AS115" s="148"/>
      <c r="AT115" s="148"/>
      <c r="AU115" s="148"/>
      <c r="AV115" s="148"/>
      <c r="AW115" s="148"/>
      <c r="AX115" s="244"/>
      <c r="AY115" s="148"/>
      <c r="AZ115" s="148"/>
      <c r="BA115" s="156"/>
      <c r="BB115" s="156"/>
      <c r="BC115" s="148"/>
      <c r="BD115" s="148"/>
      <c r="BE115" s="148"/>
      <c r="BF115" s="148"/>
      <c r="BG115" s="148"/>
      <c r="BH115" s="243"/>
      <c r="BI115" s="148"/>
      <c r="BJ115" s="148"/>
      <c r="BK115" s="156"/>
      <c r="BL115" s="156"/>
      <c r="BM115" s="148"/>
      <c r="BN115" s="148"/>
      <c r="BO115" s="148"/>
      <c r="BP115" s="148"/>
      <c r="BQ115" s="148"/>
      <c r="BR115" s="243"/>
      <c r="BS115" s="148"/>
      <c r="BT115" s="148"/>
      <c r="BU115" s="156"/>
      <c r="BV115" s="156"/>
      <c r="BW115" s="148"/>
      <c r="BX115" s="148"/>
      <c r="BY115" s="148"/>
      <c r="BZ115" s="148"/>
      <c r="CQ115">
        <v>5409</v>
      </c>
      <c r="CR115" s="215">
        <v>45055</v>
      </c>
      <c r="CS115" s="215">
        <v>45086</v>
      </c>
      <c r="CT115" t="s">
        <v>822</v>
      </c>
      <c r="CU115" t="s">
        <v>823</v>
      </c>
      <c r="CV115" t="s">
        <v>1714</v>
      </c>
      <c r="CW115">
        <v>2.5</v>
      </c>
    </row>
    <row r="116" spans="2:101">
      <c r="B116" s="148"/>
      <c r="C116" s="156"/>
      <c r="D116" s="156"/>
      <c r="E116" s="148"/>
      <c r="F116" s="148"/>
      <c r="G116" s="148"/>
      <c r="H116" s="148"/>
      <c r="I116" s="148"/>
      <c r="J116" s="243"/>
      <c r="K116" s="148"/>
      <c r="L116" s="148"/>
      <c r="M116" s="156"/>
      <c r="N116" s="156"/>
      <c r="O116" s="148"/>
      <c r="P116" s="148"/>
      <c r="Q116" s="148"/>
      <c r="R116" s="148"/>
      <c r="S116" s="148"/>
      <c r="T116" s="243"/>
      <c r="U116" s="148"/>
      <c r="V116" s="148"/>
      <c r="W116" s="156"/>
      <c r="X116" s="156"/>
      <c r="Y116" s="148"/>
      <c r="Z116" s="148"/>
      <c r="AA116" s="148"/>
      <c r="AB116" s="148"/>
      <c r="AC116" s="148"/>
      <c r="AD116" s="243"/>
      <c r="AE116" s="148"/>
      <c r="AF116" s="148"/>
      <c r="AG116" s="156"/>
      <c r="AH116" s="156"/>
      <c r="AI116" s="148"/>
      <c r="AJ116" s="148"/>
      <c r="AK116" s="148"/>
      <c r="AL116" s="148"/>
      <c r="AM116" s="148"/>
      <c r="AN116" s="243"/>
      <c r="AO116" s="148"/>
      <c r="AP116" s="148"/>
      <c r="AQ116" s="156"/>
      <c r="AR116" s="156"/>
      <c r="AS116" s="148"/>
      <c r="AT116" s="148"/>
      <c r="AU116" s="148"/>
      <c r="AV116" s="148"/>
      <c r="AW116" s="148"/>
      <c r="AX116" s="244"/>
      <c r="AY116" s="148"/>
      <c r="AZ116" s="148"/>
      <c r="BA116" s="156"/>
      <c r="BB116" s="156"/>
      <c r="BC116" s="148"/>
      <c r="BD116" s="148"/>
      <c r="BE116" s="148"/>
      <c r="BF116" s="148"/>
      <c r="BG116" s="148"/>
      <c r="BH116" s="243"/>
      <c r="BI116" s="148"/>
      <c r="BJ116" s="148"/>
      <c r="BK116" s="156"/>
      <c r="BL116" s="156"/>
      <c r="BM116" s="148"/>
      <c r="BN116" s="148"/>
      <c r="BO116" s="148"/>
      <c r="BP116" s="148"/>
      <c r="BQ116" s="148"/>
      <c r="BR116" s="243"/>
      <c r="BS116" s="148"/>
      <c r="BT116" s="148"/>
      <c r="BU116" s="156"/>
      <c r="BV116" s="156"/>
      <c r="BW116" s="148"/>
      <c r="BX116" s="148"/>
      <c r="BY116" s="148"/>
      <c r="BZ116" s="148"/>
      <c r="CQ116">
        <v>5411</v>
      </c>
      <c r="CR116" s="215">
        <v>45055</v>
      </c>
      <c r="CS116" s="215">
        <v>45086</v>
      </c>
      <c r="CT116" t="s">
        <v>822</v>
      </c>
      <c r="CU116" t="s">
        <v>823</v>
      </c>
      <c r="CV116" t="s">
        <v>1714</v>
      </c>
      <c r="CW116">
        <v>2.5</v>
      </c>
    </row>
    <row r="117" spans="2:101">
      <c r="B117" s="148"/>
      <c r="C117" s="156"/>
      <c r="D117" s="156"/>
      <c r="E117" s="148"/>
      <c r="F117" s="148"/>
      <c r="G117" s="148"/>
      <c r="H117" s="148"/>
      <c r="I117" s="148"/>
      <c r="J117" s="243"/>
      <c r="K117" s="148"/>
      <c r="L117" s="148"/>
      <c r="M117" s="156"/>
      <c r="N117" s="156"/>
      <c r="O117" s="148"/>
      <c r="P117" s="148"/>
      <c r="Q117" s="148"/>
      <c r="R117" s="148"/>
      <c r="S117" s="148"/>
      <c r="T117" s="243"/>
      <c r="U117" s="148"/>
      <c r="V117" s="148"/>
      <c r="W117" s="156"/>
      <c r="X117" s="156"/>
      <c r="Y117" s="148"/>
      <c r="Z117" s="148"/>
      <c r="AA117" s="148"/>
      <c r="AB117" s="148"/>
      <c r="AC117" s="148"/>
      <c r="AD117" s="243"/>
      <c r="AE117" s="148"/>
      <c r="AF117" s="148"/>
      <c r="AG117" s="156"/>
      <c r="AH117" s="156"/>
      <c r="AI117" s="148"/>
      <c r="AJ117" s="148"/>
      <c r="AK117" s="148"/>
      <c r="AL117" s="148"/>
      <c r="AM117" s="148"/>
      <c r="AN117" s="243"/>
      <c r="AO117" s="148"/>
      <c r="AP117" s="148"/>
      <c r="AQ117" s="156"/>
      <c r="AR117" s="156"/>
      <c r="AS117" s="148"/>
      <c r="AT117" s="148"/>
      <c r="AU117" s="148"/>
      <c r="AV117" s="148"/>
      <c r="AW117" s="148"/>
      <c r="AX117" s="244"/>
      <c r="AY117" s="148"/>
      <c r="AZ117" s="148"/>
      <c r="BA117" s="156"/>
      <c r="BB117" s="156"/>
      <c r="BC117" s="148"/>
      <c r="BD117" s="148"/>
      <c r="BE117" s="148"/>
      <c r="BF117" s="148"/>
      <c r="BG117" s="148"/>
      <c r="BH117" s="243"/>
      <c r="BI117" s="148"/>
      <c r="BJ117" s="148"/>
      <c r="BK117" s="156"/>
      <c r="BL117" s="156"/>
      <c r="BM117" s="148"/>
      <c r="BN117" s="148"/>
      <c r="BO117" s="148"/>
      <c r="BP117" s="148"/>
      <c r="BQ117" s="148"/>
      <c r="BR117" s="243"/>
      <c r="BS117" s="148"/>
      <c r="BT117" s="148"/>
      <c r="BU117" s="156"/>
      <c r="BV117" s="156"/>
      <c r="BW117" s="148"/>
      <c r="BX117" s="148"/>
      <c r="BY117" s="148"/>
      <c r="BZ117" s="148"/>
      <c r="CQ117">
        <v>5449</v>
      </c>
      <c r="CR117" s="215">
        <v>45086</v>
      </c>
      <c r="CS117" s="215">
        <v>45117</v>
      </c>
      <c r="CT117" t="s">
        <v>822</v>
      </c>
      <c r="CU117" t="s">
        <v>823</v>
      </c>
      <c r="CV117" t="s">
        <v>1714</v>
      </c>
      <c r="CW117">
        <v>2.5</v>
      </c>
    </row>
    <row r="118" spans="2:101">
      <c r="B118" s="148"/>
      <c r="C118" s="156"/>
      <c r="D118" s="156"/>
      <c r="E118" s="148"/>
      <c r="F118" s="148"/>
      <c r="G118" s="148"/>
      <c r="H118" s="148"/>
      <c r="I118" s="148"/>
      <c r="J118" s="243"/>
      <c r="K118" s="148"/>
      <c r="L118" s="148"/>
      <c r="M118" s="156"/>
      <c r="N118" s="156"/>
      <c r="O118" s="148"/>
      <c r="P118" s="148"/>
      <c r="Q118" s="148"/>
      <c r="R118" s="148"/>
      <c r="S118" s="148"/>
      <c r="T118" s="243"/>
      <c r="U118" s="148"/>
      <c r="V118" s="148"/>
      <c r="W118" s="156"/>
      <c r="X118" s="156"/>
      <c r="Y118" s="148"/>
      <c r="Z118" s="148"/>
      <c r="AA118" s="148"/>
      <c r="AB118" s="148"/>
      <c r="AC118" s="148"/>
      <c r="AD118" s="243"/>
      <c r="AE118" s="148"/>
      <c r="AF118" s="148"/>
      <c r="AG118" s="156"/>
      <c r="AH118" s="156"/>
      <c r="AI118" s="148"/>
      <c r="AJ118" s="148"/>
      <c r="AK118" s="148"/>
      <c r="AL118" s="148"/>
      <c r="AM118" s="148"/>
      <c r="AN118" s="243"/>
      <c r="AO118" s="148"/>
      <c r="AP118" s="148"/>
      <c r="AQ118" s="156"/>
      <c r="AR118" s="156"/>
      <c r="AS118" s="148"/>
      <c r="AT118" s="148"/>
      <c r="AU118" s="148"/>
      <c r="AV118" s="148"/>
      <c r="AW118" s="148"/>
      <c r="AX118" s="244"/>
      <c r="AY118" s="148"/>
      <c r="AZ118" s="148"/>
      <c r="BA118" s="156"/>
      <c r="BB118" s="156"/>
      <c r="BC118" s="148"/>
      <c r="BD118" s="148"/>
      <c r="BE118" s="148"/>
      <c r="BF118" s="148"/>
      <c r="BG118" s="148"/>
      <c r="BH118" s="243"/>
      <c r="BI118" s="148"/>
      <c r="BJ118" s="148"/>
      <c r="BK118" s="156"/>
      <c r="BL118" s="156"/>
      <c r="BM118" s="148"/>
      <c r="BN118" s="148"/>
      <c r="BO118" s="148"/>
      <c r="BP118" s="148"/>
      <c r="BQ118" s="148"/>
      <c r="BR118" s="243"/>
      <c r="BS118" s="148"/>
      <c r="BT118" s="148"/>
      <c r="BU118" s="156"/>
      <c r="BV118" s="156"/>
      <c r="BW118" s="148"/>
      <c r="BX118" s="148"/>
      <c r="BY118" s="148"/>
      <c r="BZ118" s="148"/>
      <c r="CQ118">
        <v>5451</v>
      </c>
      <c r="CR118" s="215">
        <v>45086</v>
      </c>
      <c r="CS118" s="215">
        <v>45117</v>
      </c>
      <c r="CT118" t="s">
        <v>822</v>
      </c>
      <c r="CU118" t="s">
        <v>823</v>
      </c>
      <c r="CV118" t="s">
        <v>1714</v>
      </c>
      <c r="CW118">
        <v>2.5</v>
      </c>
    </row>
    <row r="119" spans="2:101">
      <c r="B119" s="148"/>
      <c r="C119" s="156"/>
      <c r="D119" s="156"/>
      <c r="E119" s="148"/>
      <c r="F119" s="148"/>
      <c r="G119" s="148"/>
      <c r="H119" s="148"/>
      <c r="I119" s="148"/>
      <c r="J119" s="243"/>
      <c r="K119" s="148"/>
      <c r="L119" s="148"/>
      <c r="M119" s="156"/>
      <c r="N119" s="156"/>
      <c r="O119" s="148"/>
      <c r="P119" s="148"/>
      <c r="Q119" s="148"/>
      <c r="R119" s="148"/>
      <c r="S119" s="148"/>
      <c r="T119" s="243"/>
      <c r="U119" s="148"/>
      <c r="V119" s="148"/>
      <c r="W119" s="156"/>
      <c r="X119" s="156"/>
      <c r="Y119" s="148"/>
      <c r="Z119" s="148"/>
      <c r="AA119" s="148"/>
      <c r="AB119" s="148"/>
      <c r="AC119" s="148"/>
      <c r="AD119" s="243"/>
      <c r="AE119" s="148"/>
      <c r="AF119" s="148"/>
      <c r="AG119" s="156"/>
      <c r="AH119" s="156"/>
      <c r="AI119" s="148"/>
      <c r="AJ119" s="148"/>
      <c r="AK119" s="148"/>
      <c r="AL119" s="148"/>
      <c r="AM119" s="148"/>
      <c r="AN119" s="243"/>
      <c r="AO119" s="148"/>
      <c r="AP119" s="148"/>
      <c r="AQ119" s="156"/>
      <c r="AR119" s="156"/>
      <c r="AS119" s="148"/>
      <c r="AT119" s="148"/>
      <c r="AU119" s="148"/>
      <c r="AV119" s="148"/>
      <c r="AW119" s="148"/>
      <c r="AX119" s="244"/>
      <c r="AY119" s="148"/>
      <c r="AZ119" s="148"/>
      <c r="BA119" s="156"/>
      <c r="BB119" s="156"/>
      <c r="BC119" s="148"/>
      <c r="BD119" s="148"/>
      <c r="BE119" s="148"/>
      <c r="BF119" s="148"/>
      <c r="BG119" s="148"/>
      <c r="BH119" s="243"/>
      <c r="BI119" s="148"/>
      <c r="BJ119" s="148"/>
      <c r="BK119" s="156"/>
      <c r="BL119" s="156"/>
      <c r="BM119" s="148"/>
      <c r="BN119" s="148"/>
      <c r="BO119" s="148"/>
      <c r="BP119" s="148"/>
      <c r="BQ119" s="148"/>
      <c r="BR119" s="243"/>
      <c r="BS119" s="148"/>
      <c r="BT119" s="148"/>
      <c r="BU119" s="156"/>
      <c r="BV119" s="156"/>
      <c r="BW119" s="148"/>
      <c r="BX119" s="148"/>
      <c r="BY119" s="148"/>
      <c r="BZ119" s="148"/>
      <c r="CQ119">
        <v>5489</v>
      </c>
      <c r="CR119" s="215">
        <v>45117</v>
      </c>
      <c r="CS119" s="215">
        <v>45146</v>
      </c>
      <c r="CT119" t="s">
        <v>822</v>
      </c>
      <c r="CU119" t="s">
        <v>823</v>
      </c>
      <c r="CV119" t="s">
        <v>1714</v>
      </c>
      <c r="CW119">
        <v>2.5</v>
      </c>
    </row>
    <row r="120" spans="2:101">
      <c r="B120" s="148"/>
      <c r="C120" s="156"/>
      <c r="D120" s="156"/>
      <c r="E120" s="148"/>
      <c r="F120" s="148"/>
      <c r="G120" s="148"/>
      <c r="H120" s="148"/>
      <c r="I120" s="148"/>
      <c r="J120" s="243"/>
      <c r="K120" s="148"/>
      <c r="L120" s="148"/>
      <c r="M120" s="156"/>
      <c r="N120" s="156"/>
      <c r="O120" s="148"/>
      <c r="P120" s="148"/>
      <c r="Q120" s="148"/>
      <c r="R120" s="148"/>
      <c r="S120" s="148"/>
      <c r="T120" s="243"/>
      <c r="U120" s="148"/>
      <c r="V120" s="148"/>
      <c r="W120" s="156"/>
      <c r="X120" s="156"/>
      <c r="Y120" s="148"/>
      <c r="Z120" s="148"/>
      <c r="AA120" s="148"/>
      <c r="AB120" s="148"/>
      <c r="AC120" s="148"/>
      <c r="AD120" s="243"/>
      <c r="AE120" s="148"/>
      <c r="AF120" s="148"/>
      <c r="AG120" s="156"/>
      <c r="AH120" s="156"/>
      <c r="AI120" s="148"/>
      <c r="AJ120" s="148"/>
      <c r="AK120" s="148"/>
      <c r="AL120" s="148"/>
      <c r="AM120" s="148"/>
      <c r="AN120" s="243"/>
      <c r="AO120" s="148"/>
      <c r="AP120" s="148"/>
      <c r="AQ120" s="156"/>
      <c r="AR120" s="156"/>
      <c r="AS120" s="148"/>
      <c r="AT120" s="148"/>
      <c r="AU120" s="148"/>
      <c r="AV120" s="148"/>
      <c r="AW120" s="148"/>
      <c r="AX120" s="244"/>
      <c r="AY120" s="148"/>
      <c r="AZ120" s="148"/>
      <c r="BA120" s="156"/>
      <c r="BB120" s="156"/>
      <c r="BC120" s="148"/>
      <c r="BD120" s="148"/>
      <c r="BE120" s="148"/>
      <c r="BF120" s="148"/>
      <c r="BG120" s="148"/>
      <c r="BH120" s="243"/>
      <c r="BI120" s="148"/>
      <c r="BJ120" s="148"/>
      <c r="BK120" s="156"/>
      <c r="BL120" s="156"/>
      <c r="BM120" s="148"/>
      <c r="BN120" s="148"/>
      <c r="BO120" s="148"/>
      <c r="BP120" s="148"/>
      <c r="BQ120" s="148"/>
      <c r="BR120" s="243"/>
      <c r="BS120" s="148"/>
      <c r="BT120" s="148"/>
      <c r="BU120" s="156"/>
      <c r="BV120" s="156"/>
      <c r="BW120" s="148"/>
      <c r="BX120" s="148"/>
      <c r="BY120" s="148"/>
      <c r="BZ120" s="148"/>
      <c r="CQ120">
        <v>5491</v>
      </c>
      <c r="CR120" s="215">
        <v>45117</v>
      </c>
      <c r="CS120" s="215">
        <v>45146</v>
      </c>
      <c r="CT120" t="s">
        <v>822</v>
      </c>
      <c r="CU120" t="s">
        <v>823</v>
      </c>
      <c r="CV120" t="s">
        <v>1714</v>
      </c>
      <c r="CW120">
        <v>2.5</v>
      </c>
    </row>
    <row r="121" spans="2:101">
      <c r="B121" s="148"/>
      <c r="C121" s="156"/>
      <c r="D121" s="156"/>
      <c r="E121" s="148"/>
      <c r="F121" s="148"/>
      <c r="G121" s="148"/>
      <c r="H121" s="148"/>
      <c r="I121" s="148"/>
      <c r="J121" s="243"/>
      <c r="K121" s="148"/>
      <c r="L121" s="148"/>
      <c r="M121" s="156"/>
      <c r="N121" s="156"/>
      <c r="O121" s="148"/>
      <c r="P121" s="148"/>
      <c r="Q121" s="148"/>
      <c r="R121" s="148"/>
      <c r="S121" s="148"/>
      <c r="T121" s="243"/>
      <c r="U121" s="148"/>
      <c r="V121" s="148"/>
      <c r="W121" s="156"/>
      <c r="X121" s="156"/>
      <c r="Y121" s="148"/>
      <c r="Z121" s="148"/>
      <c r="AA121" s="148"/>
      <c r="AB121" s="148"/>
      <c r="AC121" s="148"/>
      <c r="AD121" s="243"/>
      <c r="AE121" s="148"/>
      <c r="AF121" s="148"/>
      <c r="AG121" s="156"/>
      <c r="AH121" s="156"/>
      <c r="AI121" s="148"/>
      <c r="AJ121" s="148"/>
      <c r="AK121" s="148"/>
      <c r="AL121" s="148"/>
      <c r="AM121" s="148"/>
      <c r="AN121" s="243"/>
      <c r="AO121" s="148"/>
      <c r="AP121" s="148"/>
      <c r="AQ121" s="156"/>
      <c r="AR121" s="156"/>
      <c r="AS121" s="148"/>
      <c r="AT121" s="148"/>
      <c r="AU121" s="148"/>
      <c r="AV121" s="148"/>
      <c r="AW121" s="148"/>
      <c r="AX121" s="244"/>
      <c r="AY121" s="148"/>
      <c r="AZ121" s="148"/>
      <c r="BA121" s="156"/>
      <c r="BB121" s="156"/>
      <c r="BC121" s="148"/>
      <c r="BD121" s="148"/>
      <c r="BE121" s="148"/>
      <c r="BF121" s="148"/>
      <c r="BG121" s="148"/>
      <c r="BH121" s="243"/>
      <c r="BI121" s="148"/>
      <c r="BJ121" s="148"/>
      <c r="BK121" s="156"/>
      <c r="BL121" s="156"/>
      <c r="BM121" s="148"/>
      <c r="BN121" s="148"/>
      <c r="BO121" s="148"/>
      <c r="BP121" s="148"/>
      <c r="BQ121" s="148"/>
      <c r="BR121" s="243"/>
      <c r="BS121" s="148"/>
      <c r="BT121" s="148"/>
      <c r="BU121" s="156"/>
      <c r="BV121" s="156"/>
      <c r="BW121" s="148"/>
      <c r="BX121" s="148"/>
      <c r="BY121" s="148"/>
      <c r="BZ121" s="148"/>
      <c r="CQ121">
        <v>5529</v>
      </c>
      <c r="CR121" s="215">
        <v>45146</v>
      </c>
      <c r="CS121" s="215">
        <v>45180</v>
      </c>
      <c r="CT121" t="s">
        <v>822</v>
      </c>
      <c r="CU121" t="s">
        <v>823</v>
      </c>
      <c r="CV121" t="s">
        <v>1714</v>
      </c>
      <c r="CW121">
        <v>2.5</v>
      </c>
    </row>
    <row r="122" spans="2:101">
      <c r="B122" s="148"/>
      <c r="C122" s="156"/>
      <c r="D122" s="156"/>
      <c r="E122" s="148"/>
      <c r="F122" s="148"/>
      <c r="G122" s="148"/>
      <c r="H122" s="148"/>
      <c r="I122" s="148"/>
      <c r="J122" s="243"/>
      <c r="K122" s="148"/>
      <c r="L122" s="148"/>
      <c r="M122" s="156"/>
      <c r="N122" s="156"/>
      <c r="O122" s="148"/>
      <c r="P122" s="148"/>
      <c r="Q122" s="148"/>
      <c r="R122" s="148"/>
      <c r="S122" s="148"/>
      <c r="T122" s="243"/>
      <c r="U122" s="148"/>
      <c r="V122" s="148"/>
      <c r="W122" s="156"/>
      <c r="X122" s="156"/>
      <c r="Y122" s="148"/>
      <c r="Z122" s="148"/>
      <c r="AA122" s="148"/>
      <c r="AB122" s="148"/>
      <c r="AC122" s="148"/>
      <c r="AD122" s="243"/>
      <c r="AE122" s="148"/>
      <c r="AF122" s="148"/>
      <c r="AG122" s="156"/>
      <c r="AH122" s="156"/>
      <c r="AI122" s="148"/>
      <c r="AJ122" s="148"/>
      <c r="AK122" s="148"/>
      <c r="AL122" s="148"/>
      <c r="AM122" s="148"/>
      <c r="AN122" s="243"/>
      <c r="AO122" s="148"/>
      <c r="AP122" s="148"/>
      <c r="AQ122" s="156"/>
      <c r="AR122" s="156"/>
      <c r="AS122" s="148"/>
      <c r="AT122" s="148"/>
      <c r="AU122" s="148"/>
      <c r="AV122" s="148"/>
      <c r="AW122" s="148"/>
      <c r="AX122" s="244"/>
      <c r="AY122" s="148"/>
      <c r="AZ122" s="148"/>
      <c r="BA122" s="156"/>
      <c r="BB122" s="156"/>
      <c r="BC122" s="148"/>
      <c r="BD122" s="148"/>
      <c r="BE122" s="148"/>
      <c r="BF122" s="148"/>
      <c r="BG122" s="148"/>
      <c r="BH122" s="243"/>
      <c r="BI122" s="148"/>
      <c r="BJ122" s="148"/>
      <c r="BK122" s="156"/>
      <c r="BL122" s="156"/>
      <c r="BM122" s="148"/>
      <c r="BN122" s="148"/>
      <c r="BO122" s="148"/>
      <c r="BP122" s="148"/>
      <c r="BQ122" s="148"/>
      <c r="BR122" s="243"/>
      <c r="BS122" s="148"/>
      <c r="BT122" s="148"/>
      <c r="BU122" s="156"/>
      <c r="BV122" s="156"/>
      <c r="BW122" s="148"/>
      <c r="BX122" s="148"/>
      <c r="BY122" s="148"/>
      <c r="BZ122" s="148"/>
      <c r="CQ122">
        <v>5531</v>
      </c>
      <c r="CR122" s="215">
        <v>45146</v>
      </c>
      <c r="CS122" s="215">
        <v>45180</v>
      </c>
      <c r="CT122" t="s">
        <v>822</v>
      </c>
      <c r="CU122" t="s">
        <v>823</v>
      </c>
      <c r="CV122" t="s">
        <v>1714</v>
      </c>
      <c r="CW122">
        <v>2.5</v>
      </c>
    </row>
    <row r="123" spans="2:101">
      <c r="B123" s="148"/>
      <c r="C123" s="156"/>
      <c r="D123" s="156"/>
      <c r="E123" s="148"/>
      <c r="F123" s="148"/>
      <c r="G123" s="148"/>
      <c r="H123" s="148"/>
      <c r="I123" s="148"/>
      <c r="J123" s="243"/>
      <c r="K123" s="148"/>
      <c r="L123" s="148"/>
      <c r="M123" s="156"/>
      <c r="N123" s="156"/>
      <c r="O123" s="148"/>
      <c r="P123" s="148"/>
      <c r="Q123" s="148"/>
      <c r="R123" s="148"/>
      <c r="S123" s="148"/>
      <c r="T123" s="243"/>
      <c r="U123" s="148"/>
      <c r="V123" s="148"/>
      <c r="W123" s="156"/>
      <c r="X123" s="156"/>
      <c r="Y123" s="148"/>
      <c r="Z123" s="148"/>
      <c r="AA123" s="148"/>
      <c r="AB123" s="148"/>
      <c r="AC123" s="148"/>
      <c r="AD123" s="243"/>
      <c r="AE123" s="148"/>
      <c r="AF123" s="148"/>
      <c r="AG123" s="156"/>
      <c r="AH123" s="156"/>
      <c r="AI123" s="148"/>
      <c r="AJ123" s="148"/>
      <c r="AK123" s="148"/>
      <c r="AL123" s="148"/>
      <c r="AM123" s="148"/>
      <c r="AN123" s="243"/>
      <c r="AO123" s="148"/>
      <c r="AP123" s="148"/>
      <c r="AQ123" s="156"/>
      <c r="AR123" s="156"/>
      <c r="AS123" s="148"/>
      <c r="AT123" s="148"/>
      <c r="AU123" s="148"/>
      <c r="AV123" s="148"/>
      <c r="AW123" s="148"/>
      <c r="AX123" s="244"/>
      <c r="AY123" s="148"/>
      <c r="AZ123" s="148"/>
      <c r="BA123" s="156"/>
      <c r="BB123" s="156"/>
      <c r="BC123" s="148"/>
      <c r="BD123" s="148"/>
      <c r="BE123" s="148"/>
      <c r="BF123" s="148"/>
      <c r="BG123" s="148"/>
      <c r="BH123" s="243"/>
      <c r="BI123" s="148"/>
      <c r="BJ123" s="148"/>
      <c r="BK123" s="156"/>
      <c r="BL123" s="156"/>
      <c r="BM123" s="148"/>
      <c r="BN123" s="148"/>
      <c r="BO123" s="148"/>
      <c r="BP123" s="148"/>
      <c r="BQ123" s="148"/>
      <c r="BR123" s="243"/>
      <c r="BS123" s="148"/>
      <c r="BT123" s="148"/>
      <c r="BU123" s="156"/>
      <c r="BV123" s="156"/>
      <c r="BW123" s="148"/>
      <c r="BX123" s="148"/>
      <c r="BY123" s="148"/>
      <c r="BZ123" s="148"/>
      <c r="CQ123">
        <v>5569</v>
      </c>
      <c r="CR123" s="215">
        <v>45180</v>
      </c>
      <c r="CS123" s="215">
        <v>45209</v>
      </c>
      <c r="CT123" t="s">
        <v>822</v>
      </c>
      <c r="CU123" t="s">
        <v>823</v>
      </c>
      <c r="CV123" t="s">
        <v>1714</v>
      </c>
      <c r="CW123">
        <v>2.5</v>
      </c>
    </row>
    <row r="124" spans="2:101">
      <c r="B124" s="148"/>
      <c r="C124" s="156"/>
      <c r="D124" s="156"/>
      <c r="E124" s="148"/>
      <c r="F124" s="148"/>
      <c r="G124" s="148"/>
      <c r="H124" s="148"/>
      <c r="I124" s="148"/>
      <c r="J124" s="243"/>
      <c r="K124" s="148"/>
      <c r="L124" s="148"/>
      <c r="M124" s="156"/>
      <c r="N124" s="156"/>
      <c r="O124" s="148"/>
      <c r="P124" s="148"/>
      <c r="Q124" s="148"/>
      <c r="R124" s="148"/>
      <c r="S124" s="148"/>
      <c r="T124" s="243"/>
      <c r="U124" s="148"/>
      <c r="V124" s="148"/>
      <c r="W124" s="156"/>
      <c r="X124" s="156"/>
      <c r="Y124" s="148"/>
      <c r="Z124" s="148"/>
      <c r="AA124" s="148"/>
      <c r="AB124" s="148"/>
      <c r="AC124" s="148"/>
      <c r="AD124" s="243"/>
      <c r="AE124" s="148"/>
      <c r="AF124" s="148"/>
      <c r="AG124" s="156"/>
      <c r="AH124" s="156"/>
      <c r="AI124" s="148"/>
      <c r="AJ124" s="148"/>
      <c r="AK124" s="148"/>
      <c r="AL124" s="148"/>
      <c r="AM124" s="148"/>
      <c r="AN124" s="243"/>
      <c r="AO124" s="148"/>
      <c r="AP124" s="148"/>
      <c r="AQ124" s="156"/>
      <c r="AR124" s="156"/>
      <c r="AS124" s="148"/>
      <c r="AT124" s="148"/>
      <c r="AU124" s="148"/>
      <c r="AV124" s="148"/>
      <c r="AW124" s="148"/>
      <c r="AX124" s="244"/>
      <c r="AY124" s="148"/>
      <c r="AZ124" s="148"/>
      <c r="BA124" s="156"/>
      <c r="BB124" s="156"/>
      <c r="BC124" s="148"/>
      <c r="BD124" s="148"/>
      <c r="BE124" s="148"/>
      <c r="BF124" s="148"/>
      <c r="BG124" s="148"/>
      <c r="BH124" s="243"/>
      <c r="BI124" s="148"/>
      <c r="BJ124" s="148"/>
      <c r="BK124" s="156"/>
      <c r="BL124" s="156"/>
      <c r="BM124" s="148"/>
      <c r="BN124" s="148"/>
      <c r="BO124" s="148"/>
      <c r="BP124" s="148"/>
      <c r="BQ124" s="148"/>
      <c r="BR124" s="243"/>
      <c r="BS124" s="148"/>
      <c r="BT124" s="148"/>
      <c r="BU124" s="156"/>
      <c r="BV124" s="156"/>
      <c r="BW124" s="148"/>
      <c r="BX124" s="148"/>
      <c r="BY124" s="148"/>
      <c r="BZ124" s="148"/>
      <c r="CQ124">
        <v>5571</v>
      </c>
      <c r="CR124" s="215">
        <v>45180</v>
      </c>
      <c r="CS124" s="215">
        <v>45209</v>
      </c>
      <c r="CT124" t="s">
        <v>822</v>
      </c>
      <c r="CU124" t="s">
        <v>823</v>
      </c>
      <c r="CV124" t="s">
        <v>1714</v>
      </c>
      <c r="CW124">
        <v>2.5</v>
      </c>
    </row>
    <row r="125" spans="2:101">
      <c r="B125" s="148"/>
      <c r="C125" s="156"/>
      <c r="D125" s="156"/>
      <c r="E125" s="148"/>
      <c r="F125" s="148"/>
      <c r="G125" s="148"/>
      <c r="H125" s="148"/>
      <c r="I125" s="148"/>
      <c r="J125" s="243"/>
      <c r="K125" s="148"/>
      <c r="L125" s="148"/>
      <c r="M125" s="156"/>
      <c r="N125" s="156"/>
      <c r="O125" s="148"/>
      <c r="P125" s="148"/>
      <c r="Q125" s="148"/>
      <c r="R125" s="148"/>
      <c r="S125" s="148"/>
      <c r="T125" s="243"/>
      <c r="U125" s="148"/>
      <c r="V125" s="148"/>
      <c r="W125" s="156"/>
      <c r="X125" s="156"/>
      <c r="Y125" s="148"/>
      <c r="Z125" s="148"/>
      <c r="AA125" s="148"/>
      <c r="AB125" s="148"/>
      <c r="AC125" s="148"/>
      <c r="AD125" s="243"/>
      <c r="AE125" s="148"/>
      <c r="AF125" s="148"/>
      <c r="AG125" s="156"/>
      <c r="AH125" s="156"/>
      <c r="AI125" s="148"/>
      <c r="AJ125" s="148"/>
      <c r="AK125" s="148"/>
      <c r="AL125" s="148"/>
      <c r="AM125" s="148"/>
      <c r="AN125" s="243"/>
      <c r="AO125" s="148"/>
      <c r="AP125" s="148"/>
      <c r="AQ125" s="156"/>
      <c r="AR125" s="156"/>
      <c r="AS125" s="148"/>
      <c r="AT125" s="148"/>
      <c r="AU125" s="148"/>
      <c r="AV125" s="148"/>
      <c r="AW125" s="148"/>
      <c r="AX125" s="244"/>
      <c r="AY125" s="148"/>
      <c r="AZ125" s="148"/>
      <c r="BA125" s="156"/>
      <c r="BB125" s="156"/>
      <c r="BC125" s="148"/>
      <c r="BD125" s="148"/>
      <c r="BE125" s="148"/>
      <c r="BF125" s="148"/>
      <c r="BG125" s="148"/>
      <c r="BH125" s="243"/>
      <c r="BI125" s="148"/>
      <c r="BJ125" s="148"/>
      <c r="BK125" s="156"/>
      <c r="BL125" s="156"/>
      <c r="BM125" s="148"/>
      <c r="BN125" s="148"/>
      <c r="BO125" s="148"/>
      <c r="BP125" s="148"/>
      <c r="BQ125" s="148"/>
      <c r="BR125" s="243"/>
      <c r="BS125" s="148"/>
      <c r="BT125" s="148"/>
      <c r="BU125" s="156"/>
      <c r="BV125" s="156"/>
      <c r="BW125" s="148"/>
      <c r="BX125" s="148"/>
      <c r="BY125" s="148"/>
      <c r="BZ125" s="148"/>
      <c r="CQ125">
        <v>5609</v>
      </c>
      <c r="CR125" s="215">
        <v>45209</v>
      </c>
      <c r="CS125" s="215">
        <v>45240</v>
      </c>
      <c r="CT125" t="s">
        <v>822</v>
      </c>
      <c r="CU125" t="s">
        <v>823</v>
      </c>
      <c r="CV125" t="s">
        <v>1714</v>
      </c>
      <c r="CW125">
        <v>2.5</v>
      </c>
    </row>
    <row r="126" spans="2:101">
      <c r="B126" s="148"/>
      <c r="C126" s="156"/>
      <c r="D126" s="156"/>
      <c r="E126" s="148"/>
      <c r="F126" s="148"/>
      <c r="G126" s="148"/>
      <c r="H126" s="148"/>
      <c r="I126" s="148"/>
      <c r="J126" s="243"/>
      <c r="K126" s="148"/>
      <c r="L126" s="148"/>
      <c r="M126" s="156"/>
      <c r="N126" s="156"/>
      <c r="O126" s="148"/>
      <c r="P126" s="148"/>
      <c r="Q126" s="148"/>
      <c r="R126" s="148"/>
      <c r="S126" s="148"/>
      <c r="T126" s="243"/>
      <c r="U126" s="148"/>
      <c r="V126" s="148"/>
      <c r="W126" s="156"/>
      <c r="X126" s="156"/>
      <c r="Y126" s="148"/>
      <c r="Z126" s="148"/>
      <c r="AA126" s="148"/>
      <c r="AB126" s="148"/>
      <c r="AC126" s="148"/>
      <c r="AD126" s="243"/>
      <c r="AE126" s="148"/>
      <c r="AF126" s="148"/>
      <c r="AG126" s="156"/>
      <c r="AH126" s="156"/>
      <c r="AI126" s="148"/>
      <c r="AJ126" s="148"/>
      <c r="AK126" s="148"/>
      <c r="AL126" s="148"/>
      <c r="AM126" s="148"/>
      <c r="AN126" s="243"/>
      <c r="AO126" s="148"/>
      <c r="AP126" s="148"/>
      <c r="AQ126" s="156"/>
      <c r="AR126" s="156"/>
      <c r="AS126" s="148"/>
      <c r="AT126" s="148"/>
      <c r="AU126" s="148"/>
      <c r="AV126" s="148"/>
      <c r="AW126" s="148"/>
      <c r="AX126" s="244"/>
      <c r="AY126" s="148"/>
      <c r="AZ126" s="148"/>
      <c r="BA126" s="156"/>
      <c r="BB126" s="156"/>
      <c r="BC126" s="148"/>
      <c r="BD126" s="148"/>
      <c r="BE126" s="148"/>
      <c r="BF126" s="148"/>
      <c r="BG126" s="148"/>
      <c r="BH126" s="243"/>
      <c r="BI126" s="148"/>
      <c r="BJ126" s="148"/>
      <c r="BK126" s="156"/>
      <c r="BL126" s="156"/>
      <c r="BM126" s="148"/>
      <c r="BN126" s="148"/>
      <c r="BO126" s="148"/>
      <c r="BP126" s="148"/>
      <c r="BQ126" s="148"/>
      <c r="BR126" s="243"/>
      <c r="BS126" s="148"/>
      <c r="BT126" s="148"/>
      <c r="BU126" s="156"/>
      <c r="BV126" s="156"/>
      <c r="BW126" s="148"/>
      <c r="BX126" s="148"/>
      <c r="BY126" s="148"/>
      <c r="BZ126" s="148"/>
      <c r="CQ126">
        <v>5611</v>
      </c>
      <c r="CR126" s="215">
        <v>45209</v>
      </c>
      <c r="CS126" s="215">
        <v>45240</v>
      </c>
      <c r="CT126" t="s">
        <v>822</v>
      </c>
      <c r="CU126" t="s">
        <v>823</v>
      </c>
      <c r="CV126" t="s">
        <v>1714</v>
      </c>
      <c r="CW126">
        <v>2.5</v>
      </c>
    </row>
    <row r="127" spans="2:101">
      <c r="B127" s="148"/>
      <c r="C127" s="156"/>
      <c r="D127" s="156"/>
      <c r="E127" s="148"/>
      <c r="F127" s="148"/>
      <c r="G127" s="148"/>
      <c r="H127" s="148"/>
      <c r="I127" s="148"/>
      <c r="J127" s="243"/>
      <c r="K127" s="148"/>
      <c r="L127" s="148"/>
      <c r="M127" s="156"/>
      <c r="N127" s="156"/>
      <c r="O127" s="148"/>
      <c r="P127" s="148"/>
      <c r="Q127" s="148"/>
      <c r="R127" s="148"/>
      <c r="S127" s="148"/>
      <c r="T127" s="243"/>
      <c r="U127" s="148"/>
      <c r="V127" s="148"/>
      <c r="W127" s="156"/>
      <c r="X127" s="156"/>
      <c r="Y127" s="148"/>
      <c r="Z127" s="148"/>
      <c r="AA127" s="148"/>
      <c r="AB127" s="148"/>
      <c r="AC127" s="148"/>
      <c r="AD127" s="243"/>
      <c r="AE127" s="148"/>
      <c r="AF127" s="148"/>
      <c r="AG127" s="156"/>
      <c r="AH127" s="156"/>
      <c r="AI127" s="148"/>
      <c r="AJ127" s="148"/>
      <c r="AK127" s="148"/>
      <c r="AL127" s="148"/>
      <c r="AM127" s="148"/>
      <c r="AN127" s="243"/>
      <c r="AO127" s="148"/>
      <c r="AP127" s="148"/>
      <c r="AQ127" s="156"/>
      <c r="AR127" s="156"/>
      <c r="AS127" s="148"/>
      <c r="AT127" s="148"/>
      <c r="AU127" s="148"/>
      <c r="AV127" s="148"/>
      <c r="AW127" s="148"/>
      <c r="AX127" s="244"/>
      <c r="AY127" s="148"/>
      <c r="AZ127" s="148"/>
      <c r="BA127" s="156"/>
      <c r="BB127" s="156"/>
      <c r="BC127" s="148"/>
      <c r="BD127" s="148"/>
      <c r="BE127" s="148"/>
      <c r="BF127" s="148"/>
      <c r="BG127" s="148"/>
      <c r="BH127" s="243"/>
      <c r="BI127" s="148"/>
      <c r="BJ127" s="148"/>
      <c r="BK127" s="156"/>
      <c r="BL127" s="156"/>
      <c r="BM127" s="148"/>
      <c r="BN127" s="148"/>
      <c r="BO127" s="148"/>
      <c r="BP127" s="148"/>
      <c r="BQ127" s="148"/>
      <c r="BR127" s="243"/>
      <c r="BS127" s="148"/>
      <c r="BT127" s="148"/>
      <c r="BU127" s="156"/>
      <c r="BV127" s="156"/>
      <c r="BW127" s="148"/>
      <c r="BX127" s="148"/>
      <c r="BY127" s="148"/>
      <c r="BZ127" s="148"/>
      <c r="CQ127">
        <v>5649</v>
      </c>
      <c r="CR127" s="215">
        <v>45240</v>
      </c>
      <c r="CS127" s="215">
        <v>45268</v>
      </c>
      <c r="CT127" t="s">
        <v>822</v>
      </c>
      <c r="CU127" t="s">
        <v>823</v>
      </c>
      <c r="CV127" t="s">
        <v>1714</v>
      </c>
      <c r="CW127">
        <v>2.5</v>
      </c>
    </row>
    <row r="128" spans="2:101">
      <c r="B128" s="148"/>
      <c r="C128" s="156"/>
      <c r="D128" s="156"/>
      <c r="E128" s="148"/>
      <c r="F128" s="148"/>
      <c r="G128" s="148"/>
      <c r="H128" s="148"/>
      <c r="I128" s="148"/>
      <c r="J128" s="243"/>
      <c r="K128" s="148"/>
      <c r="L128" s="148"/>
      <c r="M128" s="156"/>
      <c r="N128" s="156"/>
      <c r="O128" s="148"/>
      <c r="P128" s="148"/>
      <c r="Q128" s="148"/>
      <c r="R128" s="148"/>
      <c r="S128" s="148"/>
      <c r="T128" s="243"/>
      <c r="U128" s="148"/>
      <c r="V128" s="148"/>
      <c r="W128" s="156"/>
      <c r="X128" s="156"/>
      <c r="Y128" s="148"/>
      <c r="Z128" s="148"/>
      <c r="AA128" s="148"/>
      <c r="AB128" s="148"/>
      <c r="AC128" s="148"/>
      <c r="AD128" s="243"/>
      <c r="AE128" s="148"/>
      <c r="AF128" s="148"/>
      <c r="AG128" s="156"/>
      <c r="AH128" s="156"/>
      <c r="AI128" s="148"/>
      <c r="AJ128" s="148"/>
      <c r="AK128" s="148"/>
      <c r="AL128" s="148"/>
      <c r="AM128" s="148"/>
      <c r="AN128" s="243"/>
      <c r="AO128" s="148"/>
      <c r="AP128" s="148"/>
      <c r="AQ128" s="156"/>
      <c r="AR128" s="156"/>
      <c r="AS128" s="148"/>
      <c r="AT128" s="148"/>
      <c r="AU128" s="148"/>
      <c r="AV128" s="148"/>
      <c r="AW128" s="148"/>
      <c r="AX128" s="244"/>
      <c r="AY128" s="148"/>
      <c r="AZ128" s="148"/>
      <c r="BA128" s="156"/>
      <c r="BB128" s="156"/>
      <c r="BC128" s="148"/>
      <c r="BD128" s="148"/>
      <c r="BE128" s="148"/>
      <c r="BF128" s="148"/>
      <c r="BG128" s="148"/>
      <c r="BH128" s="243"/>
      <c r="BI128" s="148"/>
      <c r="BJ128" s="148"/>
      <c r="BK128" s="156"/>
      <c r="BL128" s="156"/>
      <c r="BM128" s="148"/>
      <c r="BN128" s="148"/>
      <c r="BO128" s="148"/>
      <c r="BP128" s="148"/>
      <c r="BQ128" s="148"/>
      <c r="BR128" s="243"/>
      <c r="BS128" s="148"/>
      <c r="BT128" s="148"/>
      <c r="BU128" s="156"/>
      <c r="BV128" s="156"/>
      <c r="BW128" s="148"/>
      <c r="BX128" s="148"/>
      <c r="BY128" s="148"/>
      <c r="BZ128" s="148"/>
      <c r="CQ128">
        <v>5651</v>
      </c>
      <c r="CR128" s="215">
        <v>45240</v>
      </c>
      <c r="CS128" s="215">
        <v>45268</v>
      </c>
      <c r="CT128" t="s">
        <v>822</v>
      </c>
      <c r="CU128" t="s">
        <v>823</v>
      </c>
      <c r="CV128" t="s">
        <v>1714</v>
      </c>
      <c r="CW128">
        <v>2.5</v>
      </c>
    </row>
    <row r="129" spans="2:101">
      <c r="B129" s="148"/>
      <c r="C129" s="156"/>
      <c r="D129" s="156"/>
      <c r="E129" s="148"/>
      <c r="F129" s="148"/>
      <c r="G129" s="148"/>
      <c r="H129" s="148"/>
      <c r="I129" s="148"/>
      <c r="J129" s="243"/>
      <c r="K129" s="148"/>
      <c r="L129" s="148"/>
      <c r="M129" s="156"/>
      <c r="N129" s="156"/>
      <c r="O129" s="148"/>
      <c r="P129" s="148"/>
      <c r="Q129" s="148"/>
      <c r="R129" s="148"/>
      <c r="S129" s="148"/>
      <c r="T129" s="243"/>
      <c r="U129" s="148"/>
      <c r="V129" s="148"/>
      <c r="W129" s="156"/>
      <c r="X129" s="156"/>
      <c r="Y129" s="148"/>
      <c r="Z129" s="148"/>
      <c r="AA129" s="148"/>
      <c r="AB129" s="148"/>
      <c r="AC129" s="148"/>
      <c r="AD129" s="243"/>
      <c r="AE129" s="148"/>
      <c r="AF129" s="148"/>
      <c r="AG129" s="156"/>
      <c r="AH129" s="156"/>
      <c r="AI129" s="148"/>
      <c r="AJ129" s="148"/>
      <c r="AK129" s="148"/>
      <c r="AL129" s="148"/>
      <c r="AM129" s="148"/>
      <c r="AN129" s="243"/>
      <c r="AO129" s="148"/>
      <c r="AP129" s="148"/>
      <c r="AQ129" s="156"/>
      <c r="AR129" s="156"/>
      <c r="AS129" s="148"/>
      <c r="AT129" s="148"/>
      <c r="AU129" s="148"/>
      <c r="AV129" s="148"/>
      <c r="AW129" s="148"/>
      <c r="AX129" s="244"/>
      <c r="AY129" s="148"/>
      <c r="AZ129" s="148"/>
      <c r="BA129" s="156"/>
      <c r="BB129" s="156"/>
      <c r="BC129" s="148"/>
      <c r="BD129" s="148"/>
      <c r="BE129" s="148"/>
      <c r="BF129" s="148"/>
      <c r="BG129" s="148"/>
      <c r="BH129" s="243"/>
      <c r="BI129" s="148"/>
      <c r="BJ129" s="148"/>
      <c r="BK129" s="156"/>
      <c r="BL129" s="156"/>
      <c r="BM129" s="148"/>
      <c r="BN129" s="148"/>
      <c r="BO129" s="148"/>
      <c r="BP129" s="148"/>
      <c r="BQ129" s="148"/>
      <c r="BR129" s="243"/>
      <c r="BS129" s="148"/>
      <c r="BT129" s="148"/>
      <c r="BU129" s="156"/>
      <c r="BV129" s="156"/>
      <c r="BW129" s="148"/>
      <c r="BX129" s="148"/>
      <c r="BY129" s="148"/>
      <c r="BZ129" s="148"/>
      <c r="CQ129">
        <v>5689</v>
      </c>
      <c r="CR129" s="215">
        <v>45268</v>
      </c>
      <c r="CS129" s="215">
        <v>45300</v>
      </c>
      <c r="CT129" t="s">
        <v>822</v>
      </c>
      <c r="CU129" t="s">
        <v>823</v>
      </c>
      <c r="CV129" t="s">
        <v>1714</v>
      </c>
      <c r="CW129">
        <v>2.5</v>
      </c>
    </row>
    <row r="130" spans="2:101">
      <c r="B130" s="148"/>
      <c r="C130" s="156"/>
      <c r="D130" s="156"/>
      <c r="E130" s="148"/>
      <c r="F130" s="148"/>
      <c r="G130" s="148"/>
      <c r="H130" s="148"/>
      <c r="I130" s="148"/>
      <c r="J130" s="243"/>
      <c r="K130" s="148"/>
      <c r="L130" s="148"/>
      <c r="M130" s="156"/>
      <c r="N130" s="156"/>
      <c r="O130" s="148"/>
      <c r="P130" s="148"/>
      <c r="Q130" s="148"/>
      <c r="R130" s="148"/>
      <c r="S130" s="148"/>
      <c r="T130" s="243"/>
      <c r="U130" s="148"/>
      <c r="V130" s="148"/>
      <c r="W130" s="156"/>
      <c r="X130" s="156"/>
      <c r="Y130" s="148"/>
      <c r="Z130" s="148"/>
      <c r="AA130" s="148"/>
      <c r="AB130" s="148"/>
      <c r="AC130" s="148"/>
      <c r="AD130" s="243"/>
      <c r="AE130" s="148"/>
      <c r="AF130" s="148"/>
      <c r="AG130" s="156"/>
      <c r="AH130" s="156"/>
      <c r="AI130" s="148"/>
      <c r="AJ130" s="148"/>
      <c r="AK130" s="148"/>
      <c r="AL130" s="148"/>
      <c r="AM130" s="148"/>
      <c r="AN130" s="243"/>
      <c r="AO130" s="148"/>
      <c r="AP130" s="148"/>
      <c r="AQ130" s="156"/>
      <c r="AR130" s="156"/>
      <c r="AS130" s="148"/>
      <c r="AT130" s="148"/>
      <c r="AU130" s="148"/>
      <c r="AV130" s="148"/>
      <c r="AW130" s="148"/>
      <c r="AX130" s="244"/>
      <c r="AY130" s="148"/>
      <c r="AZ130" s="148"/>
      <c r="BA130" s="156"/>
      <c r="BB130" s="156"/>
      <c r="BC130" s="148"/>
      <c r="BD130" s="148"/>
      <c r="BE130" s="148"/>
      <c r="BF130" s="148"/>
      <c r="BG130" s="148"/>
      <c r="BH130" s="243"/>
      <c r="BI130" s="148"/>
      <c r="BJ130" s="148"/>
      <c r="BK130" s="156"/>
      <c r="BL130" s="156"/>
      <c r="BM130" s="148"/>
      <c r="BN130" s="148"/>
      <c r="BO130" s="148"/>
      <c r="BP130" s="148"/>
      <c r="BQ130" s="148"/>
      <c r="BR130" s="243"/>
      <c r="BS130" s="148"/>
      <c r="BT130" s="148"/>
      <c r="BU130" s="156"/>
      <c r="BV130" s="156"/>
      <c r="BW130" s="148"/>
      <c r="BX130" s="148"/>
      <c r="BY130" s="148"/>
      <c r="BZ130" s="148"/>
      <c r="CQ130">
        <v>5691</v>
      </c>
      <c r="CR130" s="215">
        <v>45268</v>
      </c>
      <c r="CS130" s="215">
        <v>45300</v>
      </c>
      <c r="CT130" t="s">
        <v>822</v>
      </c>
      <c r="CU130" t="s">
        <v>823</v>
      </c>
      <c r="CV130" t="s">
        <v>1714</v>
      </c>
      <c r="CW130">
        <v>2.5</v>
      </c>
    </row>
    <row r="131" spans="2:101">
      <c r="B131" s="148"/>
      <c r="C131" s="156"/>
      <c r="D131" s="156"/>
      <c r="E131" s="148"/>
      <c r="F131" s="148"/>
      <c r="G131" s="148"/>
      <c r="H131" s="148"/>
      <c r="I131" s="148"/>
      <c r="J131" s="243"/>
      <c r="K131" s="148"/>
      <c r="L131" s="148"/>
      <c r="M131" s="156"/>
      <c r="N131" s="156"/>
      <c r="O131" s="148"/>
      <c r="P131" s="148"/>
      <c r="Q131" s="148"/>
      <c r="R131" s="148"/>
      <c r="S131" s="148"/>
      <c r="T131" s="243"/>
      <c r="U131" s="148"/>
      <c r="V131" s="148"/>
      <c r="W131" s="156"/>
      <c r="X131" s="156"/>
      <c r="Y131" s="148"/>
      <c r="Z131" s="148"/>
      <c r="AA131" s="148"/>
      <c r="AB131" s="148"/>
      <c r="AC131" s="148"/>
      <c r="AD131" s="243"/>
      <c r="AE131" s="148"/>
      <c r="AF131" s="148"/>
      <c r="AG131" s="156"/>
      <c r="AH131" s="156"/>
      <c r="AI131" s="148"/>
      <c r="AJ131" s="148"/>
      <c r="AK131" s="148"/>
      <c r="AL131" s="148"/>
      <c r="AM131" s="148"/>
      <c r="AN131" s="243"/>
      <c r="AO131" s="148"/>
      <c r="AP131" s="148"/>
      <c r="AQ131" s="156"/>
      <c r="AR131" s="156"/>
      <c r="AS131" s="148"/>
      <c r="AT131" s="148"/>
      <c r="AU131" s="148"/>
      <c r="AV131" s="148"/>
      <c r="AW131" s="148"/>
      <c r="AX131" s="244"/>
      <c r="AY131" s="148"/>
      <c r="AZ131" s="148"/>
      <c r="BA131" s="156"/>
      <c r="BB131" s="156"/>
      <c r="BC131" s="148"/>
      <c r="BD131" s="148"/>
      <c r="BE131" s="148"/>
      <c r="BF131" s="148"/>
      <c r="BG131" s="148"/>
      <c r="BH131" s="243"/>
      <c r="BI131" s="148"/>
      <c r="BJ131" s="148"/>
      <c r="BK131" s="156"/>
      <c r="BL131" s="156"/>
      <c r="BM131" s="148"/>
      <c r="BN131" s="148"/>
      <c r="BO131" s="148"/>
      <c r="BP131" s="148"/>
      <c r="BQ131" s="148"/>
      <c r="BR131" s="243"/>
      <c r="BS131" s="148"/>
      <c r="BT131" s="148"/>
      <c r="BU131" s="156"/>
      <c r="BV131" s="156"/>
      <c r="BW131" s="148"/>
      <c r="BX131" s="148"/>
      <c r="BY131" s="148"/>
      <c r="BZ131" s="148"/>
      <c r="CQ131">
        <v>5729</v>
      </c>
      <c r="CR131" s="215">
        <v>45300</v>
      </c>
      <c r="CS131" s="215">
        <v>45336</v>
      </c>
      <c r="CT131" t="s">
        <v>822</v>
      </c>
      <c r="CU131" t="s">
        <v>823</v>
      </c>
      <c r="CV131" t="s">
        <v>1714</v>
      </c>
      <c r="CW131">
        <v>2.5</v>
      </c>
    </row>
    <row r="132" spans="2:101">
      <c r="B132" s="148"/>
      <c r="C132" s="156"/>
      <c r="D132" s="156"/>
      <c r="E132" s="148"/>
      <c r="F132" s="148"/>
      <c r="G132" s="148"/>
      <c r="H132" s="148"/>
      <c r="I132" s="148"/>
      <c r="J132" s="243"/>
      <c r="K132" s="148"/>
      <c r="L132" s="148"/>
      <c r="M132" s="156"/>
      <c r="N132" s="156"/>
      <c r="O132" s="148"/>
      <c r="P132" s="148"/>
      <c r="Q132" s="148"/>
      <c r="R132" s="148"/>
      <c r="S132" s="148"/>
      <c r="T132" s="243"/>
      <c r="U132" s="148"/>
      <c r="V132" s="148"/>
      <c r="W132" s="156"/>
      <c r="X132" s="156"/>
      <c r="Y132" s="148"/>
      <c r="Z132" s="148"/>
      <c r="AA132" s="148"/>
      <c r="AB132" s="148"/>
      <c r="AC132" s="148"/>
      <c r="AD132" s="243"/>
      <c r="AE132" s="148"/>
      <c r="AF132" s="148"/>
      <c r="AG132" s="156"/>
      <c r="AH132" s="156"/>
      <c r="AI132" s="148"/>
      <c r="AJ132" s="148"/>
      <c r="AK132" s="148"/>
      <c r="AL132" s="148"/>
      <c r="AM132" s="148"/>
      <c r="AN132" s="243"/>
      <c r="AO132" s="148"/>
      <c r="AP132" s="148"/>
      <c r="AQ132" s="156"/>
      <c r="AR132" s="156"/>
      <c r="AS132" s="148"/>
      <c r="AT132" s="148"/>
      <c r="AU132" s="148"/>
      <c r="AV132" s="148"/>
      <c r="AW132" s="148"/>
      <c r="AX132" s="244"/>
      <c r="AY132" s="148"/>
      <c r="AZ132" s="148"/>
      <c r="BA132" s="156"/>
      <c r="BB132" s="156"/>
      <c r="BC132" s="148"/>
      <c r="BD132" s="148"/>
      <c r="BE132" s="148"/>
      <c r="BF132" s="148"/>
      <c r="BG132" s="148"/>
      <c r="BH132" s="243"/>
      <c r="BI132" s="148"/>
      <c r="BJ132" s="148"/>
      <c r="BK132" s="156"/>
      <c r="BL132" s="156"/>
      <c r="BM132" s="148"/>
      <c r="BN132" s="148"/>
      <c r="BO132" s="148"/>
      <c r="BP132" s="148"/>
      <c r="BQ132" s="148"/>
      <c r="BR132" s="243"/>
      <c r="BS132" s="148"/>
      <c r="BT132" s="148"/>
      <c r="BU132" s="156"/>
      <c r="BV132" s="156"/>
      <c r="BW132" s="148"/>
      <c r="BX132" s="148"/>
      <c r="BY132" s="148"/>
      <c r="BZ132" s="148"/>
      <c r="CQ132">
        <v>5731</v>
      </c>
      <c r="CR132" s="215">
        <v>45300</v>
      </c>
      <c r="CS132" s="215">
        <v>45336</v>
      </c>
      <c r="CT132" t="s">
        <v>822</v>
      </c>
      <c r="CU132" t="s">
        <v>823</v>
      </c>
      <c r="CV132" t="s">
        <v>1714</v>
      </c>
      <c r="CW132">
        <v>2.5</v>
      </c>
    </row>
    <row r="133" spans="2:101">
      <c r="B133" s="148"/>
      <c r="C133" s="156"/>
      <c r="D133" s="156"/>
      <c r="E133" s="148"/>
      <c r="F133" s="148"/>
      <c r="G133" s="148"/>
      <c r="H133" s="148"/>
      <c r="I133" s="148"/>
      <c r="J133" s="243"/>
      <c r="K133" s="148"/>
      <c r="L133" s="148"/>
      <c r="M133" s="156"/>
      <c r="N133" s="156"/>
      <c r="O133" s="148"/>
      <c r="P133" s="148"/>
      <c r="Q133" s="148"/>
      <c r="R133" s="148"/>
      <c r="S133" s="148"/>
      <c r="T133" s="243"/>
      <c r="U133" s="148"/>
      <c r="V133" s="148"/>
      <c r="W133" s="156"/>
      <c r="X133" s="156"/>
      <c r="Y133" s="148"/>
      <c r="Z133" s="148"/>
      <c r="AA133" s="148"/>
      <c r="AB133" s="148"/>
      <c r="AC133" s="148"/>
      <c r="AD133" s="243"/>
      <c r="AE133" s="148"/>
      <c r="AF133" s="148"/>
      <c r="AG133" s="156"/>
      <c r="AH133" s="156"/>
      <c r="AI133" s="148"/>
      <c r="AJ133" s="148"/>
      <c r="AK133" s="148"/>
      <c r="AL133" s="148"/>
      <c r="AM133" s="148"/>
      <c r="AN133" s="243"/>
      <c r="AO133" s="148"/>
      <c r="AP133" s="148"/>
      <c r="AQ133" s="156"/>
      <c r="AR133" s="156"/>
      <c r="AS133" s="148"/>
      <c r="AT133" s="148"/>
      <c r="AU133" s="148"/>
      <c r="AV133" s="148"/>
      <c r="AW133" s="148"/>
      <c r="AX133" s="244"/>
      <c r="AY133" s="148"/>
      <c r="AZ133" s="148"/>
      <c r="BA133" s="156"/>
      <c r="BB133" s="156"/>
      <c r="BC133" s="148"/>
      <c r="BD133" s="148"/>
      <c r="BE133" s="148"/>
      <c r="BF133" s="148"/>
      <c r="BG133" s="148"/>
      <c r="BH133" s="243"/>
      <c r="BI133" s="148"/>
      <c r="BJ133" s="148"/>
      <c r="BK133" s="156"/>
      <c r="BL133" s="156"/>
      <c r="BM133" s="148"/>
      <c r="BN133" s="148"/>
      <c r="BO133" s="148"/>
      <c r="BP133" s="148"/>
      <c r="BQ133" s="148"/>
      <c r="BR133" s="243"/>
      <c r="BS133" s="148"/>
      <c r="BT133" s="148"/>
      <c r="BU133" s="156"/>
      <c r="BV133" s="156"/>
      <c r="BW133" s="148"/>
      <c r="BX133" s="148"/>
      <c r="BY133" s="148"/>
      <c r="BZ133" s="148"/>
      <c r="CQ133">
        <v>5769</v>
      </c>
      <c r="CR133" s="215">
        <v>45336</v>
      </c>
      <c r="CS133" s="215">
        <v>45359</v>
      </c>
      <c r="CT133" t="s">
        <v>822</v>
      </c>
      <c r="CU133" t="s">
        <v>823</v>
      </c>
      <c r="CV133" t="s">
        <v>1714</v>
      </c>
      <c r="CW133">
        <v>2.5</v>
      </c>
    </row>
    <row r="134" spans="2:101">
      <c r="B134" s="148"/>
      <c r="C134" s="156"/>
      <c r="D134" s="156"/>
      <c r="E134" s="148"/>
      <c r="F134" s="148"/>
      <c r="G134" s="148"/>
      <c r="H134" s="148"/>
      <c r="I134" s="148"/>
      <c r="J134" s="243"/>
      <c r="K134" s="148"/>
      <c r="L134" s="148"/>
      <c r="M134" s="156"/>
      <c r="N134" s="156"/>
      <c r="O134" s="148"/>
      <c r="P134" s="148"/>
      <c r="Q134" s="148"/>
      <c r="R134" s="148"/>
      <c r="S134" s="148"/>
      <c r="T134" s="243"/>
      <c r="U134" s="148"/>
      <c r="V134" s="148"/>
      <c r="W134" s="156"/>
      <c r="X134" s="156"/>
      <c r="Y134" s="148"/>
      <c r="Z134" s="148"/>
      <c r="AA134" s="148"/>
      <c r="AB134" s="148"/>
      <c r="AC134" s="148"/>
      <c r="AD134" s="243"/>
      <c r="AE134" s="148"/>
      <c r="AF134" s="148"/>
      <c r="AG134" s="156"/>
      <c r="AH134" s="156"/>
      <c r="AI134" s="148"/>
      <c r="AJ134" s="148"/>
      <c r="AK134" s="148"/>
      <c r="AL134" s="148"/>
      <c r="AM134" s="148"/>
      <c r="AN134" s="243"/>
      <c r="AO134" s="148"/>
      <c r="AP134" s="148"/>
      <c r="AQ134" s="156"/>
      <c r="AR134" s="156"/>
      <c r="AS134" s="148"/>
      <c r="AT134" s="148"/>
      <c r="AU134" s="148"/>
      <c r="AV134" s="148"/>
      <c r="AW134" s="148"/>
      <c r="AX134" s="244"/>
      <c r="AY134" s="148"/>
      <c r="AZ134" s="148"/>
      <c r="BA134" s="156"/>
      <c r="BB134" s="156"/>
      <c r="BC134" s="148"/>
      <c r="BD134" s="148"/>
      <c r="BE134" s="148"/>
      <c r="BF134" s="148"/>
      <c r="BG134" s="148"/>
      <c r="BH134" s="243"/>
      <c r="BI134" s="148"/>
      <c r="BJ134" s="148"/>
      <c r="BK134" s="156"/>
      <c r="BL134" s="156"/>
      <c r="BM134" s="148"/>
      <c r="BN134" s="148"/>
      <c r="BO134" s="148"/>
      <c r="BP134" s="148"/>
      <c r="BQ134" s="148"/>
      <c r="BR134" s="243"/>
      <c r="BS134" s="148"/>
      <c r="BT134" s="148"/>
      <c r="BU134" s="156"/>
      <c r="BV134" s="156"/>
      <c r="BW134" s="148"/>
      <c r="BX134" s="148"/>
      <c r="BY134" s="148"/>
      <c r="BZ134" s="148"/>
      <c r="CQ134">
        <v>5771</v>
      </c>
      <c r="CR134" s="215">
        <v>45336</v>
      </c>
      <c r="CS134" s="215">
        <v>45359</v>
      </c>
      <c r="CT134" t="s">
        <v>822</v>
      </c>
      <c r="CU134" t="s">
        <v>823</v>
      </c>
      <c r="CV134" t="s">
        <v>1714</v>
      </c>
      <c r="CW134">
        <v>2.5</v>
      </c>
    </row>
    <row r="135" spans="2:101">
      <c r="B135" s="148"/>
      <c r="C135" s="156"/>
      <c r="D135" s="156"/>
      <c r="E135" s="148"/>
      <c r="F135" s="148"/>
      <c r="G135" s="148"/>
      <c r="H135" s="148"/>
      <c r="I135" s="148"/>
      <c r="J135" s="243"/>
      <c r="K135" s="148"/>
      <c r="L135" s="148"/>
      <c r="M135" s="156"/>
      <c r="N135" s="156"/>
      <c r="O135" s="148"/>
      <c r="P135" s="148"/>
      <c r="Q135" s="148"/>
      <c r="R135" s="148"/>
      <c r="S135" s="148"/>
      <c r="T135" s="243"/>
      <c r="U135" s="148"/>
      <c r="V135" s="148"/>
      <c r="W135" s="156"/>
      <c r="X135" s="156"/>
      <c r="Y135" s="148"/>
      <c r="Z135" s="148"/>
      <c r="AA135" s="148"/>
      <c r="AB135" s="148"/>
      <c r="AC135" s="148"/>
      <c r="AD135" s="243"/>
      <c r="AE135" s="148"/>
      <c r="AF135" s="148"/>
      <c r="AG135" s="156"/>
      <c r="AH135" s="156"/>
      <c r="AI135" s="148"/>
      <c r="AJ135" s="148"/>
      <c r="AK135" s="148"/>
      <c r="AL135" s="148"/>
      <c r="AM135" s="148"/>
      <c r="AN135" s="243"/>
      <c r="AO135" s="148"/>
      <c r="AP135" s="148"/>
      <c r="AQ135" s="156"/>
      <c r="AR135" s="156"/>
      <c r="AS135" s="148"/>
      <c r="AT135" s="148"/>
      <c r="AU135" s="148"/>
      <c r="AV135" s="148"/>
      <c r="AW135" s="148"/>
      <c r="AX135" s="244"/>
      <c r="AY135" s="148"/>
      <c r="AZ135" s="148"/>
      <c r="BA135" s="156"/>
      <c r="BB135" s="156"/>
      <c r="BC135" s="148"/>
      <c r="BD135" s="148"/>
      <c r="BE135" s="148"/>
      <c r="BF135" s="148"/>
      <c r="BG135" s="148"/>
      <c r="BH135" s="243"/>
      <c r="BI135" s="148"/>
      <c r="BJ135" s="148"/>
      <c r="BK135" s="156"/>
      <c r="BL135" s="156"/>
      <c r="BM135" s="148"/>
      <c r="BN135" s="148"/>
      <c r="BO135" s="148"/>
      <c r="BP135" s="148"/>
      <c r="BQ135" s="148"/>
      <c r="BR135" s="243"/>
      <c r="BS135" s="148"/>
      <c r="BT135" s="148"/>
      <c r="BU135" s="156"/>
      <c r="BV135" s="156"/>
      <c r="BW135" s="148"/>
      <c r="BX135" s="148"/>
      <c r="BY135" s="148"/>
      <c r="BZ135" s="148"/>
      <c r="CQ135">
        <v>5809</v>
      </c>
      <c r="CR135" s="215">
        <v>45359</v>
      </c>
      <c r="CS135" s="215">
        <v>45390</v>
      </c>
      <c r="CT135" t="s">
        <v>822</v>
      </c>
      <c r="CU135" t="s">
        <v>823</v>
      </c>
      <c r="CV135" t="s">
        <v>1714</v>
      </c>
      <c r="CW135">
        <v>2.5</v>
      </c>
    </row>
    <row r="136" spans="2:101">
      <c r="B136" s="148"/>
      <c r="C136" s="156"/>
      <c r="D136" s="156"/>
      <c r="E136" s="148"/>
      <c r="F136" s="148"/>
      <c r="G136" s="148"/>
      <c r="H136" s="148"/>
      <c r="I136" s="148"/>
      <c r="J136" s="243"/>
      <c r="K136" s="148"/>
      <c r="L136" s="148"/>
      <c r="M136" s="156"/>
      <c r="N136" s="156"/>
      <c r="O136" s="148"/>
      <c r="P136" s="148"/>
      <c r="Q136" s="148"/>
      <c r="R136" s="148"/>
      <c r="S136" s="148"/>
      <c r="T136" s="243"/>
      <c r="U136" s="148"/>
      <c r="V136" s="148"/>
      <c r="W136" s="156"/>
      <c r="X136" s="156"/>
      <c r="Y136" s="148"/>
      <c r="Z136" s="148"/>
      <c r="AA136" s="148"/>
      <c r="AB136" s="148"/>
      <c r="AC136" s="148"/>
      <c r="AD136" s="243"/>
      <c r="AE136" s="148"/>
      <c r="AF136" s="148"/>
      <c r="AG136" s="156"/>
      <c r="AH136" s="156"/>
      <c r="AI136" s="148"/>
      <c r="AJ136" s="148"/>
      <c r="AK136" s="148"/>
      <c r="AL136" s="148"/>
      <c r="AM136" s="148"/>
      <c r="AN136" s="243"/>
      <c r="AO136" s="148"/>
      <c r="AP136" s="148"/>
      <c r="AQ136" s="156"/>
      <c r="AR136" s="156"/>
      <c r="AS136" s="148"/>
      <c r="AT136" s="148"/>
      <c r="AU136" s="148"/>
      <c r="AV136" s="148"/>
      <c r="AW136" s="148"/>
      <c r="AX136" s="244"/>
      <c r="AY136" s="148"/>
      <c r="AZ136" s="148"/>
      <c r="BA136" s="156"/>
      <c r="BB136" s="156"/>
      <c r="BC136" s="148"/>
      <c r="BD136" s="148"/>
      <c r="BE136" s="148"/>
      <c r="BF136" s="148"/>
      <c r="BG136" s="148"/>
      <c r="BH136" s="243"/>
      <c r="BI136" s="148"/>
      <c r="BJ136" s="148"/>
      <c r="BK136" s="156"/>
      <c r="BL136" s="156"/>
      <c r="BM136" s="148"/>
      <c r="BN136" s="148"/>
      <c r="BO136" s="148"/>
      <c r="BP136" s="148"/>
      <c r="BQ136" s="148"/>
      <c r="BR136" s="243"/>
      <c r="BS136" s="148"/>
      <c r="BT136" s="148"/>
      <c r="BU136" s="156"/>
      <c r="BV136" s="156"/>
      <c r="BW136" s="148"/>
      <c r="BX136" s="148"/>
      <c r="BY136" s="148"/>
      <c r="BZ136" s="148"/>
      <c r="CQ136">
        <v>5811</v>
      </c>
      <c r="CR136" s="215">
        <v>45359</v>
      </c>
      <c r="CS136" s="215">
        <v>45390</v>
      </c>
      <c r="CT136" t="s">
        <v>822</v>
      </c>
      <c r="CU136" t="s">
        <v>823</v>
      </c>
      <c r="CV136" t="s">
        <v>1714</v>
      </c>
      <c r="CW136">
        <v>2.5</v>
      </c>
    </row>
    <row r="137" spans="2:101">
      <c r="B137" s="148"/>
      <c r="C137" s="156"/>
      <c r="D137" s="156"/>
      <c r="E137" s="148"/>
      <c r="F137" s="148"/>
      <c r="G137" s="148"/>
      <c r="H137" s="148"/>
      <c r="I137" s="148"/>
      <c r="J137" s="243"/>
      <c r="K137" s="148"/>
      <c r="L137" s="148"/>
      <c r="M137" s="156"/>
      <c r="N137" s="156"/>
      <c r="O137" s="148"/>
      <c r="P137" s="148"/>
      <c r="Q137" s="148"/>
      <c r="R137" s="148"/>
      <c r="S137" s="148"/>
      <c r="T137" s="243"/>
      <c r="U137" s="148"/>
      <c r="V137" s="148"/>
      <c r="W137" s="156"/>
      <c r="X137" s="156"/>
      <c r="Y137" s="148"/>
      <c r="Z137" s="148"/>
      <c r="AA137" s="148"/>
      <c r="AB137" s="148"/>
      <c r="AC137" s="148"/>
      <c r="AD137" s="243"/>
      <c r="AE137" s="148"/>
      <c r="AF137" s="148"/>
      <c r="AG137" s="156"/>
      <c r="AH137" s="156"/>
      <c r="AI137" s="148"/>
      <c r="AJ137" s="148"/>
      <c r="AK137" s="148"/>
      <c r="AL137" s="148"/>
      <c r="AM137" s="148"/>
      <c r="AN137" s="243"/>
      <c r="AO137" s="148"/>
      <c r="AP137" s="148"/>
      <c r="AQ137" s="156"/>
      <c r="AR137" s="156"/>
      <c r="AS137" s="148"/>
      <c r="AT137" s="148"/>
      <c r="AU137" s="148"/>
      <c r="AV137" s="148"/>
      <c r="AW137" s="148"/>
      <c r="AX137" s="244"/>
      <c r="AY137" s="148"/>
      <c r="AZ137" s="148"/>
      <c r="BA137" s="156"/>
      <c r="BB137" s="156"/>
      <c r="BC137" s="148"/>
      <c r="BD137" s="148"/>
      <c r="BE137" s="148"/>
      <c r="BF137" s="148"/>
      <c r="BG137" s="148"/>
      <c r="BH137" s="243"/>
      <c r="BI137" s="148"/>
      <c r="BJ137" s="148"/>
      <c r="BK137" s="156"/>
      <c r="BL137" s="156"/>
      <c r="BM137" s="148"/>
      <c r="BN137" s="148"/>
      <c r="BO137" s="148"/>
      <c r="BP137" s="148"/>
      <c r="BQ137" s="148"/>
      <c r="BR137" s="243"/>
      <c r="BS137" s="148"/>
      <c r="BT137" s="148"/>
      <c r="BU137" s="156"/>
      <c r="BV137" s="156"/>
      <c r="BW137" s="148"/>
      <c r="BX137" s="148"/>
      <c r="BY137" s="148"/>
      <c r="BZ137" s="148"/>
      <c r="CQ137">
        <v>5849</v>
      </c>
      <c r="CR137" s="215">
        <v>45390</v>
      </c>
      <c r="CS137" s="215">
        <v>45421</v>
      </c>
      <c r="CT137" t="s">
        <v>822</v>
      </c>
      <c r="CU137" t="s">
        <v>823</v>
      </c>
      <c r="CV137" t="s">
        <v>1714</v>
      </c>
      <c r="CW137">
        <v>2.5</v>
      </c>
    </row>
    <row r="138" spans="2:101">
      <c r="B138" s="148"/>
      <c r="C138" s="156"/>
      <c r="D138" s="156"/>
      <c r="E138" s="148"/>
      <c r="F138" s="148"/>
      <c r="G138" s="148"/>
      <c r="H138" s="148"/>
      <c r="I138" s="148"/>
      <c r="J138" s="243"/>
      <c r="K138" s="148"/>
      <c r="L138" s="148"/>
      <c r="M138" s="156"/>
      <c r="N138" s="156"/>
      <c r="O138" s="148"/>
      <c r="P138" s="148"/>
      <c r="Q138" s="148"/>
      <c r="R138" s="148"/>
      <c r="S138" s="148"/>
      <c r="T138" s="243"/>
      <c r="U138" s="148"/>
      <c r="V138" s="148"/>
      <c r="W138" s="156"/>
      <c r="X138" s="156"/>
      <c r="Y138" s="148"/>
      <c r="Z138" s="148"/>
      <c r="AA138" s="148"/>
      <c r="AB138" s="148"/>
      <c r="AC138" s="148"/>
      <c r="AD138" s="243"/>
      <c r="AE138" s="148"/>
      <c r="AF138" s="148"/>
      <c r="AG138" s="156"/>
      <c r="AH138" s="156"/>
      <c r="AI138" s="148"/>
      <c r="AJ138" s="148"/>
      <c r="AK138" s="148"/>
      <c r="AL138" s="148"/>
      <c r="AM138" s="148"/>
      <c r="AN138" s="243"/>
      <c r="AO138" s="148"/>
      <c r="AP138" s="148"/>
      <c r="AQ138" s="156"/>
      <c r="AR138" s="156"/>
      <c r="AS138" s="148"/>
      <c r="AT138" s="148"/>
      <c r="AU138" s="148"/>
      <c r="AV138" s="148"/>
      <c r="AW138" s="148"/>
      <c r="AX138" s="244"/>
      <c r="AY138" s="148"/>
      <c r="AZ138" s="148"/>
      <c r="BA138" s="156"/>
      <c r="BB138" s="156"/>
      <c r="BC138" s="148"/>
      <c r="BD138" s="148"/>
      <c r="BE138" s="148"/>
      <c r="BF138" s="148"/>
      <c r="BG138" s="148"/>
      <c r="BH138" s="243"/>
      <c r="BI138" s="148"/>
      <c r="BJ138" s="148"/>
      <c r="BK138" s="156"/>
      <c r="BL138" s="156"/>
      <c r="BM138" s="148"/>
      <c r="BN138" s="148"/>
      <c r="BO138" s="148"/>
      <c r="BP138" s="148"/>
      <c r="BQ138" s="148"/>
      <c r="BR138" s="243"/>
      <c r="BS138" s="148"/>
      <c r="BT138" s="148"/>
      <c r="BU138" s="156"/>
      <c r="BV138" s="156"/>
      <c r="BW138" s="148"/>
      <c r="BX138" s="148"/>
      <c r="BY138" s="148"/>
      <c r="BZ138" s="148"/>
      <c r="CQ138">
        <v>5851</v>
      </c>
      <c r="CR138" s="215">
        <v>45390</v>
      </c>
      <c r="CS138" s="215">
        <v>45421</v>
      </c>
      <c r="CT138" t="s">
        <v>822</v>
      </c>
      <c r="CU138" t="s">
        <v>823</v>
      </c>
      <c r="CV138" t="s">
        <v>1714</v>
      </c>
      <c r="CW138">
        <v>2.5</v>
      </c>
    </row>
    <row r="139" spans="2:101">
      <c r="B139" s="148"/>
      <c r="C139" s="156"/>
      <c r="D139" s="156"/>
      <c r="E139" s="148"/>
      <c r="F139" s="148"/>
      <c r="G139" s="148"/>
      <c r="H139" s="148"/>
      <c r="I139" s="148"/>
      <c r="J139" s="243"/>
      <c r="K139" s="148"/>
      <c r="L139" s="148"/>
      <c r="M139" s="156"/>
      <c r="N139" s="156"/>
      <c r="O139" s="148"/>
      <c r="P139" s="148"/>
      <c r="Q139" s="148"/>
      <c r="R139" s="148"/>
      <c r="S139" s="148"/>
      <c r="T139" s="243"/>
      <c r="U139" s="148"/>
      <c r="V139" s="148"/>
      <c r="W139" s="156"/>
      <c r="X139" s="156"/>
      <c r="Y139" s="148"/>
      <c r="Z139" s="148"/>
      <c r="AA139" s="148"/>
      <c r="AB139" s="148"/>
      <c r="AC139" s="148"/>
      <c r="AD139" s="243"/>
      <c r="AE139" s="148"/>
      <c r="AF139" s="148"/>
      <c r="AG139" s="156"/>
      <c r="AH139" s="156"/>
      <c r="AI139" s="148"/>
      <c r="AJ139" s="148"/>
      <c r="AK139" s="148"/>
      <c r="AL139" s="148"/>
      <c r="AM139" s="148"/>
      <c r="AN139" s="243"/>
      <c r="AO139" s="148"/>
      <c r="AP139" s="148"/>
      <c r="AQ139" s="156"/>
      <c r="AR139" s="156"/>
      <c r="AS139" s="148"/>
      <c r="AT139" s="148"/>
      <c r="AU139" s="148"/>
      <c r="AV139" s="148"/>
      <c r="AW139" s="148"/>
      <c r="AX139" s="244"/>
      <c r="AY139" s="148"/>
      <c r="AZ139" s="148"/>
      <c r="BA139" s="156"/>
      <c r="BB139" s="156"/>
      <c r="BC139" s="148"/>
      <c r="BD139" s="148"/>
      <c r="BE139" s="148"/>
      <c r="BF139" s="148"/>
      <c r="BG139" s="148"/>
      <c r="BH139" s="243"/>
      <c r="BI139" s="148"/>
      <c r="BJ139" s="148"/>
      <c r="BK139" s="156"/>
      <c r="BL139" s="156"/>
      <c r="BM139" s="148"/>
      <c r="BN139" s="148"/>
      <c r="BO139" s="148"/>
      <c r="BP139" s="148"/>
      <c r="BQ139" s="148"/>
      <c r="BR139" s="243"/>
      <c r="BS139" s="148"/>
      <c r="BT139" s="148"/>
      <c r="BU139" s="156"/>
      <c r="BV139" s="156"/>
      <c r="BW139" s="148"/>
      <c r="BX139" s="148"/>
      <c r="BY139" s="148"/>
      <c r="BZ139" s="148"/>
      <c r="CQ139">
        <v>5889</v>
      </c>
      <c r="CR139" s="215">
        <v>45421</v>
      </c>
      <c r="CS139" s="215">
        <v>45453</v>
      </c>
      <c r="CT139" t="s">
        <v>822</v>
      </c>
      <c r="CU139" t="s">
        <v>823</v>
      </c>
      <c r="CV139" t="s">
        <v>1714</v>
      </c>
      <c r="CW139">
        <v>2.5</v>
      </c>
    </row>
    <row r="140" spans="2:101">
      <c r="B140" s="148"/>
      <c r="C140" s="156"/>
      <c r="D140" s="156"/>
      <c r="E140" s="148"/>
      <c r="F140" s="148"/>
      <c r="G140" s="148"/>
      <c r="H140" s="148"/>
      <c r="I140" s="148"/>
      <c r="J140" s="243"/>
      <c r="K140" s="148"/>
      <c r="L140" s="148"/>
      <c r="M140" s="156"/>
      <c r="N140" s="156"/>
      <c r="O140" s="148"/>
      <c r="P140" s="148"/>
      <c r="Q140" s="148"/>
      <c r="R140" s="148"/>
      <c r="S140" s="148"/>
      <c r="T140" s="243"/>
      <c r="U140" s="148"/>
      <c r="V140" s="148"/>
      <c r="W140" s="156"/>
      <c r="X140" s="156"/>
      <c r="Y140" s="148"/>
      <c r="Z140" s="148"/>
      <c r="AA140" s="148"/>
      <c r="AB140" s="148"/>
      <c r="AC140" s="148"/>
      <c r="AD140" s="243"/>
      <c r="AE140" s="148"/>
      <c r="AF140" s="148"/>
      <c r="AG140" s="156"/>
      <c r="AH140" s="156"/>
      <c r="AI140" s="148"/>
      <c r="AJ140" s="148"/>
      <c r="AK140" s="148"/>
      <c r="AL140" s="148"/>
      <c r="AM140" s="148"/>
      <c r="AN140" s="243"/>
      <c r="AO140" s="148"/>
      <c r="AP140" s="148"/>
      <c r="AQ140" s="156"/>
      <c r="AR140" s="156"/>
      <c r="AS140" s="148"/>
      <c r="AT140" s="148"/>
      <c r="AU140" s="148"/>
      <c r="AV140" s="148"/>
      <c r="AW140" s="148"/>
      <c r="AX140" s="244"/>
      <c r="AY140" s="148"/>
      <c r="AZ140" s="148"/>
      <c r="BA140" s="156"/>
      <c r="BB140" s="156"/>
      <c r="BC140" s="148"/>
      <c r="BD140" s="148"/>
      <c r="BE140" s="148"/>
      <c r="BF140" s="148"/>
      <c r="BG140" s="148"/>
      <c r="BH140" s="243"/>
      <c r="BI140" s="148"/>
      <c r="BJ140" s="148"/>
      <c r="BK140" s="156"/>
      <c r="BL140" s="156"/>
      <c r="BM140" s="148"/>
      <c r="BN140" s="148"/>
      <c r="BO140" s="148"/>
      <c r="BP140" s="148"/>
      <c r="BQ140" s="148"/>
      <c r="BR140" s="243"/>
      <c r="BS140" s="148"/>
      <c r="BT140" s="148"/>
      <c r="BU140" s="156"/>
      <c r="BV140" s="156"/>
      <c r="BW140" s="148"/>
      <c r="BX140" s="148"/>
      <c r="BY140" s="148"/>
      <c r="BZ140" s="148"/>
      <c r="CQ140">
        <v>5891</v>
      </c>
      <c r="CR140" s="215">
        <v>45421</v>
      </c>
      <c r="CS140" s="215">
        <v>45453</v>
      </c>
      <c r="CT140" t="s">
        <v>822</v>
      </c>
      <c r="CU140" t="s">
        <v>823</v>
      </c>
      <c r="CV140" t="s">
        <v>1714</v>
      </c>
      <c r="CW140">
        <v>2.5</v>
      </c>
    </row>
    <row r="141" spans="2:101">
      <c r="B141" s="148"/>
      <c r="C141" s="156"/>
      <c r="D141" s="156"/>
      <c r="E141" s="148"/>
      <c r="F141" s="148"/>
      <c r="G141" s="148"/>
      <c r="H141" s="148"/>
      <c r="I141" s="148"/>
      <c r="J141" s="243"/>
      <c r="K141" s="148"/>
      <c r="L141" s="148"/>
      <c r="M141" s="156"/>
      <c r="N141" s="156"/>
      <c r="O141" s="148"/>
      <c r="P141" s="148"/>
      <c r="Q141" s="148"/>
      <c r="R141" s="148"/>
      <c r="S141" s="148"/>
      <c r="T141" s="243"/>
      <c r="U141" s="148"/>
      <c r="V141" s="148"/>
      <c r="W141" s="156"/>
      <c r="X141" s="156"/>
      <c r="Y141" s="148"/>
      <c r="Z141" s="148"/>
      <c r="AA141" s="148"/>
      <c r="AB141" s="148"/>
      <c r="AC141" s="148"/>
      <c r="AD141" s="243"/>
      <c r="AE141" s="148"/>
      <c r="AF141" s="148"/>
      <c r="AG141" s="156"/>
      <c r="AH141" s="156"/>
      <c r="AI141" s="148"/>
      <c r="AJ141" s="148"/>
      <c r="AK141" s="148"/>
      <c r="AL141" s="148"/>
      <c r="AM141" s="148"/>
      <c r="AN141" s="243"/>
      <c r="AO141" s="148"/>
      <c r="AP141" s="148"/>
      <c r="AQ141" s="156"/>
      <c r="AR141" s="156"/>
      <c r="AS141" s="148"/>
      <c r="AT141" s="148"/>
      <c r="AU141" s="148"/>
      <c r="AV141" s="148"/>
      <c r="AW141" s="148"/>
      <c r="AX141" s="244"/>
      <c r="AY141" s="148"/>
      <c r="AZ141" s="148"/>
      <c r="BA141" s="156"/>
      <c r="BB141" s="156"/>
      <c r="BC141" s="148"/>
      <c r="BD141" s="148"/>
      <c r="BE141" s="148"/>
      <c r="BF141" s="148"/>
      <c r="BG141" s="148"/>
      <c r="BH141" s="243"/>
      <c r="BI141" s="148"/>
      <c r="BJ141" s="148"/>
      <c r="BK141" s="156"/>
      <c r="BL141" s="156"/>
      <c r="BM141" s="148"/>
      <c r="BN141" s="148"/>
      <c r="BO141" s="148"/>
      <c r="BP141" s="148"/>
      <c r="BQ141" s="148"/>
      <c r="BR141" s="243"/>
      <c r="BS141" s="148"/>
      <c r="BT141" s="148"/>
      <c r="BU141" s="156"/>
      <c r="BV141" s="156"/>
      <c r="BW141" s="148"/>
      <c r="BX141" s="148"/>
      <c r="BY141" s="148"/>
      <c r="BZ141" s="148"/>
      <c r="CQ141">
        <v>5929</v>
      </c>
      <c r="CR141" s="215">
        <v>45453</v>
      </c>
      <c r="CS141" s="215">
        <v>45481</v>
      </c>
      <c r="CT141" t="s">
        <v>822</v>
      </c>
      <c r="CU141" t="s">
        <v>823</v>
      </c>
      <c r="CV141" t="s">
        <v>1714</v>
      </c>
      <c r="CW141">
        <v>2.5</v>
      </c>
    </row>
    <row r="142" spans="2:101">
      <c r="B142" s="148"/>
      <c r="C142" s="156"/>
      <c r="D142" s="156"/>
      <c r="E142" s="148"/>
      <c r="F142" s="148"/>
      <c r="G142" s="148"/>
      <c r="H142" s="148"/>
      <c r="I142" s="148"/>
      <c r="J142" s="243"/>
      <c r="K142" s="148"/>
      <c r="L142" s="148"/>
      <c r="M142" s="156"/>
      <c r="N142" s="156"/>
      <c r="O142" s="148"/>
      <c r="P142" s="148"/>
      <c r="Q142" s="148"/>
      <c r="R142" s="148"/>
      <c r="S142" s="148"/>
      <c r="T142" s="243"/>
      <c r="U142" s="148"/>
      <c r="V142" s="148"/>
      <c r="W142" s="156"/>
      <c r="X142" s="156"/>
      <c r="Y142" s="148"/>
      <c r="Z142" s="148"/>
      <c r="AA142" s="148"/>
      <c r="AB142" s="148"/>
      <c r="AC142" s="148"/>
      <c r="AD142" s="243"/>
      <c r="AE142" s="148"/>
      <c r="AF142" s="148"/>
      <c r="AG142" s="156"/>
      <c r="AH142" s="156"/>
      <c r="AI142" s="148"/>
      <c r="AJ142" s="148"/>
      <c r="AK142" s="148"/>
      <c r="AL142" s="148"/>
      <c r="AM142" s="148"/>
      <c r="AN142" s="243"/>
      <c r="AO142" s="148"/>
      <c r="AP142" s="148"/>
      <c r="AQ142" s="156"/>
      <c r="AR142" s="156"/>
      <c r="AS142" s="148"/>
      <c r="AT142" s="148"/>
      <c r="AU142" s="148"/>
      <c r="AV142" s="148"/>
      <c r="AW142" s="148"/>
      <c r="AX142" s="244"/>
      <c r="AY142" s="148"/>
      <c r="AZ142" s="148"/>
      <c r="BA142" s="156"/>
      <c r="BB142" s="156"/>
      <c r="BC142" s="148"/>
      <c r="BD142" s="148"/>
      <c r="BE142" s="148"/>
      <c r="BF142" s="148"/>
      <c r="BG142" s="148"/>
      <c r="BH142" s="243"/>
      <c r="BI142" s="148"/>
      <c r="BJ142" s="148"/>
      <c r="BK142" s="156"/>
      <c r="BL142" s="156"/>
      <c r="BM142" s="148"/>
      <c r="BN142" s="148"/>
      <c r="BO142" s="148"/>
      <c r="BP142" s="148"/>
      <c r="BQ142" s="148"/>
      <c r="BR142" s="243"/>
      <c r="BS142" s="148"/>
      <c r="BT142" s="148"/>
      <c r="BU142" s="156"/>
      <c r="BV142" s="156"/>
      <c r="BW142" s="148"/>
      <c r="BX142" s="148"/>
      <c r="BY142" s="148"/>
      <c r="BZ142" s="148"/>
      <c r="CQ142">
        <v>5931</v>
      </c>
      <c r="CR142" s="215">
        <v>45453</v>
      </c>
      <c r="CS142" s="215">
        <v>45481</v>
      </c>
      <c r="CT142" t="s">
        <v>822</v>
      </c>
      <c r="CU142" t="s">
        <v>823</v>
      </c>
      <c r="CV142" t="s">
        <v>1714</v>
      </c>
      <c r="CW142">
        <v>2.5</v>
      </c>
    </row>
    <row r="143" spans="2:101">
      <c r="B143" s="148"/>
      <c r="C143" s="156"/>
      <c r="D143" s="156"/>
      <c r="E143" s="148"/>
      <c r="F143" s="148"/>
      <c r="G143" s="148"/>
      <c r="H143" s="148"/>
      <c r="I143" s="148"/>
      <c r="J143" s="243"/>
      <c r="K143" s="148"/>
      <c r="L143" s="148"/>
      <c r="M143" s="156"/>
      <c r="N143" s="156"/>
      <c r="O143" s="148"/>
      <c r="P143" s="148"/>
      <c r="Q143" s="148"/>
      <c r="R143" s="148"/>
      <c r="S143" s="148"/>
      <c r="T143" s="243"/>
      <c r="U143" s="148"/>
      <c r="V143" s="148"/>
      <c r="W143" s="156"/>
      <c r="X143" s="156"/>
      <c r="Y143" s="148"/>
      <c r="Z143" s="148"/>
      <c r="AA143" s="148"/>
      <c r="AB143" s="148"/>
      <c r="AC143" s="148"/>
      <c r="AD143" s="243"/>
      <c r="AE143" s="148"/>
      <c r="AF143" s="148"/>
      <c r="AG143" s="156"/>
      <c r="AH143" s="156"/>
      <c r="AI143" s="148"/>
      <c r="AJ143" s="148"/>
      <c r="AK143" s="148"/>
      <c r="AL143" s="148"/>
      <c r="AM143" s="148"/>
      <c r="AN143" s="243"/>
      <c r="AO143" s="148"/>
      <c r="AP143" s="148"/>
      <c r="AQ143" s="156"/>
      <c r="AR143" s="156"/>
      <c r="AS143" s="148"/>
      <c r="AT143" s="148"/>
      <c r="AU143" s="148"/>
      <c r="AV143" s="148"/>
      <c r="AW143" s="148"/>
      <c r="AX143" s="244"/>
      <c r="AY143" s="148"/>
      <c r="AZ143" s="148"/>
      <c r="BA143" s="156"/>
      <c r="BB143" s="156"/>
      <c r="BC143" s="148"/>
      <c r="BD143" s="148"/>
      <c r="BE143" s="148"/>
      <c r="BF143" s="148"/>
      <c r="BG143" s="148"/>
      <c r="BH143" s="243"/>
      <c r="BI143" s="148"/>
      <c r="BJ143" s="148"/>
      <c r="BK143" s="156"/>
      <c r="BL143" s="156"/>
      <c r="BM143" s="148"/>
      <c r="BN143" s="148"/>
      <c r="BO143" s="148"/>
      <c r="BP143" s="148"/>
      <c r="BQ143" s="148"/>
      <c r="BR143" s="243"/>
      <c r="BS143" s="148"/>
      <c r="BT143" s="148"/>
      <c r="BU143" s="156"/>
      <c r="BV143" s="156"/>
      <c r="BW143" s="148"/>
      <c r="BX143" s="148"/>
      <c r="BY143" s="148"/>
      <c r="BZ143" s="148"/>
      <c r="CQ143">
        <v>5969</v>
      </c>
      <c r="CR143" s="215">
        <v>45481</v>
      </c>
      <c r="CS143" s="215">
        <v>45512</v>
      </c>
      <c r="CT143" t="s">
        <v>822</v>
      </c>
      <c r="CU143" t="s">
        <v>823</v>
      </c>
      <c r="CV143" t="s">
        <v>1714</v>
      </c>
      <c r="CW143">
        <v>2.5</v>
      </c>
    </row>
    <row r="144" spans="2:101">
      <c r="B144" s="148"/>
      <c r="C144" s="156"/>
      <c r="D144" s="156"/>
      <c r="E144" s="148"/>
      <c r="F144" s="148"/>
      <c r="G144" s="148"/>
      <c r="H144" s="148"/>
      <c r="I144" s="148"/>
      <c r="J144" s="243"/>
      <c r="K144" s="148"/>
      <c r="L144" s="148"/>
      <c r="M144" s="156"/>
      <c r="N144" s="156"/>
      <c r="O144" s="148"/>
      <c r="P144" s="148"/>
      <c r="Q144" s="148"/>
      <c r="R144" s="148"/>
      <c r="S144" s="148"/>
      <c r="T144" s="243"/>
      <c r="U144" s="148"/>
      <c r="V144" s="148"/>
      <c r="W144" s="156"/>
      <c r="X144" s="156"/>
      <c r="Y144" s="148"/>
      <c r="Z144" s="148"/>
      <c r="AA144" s="148"/>
      <c r="AB144" s="148"/>
      <c r="AC144" s="148"/>
      <c r="AD144" s="243"/>
      <c r="AE144" s="148"/>
      <c r="AF144" s="148"/>
      <c r="AG144" s="156"/>
      <c r="AH144" s="156"/>
      <c r="AI144" s="148"/>
      <c r="AJ144" s="148"/>
      <c r="AK144" s="148"/>
      <c r="AL144" s="148"/>
      <c r="AM144" s="148"/>
      <c r="AN144" s="243"/>
      <c r="AO144" s="148"/>
      <c r="AP144" s="148"/>
      <c r="AQ144" s="156"/>
      <c r="AR144" s="156"/>
      <c r="AS144" s="148"/>
      <c r="AT144" s="148"/>
      <c r="AU144" s="148"/>
      <c r="AV144" s="148"/>
      <c r="AW144" s="148"/>
      <c r="AX144" s="244"/>
      <c r="AY144" s="148"/>
      <c r="AZ144" s="148"/>
      <c r="BA144" s="156"/>
      <c r="BB144" s="156"/>
      <c r="BC144" s="148"/>
      <c r="BD144" s="148"/>
      <c r="BE144" s="148"/>
      <c r="BF144" s="148"/>
      <c r="BG144" s="148"/>
      <c r="BH144" s="243"/>
      <c r="BI144" s="148"/>
      <c r="BJ144" s="148"/>
      <c r="BK144" s="156"/>
      <c r="BL144" s="156"/>
      <c r="BM144" s="148"/>
      <c r="BN144" s="148"/>
      <c r="BO144" s="148"/>
      <c r="BP144" s="148"/>
      <c r="BQ144" s="148"/>
      <c r="BR144" s="243"/>
      <c r="BS144" s="148"/>
      <c r="BT144" s="148"/>
      <c r="BU144" s="156"/>
      <c r="BV144" s="156"/>
      <c r="BW144" s="148"/>
      <c r="BX144" s="148"/>
      <c r="BY144" s="148"/>
      <c r="BZ144" s="148"/>
      <c r="CQ144">
        <v>5971</v>
      </c>
      <c r="CR144" s="215">
        <v>45481</v>
      </c>
      <c r="CS144" s="215">
        <v>45512</v>
      </c>
      <c r="CT144" t="s">
        <v>822</v>
      </c>
      <c r="CU144" t="s">
        <v>823</v>
      </c>
      <c r="CV144" t="s">
        <v>1714</v>
      </c>
      <c r="CW144">
        <v>2.5</v>
      </c>
    </row>
    <row r="145" spans="2:101">
      <c r="B145" s="148"/>
      <c r="C145" s="156"/>
      <c r="D145" s="156"/>
      <c r="E145" s="148"/>
      <c r="F145" s="148"/>
      <c r="G145" s="148"/>
      <c r="H145" s="148"/>
      <c r="I145" s="148"/>
      <c r="J145" s="243"/>
      <c r="K145" s="148"/>
      <c r="L145" s="148"/>
      <c r="M145" s="156"/>
      <c r="N145" s="156"/>
      <c r="O145" s="148"/>
      <c r="P145" s="148"/>
      <c r="Q145" s="148"/>
      <c r="R145" s="148"/>
      <c r="S145" s="148"/>
      <c r="T145" s="243"/>
      <c r="U145" s="148"/>
      <c r="V145" s="148"/>
      <c r="W145" s="156"/>
      <c r="X145" s="156"/>
      <c r="Y145" s="148"/>
      <c r="Z145" s="148"/>
      <c r="AA145" s="148"/>
      <c r="AB145" s="148"/>
      <c r="AC145" s="148"/>
      <c r="AD145" s="243"/>
      <c r="AE145" s="148"/>
      <c r="AF145" s="148"/>
      <c r="AG145" s="156"/>
      <c r="AH145" s="156"/>
      <c r="AI145" s="148"/>
      <c r="AJ145" s="148"/>
      <c r="AK145" s="148"/>
      <c r="AL145" s="148"/>
      <c r="AM145" s="148"/>
      <c r="AN145" s="243"/>
      <c r="AO145" s="148"/>
      <c r="AP145" s="148"/>
      <c r="AQ145" s="156"/>
      <c r="AR145" s="156"/>
      <c r="AS145" s="148"/>
      <c r="AT145" s="148"/>
      <c r="AU145" s="148"/>
      <c r="AV145" s="148"/>
      <c r="AW145" s="148"/>
      <c r="AX145" s="244"/>
      <c r="AY145" s="148"/>
      <c r="AZ145" s="148"/>
      <c r="BA145" s="156"/>
      <c r="BB145" s="156"/>
      <c r="BC145" s="148"/>
      <c r="BD145" s="148"/>
      <c r="BE145" s="148"/>
      <c r="BF145" s="148"/>
      <c r="BG145" s="148"/>
      <c r="BH145" s="243"/>
      <c r="BI145" s="148"/>
      <c r="BJ145" s="148"/>
      <c r="BK145" s="156"/>
      <c r="BL145" s="156"/>
      <c r="BM145" s="148"/>
      <c r="BN145" s="148"/>
      <c r="BO145" s="148"/>
      <c r="BP145" s="148"/>
      <c r="BQ145" s="148"/>
      <c r="BR145" s="243"/>
      <c r="BS145" s="148"/>
      <c r="BT145" s="148"/>
      <c r="BU145" s="156"/>
      <c r="BV145" s="156"/>
      <c r="BW145" s="148"/>
      <c r="BX145" s="148"/>
      <c r="BY145" s="148"/>
      <c r="BZ145" s="148"/>
      <c r="CQ145">
        <v>6009</v>
      </c>
      <c r="CR145" s="215">
        <v>45512</v>
      </c>
      <c r="CS145" s="215">
        <v>45544</v>
      </c>
      <c r="CT145" t="s">
        <v>822</v>
      </c>
      <c r="CU145" t="s">
        <v>823</v>
      </c>
      <c r="CV145" t="s">
        <v>1714</v>
      </c>
      <c r="CW145">
        <v>2.5</v>
      </c>
    </row>
    <row r="146" spans="2:101">
      <c r="B146" s="148"/>
      <c r="C146" s="156"/>
      <c r="D146" s="156"/>
      <c r="E146" s="148"/>
      <c r="F146" s="148"/>
      <c r="G146" s="148"/>
      <c r="H146" s="148"/>
      <c r="I146" s="148"/>
      <c r="J146" s="243"/>
      <c r="K146" s="148"/>
      <c r="L146" s="148"/>
      <c r="M146" s="156"/>
      <c r="N146" s="156"/>
      <c r="O146" s="148"/>
      <c r="P146" s="148"/>
      <c r="Q146" s="148"/>
      <c r="R146" s="148"/>
      <c r="S146" s="148"/>
      <c r="T146" s="243"/>
      <c r="U146" s="148"/>
      <c r="V146" s="148"/>
      <c r="W146" s="156"/>
      <c r="X146" s="156"/>
      <c r="Y146" s="148"/>
      <c r="Z146" s="148"/>
      <c r="AA146" s="148"/>
      <c r="AB146" s="148"/>
      <c r="AC146" s="148"/>
      <c r="AD146" s="243"/>
      <c r="AE146" s="148"/>
      <c r="AF146" s="148"/>
      <c r="AG146" s="156"/>
      <c r="AH146" s="156"/>
      <c r="AI146" s="148"/>
      <c r="AJ146" s="148"/>
      <c r="AK146" s="148"/>
      <c r="AL146" s="148"/>
      <c r="AM146" s="148"/>
      <c r="AN146" s="243"/>
      <c r="AO146" s="148"/>
      <c r="AP146" s="148"/>
      <c r="AQ146" s="156"/>
      <c r="AR146" s="156"/>
      <c r="AS146" s="148"/>
      <c r="AT146" s="148"/>
      <c r="AU146" s="148"/>
      <c r="AV146" s="148"/>
      <c r="AW146" s="148"/>
      <c r="AX146" s="244"/>
      <c r="AY146" s="148"/>
      <c r="AZ146" s="148"/>
      <c r="BA146" s="156"/>
      <c r="BB146" s="156"/>
      <c r="BC146" s="148"/>
      <c r="BD146" s="148"/>
      <c r="BE146" s="148"/>
      <c r="BF146" s="148"/>
      <c r="BG146" s="148"/>
      <c r="BH146" s="243"/>
      <c r="BI146" s="148"/>
      <c r="BJ146" s="148"/>
      <c r="BK146" s="156"/>
      <c r="BL146" s="156"/>
      <c r="BM146" s="148"/>
      <c r="BN146" s="148"/>
      <c r="BO146" s="148"/>
      <c r="BP146" s="148"/>
      <c r="BQ146" s="148"/>
      <c r="BR146" s="243"/>
      <c r="BS146" s="148"/>
      <c r="BT146" s="148"/>
      <c r="BU146" s="156"/>
      <c r="BV146" s="156"/>
      <c r="BW146" s="148"/>
      <c r="BX146" s="148"/>
      <c r="BY146" s="148"/>
      <c r="BZ146" s="148"/>
      <c r="CQ146">
        <v>6011</v>
      </c>
      <c r="CR146" s="215">
        <v>45512</v>
      </c>
      <c r="CS146" s="215">
        <v>45544</v>
      </c>
      <c r="CT146" t="s">
        <v>822</v>
      </c>
      <c r="CU146" t="s">
        <v>823</v>
      </c>
      <c r="CV146" t="s">
        <v>1714</v>
      </c>
      <c r="CW146">
        <v>2.5</v>
      </c>
    </row>
    <row r="147" spans="2:101">
      <c r="CQ147">
        <v>6049</v>
      </c>
      <c r="CR147" s="215">
        <v>45544</v>
      </c>
      <c r="CS147" s="215">
        <v>45573</v>
      </c>
      <c r="CT147" t="s">
        <v>822</v>
      </c>
      <c r="CU147" t="s">
        <v>823</v>
      </c>
      <c r="CV147" t="s">
        <v>1714</v>
      </c>
      <c r="CW147">
        <v>2.5</v>
      </c>
    </row>
    <row r="148" spans="2:101">
      <c r="CQ148">
        <v>6051</v>
      </c>
      <c r="CR148" s="215">
        <v>45544</v>
      </c>
      <c r="CS148" s="215">
        <v>45573</v>
      </c>
      <c r="CT148" t="s">
        <v>822</v>
      </c>
      <c r="CU148" t="s">
        <v>823</v>
      </c>
      <c r="CV148" t="s">
        <v>1714</v>
      </c>
      <c r="CW148">
        <v>2.5</v>
      </c>
    </row>
    <row r="149" spans="2:101">
      <c r="CQ149">
        <v>6089</v>
      </c>
      <c r="CR149" s="215">
        <v>45573</v>
      </c>
      <c r="CS149" s="215">
        <v>45604</v>
      </c>
      <c r="CT149" t="s">
        <v>822</v>
      </c>
      <c r="CU149" t="s">
        <v>823</v>
      </c>
      <c r="CV149" t="s">
        <v>1714</v>
      </c>
      <c r="CW149">
        <v>2.5</v>
      </c>
    </row>
    <row r="150" spans="2:101">
      <c r="CQ150">
        <v>6091</v>
      </c>
      <c r="CR150" s="215">
        <v>45573</v>
      </c>
      <c r="CS150" s="215">
        <v>45604</v>
      </c>
      <c r="CT150" t="s">
        <v>822</v>
      </c>
      <c r="CU150" t="s">
        <v>823</v>
      </c>
      <c r="CV150" t="s">
        <v>1714</v>
      </c>
      <c r="CW150">
        <v>2.5</v>
      </c>
    </row>
    <row r="151" spans="2:101">
      <c r="CQ151">
        <v>6129</v>
      </c>
      <c r="CR151" s="215">
        <v>45604</v>
      </c>
      <c r="CS151" s="215">
        <v>45635</v>
      </c>
      <c r="CT151" t="s">
        <v>822</v>
      </c>
      <c r="CU151" t="s">
        <v>823</v>
      </c>
      <c r="CV151" t="s">
        <v>1714</v>
      </c>
      <c r="CW151">
        <v>2.5</v>
      </c>
    </row>
    <row r="152" spans="2:101">
      <c r="CQ152">
        <v>6131</v>
      </c>
      <c r="CR152" s="215">
        <v>45604</v>
      </c>
      <c r="CS152" s="215">
        <v>45635</v>
      </c>
      <c r="CT152" t="s">
        <v>822</v>
      </c>
      <c r="CU152" t="s">
        <v>823</v>
      </c>
      <c r="CV152" t="s">
        <v>1714</v>
      </c>
      <c r="CW152">
        <v>2.5</v>
      </c>
    </row>
    <row r="153" spans="2:101">
      <c r="CQ153">
        <v>6169</v>
      </c>
      <c r="CR153" s="215">
        <v>45635</v>
      </c>
      <c r="CS153" s="215">
        <v>45666</v>
      </c>
      <c r="CT153" t="s">
        <v>822</v>
      </c>
      <c r="CU153" t="s">
        <v>823</v>
      </c>
      <c r="CV153" t="s">
        <v>1714</v>
      </c>
      <c r="CW153">
        <v>2.5</v>
      </c>
    </row>
    <row r="154" spans="2:101">
      <c r="CQ154">
        <v>6171</v>
      </c>
      <c r="CR154" s="215">
        <v>45635</v>
      </c>
      <c r="CS154" s="215">
        <v>45666</v>
      </c>
      <c r="CT154" t="s">
        <v>822</v>
      </c>
      <c r="CU154" t="s">
        <v>823</v>
      </c>
      <c r="CV154" t="s">
        <v>1714</v>
      </c>
      <c r="CW154">
        <v>2.5</v>
      </c>
    </row>
    <row r="155" spans="2:101">
      <c r="CQ155">
        <v>6209</v>
      </c>
      <c r="CR155" s="215">
        <v>45666</v>
      </c>
      <c r="CS155" s="215">
        <v>45698</v>
      </c>
      <c r="CT155" t="s">
        <v>822</v>
      </c>
      <c r="CU155" t="s">
        <v>823</v>
      </c>
      <c r="CV155" t="s">
        <v>1714</v>
      </c>
      <c r="CW155">
        <v>2.5</v>
      </c>
    </row>
    <row r="156" spans="2:101">
      <c r="CQ156">
        <v>6211</v>
      </c>
      <c r="CR156" s="215">
        <v>45666</v>
      </c>
      <c r="CS156" s="215">
        <v>45698</v>
      </c>
      <c r="CT156" t="s">
        <v>822</v>
      </c>
      <c r="CU156" t="s">
        <v>823</v>
      </c>
      <c r="CV156" t="s">
        <v>1714</v>
      </c>
      <c r="CW156">
        <v>2.5</v>
      </c>
    </row>
    <row r="157" spans="2:101">
      <c r="CQ157">
        <v>6249</v>
      </c>
      <c r="CR157" s="215">
        <v>45698</v>
      </c>
      <c r="CS157" s="215">
        <v>45728</v>
      </c>
      <c r="CT157" t="s">
        <v>822</v>
      </c>
      <c r="CU157" t="s">
        <v>823</v>
      </c>
      <c r="CV157" t="s">
        <v>1714</v>
      </c>
      <c r="CW157">
        <v>2.5</v>
      </c>
    </row>
    <row r="158" spans="2:101">
      <c r="CQ158">
        <v>6251</v>
      </c>
      <c r="CR158" s="215">
        <v>45698</v>
      </c>
      <c r="CS158" s="215">
        <v>45728</v>
      </c>
      <c r="CT158" t="s">
        <v>822</v>
      </c>
      <c r="CU158" t="s">
        <v>823</v>
      </c>
      <c r="CV158" t="s">
        <v>1714</v>
      </c>
      <c r="CW158">
        <v>2.5</v>
      </c>
    </row>
    <row r="159" spans="2:101">
      <c r="CQ159">
        <v>6289</v>
      </c>
      <c r="CR159" s="215">
        <v>45728</v>
      </c>
      <c r="CS159" s="215">
        <v>45755</v>
      </c>
      <c r="CT159" t="s">
        <v>822</v>
      </c>
      <c r="CU159" t="s">
        <v>823</v>
      </c>
      <c r="CV159" t="s">
        <v>1714</v>
      </c>
      <c r="CW159">
        <v>2.5</v>
      </c>
    </row>
    <row r="160" spans="2:101">
      <c r="CQ160">
        <v>6291</v>
      </c>
      <c r="CR160" s="215">
        <v>45728</v>
      </c>
      <c r="CS160" s="215">
        <v>45755</v>
      </c>
      <c r="CT160" t="s">
        <v>822</v>
      </c>
      <c r="CU160" t="s">
        <v>823</v>
      </c>
      <c r="CV160" t="s">
        <v>1714</v>
      </c>
      <c r="CW160">
        <v>2.5</v>
      </c>
    </row>
    <row r="161" spans="95:101">
      <c r="CQ161">
        <v>6329</v>
      </c>
      <c r="CR161" s="215">
        <v>45755</v>
      </c>
      <c r="CS161" s="215">
        <v>45786</v>
      </c>
      <c r="CT161" t="s">
        <v>822</v>
      </c>
      <c r="CU161" t="s">
        <v>823</v>
      </c>
      <c r="CV161" t="s">
        <v>1714</v>
      </c>
      <c r="CW161">
        <v>2.5</v>
      </c>
    </row>
    <row r="162" spans="95:101">
      <c r="CQ162">
        <v>6331</v>
      </c>
      <c r="CR162" s="215">
        <v>45755</v>
      </c>
      <c r="CS162" s="215">
        <v>45786</v>
      </c>
      <c r="CT162" t="s">
        <v>822</v>
      </c>
      <c r="CU162" t="s">
        <v>823</v>
      </c>
      <c r="CV162" t="s">
        <v>1714</v>
      </c>
      <c r="CW162">
        <v>2.5</v>
      </c>
    </row>
    <row r="163" spans="95:101">
      <c r="CQ163">
        <v>6369</v>
      </c>
      <c r="CR163" s="215">
        <v>45786</v>
      </c>
      <c r="CS163" s="215">
        <v>45817</v>
      </c>
      <c r="CT163" t="s">
        <v>822</v>
      </c>
      <c r="CU163" t="s">
        <v>823</v>
      </c>
      <c r="CV163" t="s">
        <v>1714</v>
      </c>
      <c r="CW163">
        <v>2.5</v>
      </c>
    </row>
    <row r="164" spans="95:101">
      <c r="CQ164">
        <v>6371</v>
      </c>
      <c r="CR164" s="215">
        <v>45786</v>
      </c>
      <c r="CS164" s="215">
        <v>45817</v>
      </c>
      <c r="CT164" t="s">
        <v>822</v>
      </c>
      <c r="CU164" t="s">
        <v>823</v>
      </c>
      <c r="CV164" t="s">
        <v>1714</v>
      </c>
      <c r="CW164">
        <v>2.5</v>
      </c>
    </row>
    <row r="165" spans="95:101">
      <c r="CQ165">
        <v>6409</v>
      </c>
      <c r="CR165" s="215">
        <v>45817</v>
      </c>
      <c r="CS165" s="215">
        <v>45846</v>
      </c>
      <c r="CT165" t="s">
        <v>822</v>
      </c>
      <c r="CU165" t="s">
        <v>823</v>
      </c>
      <c r="CV165" t="s">
        <v>1714</v>
      </c>
      <c r="CW165">
        <v>2.5</v>
      </c>
    </row>
    <row r="166" spans="95:101">
      <c r="CQ166">
        <v>6411</v>
      </c>
      <c r="CR166" s="215">
        <v>45817</v>
      </c>
      <c r="CS166" s="215">
        <v>45846</v>
      </c>
      <c r="CT166" t="s">
        <v>822</v>
      </c>
      <c r="CU166" t="s">
        <v>823</v>
      </c>
      <c r="CV166" t="s">
        <v>1714</v>
      </c>
      <c r="CW166">
        <v>2.5</v>
      </c>
    </row>
    <row r="167" spans="95:101">
      <c r="CQ167">
        <v>6449</v>
      </c>
      <c r="CR167" s="215">
        <v>45846</v>
      </c>
      <c r="CS167" s="215">
        <v>45877</v>
      </c>
      <c r="CT167" t="s">
        <v>822</v>
      </c>
      <c r="CU167" t="s">
        <v>823</v>
      </c>
      <c r="CV167" t="s">
        <v>1714</v>
      </c>
      <c r="CW167">
        <v>2.5</v>
      </c>
    </row>
    <row r="168" spans="95:101">
      <c r="CQ168">
        <v>6451</v>
      </c>
      <c r="CR168" s="215">
        <v>45846</v>
      </c>
      <c r="CS168" s="215">
        <v>45877</v>
      </c>
      <c r="CT168" t="s">
        <v>822</v>
      </c>
      <c r="CU168" t="s">
        <v>823</v>
      </c>
      <c r="CV168" t="s">
        <v>1714</v>
      </c>
      <c r="CW168">
        <v>2.5</v>
      </c>
    </row>
    <row r="169" spans="95:101">
      <c r="CQ169">
        <v>6489</v>
      </c>
      <c r="CR169" s="215">
        <v>45877</v>
      </c>
      <c r="CS169" s="215">
        <v>45908</v>
      </c>
      <c r="CT169" t="s">
        <v>822</v>
      </c>
      <c r="CU169" t="s">
        <v>823</v>
      </c>
      <c r="CV169" t="s">
        <v>1714</v>
      </c>
      <c r="CW169">
        <v>2.5</v>
      </c>
    </row>
    <row r="170" spans="95:101">
      <c r="CQ170">
        <v>6491</v>
      </c>
      <c r="CR170" s="215">
        <v>45877</v>
      </c>
      <c r="CS170" s="215">
        <v>45908</v>
      </c>
      <c r="CT170" t="s">
        <v>822</v>
      </c>
      <c r="CU170" t="s">
        <v>823</v>
      </c>
      <c r="CV170" t="s">
        <v>1714</v>
      </c>
      <c r="CW170">
        <v>2.5</v>
      </c>
    </row>
    <row r="171" spans="95:101">
      <c r="CQ171">
        <v>6529</v>
      </c>
      <c r="CR171" s="215">
        <v>45908</v>
      </c>
      <c r="CS171" s="215">
        <v>45938</v>
      </c>
      <c r="CT171" t="s">
        <v>822</v>
      </c>
      <c r="CU171" t="s">
        <v>823</v>
      </c>
      <c r="CV171" t="s">
        <v>1714</v>
      </c>
      <c r="CW171">
        <v>2.5</v>
      </c>
    </row>
    <row r="172" spans="95:101">
      <c r="CQ172">
        <v>6531</v>
      </c>
      <c r="CR172" s="215">
        <v>45908</v>
      </c>
      <c r="CS172" s="215">
        <v>45938</v>
      </c>
      <c r="CT172" t="s">
        <v>822</v>
      </c>
      <c r="CU172" t="s">
        <v>823</v>
      </c>
      <c r="CV172" t="s">
        <v>1714</v>
      </c>
      <c r="CW172">
        <v>2.5</v>
      </c>
    </row>
    <row r="173" spans="95:101">
      <c r="CQ173">
        <v>6569</v>
      </c>
      <c r="CR173" s="215">
        <v>45938</v>
      </c>
      <c r="CS173" s="215">
        <v>45971</v>
      </c>
      <c r="CT173" t="s">
        <v>822</v>
      </c>
      <c r="CU173" t="s">
        <v>823</v>
      </c>
      <c r="CV173" t="s">
        <v>1714</v>
      </c>
      <c r="CW173">
        <v>2.5</v>
      </c>
    </row>
    <row r="174" spans="95:101">
      <c r="CQ174">
        <v>6571</v>
      </c>
      <c r="CR174" s="215">
        <v>45938</v>
      </c>
      <c r="CS174" s="215">
        <v>45971</v>
      </c>
      <c r="CT174" t="s">
        <v>822</v>
      </c>
      <c r="CU174" t="s">
        <v>823</v>
      </c>
      <c r="CV174" t="s">
        <v>1714</v>
      </c>
      <c r="CW174">
        <v>2.5</v>
      </c>
    </row>
    <row r="175" spans="95:101">
      <c r="CQ175">
        <v>6609</v>
      </c>
      <c r="CR175" s="215">
        <v>45971</v>
      </c>
      <c r="CS175" s="215">
        <v>45999</v>
      </c>
      <c r="CT175" t="s">
        <v>822</v>
      </c>
      <c r="CU175" t="s">
        <v>823</v>
      </c>
      <c r="CV175" t="s">
        <v>1714</v>
      </c>
      <c r="CW175">
        <v>2.5</v>
      </c>
    </row>
    <row r="176" spans="95:101">
      <c r="CQ176">
        <v>6611</v>
      </c>
      <c r="CR176" s="215">
        <v>45971</v>
      </c>
      <c r="CS176" s="215">
        <v>45999</v>
      </c>
      <c r="CT176" t="s">
        <v>822</v>
      </c>
      <c r="CU176" t="s">
        <v>823</v>
      </c>
      <c r="CV176" t="s">
        <v>1714</v>
      </c>
      <c r="CW176">
        <v>2.5</v>
      </c>
    </row>
    <row r="177" spans="95:101">
      <c r="CQ177">
        <v>6649</v>
      </c>
      <c r="CR177" s="215">
        <v>45999</v>
      </c>
      <c r="CS177" s="215">
        <v>46031</v>
      </c>
      <c r="CT177" t="s">
        <v>822</v>
      </c>
      <c r="CU177" t="s">
        <v>823</v>
      </c>
      <c r="CV177" t="s">
        <v>1714</v>
      </c>
      <c r="CW177">
        <v>2.5</v>
      </c>
    </row>
    <row r="178" spans="95:101">
      <c r="CQ178">
        <v>6651</v>
      </c>
      <c r="CR178" s="215">
        <v>45999</v>
      </c>
      <c r="CS178" s="215">
        <v>46031</v>
      </c>
      <c r="CT178" t="s">
        <v>822</v>
      </c>
      <c r="CU178" t="s">
        <v>823</v>
      </c>
      <c r="CV178" t="s">
        <v>1714</v>
      </c>
      <c r="CW178">
        <v>2.5</v>
      </c>
    </row>
    <row r="179" spans="95:101">
      <c r="CQ179">
        <v>6689</v>
      </c>
      <c r="CR179" s="215">
        <v>46031</v>
      </c>
      <c r="CS179" s="215">
        <v>46062</v>
      </c>
      <c r="CT179" t="s">
        <v>822</v>
      </c>
      <c r="CU179" t="s">
        <v>823</v>
      </c>
      <c r="CV179" t="s">
        <v>1714</v>
      </c>
      <c r="CW179">
        <v>2.5</v>
      </c>
    </row>
    <row r="180" spans="95:101">
      <c r="CQ180">
        <v>6691</v>
      </c>
      <c r="CR180" s="215">
        <v>46031</v>
      </c>
      <c r="CS180" s="215">
        <v>46062</v>
      </c>
      <c r="CT180" t="s">
        <v>822</v>
      </c>
      <c r="CU180" t="s">
        <v>823</v>
      </c>
      <c r="CV180" t="s">
        <v>1714</v>
      </c>
      <c r="CW180">
        <v>2.5</v>
      </c>
    </row>
    <row r="181" spans="95:101">
      <c r="CQ181">
        <v>6729</v>
      </c>
      <c r="CR181" s="215">
        <v>46062</v>
      </c>
      <c r="CS181" s="215">
        <v>46090</v>
      </c>
      <c r="CT181" t="s">
        <v>822</v>
      </c>
      <c r="CU181" t="s">
        <v>823</v>
      </c>
      <c r="CV181" t="s">
        <v>1714</v>
      </c>
      <c r="CW181">
        <v>2.5</v>
      </c>
    </row>
    <row r="182" spans="95:101">
      <c r="CQ182">
        <v>6731</v>
      </c>
      <c r="CR182" s="215">
        <v>46062</v>
      </c>
      <c r="CS182" s="215">
        <v>46090</v>
      </c>
      <c r="CT182" t="s">
        <v>822</v>
      </c>
      <c r="CU182" t="s">
        <v>823</v>
      </c>
      <c r="CV182" t="s">
        <v>1714</v>
      </c>
      <c r="CW182">
        <v>2.5</v>
      </c>
    </row>
    <row r="183" spans="95:101">
      <c r="CQ183">
        <v>6769</v>
      </c>
      <c r="CR183" s="215">
        <v>46090</v>
      </c>
      <c r="CS183" s="215">
        <v>46121</v>
      </c>
      <c r="CT183" t="s">
        <v>822</v>
      </c>
      <c r="CU183" t="s">
        <v>823</v>
      </c>
      <c r="CV183" t="s">
        <v>1714</v>
      </c>
      <c r="CW183">
        <v>2.5</v>
      </c>
    </row>
    <row r="184" spans="95:101">
      <c r="CQ184">
        <v>6771</v>
      </c>
      <c r="CR184" s="215">
        <v>46090</v>
      </c>
      <c r="CS184" s="215">
        <v>46121</v>
      </c>
      <c r="CT184" t="s">
        <v>822</v>
      </c>
      <c r="CU184" t="s">
        <v>823</v>
      </c>
      <c r="CV184" t="s">
        <v>1714</v>
      </c>
      <c r="CW184">
        <v>2.5</v>
      </c>
    </row>
    <row r="185" spans="95:101">
      <c r="CQ185">
        <v>6809</v>
      </c>
      <c r="CR185" s="215">
        <v>46121</v>
      </c>
      <c r="CS185" s="215">
        <v>46153</v>
      </c>
      <c r="CT185" t="s">
        <v>822</v>
      </c>
      <c r="CU185" t="s">
        <v>823</v>
      </c>
      <c r="CV185" t="s">
        <v>1714</v>
      </c>
      <c r="CW185">
        <v>2.5</v>
      </c>
    </row>
    <row r="186" spans="95:101">
      <c r="CQ186">
        <v>6811</v>
      </c>
      <c r="CR186" s="215">
        <v>46121</v>
      </c>
      <c r="CS186" s="215">
        <v>46153</v>
      </c>
      <c r="CT186" t="s">
        <v>822</v>
      </c>
      <c r="CU186" t="s">
        <v>823</v>
      </c>
      <c r="CV186" t="s">
        <v>1714</v>
      </c>
      <c r="CW186">
        <v>2.5</v>
      </c>
    </row>
    <row r="187" spans="95:101">
      <c r="CQ187">
        <v>6849</v>
      </c>
      <c r="CR187" s="215">
        <v>46153</v>
      </c>
      <c r="CS187" s="215">
        <v>46182</v>
      </c>
      <c r="CT187" t="s">
        <v>822</v>
      </c>
      <c r="CU187" t="s">
        <v>823</v>
      </c>
      <c r="CV187" t="s">
        <v>1714</v>
      </c>
      <c r="CW187">
        <v>2.5</v>
      </c>
    </row>
    <row r="188" spans="95:101">
      <c r="CQ188">
        <v>6851</v>
      </c>
      <c r="CR188" s="215">
        <v>46153</v>
      </c>
      <c r="CS188" s="215">
        <v>46182</v>
      </c>
      <c r="CT188" t="s">
        <v>822</v>
      </c>
      <c r="CU188" t="s">
        <v>823</v>
      </c>
      <c r="CV188" t="s">
        <v>1714</v>
      </c>
      <c r="CW188">
        <v>2.5</v>
      </c>
    </row>
    <row r="189" spans="95:101">
      <c r="CQ189">
        <v>6889</v>
      </c>
      <c r="CR189" s="215">
        <v>46182</v>
      </c>
      <c r="CS189" s="215">
        <v>46211</v>
      </c>
      <c r="CT189" t="s">
        <v>822</v>
      </c>
      <c r="CU189" t="s">
        <v>823</v>
      </c>
      <c r="CV189" t="s">
        <v>1714</v>
      </c>
      <c r="CW189">
        <v>2.5</v>
      </c>
    </row>
    <row r="190" spans="95:101">
      <c r="CQ190">
        <v>6891</v>
      </c>
      <c r="CR190" s="215">
        <v>46182</v>
      </c>
      <c r="CS190" s="215">
        <v>46211</v>
      </c>
      <c r="CT190" t="s">
        <v>822</v>
      </c>
      <c r="CU190" t="s">
        <v>823</v>
      </c>
      <c r="CV190" t="s">
        <v>1714</v>
      </c>
      <c r="CW190">
        <v>2.5</v>
      </c>
    </row>
    <row r="191" spans="95:101">
      <c r="CQ191">
        <v>6929</v>
      </c>
      <c r="CR191" s="215">
        <v>46211</v>
      </c>
      <c r="CS191" s="215">
        <v>46244</v>
      </c>
      <c r="CT191" t="s">
        <v>822</v>
      </c>
      <c r="CU191" t="s">
        <v>823</v>
      </c>
      <c r="CV191" t="s">
        <v>1714</v>
      </c>
      <c r="CW191">
        <v>2.5</v>
      </c>
    </row>
    <row r="192" spans="95:101">
      <c r="CQ192">
        <v>6931</v>
      </c>
      <c r="CR192" s="215">
        <v>46211</v>
      </c>
      <c r="CS192" s="215">
        <v>46244</v>
      </c>
      <c r="CT192" t="s">
        <v>822</v>
      </c>
      <c r="CU192" t="s">
        <v>823</v>
      </c>
      <c r="CV192" t="s">
        <v>1714</v>
      </c>
      <c r="CW192">
        <v>2.5</v>
      </c>
    </row>
    <row r="193" spans="95:101">
      <c r="CQ193">
        <v>6969</v>
      </c>
      <c r="CR193" s="215">
        <v>46244</v>
      </c>
      <c r="CS193" s="215">
        <v>46274</v>
      </c>
      <c r="CT193" t="s">
        <v>822</v>
      </c>
      <c r="CU193" t="s">
        <v>823</v>
      </c>
      <c r="CV193" t="s">
        <v>1714</v>
      </c>
      <c r="CW193">
        <v>2.5</v>
      </c>
    </row>
    <row r="194" spans="95:101">
      <c r="CQ194">
        <v>6971</v>
      </c>
      <c r="CR194" s="215">
        <v>46244</v>
      </c>
      <c r="CS194" s="215">
        <v>46274</v>
      </c>
      <c r="CT194" t="s">
        <v>822</v>
      </c>
      <c r="CU194" t="s">
        <v>823</v>
      </c>
      <c r="CV194" t="s">
        <v>1714</v>
      </c>
      <c r="CW194">
        <v>2.5</v>
      </c>
    </row>
    <row r="195" spans="95:101">
      <c r="CQ195">
        <v>7009</v>
      </c>
      <c r="CR195" s="215">
        <v>46274</v>
      </c>
      <c r="CS195" s="215">
        <v>46304</v>
      </c>
      <c r="CT195" t="s">
        <v>822</v>
      </c>
      <c r="CU195" t="s">
        <v>823</v>
      </c>
      <c r="CV195" t="s">
        <v>1714</v>
      </c>
      <c r="CW195">
        <v>2.5</v>
      </c>
    </row>
    <row r="196" spans="95:101">
      <c r="CQ196">
        <v>7011</v>
      </c>
      <c r="CR196" s="215">
        <v>46274</v>
      </c>
      <c r="CS196" s="215">
        <v>46304</v>
      </c>
      <c r="CT196" t="s">
        <v>822</v>
      </c>
      <c r="CU196" t="s">
        <v>823</v>
      </c>
      <c r="CV196" t="s">
        <v>1714</v>
      </c>
      <c r="CW196">
        <v>2.5</v>
      </c>
    </row>
    <row r="197" spans="95:101">
      <c r="CQ197">
        <v>7049</v>
      </c>
      <c r="CR197" s="215">
        <v>46304</v>
      </c>
      <c r="CS197" s="215">
        <v>46336</v>
      </c>
      <c r="CT197" t="s">
        <v>822</v>
      </c>
      <c r="CU197" t="s">
        <v>823</v>
      </c>
      <c r="CV197" t="s">
        <v>1714</v>
      </c>
      <c r="CW197">
        <v>2.5</v>
      </c>
    </row>
    <row r="198" spans="95:101">
      <c r="CQ198">
        <v>7051</v>
      </c>
      <c r="CR198" s="215">
        <v>46304</v>
      </c>
      <c r="CS198" s="215">
        <v>46336</v>
      </c>
      <c r="CT198" t="s">
        <v>822</v>
      </c>
      <c r="CU198" t="s">
        <v>823</v>
      </c>
      <c r="CV198" t="s">
        <v>1714</v>
      </c>
      <c r="CW198">
        <v>2.5</v>
      </c>
    </row>
    <row r="199" spans="95:101">
      <c r="CQ199">
        <v>7089</v>
      </c>
      <c r="CR199" s="215">
        <v>46336</v>
      </c>
      <c r="CS199" s="215">
        <v>46364</v>
      </c>
      <c r="CT199" t="s">
        <v>822</v>
      </c>
      <c r="CU199" t="s">
        <v>823</v>
      </c>
      <c r="CV199" t="s">
        <v>1714</v>
      </c>
      <c r="CW199">
        <v>2.5</v>
      </c>
    </row>
    <row r="200" spans="95:101">
      <c r="CQ200">
        <v>7091</v>
      </c>
      <c r="CR200" s="215">
        <v>46336</v>
      </c>
      <c r="CS200" s="215">
        <v>46364</v>
      </c>
      <c r="CT200" t="s">
        <v>822</v>
      </c>
      <c r="CU200" t="s">
        <v>823</v>
      </c>
      <c r="CV200" t="s">
        <v>1714</v>
      </c>
      <c r="CW200">
        <v>2.5</v>
      </c>
    </row>
    <row r="201" spans="95:101">
      <c r="CQ201">
        <v>7129</v>
      </c>
      <c r="CR201" s="215">
        <v>46364</v>
      </c>
      <c r="CS201" s="215">
        <v>46398</v>
      </c>
      <c r="CT201" t="s">
        <v>822</v>
      </c>
      <c r="CU201" t="s">
        <v>823</v>
      </c>
      <c r="CV201" t="s">
        <v>1714</v>
      </c>
      <c r="CW201">
        <v>2.5</v>
      </c>
    </row>
    <row r="202" spans="95:101">
      <c r="CQ202">
        <v>7131</v>
      </c>
      <c r="CR202" s="215">
        <v>46364</v>
      </c>
      <c r="CS202" s="215">
        <v>46398</v>
      </c>
      <c r="CT202" t="s">
        <v>822</v>
      </c>
      <c r="CU202" t="s">
        <v>823</v>
      </c>
      <c r="CV202" t="s">
        <v>1714</v>
      </c>
      <c r="CW202">
        <v>2.5</v>
      </c>
    </row>
    <row r="203" spans="95:101">
      <c r="CQ203">
        <v>7169</v>
      </c>
      <c r="CR203" s="215">
        <v>46398</v>
      </c>
      <c r="CS203" s="215">
        <v>46428</v>
      </c>
      <c r="CT203" t="s">
        <v>822</v>
      </c>
      <c r="CU203" t="s">
        <v>823</v>
      </c>
      <c r="CV203" t="s">
        <v>1714</v>
      </c>
      <c r="CW203">
        <v>2.5</v>
      </c>
    </row>
    <row r="204" spans="95:101">
      <c r="CQ204">
        <v>7171</v>
      </c>
      <c r="CR204" s="215">
        <v>46398</v>
      </c>
      <c r="CS204" s="215">
        <v>46428</v>
      </c>
      <c r="CT204" t="s">
        <v>822</v>
      </c>
      <c r="CU204" t="s">
        <v>823</v>
      </c>
      <c r="CV204" t="s">
        <v>1714</v>
      </c>
      <c r="CW204">
        <v>2.5</v>
      </c>
    </row>
    <row r="205" spans="95:101">
      <c r="CQ205">
        <v>7209</v>
      </c>
      <c r="CR205" s="215">
        <v>46428</v>
      </c>
      <c r="CS205" s="215">
        <v>46454</v>
      </c>
      <c r="CT205" t="s">
        <v>822</v>
      </c>
      <c r="CU205" t="s">
        <v>823</v>
      </c>
      <c r="CV205" t="s">
        <v>1714</v>
      </c>
      <c r="CW205">
        <v>2.5</v>
      </c>
    </row>
    <row r="206" spans="95:101">
      <c r="CQ206">
        <v>7211</v>
      </c>
      <c r="CR206" s="215">
        <v>46428</v>
      </c>
      <c r="CS206" s="215">
        <v>46454</v>
      </c>
      <c r="CT206" t="s">
        <v>822</v>
      </c>
      <c r="CU206" t="s">
        <v>823</v>
      </c>
      <c r="CV206" t="s">
        <v>1714</v>
      </c>
      <c r="CW206">
        <v>2.5</v>
      </c>
    </row>
    <row r="207" spans="95:101">
      <c r="CQ207">
        <v>7249</v>
      </c>
      <c r="CR207" s="215">
        <v>46454</v>
      </c>
      <c r="CS207" s="215">
        <v>46485</v>
      </c>
      <c r="CT207" t="s">
        <v>822</v>
      </c>
      <c r="CU207" t="s">
        <v>823</v>
      </c>
      <c r="CV207" t="s">
        <v>1714</v>
      </c>
      <c r="CW207">
        <v>2.5</v>
      </c>
    </row>
    <row r="208" spans="95:101">
      <c r="CQ208">
        <v>7251</v>
      </c>
      <c r="CR208" s="215">
        <v>46454</v>
      </c>
      <c r="CS208" s="215">
        <v>46485</v>
      </c>
      <c r="CT208" t="s">
        <v>822</v>
      </c>
      <c r="CU208" t="s">
        <v>823</v>
      </c>
      <c r="CV208" t="s">
        <v>1714</v>
      </c>
      <c r="CW208">
        <v>2.5</v>
      </c>
    </row>
    <row r="209" spans="95:101">
      <c r="CQ209">
        <v>7289</v>
      </c>
      <c r="CR209" s="215">
        <v>46485</v>
      </c>
      <c r="CS209" s="215">
        <v>46517</v>
      </c>
      <c r="CT209" t="s">
        <v>822</v>
      </c>
      <c r="CU209" t="s">
        <v>823</v>
      </c>
      <c r="CV209" t="s">
        <v>1714</v>
      </c>
      <c r="CW209">
        <v>2.5</v>
      </c>
    </row>
    <row r="210" spans="95:101">
      <c r="CQ210">
        <v>7291</v>
      </c>
      <c r="CR210" s="215">
        <v>46485</v>
      </c>
      <c r="CS210" s="215">
        <v>46517</v>
      </c>
      <c r="CT210" t="s">
        <v>822</v>
      </c>
      <c r="CU210" t="s">
        <v>823</v>
      </c>
      <c r="CV210" t="s">
        <v>1714</v>
      </c>
      <c r="CW210">
        <v>2.5</v>
      </c>
    </row>
    <row r="211" spans="95:101">
      <c r="CQ211">
        <v>7329</v>
      </c>
      <c r="CR211" s="215">
        <v>46517</v>
      </c>
      <c r="CS211" s="215">
        <v>46546</v>
      </c>
      <c r="CT211" t="s">
        <v>822</v>
      </c>
      <c r="CU211" t="s">
        <v>823</v>
      </c>
      <c r="CV211" t="s">
        <v>1714</v>
      </c>
      <c r="CW211">
        <v>2.5</v>
      </c>
    </row>
    <row r="212" spans="95:101">
      <c r="CQ212">
        <v>7331</v>
      </c>
      <c r="CR212" s="215">
        <v>46517</v>
      </c>
      <c r="CS212" s="215">
        <v>46546</v>
      </c>
      <c r="CT212" t="s">
        <v>822</v>
      </c>
      <c r="CU212" t="s">
        <v>823</v>
      </c>
      <c r="CV212" t="s">
        <v>1714</v>
      </c>
      <c r="CW212">
        <v>2.5</v>
      </c>
    </row>
    <row r="213" spans="95:101">
      <c r="CQ213">
        <v>7369</v>
      </c>
      <c r="CR213" s="215">
        <v>46546</v>
      </c>
      <c r="CS213" s="215">
        <v>46576</v>
      </c>
      <c r="CT213" t="s">
        <v>822</v>
      </c>
      <c r="CU213" t="s">
        <v>823</v>
      </c>
      <c r="CV213" t="s">
        <v>1714</v>
      </c>
      <c r="CW213">
        <v>2.5</v>
      </c>
    </row>
    <row r="214" spans="95:101">
      <c r="CQ214">
        <v>7371</v>
      </c>
      <c r="CR214" s="215">
        <v>46546</v>
      </c>
      <c r="CS214" s="215">
        <v>46576</v>
      </c>
      <c r="CT214" t="s">
        <v>822</v>
      </c>
      <c r="CU214" t="s">
        <v>823</v>
      </c>
      <c r="CV214" t="s">
        <v>1714</v>
      </c>
      <c r="CW214">
        <v>2.5</v>
      </c>
    </row>
    <row r="215" spans="95:101">
      <c r="CQ215">
        <v>7409</v>
      </c>
      <c r="CR215" s="215">
        <v>46576</v>
      </c>
      <c r="CS215" s="215">
        <v>46608</v>
      </c>
      <c r="CT215" t="s">
        <v>822</v>
      </c>
      <c r="CU215" t="s">
        <v>823</v>
      </c>
      <c r="CV215" t="s">
        <v>1714</v>
      </c>
      <c r="CW215">
        <v>2.5</v>
      </c>
    </row>
    <row r="216" spans="95:101">
      <c r="CQ216">
        <v>7411</v>
      </c>
      <c r="CR216" s="215">
        <v>46576</v>
      </c>
      <c r="CS216" s="215">
        <v>46608</v>
      </c>
      <c r="CT216" t="s">
        <v>822</v>
      </c>
      <c r="CU216" t="s">
        <v>823</v>
      </c>
      <c r="CV216" t="s">
        <v>1714</v>
      </c>
      <c r="CW216">
        <v>2.5</v>
      </c>
    </row>
    <row r="217" spans="95:101">
      <c r="CQ217">
        <v>7449</v>
      </c>
      <c r="CR217" s="215">
        <v>46608</v>
      </c>
      <c r="CS217" s="215">
        <v>46639</v>
      </c>
      <c r="CT217" t="s">
        <v>822</v>
      </c>
      <c r="CU217" t="s">
        <v>823</v>
      </c>
      <c r="CV217" t="s">
        <v>1714</v>
      </c>
      <c r="CW217">
        <v>2.5</v>
      </c>
    </row>
    <row r="218" spans="95:101">
      <c r="CQ218">
        <v>7451</v>
      </c>
      <c r="CR218" s="215">
        <v>46608</v>
      </c>
      <c r="CS218" s="215">
        <v>46639</v>
      </c>
      <c r="CT218" t="s">
        <v>822</v>
      </c>
      <c r="CU218" t="s">
        <v>823</v>
      </c>
      <c r="CV218" t="s">
        <v>1714</v>
      </c>
      <c r="CW218">
        <v>2.5</v>
      </c>
    </row>
    <row r="219" spans="95:101">
      <c r="CQ219">
        <v>7489</v>
      </c>
      <c r="CR219" s="215">
        <v>46639</v>
      </c>
      <c r="CS219" s="215">
        <v>46671</v>
      </c>
      <c r="CT219" t="s">
        <v>822</v>
      </c>
      <c r="CU219" t="s">
        <v>823</v>
      </c>
      <c r="CV219" t="s">
        <v>1714</v>
      </c>
      <c r="CW219">
        <v>2.5</v>
      </c>
    </row>
    <row r="220" spans="95:101">
      <c r="CQ220">
        <v>7491</v>
      </c>
      <c r="CR220" s="215">
        <v>46639</v>
      </c>
      <c r="CS220" s="215">
        <v>46671</v>
      </c>
      <c r="CT220" t="s">
        <v>822</v>
      </c>
      <c r="CU220" t="s">
        <v>823</v>
      </c>
      <c r="CV220" t="s">
        <v>1714</v>
      </c>
      <c r="CW220">
        <v>2.5</v>
      </c>
    </row>
    <row r="221" spans="95:101">
      <c r="CQ221">
        <v>7529</v>
      </c>
      <c r="CR221" s="215">
        <v>46671</v>
      </c>
      <c r="CS221" s="215">
        <v>46701</v>
      </c>
      <c r="CT221" t="s">
        <v>822</v>
      </c>
      <c r="CU221" t="s">
        <v>823</v>
      </c>
      <c r="CV221" t="s">
        <v>1714</v>
      </c>
      <c r="CW221">
        <v>2.5</v>
      </c>
    </row>
    <row r="222" spans="95:101">
      <c r="CQ222">
        <v>7531</v>
      </c>
      <c r="CR222" s="215">
        <v>46671</v>
      </c>
      <c r="CS222" s="215">
        <v>46701</v>
      </c>
      <c r="CT222" t="s">
        <v>822</v>
      </c>
      <c r="CU222" t="s">
        <v>823</v>
      </c>
      <c r="CV222" t="s">
        <v>1714</v>
      </c>
      <c r="CW222">
        <v>2.5</v>
      </c>
    </row>
    <row r="223" spans="95:101">
      <c r="CQ223">
        <v>7569</v>
      </c>
      <c r="CR223" s="215">
        <v>46701</v>
      </c>
      <c r="CS223" s="215">
        <v>46729</v>
      </c>
      <c r="CT223" t="s">
        <v>822</v>
      </c>
      <c r="CU223" t="s">
        <v>823</v>
      </c>
      <c r="CV223" t="s">
        <v>1714</v>
      </c>
      <c r="CW223">
        <v>2.5</v>
      </c>
    </row>
    <row r="224" spans="95:101">
      <c r="CQ224">
        <v>7571</v>
      </c>
      <c r="CR224" s="215">
        <v>46701</v>
      </c>
      <c r="CS224" s="215">
        <v>46729</v>
      </c>
      <c r="CT224" t="s">
        <v>822</v>
      </c>
      <c r="CU224" t="s">
        <v>823</v>
      </c>
      <c r="CV224" t="s">
        <v>1714</v>
      </c>
      <c r="CW224">
        <v>2.5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H113"/>
  <sheetViews>
    <sheetView showGridLines="0" zoomScale="85" zoomScaleNormal="85" workbookViewId="0">
      <selection activeCell="G9" sqref="G9"/>
    </sheetView>
  </sheetViews>
  <sheetFormatPr defaultRowHeight="15"/>
  <cols>
    <col min="2" max="2" width="11.7109375" bestFit="1" customWidth="1"/>
    <col min="3" max="3" width="14.28515625" customWidth="1"/>
    <col min="4" max="4" width="13.28515625" customWidth="1"/>
    <col min="7" max="7" width="16.7109375" bestFit="1" customWidth="1"/>
    <col min="8" max="8" width="10.7109375" bestFit="1" customWidth="1"/>
    <col min="9" max="9" width="12.140625" style="230" bestFit="1" customWidth="1"/>
    <col min="10" max="10" width="14.42578125" style="230" bestFit="1" customWidth="1"/>
    <col min="13" max="13" width="11.42578125" customWidth="1"/>
    <col min="14" max="14" width="10.85546875" bestFit="1" customWidth="1"/>
    <col min="20" max="20" width="16.42578125" style="143" customWidth="1"/>
    <col min="23" max="23" width="13.42578125" customWidth="1"/>
    <col min="24" max="24" width="10.85546875" bestFit="1" customWidth="1"/>
    <col min="28" max="29" width="12.140625" style="230" bestFit="1" customWidth="1"/>
    <col min="30" max="30" width="12.28515625" style="143" customWidth="1"/>
    <col min="33" max="33" width="12.85546875" customWidth="1"/>
    <col min="34" max="34" width="10.85546875" bestFit="1" customWidth="1"/>
    <col min="38" max="39" width="12.140625" style="230" bestFit="1" customWidth="1"/>
    <col min="40" max="40" width="12.28515625" style="143" customWidth="1"/>
    <col min="43" max="43" width="12.140625" bestFit="1" customWidth="1"/>
    <col min="44" max="44" width="10.85546875" bestFit="1" customWidth="1"/>
    <col min="48" max="49" width="11" style="230" bestFit="1" customWidth="1"/>
    <col min="50" max="50" width="12.28515625" style="143" customWidth="1"/>
    <col min="53" max="53" width="11.28515625" customWidth="1"/>
    <col min="54" max="54" width="10.85546875" bestFit="1" customWidth="1"/>
    <col min="59" max="59" width="9.5703125" style="202" bestFit="1" customWidth="1"/>
    <col min="60" max="60" width="16.140625" style="143" bestFit="1" customWidth="1"/>
  </cols>
  <sheetData>
    <row r="1" spans="2:60" ht="15.75" thickBot="1"/>
    <row r="2" spans="2:60" s="164" customFormat="1">
      <c r="B2" s="162"/>
      <c r="C2" s="151" t="s">
        <v>82</v>
      </c>
      <c r="D2" s="163"/>
      <c r="E2" s="163"/>
      <c r="F2" s="163"/>
      <c r="G2" s="163"/>
      <c r="H2" s="163"/>
      <c r="I2" s="231"/>
      <c r="J2" s="234">
        <f>SUM(J3:J125)</f>
        <v>-4158.6772442877418</v>
      </c>
      <c r="L2" s="162"/>
      <c r="M2" s="151" t="s">
        <v>84</v>
      </c>
      <c r="N2" s="163"/>
      <c r="O2" s="163"/>
      <c r="P2" s="163"/>
      <c r="Q2" s="163"/>
      <c r="R2" s="163"/>
      <c r="S2" s="163"/>
      <c r="T2" s="167">
        <f>SUM(T3:T113)</f>
        <v>-8.7449940237523389</v>
      </c>
      <c r="V2" s="162"/>
      <c r="W2" s="151" t="s">
        <v>955</v>
      </c>
      <c r="X2" s="163"/>
      <c r="Y2" s="163"/>
      <c r="Z2" s="163"/>
      <c r="AA2" s="163"/>
      <c r="AB2" s="231"/>
      <c r="AC2" s="231"/>
      <c r="AD2" s="167">
        <f>SUM(AD3:AD113)</f>
        <v>3343.2967650364831</v>
      </c>
      <c r="AF2" s="162"/>
      <c r="AG2" s="151" t="s">
        <v>957</v>
      </c>
      <c r="AH2" s="163"/>
      <c r="AI2" s="163"/>
      <c r="AJ2" s="163"/>
      <c r="AK2" s="163"/>
      <c r="AL2" s="231"/>
      <c r="AM2" s="231"/>
      <c r="AN2" s="167">
        <f>SUM(AN3:AN113)</f>
        <v>-13868.680455858901</v>
      </c>
      <c r="AP2" s="162"/>
      <c r="AQ2" s="151" t="s">
        <v>92</v>
      </c>
      <c r="AR2" s="163"/>
      <c r="AS2" s="163"/>
      <c r="AT2" s="163"/>
      <c r="AU2" s="163"/>
      <c r="AV2" s="231"/>
      <c r="AW2" s="231"/>
      <c r="AX2" s="167">
        <f>SUM(AX3:AX113)</f>
        <v>-658.89517448000015</v>
      </c>
      <c r="AZ2" s="162"/>
      <c r="BA2" s="151" t="s">
        <v>944</v>
      </c>
      <c r="BB2" s="163"/>
      <c r="BC2" s="163"/>
      <c r="BD2" s="163"/>
      <c r="BE2" s="163"/>
      <c r="BF2" s="163"/>
      <c r="BG2" s="236"/>
      <c r="BH2" s="167">
        <f>SUM(BH3:BH125)</f>
        <v>-76812</v>
      </c>
    </row>
    <row r="3" spans="2:60">
      <c r="B3" s="226">
        <v>3061</v>
      </c>
      <c r="C3" s="227">
        <v>43374</v>
      </c>
      <c r="D3" s="227">
        <v>43382</v>
      </c>
      <c r="E3" s="227" t="s">
        <v>952</v>
      </c>
      <c r="F3" s="227" t="s">
        <v>823</v>
      </c>
      <c r="G3" s="227" t="s">
        <v>953</v>
      </c>
      <c r="H3" s="227">
        <v>347.39497907653799</v>
      </c>
      <c r="I3" s="232">
        <f>'Cálculo PU'!V205</f>
        <v>542.36970722481192</v>
      </c>
      <c r="J3" s="235">
        <f>I3-H3</f>
        <v>194.97472814827393</v>
      </c>
      <c r="L3" s="147">
        <v>3060</v>
      </c>
      <c r="M3" s="156">
        <v>43374</v>
      </c>
      <c r="N3" s="156">
        <v>43382</v>
      </c>
      <c r="O3" s="148" t="s">
        <v>952</v>
      </c>
      <c r="P3" s="148" t="s">
        <v>823</v>
      </c>
      <c r="Q3" s="148" t="s">
        <v>827</v>
      </c>
      <c r="R3" s="148">
        <v>1.000882363054</v>
      </c>
      <c r="S3" s="148">
        <f>'Cálculo PU'!O205</f>
        <v>1.0711105152409333</v>
      </c>
      <c r="T3" s="168">
        <f>R3-S3</f>
        <v>-7.0228152186933235E-2</v>
      </c>
      <c r="V3" s="147">
        <v>3048</v>
      </c>
      <c r="W3" s="156">
        <v>43374</v>
      </c>
      <c r="X3" s="156">
        <v>43382</v>
      </c>
      <c r="Y3" s="148" t="s">
        <v>952</v>
      </c>
      <c r="Z3" s="148" t="s">
        <v>823</v>
      </c>
      <c r="AA3" s="148" t="s">
        <v>954</v>
      </c>
      <c r="AB3" s="232">
        <v>347.70150757122002</v>
      </c>
      <c r="AC3" s="232">
        <f>'Cálculo PU'!U205</f>
        <v>580.93789655664239</v>
      </c>
      <c r="AD3" s="168">
        <f>AB3-AC3</f>
        <v>-233.23638898542237</v>
      </c>
      <c r="AF3" s="147">
        <v>3038</v>
      </c>
      <c r="AG3" s="156">
        <v>43374</v>
      </c>
      <c r="AH3" s="156">
        <v>43382</v>
      </c>
      <c r="AI3" s="148" t="s">
        <v>952</v>
      </c>
      <c r="AJ3" s="148" t="s">
        <v>823</v>
      </c>
      <c r="AK3" s="148" t="s">
        <v>956</v>
      </c>
      <c r="AL3" s="232">
        <v>348.47379945803499</v>
      </c>
      <c r="AM3" s="232">
        <f>'Cálculo PU'!T205</f>
        <v>891.70943092427717</v>
      </c>
      <c r="AN3" s="168">
        <f>AL3-AM3</f>
        <v>-543.23563146624224</v>
      </c>
      <c r="AP3" s="147">
        <v>3046</v>
      </c>
      <c r="AQ3" s="156">
        <v>43374</v>
      </c>
      <c r="AR3" s="156">
        <v>43382</v>
      </c>
      <c r="AS3" s="148" t="s">
        <v>952</v>
      </c>
      <c r="AT3" s="148" t="s">
        <v>823</v>
      </c>
      <c r="AU3" s="148" t="s">
        <v>942</v>
      </c>
      <c r="AV3" s="232">
        <v>6.4093013499999998</v>
      </c>
      <c r="AW3" s="232">
        <f>'Cálculo PU'!Q205</f>
        <v>16.653600000000001</v>
      </c>
      <c r="AX3" s="168">
        <f>AV3-AW3</f>
        <v>-10.244298650000001</v>
      </c>
      <c r="AZ3" s="147">
        <v>3047</v>
      </c>
      <c r="BA3" s="156">
        <v>43374</v>
      </c>
      <c r="BB3" s="156">
        <v>43382</v>
      </c>
      <c r="BC3" s="148" t="s">
        <v>952</v>
      </c>
      <c r="BD3" s="148" t="s">
        <v>823</v>
      </c>
      <c r="BE3" s="148" t="s">
        <v>943</v>
      </c>
      <c r="BF3" s="148">
        <v>9</v>
      </c>
      <c r="BG3" s="237">
        <f>'Cálculo PU'!L205</f>
        <v>701</v>
      </c>
      <c r="BH3" s="168">
        <f>BF3-BG3</f>
        <v>-692</v>
      </c>
    </row>
    <row r="4" spans="2:60">
      <c r="B4" s="226">
        <v>3100</v>
      </c>
      <c r="C4" s="227">
        <v>43374</v>
      </c>
      <c r="D4" s="227">
        <v>43416</v>
      </c>
      <c r="E4" s="227" t="s">
        <v>952</v>
      </c>
      <c r="F4" s="227" t="s">
        <v>823</v>
      </c>
      <c r="G4" s="227" t="s">
        <v>953</v>
      </c>
      <c r="H4" s="227">
        <v>379.38793958831502</v>
      </c>
      <c r="I4" s="232">
        <f>'Cálculo PU'!V206</f>
        <v>580.89881568245869</v>
      </c>
      <c r="J4" s="235">
        <f t="shared" ref="J4:J67" si="0">I4-H4</f>
        <v>201.51087609414367</v>
      </c>
      <c r="L4" s="147">
        <v>3099</v>
      </c>
      <c r="M4" s="156">
        <v>43374</v>
      </c>
      <c r="N4" s="156">
        <v>43416</v>
      </c>
      <c r="O4" s="148" t="s">
        <v>952</v>
      </c>
      <c r="P4" s="148" t="s">
        <v>823</v>
      </c>
      <c r="Q4" s="148" t="s">
        <v>827</v>
      </c>
      <c r="R4" s="148">
        <v>1.003042529574</v>
      </c>
      <c r="S4" s="148">
        <f>'Cálculo PU'!O206</f>
        <v>1.0734222525235957</v>
      </c>
      <c r="T4" s="168">
        <f t="shared" ref="T4:T67" si="1">R4-S4</f>
        <v>-7.0379722949595713E-2</v>
      </c>
      <c r="V4" s="147">
        <v>3087</v>
      </c>
      <c r="W4" s="156">
        <v>43374</v>
      </c>
      <c r="X4" s="156">
        <v>43416</v>
      </c>
      <c r="Y4" s="148" t="s">
        <v>952</v>
      </c>
      <c r="Z4" s="148" t="s">
        <v>823</v>
      </c>
      <c r="AA4" s="148" t="s">
        <v>954</v>
      </c>
      <c r="AB4" s="232">
        <v>380.54223861453102</v>
      </c>
      <c r="AC4" s="232">
        <f>'Cálculo PU'!U206</f>
        <v>623.54971521815378</v>
      </c>
      <c r="AD4" s="168">
        <f t="shared" ref="AD4:AD67" si="2">AB4-AC4</f>
        <v>-243.00747660362276</v>
      </c>
      <c r="AF4" s="147">
        <v>3077</v>
      </c>
      <c r="AG4" s="156">
        <v>43374</v>
      </c>
      <c r="AH4" s="156">
        <v>43416</v>
      </c>
      <c r="AI4" s="148" t="s">
        <v>952</v>
      </c>
      <c r="AJ4" s="148" t="s">
        <v>823</v>
      </c>
      <c r="AK4" s="148" t="s">
        <v>956</v>
      </c>
      <c r="AL4" s="232">
        <v>383.49154452283102</v>
      </c>
      <c r="AM4" s="232">
        <f>'Cálculo PU'!T206</f>
        <v>970.07203128743504</v>
      </c>
      <c r="AN4" s="168">
        <f t="shared" ref="AN4:AN67" si="3">AL4-AM4</f>
        <v>-586.58048676460407</v>
      </c>
      <c r="AP4" s="147">
        <v>3085</v>
      </c>
      <c r="AQ4" s="156">
        <v>43374</v>
      </c>
      <c r="AR4" s="156">
        <v>43416</v>
      </c>
      <c r="AS4" s="148" t="s">
        <v>952</v>
      </c>
      <c r="AT4" s="148" t="s">
        <v>823</v>
      </c>
      <c r="AU4" s="148" t="s">
        <v>942</v>
      </c>
      <c r="AV4" s="232">
        <v>6.4770543900000002</v>
      </c>
      <c r="AW4" s="232">
        <f>'Cálculo PU'!Q206</f>
        <v>16.653500000000001</v>
      </c>
      <c r="AX4" s="168">
        <f t="shared" ref="AX4:AX67" si="4">AV4-AW4</f>
        <v>-10.176445610000002</v>
      </c>
      <c r="AZ4" s="147">
        <v>3086</v>
      </c>
      <c r="BA4" s="156">
        <v>43374</v>
      </c>
      <c r="BB4" s="156">
        <v>43416</v>
      </c>
      <c r="BC4" s="148" t="s">
        <v>952</v>
      </c>
      <c r="BD4" s="148" t="s">
        <v>823</v>
      </c>
      <c r="BE4" s="148" t="s">
        <v>943</v>
      </c>
      <c r="BF4" s="148">
        <v>31</v>
      </c>
      <c r="BG4" s="237">
        <f>'Cálculo PU'!L206</f>
        <v>723</v>
      </c>
      <c r="BH4" s="168">
        <f t="shared" ref="BH4:BH67" si="5">BF4-BG4</f>
        <v>-692</v>
      </c>
    </row>
    <row r="5" spans="2:60">
      <c r="B5" s="226">
        <v>3139</v>
      </c>
      <c r="C5" s="227">
        <v>43374</v>
      </c>
      <c r="D5" s="227">
        <v>43444</v>
      </c>
      <c r="E5" s="227" t="s">
        <v>952</v>
      </c>
      <c r="F5" s="227" t="s">
        <v>823</v>
      </c>
      <c r="G5" s="227" t="s">
        <v>953</v>
      </c>
      <c r="H5" s="227">
        <v>329.68317406763703</v>
      </c>
      <c r="I5" s="232">
        <f>'Cálculo PU'!V207</f>
        <v>488.63775726143439</v>
      </c>
      <c r="J5" s="235">
        <f t="shared" si="0"/>
        <v>158.95458319379736</v>
      </c>
      <c r="L5" s="147">
        <v>3138</v>
      </c>
      <c r="M5" s="156">
        <v>43374</v>
      </c>
      <c r="N5" s="156">
        <v>43444</v>
      </c>
      <c r="O5" s="148" t="s">
        <v>952</v>
      </c>
      <c r="P5" s="148" t="s">
        <v>823</v>
      </c>
      <c r="Q5" s="148" t="s">
        <v>827</v>
      </c>
      <c r="R5" s="148">
        <v>1.0050103627710001</v>
      </c>
      <c r="S5" s="148">
        <f>'Cálculo PU'!O207</f>
        <v>1.0755281611767633</v>
      </c>
      <c r="T5" s="168">
        <f t="shared" si="1"/>
        <v>-7.0517798405763221E-2</v>
      </c>
      <c r="V5" s="147">
        <v>3126</v>
      </c>
      <c r="W5" s="156">
        <v>43374</v>
      </c>
      <c r="X5" s="156">
        <v>43444</v>
      </c>
      <c r="Y5" s="148" t="s">
        <v>952</v>
      </c>
      <c r="Z5" s="148" t="s">
        <v>823</v>
      </c>
      <c r="AA5" s="148" t="s">
        <v>954</v>
      </c>
      <c r="AB5" s="232">
        <v>331.33500636921099</v>
      </c>
      <c r="AC5" s="232">
        <f>'Cálculo PU'!U207</f>
        <v>525.54366854892817</v>
      </c>
      <c r="AD5" s="168">
        <f t="shared" si="2"/>
        <v>-194.20866217971718</v>
      </c>
      <c r="AF5" s="147">
        <v>3116</v>
      </c>
      <c r="AG5" s="156">
        <v>43374</v>
      </c>
      <c r="AH5" s="156">
        <v>43444</v>
      </c>
      <c r="AI5" s="148" t="s">
        <v>952</v>
      </c>
      <c r="AJ5" s="148" t="s">
        <v>823</v>
      </c>
      <c r="AK5" s="148" t="s">
        <v>956</v>
      </c>
      <c r="AL5" s="232">
        <v>335.61828019831302</v>
      </c>
      <c r="AM5" s="232">
        <f>'Cálculo PU'!T207</f>
        <v>827.65616797548444</v>
      </c>
      <c r="AN5" s="168">
        <f t="shared" si="3"/>
        <v>-492.03788777717142</v>
      </c>
      <c r="AP5" s="147">
        <v>3124</v>
      </c>
      <c r="AQ5" s="156">
        <v>43374</v>
      </c>
      <c r="AR5" s="156">
        <v>43444</v>
      </c>
      <c r="AS5" s="148" t="s">
        <v>952</v>
      </c>
      <c r="AT5" s="148" t="s">
        <v>823</v>
      </c>
      <c r="AU5" s="148" t="s">
        <v>942</v>
      </c>
      <c r="AV5" s="232">
        <v>6.5524133500000001</v>
      </c>
      <c r="AW5" s="232">
        <f>'Cálculo PU'!Q207</f>
        <v>16.653400000000001</v>
      </c>
      <c r="AX5" s="168">
        <f t="shared" si="4"/>
        <v>-10.100986650000001</v>
      </c>
      <c r="AZ5" s="147">
        <v>3125</v>
      </c>
      <c r="BA5" s="156">
        <v>43374</v>
      </c>
      <c r="BB5" s="156">
        <v>43444</v>
      </c>
      <c r="BC5" s="148" t="s">
        <v>952</v>
      </c>
      <c r="BD5" s="148" t="s">
        <v>823</v>
      </c>
      <c r="BE5" s="148" t="s">
        <v>943</v>
      </c>
      <c r="BF5" s="148">
        <v>51</v>
      </c>
      <c r="BG5" s="237">
        <f>'Cálculo PU'!L207</f>
        <v>743</v>
      </c>
      <c r="BH5" s="168">
        <f t="shared" si="5"/>
        <v>-692</v>
      </c>
    </row>
    <row r="6" spans="2:60">
      <c r="B6" s="226">
        <v>3178</v>
      </c>
      <c r="C6" s="227">
        <v>43374</v>
      </c>
      <c r="D6" s="227">
        <v>43474</v>
      </c>
      <c r="E6" s="227" t="s">
        <v>952</v>
      </c>
      <c r="F6" s="227" t="s">
        <v>823</v>
      </c>
      <c r="G6" s="227" t="s">
        <v>953</v>
      </c>
      <c r="H6" s="227">
        <v>365.42107569508801</v>
      </c>
      <c r="I6" s="232">
        <f>'Cálculo PU'!V208</f>
        <v>497.42592824906694</v>
      </c>
      <c r="J6" s="235">
        <f t="shared" si="0"/>
        <v>132.00485255397894</v>
      </c>
      <c r="L6" s="147">
        <v>3177</v>
      </c>
      <c r="M6" s="156">
        <v>43374</v>
      </c>
      <c r="N6" s="156">
        <v>43474</v>
      </c>
      <c r="O6" s="148" t="s">
        <v>952</v>
      </c>
      <c r="P6" s="148" t="s">
        <v>823</v>
      </c>
      <c r="Q6" s="148" t="s">
        <v>827</v>
      </c>
      <c r="R6" s="148">
        <v>1.006982056589</v>
      </c>
      <c r="S6" s="148">
        <f>'Cálculo PU'!O208</f>
        <v>1.0776382013366563</v>
      </c>
      <c r="T6" s="168">
        <f t="shared" si="1"/>
        <v>-7.0656144747656358E-2</v>
      </c>
      <c r="V6" s="147">
        <v>3165</v>
      </c>
      <c r="W6" s="156">
        <v>43374</v>
      </c>
      <c r="X6" s="156">
        <v>43474</v>
      </c>
      <c r="Y6" s="148" t="s">
        <v>952</v>
      </c>
      <c r="Z6" s="148" t="s">
        <v>823</v>
      </c>
      <c r="AA6" s="148" t="s">
        <v>954</v>
      </c>
      <c r="AB6" s="232">
        <v>367.97246632440499</v>
      </c>
      <c r="AC6" s="232">
        <f>'Cálculo PU'!U208</f>
        <v>536.04518261654118</v>
      </c>
      <c r="AD6" s="168">
        <f t="shared" si="2"/>
        <v>-168.07271629213619</v>
      </c>
      <c r="AF6" s="147">
        <v>3155</v>
      </c>
      <c r="AG6" s="156">
        <v>43374</v>
      </c>
      <c r="AH6" s="156">
        <v>43474</v>
      </c>
      <c r="AI6" s="148" t="s">
        <v>952</v>
      </c>
      <c r="AJ6" s="148" t="s">
        <v>823</v>
      </c>
      <c r="AK6" s="148" t="s">
        <v>956</v>
      </c>
      <c r="AL6" s="232">
        <v>374.80356663841502</v>
      </c>
      <c r="AM6" s="232">
        <f>'Cálculo PU'!T208</f>
        <v>854.61601161397073</v>
      </c>
      <c r="AN6" s="168">
        <f t="shared" si="3"/>
        <v>-479.81244497555571</v>
      </c>
      <c r="AP6" s="147">
        <v>3163</v>
      </c>
      <c r="AQ6" s="156">
        <v>43374</v>
      </c>
      <c r="AR6" s="156">
        <v>43474</v>
      </c>
      <c r="AS6" s="148" t="s">
        <v>952</v>
      </c>
      <c r="AT6" s="148" t="s">
        <v>823</v>
      </c>
      <c r="AU6" s="148" t="s">
        <v>942</v>
      </c>
      <c r="AV6" s="232">
        <v>6.7463818599999996</v>
      </c>
      <c r="AW6" s="232">
        <f>'Cálculo PU'!Q208</f>
        <v>16.655100000000001</v>
      </c>
      <c r="AX6" s="168">
        <f t="shared" si="4"/>
        <v>-9.9087181400000013</v>
      </c>
      <c r="AZ6" s="147">
        <v>3164</v>
      </c>
      <c r="BA6" s="156">
        <v>43374</v>
      </c>
      <c r="BB6" s="156">
        <v>43474</v>
      </c>
      <c r="BC6" s="148" t="s">
        <v>952</v>
      </c>
      <c r="BD6" s="148" t="s">
        <v>823</v>
      </c>
      <c r="BE6" s="148" t="s">
        <v>943</v>
      </c>
      <c r="BF6" s="148">
        <v>71</v>
      </c>
      <c r="BG6" s="237">
        <f>'Cálculo PU'!L208</f>
        <v>763</v>
      </c>
      <c r="BH6" s="168">
        <f t="shared" si="5"/>
        <v>-692</v>
      </c>
    </row>
    <row r="7" spans="2:60">
      <c r="B7" s="226">
        <v>3217</v>
      </c>
      <c r="C7" s="227">
        <v>43374</v>
      </c>
      <c r="D7" s="227">
        <v>43504</v>
      </c>
      <c r="E7" s="227" t="s">
        <v>952</v>
      </c>
      <c r="F7" s="227" t="s">
        <v>823</v>
      </c>
      <c r="G7" s="227" t="s">
        <v>953</v>
      </c>
      <c r="H7" s="227">
        <v>405.66506565433099</v>
      </c>
      <c r="I7" s="232">
        <f>'Cálculo PU'!V209</f>
        <v>519.27629495538645</v>
      </c>
      <c r="J7" s="235">
        <f t="shared" si="0"/>
        <v>113.61122930105546</v>
      </c>
      <c r="L7" s="147">
        <v>3216</v>
      </c>
      <c r="M7" s="156">
        <v>43374</v>
      </c>
      <c r="N7" s="156">
        <v>43504</v>
      </c>
      <c r="O7" s="148" t="s">
        <v>952</v>
      </c>
      <c r="P7" s="148" t="s">
        <v>823</v>
      </c>
      <c r="Q7" s="148" t="s">
        <v>827</v>
      </c>
      <c r="R7" s="148">
        <v>1.0091553878470001</v>
      </c>
      <c r="S7" s="148">
        <f>'Cálculo PU'!O209</f>
        <v>1.0799640270771413</v>
      </c>
      <c r="T7" s="168">
        <f t="shared" si="1"/>
        <v>-7.0808639230141246E-2</v>
      </c>
      <c r="V7" s="147">
        <v>3204</v>
      </c>
      <c r="W7" s="156">
        <v>43374</v>
      </c>
      <c r="X7" s="156">
        <v>43504</v>
      </c>
      <c r="Y7" s="148" t="s">
        <v>952</v>
      </c>
      <c r="Z7" s="148" t="s">
        <v>823</v>
      </c>
      <c r="AA7" s="148" t="s">
        <v>954</v>
      </c>
      <c r="AB7" s="232">
        <v>409.37908666637497</v>
      </c>
      <c r="AC7" s="232">
        <f>'Cálculo PU'!U209</f>
        <v>560.79971866571657</v>
      </c>
      <c r="AD7" s="168">
        <f t="shared" si="2"/>
        <v>-151.42063199934159</v>
      </c>
      <c r="AF7" s="147">
        <v>3194</v>
      </c>
      <c r="AG7" s="156">
        <v>43374</v>
      </c>
      <c r="AH7" s="156">
        <v>43504</v>
      </c>
      <c r="AI7" s="148" t="s">
        <v>952</v>
      </c>
      <c r="AJ7" s="148" t="s">
        <v>823</v>
      </c>
      <c r="AK7" s="148" t="s">
        <v>956</v>
      </c>
      <c r="AL7" s="232">
        <v>419.59421846583501</v>
      </c>
      <c r="AM7" s="232">
        <f>'Cálculo PU'!T209</f>
        <v>906.2821885656748</v>
      </c>
      <c r="AN7" s="168">
        <f t="shared" si="3"/>
        <v>-486.68797009983979</v>
      </c>
      <c r="AP7" s="147">
        <v>3202</v>
      </c>
      <c r="AQ7" s="156">
        <v>43374</v>
      </c>
      <c r="AR7" s="156">
        <v>43504</v>
      </c>
      <c r="AS7" s="148" t="s">
        <v>952</v>
      </c>
      <c r="AT7" s="148" t="s">
        <v>823</v>
      </c>
      <c r="AU7" s="148" t="s">
        <v>942</v>
      </c>
      <c r="AV7" s="232">
        <v>6.9064629499999999</v>
      </c>
      <c r="AW7" s="232">
        <f>'Cálculo PU'!Q209</f>
        <v>16.658999999999999</v>
      </c>
      <c r="AX7" s="168">
        <f t="shared" si="4"/>
        <v>-9.752537049999999</v>
      </c>
      <c r="AZ7" s="147">
        <v>3203</v>
      </c>
      <c r="BA7" s="156">
        <v>43374</v>
      </c>
      <c r="BB7" s="156">
        <v>43504</v>
      </c>
      <c r="BC7" s="148" t="s">
        <v>952</v>
      </c>
      <c r="BD7" s="148" t="s">
        <v>823</v>
      </c>
      <c r="BE7" s="148" t="s">
        <v>943</v>
      </c>
      <c r="BF7" s="148">
        <v>93</v>
      </c>
      <c r="BG7" s="237">
        <f>'Cálculo PU'!L209</f>
        <v>785</v>
      </c>
      <c r="BH7" s="168">
        <f t="shared" si="5"/>
        <v>-692</v>
      </c>
    </row>
    <row r="8" spans="2:60">
      <c r="B8" s="226">
        <v>3256</v>
      </c>
      <c r="C8" s="227">
        <v>43374</v>
      </c>
      <c r="D8" s="227">
        <v>43536</v>
      </c>
      <c r="E8" s="227" t="s">
        <v>952</v>
      </c>
      <c r="F8" s="227" t="s">
        <v>823</v>
      </c>
      <c r="G8" s="227" t="s">
        <v>953</v>
      </c>
      <c r="H8" s="227">
        <v>373.60962701872</v>
      </c>
      <c r="I8" s="232">
        <f>'Cálculo PU'!V210</f>
        <v>459.43924923152883</v>
      </c>
      <c r="J8" s="235">
        <f t="shared" si="0"/>
        <v>85.829622212808829</v>
      </c>
      <c r="L8" s="147">
        <v>3255</v>
      </c>
      <c r="M8" s="156">
        <v>43374</v>
      </c>
      <c r="N8" s="156">
        <v>43536</v>
      </c>
      <c r="O8" s="148" t="s">
        <v>952</v>
      </c>
      <c r="P8" s="148" t="s">
        <v>823</v>
      </c>
      <c r="Q8" s="148" t="s">
        <v>827</v>
      </c>
      <c r="R8" s="148">
        <v>1.0111352136409999</v>
      </c>
      <c r="S8" s="148">
        <f>'Cálculo PU'!O210</f>
        <v>1.0820827698033932</v>
      </c>
      <c r="T8" s="168">
        <f t="shared" si="1"/>
        <v>-7.0947556162393344E-2</v>
      </c>
      <c r="V8" s="147">
        <v>3243</v>
      </c>
      <c r="W8" s="156">
        <v>43374</v>
      </c>
      <c r="X8" s="156">
        <v>43536</v>
      </c>
      <c r="Y8" s="148" t="s">
        <v>952</v>
      </c>
      <c r="Z8" s="148" t="s">
        <v>823</v>
      </c>
      <c r="AA8" s="148" t="s">
        <v>954</v>
      </c>
      <c r="AB8" s="232">
        <v>377.76985003390803</v>
      </c>
      <c r="AC8" s="232">
        <f>'Cálculo PU'!U210</f>
        <v>497.1512953648442</v>
      </c>
      <c r="AD8" s="168">
        <f t="shared" si="2"/>
        <v>-119.38144533093617</v>
      </c>
      <c r="AF8" s="147">
        <v>3233</v>
      </c>
      <c r="AG8" s="156">
        <v>43374</v>
      </c>
      <c r="AH8" s="156">
        <v>43536</v>
      </c>
      <c r="AI8" s="148" t="s">
        <v>952</v>
      </c>
      <c r="AJ8" s="148" t="s">
        <v>823</v>
      </c>
      <c r="AK8" s="148" t="s">
        <v>956</v>
      </c>
      <c r="AL8" s="232">
        <v>389.45970836438102</v>
      </c>
      <c r="AM8" s="232">
        <f>'Cálculo PU'!T210</f>
        <v>813.38625119463791</v>
      </c>
      <c r="AN8" s="168">
        <f t="shared" si="3"/>
        <v>-423.92654283025689</v>
      </c>
      <c r="AP8" s="147">
        <v>3241</v>
      </c>
      <c r="AQ8" s="156">
        <v>43374</v>
      </c>
      <c r="AR8" s="156">
        <v>43536</v>
      </c>
      <c r="AS8" s="148" t="s">
        <v>952</v>
      </c>
      <c r="AT8" s="148" t="s">
        <v>823</v>
      </c>
      <c r="AU8" s="148" t="s">
        <v>942</v>
      </c>
      <c r="AV8" s="232">
        <v>7.03252173</v>
      </c>
      <c r="AW8" s="232">
        <f>'Cálculo PU'!Q210</f>
        <v>16.662500000000001</v>
      </c>
      <c r="AX8" s="168">
        <f t="shared" si="4"/>
        <v>-9.6299782700000023</v>
      </c>
      <c r="AZ8" s="147">
        <v>3242</v>
      </c>
      <c r="BA8" s="156">
        <v>43374</v>
      </c>
      <c r="BB8" s="156">
        <v>43536</v>
      </c>
      <c r="BC8" s="148" t="s">
        <v>952</v>
      </c>
      <c r="BD8" s="148" t="s">
        <v>823</v>
      </c>
      <c r="BE8" s="148" t="s">
        <v>943</v>
      </c>
      <c r="BF8" s="148">
        <v>113</v>
      </c>
      <c r="BG8" s="237">
        <f>'Cálculo PU'!L210</f>
        <v>805</v>
      </c>
      <c r="BH8" s="168">
        <f t="shared" si="5"/>
        <v>-692</v>
      </c>
    </row>
    <row r="9" spans="2:60">
      <c r="B9" s="226">
        <v>3295</v>
      </c>
      <c r="C9" s="227">
        <v>43374</v>
      </c>
      <c r="D9" s="227">
        <v>43563</v>
      </c>
      <c r="E9" s="227" t="s">
        <v>952</v>
      </c>
      <c r="F9" s="227" t="s">
        <v>823</v>
      </c>
      <c r="G9" s="227" t="s">
        <v>953</v>
      </c>
      <c r="H9" s="227">
        <v>353.02417326185201</v>
      </c>
      <c r="I9" s="232">
        <f>'Cálculo PU'!V211</f>
        <v>425.18640657670221</v>
      </c>
      <c r="J9" s="235">
        <f t="shared" si="0"/>
        <v>72.162233314850198</v>
      </c>
      <c r="L9" s="147">
        <v>3294</v>
      </c>
      <c r="M9" s="156">
        <v>43374</v>
      </c>
      <c r="N9" s="156">
        <v>43563</v>
      </c>
      <c r="O9" s="148" t="s">
        <v>952</v>
      </c>
      <c r="P9" s="148" t="s">
        <v>823</v>
      </c>
      <c r="Q9" s="148" t="s">
        <v>827</v>
      </c>
      <c r="R9" s="148">
        <v>1.013019645722</v>
      </c>
      <c r="S9" s="148">
        <f>'Cálculo PU'!O211</f>
        <v>1.0840994253973897</v>
      </c>
      <c r="T9" s="168">
        <f t="shared" si="1"/>
        <v>-7.1079779675389698E-2</v>
      </c>
      <c r="V9" s="147">
        <v>3282</v>
      </c>
      <c r="W9" s="156">
        <v>43374</v>
      </c>
      <c r="X9" s="156">
        <v>43563</v>
      </c>
      <c r="Y9" s="148" t="s">
        <v>952</v>
      </c>
      <c r="Z9" s="148" t="s">
        <v>823</v>
      </c>
      <c r="AA9" s="148" t="s">
        <v>954</v>
      </c>
      <c r="AB9" s="232">
        <v>357.62042292902402</v>
      </c>
      <c r="AC9" s="232">
        <f>'Cálculo PU'!U211</f>
        <v>460.94433905658377</v>
      </c>
      <c r="AD9" s="168">
        <f t="shared" si="2"/>
        <v>-103.32391612755976</v>
      </c>
      <c r="AF9" s="147">
        <v>3272</v>
      </c>
      <c r="AG9" s="156">
        <v>43374</v>
      </c>
      <c r="AH9" s="156">
        <v>43563</v>
      </c>
      <c r="AI9" s="148" t="s">
        <v>952</v>
      </c>
      <c r="AJ9" s="148" t="s">
        <v>823</v>
      </c>
      <c r="AK9" s="148" t="s">
        <v>956</v>
      </c>
      <c r="AL9" s="232">
        <v>370.78978691288199</v>
      </c>
      <c r="AM9" s="232">
        <f>'Cálculo PU'!T211</f>
        <v>763.02656884446924</v>
      </c>
      <c r="AN9" s="168">
        <f t="shared" si="3"/>
        <v>-392.23678193158725</v>
      </c>
      <c r="AP9" s="147">
        <v>3280</v>
      </c>
      <c r="AQ9" s="156">
        <v>43374</v>
      </c>
      <c r="AR9" s="156">
        <v>43563</v>
      </c>
      <c r="AS9" s="148" t="s">
        <v>952</v>
      </c>
      <c r="AT9" s="148" t="s">
        <v>823</v>
      </c>
      <c r="AU9" s="148" t="s">
        <v>942</v>
      </c>
      <c r="AV9" s="232">
        <v>7.1477692099999999</v>
      </c>
      <c r="AW9" s="232">
        <f>'Cálculo PU'!Q211</f>
        <v>16.665500000000002</v>
      </c>
      <c r="AX9" s="168">
        <f t="shared" si="4"/>
        <v>-9.5177307900000017</v>
      </c>
      <c r="AZ9" s="147">
        <v>3281</v>
      </c>
      <c r="BA9" s="156">
        <v>43374</v>
      </c>
      <c r="BB9" s="156">
        <v>43563</v>
      </c>
      <c r="BC9" s="148" t="s">
        <v>952</v>
      </c>
      <c r="BD9" s="148" t="s">
        <v>823</v>
      </c>
      <c r="BE9" s="148" t="s">
        <v>943</v>
      </c>
      <c r="BF9" s="148">
        <v>132</v>
      </c>
      <c r="BG9" s="237">
        <f>'Cálculo PU'!L211</f>
        <v>824</v>
      </c>
      <c r="BH9" s="168">
        <f t="shared" si="5"/>
        <v>-692</v>
      </c>
    </row>
    <row r="10" spans="2:60">
      <c r="B10" s="226">
        <v>3334</v>
      </c>
      <c r="C10" s="227">
        <v>43374</v>
      </c>
      <c r="D10" s="227">
        <v>43594</v>
      </c>
      <c r="E10" s="227" t="s">
        <v>952</v>
      </c>
      <c r="F10" s="227" t="s">
        <v>823</v>
      </c>
      <c r="G10" s="227" t="s">
        <v>953</v>
      </c>
      <c r="H10" s="227">
        <v>402.52226152851301</v>
      </c>
      <c r="I10" s="232">
        <f>'Cálculo PU'!V212</f>
        <v>457.61317655095758</v>
      </c>
      <c r="J10" s="235">
        <f t="shared" si="0"/>
        <v>55.090915022444563</v>
      </c>
      <c r="L10" s="147">
        <v>3333</v>
      </c>
      <c r="M10" s="156">
        <v>43374</v>
      </c>
      <c r="N10" s="156">
        <v>43594</v>
      </c>
      <c r="O10" s="148" t="s">
        <v>952</v>
      </c>
      <c r="P10" s="148" t="s">
        <v>823</v>
      </c>
      <c r="Q10" s="148" t="s">
        <v>827</v>
      </c>
      <c r="R10" s="148">
        <v>1.0151065252980001</v>
      </c>
      <c r="S10" s="148">
        <f>'Cálculo PU'!O212</f>
        <v>1.0863327334670501</v>
      </c>
      <c r="T10" s="168">
        <f t="shared" si="1"/>
        <v>-7.1226208169050009E-2</v>
      </c>
      <c r="V10" s="147">
        <v>3321</v>
      </c>
      <c r="W10" s="156">
        <v>43374</v>
      </c>
      <c r="X10" s="156">
        <v>43594</v>
      </c>
      <c r="Y10" s="148" t="s">
        <v>952</v>
      </c>
      <c r="Z10" s="148" t="s">
        <v>823</v>
      </c>
      <c r="AA10" s="148" t="s">
        <v>954</v>
      </c>
      <c r="AB10" s="232">
        <v>408.602974255302</v>
      </c>
      <c r="AC10" s="232">
        <f>'Cálculo PU'!U212</f>
        <v>497.12017295314149</v>
      </c>
      <c r="AD10" s="168">
        <f t="shared" si="2"/>
        <v>-88.51719869783949</v>
      </c>
      <c r="AF10" s="147">
        <v>3311</v>
      </c>
      <c r="AG10" s="156">
        <v>43374</v>
      </c>
      <c r="AH10" s="156">
        <v>43594</v>
      </c>
      <c r="AI10" s="148" t="s">
        <v>952</v>
      </c>
      <c r="AJ10" s="148" t="s">
        <v>823</v>
      </c>
      <c r="AK10" s="148" t="s">
        <v>956</v>
      </c>
      <c r="AL10" s="232">
        <v>426.45405041079601</v>
      </c>
      <c r="AM10" s="232">
        <f>'Cálculo PU'!T212</f>
        <v>833.6208065358976</v>
      </c>
      <c r="AN10" s="168">
        <f t="shared" si="3"/>
        <v>-407.16675612510159</v>
      </c>
      <c r="AP10" s="147">
        <v>3319</v>
      </c>
      <c r="AQ10" s="156">
        <v>43374</v>
      </c>
      <c r="AR10" s="156">
        <v>43594</v>
      </c>
      <c r="AS10" s="148" t="s">
        <v>952</v>
      </c>
      <c r="AT10" s="148" t="s">
        <v>823</v>
      </c>
      <c r="AU10" s="148" t="s">
        <v>942</v>
      </c>
      <c r="AV10" s="232">
        <v>7.2968737499999996</v>
      </c>
      <c r="AW10" s="232">
        <f>'Cálculo PU'!Q212</f>
        <v>16.668500000000002</v>
      </c>
      <c r="AX10" s="168">
        <f t="shared" si="4"/>
        <v>-9.371626250000002</v>
      </c>
      <c r="AZ10" s="147">
        <v>3320</v>
      </c>
      <c r="BA10" s="156">
        <v>43374</v>
      </c>
      <c r="BB10" s="156">
        <v>43594</v>
      </c>
      <c r="BC10" s="148" t="s">
        <v>952</v>
      </c>
      <c r="BD10" s="148" t="s">
        <v>823</v>
      </c>
      <c r="BE10" s="148" t="s">
        <v>943</v>
      </c>
      <c r="BF10" s="148">
        <v>153</v>
      </c>
      <c r="BG10" s="237">
        <f>'Cálculo PU'!L212</f>
        <v>845</v>
      </c>
      <c r="BH10" s="168">
        <f t="shared" si="5"/>
        <v>-692</v>
      </c>
    </row>
    <row r="11" spans="2:60">
      <c r="B11" s="226">
        <v>3373</v>
      </c>
      <c r="C11" s="227">
        <v>43374</v>
      </c>
      <c r="D11" s="227">
        <v>43626</v>
      </c>
      <c r="E11" s="227" t="s">
        <v>952</v>
      </c>
      <c r="F11" s="227" t="s">
        <v>823</v>
      </c>
      <c r="G11" s="227" t="s">
        <v>953</v>
      </c>
      <c r="H11" s="227">
        <v>427.093016343805</v>
      </c>
      <c r="I11" s="232">
        <f>'Cálculo PU'!V213</f>
        <v>466.27504419239887</v>
      </c>
      <c r="J11" s="235">
        <f t="shared" si="0"/>
        <v>39.182027848593862</v>
      </c>
      <c r="L11" s="147">
        <v>3372</v>
      </c>
      <c r="M11" s="156">
        <v>43374</v>
      </c>
      <c r="N11" s="156">
        <v>43626</v>
      </c>
      <c r="O11" s="148" t="s">
        <v>952</v>
      </c>
      <c r="P11" s="148" t="s">
        <v>823</v>
      </c>
      <c r="Q11" s="148" t="s">
        <v>827</v>
      </c>
      <c r="R11" s="148">
        <v>1.017297391289</v>
      </c>
      <c r="S11" s="148">
        <f>'Cálculo PU'!O213</f>
        <v>1.088677324287137</v>
      </c>
      <c r="T11" s="168">
        <f t="shared" si="1"/>
        <v>-7.1379932998137052E-2</v>
      </c>
      <c r="V11" s="147">
        <v>3360</v>
      </c>
      <c r="W11" s="156">
        <v>43374</v>
      </c>
      <c r="X11" s="156">
        <v>43626</v>
      </c>
      <c r="Y11" s="148" t="s">
        <v>952</v>
      </c>
      <c r="Z11" s="148" t="s">
        <v>823</v>
      </c>
      <c r="AA11" s="148" t="s">
        <v>954</v>
      </c>
      <c r="AB11" s="232">
        <v>434.480611364303</v>
      </c>
      <c r="AC11" s="232">
        <f>'Cálculo PU'!U213</f>
        <v>507.62306749324739</v>
      </c>
      <c r="AD11" s="168">
        <f t="shared" si="2"/>
        <v>-73.142456128944389</v>
      </c>
      <c r="AF11" s="147">
        <v>3350</v>
      </c>
      <c r="AG11" s="156">
        <v>43374</v>
      </c>
      <c r="AH11" s="156">
        <v>43626</v>
      </c>
      <c r="AI11" s="148" t="s">
        <v>952</v>
      </c>
      <c r="AJ11" s="148" t="s">
        <v>823</v>
      </c>
      <c r="AK11" s="148" t="s">
        <v>956</v>
      </c>
      <c r="AL11" s="232">
        <v>456.69207798998201</v>
      </c>
      <c r="AM11" s="232">
        <f>'Cálculo PU'!T213</f>
        <v>862.84615079767252</v>
      </c>
      <c r="AN11" s="168">
        <f t="shared" si="3"/>
        <v>-406.15407280769051</v>
      </c>
      <c r="AP11" s="147">
        <v>3358</v>
      </c>
      <c r="AQ11" s="156">
        <v>43374</v>
      </c>
      <c r="AR11" s="156">
        <v>43626</v>
      </c>
      <c r="AS11" s="148" t="s">
        <v>952</v>
      </c>
      <c r="AT11" s="148" t="s">
        <v>823</v>
      </c>
      <c r="AU11" s="148" t="s">
        <v>942</v>
      </c>
      <c r="AV11" s="232">
        <v>7.4435703000000002</v>
      </c>
      <c r="AW11" s="232">
        <f>'Cálculo PU'!Q213</f>
        <v>16.671600000000002</v>
      </c>
      <c r="AX11" s="168">
        <f t="shared" si="4"/>
        <v>-9.2280297000000004</v>
      </c>
      <c r="AZ11" s="147">
        <v>3359</v>
      </c>
      <c r="BA11" s="156">
        <v>43374</v>
      </c>
      <c r="BB11" s="156">
        <v>43626</v>
      </c>
      <c r="BC11" s="148" t="s">
        <v>952</v>
      </c>
      <c r="BD11" s="148" t="s">
        <v>823</v>
      </c>
      <c r="BE11" s="148" t="s">
        <v>943</v>
      </c>
      <c r="BF11" s="148">
        <v>175</v>
      </c>
      <c r="BG11" s="237">
        <f>'Cálculo PU'!L213</f>
        <v>867</v>
      </c>
      <c r="BH11" s="168">
        <f t="shared" si="5"/>
        <v>-692</v>
      </c>
    </row>
    <row r="12" spans="2:60">
      <c r="B12" s="226">
        <v>3412</v>
      </c>
      <c r="C12" s="227">
        <v>43374</v>
      </c>
      <c r="D12" s="227">
        <v>43654</v>
      </c>
      <c r="E12" s="227" t="s">
        <v>952</v>
      </c>
      <c r="F12" s="227" t="s">
        <v>823</v>
      </c>
      <c r="G12" s="227" t="s">
        <v>953</v>
      </c>
      <c r="H12" s="227">
        <v>366.88269501069499</v>
      </c>
      <c r="I12" s="232">
        <f>'Cálculo PU'!V214</f>
        <v>391.00943171645497</v>
      </c>
      <c r="J12" s="235">
        <f t="shared" si="0"/>
        <v>24.126736705759981</v>
      </c>
      <c r="L12" s="147">
        <v>3411</v>
      </c>
      <c r="M12" s="156">
        <v>43374</v>
      </c>
      <c r="N12" s="156">
        <v>43654</v>
      </c>
      <c r="O12" s="148" t="s">
        <v>952</v>
      </c>
      <c r="P12" s="148" t="s">
        <v>823</v>
      </c>
      <c r="Q12" s="148" t="s">
        <v>827</v>
      </c>
      <c r="R12" s="148">
        <v>1.0191933076949999</v>
      </c>
      <c r="S12" s="148">
        <f>'Cálculo PU'!O214</f>
        <v>1.0907062700178594</v>
      </c>
      <c r="T12" s="168">
        <f t="shared" si="1"/>
        <v>-7.1512962322859419E-2</v>
      </c>
      <c r="V12" s="147">
        <v>3399</v>
      </c>
      <c r="W12" s="156">
        <v>43374</v>
      </c>
      <c r="X12" s="156">
        <v>43654</v>
      </c>
      <c r="Y12" s="148" t="s">
        <v>952</v>
      </c>
      <c r="Z12" s="148" t="s">
        <v>823</v>
      </c>
      <c r="AA12" s="148" t="s">
        <v>954</v>
      </c>
      <c r="AB12" s="232">
        <v>373.92438746400597</v>
      </c>
      <c r="AC12" s="232">
        <f>'Cálculo PU'!U214</f>
        <v>426.4764388092575</v>
      </c>
      <c r="AD12" s="168">
        <f t="shared" si="2"/>
        <v>-52.552051345251527</v>
      </c>
      <c r="AF12" s="147">
        <v>3389</v>
      </c>
      <c r="AG12" s="156">
        <v>43374</v>
      </c>
      <c r="AH12" s="156">
        <v>43654</v>
      </c>
      <c r="AI12" s="148" t="s">
        <v>952</v>
      </c>
      <c r="AJ12" s="148" t="s">
        <v>823</v>
      </c>
      <c r="AK12" s="148" t="s">
        <v>956</v>
      </c>
      <c r="AL12" s="232">
        <v>395.51607327676902</v>
      </c>
      <c r="AM12" s="232">
        <f>'Cálculo PU'!T214</f>
        <v>733.29893119613541</v>
      </c>
      <c r="AN12" s="168">
        <f t="shared" si="3"/>
        <v>-337.78285791936639</v>
      </c>
      <c r="AP12" s="147">
        <v>3397</v>
      </c>
      <c r="AQ12" s="156">
        <v>43374</v>
      </c>
      <c r="AR12" s="156">
        <v>43654</v>
      </c>
      <c r="AS12" s="148" t="s">
        <v>952</v>
      </c>
      <c r="AT12" s="148" t="s">
        <v>823</v>
      </c>
      <c r="AU12" s="148" t="s">
        <v>942</v>
      </c>
      <c r="AV12" s="232">
        <v>7.5645874900000001</v>
      </c>
      <c r="AW12" s="232">
        <f>'Cálculo PU'!Q214</f>
        <v>16.667400000000001</v>
      </c>
      <c r="AX12" s="168">
        <f t="shared" si="4"/>
        <v>-9.1028125099999997</v>
      </c>
      <c r="AZ12" s="147">
        <v>3398</v>
      </c>
      <c r="BA12" s="156">
        <v>43374</v>
      </c>
      <c r="BB12" s="156">
        <v>43654</v>
      </c>
      <c r="BC12" s="148" t="s">
        <v>952</v>
      </c>
      <c r="BD12" s="148" t="s">
        <v>823</v>
      </c>
      <c r="BE12" s="148" t="s">
        <v>943</v>
      </c>
      <c r="BF12" s="148">
        <v>194</v>
      </c>
      <c r="BG12" s="237">
        <f>'Cálculo PU'!L214</f>
        <v>886</v>
      </c>
      <c r="BH12" s="168">
        <f t="shared" si="5"/>
        <v>-692</v>
      </c>
    </row>
    <row r="13" spans="2:60">
      <c r="B13" s="226">
        <v>3451</v>
      </c>
      <c r="C13" s="227">
        <v>43374</v>
      </c>
      <c r="D13" s="227">
        <v>43685</v>
      </c>
      <c r="E13" s="227" t="s">
        <v>952</v>
      </c>
      <c r="F13" s="227" t="s">
        <v>823</v>
      </c>
      <c r="G13" s="227" t="s">
        <v>953</v>
      </c>
      <c r="H13" s="227">
        <v>449.37138414116902</v>
      </c>
      <c r="I13" s="232">
        <f>'Cálculo PU'!V215</f>
        <v>456.83445695952503</v>
      </c>
      <c r="J13" s="235">
        <f t="shared" si="0"/>
        <v>7.4630728183560109</v>
      </c>
      <c r="L13" s="147">
        <v>3450</v>
      </c>
      <c r="M13" s="156">
        <v>43374</v>
      </c>
      <c r="N13" s="156">
        <v>43685</v>
      </c>
      <c r="O13" s="148" t="s">
        <v>952</v>
      </c>
      <c r="P13" s="148" t="s">
        <v>823</v>
      </c>
      <c r="Q13" s="148" t="s">
        <v>827</v>
      </c>
      <c r="R13" s="148">
        <v>1.021493092501</v>
      </c>
      <c r="S13" s="148">
        <f>'Cálculo PU'!O215</f>
        <v>1.0931674220768928</v>
      </c>
      <c r="T13" s="168">
        <f t="shared" si="1"/>
        <v>-7.1674329575892815E-2</v>
      </c>
      <c r="V13" s="147">
        <v>3438</v>
      </c>
      <c r="W13" s="156">
        <v>43374</v>
      </c>
      <c r="X13" s="156">
        <v>43685</v>
      </c>
      <c r="Y13" s="148" t="s">
        <v>952</v>
      </c>
      <c r="Z13" s="148" t="s">
        <v>823</v>
      </c>
      <c r="AA13" s="148" t="s">
        <v>954</v>
      </c>
      <c r="AB13" s="232">
        <v>459.02976486781802</v>
      </c>
      <c r="AC13" s="232">
        <f>'Cálculo PU'!U215</f>
        <v>499.39654563034122</v>
      </c>
      <c r="AD13" s="168">
        <f t="shared" si="2"/>
        <v>-40.366780762523206</v>
      </c>
      <c r="AF13" s="147">
        <v>3428</v>
      </c>
      <c r="AG13" s="156">
        <v>43374</v>
      </c>
      <c r="AH13" s="156">
        <v>43685</v>
      </c>
      <c r="AI13" s="148" t="s">
        <v>952</v>
      </c>
      <c r="AJ13" s="148" t="s">
        <v>823</v>
      </c>
      <c r="AK13" s="148" t="s">
        <v>956</v>
      </c>
      <c r="AL13" s="232">
        <v>489.33304614137501</v>
      </c>
      <c r="AM13" s="232">
        <f>'Cálculo PU'!T215</f>
        <v>870.47849438232913</v>
      </c>
      <c r="AN13" s="168">
        <f t="shared" si="3"/>
        <v>-381.14544824095412</v>
      </c>
      <c r="AP13" s="147">
        <v>3436</v>
      </c>
      <c r="AQ13" s="156">
        <v>43374</v>
      </c>
      <c r="AR13" s="156">
        <v>43685</v>
      </c>
      <c r="AS13" s="148" t="s">
        <v>952</v>
      </c>
      <c r="AT13" s="148" t="s">
        <v>823</v>
      </c>
      <c r="AU13" s="148" t="s">
        <v>942</v>
      </c>
      <c r="AV13" s="232">
        <v>7.7064506599999998</v>
      </c>
      <c r="AW13" s="232">
        <f>'Cálculo PU'!Q215</f>
        <v>16.653700000000001</v>
      </c>
      <c r="AX13" s="168">
        <f t="shared" si="4"/>
        <v>-8.9472493400000008</v>
      </c>
      <c r="AZ13" s="147">
        <v>3437</v>
      </c>
      <c r="BA13" s="156">
        <v>43374</v>
      </c>
      <c r="BB13" s="156">
        <v>43685</v>
      </c>
      <c r="BC13" s="148" t="s">
        <v>952</v>
      </c>
      <c r="BD13" s="148" t="s">
        <v>823</v>
      </c>
      <c r="BE13" s="148" t="s">
        <v>943</v>
      </c>
      <c r="BF13" s="148">
        <v>217</v>
      </c>
      <c r="BG13" s="237">
        <f>'Cálculo PU'!L215</f>
        <v>909</v>
      </c>
      <c r="BH13" s="168">
        <f t="shared" si="5"/>
        <v>-692</v>
      </c>
    </row>
    <row r="14" spans="2:60">
      <c r="B14" s="226">
        <v>3490</v>
      </c>
      <c r="C14" s="227">
        <v>43374</v>
      </c>
      <c r="D14" s="227">
        <v>43717</v>
      </c>
      <c r="E14" s="227" t="s">
        <v>952</v>
      </c>
      <c r="F14" s="227" t="s">
        <v>823</v>
      </c>
      <c r="G14" s="227" t="s">
        <v>953</v>
      </c>
      <c r="H14" s="227">
        <v>422.51752375830802</v>
      </c>
      <c r="I14" s="232">
        <f>'Cálculo PU'!V216</f>
        <v>425.04297703521115</v>
      </c>
      <c r="J14" s="235">
        <f t="shared" si="0"/>
        <v>2.5254532769031357</v>
      </c>
      <c r="L14" s="147">
        <v>3489</v>
      </c>
      <c r="M14" s="156">
        <v>43374</v>
      </c>
      <c r="N14" s="156">
        <v>43717</v>
      </c>
      <c r="O14" s="148" t="s">
        <v>952</v>
      </c>
      <c r="P14" s="148" t="s">
        <v>823</v>
      </c>
      <c r="Q14" s="148" t="s">
        <v>827</v>
      </c>
      <c r="R14" s="148">
        <v>1.023697742378</v>
      </c>
      <c r="S14" s="148">
        <f>'Cálculo PU'!O216</f>
        <v>1.0955267639467081</v>
      </c>
      <c r="T14" s="168">
        <f t="shared" si="1"/>
        <v>-7.1829021568708074E-2</v>
      </c>
      <c r="V14" s="147">
        <v>3477</v>
      </c>
      <c r="W14" s="156">
        <v>43374</v>
      </c>
      <c r="X14" s="156">
        <v>43717</v>
      </c>
      <c r="Y14" s="148" t="s">
        <v>952</v>
      </c>
      <c r="Z14" s="148" t="s">
        <v>823</v>
      </c>
      <c r="AA14" s="148" t="s">
        <v>954</v>
      </c>
      <c r="AB14" s="232">
        <v>432.53023518652299</v>
      </c>
      <c r="AC14" s="232">
        <f>'Cálculo PU'!U216</f>
        <v>465.64595716965982</v>
      </c>
      <c r="AD14" s="168">
        <f t="shared" si="2"/>
        <v>-33.115721983136837</v>
      </c>
      <c r="AF14" s="147">
        <v>3467</v>
      </c>
      <c r="AG14" s="156">
        <v>43374</v>
      </c>
      <c r="AH14" s="156">
        <v>43717</v>
      </c>
      <c r="AI14" s="148" t="s">
        <v>952</v>
      </c>
      <c r="AJ14" s="148" t="s">
        <v>823</v>
      </c>
      <c r="AK14" s="148" t="s">
        <v>956</v>
      </c>
      <c r="AL14" s="232">
        <v>464.555408634868</v>
      </c>
      <c r="AM14" s="232">
        <f>'Cálculo PU'!T216</f>
        <v>822.31224829155497</v>
      </c>
      <c r="AN14" s="168">
        <f t="shared" si="3"/>
        <v>-357.75683965668696</v>
      </c>
      <c r="AP14" s="147">
        <v>3475</v>
      </c>
      <c r="AQ14" s="156">
        <v>43374</v>
      </c>
      <c r="AR14" s="156">
        <v>43717</v>
      </c>
      <c r="AS14" s="148" t="s">
        <v>952</v>
      </c>
      <c r="AT14" s="148" t="s">
        <v>823</v>
      </c>
      <c r="AU14" s="148" t="s">
        <v>942</v>
      </c>
      <c r="AV14" s="232">
        <v>7.8222491300000003</v>
      </c>
      <c r="AW14" s="232">
        <f>'Cálculo PU'!Q216</f>
        <v>16.641200000000001</v>
      </c>
      <c r="AX14" s="168">
        <f t="shared" si="4"/>
        <v>-8.8189508700000019</v>
      </c>
      <c r="AZ14" s="147">
        <v>3476</v>
      </c>
      <c r="BA14" s="156">
        <v>43374</v>
      </c>
      <c r="BB14" s="156">
        <v>43717</v>
      </c>
      <c r="BC14" s="148" t="s">
        <v>952</v>
      </c>
      <c r="BD14" s="148" t="s">
        <v>823</v>
      </c>
      <c r="BE14" s="148" t="s">
        <v>943</v>
      </c>
      <c r="BF14" s="148">
        <v>239</v>
      </c>
      <c r="BG14" s="237">
        <f>'Cálculo PU'!L216</f>
        <v>931</v>
      </c>
      <c r="BH14" s="168">
        <f t="shared" si="5"/>
        <v>-692</v>
      </c>
    </row>
    <row r="15" spans="2:60">
      <c r="B15" s="226">
        <v>3529</v>
      </c>
      <c r="C15" s="227">
        <v>43374</v>
      </c>
      <c r="D15" s="227">
        <v>43746</v>
      </c>
      <c r="E15" s="227" t="s">
        <v>952</v>
      </c>
      <c r="F15" s="227" t="s">
        <v>823</v>
      </c>
      <c r="G15" s="227" t="s">
        <v>953</v>
      </c>
      <c r="H15" s="227">
        <v>404.51136467031199</v>
      </c>
      <c r="I15" s="232">
        <f>'Cálculo PU'!V217</f>
        <v>394.92956716691197</v>
      </c>
      <c r="J15" s="235">
        <f t="shared" si="0"/>
        <v>-9.5817975034000256</v>
      </c>
      <c r="L15" s="147">
        <v>3528</v>
      </c>
      <c r="M15" s="156">
        <v>43374</v>
      </c>
      <c r="N15" s="156">
        <v>43746</v>
      </c>
      <c r="O15" s="148" t="s">
        <v>952</v>
      </c>
      <c r="P15" s="148" t="s">
        <v>823</v>
      </c>
      <c r="Q15" s="148" t="s">
        <v>827</v>
      </c>
      <c r="R15" s="148">
        <v>1.0258066194569999</v>
      </c>
      <c r="S15" s="148">
        <f>'Cálculo PU'!O217</f>
        <v>1.0977836130005245</v>
      </c>
      <c r="T15" s="168">
        <f t="shared" si="1"/>
        <v>-7.1976993543524603E-2</v>
      </c>
      <c r="V15" s="147">
        <v>3516</v>
      </c>
      <c r="W15" s="156">
        <v>43374</v>
      </c>
      <c r="X15" s="156">
        <v>43746</v>
      </c>
      <c r="Y15" s="148" t="s">
        <v>952</v>
      </c>
      <c r="Z15" s="148" t="s">
        <v>823</v>
      </c>
      <c r="AA15" s="148" t="s">
        <v>954</v>
      </c>
      <c r="AB15" s="232">
        <v>414.95043552439</v>
      </c>
      <c r="AC15" s="232">
        <f>'Cálculo PU'!U217</f>
        <v>433.54720712522595</v>
      </c>
      <c r="AD15" s="168">
        <f t="shared" si="2"/>
        <v>-18.59677160083595</v>
      </c>
      <c r="AF15" s="147">
        <v>3506</v>
      </c>
      <c r="AG15" s="156">
        <v>43374</v>
      </c>
      <c r="AH15" s="156">
        <v>43746</v>
      </c>
      <c r="AI15" s="148" t="s">
        <v>952</v>
      </c>
      <c r="AJ15" s="148" t="s">
        <v>823</v>
      </c>
      <c r="AK15" s="148" t="s">
        <v>956</v>
      </c>
      <c r="AL15" s="232">
        <v>448.99059856403898</v>
      </c>
      <c r="AM15" s="232">
        <f>'Cálculo PU'!T217</f>
        <v>775.22784003654135</v>
      </c>
      <c r="AN15" s="168">
        <f t="shared" si="3"/>
        <v>-326.23724147250238</v>
      </c>
      <c r="AP15" s="147">
        <v>3514</v>
      </c>
      <c r="AQ15" s="156">
        <v>43374</v>
      </c>
      <c r="AR15" s="156">
        <v>43746</v>
      </c>
      <c r="AS15" s="148" t="s">
        <v>952</v>
      </c>
      <c r="AT15" s="148" t="s">
        <v>823</v>
      </c>
      <c r="AU15" s="148" t="s">
        <v>942</v>
      </c>
      <c r="AV15" s="232">
        <v>7.9412523999999998</v>
      </c>
      <c r="AW15" s="232">
        <f>'Cálculo PU'!Q217</f>
        <v>16.629899999999999</v>
      </c>
      <c r="AX15" s="168">
        <f t="shared" si="4"/>
        <v>-8.6886475999999995</v>
      </c>
      <c r="AZ15" s="147">
        <v>3515</v>
      </c>
      <c r="BA15" s="156">
        <v>43374</v>
      </c>
      <c r="BB15" s="156">
        <v>43746</v>
      </c>
      <c r="BC15" s="148" t="s">
        <v>952</v>
      </c>
      <c r="BD15" s="148" t="s">
        <v>823</v>
      </c>
      <c r="BE15" s="148" t="s">
        <v>943</v>
      </c>
      <c r="BF15" s="148">
        <v>260</v>
      </c>
      <c r="BG15" s="237">
        <f>'Cálculo PU'!L217</f>
        <v>952</v>
      </c>
      <c r="BH15" s="168">
        <f t="shared" si="5"/>
        <v>-692</v>
      </c>
    </row>
    <row r="16" spans="2:60">
      <c r="B16" s="226">
        <v>3568</v>
      </c>
      <c r="C16" s="227">
        <v>43374</v>
      </c>
      <c r="D16" s="227">
        <v>43777</v>
      </c>
      <c r="E16" s="227" t="s">
        <v>952</v>
      </c>
      <c r="F16" s="227" t="s">
        <v>823</v>
      </c>
      <c r="G16" s="227" t="s">
        <v>953</v>
      </c>
      <c r="H16" s="227">
        <v>454.70973436457598</v>
      </c>
      <c r="I16" s="232">
        <f>'Cálculo PU'!V218</f>
        <v>420.9047670778001</v>
      </c>
      <c r="J16" s="235">
        <f t="shared" si="0"/>
        <v>-33.804967286775877</v>
      </c>
      <c r="L16" s="147">
        <v>3567</v>
      </c>
      <c r="M16" s="156">
        <v>43374</v>
      </c>
      <c r="N16" s="156">
        <v>43777</v>
      </c>
      <c r="O16" s="148" t="s">
        <v>952</v>
      </c>
      <c r="P16" s="148" t="s">
        <v>823</v>
      </c>
      <c r="Q16" s="148" t="s">
        <v>827</v>
      </c>
      <c r="R16" s="148">
        <v>1.02812132704</v>
      </c>
      <c r="S16" s="148">
        <f>'Cálculo PU'!O218</f>
        <v>1.1002607349111424</v>
      </c>
      <c r="T16" s="168">
        <f t="shared" si="1"/>
        <v>-7.2139407871142369E-2</v>
      </c>
      <c r="V16" s="147">
        <v>3555</v>
      </c>
      <c r="W16" s="156">
        <v>43374</v>
      </c>
      <c r="X16" s="156">
        <v>43777</v>
      </c>
      <c r="Y16" s="148" t="s">
        <v>952</v>
      </c>
      <c r="Z16" s="148" t="s">
        <v>823</v>
      </c>
      <c r="AA16" s="148" t="s">
        <v>954</v>
      </c>
      <c r="AB16" s="232">
        <v>467.49677551291398</v>
      </c>
      <c r="AC16" s="232">
        <f>'Cálculo PU'!U218</f>
        <v>463.10498835262354</v>
      </c>
      <c r="AD16" s="168">
        <f t="shared" si="2"/>
        <v>4.3917871602904484</v>
      </c>
      <c r="AF16" s="147">
        <v>3545</v>
      </c>
      <c r="AG16" s="156">
        <v>43374</v>
      </c>
      <c r="AH16" s="156">
        <v>43777</v>
      </c>
      <c r="AI16" s="148" t="s">
        <v>952</v>
      </c>
      <c r="AJ16" s="148" t="s">
        <v>823</v>
      </c>
      <c r="AK16" s="148" t="s">
        <v>956</v>
      </c>
      <c r="AL16" s="232">
        <v>510.12441683368098</v>
      </c>
      <c r="AM16" s="232">
        <f>'Cálculo PU'!T218</f>
        <v>839.45747790843348</v>
      </c>
      <c r="AN16" s="168">
        <f t="shared" si="3"/>
        <v>-329.33306107475249</v>
      </c>
      <c r="AP16" s="147">
        <v>3553</v>
      </c>
      <c r="AQ16" s="156">
        <v>43374</v>
      </c>
      <c r="AR16" s="156">
        <v>43777</v>
      </c>
      <c r="AS16" s="148" t="s">
        <v>952</v>
      </c>
      <c r="AT16" s="148" t="s">
        <v>823</v>
      </c>
      <c r="AU16" s="148" t="s">
        <v>942</v>
      </c>
      <c r="AV16" s="232">
        <v>8.0802090999999994</v>
      </c>
      <c r="AW16" s="232">
        <f>'Cálculo PU'!Q218</f>
        <v>16.617999999999999</v>
      </c>
      <c r="AX16" s="168">
        <f t="shared" si="4"/>
        <v>-8.5377908999999992</v>
      </c>
      <c r="AZ16" s="147">
        <v>3554</v>
      </c>
      <c r="BA16" s="156">
        <v>43374</v>
      </c>
      <c r="BB16" s="156">
        <v>43777</v>
      </c>
      <c r="BC16" s="148" t="s">
        <v>952</v>
      </c>
      <c r="BD16" s="148" t="s">
        <v>823</v>
      </c>
      <c r="BE16" s="148" t="s">
        <v>943</v>
      </c>
      <c r="BF16" s="148">
        <v>283</v>
      </c>
      <c r="BG16" s="237">
        <f>'Cálculo PU'!L218</f>
        <v>975</v>
      </c>
      <c r="BH16" s="168">
        <f t="shared" si="5"/>
        <v>-692</v>
      </c>
    </row>
    <row r="17" spans="2:60">
      <c r="B17" s="226">
        <v>3607</v>
      </c>
      <c r="C17" s="227">
        <v>43374</v>
      </c>
      <c r="D17" s="227">
        <v>43808</v>
      </c>
      <c r="E17" s="227" t="s">
        <v>952</v>
      </c>
      <c r="F17" s="227" t="s">
        <v>823</v>
      </c>
      <c r="G17" s="227" t="s">
        <v>953</v>
      </c>
      <c r="H17" s="227">
        <v>386.80081050025098</v>
      </c>
      <c r="I17" s="232">
        <f>'Cálculo PU'!V219</f>
        <v>356.29403995141035</v>
      </c>
      <c r="J17" s="235">
        <f t="shared" si="0"/>
        <v>-30.50677054884062</v>
      </c>
      <c r="L17" s="147">
        <v>3606</v>
      </c>
      <c r="M17" s="156">
        <v>43374</v>
      </c>
      <c r="N17" s="156">
        <v>43808</v>
      </c>
      <c r="O17" s="148" t="s">
        <v>952</v>
      </c>
      <c r="P17" s="148" t="s">
        <v>823</v>
      </c>
      <c r="Q17" s="148" t="s">
        <v>827</v>
      </c>
      <c r="R17" s="148">
        <v>1.0301383614299999</v>
      </c>
      <c r="S17" s="148">
        <f>'Cálculo PU'!O219</f>
        <v>1.1024192970211999</v>
      </c>
      <c r="T17" s="168">
        <f t="shared" si="1"/>
        <v>-7.2280935591199968E-2</v>
      </c>
      <c r="V17" s="147">
        <v>3594</v>
      </c>
      <c r="W17" s="156">
        <v>43374</v>
      </c>
      <c r="X17" s="156">
        <v>43808</v>
      </c>
      <c r="Y17" s="148" t="s">
        <v>952</v>
      </c>
      <c r="Z17" s="148" t="s">
        <v>823</v>
      </c>
      <c r="AA17" s="148" t="s">
        <v>954</v>
      </c>
      <c r="AB17" s="232">
        <v>398.45835312852398</v>
      </c>
      <c r="AC17" s="232">
        <f>'Cálculo PU'!U219</f>
        <v>392.78542505607709</v>
      </c>
      <c r="AD17" s="168">
        <f t="shared" si="2"/>
        <v>5.6729280724468936</v>
      </c>
      <c r="AF17" s="147">
        <v>3584</v>
      </c>
      <c r="AG17" s="156">
        <v>43374</v>
      </c>
      <c r="AH17" s="156">
        <v>43808</v>
      </c>
      <c r="AI17" s="148" t="s">
        <v>952</v>
      </c>
      <c r="AJ17" s="148" t="s">
        <v>823</v>
      </c>
      <c r="AK17" s="148" t="s">
        <v>956</v>
      </c>
      <c r="AL17" s="232">
        <v>437.98573447648801</v>
      </c>
      <c r="AM17" s="232">
        <f>'Cálculo PU'!T219</f>
        <v>720.49232095184971</v>
      </c>
      <c r="AN17" s="168">
        <f t="shared" si="3"/>
        <v>-282.5065864753617</v>
      </c>
      <c r="AP17" s="147">
        <v>3592</v>
      </c>
      <c r="AQ17" s="156">
        <v>43374</v>
      </c>
      <c r="AR17" s="156">
        <v>43808</v>
      </c>
      <c r="AS17" s="148" t="s">
        <v>952</v>
      </c>
      <c r="AT17" s="148" t="s">
        <v>823</v>
      </c>
      <c r="AU17" s="148" t="s">
        <v>942</v>
      </c>
      <c r="AV17" s="232">
        <v>8.1840097800000002</v>
      </c>
      <c r="AW17" s="232">
        <f>'Cálculo PU'!Q219</f>
        <v>16.6082</v>
      </c>
      <c r="AX17" s="168">
        <f t="shared" si="4"/>
        <v>-8.4241902199999998</v>
      </c>
      <c r="AZ17" s="147">
        <v>3593</v>
      </c>
      <c r="BA17" s="156">
        <v>43374</v>
      </c>
      <c r="BB17" s="156">
        <v>43808</v>
      </c>
      <c r="BC17" s="148" t="s">
        <v>952</v>
      </c>
      <c r="BD17" s="148" t="s">
        <v>823</v>
      </c>
      <c r="BE17" s="148" t="s">
        <v>943</v>
      </c>
      <c r="BF17" s="148">
        <v>303</v>
      </c>
      <c r="BG17" s="237">
        <f>'Cálculo PU'!L219</f>
        <v>995</v>
      </c>
      <c r="BH17" s="168">
        <f t="shared" si="5"/>
        <v>-692</v>
      </c>
    </row>
    <row r="18" spans="2:60">
      <c r="B18" s="226">
        <v>3646</v>
      </c>
      <c r="C18" s="227">
        <v>43374</v>
      </c>
      <c r="D18" s="227">
        <v>43839</v>
      </c>
      <c r="E18" s="227" t="s">
        <v>952</v>
      </c>
      <c r="F18" s="227" t="s">
        <v>823</v>
      </c>
      <c r="G18" s="227" t="s">
        <v>953</v>
      </c>
      <c r="H18" s="227">
        <v>402.25200644973103</v>
      </c>
      <c r="I18" s="232">
        <f>'Cálculo PU'!V220</f>
        <v>362.8540516524717</v>
      </c>
      <c r="J18" s="235">
        <f t="shared" si="0"/>
        <v>-39.397954797259331</v>
      </c>
      <c r="L18" s="147">
        <v>3645</v>
      </c>
      <c r="M18" s="156">
        <v>43374</v>
      </c>
      <c r="N18" s="156">
        <v>43839</v>
      </c>
      <c r="O18" s="148" t="s">
        <v>952</v>
      </c>
      <c r="P18" s="148" t="s">
        <v>823</v>
      </c>
      <c r="Q18" s="148" t="s">
        <v>827</v>
      </c>
      <c r="R18" s="148">
        <v>1.0322605065599999</v>
      </c>
      <c r="S18" s="148">
        <f>'Cálculo PU'!O220</f>
        <v>1.1046903450953045</v>
      </c>
      <c r="T18" s="168">
        <f t="shared" si="1"/>
        <v>-7.2429838535304603E-2</v>
      </c>
      <c r="V18" s="147">
        <v>3633</v>
      </c>
      <c r="W18" s="156">
        <v>43374</v>
      </c>
      <c r="X18" s="156">
        <v>43839</v>
      </c>
      <c r="Y18" s="148" t="s">
        <v>952</v>
      </c>
      <c r="Z18" s="148" t="s">
        <v>823</v>
      </c>
      <c r="AA18" s="148" t="s">
        <v>954</v>
      </c>
      <c r="AB18" s="232">
        <v>415.22885994257598</v>
      </c>
      <c r="AC18" s="232">
        <f>'Cálculo PU'!U220</f>
        <v>400.84136753919842</v>
      </c>
      <c r="AD18" s="168">
        <f t="shared" si="2"/>
        <v>14.387492403377564</v>
      </c>
      <c r="AF18" s="147">
        <v>3623</v>
      </c>
      <c r="AG18" s="156">
        <v>43374</v>
      </c>
      <c r="AH18" s="156">
        <v>43839</v>
      </c>
      <c r="AI18" s="148" t="s">
        <v>952</v>
      </c>
      <c r="AJ18" s="148" t="s">
        <v>823</v>
      </c>
      <c r="AK18" s="148" t="s">
        <v>956</v>
      </c>
      <c r="AL18" s="232">
        <v>460.02224426073599</v>
      </c>
      <c r="AM18" s="232">
        <f>'Cálculo PU'!T220</f>
        <v>744.46640917309139</v>
      </c>
      <c r="AN18" s="168">
        <f t="shared" si="3"/>
        <v>-284.4441649123554</v>
      </c>
      <c r="AP18" s="147">
        <v>3631</v>
      </c>
      <c r="AQ18" s="156">
        <v>43374</v>
      </c>
      <c r="AR18" s="156">
        <v>43839</v>
      </c>
      <c r="AS18" s="148" t="s">
        <v>952</v>
      </c>
      <c r="AT18" s="148" t="s">
        <v>823</v>
      </c>
      <c r="AU18" s="148" t="s">
        <v>942</v>
      </c>
      <c r="AV18" s="232">
        <v>8.2939875900000004</v>
      </c>
      <c r="AW18" s="232">
        <f>'Cálculo PU'!Q220</f>
        <v>16.5974</v>
      </c>
      <c r="AX18" s="168">
        <f t="shared" si="4"/>
        <v>-8.30341241</v>
      </c>
      <c r="AZ18" s="147">
        <v>3632</v>
      </c>
      <c r="BA18" s="156">
        <v>43374</v>
      </c>
      <c r="BB18" s="156">
        <v>43839</v>
      </c>
      <c r="BC18" s="148" t="s">
        <v>952</v>
      </c>
      <c r="BD18" s="148" t="s">
        <v>823</v>
      </c>
      <c r="BE18" s="148" t="s">
        <v>943</v>
      </c>
      <c r="BF18" s="148">
        <v>324</v>
      </c>
      <c r="BG18" s="237">
        <f>'Cálculo PU'!L220</f>
        <v>1016</v>
      </c>
      <c r="BH18" s="168">
        <f t="shared" si="5"/>
        <v>-692</v>
      </c>
    </row>
    <row r="19" spans="2:60">
      <c r="B19" s="226">
        <v>3685</v>
      </c>
      <c r="C19" s="227">
        <v>43374</v>
      </c>
      <c r="D19" s="227">
        <v>43871</v>
      </c>
      <c r="E19" s="227" t="s">
        <v>952</v>
      </c>
      <c r="F19" s="227" t="s">
        <v>823</v>
      </c>
      <c r="G19" s="227" t="s">
        <v>953</v>
      </c>
      <c r="H19" s="227">
        <v>427.94825222937402</v>
      </c>
      <c r="I19" s="232">
        <f>'Cálculo PU'!V221</f>
        <v>364.93923608040348</v>
      </c>
      <c r="J19" s="235">
        <f t="shared" si="0"/>
        <v>-63.009016148970545</v>
      </c>
      <c r="L19" s="147">
        <v>3684</v>
      </c>
      <c r="M19" s="156">
        <v>43374</v>
      </c>
      <c r="N19" s="156">
        <v>43871</v>
      </c>
      <c r="O19" s="148" t="s">
        <v>952</v>
      </c>
      <c r="P19" s="148" t="s">
        <v>823</v>
      </c>
      <c r="Q19" s="148" t="s">
        <v>827</v>
      </c>
      <c r="R19" s="148">
        <v>1.0344883953399999</v>
      </c>
      <c r="S19" s="148">
        <f>'Cálculo PU'!O221</f>
        <v>1.1070745564537186</v>
      </c>
      <c r="T19" s="168">
        <f t="shared" si="1"/>
        <v>-7.2586161113718628E-2</v>
      </c>
      <c r="V19" s="147">
        <v>3672</v>
      </c>
      <c r="W19" s="156">
        <v>43374</v>
      </c>
      <c r="X19" s="156">
        <v>43871</v>
      </c>
      <c r="Y19" s="148" t="s">
        <v>952</v>
      </c>
      <c r="Z19" s="148" t="s">
        <v>823</v>
      </c>
      <c r="AA19" s="148" t="s">
        <v>954</v>
      </c>
      <c r="AB19" s="232">
        <v>442.70750073732302</v>
      </c>
      <c r="AC19" s="232">
        <f>'Cálculo PU'!U221</f>
        <v>404.01494291627154</v>
      </c>
      <c r="AD19" s="168">
        <f t="shared" si="2"/>
        <v>38.69255782105148</v>
      </c>
      <c r="AF19" s="147">
        <v>3662</v>
      </c>
      <c r="AG19" s="156">
        <v>43374</v>
      </c>
      <c r="AH19" s="156">
        <v>43871</v>
      </c>
      <c r="AI19" s="148" t="s">
        <v>952</v>
      </c>
      <c r="AJ19" s="148" t="s">
        <v>823</v>
      </c>
      <c r="AK19" s="148" t="s">
        <v>956</v>
      </c>
      <c r="AL19" s="232">
        <v>494.64184809247303</v>
      </c>
      <c r="AM19" s="232">
        <f>'Cálculo PU'!T221</f>
        <v>760.16509865212117</v>
      </c>
      <c r="AN19" s="168">
        <f t="shared" si="3"/>
        <v>-265.52325055964815</v>
      </c>
      <c r="AP19" s="147">
        <v>3670</v>
      </c>
      <c r="AQ19" s="156">
        <v>43374</v>
      </c>
      <c r="AR19" s="156">
        <v>43871</v>
      </c>
      <c r="AS19" s="148" t="s">
        <v>952</v>
      </c>
      <c r="AT19" s="148" t="s">
        <v>823</v>
      </c>
      <c r="AU19" s="148" t="s">
        <v>942</v>
      </c>
      <c r="AV19" s="232">
        <v>8.4142196899999995</v>
      </c>
      <c r="AW19" s="232">
        <f>'Cálculo PU'!Q221</f>
        <v>16.5854</v>
      </c>
      <c r="AX19" s="168">
        <f t="shared" si="4"/>
        <v>-8.1711803100000004</v>
      </c>
      <c r="AZ19" s="147">
        <v>3671</v>
      </c>
      <c r="BA19" s="156">
        <v>43374</v>
      </c>
      <c r="BB19" s="156">
        <v>43871</v>
      </c>
      <c r="BC19" s="148" t="s">
        <v>952</v>
      </c>
      <c r="BD19" s="148" t="s">
        <v>823</v>
      </c>
      <c r="BE19" s="148" t="s">
        <v>943</v>
      </c>
      <c r="BF19" s="148">
        <v>346</v>
      </c>
      <c r="BG19" s="237">
        <f>'Cálculo PU'!L221</f>
        <v>1038</v>
      </c>
      <c r="BH19" s="168">
        <f t="shared" si="5"/>
        <v>-692</v>
      </c>
    </row>
    <row r="20" spans="2:60">
      <c r="B20" s="226">
        <v>3724</v>
      </c>
      <c r="C20" s="227">
        <v>43374</v>
      </c>
      <c r="D20" s="227">
        <v>43899</v>
      </c>
      <c r="E20" s="227" t="s">
        <v>952</v>
      </c>
      <c r="F20" s="227" t="s">
        <v>823</v>
      </c>
      <c r="G20" s="227" t="s">
        <v>953</v>
      </c>
      <c r="H20" s="227">
        <v>342.25829641317603</v>
      </c>
      <c r="I20" s="232">
        <f>'Cálculo PU'!V222</f>
        <v>290.67341447306592</v>
      </c>
      <c r="J20" s="235">
        <f t="shared" si="0"/>
        <v>-51.584881940110108</v>
      </c>
      <c r="L20" s="147">
        <v>3723</v>
      </c>
      <c r="M20" s="156">
        <v>43374</v>
      </c>
      <c r="N20" s="156">
        <v>43899</v>
      </c>
      <c r="O20" s="148" t="s">
        <v>952</v>
      </c>
      <c r="P20" s="148" t="s">
        <v>823</v>
      </c>
      <c r="Q20" s="148" t="s">
        <v>827</v>
      </c>
      <c r="R20" s="148">
        <v>1.036314789437</v>
      </c>
      <c r="S20" s="148">
        <f>'Cálculo PU'!O222</f>
        <v>1.1090291017572376</v>
      </c>
      <c r="T20" s="168">
        <f t="shared" si="1"/>
        <v>-7.2714312320237617E-2</v>
      </c>
      <c r="V20" s="147">
        <v>3711</v>
      </c>
      <c r="W20" s="156">
        <v>43374</v>
      </c>
      <c r="X20" s="156">
        <v>43899</v>
      </c>
      <c r="Y20" s="148" t="s">
        <v>952</v>
      </c>
      <c r="Z20" s="148" t="s">
        <v>823</v>
      </c>
      <c r="AA20" s="148" t="s">
        <v>954</v>
      </c>
      <c r="AB20" s="232">
        <v>354.68733438048702</v>
      </c>
      <c r="AC20" s="232">
        <f>'Cálculo PU'!U222</f>
        <v>322.36527575777353</v>
      </c>
      <c r="AD20" s="168">
        <f t="shared" si="2"/>
        <v>32.322058622713485</v>
      </c>
      <c r="AF20" s="147">
        <v>3701</v>
      </c>
      <c r="AG20" s="156">
        <v>43374</v>
      </c>
      <c r="AH20" s="156">
        <v>43899</v>
      </c>
      <c r="AI20" s="148" t="s">
        <v>952</v>
      </c>
      <c r="AJ20" s="148" t="s">
        <v>823</v>
      </c>
      <c r="AK20" s="148" t="s">
        <v>956</v>
      </c>
      <c r="AL20" s="232">
        <v>399.05499718031302</v>
      </c>
      <c r="AM20" s="232">
        <f>'Cálculo PU'!T222</f>
        <v>613.01450230665125</v>
      </c>
      <c r="AN20" s="168">
        <f t="shared" si="3"/>
        <v>-213.95950512633823</v>
      </c>
      <c r="AP20" s="147">
        <v>3709</v>
      </c>
      <c r="AQ20" s="156">
        <v>43374</v>
      </c>
      <c r="AR20" s="156">
        <v>43899</v>
      </c>
      <c r="AS20" s="148" t="s">
        <v>952</v>
      </c>
      <c r="AT20" s="148" t="s">
        <v>823</v>
      </c>
      <c r="AU20" s="148" t="s">
        <v>942</v>
      </c>
      <c r="AV20" s="232">
        <v>8.5018653400000002</v>
      </c>
      <c r="AW20" s="232">
        <f>'Cálculo PU'!Q222</f>
        <v>16.575900000000001</v>
      </c>
      <c r="AX20" s="168">
        <f t="shared" si="4"/>
        <v>-8.0740346600000006</v>
      </c>
      <c r="AZ20" s="147">
        <v>3710</v>
      </c>
      <c r="BA20" s="156">
        <v>43374</v>
      </c>
      <c r="BB20" s="156">
        <v>43899</v>
      </c>
      <c r="BC20" s="148" t="s">
        <v>952</v>
      </c>
      <c r="BD20" s="148" t="s">
        <v>823</v>
      </c>
      <c r="BE20" s="148" t="s">
        <v>943</v>
      </c>
      <c r="BF20" s="148">
        <v>364</v>
      </c>
      <c r="BG20" s="237">
        <f>'Cálculo PU'!L222</f>
        <v>1056</v>
      </c>
      <c r="BH20" s="168">
        <f t="shared" si="5"/>
        <v>-692</v>
      </c>
    </row>
    <row r="21" spans="2:60">
      <c r="B21" s="226">
        <v>3763</v>
      </c>
      <c r="C21" s="227">
        <v>43374</v>
      </c>
      <c r="D21" s="227">
        <v>43930</v>
      </c>
      <c r="E21" s="227" t="s">
        <v>952</v>
      </c>
      <c r="F21" s="227" t="s">
        <v>823</v>
      </c>
      <c r="G21" s="227" t="s">
        <v>953</v>
      </c>
      <c r="H21" s="227">
        <v>434.93680928961498</v>
      </c>
      <c r="I21" s="232">
        <f>'Cálculo PU'!V223</f>
        <v>361.38257941339219</v>
      </c>
      <c r="J21" s="235">
        <f t="shared" si="0"/>
        <v>-73.554229876222792</v>
      </c>
      <c r="L21" s="147">
        <v>3762</v>
      </c>
      <c r="M21" s="156">
        <v>43374</v>
      </c>
      <c r="N21" s="156">
        <v>43930</v>
      </c>
      <c r="O21" s="148" t="s">
        <v>952</v>
      </c>
      <c r="P21" s="148" t="s">
        <v>823</v>
      </c>
      <c r="Q21" s="148" t="s">
        <v>827</v>
      </c>
      <c r="R21" s="148">
        <v>1.038551428421</v>
      </c>
      <c r="S21" s="148">
        <f>'Cálculo PU'!O223</f>
        <v>1.1114226772899296</v>
      </c>
      <c r="T21" s="168">
        <f t="shared" si="1"/>
        <v>-7.2871248868929595E-2</v>
      </c>
      <c r="V21" s="147">
        <v>3750</v>
      </c>
      <c r="W21" s="156">
        <v>43374</v>
      </c>
      <c r="X21" s="156">
        <v>43930</v>
      </c>
      <c r="Y21" s="148" t="s">
        <v>952</v>
      </c>
      <c r="Z21" s="148" t="s">
        <v>823</v>
      </c>
      <c r="AA21" s="148" t="s">
        <v>954</v>
      </c>
      <c r="AB21" s="232">
        <v>451.70424456060198</v>
      </c>
      <c r="AC21" s="232">
        <f>'Cálculo PU'!U223</f>
        <v>401.64879393757292</v>
      </c>
      <c r="AD21" s="168">
        <f t="shared" si="2"/>
        <v>50.05545062302906</v>
      </c>
      <c r="AF21" s="147">
        <v>3740</v>
      </c>
      <c r="AG21" s="156">
        <v>43374</v>
      </c>
      <c r="AH21" s="156">
        <v>43930</v>
      </c>
      <c r="AI21" s="148" t="s">
        <v>952</v>
      </c>
      <c r="AJ21" s="148" t="s">
        <v>823</v>
      </c>
      <c r="AK21" s="148" t="s">
        <v>956</v>
      </c>
      <c r="AL21" s="232">
        <v>512.659875067077</v>
      </c>
      <c r="AM21" s="232">
        <f>'Cálculo PU'!T223</f>
        <v>773.76148697468057</v>
      </c>
      <c r="AN21" s="168">
        <f t="shared" si="3"/>
        <v>-261.10161190760357</v>
      </c>
      <c r="AP21" s="147">
        <v>3748</v>
      </c>
      <c r="AQ21" s="156">
        <v>43374</v>
      </c>
      <c r="AR21" s="156">
        <v>43930</v>
      </c>
      <c r="AS21" s="148" t="s">
        <v>952</v>
      </c>
      <c r="AT21" s="148" t="s">
        <v>823</v>
      </c>
      <c r="AU21" s="148" t="s">
        <v>942</v>
      </c>
      <c r="AV21" s="232">
        <v>8.6151774900000007</v>
      </c>
      <c r="AW21" s="232">
        <f>'Cálculo PU'!Q223</f>
        <v>16.564800000000002</v>
      </c>
      <c r="AX21" s="168">
        <f t="shared" si="4"/>
        <v>-7.9496225100000011</v>
      </c>
      <c r="AZ21" s="147">
        <v>3749</v>
      </c>
      <c r="BA21" s="156">
        <v>43374</v>
      </c>
      <c r="BB21" s="156">
        <v>43930</v>
      </c>
      <c r="BC21" s="148" t="s">
        <v>952</v>
      </c>
      <c r="BD21" s="148" t="s">
        <v>823</v>
      </c>
      <c r="BE21" s="148" t="s">
        <v>943</v>
      </c>
      <c r="BF21" s="148">
        <v>386</v>
      </c>
      <c r="BG21" s="237">
        <f>'Cálculo PU'!L223</f>
        <v>1078</v>
      </c>
      <c r="BH21" s="168">
        <f t="shared" si="5"/>
        <v>-692</v>
      </c>
    </row>
    <row r="22" spans="2:60">
      <c r="B22" s="226">
        <v>3802</v>
      </c>
      <c r="C22" s="227">
        <v>43374</v>
      </c>
      <c r="D22" s="227">
        <v>43962</v>
      </c>
      <c r="E22" s="227" t="s">
        <v>952</v>
      </c>
      <c r="F22" s="227" t="s">
        <v>823</v>
      </c>
      <c r="G22" s="227" t="s">
        <v>953</v>
      </c>
      <c r="H22" s="227">
        <v>368.52664498132202</v>
      </c>
      <c r="I22" s="232">
        <f>'Cálculo PU'!V224</f>
        <v>290.21227560975393</v>
      </c>
      <c r="J22" s="235">
        <f t="shared" si="0"/>
        <v>-78.314369371568091</v>
      </c>
      <c r="L22" s="147">
        <v>3801</v>
      </c>
      <c r="M22" s="156">
        <v>43374</v>
      </c>
      <c r="N22" s="156">
        <v>43962</v>
      </c>
      <c r="O22" s="148" t="s">
        <v>952</v>
      </c>
      <c r="P22" s="148" t="s">
        <v>823</v>
      </c>
      <c r="Q22" s="148" t="s">
        <v>827</v>
      </c>
      <c r="R22" s="148">
        <v>1.040588925255</v>
      </c>
      <c r="S22" s="148">
        <f>'Cálculo PU'!O224</f>
        <v>1.1136031376147728</v>
      </c>
      <c r="T22" s="168">
        <f t="shared" si="1"/>
        <v>-7.301421235977279E-2</v>
      </c>
      <c r="V22" s="147">
        <v>3789</v>
      </c>
      <c r="W22" s="156">
        <v>43374</v>
      </c>
      <c r="X22" s="156">
        <v>43962</v>
      </c>
      <c r="Y22" s="148" t="s">
        <v>952</v>
      </c>
      <c r="Z22" s="148" t="s">
        <v>823</v>
      </c>
      <c r="AA22" s="148" t="s">
        <v>954</v>
      </c>
      <c r="AB22" s="232">
        <v>383.48474542894502</v>
      </c>
      <c r="AC22" s="232">
        <f>'Cálculo PU'!U224</f>
        <v>323.18130069334518</v>
      </c>
      <c r="AD22" s="168">
        <f t="shared" si="2"/>
        <v>60.30344473559984</v>
      </c>
      <c r="AF22" s="147">
        <v>3779</v>
      </c>
      <c r="AG22" s="156">
        <v>43374</v>
      </c>
      <c r="AH22" s="156">
        <v>43962</v>
      </c>
      <c r="AI22" s="148" t="s">
        <v>952</v>
      </c>
      <c r="AJ22" s="148" t="s">
        <v>823</v>
      </c>
      <c r="AK22" s="148" t="s">
        <v>956</v>
      </c>
      <c r="AL22" s="232">
        <v>438.83915980308097</v>
      </c>
      <c r="AM22" s="232">
        <f>'Cálculo PU'!T224</f>
        <v>629.98599971541694</v>
      </c>
      <c r="AN22" s="168">
        <f t="shared" si="3"/>
        <v>-191.14683991233596</v>
      </c>
      <c r="AP22" s="147">
        <v>3787</v>
      </c>
      <c r="AQ22" s="156">
        <v>43374</v>
      </c>
      <c r="AR22" s="156">
        <v>43962</v>
      </c>
      <c r="AS22" s="148" t="s">
        <v>952</v>
      </c>
      <c r="AT22" s="148" t="s">
        <v>823</v>
      </c>
      <c r="AU22" s="148" t="s">
        <v>942</v>
      </c>
      <c r="AV22" s="232">
        <v>8.7291265300000003</v>
      </c>
      <c r="AW22" s="232">
        <f>'Cálculo PU'!Q224</f>
        <v>16.555</v>
      </c>
      <c r="AX22" s="168">
        <f t="shared" si="4"/>
        <v>-7.8258734699999994</v>
      </c>
      <c r="AZ22" s="147">
        <v>3788</v>
      </c>
      <c r="BA22" s="156">
        <v>43374</v>
      </c>
      <c r="BB22" s="156">
        <v>43962</v>
      </c>
      <c r="BC22" s="148" t="s">
        <v>952</v>
      </c>
      <c r="BD22" s="148" t="s">
        <v>823</v>
      </c>
      <c r="BE22" s="148" t="s">
        <v>943</v>
      </c>
      <c r="BF22" s="148">
        <v>406</v>
      </c>
      <c r="BG22" s="237">
        <f>'Cálculo PU'!L224</f>
        <v>1098</v>
      </c>
      <c r="BH22" s="168">
        <f t="shared" si="5"/>
        <v>-692</v>
      </c>
    </row>
    <row r="23" spans="2:60">
      <c r="B23" s="226">
        <v>3841</v>
      </c>
      <c r="C23" s="227">
        <v>43374</v>
      </c>
      <c r="D23" s="227">
        <v>43991</v>
      </c>
      <c r="E23" s="227" t="s">
        <v>952</v>
      </c>
      <c r="F23" s="227" t="s">
        <v>823</v>
      </c>
      <c r="G23" s="227" t="s">
        <v>953</v>
      </c>
      <c r="H23" s="227">
        <v>397.89833587985601</v>
      </c>
      <c r="I23" s="232">
        <f>'Cálculo PU'!V225</f>
        <v>312.28744680754227</v>
      </c>
      <c r="J23" s="235">
        <f t="shared" si="0"/>
        <v>-85.610889072313739</v>
      </c>
      <c r="L23" s="147">
        <v>3840</v>
      </c>
      <c r="M23" s="156">
        <v>43374</v>
      </c>
      <c r="N23" s="156">
        <v>43991</v>
      </c>
      <c r="O23" s="148" t="s">
        <v>952</v>
      </c>
      <c r="P23" s="148" t="s">
        <v>823</v>
      </c>
      <c r="Q23" s="148" t="s">
        <v>827</v>
      </c>
      <c r="R23" s="148">
        <v>1.04263041938</v>
      </c>
      <c r="S23" s="148">
        <f>'Cálculo PU'!O225</f>
        <v>1.1157878757065947</v>
      </c>
      <c r="T23" s="168">
        <f t="shared" si="1"/>
        <v>-7.315745632659465E-2</v>
      </c>
      <c r="V23" s="147">
        <v>3828</v>
      </c>
      <c r="W23" s="156">
        <v>43374</v>
      </c>
      <c r="X23" s="156">
        <v>43991</v>
      </c>
      <c r="Y23" s="148" t="s">
        <v>952</v>
      </c>
      <c r="Z23" s="148" t="s">
        <v>823</v>
      </c>
      <c r="AA23" s="148" t="s">
        <v>954</v>
      </c>
      <c r="AB23" s="232">
        <v>414.86090880901799</v>
      </c>
      <c r="AC23" s="232">
        <f>'Cálculo PU'!U225</f>
        <v>348.44654688322373</v>
      </c>
      <c r="AD23" s="168">
        <f t="shared" si="2"/>
        <v>66.414361925794253</v>
      </c>
      <c r="AF23" s="147">
        <v>3818</v>
      </c>
      <c r="AG23" s="156">
        <v>43374</v>
      </c>
      <c r="AH23" s="156">
        <v>43991</v>
      </c>
      <c r="AI23" s="148" t="s">
        <v>952</v>
      </c>
      <c r="AJ23" s="148" t="s">
        <v>823</v>
      </c>
      <c r="AK23" s="148" t="s">
        <v>956</v>
      </c>
      <c r="AL23" s="232">
        <v>478.67629683310003</v>
      </c>
      <c r="AM23" s="232">
        <f>'Cálculo PU'!T225</f>
        <v>687.29893894551049</v>
      </c>
      <c r="AN23" s="168">
        <f t="shared" si="3"/>
        <v>-208.62264211241046</v>
      </c>
      <c r="AP23" s="147">
        <v>3826</v>
      </c>
      <c r="AQ23" s="156">
        <v>43374</v>
      </c>
      <c r="AR23" s="156">
        <v>43991</v>
      </c>
      <c r="AS23" s="148" t="s">
        <v>952</v>
      </c>
      <c r="AT23" s="148" t="s">
        <v>823</v>
      </c>
      <c r="AU23" s="148" t="s">
        <v>942</v>
      </c>
      <c r="AV23" s="232">
        <v>8.8324793600000007</v>
      </c>
      <c r="AW23" s="232">
        <f>'Cálculo PU'!Q225</f>
        <v>16.5456</v>
      </c>
      <c r="AX23" s="168">
        <f t="shared" si="4"/>
        <v>-7.7131206399999996</v>
      </c>
      <c r="AZ23" s="147">
        <v>3827</v>
      </c>
      <c r="BA23" s="156">
        <v>43374</v>
      </c>
      <c r="BB23" s="156">
        <v>43991</v>
      </c>
      <c r="BC23" s="148" t="s">
        <v>952</v>
      </c>
      <c r="BD23" s="148" t="s">
        <v>823</v>
      </c>
      <c r="BE23" s="148" t="s">
        <v>943</v>
      </c>
      <c r="BF23" s="148">
        <v>426</v>
      </c>
      <c r="BG23" s="237">
        <f>'Cálculo PU'!L225</f>
        <v>1118</v>
      </c>
      <c r="BH23" s="168">
        <f t="shared" si="5"/>
        <v>-692</v>
      </c>
    </row>
    <row r="24" spans="2:60">
      <c r="B24" s="226">
        <v>3880</v>
      </c>
      <c r="C24" s="227">
        <v>43374</v>
      </c>
      <c r="D24" s="227">
        <v>44020</v>
      </c>
      <c r="E24" s="227" t="s">
        <v>952</v>
      </c>
      <c r="F24" s="227" t="s">
        <v>823</v>
      </c>
      <c r="G24" s="227" t="s">
        <v>953</v>
      </c>
      <c r="H24" s="227">
        <v>373.228553589814</v>
      </c>
      <c r="I24" s="232">
        <f>'Cálculo PU'!V226</f>
        <v>289.06754461153503</v>
      </c>
      <c r="J24" s="235">
        <f t="shared" si="0"/>
        <v>-84.161008978278971</v>
      </c>
      <c r="L24" s="147">
        <v>3879</v>
      </c>
      <c r="M24" s="156">
        <v>43374</v>
      </c>
      <c r="N24" s="156">
        <v>44020</v>
      </c>
      <c r="O24" s="148" t="s">
        <v>952</v>
      </c>
      <c r="P24" s="148" t="s">
        <v>823</v>
      </c>
      <c r="Q24" s="148" t="s">
        <v>827</v>
      </c>
      <c r="R24" s="148">
        <v>1.044778298877</v>
      </c>
      <c r="S24" s="148">
        <f>'Cálculo PU'!O226</f>
        <v>1.1180864638328003</v>
      </c>
      <c r="T24" s="168">
        <f t="shared" si="1"/>
        <v>-7.3308164955800281E-2</v>
      </c>
      <c r="V24" s="147">
        <v>3867</v>
      </c>
      <c r="W24" s="156">
        <v>43374</v>
      </c>
      <c r="X24" s="156">
        <v>44020</v>
      </c>
      <c r="Y24" s="148" t="s">
        <v>952</v>
      </c>
      <c r="Z24" s="148" t="s">
        <v>823</v>
      </c>
      <c r="AA24" s="148" t="s">
        <v>954</v>
      </c>
      <c r="AB24" s="232">
        <v>389.94109331188901</v>
      </c>
      <c r="AC24" s="232">
        <f>'Cálculo PU'!U226</f>
        <v>323.20250876354146</v>
      </c>
      <c r="AD24" s="168">
        <f t="shared" si="2"/>
        <v>66.738584548347546</v>
      </c>
      <c r="AF24" s="147">
        <v>3857</v>
      </c>
      <c r="AG24" s="156">
        <v>43374</v>
      </c>
      <c r="AH24" s="156">
        <v>44020</v>
      </c>
      <c r="AI24" s="148" t="s">
        <v>952</v>
      </c>
      <c r="AJ24" s="148" t="s">
        <v>823</v>
      </c>
      <c r="AK24" s="148" t="s">
        <v>956</v>
      </c>
      <c r="AL24" s="232">
        <v>453.90074514352199</v>
      </c>
      <c r="AM24" s="232">
        <f>'Cálculo PU'!T226</f>
        <v>645.45436628506627</v>
      </c>
      <c r="AN24" s="168">
        <f t="shared" si="3"/>
        <v>-191.55362114154428</v>
      </c>
      <c r="AP24" s="147">
        <v>3865</v>
      </c>
      <c r="AQ24" s="156">
        <v>43374</v>
      </c>
      <c r="AR24" s="156">
        <v>44020</v>
      </c>
      <c r="AS24" s="148" t="s">
        <v>952</v>
      </c>
      <c r="AT24" s="148" t="s">
        <v>823</v>
      </c>
      <c r="AU24" s="148" t="s">
        <v>942</v>
      </c>
      <c r="AV24" s="232">
        <v>8.9397988999999995</v>
      </c>
      <c r="AW24" s="232">
        <f>'Cálculo PU'!Q226</f>
        <v>16.536100000000001</v>
      </c>
      <c r="AX24" s="168">
        <f t="shared" si="4"/>
        <v>-7.5963011000000016</v>
      </c>
      <c r="AZ24" s="147">
        <v>3866</v>
      </c>
      <c r="BA24" s="156">
        <v>43374</v>
      </c>
      <c r="BB24" s="156">
        <v>44020</v>
      </c>
      <c r="BC24" s="148" t="s">
        <v>952</v>
      </c>
      <c r="BD24" s="148" t="s">
        <v>823</v>
      </c>
      <c r="BE24" s="148" t="s">
        <v>943</v>
      </c>
      <c r="BF24" s="148">
        <v>447</v>
      </c>
      <c r="BG24" s="237">
        <f>'Cálculo PU'!L226</f>
        <v>1139</v>
      </c>
      <c r="BH24" s="168">
        <f t="shared" si="5"/>
        <v>-692</v>
      </c>
    </row>
    <row r="25" spans="2:60">
      <c r="B25" s="226">
        <v>3919</v>
      </c>
      <c r="C25" s="227">
        <v>43374</v>
      </c>
      <c r="D25" s="227">
        <v>44053</v>
      </c>
      <c r="E25" s="227" t="s">
        <v>952</v>
      </c>
      <c r="F25" s="227" t="s">
        <v>823</v>
      </c>
      <c r="G25" s="227" t="s">
        <v>953</v>
      </c>
      <c r="H25" s="227">
        <v>430.469438618276</v>
      </c>
      <c r="I25" s="232">
        <f>'Cálculo PU'!V227</f>
        <v>323.00224846351801</v>
      </c>
      <c r="J25" s="235">
        <f t="shared" si="0"/>
        <v>-107.46719015475799</v>
      </c>
      <c r="L25" s="147">
        <v>3918</v>
      </c>
      <c r="M25" s="156">
        <v>43374</v>
      </c>
      <c r="N25" s="156">
        <v>44053</v>
      </c>
      <c r="O25" s="148" t="s">
        <v>952</v>
      </c>
      <c r="P25" s="148" t="s">
        <v>823</v>
      </c>
      <c r="Q25" s="148" t="s">
        <v>827</v>
      </c>
      <c r="R25" s="148">
        <v>1.047135815591</v>
      </c>
      <c r="S25" s="148">
        <f>'Cálculo PU'!O227</f>
        <v>1.1206093986304471</v>
      </c>
      <c r="T25" s="168">
        <f t="shared" si="1"/>
        <v>-7.3473583039447066E-2</v>
      </c>
      <c r="V25" s="147">
        <v>3906</v>
      </c>
      <c r="W25" s="156">
        <v>43374</v>
      </c>
      <c r="X25" s="156">
        <v>44053</v>
      </c>
      <c r="Y25" s="148" t="s">
        <v>952</v>
      </c>
      <c r="Z25" s="148" t="s">
        <v>823</v>
      </c>
      <c r="AA25" s="148" t="s">
        <v>954</v>
      </c>
      <c r="AB25" s="232">
        <v>450.75996669454901</v>
      </c>
      <c r="AC25" s="232">
        <f>'Cálculo PU'!U227</f>
        <v>361.9593554069852</v>
      </c>
      <c r="AD25" s="168">
        <f t="shared" si="2"/>
        <v>88.800611287563811</v>
      </c>
      <c r="AF25" s="147">
        <v>3896</v>
      </c>
      <c r="AG25" s="156">
        <v>43374</v>
      </c>
      <c r="AH25" s="156">
        <v>44053</v>
      </c>
      <c r="AI25" s="148" t="s">
        <v>952</v>
      </c>
      <c r="AJ25" s="148" t="s">
        <v>823</v>
      </c>
      <c r="AK25" s="148" t="s">
        <v>956</v>
      </c>
      <c r="AL25" s="232">
        <v>529.88692312134594</v>
      </c>
      <c r="AM25" s="232">
        <f>'Cálculo PU'!T227</f>
        <v>732.7252821963649</v>
      </c>
      <c r="AN25" s="168">
        <f t="shared" si="3"/>
        <v>-202.83835907501896</v>
      </c>
      <c r="AP25" s="147">
        <v>3904</v>
      </c>
      <c r="AQ25" s="156">
        <v>43374</v>
      </c>
      <c r="AR25" s="156">
        <v>44053</v>
      </c>
      <c r="AS25" s="148" t="s">
        <v>952</v>
      </c>
      <c r="AT25" s="148" t="s">
        <v>823</v>
      </c>
      <c r="AU25" s="148" t="s">
        <v>942</v>
      </c>
      <c r="AV25" s="232">
        <v>9.0584824899999994</v>
      </c>
      <c r="AW25" s="232">
        <f>'Cálculo PU'!Q227</f>
        <v>16.5259</v>
      </c>
      <c r="AX25" s="168">
        <f t="shared" si="4"/>
        <v>-7.4674175100000006</v>
      </c>
      <c r="AZ25" s="147">
        <v>3905</v>
      </c>
      <c r="BA25" s="156">
        <v>43374</v>
      </c>
      <c r="BB25" s="156">
        <v>44053</v>
      </c>
      <c r="BC25" s="148" t="s">
        <v>952</v>
      </c>
      <c r="BD25" s="148" t="s">
        <v>823</v>
      </c>
      <c r="BE25" s="148" t="s">
        <v>943</v>
      </c>
      <c r="BF25" s="148">
        <v>470</v>
      </c>
      <c r="BG25" s="237">
        <f>'Cálculo PU'!L227</f>
        <v>1162</v>
      </c>
      <c r="BH25" s="168">
        <f t="shared" si="5"/>
        <v>-692</v>
      </c>
    </row>
    <row r="26" spans="2:60">
      <c r="B26" s="226">
        <v>3958</v>
      </c>
      <c r="C26" s="227">
        <v>43374</v>
      </c>
      <c r="D26" s="227">
        <v>44083</v>
      </c>
      <c r="E26" s="227" t="s">
        <v>952</v>
      </c>
      <c r="F26" s="227" t="s">
        <v>823</v>
      </c>
      <c r="G26" s="227" t="s">
        <v>953</v>
      </c>
      <c r="H26" s="227">
        <v>383.38381515462902</v>
      </c>
      <c r="I26" s="232">
        <f>'Cálculo PU'!V228</f>
        <v>286.6492936467219</v>
      </c>
      <c r="J26" s="235">
        <f t="shared" si="0"/>
        <v>-96.734521507907118</v>
      </c>
      <c r="L26" s="147">
        <v>3957</v>
      </c>
      <c r="M26" s="156">
        <v>43374</v>
      </c>
      <c r="N26" s="156">
        <v>44083</v>
      </c>
      <c r="O26" s="148" t="s">
        <v>952</v>
      </c>
      <c r="P26" s="148" t="s">
        <v>823</v>
      </c>
      <c r="Q26" s="148" t="s">
        <v>827</v>
      </c>
      <c r="R26" s="148">
        <v>1.0492929764679999</v>
      </c>
      <c r="S26" s="148">
        <f>'Cálculo PU'!O228</f>
        <v>1.1229179193751944</v>
      </c>
      <c r="T26" s="168">
        <f t="shared" si="1"/>
        <v>-7.3624942907194457E-2</v>
      </c>
      <c r="V26" s="147">
        <v>3945</v>
      </c>
      <c r="W26" s="156">
        <v>43374</v>
      </c>
      <c r="X26" s="156">
        <v>44083</v>
      </c>
      <c r="Y26" s="148" t="s">
        <v>952</v>
      </c>
      <c r="Z26" s="148" t="s">
        <v>823</v>
      </c>
      <c r="AA26" s="148" t="s">
        <v>954</v>
      </c>
      <c r="AB26" s="232">
        <v>402.28194453325801</v>
      </c>
      <c r="AC26" s="232">
        <f>'Cálculo PU'!U228</f>
        <v>321.88362841214609</v>
      </c>
      <c r="AD26" s="168">
        <f t="shared" si="2"/>
        <v>80.398316121111918</v>
      </c>
      <c r="AF26" s="147">
        <v>3935</v>
      </c>
      <c r="AG26" s="156">
        <v>43374</v>
      </c>
      <c r="AH26" s="156">
        <v>44083</v>
      </c>
      <c r="AI26" s="148" t="s">
        <v>952</v>
      </c>
      <c r="AJ26" s="148" t="s">
        <v>823</v>
      </c>
      <c r="AK26" s="148" t="s">
        <v>956</v>
      </c>
      <c r="AL26" s="232">
        <v>477.16936521685102</v>
      </c>
      <c r="AM26" s="232">
        <f>'Cálculo PU'!T228</f>
        <v>659.7201385069917</v>
      </c>
      <c r="AN26" s="168">
        <f t="shared" si="3"/>
        <v>-182.55077329014068</v>
      </c>
      <c r="AP26" s="147">
        <v>3943</v>
      </c>
      <c r="AQ26" s="156">
        <v>43374</v>
      </c>
      <c r="AR26" s="156">
        <v>44083</v>
      </c>
      <c r="AS26" s="148" t="s">
        <v>952</v>
      </c>
      <c r="AT26" s="148" t="s">
        <v>823</v>
      </c>
      <c r="AU26" s="148" t="s">
        <v>942</v>
      </c>
      <c r="AV26" s="232">
        <v>9.1572334000000009</v>
      </c>
      <c r="AW26" s="232">
        <f>'Cálculo PU'!Q228</f>
        <v>16.516999999999999</v>
      </c>
      <c r="AX26" s="168">
        <f t="shared" si="4"/>
        <v>-7.3597665999999986</v>
      </c>
      <c r="AZ26" s="147">
        <v>3944</v>
      </c>
      <c r="BA26" s="156">
        <v>43374</v>
      </c>
      <c r="BB26" s="156">
        <v>44083</v>
      </c>
      <c r="BC26" s="148" t="s">
        <v>952</v>
      </c>
      <c r="BD26" s="148" t="s">
        <v>823</v>
      </c>
      <c r="BE26" s="148" t="s">
        <v>943</v>
      </c>
      <c r="BF26" s="148">
        <v>491</v>
      </c>
      <c r="BG26" s="237">
        <f>'Cálculo PU'!L228</f>
        <v>1183</v>
      </c>
      <c r="BH26" s="168">
        <f t="shared" si="5"/>
        <v>-692</v>
      </c>
    </row>
    <row r="27" spans="2:60">
      <c r="B27" s="226">
        <v>3997</v>
      </c>
      <c r="C27" s="227">
        <v>43374</v>
      </c>
      <c r="D27" s="227">
        <v>44113</v>
      </c>
      <c r="E27" s="227" t="s">
        <v>952</v>
      </c>
      <c r="F27" s="227" t="s">
        <v>823</v>
      </c>
      <c r="G27" s="227" t="s">
        <v>953</v>
      </c>
      <c r="H27" s="227">
        <v>397.52602178147498</v>
      </c>
      <c r="I27" s="232">
        <f>'Cálculo PU'!V229</f>
        <v>292.13303497678413</v>
      </c>
      <c r="J27" s="235">
        <f t="shared" si="0"/>
        <v>-105.39298680469085</v>
      </c>
      <c r="L27" s="147">
        <v>3996</v>
      </c>
      <c r="M27" s="156">
        <v>43374</v>
      </c>
      <c r="N27" s="156">
        <v>44113</v>
      </c>
      <c r="O27" s="148" t="s">
        <v>952</v>
      </c>
      <c r="P27" s="148" t="s">
        <v>823</v>
      </c>
      <c r="Q27" s="148" t="s">
        <v>827</v>
      </c>
      <c r="R27" s="148">
        <v>1.0514545812230001</v>
      </c>
      <c r="S27" s="148">
        <f>'Cálculo PU'!O229</f>
        <v>1.12523119580737</v>
      </c>
      <c r="T27" s="168">
        <f t="shared" si="1"/>
        <v>-7.3776614584369904E-2</v>
      </c>
      <c r="V27" s="147">
        <v>3984</v>
      </c>
      <c r="W27" s="156">
        <v>43374</v>
      </c>
      <c r="X27" s="156">
        <v>44113</v>
      </c>
      <c r="Y27" s="148" t="s">
        <v>952</v>
      </c>
      <c r="Z27" s="148" t="s">
        <v>823</v>
      </c>
      <c r="AA27" s="148" t="s">
        <v>954</v>
      </c>
      <c r="AB27" s="232">
        <v>417.98055675748702</v>
      </c>
      <c r="AC27" s="232">
        <f>'Cálculo PU'!U229</f>
        <v>328.71720428176303</v>
      </c>
      <c r="AD27" s="168">
        <f t="shared" si="2"/>
        <v>89.263352475723991</v>
      </c>
      <c r="AF27" s="147">
        <v>3974</v>
      </c>
      <c r="AG27" s="156">
        <v>43374</v>
      </c>
      <c r="AH27" s="156">
        <v>44113</v>
      </c>
      <c r="AI27" s="148" t="s">
        <v>952</v>
      </c>
      <c r="AJ27" s="148" t="s">
        <v>823</v>
      </c>
      <c r="AK27" s="148" t="s">
        <v>956</v>
      </c>
      <c r="AL27" s="232">
        <v>500.36916749237099</v>
      </c>
      <c r="AM27" s="232">
        <f>'Cálculo PU'!T229</f>
        <v>682.09763525025937</v>
      </c>
      <c r="AN27" s="168">
        <f t="shared" si="3"/>
        <v>-181.72846775788838</v>
      </c>
      <c r="AP27" s="147">
        <v>3982</v>
      </c>
      <c r="AQ27" s="156">
        <v>43374</v>
      </c>
      <c r="AR27" s="156">
        <v>44113</v>
      </c>
      <c r="AS27" s="148" t="s">
        <v>952</v>
      </c>
      <c r="AT27" s="148" t="s">
        <v>823</v>
      </c>
      <c r="AU27" s="148" t="s">
        <v>942</v>
      </c>
      <c r="AV27" s="232">
        <v>9.2588952399999993</v>
      </c>
      <c r="AW27" s="232">
        <f>'Cálculo PU'!Q229</f>
        <v>16.5075</v>
      </c>
      <c r="AX27" s="168">
        <f t="shared" si="4"/>
        <v>-7.248604760000001</v>
      </c>
      <c r="AZ27" s="147">
        <v>3983</v>
      </c>
      <c r="BA27" s="156">
        <v>43374</v>
      </c>
      <c r="BB27" s="156">
        <v>44113</v>
      </c>
      <c r="BC27" s="148" t="s">
        <v>952</v>
      </c>
      <c r="BD27" s="148" t="s">
        <v>823</v>
      </c>
      <c r="BE27" s="148" t="s">
        <v>943</v>
      </c>
      <c r="BF27" s="148">
        <v>512</v>
      </c>
      <c r="BG27" s="237">
        <f>'Cálculo PU'!L229</f>
        <v>1204</v>
      </c>
      <c r="BH27" s="168">
        <f t="shared" si="5"/>
        <v>-692</v>
      </c>
    </row>
    <row r="28" spans="2:60">
      <c r="B28" s="226">
        <v>4036</v>
      </c>
      <c r="C28" s="227">
        <v>43374</v>
      </c>
      <c r="D28" s="227">
        <v>44145</v>
      </c>
      <c r="E28" s="227" t="s">
        <v>952</v>
      </c>
      <c r="F28" s="227" t="s">
        <v>823</v>
      </c>
      <c r="G28" s="227" t="s">
        <v>953</v>
      </c>
      <c r="H28" s="227">
        <v>365.63897675780498</v>
      </c>
      <c r="I28" s="232">
        <f>'Cálculo PU'!V230</f>
        <v>258.19486289735374</v>
      </c>
      <c r="J28" s="235">
        <f t="shared" si="0"/>
        <v>-107.44411386045124</v>
      </c>
      <c r="L28" s="147">
        <v>4035</v>
      </c>
      <c r="M28" s="156">
        <v>43374</v>
      </c>
      <c r="N28" s="156">
        <v>44145</v>
      </c>
      <c r="O28" s="148" t="s">
        <v>952</v>
      </c>
      <c r="P28" s="148" t="s">
        <v>823</v>
      </c>
      <c r="Q28" s="148" t="s">
        <v>827</v>
      </c>
      <c r="R28" s="148">
        <v>1.0536206390089999</v>
      </c>
      <c r="S28" s="148">
        <f>'Cálculo PU'!O230</f>
        <v>1.1275492377239671</v>
      </c>
      <c r="T28" s="168">
        <f t="shared" si="1"/>
        <v>-7.3928598714967153E-2</v>
      </c>
      <c r="V28" s="147">
        <v>4023</v>
      </c>
      <c r="W28" s="156">
        <v>43374</v>
      </c>
      <c r="X28" s="156">
        <v>44145</v>
      </c>
      <c r="Y28" s="148" t="s">
        <v>952</v>
      </c>
      <c r="Z28" s="148" t="s">
        <v>823</v>
      </c>
      <c r="AA28" s="148" t="s">
        <v>954</v>
      </c>
      <c r="AB28" s="232">
        <v>385.24477233815497</v>
      </c>
      <c r="AC28" s="232">
        <f>'Cálculo PU'!U230</f>
        <v>291.12742084415538</v>
      </c>
      <c r="AD28" s="168">
        <f t="shared" si="2"/>
        <v>94.117351493999593</v>
      </c>
      <c r="AF28" s="147">
        <v>4013</v>
      </c>
      <c r="AG28" s="156">
        <v>43374</v>
      </c>
      <c r="AH28" s="156">
        <v>44145</v>
      </c>
      <c r="AI28" s="148" t="s">
        <v>952</v>
      </c>
      <c r="AJ28" s="148" t="s">
        <v>823</v>
      </c>
      <c r="AK28" s="148" t="s">
        <v>956</v>
      </c>
      <c r="AL28" s="232">
        <v>465.566147292192</v>
      </c>
      <c r="AM28" s="232">
        <f>'Cálculo PU'!T230</f>
        <v>611.57803193536154</v>
      </c>
      <c r="AN28" s="168">
        <f t="shared" si="3"/>
        <v>-146.01188464316954</v>
      </c>
      <c r="AP28" s="147">
        <v>4021</v>
      </c>
      <c r="AQ28" s="156">
        <v>43374</v>
      </c>
      <c r="AR28" s="156">
        <v>44145</v>
      </c>
      <c r="AS28" s="148" t="s">
        <v>952</v>
      </c>
      <c r="AT28" s="148" t="s">
        <v>823</v>
      </c>
      <c r="AU28" s="148" t="s">
        <v>942</v>
      </c>
      <c r="AV28" s="232">
        <v>9.3666464400000002</v>
      </c>
      <c r="AW28" s="232">
        <f>'Cálculo PU'!Q230</f>
        <v>16.497299999999999</v>
      </c>
      <c r="AX28" s="168">
        <f t="shared" si="4"/>
        <v>-7.1306535599999989</v>
      </c>
      <c r="AZ28" s="147">
        <v>4022</v>
      </c>
      <c r="BA28" s="156">
        <v>43374</v>
      </c>
      <c r="BB28" s="156">
        <v>44145</v>
      </c>
      <c r="BC28" s="148" t="s">
        <v>952</v>
      </c>
      <c r="BD28" s="148" t="s">
        <v>823</v>
      </c>
      <c r="BE28" s="148" t="s">
        <v>943</v>
      </c>
      <c r="BF28" s="148">
        <v>533</v>
      </c>
      <c r="BG28" s="237">
        <f>'Cálculo PU'!L230</f>
        <v>1225</v>
      </c>
      <c r="BH28" s="168">
        <f t="shared" si="5"/>
        <v>-692</v>
      </c>
    </row>
    <row r="29" spans="2:60">
      <c r="B29" s="226">
        <v>4075</v>
      </c>
      <c r="C29" s="227">
        <v>43374</v>
      </c>
      <c r="D29" s="227">
        <v>44173</v>
      </c>
      <c r="E29" s="227" t="s">
        <v>952</v>
      </c>
      <c r="F29" s="227" t="s">
        <v>823</v>
      </c>
      <c r="G29" s="227" t="s">
        <v>953</v>
      </c>
      <c r="H29" s="227">
        <v>356.74070656564999</v>
      </c>
      <c r="I29" s="232">
        <f>'Cálculo PU'!V231</f>
        <v>251.23147563742543</v>
      </c>
      <c r="J29" s="235">
        <f t="shared" si="0"/>
        <v>-105.50923092822455</v>
      </c>
      <c r="L29" s="147">
        <v>4074</v>
      </c>
      <c r="M29" s="156">
        <v>43374</v>
      </c>
      <c r="N29" s="156">
        <v>44173</v>
      </c>
      <c r="O29" s="148" t="s">
        <v>952</v>
      </c>
      <c r="P29" s="148" t="s">
        <v>823</v>
      </c>
      <c r="Q29" s="148" t="s">
        <v>827</v>
      </c>
      <c r="R29" s="148">
        <v>1.0556876995860001</v>
      </c>
      <c r="S29" s="148">
        <f>'Cálculo PU'!O231</f>
        <v>1.1297613361698611</v>
      </c>
      <c r="T29" s="168">
        <f t="shared" si="1"/>
        <v>-7.4073636583861013E-2</v>
      </c>
      <c r="V29" s="147">
        <v>4062</v>
      </c>
      <c r="W29" s="156">
        <v>43374</v>
      </c>
      <c r="X29" s="156">
        <v>44173</v>
      </c>
      <c r="Y29" s="148" t="s">
        <v>952</v>
      </c>
      <c r="Z29" s="148" t="s">
        <v>823</v>
      </c>
      <c r="AA29" s="148" t="s">
        <v>954</v>
      </c>
      <c r="AB29" s="232">
        <v>376.60677586297498</v>
      </c>
      <c r="AC29" s="232">
        <f>'Cálculo PU'!U231</f>
        <v>283.83160760406366</v>
      </c>
      <c r="AD29" s="168">
        <f t="shared" si="2"/>
        <v>92.775168258911322</v>
      </c>
      <c r="AF29" s="147">
        <v>4052</v>
      </c>
      <c r="AG29" s="156">
        <v>43374</v>
      </c>
      <c r="AH29" s="156">
        <v>44173</v>
      </c>
      <c r="AI29" s="148" t="s">
        <v>952</v>
      </c>
      <c r="AJ29" s="148" t="s">
        <v>823</v>
      </c>
      <c r="AK29" s="148" t="s">
        <v>956</v>
      </c>
      <c r="AL29" s="232">
        <v>459.24794911054602</v>
      </c>
      <c r="AM29" s="232">
        <f>'Cálculo PU'!T231</f>
        <v>603.27830646824384</v>
      </c>
      <c r="AN29" s="168">
        <f t="shared" si="3"/>
        <v>-144.03035735769782</v>
      </c>
      <c r="AP29" s="147">
        <v>4060</v>
      </c>
      <c r="AQ29" s="156">
        <v>43374</v>
      </c>
      <c r="AR29" s="156">
        <v>44173</v>
      </c>
      <c r="AS29" s="148" t="s">
        <v>952</v>
      </c>
      <c r="AT29" s="148" t="s">
        <v>823</v>
      </c>
      <c r="AU29" s="148" t="s">
        <v>942</v>
      </c>
      <c r="AV29" s="232">
        <v>9.4617464200000008</v>
      </c>
      <c r="AW29" s="232">
        <f>'Cálculo PU'!Q231</f>
        <v>16.4878</v>
      </c>
      <c r="AX29" s="168">
        <f t="shared" si="4"/>
        <v>-7.0260535799999992</v>
      </c>
      <c r="AZ29" s="147">
        <v>4061</v>
      </c>
      <c r="BA29" s="156">
        <v>43374</v>
      </c>
      <c r="BB29" s="156">
        <v>44173</v>
      </c>
      <c r="BC29" s="148" t="s">
        <v>952</v>
      </c>
      <c r="BD29" s="148" t="s">
        <v>823</v>
      </c>
      <c r="BE29" s="148" t="s">
        <v>943</v>
      </c>
      <c r="BF29" s="148">
        <v>553</v>
      </c>
      <c r="BG29" s="237">
        <f>'Cálculo PU'!L231</f>
        <v>1245</v>
      </c>
      <c r="BH29" s="168">
        <f t="shared" si="5"/>
        <v>-692</v>
      </c>
    </row>
    <row r="30" spans="2:60">
      <c r="B30" s="226">
        <v>4114</v>
      </c>
      <c r="C30" s="227">
        <v>43374</v>
      </c>
      <c r="D30" s="227">
        <v>44207</v>
      </c>
      <c r="E30" s="227" t="s">
        <v>952</v>
      </c>
      <c r="F30" s="227" t="s">
        <v>823</v>
      </c>
      <c r="G30" s="227" t="s">
        <v>953</v>
      </c>
      <c r="H30" s="227">
        <v>384.21453563508697</v>
      </c>
      <c r="I30" s="232">
        <f>'Cálculo PU'!V232</f>
        <v>269.16633123196203</v>
      </c>
      <c r="J30" s="235">
        <f t="shared" si="0"/>
        <v>-115.04820440312494</v>
      </c>
      <c r="L30" s="147">
        <v>4113</v>
      </c>
      <c r="M30" s="156">
        <v>43374</v>
      </c>
      <c r="N30" s="156">
        <v>44207</v>
      </c>
      <c r="O30" s="148" t="s">
        <v>952</v>
      </c>
      <c r="P30" s="148" t="s">
        <v>823</v>
      </c>
      <c r="Q30" s="148" t="s">
        <v>827</v>
      </c>
      <c r="R30" s="148">
        <v>1.05796615039</v>
      </c>
      <c r="S30" s="148">
        <f>'Cálculo PU'!O232</f>
        <v>1.1321996572993545</v>
      </c>
      <c r="T30" s="168">
        <f t="shared" si="1"/>
        <v>-7.4233506909354485E-2</v>
      </c>
      <c r="V30" s="147">
        <v>4101</v>
      </c>
      <c r="W30" s="156">
        <v>43374</v>
      </c>
      <c r="X30" s="156">
        <v>44207</v>
      </c>
      <c r="Y30" s="148" t="s">
        <v>952</v>
      </c>
      <c r="Z30" s="148" t="s">
        <v>823</v>
      </c>
      <c r="AA30" s="148" t="s">
        <v>954</v>
      </c>
      <c r="AB30" s="232">
        <v>406.48597318973401</v>
      </c>
      <c r="AC30" s="232">
        <f>'Cálculo PU'!U232</f>
        <v>304.75002797735192</v>
      </c>
      <c r="AD30" s="168">
        <f t="shared" si="2"/>
        <v>101.73594521238209</v>
      </c>
      <c r="AF30" s="147">
        <v>4091</v>
      </c>
      <c r="AG30" s="156">
        <v>43374</v>
      </c>
      <c r="AH30" s="156">
        <v>44207</v>
      </c>
      <c r="AI30" s="148" t="s">
        <v>952</v>
      </c>
      <c r="AJ30" s="148" t="s">
        <v>823</v>
      </c>
      <c r="AK30" s="148" t="s">
        <v>956</v>
      </c>
      <c r="AL30" s="232">
        <v>500.66223459186602</v>
      </c>
      <c r="AM30" s="232">
        <f>'Cálculo PU'!T232</f>
        <v>656.204198905098</v>
      </c>
      <c r="AN30" s="168">
        <f t="shared" si="3"/>
        <v>-155.54196431323197</v>
      </c>
      <c r="AP30" s="147">
        <v>4099</v>
      </c>
      <c r="AQ30" s="156">
        <v>43374</v>
      </c>
      <c r="AR30" s="156">
        <v>44207</v>
      </c>
      <c r="AS30" s="148" t="s">
        <v>952</v>
      </c>
      <c r="AT30" s="148" t="s">
        <v>823</v>
      </c>
      <c r="AU30" s="148" t="s">
        <v>942</v>
      </c>
      <c r="AV30" s="232">
        <v>9.5625896000000008</v>
      </c>
      <c r="AW30" s="232">
        <f>'Cálculo PU'!Q232</f>
        <v>16.479900000000001</v>
      </c>
      <c r="AX30" s="168">
        <f t="shared" si="4"/>
        <v>-6.9173103999999999</v>
      </c>
      <c r="AZ30" s="147">
        <v>4100</v>
      </c>
      <c r="BA30" s="156">
        <v>43374</v>
      </c>
      <c r="BB30" s="156">
        <v>44207</v>
      </c>
      <c r="BC30" s="148" t="s">
        <v>952</v>
      </c>
      <c r="BD30" s="148" t="s">
        <v>823</v>
      </c>
      <c r="BE30" s="148" t="s">
        <v>943</v>
      </c>
      <c r="BF30" s="148">
        <v>575</v>
      </c>
      <c r="BG30" s="237">
        <f>'Cálculo PU'!L232</f>
        <v>1267</v>
      </c>
      <c r="BH30" s="168">
        <f t="shared" si="5"/>
        <v>-692</v>
      </c>
    </row>
    <row r="31" spans="2:60">
      <c r="B31" s="226">
        <v>4153</v>
      </c>
      <c r="C31" s="227">
        <v>43374</v>
      </c>
      <c r="D31" s="227">
        <v>44235</v>
      </c>
      <c r="E31" s="227" t="s">
        <v>952</v>
      </c>
      <c r="F31" s="227" t="s">
        <v>823</v>
      </c>
      <c r="G31" s="227" t="s">
        <v>953</v>
      </c>
      <c r="H31" s="227">
        <v>345.33716186258602</v>
      </c>
      <c r="I31" s="232">
        <f>'Cálculo PU'!V233</f>
        <v>239.3129970565362</v>
      </c>
      <c r="J31" s="235">
        <f t="shared" si="0"/>
        <v>-106.02416480604981</v>
      </c>
      <c r="L31" s="147">
        <v>4152</v>
      </c>
      <c r="M31" s="156">
        <v>43374</v>
      </c>
      <c r="N31" s="156">
        <v>44235</v>
      </c>
      <c r="O31" s="148" t="s">
        <v>952</v>
      </c>
      <c r="P31" s="148" t="s">
        <v>823</v>
      </c>
      <c r="Q31" s="148" t="s">
        <v>827</v>
      </c>
      <c r="R31" s="148">
        <v>1.0600417362700001</v>
      </c>
      <c r="S31" s="148">
        <f>'Cálculo PU'!O233</f>
        <v>1.1344208792367743</v>
      </c>
      <c r="T31" s="168">
        <f t="shared" si="1"/>
        <v>-7.437914296677417E-2</v>
      </c>
      <c r="V31" s="147">
        <v>4140</v>
      </c>
      <c r="W31" s="156">
        <v>43374</v>
      </c>
      <c r="X31" s="156">
        <v>44235</v>
      </c>
      <c r="Y31" s="148" t="s">
        <v>952</v>
      </c>
      <c r="Z31" s="148" t="s">
        <v>823</v>
      </c>
      <c r="AA31" s="148" t="s">
        <v>954</v>
      </c>
      <c r="AB31" s="232">
        <v>366.07180465937</v>
      </c>
      <c r="AC31" s="232">
        <f>'Cálculo PU'!U233</f>
        <v>271.48166053366339</v>
      </c>
      <c r="AD31" s="168">
        <f t="shared" si="2"/>
        <v>94.590144125706615</v>
      </c>
      <c r="AF31" s="147">
        <v>4130</v>
      </c>
      <c r="AG31" s="156">
        <v>43374</v>
      </c>
      <c r="AH31" s="156">
        <v>44235</v>
      </c>
      <c r="AI31" s="148" t="s">
        <v>952</v>
      </c>
      <c r="AJ31" s="148" t="s">
        <v>823</v>
      </c>
      <c r="AK31" s="148" t="s">
        <v>956</v>
      </c>
      <c r="AL31" s="232">
        <v>455.04690570499298</v>
      </c>
      <c r="AM31" s="232">
        <f>'Cálculo PU'!T233</f>
        <v>591.57522371250934</v>
      </c>
      <c r="AN31" s="168">
        <f t="shared" si="3"/>
        <v>-136.52831800751636</v>
      </c>
      <c r="AP31" s="147">
        <v>4138</v>
      </c>
      <c r="AQ31" s="156">
        <v>43374</v>
      </c>
      <c r="AR31" s="156">
        <v>44235</v>
      </c>
      <c r="AS31" s="148" t="s">
        <v>952</v>
      </c>
      <c r="AT31" s="148" t="s">
        <v>823</v>
      </c>
      <c r="AU31" s="148" t="s">
        <v>942</v>
      </c>
      <c r="AV31" s="232">
        <v>9.65267871</v>
      </c>
      <c r="AW31" s="232">
        <f>'Cálculo PU'!Q233</f>
        <v>16.4755</v>
      </c>
      <c r="AX31" s="168">
        <f t="shared" si="4"/>
        <v>-6.8228212900000003</v>
      </c>
      <c r="AZ31" s="147">
        <v>4139</v>
      </c>
      <c r="BA31" s="156">
        <v>43374</v>
      </c>
      <c r="BB31" s="156">
        <v>44235</v>
      </c>
      <c r="BC31" s="148" t="s">
        <v>952</v>
      </c>
      <c r="BD31" s="148" t="s">
        <v>823</v>
      </c>
      <c r="BE31" s="148" t="s">
        <v>943</v>
      </c>
      <c r="BF31" s="148">
        <v>595</v>
      </c>
      <c r="BG31" s="237">
        <f>'Cálculo PU'!L233</f>
        <v>1287</v>
      </c>
      <c r="BH31" s="168">
        <f t="shared" si="5"/>
        <v>-692</v>
      </c>
    </row>
    <row r="32" spans="2:60">
      <c r="B32" s="226">
        <v>4192</v>
      </c>
      <c r="C32" s="227">
        <v>43374</v>
      </c>
      <c r="D32" s="227">
        <v>44263</v>
      </c>
      <c r="E32" s="227" t="s">
        <v>952</v>
      </c>
      <c r="F32" s="227" t="s">
        <v>823</v>
      </c>
      <c r="G32" s="227" t="s">
        <v>953</v>
      </c>
      <c r="H32" s="227">
        <v>302.99503874050203</v>
      </c>
      <c r="I32" s="232">
        <f>'Cálculo PU'!V234</f>
        <v>209.42703942341865</v>
      </c>
      <c r="J32" s="235">
        <f t="shared" si="0"/>
        <v>-93.567999317083377</v>
      </c>
      <c r="L32" s="147">
        <v>4191</v>
      </c>
      <c r="M32" s="156">
        <v>43374</v>
      </c>
      <c r="N32" s="156">
        <v>44263</v>
      </c>
      <c r="O32" s="148" t="s">
        <v>952</v>
      </c>
      <c r="P32" s="148" t="s">
        <v>823</v>
      </c>
      <c r="Q32" s="148" t="s">
        <v>827</v>
      </c>
      <c r="R32" s="148">
        <v>1.0619132449099999</v>
      </c>
      <c r="S32" s="148">
        <f>'Cálculo PU'!O234</f>
        <v>1.1364237046009744</v>
      </c>
      <c r="T32" s="168">
        <f t="shared" si="1"/>
        <v>-7.4510459690974473E-2</v>
      </c>
      <c r="V32" s="147">
        <v>4179</v>
      </c>
      <c r="W32" s="156">
        <v>43374</v>
      </c>
      <c r="X32" s="156">
        <v>44263</v>
      </c>
      <c r="Y32" s="148" t="s">
        <v>952</v>
      </c>
      <c r="Z32" s="148" t="s">
        <v>823</v>
      </c>
      <c r="AA32" s="148" t="s">
        <v>954</v>
      </c>
      <c r="AB32" s="232">
        <v>321.754444780558</v>
      </c>
      <c r="AC32" s="232">
        <f>'Cálculo PU'!U234</f>
        <v>237.99785198517574</v>
      </c>
      <c r="AD32" s="168">
        <f t="shared" si="2"/>
        <v>83.756592795382261</v>
      </c>
      <c r="AF32" s="147">
        <v>4169</v>
      </c>
      <c r="AG32" s="156">
        <v>43374</v>
      </c>
      <c r="AH32" s="156">
        <v>44263</v>
      </c>
      <c r="AI32" s="148" t="s">
        <v>952</v>
      </c>
      <c r="AJ32" s="148" t="s">
        <v>823</v>
      </c>
      <c r="AK32" s="148" t="s">
        <v>956</v>
      </c>
      <c r="AL32" s="232">
        <v>403.27935937281001</v>
      </c>
      <c r="AM32" s="232">
        <f>'Cálculo PU'!T234</f>
        <v>524.20382240276683</v>
      </c>
      <c r="AN32" s="168">
        <f t="shared" si="3"/>
        <v>-120.92446302995683</v>
      </c>
      <c r="AP32" s="147">
        <v>4177</v>
      </c>
      <c r="AQ32" s="156">
        <v>43374</v>
      </c>
      <c r="AR32" s="156">
        <v>44263</v>
      </c>
      <c r="AS32" s="148" t="s">
        <v>952</v>
      </c>
      <c r="AT32" s="148" t="s">
        <v>823</v>
      </c>
      <c r="AU32" s="148" t="s">
        <v>942</v>
      </c>
      <c r="AV32" s="232">
        <v>9.7287903999999994</v>
      </c>
      <c r="AW32" s="232">
        <f>'Cálculo PU'!Q234</f>
        <v>16.471699999999998</v>
      </c>
      <c r="AX32" s="168">
        <f t="shared" si="4"/>
        <v>-6.7429095999999991</v>
      </c>
      <c r="AZ32" s="147">
        <v>4178</v>
      </c>
      <c r="BA32" s="156">
        <v>43374</v>
      </c>
      <c r="BB32" s="156">
        <v>44263</v>
      </c>
      <c r="BC32" s="148" t="s">
        <v>952</v>
      </c>
      <c r="BD32" s="148" t="s">
        <v>823</v>
      </c>
      <c r="BE32" s="148" t="s">
        <v>943</v>
      </c>
      <c r="BF32" s="148">
        <v>613</v>
      </c>
      <c r="BG32" s="237">
        <f>'Cálculo PU'!L234</f>
        <v>1305</v>
      </c>
      <c r="BH32" s="168">
        <f t="shared" si="5"/>
        <v>-692</v>
      </c>
    </row>
    <row r="33" spans="2:60">
      <c r="B33" s="226">
        <v>4231</v>
      </c>
      <c r="C33" s="227">
        <v>43374</v>
      </c>
      <c r="D33" s="227">
        <v>44295</v>
      </c>
      <c r="E33" s="227" t="s">
        <v>952</v>
      </c>
      <c r="F33" s="227" t="s">
        <v>823</v>
      </c>
      <c r="G33" s="227" t="s">
        <v>953</v>
      </c>
      <c r="H33" s="227">
        <v>377.114764975279</v>
      </c>
      <c r="I33" s="232">
        <f>'Cálculo PU'!V235</f>
        <v>259.77531352724174</v>
      </c>
      <c r="J33" s="235">
        <f t="shared" si="0"/>
        <v>-117.33945144803727</v>
      </c>
      <c r="L33" s="147">
        <v>4230</v>
      </c>
      <c r="M33" s="156">
        <v>43374</v>
      </c>
      <c r="N33" s="156">
        <v>44295</v>
      </c>
      <c r="O33" s="148" t="s">
        <v>952</v>
      </c>
      <c r="P33" s="148" t="s">
        <v>823</v>
      </c>
      <c r="Q33" s="148" t="s">
        <v>827</v>
      </c>
      <c r="R33" s="148">
        <v>1.064309426211</v>
      </c>
      <c r="S33" s="148">
        <f>'Cálculo PU'!O235</f>
        <v>1.1389880169345483</v>
      </c>
      <c r="T33" s="168">
        <f t="shared" si="1"/>
        <v>-7.4678590723548322E-2</v>
      </c>
      <c r="V33" s="147">
        <v>4218</v>
      </c>
      <c r="W33" s="156">
        <v>43374</v>
      </c>
      <c r="X33" s="156">
        <v>44295</v>
      </c>
      <c r="Y33" s="148" t="s">
        <v>952</v>
      </c>
      <c r="Z33" s="148" t="s">
        <v>823</v>
      </c>
      <c r="AA33" s="148" t="s">
        <v>954</v>
      </c>
      <c r="AB33" s="232">
        <v>401.366799126535</v>
      </c>
      <c r="AC33" s="232">
        <f>'Cálculo PU'!U235</f>
        <v>295.88096920294362</v>
      </c>
      <c r="AD33" s="168">
        <f t="shared" si="2"/>
        <v>105.48582992359138</v>
      </c>
      <c r="AF33" s="147">
        <v>4208</v>
      </c>
      <c r="AG33" s="156">
        <v>43374</v>
      </c>
      <c r="AH33" s="156">
        <v>44295</v>
      </c>
      <c r="AI33" s="148" t="s">
        <v>952</v>
      </c>
      <c r="AJ33" s="148" t="s">
        <v>823</v>
      </c>
      <c r="AK33" s="148" t="s">
        <v>956</v>
      </c>
      <c r="AL33" s="232">
        <v>508.41361877347401</v>
      </c>
      <c r="AM33" s="232">
        <f>'Cálculo PU'!T235</f>
        <v>660.68698056259916</v>
      </c>
      <c r="AN33" s="168">
        <f t="shared" si="3"/>
        <v>-152.27336178912515</v>
      </c>
      <c r="AP33" s="147">
        <v>4216</v>
      </c>
      <c r="AQ33" s="156">
        <v>43374</v>
      </c>
      <c r="AR33" s="156">
        <v>44295</v>
      </c>
      <c r="AS33" s="148" t="s">
        <v>952</v>
      </c>
      <c r="AT33" s="148" t="s">
        <v>823</v>
      </c>
      <c r="AU33" s="148" t="s">
        <v>942</v>
      </c>
      <c r="AV33" s="232">
        <v>9.8203533099999998</v>
      </c>
      <c r="AW33" s="232">
        <f>'Cálculo PU'!Q235</f>
        <v>16.466999999999999</v>
      </c>
      <c r="AX33" s="168">
        <f t="shared" si="4"/>
        <v>-6.646646689999999</v>
      </c>
      <c r="AZ33" s="147">
        <v>4217</v>
      </c>
      <c r="BA33" s="156">
        <v>43374</v>
      </c>
      <c r="BB33" s="156">
        <v>44295</v>
      </c>
      <c r="BC33" s="148" t="s">
        <v>952</v>
      </c>
      <c r="BD33" s="148" t="s">
        <v>823</v>
      </c>
      <c r="BE33" s="148" t="s">
        <v>943</v>
      </c>
      <c r="BF33" s="148">
        <v>636</v>
      </c>
      <c r="BG33" s="237">
        <f>'Cálculo PU'!L235</f>
        <v>1328</v>
      </c>
      <c r="BH33" s="168">
        <f t="shared" si="5"/>
        <v>-692</v>
      </c>
    </row>
    <row r="34" spans="2:60">
      <c r="B34" s="226">
        <v>4270</v>
      </c>
      <c r="C34" s="227">
        <v>43374</v>
      </c>
      <c r="D34" s="227">
        <v>44326</v>
      </c>
      <c r="E34" s="227" t="s">
        <v>952</v>
      </c>
      <c r="F34" s="227" t="s">
        <v>823</v>
      </c>
      <c r="G34" s="227" t="s">
        <v>953</v>
      </c>
      <c r="H34" s="227">
        <v>320.01748487139798</v>
      </c>
      <c r="I34" s="232">
        <f>'Cálculo PU'!V236</f>
        <v>219.32356089253975</v>
      </c>
      <c r="J34" s="235">
        <f t="shared" si="0"/>
        <v>-100.69392397885824</v>
      </c>
      <c r="L34" s="147">
        <v>4269</v>
      </c>
      <c r="M34" s="156">
        <v>43374</v>
      </c>
      <c r="N34" s="156">
        <v>44326</v>
      </c>
      <c r="O34" s="148" t="s">
        <v>952</v>
      </c>
      <c r="P34" s="148" t="s">
        <v>823</v>
      </c>
      <c r="Q34" s="148" t="s">
        <v>827</v>
      </c>
      <c r="R34" s="148">
        <v>1.066397456737</v>
      </c>
      <c r="S34" s="148">
        <f>'Cálculo PU'!O236</f>
        <v>1.1412225567114884</v>
      </c>
      <c r="T34" s="168">
        <f t="shared" si="1"/>
        <v>-7.4825099974488385E-2</v>
      </c>
      <c r="V34" s="147">
        <v>4257</v>
      </c>
      <c r="W34" s="156">
        <v>43374</v>
      </c>
      <c r="X34" s="156">
        <v>44326</v>
      </c>
      <c r="Y34" s="148" t="s">
        <v>952</v>
      </c>
      <c r="Z34" s="148" t="s">
        <v>823</v>
      </c>
      <c r="AA34" s="148" t="s">
        <v>954</v>
      </c>
      <c r="AB34" s="232">
        <v>341.26583197822998</v>
      </c>
      <c r="AC34" s="232">
        <f>'Cálculo PU'!U236</f>
        <v>250.29699490885201</v>
      </c>
      <c r="AD34" s="168">
        <f t="shared" si="2"/>
        <v>90.968837069377969</v>
      </c>
      <c r="AF34" s="147">
        <v>4247</v>
      </c>
      <c r="AG34" s="156">
        <v>43374</v>
      </c>
      <c r="AH34" s="156">
        <v>44326</v>
      </c>
      <c r="AI34" s="148" t="s">
        <v>952</v>
      </c>
      <c r="AJ34" s="148" t="s">
        <v>823</v>
      </c>
      <c r="AK34" s="148" t="s">
        <v>956</v>
      </c>
      <c r="AL34" s="232">
        <v>436.28516870921999</v>
      </c>
      <c r="AM34" s="232">
        <f>'Cálculo PU'!T236</f>
        <v>565.59916673055397</v>
      </c>
      <c r="AN34" s="168">
        <f t="shared" si="3"/>
        <v>-129.31399802133399</v>
      </c>
      <c r="AP34" s="147">
        <v>4255</v>
      </c>
      <c r="AQ34" s="156">
        <v>43374</v>
      </c>
      <c r="AR34" s="156">
        <v>44326</v>
      </c>
      <c r="AS34" s="148" t="s">
        <v>952</v>
      </c>
      <c r="AT34" s="148" t="s">
        <v>823</v>
      </c>
      <c r="AU34" s="148" t="s">
        <v>942</v>
      </c>
      <c r="AV34" s="232">
        <v>9.8954788300000001</v>
      </c>
      <c r="AW34" s="232">
        <f>'Cálculo PU'!Q236</f>
        <v>16.463000000000001</v>
      </c>
      <c r="AX34" s="168">
        <f t="shared" si="4"/>
        <v>-6.5675211700000009</v>
      </c>
      <c r="AZ34" s="147">
        <v>4256</v>
      </c>
      <c r="BA34" s="156">
        <v>43374</v>
      </c>
      <c r="BB34" s="156">
        <v>44326</v>
      </c>
      <c r="BC34" s="148" t="s">
        <v>952</v>
      </c>
      <c r="BD34" s="148" t="s">
        <v>823</v>
      </c>
      <c r="BE34" s="148" t="s">
        <v>943</v>
      </c>
      <c r="BF34" s="148">
        <v>656</v>
      </c>
      <c r="BG34" s="237">
        <f>'Cálculo PU'!L236</f>
        <v>1348</v>
      </c>
      <c r="BH34" s="168">
        <f t="shared" si="5"/>
        <v>-692</v>
      </c>
    </row>
    <row r="35" spans="2:60">
      <c r="B35" s="226">
        <v>4309</v>
      </c>
      <c r="C35" s="227">
        <v>43374</v>
      </c>
      <c r="D35" s="227">
        <v>44356</v>
      </c>
      <c r="E35" s="227" t="s">
        <v>952</v>
      </c>
      <c r="F35" s="227" t="s">
        <v>823</v>
      </c>
      <c r="G35" s="227" t="s">
        <v>953</v>
      </c>
      <c r="H35" s="227">
        <v>327.19146388390101</v>
      </c>
      <c r="I35" s="232">
        <f>'Cálculo PU'!V237</f>
        <v>223.62103912442427</v>
      </c>
      <c r="J35" s="235">
        <f t="shared" si="0"/>
        <v>-103.57042475947674</v>
      </c>
      <c r="L35" s="147">
        <v>4308</v>
      </c>
      <c r="M35" s="156">
        <v>43374</v>
      </c>
      <c r="N35" s="156">
        <v>44356</v>
      </c>
      <c r="O35" s="148" t="s">
        <v>952</v>
      </c>
      <c r="P35" s="148" t="s">
        <v>823</v>
      </c>
      <c r="Q35" s="148" t="s">
        <v>827</v>
      </c>
      <c r="R35" s="148">
        <v>1.0685942977180001</v>
      </c>
      <c r="S35" s="148">
        <f>'Cálculo PU'!O237</f>
        <v>1.1435735417645871</v>
      </c>
      <c r="T35" s="168">
        <f t="shared" si="1"/>
        <v>-7.4979244046587068E-2</v>
      </c>
      <c r="V35" s="147">
        <v>4296</v>
      </c>
      <c r="W35" s="156">
        <v>43374</v>
      </c>
      <c r="X35" s="156">
        <v>44356</v>
      </c>
      <c r="Y35" s="148" t="s">
        <v>952</v>
      </c>
      <c r="Z35" s="148" t="s">
        <v>823</v>
      </c>
      <c r="AA35" s="148" t="s">
        <v>954</v>
      </c>
      <c r="AB35" s="232">
        <v>349.63493256834198</v>
      </c>
      <c r="AC35" s="232">
        <f>'Cálculo PU'!U237</f>
        <v>255.72710372459517</v>
      </c>
      <c r="AD35" s="168">
        <f t="shared" si="2"/>
        <v>93.907828843746813</v>
      </c>
      <c r="AF35" s="147">
        <v>4286</v>
      </c>
      <c r="AG35" s="156">
        <v>43374</v>
      </c>
      <c r="AH35" s="156">
        <v>44356</v>
      </c>
      <c r="AI35" s="148" t="s">
        <v>952</v>
      </c>
      <c r="AJ35" s="148" t="s">
        <v>823</v>
      </c>
      <c r="AK35" s="148" t="s">
        <v>956</v>
      </c>
      <c r="AL35" s="232">
        <v>451.33027330267601</v>
      </c>
      <c r="AM35" s="232">
        <f>'Cálculo PU'!T237</f>
        <v>585.14364155670933</v>
      </c>
      <c r="AN35" s="168">
        <f t="shared" si="3"/>
        <v>-133.81336825403332</v>
      </c>
      <c r="AP35" s="147">
        <v>4294</v>
      </c>
      <c r="AQ35" s="156">
        <v>43374</v>
      </c>
      <c r="AR35" s="156">
        <v>44356</v>
      </c>
      <c r="AS35" s="148" t="s">
        <v>952</v>
      </c>
      <c r="AT35" s="148" t="s">
        <v>823</v>
      </c>
      <c r="AU35" s="148" t="s">
        <v>942</v>
      </c>
      <c r="AV35" s="232">
        <v>9.9696338000000004</v>
      </c>
      <c r="AW35" s="232">
        <f>'Cálculo PU'!Q237</f>
        <v>16.4589</v>
      </c>
      <c r="AX35" s="168">
        <f t="shared" si="4"/>
        <v>-6.4892661999999994</v>
      </c>
      <c r="AZ35" s="147">
        <v>4295</v>
      </c>
      <c r="BA35" s="156">
        <v>43374</v>
      </c>
      <c r="BB35" s="156">
        <v>44356</v>
      </c>
      <c r="BC35" s="148" t="s">
        <v>952</v>
      </c>
      <c r="BD35" s="148" t="s">
        <v>823</v>
      </c>
      <c r="BE35" s="148" t="s">
        <v>943</v>
      </c>
      <c r="BF35" s="148">
        <v>677</v>
      </c>
      <c r="BG35" s="237">
        <f>'Cálculo PU'!L237</f>
        <v>1369</v>
      </c>
      <c r="BH35" s="168">
        <f t="shared" si="5"/>
        <v>-692</v>
      </c>
    </row>
    <row r="36" spans="2:60">
      <c r="B36" s="226">
        <v>4348</v>
      </c>
      <c r="C36" s="227">
        <v>43374</v>
      </c>
      <c r="D36" s="227">
        <v>44385</v>
      </c>
      <c r="E36" s="227" t="s">
        <v>952</v>
      </c>
      <c r="F36" s="227" t="s">
        <v>823</v>
      </c>
      <c r="G36" s="227" t="s">
        <v>953</v>
      </c>
      <c r="H36" s="227">
        <v>320.80919596348201</v>
      </c>
      <c r="I36" s="232">
        <f>'Cálculo PU'!V238</f>
        <v>217.11971161131578</v>
      </c>
      <c r="J36" s="235">
        <f t="shared" si="0"/>
        <v>-103.68948435216623</v>
      </c>
      <c r="L36" s="147">
        <v>4347</v>
      </c>
      <c r="M36" s="156">
        <v>43374</v>
      </c>
      <c r="N36" s="156">
        <v>44385</v>
      </c>
      <c r="O36" s="148" t="s">
        <v>952</v>
      </c>
      <c r="P36" s="148" t="s">
        <v>823</v>
      </c>
      <c r="Q36" s="148" t="s">
        <v>827</v>
      </c>
      <c r="R36" s="148">
        <v>1.0707956643209999</v>
      </c>
      <c r="S36" s="148">
        <f>'Cálculo PU'!O238</f>
        <v>1.1459293699840669</v>
      </c>
      <c r="T36" s="168">
        <f t="shared" si="1"/>
        <v>-7.5133705663066985E-2</v>
      </c>
      <c r="V36" s="147">
        <v>4335</v>
      </c>
      <c r="W36" s="156">
        <v>43374</v>
      </c>
      <c r="X36" s="156">
        <v>44385</v>
      </c>
      <c r="Y36" s="148" t="s">
        <v>952</v>
      </c>
      <c r="Z36" s="148" t="s">
        <v>823</v>
      </c>
      <c r="AA36" s="148" t="s">
        <v>954</v>
      </c>
      <c r="AB36" s="232">
        <v>343.52109611200302</v>
      </c>
      <c r="AC36" s="232">
        <f>'Cálculo PU'!U238</f>
        <v>248.8038543378774</v>
      </c>
      <c r="AD36" s="168">
        <f t="shared" si="2"/>
        <v>94.717241774125625</v>
      </c>
      <c r="AF36" s="147">
        <v>4325</v>
      </c>
      <c r="AG36" s="156">
        <v>43374</v>
      </c>
      <c r="AH36" s="156">
        <v>44385</v>
      </c>
      <c r="AI36" s="148" t="s">
        <v>952</v>
      </c>
      <c r="AJ36" s="148" t="s">
        <v>823</v>
      </c>
      <c r="AK36" s="148" t="s">
        <v>956</v>
      </c>
      <c r="AL36" s="232">
        <v>447.80579000147401</v>
      </c>
      <c r="AM36" s="232">
        <f>'Cálculo PU'!T238</f>
        <v>576.4731159782674</v>
      </c>
      <c r="AN36" s="168">
        <f t="shared" si="3"/>
        <v>-128.66732597679339</v>
      </c>
      <c r="AP36" s="147">
        <v>4333</v>
      </c>
      <c r="AQ36" s="156">
        <v>43374</v>
      </c>
      <c r="AR36" s="156">
        <v>44385</v>
      </c>
      <c r="AS36" s="148" t="s">
        <v>952</v>
      </c>
      <c r="AT36" s="148" t="s">
        <v>823</v>
      </c>
      <c r="AU36" s="148" t="s">
        <v>942</v>
      </c>
      <c r="AV36" s="232">
        <v>10.04437046</v>
      </c>
      <c r="AW36" s="232">
        <f>'Cálculo PU'!Q238</f>
        <v>16.455100000000002</v>
      </c>
      <c r="AX36" s="168">
        <f t="shared" si="4"/>
        <v>-6.4107295400000019</v>
      </c>
      <c r="AZ36" s="147">
        <v>4334</v>
      </c>
      <c r="BA36" s="156">
        <v>43374</v>
      </c>
      <c r="BB36" s="156">
        <v>44385</v>
      </c>
      <c r="BC36" s="148" t="s">
        <v>952</v>
      </c>
      <c r="BD36" s="148" t="s">
        <v>823</v>
      </c>
      <c r="BE36" s="148" t="s">
        <v>943</v>
      </c>
      <c r="BF36" s="148">
        <v>698</v>
      </c>
      <c r="BG36" s="237">
        <f>'Cálculo PU'!L238</f>
        <v>1390</v>
      </c>
      <c r="BH36" s="168">
        <f t="shared" si="5"/>
        <v>-692</v>
      </c>
    </row>
    <row r="37" spans="2:60">
      <c r="B37" s="226">
        <v>4387</v>
      </c>
      <c r="C37" s="227">
        <v>43374</v>
      </c>
      <c r="D37" s="227">
        <v>44417</v>
      </c>
      <c r="E37" s="227" t="s">
        <v>952</v>
      </c>
      <c r="F37" s="227" t="s">
        <v>823</v>
      </c>
      <c r="G37" s="227" t="s">
        <v>953</v>
      </c>
      <c r="H37" s="227">
        <v>334.51501648231101</v>
      </c>
      <c r="I37" s="232">
        <f>'Cálculo PU'!V239</f>
        <v>220.81652245807464</v>
      </c>
      <c r="J37" s="235">
        <f t="shared" si="0"/>
        <v>-113.69849402423637</v>
      </c>
      <c r="L37" s="147">
        <v>4386</v>
      </c>
      <c r="M37" s="156">
        <v>43374</v>
      </c>
      <c r="N37" s="156">
        <v>44417</v>
      </c>
      <c r="O37" s="148" t="s">
        <v>952</v>
      </c>
      <c r="P37" s="148" t="s">
        <v>823</v>
      </c>
      <c r="Q37" s="148" t="s">
        <v>827</v>
      </c>
      <c r="R37" s="148">
        <v>1.073106722073</v>
      </c>
      <c r="S37" s="148">
        <f>'Cálculo PU'!O239</f>
        <v>1.1484025859689686</v>
      </c>
      <c r="T37" s="168">
        <f t="shared" si="1"/>
        <v>-7.5295863895968651E-2</v>
      </c>
      <c r="V37" s="147">
        <v>4374</v>
      </c>
      <c r="W37" s="156">
        <v>43374</v>
      </c>
      <c r="X37" s="156">
        <v>44417</v>
      </c>
      <c r="Y37" s="148" t="s">
        <v>952</v>
      </c>
      <c r="Z37" s="148" t="s">
        <v>823</v>
      </c>
      <c r="AA37" s="148" t="s">
        <v>954</v>
      </c>
      <c r="AB37" s="232">
        <v>358.97031282152801</v>
      </c>
      <c r="AC37" s="232">
        <f>'Cálculo PU'!U239</f>
        <v>253.58626541552775</v>
      </c>
      <c r="AD37" s="168">
        <f t="shared" si="2"/>
        <v>105.38404740600026</v>
      </c>
      <c r="AF37" s="147">
        <v>4364</v>
      </c>
      <c r="AG37" s="156">
        <v>43374</v>
      </c>
      <c r="AH37" s="156">
        <v>44417</v>
      </c>
      <c r="AI37" s="148" t="s">
        <v>952</v>
      </c>
      <c r="AJ37" s="148" t="s">
        <v>823</v>
      </c>
      <c r="AK37" s="148" t="s">
        <v>956</v>
      </c>
      <c r="AL37" s="232">
        <v>472.85772122803201</v>
      </c>
      <c r="AM37" s="232">
        <f>'Cálculo PU'!T239</f>
        <v>595.31115463010224</v>
      </c>
      <c r="AN37" s="168">
        <f t="shared" si="3"/>
        <v>-122.45343340207023</v>
      </c>
      <c r="AP37" s="147">
        <v>4372</v>
      </c>
      <c r="AQ37" s="156">
        <v>43374</v>
      </c>
      <c r="AR37" s="156">
        <v>44417</v>
      </c>
      <c r="AS37" s="148" t="s">
        <v>952</v>
      </c>
      <c r="AT37" s="148" t="s">
        <v>823</v>
      </c>
      <c r="AU37" s="148" t="s">
        <v>942</v>
      </c>
      <c r="AV37" s="232">
        <v>10.124812759999999</v>
      </c>
      <c r="AW37" s="232">
        <f>'Cálculo PU'!Q239</f>
        <v>16.4513</v>
      </c>
      <c r="AX37" s="168">
        <f t="shared" si="4"/>
        <v>-6.3264872400000005</v>
      </c>
      <c r="AZ37" s="147">
        <v>4373</v>
      </c>
      <c r="BA37" s="156">
        <v>43374</v>
      </c>
      <c r="BB37" s="156">
        <v>44417</v>
      </c>
      <c r="BC37" s="148" t="s">
        <v>952</v>
      </c>
      <c r="BD37" s="148" t="s">
        <v>823</v>
      </c>
      <c r="BE37" s="148" t="s">
        <v>943</v>
      </c>
      <c r="BF37" s="148">
        <v>720</v>
      </c>
      <c r="BG37" s="237">
        <f>'Cálculo PU'!L239</f>
        <v>1412</v>
      </c>
      <c r="BH37" s="168">
        <f t="shared" si="5"/>
        <v>-692</v>
      </c>
    </row>
    <row r="38" spans="2:60">
      <c r="B38" s="226">
        <v>4426</v>
      </c>
      <c r="C38" s="227">
        <v>43374</v>
      </c>
      <c r="D38" s="227">
        <v>44448</v>
      </c>
      <c r="E38" s="227" t="s">
        <v>952</v>
      </c>
      <c r="F38" s="227" t="s">
        <v>823</v>
      </c>
      <c r="G38" s="227" t="s">
        <v>953</v>
      </c>
      <c r="H38" s="227">
        <v>325.38531915148701</v>
      </c>
      <c r="I38" s="232">
        <f>'Cálculo PU'!V240</f>
        <v>214.21682552702691</v>
      </c>
      <c r="J38" s="235">
        <f t="shared" si="0"/>
        <v>-111.1684936244601</v>
      </c>
      <c r="L38" s="147">
        <v>4425</v>
      </c>
      <c r="M38" s="156">
        <v>43374</v>
      </c>
      <c r="N38" s="156">
        <v>44448</v>
      </c>
      <c r="O38" s="148" t="s">
        <v>952</v>
      </c>
      <c r="P38" s="148" t="s">
        <v>823</v>
      </c>
      <c r="Q38" s="148" t="s">
        <v>827</v>
      </c>
      <c r="R38" s="148">
        <v>1.0754227676929999</v>
      </c>
      <c r="S38" s="148">
        <f>'Cálculo PU'!O240</f>
        <v>1.1508811398023173</v>
      </c>
      <c r="T38" s="168">
        <f t="shared" si="1"/>
        <v>-7.5458372109317384E-2</v>
      </c>
      <c r="V38" s="147">
        <v>4413</v>
      </c>
      <c r="W38" s="156">
        <v>43374</v>
      </c>
      <c r="X38" s="156">
        <v>44448</v>
      </c>
      <c r="Y38" s="148" t="s">
        <v>952</v>
      </c>
      <c r="Z38" s="148" t="s">
        <v>823</v>
      </c>
      <c r="AA38" s="148" t="s">
        <v>954</v>
      </c>
      <c r="AB38" s="232">
        <v>349.92678048856197</v>
      </c>
      <c r="AC38" s="232">
        <f>'Cálculo PU'!U240</f>
        <v>246.53810432737887</v>
      </c>
      <c r="AD38" s="168">
        <f t="shared" si="2"/>
        <v>103.3886761611831</v>
      </c>
      <c r="AF38" s="147">
        <v>4403</v>
      </c>
      <c r="AG38" s="156">
        <v>43374</v>
      </c>
      <c r="AH38" s="156">
        <v>44448</v>
      </c>
      <c r="AI38" s="148" t="s">
        <v>952</v>
      </c>
      <c r="AJ38" s="148" t="s">
        <v>823</v>
      </c>
      <c r="AK38" s="148" t="s">
        <v>956</v>
      </c>
      <c r="AL38" s="232">
        <v>465.78424257774799</v>
      </c>
      <c r="AM38" s="232">
        <f>'Cálculo PU'!T240</f>
        <v>586.4058950699623</v>
      </c>
      <c r="AN38" s="168">
        <f t="shared" si="3"/>
        <v>-120.62165249221431</v>
      </c>
      <c r="AP38" s="147">
        <v>4411</v>
      </c>
      <c r="AQ38" s="156">
        <v>43374</v>
      </c>
      <c r="AR38" s="156">
        <v>44448</v>
      </c>
      <c r="AS38" s="148" t="s">
        <v>952</v>
      </c>
      <c r="AT38" s="148" t="s">
        <v>823</v>
      </c>
      <c r="AU38" s="148" t="s">
        <v>942</v>
      </c>
      <c r="AV38" s="232">
        <v>10.20053858</v>
      </c>
      <c r="AW38" s="232">
        <f>'Cálculo PU'!Q240</f>
        <v>16.447600000000001</v>
      </c>
      <c r="AX38" s="168">
        <f t="shared" si="4"/>
        <v>-6.2470614200000014</v>
      </c>
      <c r="AZ38" s="147">
        <v>4412</v>
      </c>
      <c r="BA38" s="156">
        <v>43374</v>
      </c>
      <c r="BB38" s="156">
        <v>44448</v>
      </c>
      <c r="BC38" s="148" t="s">
        <v>952</v>
      </c>
      <c r="BD38" s="148" t="s">
        <v>823</v>
      </c>
      <c r="BE38" s="148" t="s">
        <v>943</v>
      </c>
      <c r="BF38" s="148">
        <v>742</v>
      </c>
      <c r="BG38" s="237">
        <f>'Cálculo PU'!L240</f>
        <v>1434</v>
      </c>
      <c r="BH38" s="168">
        <f t="shared" si="5"/>
        <v>-692</v>
      </c>
    </row>
    <row r="39" spans="2:60">
      <c r="B39" s="226">
        <v>4465</v>
      </c>
      <c r="C39" s="227">
        <v>43374</v>
      </c>
      <c r="D39" s="227">
        <v>44480</v>
      </c>
      <c r="E39" s="227" t="s">
        <v>952</v>
      </c>
      <c r="F39" s="227" t="s">
        <v>823</v>
      </c>
      <c r="G39" s="227" t="s">
        <v>953</v>
      </c>
      <c r="H39" s="227">
        <v>317.65044939145599</v>
      </c>
      <c r="I39" s="232">
        <f>'Cálculo PU'!V241</f>
        <v>207.85531255010642</v>
      </c>
      <c r="J39" s="235">
        <f t="shared" si="0"/>
        <v>-109.79513684134957</v>
      </c>
      <c r="L39" s="147">
        <v>4464</v>
      </c>
      <c r="M39" s="156">
        <v>43374</v>
      </c>
      <c r="N39" s="156">
        <v>44480</v>
      </c>
      <c r="O39" s="148" t="s">
        <v>952</v>
      </c>
      <c r="P39" s="148" t="s">
        <v>823</v>
      </c>
      <c r="Q39" s="148" t="s">
        <v>827</v>
      </c>
      <c r="R39" s="148">
        <v>1.0776382013420001</v>
      </c>
      <c r="S39" s="148">
        <f>'Cálculo PU'!O241</f>
        <v>1.153252022100127</v>
      </c>
      <c r="T39" s="168">
        <f t="shared" si="1"/>
        <v>-7.5613820758126948E-2</v>
      </c>
      <c r="V39" s="147">
        <v>4452</v>
      </c>
      <c r="W39" s="156">
        <v>43374</v>
      </c>
      <c r="X39" s="156">
        <v>44480</v>
      </c>
      <c r="Y39" s="148" t="s">
        <v>952</v>
      </c>
      <c r="Z39" s="148" t="s">
        <v>823</v>
      </c>
      <c r="AA39" s="148" t="s">
        <v>954</v>
      </c>
      <c r="AB39" s="232">
        <v>342.31225893768698</v>
      </c>
      <c r="AC39" s="232">
        <f>'Cálculo PU'!U241</f>
        <v>239.70955950266415</v>
      </c>
      <c r="AD39" s="168">
        <f t="shared" si="2"/>
        <v>102.60269943502283</v>
      </c>
      <c r="AF39" s="147">
        <v>4442</v>
      </c>
      <c r="AG39" s="156">
        <v>43374</v>
      </c>
      <c r="AH39" s="156">
        <v>44480</v>
      </c>
      <c r="AI39" s="148" t="s">
        <v>952</v>
      </c>
      <c r="AJ39" s="148" t="s">
        <v>823</v>
      </c>
      <c r="AK39" s="148" t="s">
        <v>956</v>
      </c>
      <c r="AL39" s="232">
        <v>460.23618973696898</v>
      </c>
      <c r="AM39" s="232">
        <f>'Cálculo PU'!T241</f>
        <v>577.34177824143217</v>
      </c>
      <c r="AN39" s="168">
        <f t="shared" si="3"/>
        <v>-117.10558850446319</v>
      </c>
      <c r="AP39" s="147">
        <v>4450</v>
      </c>
      <c r="AQ39" s="156">
        <v>43374</v>
      </c>
      <c r="AR39" s="156">
        <v>44480</v>
      </c>
      <c r="AS39" s="148" t="s">
        <v>952</v>
      </c>
      <c r="AT39" s="148" t="s">
        <v>823</v>
      </c>
      <c r="AU39" s="148" t="s">
        <v>942</v>
      </c>
      <c r="AV39" s="232">
        <v>10.270571739999999</v>
      </c>
      <c r="AW39" s="232">
        <f>'Cálculo PU'!Q241</f>
        <v>16.443999999999999</v>
      </c>
      <c r="AX39" s="168">
        <f t="shared" si="4"/>
        <v>-6.1734282599999997</v>
      </c>
      <c r="AZ39" s="147">
        <v>4451</v>
      </c>
      <c r="BA39" s="156">
        <v>43374</v>
      </c>
      <c r="BB39" s="156">
        <v>44480</v>
      </c>
      <c r="BC39" s="148" t="s">
        <v>952</v>
      </c>
      <c r="BD39" s="148" t="s">
        <v>823</v>
      </c>
      <c r="BE39" s="148" t="s">
        <v>943</v>
      </c>
      <c r="BF39" s="148">
        <v>763</v>
      </c>
      <c r="BG39" s="237">
        <f>'Cálculo PU'!L241</f>
        <v>1455</v>
      </c>
      <c r="BH39" s="168">
        <f t="shared" si="5"/>
        <v>-692</v>
      </c>
    </row>
    <row r="40" spans="2:60">
      <c r="B40" s="226">
        <v>4504</v>
      </c>
      <c r="C40" s="227">
        <v>43374</v>
      </c>
      <c r="D40" s="227">
        <v>44510</v>
      </c>
      <c r="E40" s="227" t="s">
        <v>952</v>
      </c>
      <c r="F40" s="227" t="s">
        <v>823</v>
      </c>
      <c r="G40" s="227" t="s">
        <v>953</v>
      </c>
      <c r="H40" s="227">
        <v>283.3329983543</v>
      </c>
      <c r="I40" s="232">
        <f>'Cálculo PU'!V242</f>
        <v>183.19592809361572</v>
      </c>
      <c r="J40" s="235">
        <f t="shared" si="0"/>
        <v>-100.13707026068428</v>
      </c>
      <c r="L40" s="147">
        <v>4503</v>
      </c>
      <c r="M40" s="156">
        <v>43374</v>
      </c>
      <c r="N40" s="156">
        <v>44510</v>
      </c>
      <c r="O40" s="148" t="s">
        <v>952</v>
      </c>
      <c r="P40" s="148" t="s">
        <v>823</v>
      </c>
      <c r="Q40" s="148" t="s">
        <v>827</v>
      </c>
      <c r="R40" s="148">
        <v>1.079752381114</v>
      </c>
      <c r="S40" s="148">
        <f>'Cálculo PU'!O242</f>
        <v>1.1555145459176779</v>
      </c>
      <c r="T40" s="168">
        <f t="shared" si="1"/>
        <v>-7.5762164803677923E-2</v>
      </c>
      <c r="V40" s="147">
        <v>4491</v>
      </c>
      <c r="W40" s="156">
        <v>43374</v>
      </c>
      <c r="X40" s="156">
        <v>44510</v>
      </c>
      <c r="Y40" s="148" t="s">
        <v>952</v>
      </c>
      <c r="Z40" s="148" t="s">
        <v>823</v>
      </c>
      <c r="AA40" s="148" t="s">
        <v>954</v>
      </c>
      <c r="AB40" s="232">
        <v>305.92947962122503</v>
      </c>
      <c r="AC40" s="232">
        <f>'Cálculo PU'!U242</f>
        <v>211.68555966506193</v>
      </c>
      <c r="AD40" s="168">
        <f t="shared" si="2"/>
        <v>94.243919956163097</v>
      </c>
      <c r="AF40" s="147">
        <v>4481</v>
      </c>
      <c r="AG40" s="156">
        <v>43374</v>
      </c>
      <c r="AH40" s="156">
        <v>44510</v>
      </c>
      <c r="AI40" s="148" t="s">
        <v>952</v>
      </c>
      <c r="AJ40" s="148" t="s">
        <v>823</v>
      </c>
      <c r="AK40" s="148" t="s">
        <v>956</v>
      </c>
      <c r="AL40" s="232">
        <v>415.28868483336299</v>
      </c>
      <c r="AM40" s="232">
        <f>'Cálculo PU'!T242</f>
        <v>515.9500571868756</v>
      </c>
      <c r="AN40" s="168">
        <f t="shared" si="3"/>
        <v>-100.6613723535126</v>
      </c>
      <c r="AP40" s="147">
        <v>4489</v>
      </c>
      <c r="AQ40" s="156">
        <v>43374</v>
      </c>
      <c r="AR40" s="156">
        <v>44510</v>
      </c>
      <c r="AS40" s="148" t="s">
        <v>952</v>
      </c>
      <c r="AT40" s="148" t="s">
        <v>823</v>
      </c>
      <c r="AU40" s="148" t="s">
        <v>942</v>
      </c>
      <c r="AV40" s="232">
        <v>10.336017760000001</v>
      </c>
      <c r="AW40" s="232">
        <f>'Cálculo PU'!Q242</f>
        <v>16.4404</v>
      </c>
      <c r="AX40" s="168">
        <f t="shared" si="4"/>
        <v>-6.1043822399999996</v>
      </c>
      <c r="AZ40" s="147">
        <v>4490</v>
      </c>
      <c r="BA40" s="156">
        <v>43374</v>
      </c>
      <c r="BB40" s="156">
        <v>44510</v>
      </c>
      <c r="BC40" s="148" t="s">
        <v>952</v>
      </c>
      <c r="BD40" s="148" t="s">
        <v>823</v>
      </c>
      <c r="BE40" s="148" t="s">
        <v>943</v>
      </c>
      <c r="BF40" s="148">
        <v>783</v>
      </c>
      <c r="BG40" s="237">
        <f>'Cálculo PU'!L242</f>
        <v>1475</v>
      </c>
      <c r="BH40" s="168">
        <f t="shared" si="5"/>
        <v>-692</v>
      </c>
    </row>
    <row r="41" spans="2:60">
      <c r="B41" s="226">
        <v>4543</v>
      </c>
      <c r="C41" s="227">
        <v>43374</v>
      </c>
      <c r="D41" s="227">
        <v>44538</v>
      </c>
      <c r="E41" s="227" t="s">
        <v>952</v>
      </c>
      <c r="F41" s="227" t="s">
        <v>823</v>
      </c>
      <c r="G41" s="227" t="s">
        <v>953</v>
      </c>
      <c r="H41" s="227">
        <v>261.93401973847199</v>
      </c>
      <c r="I41" s="232">
        <f>'Cálculo PU'!V243</f>
        <v>168.96128589938351</v>
      </c>
      <c r="J41" s="235">
        <f t="shared" si="0"/>
        <v>-92.972733839088477</v>
      </c>
      <c r="L41" s="147">
        <v>4542</v>
      </c>
      <c r="M41" s="156">
        <v>43374</v>
      </c>
      <c r="N41" s="156">
        <v>44538</v>
      </c>
      <c r="O41" s="148" t="s">
        <v>952</v>
      </c>
      <c r="P41" s="148" t="s">
        <v>823</v>
      </c>
      <c r="Q41" s="148" t="s">
        <v>827</v>
      </c>
      <c r="R41" s="148">
        <v>1.0818707086199999</v>
      </c>
      <c r="S41" s="148">
        <f>'Cálculo PU'!O243</f>
        <v>1.157781508499633</v>
      </c>
      <c r="T41" s="168">
        <f t="shared" si="1"/>
        <v>-7.5910799879633117E-2</v>
      </c>
      <c r="V41" s="147">
        <v>4530</v>
      </c>
      <c r="W41" s="156">
        <v>43374</v>
      </c>
      <c r="X41" s="156">
        <v>44538</v>
      </c>
      <c r="Y41" s="148" t="s">
        <v>952</v>
      </c>
      <c r="Z41" s="148" t="s">
        <v>823</v>
      </c>
      <c r="AA41" s="148" t="s">
        <v>954</v>
      </c>
      <c r="AB41" s="232">
        <v>283.37874354614598</v>
      </c>
      <c r="AC41" s="232">
        <f>'Cálculo PU'!U243</f>
        <v>195.62025246662603</v>
      </c>
      <c r="AD41" s="168">
        <f t="shared" si="2"/>
        <v>87.758491079519956</v>
      </c>
      <c r="AF41" s="147">
        <v>4520</v>
      </c>
      <c r="AG41" s="156">
        <v>43374</v>
      </c>
      <c r="AH41" s="156">
        <v>44538</v>
      </c>
      <c r="AI41" s="148" t="s">
        <v>952</v>
      </c>
      <c r="AJ41" s="148" t="s">
        <v>823</v>
      </c>
      <c r="AK41" s="148" t="s">
        <v>956</v>
      </c>
      <c r="AL41" s="232">
        <v>388.38862129701101</v>
      </c>
      <c r="AM41" s="232">
        <f>'Cálculo PU'!T243</f>
        <v>482.50200886700605</v>
      </c>
      <c r="AN41" s="168">
        <f t="shared" si="3"/>
        <v>-94.113387569995041</v>
      </c>
      <c r="AP41" s="147">
        <v>4528</v>
      </c>
      <c r="AQ41" s="156">
        <v>43374</v>
      </c>
      <c r="AR41" s="156">
        <v>44538</v>
      </c>
      <c r="AS41" s="148" t="s">
        <v>952</v>
      </c>
      <c r="AT41" s="148" t="s">
        <v>823</v>
      </c>
      <c r="AU41" s="148" t="s">
        <v>942</v>
      </c>
      <c r="AV41" s="232">
        <v>10.39823969</v>
      </c>
      <c r="AW41" s="232">
        <f>'Cálculo PU'!Q243</f>
        <v>16.436900000000001</v>
      </c>
      <c r="AX41" s="168">
        <f t="shared" si="4"/>
        <v>-6.0386603100000009</v>
      </c>
      <c r="AZ41" s="147">
        <v>4529</v>
      </c>
      <c r="BA41" s="156">
        <v>43374</v>
      </c>
      <c r="BB41" s="156">
        <v>44538</v>
      </c>
      <c r="BC41" s="148" t="s">
        <v>952</v>
      </c>
      <c r="BD41" s="148" t="s">
        <v>823</v>
      </c>
      <c r="BE41" s="148" t="s">
        <v>943</v>
      </c>
      <c r="BF41" s="148">
        <v>803</v>
      </c>
      <c r="BG41" s="237">
        <f>'Cálculo PU'!L243</f>
        <v>1495</v>
      </c>
      <c r="BH41" s="168">
        <f t="shared" si="5"/>
        <v>-692</v>
      </c>
    </row>
    <row r="42" spans="2:60">
      <c r="B42" s="226">
        <v>4582</v>
      </c>
      <c r="C42" s="227">
        <v>43374</v>
      </c>
      <c r="D42" s="227">
        <v>44571</v>
      </c>
      <c r="E42" s="227" t="s">
        <v>952</v>
      </c>
      <c r="F42" s="227" t="s">
        <v>823</v>
      </c>
      <c r="G42" s="227" t="s">
        <v>953</v>
      </c>
      <c r="H42" s="227">
        <v>307.80433575007601</v>
      </c>
      <c r="I42" s="232">
        <f>'Cálculo PU'!V244</f>
        <v>198.50635803688269</v>
      </c>
      <c r="J42" s="235">
        <f t="shared" si="0"/>
        <v>-109.29797771319332</v>
      </c>
      <c r="L42" s="147">
        <v>4581</v>
      </c>
      <c r="M42" s="156">
        <v>43374</v>
      </c>
      <c r="N42" s="156">
        <v>44571</v>
      </c>
      <c r="O42" s="148" t="s">
        <v>952</v>
      </c>
      <c r="P42" s="148" t="s">
        <v>823</v>
      </c>
      <c r="Q42" s="148" t="s">
        <v>827</v>
      </c>
      <c r="R42" s="148">
        <v>1.08431192345</v>
      </c>
      <c r="S42" s="148">
        <f>'Cálculo PU'!O244</f>
        <v>1.1603940141960642</v>
      </c>
      <c r="T42" s="168">
        <f t="shared" si="1"/>
        <v>-7.6082090746064202E-2</v>
      </c>
      <c r="V42" s="147">
        <v>4569</v>
      </c>
      <c r="W42" s="156">
        <v>43374</v>
      </c>
      <c r="X42" s="156">
        <v>44571</v>
      </c>
      <c r="Y42" s="148" t="s">
        <v>952</v>
      </c>
      <c r="Z42" s="148" t="s">
        <v>823</v>
      </c>
      <c r="AA42" s="148" t="s">
        <v>954</v>
      </c>
      <c r="AB42" s="232">
        <v>333.75591134341499</v>
      </c>
      <c r="AC42" s="232">
        <f>'Cálculo PU'!U244</f>
        <v>230.34558964585946</v>
      </c>
      <c r="AD42" s="168">
        <f t="shared" si="2"/>
        <v>103.41032169755553</v>
      </c>
      <c r="AF42" s="147">
        <v>4559</v>
      </c>
      <c r="AG42" s="156">
        <v>43374</v>
      </c>
      <c r="AH42" s="156">
        <v>44571</v>
      </c>
      <c r="AI42" s="148" t="s">
        <v>952</v>
      </c>
      <c r="AJ42" s="148" t="s">
        <v>823</v>
      </c>
      <c r="AK42" s="148" t="s">
        <v>956</v>
      </c>
      <c r="AL42" s="232">
        <v>462.496095446097</v>
      </c>
      <c r="AM42" s="232">
        <f>'Cálculo PU'!T244</f>
        <v>575.98896194274289</v>
      </c>
      <c r="AN42" s="168">
        <f t="shared" si="3"/>
        <v>-113.49286649664589</v>
      </c>
      <c r="AP42" s="147">
        <v>4567</v>
      </c>
      <c r="AQ42" s="156">
        <v>43374</v>
      </c>
      <c r="AR42" s="156">
        <v>44571</v>
      </c>
      <c r="AS42" s="148" t="s">
        <v>952</v>
      </c>
      <c r="AT42" s="148" t="s">
        <v>823</v>
      </c>
      <c r="AU42" s="148" t="s">
        <v>942</v>
      </c>
      <c r="AV42" s="232">
        <v>10.46485669</v>
      </c>
      <c r="AW42" s="232">
        <f>'Cálculo PU'!Q244</f>
        <v>16.433199999999999</v>
      </c>
      <c r="AX42" s="168">
        <f t="shared" si="4"/>
        <v>-5.9683433099999998</v>
      </c>
      <c r="AZ42" s="147">
        <v>4568</v>
      </c>
      <c r="BA42" s="156">
        <v>43374</v>
      </c>
      <c r="BB42" s="156">
        <v>44571</v>
      </c>
      <c r="BC42" s="148" t="s">
        <v>952</v>
      </c>
      <c r="BD42" s="148" t="s">
        <v>823</v>
      </c>
      <c r="BE42" s="148" t="s">
        <v>943</v>
      </c>
      <c r="BF42" s="148">
        <v>826</v>
      </c>
      <c r="BG42" s="237">
        <f>'Cálculo PU'!L244</f>
        <v>1518</v>
      </c>
      <c r="BH42" s="168">
        <f t="shared" si="5"/>
        <v>-692</v>
      </c>
    </row>
    <row r="43" spans="2:60">
      <c r="B43" s="226">
        <v>4621</v>
      </c>
      <c r="C43" s="227">
        <v>43374</v>
      </c>
      <c r="D43" s="227">
        <v>44600</v>
      </c>
      <c r="E43" s="227" t="s">
        <v>952</v>
      </c>
      <c r="F43" s="227" t="s">
        <v>823</v>
      </c>
      <c r="G43" s="227" t="s">
        <v>953</v>
      </c>
      <c r="H43" s="227">
        <v>271.12090963399203</v>
      </c>
      <c r="I43" s="232">
        <f>'Cálculo PU'!V245</f>
        <v>175.80479961872399</v>
      </c>
      <c r="J43" s="235">
        <f t="shared" si="0"/>
        <v>-95.316110015268038</v>
      </c>
      <c r="L43" s="147">
        <v>4620</v>
      </c>
      <c r="M43" s="156">
        <v>43374</v>
      </c>
      <c r="N43" s="156">
        <v>44600</v>
      </c>
      <c r="O43" s="148" t="s">
        <v>952</v>
      </c>
      <c r="P43" s="148" t="s">
        <v>823</v>
      </c>
      <c r="Q43" s="148" t="s">
        <v>827</v>
      </c>
      <c r="R43" s="148">
        <v>1.0865456692790001</v>
      </c>
      <c r="S43" s="148">
        <f>'Cálculo PU'!O245</f>
        <v>1.1627844935701674</v>
      </c>
      <c r="T43" s="168">
        <f t="shared" si="1"/>
        <v>-7.6238824291167351E-2</v>
      </c>
      <c r="V43" s="147">
        <v>4608</v>
      </c>
      <c r="W43" s="156">
        <v>43374</v>
      </c>
      <c r="X43" s="156">
        <v>44600</v>
      </c>
      <c r="Y43" s="148" t="s">
        <v>952</v>
      </c>
      <c r="Z43" s="148" t="s">
        <v>823</v>
      </c>
      <c r="AA43" s="148" t="s">
        <v>954</v>
      </c>
      <c r="AB43" s="232">
        <v>294.58525021379802</v>
      </c>
      <c r="AC43" s="232">
        <f>'Cálculo PU'!U245</f>
        <v>204.42309489186275</v>
      </c>
      <c r="AD43" s="168">
        <f t="shared" si="2"/>
        <v>90.162155321935273</v>
      </c>
      <c r="AF43" s="147">
        <v>4598</v>
      </c>
      <c r="AG43" s="156">
        <v>43374</v>
      </c>
      <c r="AH43" s="156">
        <v>44600</v>
      </c>
      <c r="AI43" s="148" t="s">
        <v>952</v>
      </c>
      <c r="AJ43" s="148" t="s">
        <v>823</v>
      </c>
      <c r="AK43" s="148" t="s">
        <v>956</v>
      </c>
      <c r="AL43" s="232">
        <v>412.31715203007701</v>
      </c>
      <c r="AM43" s="232">
        <f>'Cálculo PU'!T245</f>
        <v>517.60683637291822</v>
      </c>
      <c r="AN43" s="168">
        <f t="shared" si="3"/>
        <v>-105.28968434284121</v>
      </c>
      <c r="AP43" s="147">
        <v>4606</v>
      </c>
      <c r="AQ43" s="156">
        <v>43374</v>
      </c>
      <c r="AR43" s="156">
        <v>44600</v>
      </c>
      <c r="AS43" s="148" t="s">
        <v>952</v>
      </c>
      <c r="AT43" s="148" t="s">
        <v>823</v>
      </c>
      <c r="AU43" s="148" t="s">
        <v>942</v>
      </c>
      <c r="AV43" s="232">
        <v>10.52081707</v>
      </c>
      <c r="AW43" s="232">
        <f>'Cálculo PU'!Q245</f>
        <v>16.430099999999999</v>
      </c>
      <c r="AX43" s="168">
        <f t="shared" si="4"/>
        <v>-5.9092829299999998</v>
      </c>
      <c r="AZ43" s="147">
        <v>4607</v>
      </c>
      <c r="BA43" s="156">
        <v>43374</v>
      </c>
      <c r="BB43" s="156">
        <v>44600</v>
      </c>
      <c r="BC43" s="148" t="s">
        <v>952</v>
      </c>
      <c r="BD43" s="148" t="s">
        <v>823</v>
      </c>
      <c r="BE43" s="148" t="s">
        <v>943</v>
      </c>
      <c r="BF43" s="148">
        <v>847</v>
      </c>
      <c r="BG43" s="237">
        <f>'Cálculo PU'!L245</f>
        <v>1539</v>
      </c>
      <c r="BH43" s="168">
        <f t="shared" si="5"/>
        <v>-692</v>
      </c>
    </row>
    <row r="44" spans="2:60">
      <c r="B44" s="226">
        <v>4660</v>
      </c>
      <c r="C44" s="227">
        <v>43374</v>
      </c>
      <c r="D44" s="227">
        <v>44629</v>
      </c>
      <c r="E44" s="227" t="s">
        <v>952</v>
      </c>
      <c r="F44" s="227" t="s">
        <v>823</v>
      </c>
      <c r="G44" s="227" t="s">
        <v>953</v>
      </c>
      <c r="H44" s="227">
        <v>238.46645708536099</v>
      </c>
      <c r="I44" s="232">
        <f>'Cálculo PU'!V246</f>
        <v>154.25923490546307</v>
      </c>
      <c r="J44" s="235">
        <f t="shared" si="0"/>
        <v>-84.207222179897911</v>
      </c>
      <c r="L44" s="147">
        <v>4659</v>
      </c>
      <c r="M44" s="156">
        <v>43374</v>
      </c>
      <c r="N44" s="156">
        <v>44629</v>
      </c>
      <c r="O44" s="148" t="s">
        <v>952</v>
      </c>
      <c r="P44" s="148" t="s">
        <v>823</v>
      </c>
      <c r="Q44" s="148" t="s">
        <v>827</v>
      </c>
      <c r="R44" s="148">
        <v>1.0885706422879999</v>
      </c>
      <c r="S44" s="148">
        <f>'Cálculo PU'!O246</f>
        <v>1.1649515513212085</v>
      </c>
      <c r="T44" s="168">
        <f t="shared" si="1"/>
        <v>-7.6380909033208599E-2</v>
      </c>
      <c r="V44" s="147">
        <v>4647</v>
      </c>
      <c r="W44" s="156">
        <v>43374</v>
      </c>
      <c r="X44" s="156">
        <v>44629</v>
      </c>
      <c r="Y44" s="148" t="s">
        <v>952</v>
      </c>
      <c r="Z44" s="148" t="s">
        <v>823</v>
      </c>
      <c r="AA44" s="148" t="s">
        <v>954</v>
      </c>
      <c r="AB44" s="232">
        <v>259.58758435355497</v>
      </c>
      <c r="AC44" s="232">
        <f>'Cálculo PU'!U246</f>
        <v>179.70453500874191</v>
      </c>
      <c r="AD44" s="168">
        <f t="shared" si="2"/>
        <v>79.88304934481306</v>
      </c>
      <c r="AF44" s="147">
        <v>4637</v>
      </c>
      <c r="AG44" s="156">
        <v>43374</v>
      </c>
      <c r="AH44" s="156">
        <v>44629</v>
      </c>
      <c r="AI44" s="148" t="s">
        <v>952</v>
      </c>
      <c r="AJ44" s="148" t="s">
        <v>823</v>
      </c>
      <c r="AK44" s="148" t="s">
        <v>956</v>
      </c>
      <c r="AL44" s="232">
        <v>366.63351502529798</v>
      </c>
      <c r="AM44" s="232">
        <f>'Cálculo PU'!T246</f>
        <v>460.2013907934853</v>
      </c>
      <c r="AN44" s="168">
        <f t="shared" si="3"/>
        <v>-93.567875768187321</v>
      </c>
      <c r="AP44" s="147">
        <v>4645</v>
      </c>
      <c r="AQ44" s="156">
        <v>43374</v>
      </c>
      <c r="AR44" s="156">
        <v>44629</v>
      </c>
      <c r="AS44" s="148" t="s">
        <v>952</v>
      </c>
      <c r="AT44" s="148" t="s">
        <v>823</v>
      </c>
      <c r="AU44" s="148" t="s">
        <v>942</v>
      </c>
      <c r="AV44" s="232">
        <v>10.56913207</v>
      </c>
      <c r="AW44" s="232">
        <f>'Cálculo PU'!Q246</f>
        <v>16.427399999999999</v>
      </c>
      <c r="AX44" s="168">
        <f t="shared" si="4"/>
        <v>-5.8582679299999985</v>
      </c>
      <c r="AZ44" s="147">
        <v>4646</v>
      </c>
      <c r="BA44" s="156">
        <v>43374</v>
      </c>
      <c r="BB44" s="156">
        <v>44629</v>
      </c>
      <c r="BC44" s="148" t="s">
        <v>952</v>
      </c>
      <c r="BD44" s="148" t="s">
        <v>823</v>
      </c>
      <c r="BE44" s="148" t="s">
        <v>943</v>
      </c>
      <c r="BF44" s="148">
        <v>866</v>
      </c>
      <c r="BG44" s="237">
        <f>'Cálculo PU'!L246</f>
        <v>1558</v>
      </c>
      <c r="BH44" s="168">
        <f t="shared" si="5"/>
        <v>-692</v>
      </c>
    </row>
    <row r="45" spans="2:60">
      <c r="B45" s="226">
        <v>4699</v>
      </c>
      <c r="C45" s="227">
        <v>43374</v>
      </c>
      <c r="D45" s="227">
        <v>44659</v>
      </c>
      <c r="E45" s="227" t="s">
        <v>952</v>
      </c>
      <c r="F45" s="227" t="s">
        <v>823</v>
      </c>
      <c r="G45" s="227" t="s">
        <v>953</v>
      </c>
      <c r="H45" s="227">
        <v>270.192783652</v>
      </c>
      <c r="I45" s="232">
        <f>'Cálculo PU'!V247</f>
        <v>173.06564933162403</v>
      </c>
      <c r="J45" s="235">
        <f t="shared" si="0"/>
        <v>-97.127134320375973</v>
      </c>
      <c r="L45" s="147">
        <v>4698</v>
      </c>
      <c r="M45" s="156">
        <v>43374</v>
      </c>
      <c r="N45" s="156">
        <v>44659</v>
      </c>
      <c r="O45" s="148" t="s">
        <v>952</v>
      </c>
      <c r="P45" s="148" t="s">
        <v>823</v>
      </c>
      <c r="Q45" s="148" t="s">
        <v>827</v>
      </c>
      <c r="R45" s="148">
        <v>1.090920063102</v>
      </c>
      <c r="S45" s="148">
        <f>'Cálculo PU'!O247</f>
        <v>1.1674658221600858</v>
      </c>
      <c r="T45" s="168">
        <f t="shared" si="1"/>
        <v>-7.6545759058085805E-2</v>
      </c>
      <c r="V45" s="147">
        <v>4686</v>
      </c>
      <c r="W45" s="156">
        <v>43374</v>
      </c>
      <c r="X45" s="156">
        <v>44659</v>
      </c>
      <c r="Y45" s="148" t="s">
        <v>952</v>
      </c>
      <c r="Z45" s="148" t="s">
        <v>823</v>
      </c>
      <c r="AA45" s="148" t="s">
        <v>954</v>
      </c>
      <c r="AB45" s="232">
        <v>294.758728591345</v>
      </c>
      <c r="AC45" s="232">
        <f>'Cálculo PU'!U247</f>
        <v>202.04823058461355</v>
      </c>
      <c r="AD45" s="168">
        <f t="shared" si="2"/>
        <v>92.710498006731456</v>
      </c>
      <c r="AF45" s="147">
        <v>4676</v>
      </c>
      <c r="AG45" s="156">
        <v>43374</v>
      </c>
      <c r="AH45" s="156">
        <v>44659</v>
      </c>
      <c r="AI45" s="148" t="s">
        <v>952</v>
      </c>
      <c r="AJ45" s="148" t="s">
        <v>823</v>
      </c>
      <c r="AK45" s="148" t="s">
        <v>956</v>
      </c>
      <c r="AL45" s="232">
        <v>420.75051672287498</v>
      </c>
      <c r="AM45" s="232">
        <f>'Cálculo PU'!T247</f>
        <v>524.25248930936652</v>
      </c>
      <c r="AN45" s="168">
        <f t="shared" si="3"/>
        <v>-103.50197258649155</v>
      </c>
      <c r="AP45" s="147">
        <v>4684</v>
      </c>
      <c r="AQ45" s="156">
        <v>43374</v>
      </c>
      <c r="AR45" s="156">
        <v>44659</v>
      </c>
      <c r="AS45" s="148" t="s">
        <v>952</v>
      </c>
      <c r="AT45" s="148" t="s">
        <v>823</v>
      </c>
      <c r="AU45" s="148" t="s">
        <v>942</v>
      </c>
      <c r="AV45" s="232">
        <v>10.62697811</v>
      </c>
      <c r="AW45" s="232">
        <f>'Cálculo PU'!Q247</f>
        <v>16.424399999999999</v>
      </c>
      <c r="AX45" s="168">
        <f t="shared" si="4"/>
        <v>-5.797421889999999</v>
      </c>
      <c r="AZ45" s="147">
        <v>4685</v>
      </c>
      <c r="BA45" s="156">
        <v>43374</v>
      </c>
      <c r="BB45" s="156">
        <v>44659</v>
      </c>
      <c r="BC45" s="148" t="s">
        <v>952</v>
      </c>
      <c r="BD45" s="148" t="s">
        <v>823</v>
      </c>
      <c r="BE45" s="148" t="s">
        <v>943</v>
      </c>
      <c r="BF45" s="148">
        <v>888</v>
      </c>
      <c r="BG45" s="237">
        <f>'Cálculo PU'!L247</f>
        <v>1580</v>
      </c>
      <c r="BH45" s="168">
        <f t="shared" si="5"/>
        <v>-692</v>
      </c>
    </row>
    <row r="46" spans="2:60">
      <c r="B46" s="226">
        <v>4738</v>
      </c>
      <c r="C46" s="227">
        <v>43374</v>
      </c>
      <c r="D46" s="227">
        <v>44690</v>
      </c>
      <c r="E46" s="227" t="s">
        <v>952</v>
      </c>
      <c r="F46" s="227" t="s">
        <v>823</v>
      </c>
      <c r="G46" s="227" t="s">
        <v>953</v>
      </c>
      <c r="H46" s="227">
        <v>232.49371942116201</v>
      </c>
      <c r="I46" s="232">
        <f>'Cálculo PU'!V248</f>
        <v>144.89474375731353</v>
      </c>
      <c r="J46" s="235">
        <f t="shared" si="0"/>
        <v>-87.598975663848478</v>
      </c>
      <c r="L46" s="147">
        <v>4737</v>
      </c>
      <c r="M46" s="156">
        <v>43374</v>
      </c>
      <c r="N46" s="156">
        <v>44690</v>
      </c>
      <c r="O46" s="148" t="s">
        <v>952</v>
      </c>
      <c r="P46" s="148" t="s">
        <v>823</v>
      </c>
      <c r="Q46" s="148" t="s">
        <v>827</v>
      </c>
      <c r="R46" s="148">
        <v>1.092953188579</v>
      </c>
      <c r="S46" s="148">
        <f>'Cálculo PU'!O248</f>
        <v>1.1696416044077658</v>
      </c>
      <c r="T46" s="168">
        <f t="shared" si="1"/>
        <v>-7.6688415828765732E-2</v>
      </c>
      <c r="V46" s="147">
        <v>4725</v>
      </c>
      <c r="W46" s="156">
        <v>43374</v>
      </c>
      <c r="X46" s="156">
        <v>44690</v>
      </c>
      <c r="Y46" s="148" t="s">
        <v>952</v>
      </c>
      <c r="Z46" s="148" t="s">
        <v>823</v>
      </c>
      <c r="AA46" s="148" t="s">
        <v>954</v>
      </c>
      <c r="AB46" s="232">
        <v>254.10475196594999</v>
      </c>
      <c r="AC46" s="232">
        <f>'Cálculo PU'!U248</f>
        <v>169.47492055855631</v>
      </c>
      <c r="AD46" s="168">
        <f t="shared" si="2"/>
        <v>84.629831407393681</v>
      </c>
      <c r="AF46" s="147">
        <v>4715</v>
      </c>
      <c r="AG46" s="156">
        <v>43374</v>
      </c>
      <c r="AH46" s="156">
        <v>44690</v>
      </c>
      <c r="AI46" s="148" t="s">
        <v>952</v>
      </c>
      <c r="AJ46" s="148" t="s">
        <v>823</v>
      </c>
      <c r="AK46" s="148" t="s">
        <v>956</v>
      </c>
      <c r="AL46" s="232">
        <v>366.124582504861</v>
      </c>
      <c r="AM46" s="232">
        <f>'Cálculo PU'!T248</f>
        <v>444.74272846642339</v>
      </c>
      <c r="AN46" s="168">
        <f t="shared" si="3"/>
        <v>-78.618145961562391</v>
      </c>
      <c r="AP46" s="147">
        <v>4723</v>
      </c>
      <c r="AQ46" s="156">
        <v>43374</v>
      </c>
      <c r="AR46" s="156">
        <v>44690</v>
      </c>
      <c r="AS46" s="148" t="s">
        <v>952</v>
      </c>
      <c r="AT46" s="148" t="s">
        <v>823</v>
      </c>
      <c r="AU46" s="148" t="s">
        <v>942</v>
      </c>
      <c r="AV46" s="232">
        <v>10.68015128</v>
      </c>
      <c r="AW46" s="232">
        <f>'Cálculo PU'!Q248</f>
        <v>16.421800000000001</v>
      </c>
      <c r="AX46" s="168">
        <f t="shared" si="4"/>
        <v>-5.7416487200000006</v>
      </c>
      <c r="AZ46" s="147">
        <v>4724</v>
      </c>
      <c r="BA46" s="156">
        <v>43374</v>
      </c>
      <c r="BB46" s="156">
        <v>44690</v>
      </c>
      <c r="BC46" s="148" t="s">
        <v>952</v>
      </c>
      <c r="BD46" s="148" t="s">
        <v>823</v>
      </c>
      <c r="BE46" s="148" t="s">
        <v>943</v>
      </c>
      <c r="BF46" s="148">
        <v>907</v>
      </c>
      <c r="BG46" s="237">
        <f>'Cálculo PU'!L248</f>
        <v>1599</v>
      </c>
      <c r="BH46" s="168">
        <f t="shared" si="5"/>
        <v>-692</v>
      </c>
    </row>
    <row r="47" spans="2:60">
      <c r="B47" s="226">
        <v>4777</v>
      </c>
      <c r="C47" s="227">
        <v>43374</v>
      </c>
      <c r="D47" s="227">
        <v>44720</v>
      </c>
      <c r="E47" s="227" t="s">
        <v>952</v>
      </c>
      <c r="F47" s="227" t="s">
        <v>823</v>
      </c>
      <c r="G47" s="227" t="s">
        <v>953</v>
      </c>
      <c r="H47" s="227">
        <v>261.34448060260399</v>
      </c>
      <c r="I47" s="232">
        <f>'Cálculo PU'!V249</f>
        <v>162.52648193450429</v>
      </c>
      <c r="J47" s="235">
        <f t="shared" si="0"/>
        <v>-98.817998668099705</v>
      </c>
      <c r="L47" s="147">
        <v>4776</v>
      </c>
      <c r="M47" s="156">
        <v>43374</v>
      </c>
      <c r="N47" s="156">
        <v>44720</v>
      </c>
      <c r="O47" s="148" t="s">
        <v>952</v>
      </c>
      <c r="P47" s="148" t="s">
        <v>823</v>
      </c>
      <c r="Q47" s="148" t="s">
        <v>827</v>
      </c>
      <c r="R47" s="148">
        <v>1.0953120680770001</v>
      </c>
      <c r="S47" s="148">
        <f>'Cálculo PU'!O249</f>
        <v>1.1721659976106975</v>
      </c>
      <c r="T47" s="168">
        <f t="shared" si="1"/>
        <v>-7.6853929533697407E-2</v>
      </c>
      <c r="V47" s="147">
        <v>4764</v>
      </c>
      <c r="W47" s="156">
        <v>43374</v>
      </c>
      <c r="X47" s="156">
        <v>44720</v>
      </c>
      <c r="Y47" s="148" t="s">
        <v>952</v>
      </c>
      <c r="Z47" s="148" t="s">
        <v>823</v>
      </c>
      <c r="AA47" s="148" t="s">
        <v>954</v>
      </c>
      <c r="AB47" s="232">
        <v>286.25376352934802</v>
      </c>
      <c r="AC47" s="232">
        <f>'Cálculo PU'!U249</f>
        <v>190.50801583491523</v>
      </c>
      <c r="AD47" s="168">
        <f t="shared" si="2"/>
        <v>95.745747694432794</v>
      </c>
      <c r="AF47" s="147">
        <v>4754</v>
      </c>
      <c r="AG47" s="156">
        <v>43374</v>
      </c>
      <c r="AH47" s="156">
        <v>44720</v>
      </c>
      <c r="AI47" s="148" t="s">
        <v>952</v>
      </c>
      <c r="AJ47" s="148" t="s">
        <v>823</v>
      </c>
      <c r="AK47" s="148" t="s">
        <v>956</v>
      </c>
      <c r="AL47" s="232">
        <v>416.93291573065602</v>
      </c>
      <c r="AM47" s="232">
        <f>'Cálculo PU'!T249</f>
        <v>506.54074216677247</v>
      </c>
      <c r="AN47" s="168">
        <f t="shared" si="3"/>
        <v>-89.607826436116454</v>
      </c>
      <c r="AP47" s="147">
        <v>4762</v>
      </c>
      <c r="AQ47" s="156">
        <v>43374</v>
      </c>
      <c r="AR47" s="156">
        <v>44720</v>
      </c>
      <c r="AS47" s="148" t="s">
        <v>952</v>
      </c>
      <c r="AT47" s="148" t="s">
        <v>823</v>
      </c>
      <c r="AU47" s="148" t="s">
        <v>942</v>
      </c>
      <c r="AV47" s="232">
        <v>10.739032760000001</v>
      </c>
      <c r="AW47" s="232">
        <f>'Cálculo PU'!Q249</f>
        <v>16.419</v>
      </c>
      <c r="AX47" s="168">
        <f t="shared" si="4"/>
        <v>-5.6799672399999999</v>
      </c>
      <c r="AZ47" s="147">
        <v>4763</v>
      </c>
      <c r="BA47" s="156">
        <v>43374</v>
      </c>
      <c r="BB47" s="156">
        <v>44720</v>
      </c>
      <c r="BC47" s="148" t="s">
        <v>952</v>
      </c>
      <c r="BD47" s="148" t="s">
        <v>823</v>
      </c>
      <c r="BE47" s="148" t="s">
        <v>943</v>
      </c>
      <c r="BF47" s="148">
        <v>929</v>
      </c>
      <c r="BG47" s="237">
        <f>'Cálculo PU'!L249</f>
        <v>1621</v>
      </c>
      <c r="BH47" s="168">
        <f t="shared" si="5"/>
        <v>-692</v>
      </c>
    </row>
    <row r="48" spans="2:60">
      <c r="B48" s="226">
        <v>4816</v>
      </c>
      <c r="C48" s="227">
        <v>43374</v>
      </c>
      <c r="D48" s="227">
        <v>44750</v>
      </c>
      <c r="E48" s="227" t="s">
        <v>952</v>
      </c>
      <c r="F48" s="227" t="s">
        <v>823</v>
      </c>
      <c r="G48" s="227" t="s">
        <v>953</v>
      </c>
      <c r="H48" s="227">
        <v>239.89176806041601</v>
      </c>
      <c r="I48" s="232">
        <f>'Cálculo PU'!V250</f>
        <v>150.21418538028675</v>
      </c>
      <c r="J48" s="235">
        <f t="shared" si="0"/>
        <v>-89.677582680129262</v>
      </c>
      <c r="L48" s="147">
        <v>4815</v>
      </c>
      <c r="M48" s="156">
        <v>43374</v>
      </c>
      <c r="N48" s="156">
        <v>44750</v>
      </c>
      <c r="O48" s="148" t="s">
        <v>952</v>
      </c>
      <c r="P48" s="148" t="s">
        <v>823</v>
      </c>
      <c r="Q48" s="148" t="s">
        <v>827</v>
      </c>
      <c r="R48" s="148">
        <v>1.0975684748450001</v>
      </c>
      <c r="S48" s="148">
        <f>'Cálculo PU'!O250</f>
        <v>1.174580727957488</v>
      </c>
      <c r="T48" s="168">
        <f t="shared" si="1"/>
        <v>-7.7012253112487938E-2</v>
      </c>
      <c r="V48" s="147">
        <v>4803</v>
      </c>
      <c r="W48" s="156">
        <v>43374</v>
      </c>
      <c r="X48" s="156">
        <v>44750</v>
      </c>
      <c r="Y48" s="148" t="s">
        <v>952</v>
      </c>
      <c r="Z48" s="148" t="s">
        <v>823</v>
      </c>
      <c r="AA48" s="148" t="s">
        <v>954</v>
      </c>
      <c r="AB48" s="232">
        <v>263.29764199794101</v>
      </c>
      <c r="AC48" s="232">
        <f>'Cálculo PU'!U250</f>
        <v>176.43868721351828</v>
      </c>
      <c r="AD48" s="168">
        <f t="shared" si="2"/>
        <v>86.858954784422735</v>
      </c>
      <c r="AF48" s="147">
        <v>4793</v>
      </c>
      <c r="AG48" s="156">
        <v>43374</v>
      </c>
      <c r="AH48" s="156">
        <v>44750</v>
      </c>
      <c r="AI48" s="148" t="s">
        <v>952</v>
      </c>
      <c r="AJ48" s="148" t="s">
        <v>823</v>
      </c>
      <c r="AK48" s="148" t="s">
        <v>956</v>
      </c>
      <c r="AL48" s="232">
        <v>387.41050318437902</v>
      </c>
      <c r="AM48" s="232">
        <f>'Cálculo PU'!T250</f>
        <v>475.03857154668526</v>
      </c>
      <c r="AN48" s="168">
        <f t="shared" si="3"/>
        <v>-87.628068362306237</v>
      </c>
      <c r="AP48" s="147">
        <v>4801</v>
      </c>
      <c r="AQ48" s="156">
        <v>43374</v>
      </c>
      <c r="AR48" s="156">
        <v>44750</v>
      </c>
      <c r="AS48" s="148" t="s">
        <v>952</v>
      </c>
      <c r="AT48" s="148" t="s">
        <v>823</v>
      </c>
      <c r="AU48" s="148" t="s">
        <v>942</v>
      </c>
      <c r="AV48" s="232">
        <v>10.78758859</v>
      </c>
      <c r="AW48" s="232">
        <f>'Cálculo PU'!Q250</f>
        <v>16.4162</v>
      </c>
      <c r="AX48" s="168">
        <f t="shared" si="4"/>
        <v>-5.6286114099999995</v>
      </c>
      <c r="AZ48" s="147">
        <v>4802</v>
      </c>
      <c r="BA48" s="156">
        <v>43374</v>
      </c>
      <c r="BB48" s="156">
        <v>44750</v>
      </c>
      <c r="BC48" s="148" t="s">
        <v>952</v>
      </c>
      <c r="BD48" s="148" t="s">
        <v>823</v>
      </c>
      <c r="BE48" s="148" t="s">
        <v>943</v>
      </c>
      <c r="BF48" s="148">
        <v>950</v>
      </c>
      <c r="BG48" s="237">
        <f>'Cálculo PU'!L250</f>
        <v>1642</v>
      </c>
      <c r="BH48" s="168">
        <f t="shared" si="5"/>
        <v>-692</v>
      </c>
    </row>
    <row r="49" spans="2:60">
      <c r="B49" s="226">
        <v>4855</v>
      </c>
      <c r="C49" s="227">
        <v>43374</v>
      </c>
      <c r="D49" s="227">
        <v>44781</v>
      </c>
      <c r="E49" s="227" t="s">
        <v>952</v>
      </c>
      <c r="F49" s="227" t="s">
        <v>823</v>
      </c>
      <c r="G49" s="227" t="s">
        <v>953</v>
      </c>
      <c r="H49" s="227">
        <v>225.84466628163599</v>
      </c>
      <c r="I49" s="232">
        <f>'Cálculo PU'!V251</f>
        <v>145.39531134898152</v>
      </c>
      <c r="J49" s="235">
        <f t="shared" si="0"/>
        <v>-80.449354932654472</v>
      </c>
      <c r="L49" s="147">
        <v>4854</v>
      </c>
      <c r="M49" s="156">
        <v>43374</v>
      </c>
      <c r="N49" s="156">
        <v>44781</v>
      </c>
      <c r="O49" s="148" t="s">
        <v>952</v>
      </c>
      <c r="P49" s="148" t="s">
        <v>823</v>
      </c>
      <c r="Q49" s="148" t="s">
        <v>827</v>
      </c>
      <c r="R49" s="148">
        <v>1.0998295299430001</v>
      </c>
      <c r="S49" s="148">
        <f>'Cálculo PU'!O251</f>
        <v>1.1770004327896839</v>
      </c>
      <c r="T49" s="168">
        <f t="shared" si="1"/>
        <v>-7.717090284668382E-2</v>
      </c>
      <c r="V49" s="147">
        <v>4842</v>
      </c>
      <c r="W49" s="156">
        <v>43374</v>
      </c>
      <c r="X49" s="156">
        <v>44781</v>
      </c>
      <c r="Y49" s="148" t="s">
        <v>952</v>
      </c>
      <c r="Z49" s="148" t="s">
        <v>823</v>
      </c>
      <c r="AA49" s="148" t="s">
        <v>954</v>
      </c>
      <c r="AB49" s="232">
        <v>248.39063315666601</v>
      </c>
      <c r="AC49" s="232">
        <f>'Cálculo PU'!U251</f>
        <v>171.13034438334208</v>
      </c>
      <c r="AD49" s="168">
        <f t="shared" si="2"/>
        <v>77.260288773323936</v>
      </c>
      <c r="AF49" s="147">
        <v>4832</v>
      </c>
      <c r="AG49" s="156">
        <v>43374</v>
      </c>
      <c r="AH49" s="156">
        <v>44781</v>
      </c>
      <c r="AI49" s="148" t="s">
        <v>952</v>
      </c>
      <c r="AJ49" s="148" t="s">
        <v>823</v>
      </c>
      <c r="AK49" s="148" t="s">
        <v>956</v>
      </c>
      <c r="AL49" s="232">
        <v>369.12031764136702</v>
      </c>
      <c r="AM49" s="232">
        <f>'Cálculo PU'!T251</f>
        <v>466.54578091684732</v>
      </c>
      <c r="AN49" s="168">
        <f t="shared" si="3"/>
        <v>-97.425463275480297</v>
      </c>
      <c r="AP49" s="147">
        <v>4840</v>
      </c>
      <c r="AQ49" s="156">
        <v>43374</v>
      </c>
      <c r="AR49" s="156">
        <v>44781</v>
      </c>
      <c r="AS49" s="148" t="s">
        <v>952</v>
      </c>
      <c r="AT49" s="148" t="s">
        <v>823</v>
      </c>
      <c r="AU49" s="148" t="s">
        <v>942</v>
      </c>
      <c r="AV49" s="232">
        <v>10.827366339999999</v>
      </c>
      <c r="AW49" s="232">
        <f>'Cálculo PU'!Q251</f>
        <v>16.413399999999999</v>
      </c>
      <c r="AX49" s="168">
        <f t="shared" si="4"/>
        <v>-5.58603366</v>
      </c>
      <c r="AZ49" s="147">
        <v>4841</v>
      </c>
      <c r="BA49" s="156">
        <v>43374</v>
      </c>
      <c r="BB49" s="156">
        <v>44781</v>
      </c>
      <c r="BC49" s="148" t="s">
        <v>952</v>
      </c>
      <c r="BD49" s="148" t="s">
        <v>823</v>
      </c>
      <c r="BE49" s="148" t="s">
        <v>943</v>
      </c>
      <c r="BF49" s="148">
        <v>971</v>
      </c>
      <c r="BG49" s="237">
        <f>'Cálculo PU'!L251</f>
        <v>1663</v>
      </c>
      <c r="BH49" s="168">
        <f t="shared" si="5"/>
        <v>-692</v>
      </c>
    </row>
    <row r="50" spans="2:60">
      <c r="B50" s="226">
        <v>4894</v>
      </c>
      <c r="C50" s="227">
        <v>43374</v>
      </c>
      <c r="D50" s="227">
        <v>44813</v>
      </c>
      <c r="E50" s="227" t="s">
        <v>952</v>
      </c>
      <c r="F50" s="227" t="s">
        <v>823</v>
      </c>
      <c r="G50" s="227" t="s">
        <v>953</v>
      </c>
      <c r="H50" s="227">
        <v>240.010521608365</v>
      </c>
      <c r="I50" s="232">
        <f>'Cálculo PU'!V252</f>
        <v>154.0970669962305</v>
      </c>
      <c r="J50" s="235">
        <f t="shared" si="0"/>
        <v>-85.913454612134501</v>
      </c>
      <c r="L50" s="147">
        <v>4893</v>
      </c>
      <c r="M50" s="156">
        <v>43374</v>
      </c>
      <c r="N50" s="156">
        <v>44813</v>
      </c>
      <c r="O50" s="148" t="s">
        <v>952</v>
      </c>
      <c r="P50" s="148" t="s">
        <v>823</v>
      </c>
      <c r="Q50" s="148" t="s">
        <v>827</v>
      </c>
      <c r="R50" s="148">
        <v>1.102311268415</v>
      </c>
      <c r="S50" s="148">
        <f>'Cálculo PU'!O252</f>
        <v>1.1796563055193754</v>
      </c>
      <c r="T50" s="168">
        <f t="shared" si="1"/>
        <v>-7.7345037104375347E-2</v>
      </c>
      <c r="V50" s="147">
        <v>4881</v>
      </c>
      <c r="W50" s="156">
        <v>43374</v>
      </c>
      <c r="X50" s="156">
        <v>44813</v>
      </c>
      <c r="Y50" s="148" t="s">
        <v>952</v>
      </c>
      <c r="Z50" s="148" t="s">
        <v>823</v>
      </c>
      <c r="AA50" s="148" t="s">
        <v>954</v>
      </c>
      <c r="AB50" s="232">
        <v>264.56630250706303</v>
      </c>
      <c r="AC50" s="232">
        <f>'Cálculo PU'!U252</f>
        <v>181.78157674414493</v>
      </c>
      <c r="AD50" s="168">
        <f t="shared" si="2"/>
        <v>82.7847257629181</v>
      </c>
      <c r="AF50" s="147">
        <v>4871</v>
      </c>
      <c r="AG50" s="156">
        <v>43374</v>
      </c>
      <c r="AH50" s="156">
        <v>44813</v>
      </c>
      <c r="AI50" s="148" t="s">
        <v>952</v>
      </c>
      <c r="AJ50" s="148" t="s">
        <v>823</v>
      </c>
      <c r="AK50" s="148" t="s">
        <v>956</v>
      </c>
      <c r="AL50" s="232">
        <v>397.453105917833</v>
      </c>
      <c r="AM50" s="232">
        <f>'Cálculo PU'!T252</f>
        <v>502.41929428817753</v>
      </c>
      <c r="AN50" s="168">
        <f t="shared" si="3"/>
        <v>-104.96618837034453</v>
      </c>
      <c r="AP50" s="147">
        <v>4879</v>
      </c>
      <c r="AQ50" s="156">
        <v>43374</v>
      </c>
      <c r="AR50" s="156">
        <v>44813</v>
      </c>
      <c r="AS50" s="148" t="s">
        <v>952</v>
      </c>
      <c r="AT50" s="148" t="s">
        <v>823</v>
      </c>
      <c r="AU50" s="148" t="s">
        <v>942</v>
      </c>
      <c r="AV50" s="232">
        <v>10.86901926</v>
      </c>
      <c r="AW50" s="232">
        <f>'Cálculo PU'!Q252</f>
        <v>16.410399999999999</v>
      </c>
      <c r="AX50" s="168">
        <f t="shared" si="4"/>
        <v>-5.5413807399999992</v>
      </c>
      <c r="AZ50" s="147">
        <v>4880</v>
      </c>
      <c r="BA50" s="156">
        <v>43374</v>
      </c>
      <c r="BB50" s="156">
        <v>44813</v>
      </c>
      <c r="BC50" s="148" t="s">
        <v>952</v>
      </c>
      <c r="BD50" s="148" t="s">
        <v>823</v>
      </c>
      <c r="BE50" s="148" t="s">
        <v>943</v>
      </c>
      <c r="BF50" s="148">
        <v>994</v>
      </c>
      <c r="BG50" s="237">
        <f>'Cálculo PU'!L252</f>
        <v>1686</v>
      </c>
      <c r="BH50" s="168">
        <f t="shared" si="5"/>
        <v>-692</v>
      </c>
    </row>
    <row r="51" spans="2:60">
      <c r="B51" s="226">
        <v>4933</v>
      </c>
      <c r="C51" s="227">
        <v>43374</v>
      </c>
      <c r="D51" s="227">
        <v>44845</v>
      </c>
      <c r="E51" s="227" t="s">
        <v>952</v>
      </c>
      <c r="F51" s="227" t="s">
        <v>823</v>
      </c>
      <c r="G51" s="227" t="s">
        <v>953</v>
      </c>
      <c r="H51" s="227">
        <v>225.157832963147</v>
      </c>
      <c r="I51" s="232">
        <f>'Cálculo PU'!V253</f>
        <v>142.72028828597962</v>
      </c>
      <c r="J51" s="235">
        <f t="shared" si="0"/>
        <v>-82.437544677167381</v>
      </c>
      <c r="L51" s="147">
        <v>4932</v>
      </c>
      <c r="M51" s="156">
        <v>43374</v>
      </c>
      <c r="N51" s="156">
        <v>44845</v>
      </c>
      <c r="O51" s="148" t="s">
        <v>952</v>
      </c>
      <c r="P51" s="148" t="s">
        <v>823</v>
      </c>
      <c r="Q51" s="148" t="s">
        <v>827</v>
      </c>
      <c r="R51" s="148">
        <v>1.1045820939440001</v>
      </c>
      <c r="S51" s="148">
        <f>'Cálculo PU'!O253</f>
        <v>1.1820864663374906</v>
      </c>
      <c r="T51" s="168">
        <f t="shared" si="1"/>
        <v>-7.7504372393490506E-2</v>
      </c>
      <c r="V51" s="147">
        <v>4920</v>
      </c>
      <c r="W51" s="156">
        <v>43374</v>
      </c>
      <c r="X51" s="156">
        <v>44845</v>
      </c>
      <c r="Y51" s="148" t="s">
        <v>952</v>
      </c>
      <c r="Z51" s="148" t="s">
        <v>823</v>
      </c>
      <c r="AA51" s="148" t="s">
        <v>954</v>
      </c>
      <c r="AB51" s="232">
        <v>248.70531060232699</v>
      </c>
      <c r="AC51" s="232">
        <f>'Cálculo PU'!U253</f>
        <v>168.7077212546416</v>
      </c>
      <c r="AD51" s="168">
        <f t="shared" si="2"/>
        <v>79.997589347685391</v>
      </c>
      <c r="AF51" s="147">
        <v>4910</v>
      </c>
      <c r="AG51" s="156">
        <v>43374</v>
      </c>
      <c r="AH51" s="156">
        <v>44845</v>
      </c>
      <c r="AI51" s="148" t="s">
        <v>952</v>
      </c>
      <c r="AJ51" s="148" t="s">
        <v>823</v>
      </c>
      <c r="AK51" s="148" t="s">
        <v>956</v>
      </c>
      <c r="AL51" s="232">
        <v>377.41109243814702</v>
      </c>
      <c r="AM51" s="232">
        <f>'Cálculo PU'!T253</f>
        <v>472.1527077056723</v>
      </c>
      <c r="AN51" s="168">
        <f t="shared" si="3"/>
        <v>-94.741615267525276</v>
      </c>
      <c r="AP51" s="147">
        <v>4918</v>
      </c>
      <c r="AQ51" s="156">
        <v>43374</v>
      </c>
      <c r="AR51" s="156">
        <v>44845</v>
      </c>
      <c r="AS51" s="148" t="s">
        <v>952</v>
      </c>
      <c r="AT51" s="148" t="s">
        <v>823</v>
      </c>
      <c r="AU51" s="148" t="s">
        <v>942</v>
      </c>
      <c r="AV51" s="232">
        <v>10.909847449999999</v>
      </c>
      <c r="AW51" s="232">
        <f>'Cálculo PU'!Q253</f>
        <v>16.407699999999998</v>
      </c>
      <c r="AX51" s="168">
        <f t="shared" si="4"/>
        <v>-5.4978525499999993</v>
      </c>
      <c r="AZ51" s="147">
        <v>4919</v>
      </c>
      <c r="BA51" s="156">
        <v>43374</v>
      </c>
      <c r="BB51" s="156">
        <v>44845</v>
      </c>
      <c r="BC51" s="148" t="s">
        <v>952</v>
      </c>
      <c r="BD51" s="148" t="s">
        <v>823</v>
      </c>
      <c r="BE51" s="148" t="s">
        <v>943</v>
      </c>
      <c r="BF51" s="148">
        <v>1015</v>
      </c>
      <c r="BG51" s="237">
        <f>'Cálculo PU'!L253</f>
        <v>1707</v>
      </c>
      <c r="BH51" s="168">
        <f t="shared" si="5"/>
        <v>-692</v>
      </c>
    </row>
    <row r="52" spans="2:60">
      <c r="B52" s="226">
        <v>4972</v>
      </c>
      <c r="C52" s="227">
        <v>43374</v>
      </c>
      <c r="D52" s="227">
        <v>44875</v>
      </c>
      <c r="E52" s="227" t="s">
        <v>952</v>
      </c>
      <c r="F52" s="227" t="s">
        <v>823</v>
      </c>
      <c r="G52" s="227" t="s">
        <v>953</v>
      </c>
      <c r="H52" s="227">
        <v>204.0948272343</v>
      </c>
      <c r="I52" s="232">
        <f>'Cálculo PU'!V254</f>
        <v>125.63936862206999</v>
      </c>
      <c r="J52" s="235">
        <f t="shared" si="0"/>
        <v>-78.455458612230004</v>
      </c>
      <c r="L52" s="147">
        <v>4971</v>
      </c>
      <c r="M52" s="156">
        <v>43374</v>
      </c>
      <c r="N52" s="156">
        <v>44875</v>
      </c>
      <c r="O52" s="148" t="s">
        <v>952</v>
      </c>
      <c r="P52" s="148" t="s">
        <v>823</v>
      </c>
      <c r="Q52" s="148" t="s">
        <v>827</v>
      </c>
      <c r="R52" s="148">
        <v>1.1067491339740001</v>
      </c>
      <c r="S52" s="148">
        <f>'Cálculo PU'!O254</f>
        <v>1.1844055594179628</v>
      </c>
      <c r="T52" s="168">
        <f t="shared" si="1"/>
        <v>-7.7656425443962673E-2</v>
      </c>
      <c r="V52" s="147">
        <v>4959</v>
      </c>
      <c r="W52" s="156">
        <v>43374</v>
      </c>
      <c r="X52" s="156">
        <v>44875</v>
      </c>
      <c r="Y52" s="148" t="s">
        <v>952</v>
      </c>
      <c r="Z52" s="148" t="s">
        <v>823</v>
      </c>
      <c r="AA52" s="148" t="s">
        <v>954</v>
      </c>
      <c r="AB52" s="232">
        <v>225.88177329013499</v>
      </c>
      <c r="AC52" s="232">
        <f>'Cálculo PU'!U254</f>
        <v>148.80796667774246</v>
      </c>
      <c r="AD52" s="168">
        <f t="shared" si="2"/>
        <v>77.073806612392531</v>
      </c>
      <c r="AF52" s="147">
        <v>4949</v>
      </c>
      <c r="AG52" s="156">
        <v>43374</v>
      </c>
      <c r="AH52" s="156">
        <v>44875</v>
      </c>
      <c r="AI52" s="148" t="s">
        <v>952</v>
      </c>
      <c r="AJ52" s="148" t="s">
        <v>823</v>
      </c>
      <c r="AK52" s="148" t="s">
        <v>956</v>
      </c>
      <c r="AL52" s="232">
        <v>346.15397464464399</v>
      </c>
      <c r="AM52" s="232">
        <f>'Cálculo PU'!T254</f>
        <v>421.45284292474429</v>
      </c>
      <c r="AN52" s="168">
        <f t="shared" si="3"/>
        <v>-75.298868280100294</v>
      </c>
      <c r="AP52" s="147">
        <v>4957</v>
      </c>
      <c r="AQ52" s="156">
        <v>43374</v>
      </c>
      <c r="AR52" s="156">
        <v>44875</v>
      </c>
      <c r="AS52" s="148" t="s">
        <v>952</v>
      </c>
      <c r="AT52" s="148" t="s">
        <v>823</v>
      </c>
      <c r="AU52" s="148" t="s">
        <v>942</v>
      </c>
      <c r="AV52" s="232">
        <v>10.95272692</v>
      </c>
      <c r="AW52" s="232">
        <f>'Cálculo PU'!Q254</f>
        <v>16.4053</v>
      </c>
      <c r="AX52" s="168">
        <f t="shared" si="4"/>
        <v>-5.4525730800000005</v>
      </c>
      <c r="AZ52" s="147">
        <v>4958</v>
      </c>
      <c r="BA52" s="156">
        <v>43374</v>
      </c>
      <c r="BB52" s="156">
        <v>44875</v>
      </c>
      <c r="BC52" s="148" t="s">
        <v>952</v>
      </c>
      <c r="BD52" s="148" t="s">
        <v>823</v>
      </c>
      <c r="BE52" s="148" t="s">
        <v>943</v>
      </c>
      <c r="BF52" s="148">
        <v>1035</v>
      </c>
      <c r="BG52" s="237">
        <f>'Cálculo PU'!L254</f>
        <v>1727</v>
      </c>
      <c r="BH52" s="168">
        <f t="shared" si="5"/>
        <v>-692</v>
      </c>
    </row>
    <row r="53" spans="2:60">
      <c r="B53" s="226">
        <v>5011</v>
      </c>
      <c r="C53" s="227">
        <v>43374</v>
      </c>
      <c r="D53" s="227">
        <v>44903</v>
      </c>
      <c r="E53" s="227" t="s">
        <v>952</v>
      </c>
      <c r="F53" s="227" t="s">
        <v>823</v>
      </c>
      <c r="G53" s="227" t="s">
        <v>953</v>
      </c>
      <c r="H53" s="227">
        <v>188.175128722837</v>
      </c>
      <c r="I53" s="232">
        <f>'Cálculo PU'!V255</f>
        <v>115.58997716619351</v>
      </c>
      <c r="J53" s="235">
        <f t="shared" si="0"/>
        <v>-72.585151556643495</v>
      </c>
      <c r="L53" s="147">
        <v>5010</v>
      </c>
      <c r="M53" s="156">
        <v>43374</v>
      </c>
      <c r="N53" s="156">
        <v>44903</v>
      </c>
      <c r="O53" s="148" t="s">
        <v>952</v>
      </c>
      <c r="P53" s="148" t="s">
        <v>823</v>
      </c>
      <c r="Q53" s="148" t="s">
        <v>827</v>
      </c>
      <c r="R53" s="148">
        <v>1.108920425442</v>
      </c>
      <c r="S53" s="148">
        <f>'Cálculo PU'!O255</f>
        <v>1.1867292022440494</v>
      </c>
      <c r="T53" s="168">
        <f t="shared" si="1"/>
        <v>-7.7808776802049451E-2</v>
      </c>
      <c r="V53" s="147">
        <v>4998</v>
      </c>
      <c r="W53" s="156">
        <v>43374</v>
      </c>
      <c r="X53" s="156">
        <v>44903</v>
      </c>
      <c r="Y53" s="148" t="s">
        <v>952</v>
      </c>
      <c r="Z53" s="148" t="s">
        <v>823</v>
      </c>
      <c r="AA53" s="148" t="s">
        <v>954</v>
      </c>
      <c r="AB53" s="232">
        <v>208.67124380093099</v>
      </c>
      <c r="AC53" s="232">
        <f>'Cálculo PU'!U255</f>
        <v>137.1740013898447</v>
      </c>
      <c r="AD53" s="168">
        <f t="shared" si="2"/>
        <v>71.49724241108629</v>
      </c>
      <c r="AF53" s="147">
        <v>4988</v>
      </c>
      <c r="AG53" s="156">
        <v>43374</v>
      </c>
      <c r="AH53" s="156">
        <v>44903</v>
      </c>
      <c r="AI53" s="148" t="s">
        <v>952</v>
      </c>
      <c r="AJ53" s="148" t="s">
        <v>823</v>
      </c>
      <c r="AK53" s="148" t="s">
        <v>956</v>
      </c>
      <c r="AL53" s="232">
        <v>322.93065352931097</v>
      </c>
      <c r="AM53" s="232">
        <f>'Cálculo PU'!T255</f>
        <v>393.15688318977732</v>
      </c>
      <c r="AN53" s="168">
        <f t="shared" si="3"/>
        <v>-70.226229660466345</v>
      </c>
      <c r="AP53" s="147">
        <v>4996</v>
      </c>
      <c r="AQ53" s="156">
        <v>43374</v>
      </c>
      <c r="AR53" s="156">
        <v>44903</v>
      </c>
      <c r="AS53" s="148" t="s">
        <v>952</v>
      </c>
      <c r="AT53" s="148" t="s">
        <v>823</v>
      </c>
      <c r="AU53" s="148" t="s">
        <v>942</v>
      </c>
      <c r="AV53" s="232">
        <v>10.99399627</v>
      </c>
      <c r="AW53" s="232">
        <f>'Cálculo PU'!Q255</f>
        <v>16.402799999999999</v>
      </c>
      <c r="AX53" s="168">
        <f t="shared" si="4"/>
        <v>-5.4088037299999989</v>
      </c>
      <c r="AZ53" s="147">
        <v>4997</v>
      </c>
      <c r="BA53" s="156">
        <v>43374</v>
      </c>
      <c r="BB53" s="156">
        <v>44903</v>
      </c>
      <c r="BC53" s="148" t="s">
        <v>952</v>
      </c>
      <c r="BD53" s="148" t="s">
        <v>823</v>
      </c>
      <c r="BE53" s="148" t="s">
        <v>943</v>
      </c>
      <c r="BF53" s="148">
        <v>1055</v>
      </c>
      <c r="BG53" s="237">
        <f>'Cálculo PU'!L255</f>
        <v>1747</v>
      </c>
      <c r="BH53" s="168">
        <f t="shared" si="5"/>
        <v>-692</v>
      </c>
    </row>
    <row r="54" spans="2:60">
      <c r="B54" s="226">
        <v>5050</v>
      </c>
      <c r="C54" s="227">
        <v>43374</v>
      </c>
      <c r="D54" s="227">
        <v>44935</v>
      </c>
      <c r="E54" s="227" t="s">
        <v>952</v>
      </c>
      <c r="F54" s="227" t="s">
        <v>823</v>
      </c>
      <c r="G54" s="227" t="s">
        <v>953</v>
      </c>
      <c r="H54" s="227">
        <v>211.728603059395</v>
      </c>
      <c r="I54" s="232">
        <f>'Cálculo PU'!V256</f>
        <v>130.15096715739182</v>
      </c>
      <c r="J54" s="235">
        <f t="shared" si="0"/>
        <v>-81.57763590200318</v>
      </c>
      <c r="L54" s="147">
        <v>5049</v>
      </c>
      <c r="M54" s="156">
        <v>43374</v>
      </c>
      <c r="N54" s="156">
        <v>44935</v>
      </c>
      <c r="O54" s="148" t="s">
        <v>952</v>
      </c>
      <c r="P54" s="148" t="s">
        <v>823</v>
      </c>
      <c r="Q54" s="148" t="s">
        <v>827</v>
      </c>
      <c r="R54" s="148">
        <v>1.1113137664220001</v>
      </c>
      <c r="S54" s="148">
        <f>'Cálculo PU'!O256</f>
        <v>1.1892904749626119</v>
      </c>
      <c r="T54" s="168">
        <f t="shared" si="1"/>
        <v>-7.7976708540611783E-2</v>
      </c>
      <c r="V54" s="147">
        <v>5037</v>
      </c>
      <c r="W54" s="156">
        <v>43374</v>
      </c>
      <c r="X54" s="156">
        <v>44935</v>
      </c>
      <c r="Y54" s="148" t="s">
        <v>952</v>
      </c>
      <c r="Z54" s="148" t="s">
        <v>823</v>
      </c>
      <c r="AA54" s="148" t="s">
        <v>954</v>
      </c>
      <c r="AB54" s="232">
        <v>235.29691132520401</v>
      </c>
      <c r="AC54" s="232">
        <f>'Cálculo PU'!U256</f>
        <v>154.78730554745781</v>
      </c>
      <c r="AD54" s="168">
        <f t="shared" si="2"/>
        <v>80.509605777746202</v>
      </c>
      <c r="AF54" s="147">
        <v>5027</v>
      </c>
      <c r="AG54" s="156">
        <v>43374</v>
      </c>
      <c r="AH54" s="156">
        <v>44935</v>
      </c>
      <c r="AI54" s="148" t="s">
        <v>952</v>
      </c>
      <c r="AJ54" s="148" t="s">
        <v>823</v>
      </c>
      <c r="AK54" s="148" t="s">
        <v>956</v>
      </c>
      <c r="AL54" s="232">
        <v>368.09569420922003</v>
      </c>
      <c r="AM54" s="232">
        <f>'Cálculo PU'!T256</f>
        <v>449.50084058627789</v>
      </c>
      <c r="AN54" s="168">
        <f t="shared" si="3"/>
        <v>-81.405146377057861</v>
      </c>
      <c r="AP54" s="147">
        <v>5035</v>
      </c>
      <c r="AQ54" s="156">
        <v>43374</v>
      </c>
      <c r="AR54" s="156">
        <v>44935</v>
      </c>
      <c r="AS54" s="148" t="s">
        <v>952</v>
      </c>
      <c r="AT54" s="148" t="s">
        <v>823</v>
      </c>
      <c r="AU54" s="148" t="s">
        <v>942</v>
      </c>
      <c r="AV54" s="232">
        <v>11.03844404</v>
      </c>
      <c r="AW54" s="232">
        <f>'Cálculo PU'!Q256</f>
        <v>16.400600000000001</v>
      </c>
      <c r="AX54" s="168">
        <f t="shared" si="4"/>
        <v>-5.3621559600000008</v>
      </c>
      <c r="AZ54" s="147">
        <v>5036</v>
      </c>
      <c r="BA54" s="156">
        <v>43374</v>
      </c>
      <c r="BB54" s="156">
        <v>44935</v>
      </c>
      <c r="BC54" s="148" t="s">
        <v>952</v>
      </c>
      <c r="BD54" s="148" t="s">
        <v>823</v>
      </c>
      <c r="BE54" s="148" t="s">
        <v>943</v>
      </c>
      <c r="BF54" s="148">
        <v>1077</v>
      </c>
      <c r="BG54" s="237">
        <f>'Cálculo PU'!L256</f>
        <v>1769</v>
      </c>
      <c r="BH54" s="168">
        <f t="shared" si="5"/>
        <v>-692</v>
      </c>
    </row>
    <row r="55" spans="2:60">
      <c r="B55" s="226">
        <v>5089</v>
      </c>
      <c r="C55" s="227">
        <v>43374</v>
      </c>
      <c r="D55" s="227">
        <v>44965</v>
      </c>
      <c r="E55" s="227" t="s">
        <v>952</v>
      </c>
      <c r="F55" s="227" t="s">
        <v>823</v>
      </c>
      <c r="G55" s="227" t="s">
        <v>953</v>
      </c>
      <c r="H55" s="227">
        <v>206.08348227089701</v>
      </c>
      <c r="I55" s="232">
        <f>'Cálculo PU'!V257</f>
        <v>127.61157976200795</v>
      </c>
      <c r="J55" s="235">
        <f t="shared" si="0"/>
        <v>-78.471902508889059</v>
      </c>
      <c r="L55" s="147">
        <v>5088</v>
      </c>
      <c r="M55" s="156">
        <v>43374</v>
      </c>
      <c r="N55" s="156">
        <v>44965</v>
      </c>
      <c r="O55" s="148" t="s">
        <v>952</v>
      </c>
      <c r="P55" s="148" t="s">
        <v>823</v>
      </c>
      <c r="Q55" s="148" t="s">
        <v>827</v>
      </c>
      <c r="R55" s="148">
        <v>1.1137122728610001</v>
      </c>
      <c r="S55" s="148">
        <f>'Cálculo PU'!O257</f>
        <v>1.1918572755791366</v>
      </c>
      <c r="T55" s="168">
        <f t="shared" si="1"/>
        <v>-7.8145002718136514E-2</v>
      </c>
      <c r="V55" s="147">
        <v>5076</v>
      </c>
      <c r="W55" s="156">
        <v>43374</v>
      </c>
      <c r="X55" s="156">
        <v>44965</v>
      </c>
      <c r="Y55" s="148" t="s">
        <v>952</v>
      </c>
      <c r="Z55" s="148" t="s">
        <v>823</v>
      </c>
      <c r="AA55" s="148" t="s">
        <v>954</v>
      </c>
      <c r="AB55" s="232">
        <v>229.51770343903101</v>
      </c>
      <c r="AC55" s="232">
        <f>'Cálculo PU'!U257</f>
        <v>152.09478978749647</v>
      </c>
      <c r="AD55" s="168">
        <f t="shared" si="2"/>
        <v>77.422913651534543</v>
      </c>
      <c r="AF55" s="147">
        <v>5066</v>
      </c>
      <c r="AG55" s="156">
        <v>43374</v>
      </c>
      <c r="AH55" s="156">
        <v>44965</v>
      </c>
      <c r="AI55" s="148" t="s">
        <v>952</v>
      </c>
      <c r="AJ55" s="148" t="s">
        <v>823</v>
      </c>
      <c r="AK55" s="148" t="s">
        <v>956</v>
      </c>
      <c r="AL55" s="232">
        <v>362.97606203208102</v>
      </c>
      <c r="AM55" s="232">
        <f>'Cálculo PU'!T257</f>
        <v>447.530275701221</v>
      </c>
      <c r="AN55" s="168">
        <f t="shared" si="3"/>
        <v>-84.554213669139983</v>
      </c>
      <c r="AP55" s="147">
        <v>5074</v>
      </c>
      <c r="AQ55" s="156">
        <v>43374</v>
      </c>
      <c r="AR55" s="156">
        <v>44965</v>
      </c>
      <c r="AS55" s="148" t="s">
        <v>952</v>
      </c>
      <c r="AT55" s="148" t="s">
        <v>823</v>
      </c>
      <c r="AU55" s="148" t="s">
        <v>942</v>
      </c>
      <c r="AV55" s="232">
        <v>11.08226915</v>
      </c>
      <c r="AW55" s="232">
        <f>'Cálculo PU'!Q257</f>
        <v>16.398900000000001</v>
      </c>
      <c r="AX55" s="168">
        <f t="shared" si="4"/>
        <v>-5.316630850000001</v>
      </c>
      <c r="AZ55" s="147">
        <v>5075</v>
      </c>
      <c r="BA55" s="156">
        <v>43374</v>
      </c>
      <c r="BB55" s="156">
        <v>44965</v>
      </c>
      <c r="BC55" s="148" t="s">
        <v>952</v>
      </c>
      <c r="BD55" s="148" t="s">
        <v>823</v>
      </c>
      <c r="BE55" s="148" t="s">
        <v>943</v>
      </c>
      <c r="BF55" s="148">
        <v>1099</v>
      </c>
      <c r="BG55" s="237">
        <f>'Cálculo PU'!L257</f>
        <v>1791</v>
      </c>
      <c r="BH55" s="168">
        <f t="shared" si="5"/>
        <v>-692</v>
      </c>
    </row>
    <row r="56" spans="2:60">
      <c r="B56" s="226">
        <v>5128</v>
      </c>
      <c r="C56" s="227">
        <v>43374</v>
      </c>
      <c r="D56" s="227">
        <v>44993</v>
      </c>
      <c r="E56" s="227" t="s">
        <v>952</v>
      </c>
      <c r="F56" s="227" t="s">
        <v>823</v>
      </c>
      <c r="G56" s="227" t="s">
        <v>953</v>
      </c>
      <c r="H56" s="227">
        <v>163.430323150856</v>
      </c>
      <c r="I56" s="232">
        <f>'Cálculo PU'!V258</f>
        <v>100.9866553354295</v>
      </c>
      <c r="J56" s="235">
        <f t="shared" si="0"/>
        <v>-62.443667815426494</v>
      </c>
      <c r="L56" s="147">
        <v>5127</v>
      </c>
      <c r="M56" s="156">
        <v>43374</v>
      </c>
      <c r="N56" s="156">
        <v>44993</v>
      </c>
      <c r="O56" s="148" t="s">
        <v>952</v>
      </c>
      <c r="P56" s="148" t="s">
        <v>823</v>
      </c>
      <c r="Q56" s="148" t="s">
        <v>827</v>
      </c>
      <c r="R56" s="148">
        <v>1.1156785370840001</v>
      </c>
      <c r="S56" s="148">
        <f>'Cálculo PU'!O258</f>
        <v>1.1939615051695178</v>
      </c>
      <c r="T56" s="168">
        <f t="shared" si="1"/>
        <v>-7.8282968085517712E-2</v>
      </c>
      <c r="V56" s="147">
        <v>5115</v>
      </c>
      <c r="W56" s="156">
        <v>43374</v>
      </c>
      <c r="X56" s="156">
        <v>44993</v>
      </c>
      <c r="Y56" s="148" t="s">
        <v>952</v>
      </c>
      <c r="Z56" s="148" t="s">
        <v>823</v>
      </c>
      <c r="AA56" s="148" t="s">
        <v>954</v>
      </c>
      <c r="AB56" s="232">
        <v>182.33570384811301</v>
      </c>
      <c r="AC56" s="232">
        <f>'Cálculo PU'!U258</f>
        <v>120.57417900632473</v>
      </c>
      <c r="AD56" s="168">
        <f t="shared" si="2"/>
        <v>61.761524841788287</v>
      </c>
      <c r="AF56" s="147">
        <v>5105</v>
      </c>
      <c r="AG56" s="156">
        <v>43374</v>
      </c>
      <c r="AH56" s="156">
        <v>44993</v>
      </c>
      <c r="AI56" s="148" t="s">
        <v>952</v>
      </c>
      <c r="AJ56" s="148" t="s">
        <v>823</v>
      </c>
      <c r="AK56" s="148" t="s">
        <v>956</v>
      </c>
      <c r="AL56" s="232">
        <v>290.933082706432</v>
      </c>
      <c r="AM56" s="232">
        <f>'Cálculo PU'!T258</f>
        <v>358.62306026067932</v>
      </c>
      <c r="AN56" s="168">
        <f t="shared" si="3"/>
        <v>-67.689977554247321</v>
      </c>
      <c r="AP56" s="147">
        <v>5113</v>
      </c>
      <c r="AQ56" s="156">
        <v>43374</v>
      </c>
      <c r="AR56" s="156">
        <v>44993</v>
      </c>
      <c r="AS56" s="148" t="s">
        <v>952</v>
      </c>
      <c r="AT56" s="148" t="s">
        <v>823</v>
      </c>
      <c r="AU56" s="148" t="s">
        <v>942</v>
      </c>
      <c r="AV56" s="232">
        <v>11.11685422</v>
      </c>
      <c r="AW56" s="232">
        <f>'Cálculo PU'!Q258</f>
        <v>16.397600000000001</v>
      </c>
      <c r="AX56" s="168">
        <f t="shared" si="4"/>
        <v>-5.2807457800000002</v>
      </c>
      <c r="AZ56" s="147">
        <v>5114</v>
      </c>
      <c r="BA56" s="156">
        <v>43374</v>
      </c>
      <c r="BB56" s="156">
        <v>44993</v>
      </c>
      <c r="BC56" s="148" t="s">
        <v>952</v>
      </c>
      <c r="BD56" s="148" t="s">
        <v>823</v>
      </c>
      <c r="BE56" s="148" t="s">
        <v>943</v>
      </c>
      <c r="BF56" s="148">
        <v>1117</v>
      </c>
      <c r="BG56" s="237">
        <f>'Cálculo PU'!L258</f>
        <v>1809</v>
      </c>
      <c r="BH56" s="168">
        <f t="shared" si="5"/>
        <v>-692</v>
      </c>
    </row>
    <row r="57" spans="2:60">
      <c r="B57" s="226">
        <v>5167</v>
      </c>
      <c r="C57" s="227">
        <v>43374</v>
      </c>
      <c r="D57" s="227">
        <v>45027</v>
      </c>
      <c r="E57" s="227" t="s">
        <v>952</v>
      </c>
      <c r="F57" s="227" t="s">
        <v>823</v>
      </c>
      <c r="G57" s="227" t="s">
        <v>953</v>
      </c>
      <c r="H57" s="227">
        <v>200.62091917442899</v>
      </c>
      <c r="I57" s="232">
        <f>'Cálculo PU'!V259</f>
        <v>124.64159263483084</v>
      </c>
      <c r="J57" s="235">
        <f t="shared" si="0"/>
        <v>-75.979326539598148</v>
      </c>
      <c r="L57" s="147">
        <v>5166</v>
      </c>
      <c r="M57" s="156">
        <v>43374</v>
      </c>
      <c r="N57" s="156">
        <v>45027</v>
      </c>
      <c r="O57" s="148" t="s">
        <v>952</v>
      </c>
      <c r="P57" s="148" t="s">
        <v>823</v>
      </c>
      <c r="Q57" s="148" t="s">
        <v>827</v>
      </c>
      <c r="R57" s="148">
        <v>1.1181960384530001</v>
      </c>
      <c r="S57" s="148">
        <f>'Cálculo PU'!O259</f>
        <v>1.1966556501447794</v>
      </c>
      <c r="T57" s="168">
        <f t="shared" si="1"/>
        <v>-7.8459611691779285E-2</v>
      </c>
      <c r="V57" s="147">
        <v>5154</v>
      </c>
      <c r="W57" s="156">
        <v>43374</v>
      </c>
      <c r="X57" s="156">
        <v>45027</v>
      </c>
      <c r="Y57" s="148" t="s">
        <v>952</v>
      </c>
      <c r="Z57" s="148" t="s">
        <v>823</v>
      </c>
      <c r="AA57" s="148" t="s">
        <v>954</v>
      </c>
      <c r="AB57" s="232">
        <v>224.333517051646</v>
      </c>
      <c r="AC57" s="232">
        <f>'Cálculo PU'!U259</f>
        <v>149.15306606951424</v>
      </c>
      <c r="AD57" s="168">
        <f t="shared" si="2"/>
        <v>75.180450982131759</v>
      </c>
      <c r="AF57" s="147">
        <v>5144</v>
      </c>
      <c r="AG57" s="156">
        <v>43374</v>
      </c>
      <c r="AH57" s="156">
        <v>45027</v>
      </c>
      <c r="AI57" s="148" t="s">
        <v>952</v>
      </c>
      <c r="AJ57" s="148" t="s">
        <v>823</v>
      </c>
      <c r="AK57" s="148" t="s">
        <v>956</v>
      </c>
      <c r="AL57" s="232">
        <v>361.97589516061498</v>
      </c>
      <c r="AM57" s="232">
        <f>'Cálculo PU'!T259</f>
        <v>449.76812367688484</v>
      </c>
      <c r="AN57" s="168">
        <f t="shared" si="3"/>
        <v>-87.792228516269859</v>
      </c>
      <c r="AP57" s="147">
        <v>5152</v>
      </c>
      <c r="AQ57" s="156">
        <v>43374</v>
      </c>
      <c r="AR57" s="156">
        <v>45027</v>
      </c>
      <c r="AS57" s="148" t="s">
        <v>952</v>
      </c>
      <c r="AT57" s="148" t="s">
        <v>823</v>
      </c>
      <c r="AU57" s="148" t="s">
        <v>942</v>
      </c>
      <c r="AV57" s="232">
        <v>11.15564636</v>
      </c>
      <c r="AW57" s="232">
        <f>'Cálculo PU'!Q259</f>
        <v>16.395900000000001</v>
      </c>
      <c r="AX57" s="168">
        <f t="shared" si="4"/>
        <v>-5.2402536400000006</v>
      </c>
      <c r="AZ57" s="147">
        <v>5153</v>
      </c>
      <c r="BA57" s="156">
        <v>43374</v>
      </c>
      <c r="BB57" s="156">
        <v>45027</v>
      </c>
      <c r="BC57" s="148" t="s">
        <v>952</v>
      </c>
      <c r="BD57" s="148" t="s">
        <v>823</v>
      </c>
      <c r="BE57" s="148" t="s">
        <v>943</v>
      </c>
      <c r="BF57" s="148">
        <v>1140</v>
      </c>
      <c r="BG57" s="237">
        <f>'Cálculo PU'!L259</f>
        <v>1832</v>
      </c>
      <c r="BH57" s="168">
        <f t="shared" si="5"/>
        <v>-692</v>
      </c>
    </row>
    <row r="58" spans="2:60">
      <c r="B58" s="226">
        <v>5206</v>
      </c>
      <c r="C58" s="227">
        <v>43374</v>
      </c>
      <c r="D58" s="227">
        <v>45055</v>
      </c>
      <c r="E58" s="227" t="s">
        <v>952</v>
      </c>
      <c r="F58" s="227" t="s">
        <v>823</v>
      </c>
      <c r="G58" s="227" t="s">
        <v>953</v>
      </c>
      <c r="H58" s="227">
        <v>147.93186419454699</v>
      </c>
      <c r="I58" s="232">
        <f>'Cálculo PU'!V260</f>
        <v>94.295502840046979</v>
      </c>
      <c r="J58" s="235">
        <f t="shared" si="0"/>
        <v>-53.636361354500011</v>
      </c>
      <c r="L58" s="147">
        <v>5205</v>
      </c>
      <c r="M58" s="156">
        <v>43374</v>
      </c>
      <c r="N58" s="156">
        <v>45055</v>
      </c>
      <c r="O58" s="148" t="s">
        <v>952</v>
      </c>
      <c r="P58" s="148" t="s">
        <v>823</v>
      </c>
      <c r="Q58" s="148" t="s">
        <v>827</v>
      </c>
      <c r="R58" s="148">
        <v>1.1201702187860001</v>
      </c>
      <c r="S58" s="148">
        <f>'Cálculo PU'!O260</f>
        <v>1.1987683512878822</v>
      </c>
      <c r="T58" s="168">
        <f t="shared" si="1"/>
        <v>-7.8598132501882079E-2</v>
      </c>
      <c r="V58" s="147">
        <v>5193</v>
      </c>
      <c r="W58" s="156">
        <v>43374</v>
      </c>
      <c r="X58" s="156">
        <v>45055</v>
      </c>
      <c r="Y58" s="148" t="s">
        <v>952</v>
      </c>
      <c r="Z58" s="148" t="s">
        <v>823</v>
      </c>
      <c r="AA58" s="148" t="s">
        <v>954</v>
      </c>
      <c r="AB58" s="232">
        <v>165.708868680227</v>
      </c>
      <c r="AC58" s="232">
        <f>'Cálculo PU'!U260</f>
        <v>113.03846447342492</v>
      </c>
      <c r="AD58" s="168">
        <f t="shared" si="2"/>
        <v>52.670404206802075</v>
      </c>
      <c r="AF58" s="147">
        <v>5183</v>
      </c>
      <c r="AG58" s="156">
        <v>43374</v>
      </c>
      <c r="AH58" s="156">
        <v>45055</v>
      </c>
      <c r="AI58" s="148" t="s">
        <v>952</v>
      </c>
      <c r="AJ58" s="148" t="s">
        <v>823</v>
      </c>
      <c r="AK58" s="148" t="s">
        <v>956</v>
      </c>
      <c r="AL58" s="232">
        <v>269.68426731638499</v>
      </c>
      <c r="AM58" s="232">
        <f>'Cálculo PU'!T260</f>
        <v>344.55373469845745</v>
      </c>
      <c r="AN58" s="168">
        <f t="shared" si="3"/>
        <v>-74.869467382072457</v>
      </c>
      <c r="AP58" s="147">
        <v>5191</v>
      </c>
      <c r="AQ58" s="156">
        <v>43374</v>
      </c>
      <c r="AR58" s="156">
        <v>45055</v>
      </c>
      <c r="AS58" s="148" t="s">
        <v>952</v>
      </c>
      <c r="AT58" s="148" t="s">
        <v>823</v>
      </c>
      <c r="AU58" s="148" t="s">
        <v>942</v>
      </c>
      <c r="AV58" s="232">
        <v>11.18035394</v>
      </c>
      <c r="AW58" s="232">
        <f>'Cálculo PU'!Q260</f>
        <v>16.394600000000001</v>
      </c>
      <c r="AX58" s="168">
        <f t="shared" si="4"/>
        <v>-5.2142460600000007</v>
      </c>
      <c r="AZ58" s="147">
        <v>5192</v>
      </c>
      <c r="BA58" s="156">
        <v>43374</v>
      </c>
      <c r="BB58" s="156">
        <v>45055</v>
      </c>
      <c r="BC58" s="148" t="s">
        <v>952</v>
      </c>
      <c r="BD58" s="148" t="s">
        <v>823</v>
      </c>
      <c r="BE58" s="148" t="s">
        <v>943</v>
      </c>
      <c r="BF58" s="148">
        <v>1158</v>
      </c>
      <c r="BG58" s="237">
        <f>'Cálculo PU'!L260</f>
        <v>1850</v>
      </c>
      <c r="BH58" s="168">
        <f t="shared" si="5"/>
        <v>-692</v>
      </c>
    </row>
    <row r="59" spans="2:60">
      <c r="B59" s="226">
        <v>5245</v>
      </c>
      <c r="C59" s="227">
        <v>43374</v>
      </c>
      <c r="D59" s="227">
        <v>45086</v>
      </c>
      <c r="E59" s="227" t="s">
        <v>952</v>
      </c>
      <c r="F59" s="227" t="s">
        <v>823</v>
      </c>
      <c r="G59" s="227" t="s">
        <v>953</v>
      </c>
      <c r="H59" s="227">
        <v>175.07099199111801</v>
      </c>
      <c r="I59" s="232">
        <f>'Cálculo PU'!V261</f>
        <v>111.32646977225177</v>
      </c>
      <c r="J59" s="235">
        <f t="shared" si="0"/>
        <v>-63.744522218866237</v>
      </c>
      <c r="L59" s="147">
        <v>5244</v>
      </c>
      <c r="M59" s="156">
        <v>43374</v>
      </c>
      <c r="N59" s="156">
        <v>45086</v>
      </c>
      <c r="O59" s="148" t="s">
        <v>952</v>
      </c>
      <c r="P59" s="148" t="s">
        <v>823</v>
      </c>
      <c r="Q59" s="148" t="s">
        <v>827</v>
      </c>
      <c r="R59" s="148">
        <v>1.12258783977</v>
      </c>
      <c r="S59" s="148">
        <f>'Cálculo PU'!O261</f>
        <v>1.2013556076461347</v>
      </c>
      <c r="T59" s="168">
        <f t="shared" si="1"/>
        <v>-7.8767767876134709E-2</v>
      </c>
      <c r="V59" s="147">
        <v>5232</v>
      </c>
      <c r="W59" s="156">
        <v>43374</v>
      </c>
      <c r="X59" s="156">
        <v>45086</v>
      </c>
      <c r="Y59" s="148" t="s">
        <v>952</v>
      </c>
      <c r="Z59" s="148" t="s">
        <v>823</v>
      </c>
      <c r="AA59" s="148" t="s">
        <v>954</v>
      </c>
      <c r="AB59" s="232">
        <v>196.53256670570099</v>
      </c>
      <c r="AC59" s="232">
        <f>'Cálculo PU'!U261</f>
        <v>133.74267874034257</v>
      </c>
      <c r="AD59" s="168">
        <f t="shared" si="2"/>
        <v>62.789887965358417</v>
      </c>
      <c r="AF59" s="147">
        <v>5222</v>
      </c>
      <c r="AG59" s="156">
        <v>43374</v>
      </c>
      <c r="AH59" s="156">
        <v>45086</v>
      </c>
      <c r="AI59" s="148" t="s">
        <v>952</v>
      </c>
      <c r="AJ59" s="148" t="s">
        <v>823</v>
      </c>
      <c r="AK59" s="148" t="s">
        <v>956</v>
      </c>
      <c r="AL59" s="232">
        <v>323.218639102221</v>
      </c>
      <c r="AM59" s="232">
        <f>'Cálculo PU'!T261</f>
        <v>413.0593165326257</v>
      </c>
      <c r="AN59" s="168">
        <f t="shared" si="3"/>
        <v>-89.840677430404696</v>
      </c>
      <c r="AP59" s="147">
        <v>5230</v>
      </c>
      <c r="AQ59" s="156">
        <v>43374</v>
      </c>
      <c r="AR59" s="156">
        <v>45086</v>
      </c>
      <c r="AS59" s="148" t="s">
        <v>952</v>
      </c>
      <c r="AT59" s="148" t="s">
        <v>823</v>
      </c>
      <c r="AU59" s="148" t="s">
        <v>942</v>
      </c>
      <c r="AV59" s="232">
        <v>11.20953549</v>
      </c>
      <c r="AW59" s="232">
        <f>'Cálculo PU'!Q261</f>
        <v>16.393000000000001</v>
      </c>
      <c r="AX59" s="168">
        <f t="shared" si="4"/>
        <v>-5.1834645100000003</v>
      </c>
      <c r="AZ59" s="147">
        <v>5231</v>
      </c>
      <c r="BA59" s="156">
        <v>43374</v>
      </c>
      <c r="BB59" s="156">
        <v>45086</v>
      </c>
      <c r="BC59" s="148" t="s">
        <v>952</v>
      </c>
      <c r="BD59" s="148" t="s">
        <v>823</v>
      </c>
      <c r="BE59" s="148" t="s">
        <v>943</v>
      </c>
      <c r="BF59" s="148">
        <v>1180</v>
      </c>
      <c r="BG59" s="237">
        <f>'Cálculo PU'!L261</f>
        <v>1872</v>
      </c>
      <c r="BH59" s="168">
        <f t="shared" si="5"/>
        <v>-692</v>
      </c>
    </row>
    <row r="60" spans="2:60">
      <c r="B60" s="226">
        <v>5284</v>
      </c>
      <c r="C60" s="227">
        <v>43374</v>
      </c>
      <c r="D60" s="227">
        <v>45117</v>
      </c>
      <c r="E60" s="227" t="s">
        <v>952</v>
      </c>
      <c r="F60" s="227" t="s">
        <v>823</v>
      </c>
      <c r="G60" s="227" t="s">
        <v>953</v>
      </c>
      <c r="H60" s="227">
        <v>162.38962500734499</v>
      </c>
      <c r="I60" s="232">
        <f>'Cálculo PU'!V262</f>
        <v>102.58722237789291</v>
      </c>
      <c r="J60" s="235">
        <f t="shared" si="0"/>
        <v>-59.802402629452075</v>
      </c>
      <c r="L60" s="147">
        <v>5283</v>
      </c>
      <c r="M60" s="156">
        <v>43374</v>
      </c>
      <c r="N60" s="156">
        <v>45117</v>
      </c>
      <c r="O60" s="148" t="s">
        <v>952</v>
      </c>
      <c r="P60" s="148" t="s">
        <v>823</v>
      </c>
      <c r="Q60" s="148" t="s">
        <v>827</v>
      </c>
      <c r="R60" s="148">
        <v>1.124900436219</v>
      </c>
      <c r="S60" s="148">
        <f>'Cálculo PU'!O262</f>
        <v>1.2038304702927081</v>
      </c>
      <c r="T60" s="168">
        <f t="shared" si="1"/>
        <v>-7.8930034073708022E-2</v>
      </c>
      <c r="V60" s="147">
        <v>5271</v>
      </c>
      <c r="W60" s="156">
        <v>43374</v>
      </c>
      <c r="X60" s="156">
        <v>45117</v>
      </c>
      <c r="Y60" s="148" t="s">
        <v>952</v>
      </c>
      <c r="Z60" s="148" t="s">
        <v>823</v>
      </c>
      <c r="AA60" s="148" t="s">
        <v>954</v>
      </c>
      <c r="AB60" s="232">
        <v>182.67216000820201</v>
      </c>
      <c r="AC60" s="232">
        <f>'Cálculo PU'!U262</f>
        <v>123.49762416120144</v>
      </c>
      <c r="AD60" s="168">
        <f t="shared" si="2"/>
        <v>59.17453584700057</v>
      </c>
      <c r="AF60" s="147">
        <v>5261</v>
      </c>
      <c r="AG60" s="156">
        <v>43374</v>
      </c>
      <c r="AH60" s="156">
        <v>45117</v>
      </c>
      <c r="AI60" s="148" t="s">
        <v>952</v>
      </c>
      <c r="AJ60" s="148" t="s">
        <v>823</v>
      </c>
      <c r="AK60" s="148" t="s">
        <v>956</v>
      </c>
      <c r="AL60" s="232">
        <v>303.466463648748</v>
      </c>
      <c r="AM60" s="232">
        <f>'Cálculo PU'!T262</f>
        <v>386.23859778205872</v>
      </c>
      <c r="AN60" s="168">
        <f t="shared" si="3"/>
        <v>-82.772134133310715</v>
      </c>
      <c r="AP60" s="147">
        <v>5269</v>
      </c>
      <c r="AQ60" s="156">
        <v>43374</v>
      </c>
      <c r="AR60" s="156">
        <v>45117</v>
      </c>
      <c r="AS60" s="148" t="s">
        <v>952</v>
      </c>
      <c r="AT60" s="148" t="s">
        <v>823</v>
      </c>
      <c r="AU60" s="148" t="s">
        <v>942</v>
      </c>
      <c r="AV60" s="232">
        <v>11.23808577</v>
      </c>
      <c r="AW60" s="232">
        <f>'Cálculo PU'!Q262</f>
        <v>16.3916</v>
      </c>
      <c r="AX60" s="168">
        <f t="shared" si="4"/>
        <v>-5.1535142300000008</v>
      </c>
      <c r="AZ60" s="147">
        <v>5270</v>
      </c>
      <c r="BA60" s="156">
        <v>43374</v>
      </c>
      <c r="BB60" s="156">
        <v>45117</v>
      </c>
      <c r="BC60" s="148" t="s">
        <v>952</v>
      </c>
      <c r="BD60" s="148" t="s">
        <v>823</v>
      </c>
      <c r="BE60" s="148" t="s">
        <v>943</v>
      </c>
      <c r="BF60" s="148">
        <v>1201</v>
      </c>
      <c r="BG60" s="237">
        <f>'Cálculo PU'!L262</f>
        <v>1893</v>
      </c>
      <c r="BH60" s="168">
        <f t="shared" si="5"/>
        <v>-692</v>
      </c>
    </row>
    <row r="61" spans="2:60">
      <c r="B61" s="226">
        <v>5323</v>
      </c>
      <c r="C61" s="227">
        <v>43374</v>
      </c>
      <c r="D61" s="227">
        <v>45146</v>
      </c>
      <c r="E61" s="227" t="s">
        <v>952</v>
      </c>
      <c r="F61" s="227" t="s">
        <v>823</v>
      </c>
      <c r="G61" s="227" t="s">
        <v>953</v>
      </c>
      <c r="H61" s="227">
        <v>159.16230046967399</v>
      </c>
      <c r="I61" s="232">
        <f>'Cálculo PU'!V263</f>
        <v>99.040093555170358</v>
      </c>
      <c r="J61" s="235">
        <f t="shared" si="0"/>
        <v>-60.122206914503636</v>
      </c>
      <c r="L61" s="147">
        <v>5322</v>
      </c>
      <c r="M61" s="156">
        <v>43374</v>
      </c>
      <c r="N61" s="156">
        <v>45146</v>
      </c>
      <c r="O61" s="148" t="s">
        <v>952</v>
      </c>
      <c r="P61" s="148" t="s">
        <v>823</v>
      </c>
      <c r="Q61" s="148" t="s">
        <v>827</v>
      </c>
      <c r="R61" s="148">
        <v>1.127217796751</v>
      </c>
      <c r="S61" s="148">
        <f>'Cálculo PU'!O263</f>
        <v>1.2063104313007329</v>
      </c>
      <c r="T61" s="168">
        <f t="shared" si="1"/>
        <v>-7.9092634549732921E-2</v>
      </c>
      <c r="V61" s="147">
        <v>5310</v>
      </c>
      <c r="W61" s="156">
        <v>43374</v>
      </c>
      <c r="X61" s="156">
        <v>45146</v>
      </c>
      <c r="Y61" s="148" t="s">
        <v>952</v>
      </c>
      <c r="Z61" s="148" t="s">
        <v>823</v>
      </c>
      <c r="AA61" s="148" t="s">
        <v>954</v>
      </c>
      <c r="AB61" s="232">
        <v>179.41057766124601</v>
      </c>
      <c r="AC61" s="232">
        <f>'Cálculo PU'!U263</f>
        <v>119.47309797260249</v>
      </c>
      <c r="AD61" s="168">
        <f t="shared" si="2"/>
        <v>59.937479688643521</v>
      </c>
      <c r="AF61" s="147">
        <v>5300</v>
      </c>
      <c r="AG61" s="156">
        <v>43374</v>
      </c>
      <c r="AH61" s="156">
        <v>45146</v>
      </c>
      <c r="AI61" s="148" t="s">
        <v>952</v>
      </c>
      <c r="AJ61" s="148" t="s">
        <v>823</v>
      </c>
      <c r="AK61" s="148" t="s">
        <v>956</v>
      </c>
      <c r="AL61" s="232">
        <v>301.095783604075</v>
      </c>
      <c r="AM61" s="232">
        <f>'Cálculo PU'!T263</f>
        <v>378.37373973965714</v>
      </c>
      <c r="AN61" s="168">
        <f t="shared" si="3"/>
        <v>-77.277956135582144</v>
      </c>
      <c r="AP61" s="147">
        <v>5308</v>
      </c>
      <c r="AQ61" s="156">
        <v>43374</v>
      </c>
      <c r="AR61" s="156">
        <v>45146</v>
      </c>
      <c r="AS61" s="148" t="s">
        <v>952</v>
      </c>
      <c r="AT61" s="148" t="s">
        <v>823</v>
      </c>
      <c r="AU61" s="148" t="s">
        <v>942</v>
      </c>
      <c r="AV61" s="232">
        <v>11.26787131</v>
      </c>
      <c r="AW61" s="232">
        <f>'Cálculo PU'!Q263</f>
        <v>16.3902</v>
      </c>
      <c r="AX61" s="168">
        <f t="shared" si="4"/>
        <v>-5.1223286899999998</v>
      </c>
      <c r="AZ61" s="147">
        <v>5309</v>
      </c>
      <c r="BA61" s="156">
        <v>43374</v>
      </c>
      <c r="BB61" s="156">
        <v>45146</v>
      </c>
      <c r="BC61" s="148" t="s">
        <v>952</v>
      </c>
      <c r="BD61" s="148" t="s">
        <v>823</v>
      </c>
      <c r="BE61" s="148" t="s">
        <v>943</v>
      </c>
      <c r="BF61" s="148">
        <v>1222</v>
      </c>
      <c r="BG61" s="237">
        <f>'Cálculo PU'!L263</f>
        <v>1914</v>
      </c>
      <c r="BH61" s="168">
        <f t="shared" si="5"/>
        <v>-692</v>
      </c>
    </row>
    <row r="62" spans="2:60">
      <c r="B62" s="226">
        <v>5362</v>
      </c>
      <c r="C62" s="227">
        <v>43374</v>
      </c>
      <c r="D62" s="227">
        <v>45180</v>
      </c>
      <c r="E62" s="227" t="s">
        <v>952</v>
      </c>
      <c r="F62" s="227" t="s">
        <v>823</v>
      </c>
      <c r="G62" s="227" t="s">
        <v>953</v>
      </c>
      <c r="H62" s="227">
        <v>168.541820318421</v>
      </c>
      <c r="I62" s="232">
        <f>'Cálculo PU'!V264</f>
        <v>104.61608787452828</v>
      </c>
      <c r="J62" s="235">
        <f t="shared" si="0"/>
        <v>-63.925732443892727</v>
      </c>
      <c r="L62" s="147">
        <v>5361</v>
      </c>
      <c r="M62" s="156">
        <v>43374</v>
      </c>
      <c r="N62" s="156">
        <v>45180</v>
      </c>
      <c r="O62" s="148" t="s">
        <v>952</v>
      </c>
      <c r="P62" s="148" t="s">
        <v>823</v>
      </c>
      <c r="Q62" s="148" t="s">
        <v>827</v>
      </c>
      <c r="R62" s="148">
        <v>1.129761336179</v>
      </c>
      <c r="S62" s="148">
        <f>'Cálculo PU'!O264</f>
        <v>1.209032441326201</v>
      </c>
      <c r="T62" s="168">
        <f t="shared" si="1"/>
        <v>-7.9271105147201038E-2</v>
      </c>
      <c r="V62" s="147">
        <v>5349</v>
      </c>
      <c r="W62" s="156">
        <v>43374</v>
      </c>
      <c r="X62" s="156">
        <v>45180</v>
      </c>
      <c r="Y62" s="148" t="s">
        <v>952</v>
      </c>
      <c r="Z62" s="148" t="s">
        <v>823</v>
      </c>
      <c r="AA62" s="148" t="s">
        <v>954</v>
      </c>
      <c r="AB62" s="232">
        <v>190.41203212497999</v>
      </c>
      <c r="AC62" s="232">
        <f>'Cálculo PU'!U264</f>
        <v>126.48424412493729</v>
      </c>
      <c r="AD62" s="168">
        <f t="shared" si="2"/>
        <v>63.927788000042696</v>
      </c>
      <c r="AF62" s="147">
        <v>5339</v>
      </c>
      <c r="AG62" s="156">
        <v>43374</v>
      </c>
      <c r="AH62" s="156">
        <v>45180</v>
      </c>
      <c r="AI62" s="148" t="s">
        <v>952</v>
      </c>
      <c r="AJ62" s="148" t="s">
        <v>823</v>
      </c>
      <c r="AK62" s="148" t="s">
        <v>956</v>
      </c>
      <c r="AL62" s="232">
        <v>323.13953553079898</v>
      </c>
      <c r="AM62" s="232">
        <f>'Cálculo PU'!T264</f>
        <v>406.12567914476</v>
      </c>
      <c r="AN62" s="168">
        <f t="shared" si="3"/>
        <v>-82.986143613961019</v>
      </c>
      <c r="AP62" s="147">
        <v>5347</v>
      </c>
      <c r="AQ62" s="156">
        <v>43374</v>
      </c>
      <c r="AR62" s="156">
        <v>45180</v>
      </c>
      <c r="AS62" s="148" t="s">
        <v>952</v>
      </c>
      <c r="AT62" s="148" t="s">
        <v>823</v>
      </c>
      <c r="AU62" s="148" t="s">
        <v>942</v>
      </c>
      <c r="AV62" s="232">
        <v>11.29934931</v>
      </c>
      <c r="AW62" s="232">
        <f>'Cálculo PU'!Q264</f>
        <v>16.3887</v>
      </c>
      <c r="AX62" s="168">
        <f t="shared" si="4"/>
        <v>-5.0893506899999998</v>
      </c>
      <c r="AZ62" s="147">
        <v>5348</v>
      </c>
      <c r="BA62" s="156">
        <v>43374</v>
      </c>
      <c r="BB62" s="156">
        <v>45180</v>
      </c>
      <c r="BC62" s="148" t="s">
        <v>952</v>
      </c>
      <c r="BD62" s="148" t="s">
        <v>823</v>
      </c>
      <c r="BE62" s="148" t="s">
        <v>943</v>
      </c>
      <c r="BF62" s="148">
        <v>1245</v>
      </c>
      <c r="BG62" s="237">
        <f>'Cálculo PU'!L264</f>
        <v>1937</v>
      </c>
      <c r="BH62" s="168">
        <f t="shared" si="5"/>
        <v>-692</v>
      </c>
    </row>
    <row r="63" spans="2:60">
      <c r="B63" s="226">
        <v>5401</v>
      </c>
      <c r="C63" s="227">
        <v>43374</v>
      </c>
      <c r="D63" s="227">
        <v>45209</v>
      </c>
      <c r="E63" s="227" t="s">
        <v>952</v>
      </c>
      <c r="F63" s="227" t="s">
        <v>823</v>
      </c>
      <c r="G63" s="227" t="s">
        <v>953</v>
      </c>
      <c r="H63" s="227">
        <v>148.848977765315</v>
      </c>
      <c r="I63" s="232">
        <f>'Cálculo PU'!V265</f>
        <v>92.205974427658617</v>
      </c>
      <c r="J63" s="235">
        <f t="shared" si="0"/>
        <v>-56.643003337656381</v>
      </c>
      <c r="L63" s="147">
        <v>5400</v>
      </c>
      <c r="M63" s="156">
        <v>43374</v>
      </c>
      <c r="N63" s="156">
        <v>45209</v>
      </c>
      <c r="O63" s="148" t="s">
        <v>952</v>
      </c>
      <c r="P63" s="148" t="s">
        <v>823</v>
      </c>
      <c r="Q63" s="148" t="s">
        <v>827</v>
      </c>
      <c r="R63" s="148">
        <v>1.1319777744620001</v>
      </c>
      <c r="S63" s="148">
        <f>'Cálculo PU'!O265</f>
        <v>1.2114043987494454</v>
      </c>
      <c r="T63" s="168">
        <f t="shared" si="1"/>
        <v>-7.9426624287445291E-2</v>
      </c>
      <c r="V63" s="147">
        <v>5388</v>
      </c>
      <c r="W63" s="156">
        <v>43374</v>
      </c>
      <c r="X63" s="156">
        <v>45209</v>
      </c>
      <c r="Y63" s="148" t="s">
        <v>952</v>
      </c>
      <c r="Z63" s="148" t="s">
        <v>823</v>
      </c>
      <c r="AA63" s="148" t="s">
        <v>954</v>
      </c>
      <c r="AB63" s="232">
        <v>168.49373458172499</v>
      </c>
      <c r="AC63" s="232">
        <f>'Cálculo PU'!U265</f>
        <v>111.69872301264452</v>
      </c>
      <c r="AD63" s="168">
        <f t="shared" si="2"/>
        <v>56.795011569080472</v>
      </c>
      <c r="AF63" s="147">
        <v>5378</v>
      </c>
      <c r="AG63" s="156">
        <v>43374</v>
      </c>
      <c r="AH63" s="156">
        <v>45209</v>
      </c>
      <c r="AI63" s="148" t="s">
        <v>952</v>
      </c>
      <c r="AJ63" s="148" t="s">
        <v>823</v>
      </c>
      <c r="AK63" s="148" t="s">
        <v>956</v>
      </c>
      <c r="AL63" s="232">
        <v>288.72531470901902</v>
      </c>
      <c r="AM63" s="232">
        <f>'Cálculo PU'!T265</f>
        <v>362.96569043942765</v>
      </c>
      <c r="AN63" s="168">
        <f t="shared" si="3"/>
        <v>-74.24037573040863</v>
      </c>
      <c r="AP63" s="147">
        <v>5386</v>
      </c>
      <c r="AQ63" s="156">
        <v>43374</v>
      </c>
      <c r="AR63" s="156">
        <v>45209</v>
      </c>
      <c r="AS63" s="148" t="s">
        <v>952</v>
      </c>
      <c r="AT63" s="148" t="s">
        <v>823</v>
      </c>
      <c r="AU63" s="148" t="s">
        <v>942</v>
      </c>
      <c r="AV63" s="232">
        <v>11.32567046</v>
      </c>
      <c r="AW63" s="232">
        <f>'Cálculo PU'!Q265</f>
        <v>16.3874</v>
      </c>
      <c r="AX63" s="168">
        <f t="shared" si="4"/>
        <v>-5.06172954</v>
      </c>
      <c r="AZ63" s="147">
        <v>5387</v>
      </c>
      <c r="BA63" s="156">
        <v>43374</v>
      </c>
      <c r="BB63" s="156">
        <v>45209</v>
      </c>
      <c r="BC63" s="148" t="s">
        <v>952</v>
      </c>
      <c r="BD63" s="148" t="s">
        <v>823</v>
      </c>
      <c r="BE63" s="148" t="s">
        <v>943</v>
      </c>
      <c r="BF63" s="148">
        <v>1265</v>
      </c>
      <c r="BG63" s="237">
        <f>'Cálculo PU'!L265</f>
        <v>1957</v>
      </c>
      <c r="BH63" s="168">
        <f t="shared" si="5"/>
        <v>-692</v>
      </c>
    </row>
    <row r="64" spans="2:60">
      <c r="B64" s="226">
        <v>5440</v>
      </c>
      <c r="C64" s="227">
        <v>43374</v>
      </c>
      <c r="D64" s="227">
        <v>45240</v>
      </c>
      <c r="E64" s="227" t="s">
        <v>952</v>
      </c>
      <c r="F64" s="227" t="s">
        <v>823</v>
      </c>
      <c r="G64" s="227" t="s">
        <v>953</v>
      </c>
      <c r="H64" s="227">
        <v>143.80795239254999</v>
      </c>
      <c r="I64" s="232">
        <f>'Cálculo PU'!V266</f>
        <v>88.954699003691772</v>
      </c>
      <c r="J64" s="235">
        <f t="shared" si="0"/>
        <v>-54.853253388858221</v>
      </c>
      <c r="L64" s="147">
        <v>5439</v>
      </c>
      <c r="M64" s="156">
        <v>43374</v>
      </c>
      <c r="N64" s="156">
        <v>45240</v>
      </c>
      <c r="O64" s="148" t="s">
        <v>952</v>
      </c>
      <c r="P64" s="148" t="s">
        <v>823</v>
      </c>
      <c r="Q64" s="148" t="s">
        <v>827</v>
      </c>
      <c r="R64" s="148">
        <v>1.134309714724</v>
      </c>
      <c r="S64" s="148">
        <f>'Cálculo PU'!O266</f>
        <v>1.2138999624920028</v>
      </c>
      <c r="T64" s="168">
        <f t="shared" si="1"/>
        <v>-7.9590247768002831E-2</v>
      </c>
      <c r="V64" s="147">
        <v>5427</v>
      </c>
      <c r="W64" s="156">
        <v>43374</v>
      </c>
      <c r="X64" s="156">
        <v>45240</v>
      </c>
      <c r="Y64" s="148" t="s">
        <v>952</v>
      </c>
      <c r="Z64" s="148" t="s">
        <v>823</v>
      </c>
      <c r="AA64" s="148" t="s">
        <v>954</v>
      </c>
      <c r="AB64" s="232">
        <v>163.12275745343601</v>
      </c>
      <c r="AC64" s="232">
        <f>'Cálculo PU'!U266</f>
        <v>107.98210578406884</v>
      </c>
      <c r="AD64" s="168">
        <f t="shared" si="2"/>
        <v>55.140651669367173</v>
      </c>
      <c r="AF64" s="147">
        <v>5417</v>
      </c>
      <c r="AG64" s="156">
        <v>43374</v>
      </c>
      <c r="AH64" s="156">
        <v>45240</v>
      </c>
      <c r="AI64" s="148" t="s">
        <v>952</v>
      </c>
      <c r="AJ64" s="148" t="s">
        <v>823</v>
      </c>
      <c r="AK64" s="148" t="s">
        <v>956</v>
      </c>
      <c r="AL64" s="232">
        <v>282.37622406799699</v>
      </c>
      <c r="AM64" s="232">
        <f>'Cálculo PU'!T266</f>
        <v>355.32054410787174</v>
      </c>
      <c r="AN64" s="168">
        <f t="shared" si="3"/>
        <v>-72.944320039874754</v>
      </c>
      <c r="AP64" s="147">
        <v>5425</v>
      </c>
      <c r="AQ64" s="156">
        <v>43374</v>
      </c>
      <c r="AR64" s="156">
        <v>45240</v>
      </c>
      <c r="AS64" s="148" t="s">
        <v>952</v>
      </c>
      <c r="AT64" s="148" t="s">
        <v>823</v>
      </c>
      <c r="AU64" s="148" t="s">
        <v>942</v>
      </c>
      <c r="AV64" s="232">
        <v>11.352271979999999</v>
      </c>
      <c r="AW64" s="232">
        <f>'Cálculo PU'!Q266</f>
        <v>16.385999999999999</v>
      </c>
      <c r="AX64" s="168">
        <f t="shared" si="4"/>
        <v>-5.0337280199999999</v>
      </c>
      <c r="AZ64" s="147">
        <v>5426</v>
      </c>
      <c r="BA64" s="156">
        <v>43374</v>
      </c>
      <c r="BB64" s="156">
        <v>45240</v>
      </c>
      <c r="BC64" s="148" t="s">
        <v>952</v>
      </c>
      <c r="BD64" s="148" t="s">
        <v>823</v>
      </c>
      <c r="BE64" s="148" t="s">
        <v>943</v>
      </c>
      <c r="BF64" s="148">
        <v>1286</v>
      </c>
      <c r="BG64" s="237">
        <f>'Cálculo PU'!L266</f>
        <v>1978</v>
      </c>
      <c r="BH64" s="168">
        <f t="shared" si="5"/>
        <v>-692</v>
      </c>
    </row>
    <row r="65" spans="2:60">
      <c r="B65" s="226">
        <v>5479</v>
      </c>
      <c r="C65" s="227">
        <v>43374</v>
      </c>
      <c r="D65" s="227">
        <v>45268</v>
      </c>
      <c r="E65" s="227" t="s">
        <v>952</v>
      </c>
      <c r="F65" s="227" t="s">
        <v>823</v>
      </c>
      <c r="G65" s="227" t="s">
        <v>953</v>
      </c>
      <c r="H65" s="227">
        <v>125.822546000344</v>
      </c>
      <c r="I65" s="232">
        <f>'Cálculo PU'!V267</f>
        <v>77.642141502011953</v>
      </c>
      <c r="J65" s="235">
        <f t="shared" si="0"/>
        <v>-48.180404498332052</v>
      </c>
      <c r="L65" s="147">
        <v>5478</v>
      </c>
      <c r="M65" s="156">
        <v>43374</v>
      </c>
      <c r="N65" s="156">
        <v>45268</v>
      </c>
      <c r="O65" s="148" t="s">
        <v>952</v>
      </c>
      <c r="P65" s="148" t="s">
        <v>823</v>
      </c>
      <c r="Q65" s="148" t="s">
        <v>827</v>
      </c>
      <c r="R65" s="148">
        <v>1.136535076308</v>
      </c>
      <c r="S65" s="148">
        <f>'Cálculo PU'!O267</f>
        <v>1.2162814693306041</v>
      </c>
      <c r="T65" s="168">
        <f t="shared" si="1"/>
        <v>-7.9746393022604112E-2</v>
      </c>
      <c r="V65" s="147">
        <v>5466</v>
      </c>
      <c r="W65" s="156">
        <v>43374</v>
      </c>
      <c r="X65" s="156">
        <v>45268</v>
      </c>
      <c r="Y65" s="148" t="s">
        <v>952</v>
      </c>
      <c r="Z65" s="148" t="s">
        <v>823</v>
      </c>
      <c r="AA65" s="148" t="s">
        <v>954</v>
      </c>
      <c r="AB65" s="232">
        <v>143.00173691976801</v>
      </c>
      <c r="AC65" s="232">
        <f>'Cálculo PU'!U267</f>
        <v>94.434697948041773</v>
      </c>
      <c r="AD65" s="168">
        <f t="shared" si="2"/>
        <v>48.567038971726234</v>
      </c>
      <c r="AF65" s="147">
        <v>5456</v>
      </c>
      <c r="AG65" s="156">
        <v>43374</v>
      </c>
      <c r="AH65" s="156">
        <v>45268</v>
      </c>
      <c r="AI65" s="148" t="s">
        <v>952</v>
      </c>
      <c r="AJ65" s="148" t="s">
        <v>823</v>
      </c>
      <c r="AK65" s="148" t="s">
        <v>956</v>
      </c>
      <c r="AL65" s="232">
        <v>249.95235476324899</v>
      </c>
      <c r="AM65" s="232">
        <f>'Cálculo PU'!T267</f>
        <v>314.48130749054275</v>
      </c>
      <c r="AN65" s="168">
        <f t="shared" si="3"/>
        <v>-64.528952727293756</v>
      </c>
      <c r="AP65" s="147">
        <v>5464</v>
      </c>
      <c r="AQ65" s="156">
        <v>43374</v>
      </c>
      <c r="AR65" s="156">
        <v>45268</v>
      </c>
      <c r="AS65" s="148" t="s">
        <v>952</v>
      </c>
      <c r="AT65" s="148" t="s">
        <v>823</v>
      </c>
      <c r="AU65" s="148" t="s">
        <v>942</v>
      </c>
      <c r="AV65" s="232">
        <v>11.376817040000001</v>
      </c>
      <c r="AW65" s="232">
        <f>'Cálculo PU'!Q267</f>
        <v>16.384799999999998</v>
      </c>
      <c r="AX65" s="168">
        <f t="shared" si="4"/>
        <v>-5.0079829599999979</v>
      </c>
      <c r="AZ65" s="147">
        <v>5465</v>
      </c>
      <c r="BA65" s="156">
        <v>43374</v>
      </c>
      <c r="BB65" s="156">
        <v>45268</v>
      </c>
      <c r="BC65" s="148" t="s">
        <v>952</v>
      </c>
      <c r="BD65" s="148" t="s">
        <v>823</v>
      </c>
      <c r="BE65" s="148" t="s">
        <v>943</v>
      </c>
      <c r="BF65" s="148">
        <v>1306</v>
      </c>
      <c r="BG65" s="237">
        <f>'Cálculo PU'!L267</f>
        <v>1998</v>
      </c>
      <c r="BH65" s="168">
        <f t="shared" si="5"/>
        <v>-692</v>
      </c>
    </row>
    <row r="66" spans="2:60">
      <c r="B66" s="226">
        <v>5518</v>
      </c>
      <c r="C66" s="227">
        <v>43374</v>
      </c>
      <c r="D66" s="227">
        <v>45300</v>
      </c>
      <c r="E66" s="227" t="s">
        <v>952</v>
      </c>
      <c r="F66" s="227" t="s">
        <v>823</v>
      </c>
      <c r="G66" s="227" t="s">
        <v>953</v>
      </c>
      <c r="H66" s="227">
        <v>127.999236106777</v>
      </c>
      <c r="I66" s="232">
        <f>'Cálculo PU'!V268</f>
        <v>78.889771416783177</v>
      </c>
      <c r="J66" s="235">
        <f t="shared" si="0"/>
        <v>-49.109464689993828</v>
      </c>
      <c r="L66" s="147">
        <v>5517</v>
      </c>
      <c r="M66" s="156">
        <v>43374</v>
      </c>
      <c r="N66" s="156">
        <v>45300</v>
      </c>
      <c r="O66" s="148" t="s">
        <v>952</v>
      </c>
      <c r="P66" s="148" t="s">
        <v>823</v>
      </c>
      <c r="Q66" s="148" t="s">
        <v>827</v>
      </c>
      <c r="R66" s="148">
        <v>1.1387648037489999</v>
      </c>
      <c r="S66" s="148">
        <f>'Cálculo PU'!O268</f>
        <v>1.2186676483621353</v>
      </c>
      <c r="T66" s="168">
        <f t="shared" si="1"/>
        <v>-7.9902844613135349E-2</v>
      </c>
      <c r="V66" s="147">
        <v>5505</v>
      </c>
      <c r="W66" s="156">
        <v>43374</v>
      </c>
      <c r="X66" s="156">
        <v>45300</v>
      </c>
      <c r="Y66" s="148" t="s">
        <v>952</v>
      </c>
      <c r="Z66" s="148" t="s">
        <v>823</v>
      </c>
      <c r="AA66" s="148" t="s">
        <v>954</v>
      </c>
      <c r="AB66" s="232">
        <v>145.76102498515601</v>
      </c>
      <c r="AC66" s="232">
        <f>'Cálculo PU'!U268</f>
        <v>96.140412212317543</v>
      </c>
      <c r="AD66" s="168">
        <f t="shared" si="2"/>
        <v>49.62061277283847</v>
      </c>
      <c r="AF66" s="147">
        <v>5495</v>
      </c>
      <c r="AG66" s="156">
        <v>43374</v>
      </c>
      <c r="AH66" s="156">
        <v>45300</v>
      </c>
      <c r="AI66" s="148" t="s">
        <v>952</v>
      </c>
      <c r="AJ66" s="148" t="s">
        <v>823</v>
      </c>
      <c r="AK66" s="148" t="s">
        <v>956</v>
      </c>
      <c r="AL66" s="232">
        <v>257.24795973775002</v>
      </c>
      <c r="AM66" s="232">
        <f>'Cálculo PU'!T268</f>
        <v>324.0135888597967</v>
      </c>
      <c r="AN66" s="168">
        <f t="shared" si="3"/>
        <v>-66.765629122046676</v>
      </c>
      <c r="AP66" s="147">
        <v>5503</v>
      </c>
      <c r="AQ66" s="156">
        <v>43374</v>
      </c>
      <c r="AR66" s="156">
        <v>45300</v>
      </c>
      <c r="AS66" s="148" t="s">
        <v>952</v>
      </c>
      <c r="AT66" s="148" t="s">
        <v>823</v>
      </c>
      <c r="AU66" s="148" t="s">
        <v>942</v>
      </c>
      <c r="AV66" s="232">
        <v>11.40024942</v>
      </c>
      <c r="AW66" s="232">
        <f>'Cálculo PU'!Q268</f>
        <v>16.383600000000001</v>
      </c>
      <c r="AX66" s="168">
        <f t="shared" si="4"/>
        <v>-4.9833505800000015</v>
      </c>
      <c r="AZ66" s="147">
        <v>5504</v>
      </c>
      <c r="BA66" s="156">
        <v>43374</v>
      </c>
      <c r="BB66" s="156">
        <v>45300</v>
      </c>
      <c r="BC66" s="148" t="s">
        <v>952</v>
      </c>
      <c r="BD66" s="148" t="s">
        <v>823</v>
      </c>
      <c r="BE66" s="148" t="s">
        <v>943</v>
      </c>
      <c r="BF66" s="148">
        <v>1326</v>
      </c>
      <c r="BG66" s="237">
        <f>'Cálculo PU'!L268</f>
        <v>2018</v>
      </c>
      <c r="BH66" s="168">
        <f t="shared" si="5"/>
        <v>-692</v>
      </c>
    </row>
    <row r="67" spans="2:60">
      <c r="B67" s="226">
        <v>5557</v>
      </c>
      <c r="C67" s="227">
        <v>43374</v>
      </c>
      <c r="D67" s="227">
        <v>45334</v>
      </c>
      <c r="E67" s="227" t="s">
        <v>952</v>
      </c>
      <c r="F67" s="227" t="s">
        <v>823</v>
      </c>
      <c r="G67" s="227" t="s">
        <v>953</v>
      </c>
      <c r="H67" s="227">
        <v>147.744240252564</v>
      </c>
      <c r="I67" s="232">
        <f>'Cálculo PU'!V269</f>
        <v>91.130724503791328</v>
      </c>
      <c r="J67" s="235">
        <f t="shared" si="0"/>
        <v>-56.61351574877267</v>
      </c>
      <c r="L67" s="147">
        <v>5556</v>
      </c>
      <c r="M67" s="156">
        <v>43374</v>
      </c>
      <c r="N67" s="156">
        <v>45334</v>
      </c>
      <c r="O67" s="148" t="s">
        <v>952</v>
      </c>
      <c r="P67" s="148" t="s">
        <v>823</v>
      </c>
      <c r="Q67" s="148" t="s">
        <v>827</v>
      </c>
      <c r="R67" s="148">
        <v>1.1412225567209999</v>
      </c>
      <c r="S67" s="148">
        <f>'Cálculo PU'!O269</f>
        <v>1.2212978526200589</v>
      </c>
      <c r="T67" s="168">
        <f t="shared" si="1"/>
        <v>-8.0075295899058929E-2</v>
      </c>
      <c r="V67" s="147">
        <v>5544</v>
      </c>
      <c r="W67" s="156">
        <v>43374</v>
      </c>
      <c r="X67" s="156">
        <v>45334</v>
      </c>
      <c r="Y67" s="148" t="s">
        <v>952</v>
      </c>
      <c r="Z67" s="148" t="s">
        <v>823</v>
      </c>
      <c r="AA67" s="148" t="s">
        <v>954</v>
      </c>
      <c r="AB67" s="232">
        <v>168.609059601833</v>
      </c>
      <c r="AC67" s="232">
        <f>'Cálculo PU'!U269</f>
        <v>111.29775814419052</v>
      </c>
      <c r="AD67" s="168">
        <f t="shared" si="2"/>
        <v>57.311301457642472</v>
      </c>
      <c r="AF67" s="147">
        <v>5534</v>
      </c>
      <c r="AG67" s="156">
        <v>43374</v>
      </c>
      <c r="AH67" s="156">
        <v>45334</v>
      </c>
      <c r="AI67" s="148" t="s">
        <v>952</v>
      </c>
      <c r="AJ67" s="148" t="s">
        <v>823</v>
      </c>
      <c r="AK67" s="148" t="s">
        <v>956</v>
      </c>
      <c r="AL67" s="232">
        <v>300.74269569456402</v>
      </c>
      <c r="AM67" s="232">
        <f>'Cálculo PU'!T269</f>
        <v>380.06409914309103</v>
      </c>
      <c r="AN67" s="168">
        <f t="shared" si="3"/>
        <v>-79.321403448527008</v>
      </c>
      <c r="AP67" s="147">
        <v>5542</v>
      </c>
      <c r="AQ67" s="156">
        <v>43374</v>
      </c>
      <c r="AR67" s="156">
        <v>45334</v>
      </c>
      <c r="AS67" s="148" t="s">
        <v>952</v>
      </c>
      <c r="AT67" s="148" t="s">
        <v>823</v>
      </c>
      <c r="AU67" s="148" t="s">
        <v>942</v>
      </c>
      <c r="AV67" s="232">
        <v>11.424728099999999</v>
      </c>
      <c r="AW67" s="232">
        <f>'Cálculo PU'!Q269</f>
        <v>16.382300000000001</v>
      </c>
      <c r="AX67" s="168">
        <f t="shared" si="4"/>
        <v>-4.9575719000000014</v>
      </c>
      <c r="AZ67" s="147">
        <v>5543</v>
      </c>
      <c r="BA67" s="156">
        <v>43374</v>
      </c>
      <c r="BB67" s="156">
        <v>45334</v>
      </c>
      <c r="BC67" s="148" t="s">
        <v>952</v>
      </c>
      <c r="BD67" s="148" t="s">
        <v>823</v>
      </c>
      <c r="BE67" s="148" t="s">
        <v>943</v>
      </c>
      <c r="BF67" s="148">
        <v>1348</v>
      </c>
      <c r="BG67" s="237">
        <f>'Cálculo PU'!L269</f>
        <v>2040</v>
      </c>
      <c r="BH67" s="168">
        <f t="shared" si="5"/>
        <v>-692</v>
      </c>
    </row>
    <row r="68" spans="2:60">
      <c r="B68" s="226">
        <v>5596</v>
      </c>
      <c r="C68" s="227">
        <v>43374</v>
      </c>
      <c r="D68" s="227">
        <v>45359</v>
      </c>
      <c r="E68" s="227" t="s">
        <v>952</v>
      </c>
      <c r="F68" s="227" t="s">
        <v>823</v>
      </c>
      <c r="G68" s="227" t="s">
        <v>953</v>
      </c>
      <c r="H68" s="227">
        <v>100.87300227379301</v>
      </c>
      <c r="I68" s="232">
        <f>'Cálculo PU'!V270</f>
        <v>62.055278698234261</v>
      </c>
      <c r="J68" s="235">
        <f t="shared" ref="J68:J113" si="6">I68-H68</f>
        <v>-38.817723575558745</v>
      </c>
      <c r="L68" s="147">
        <v>5595</v>
      </c>
      <c r="M68" s="156">
        <v>43374</v>
      </c>
      <c r="N68" s="156">
        <v>45359</v>
      </c>
      <c r="O68" s="148" t="s">
        <v>952</v>
      </c>
      <c r="P68" s="148" t="s">
        <v>823</v>
      </c>
      <c r="Q68" s="148" t="s">
        <v>827</v>
      </c>
      <c r="R68" s="148">
        <v>1.1433494299310001</v>
      </c>
      <c r="S68" s="148">
        <f>'Cálculo PU'!O270</f>
        <v>1.2235739605252514</v>
      </c>
      <c r="T68" s="168">
        <f t="shared" ref="T68:T113" si="7">R68-S68</f>
        <v>-8.0224530594251275E-2</v>
      </c>
      <c r="V68" s="147">
        <v>5583</v>
      </c>
      <c r="W68" s="156">
        <v>43374</v>
      </c>
      <c r="X68" s="156">
        <v>45359</v>
      </c>
      <c r="Y68" s="148" t="s">
        <v>952</v>
      </c>
      <c r="Z68" s="148" t="s">
        <v>823</v>
      </c>
      <c r="AA68" s="148" t="s">
        <v>954</v>
      </c>
      <c r="AB68" s="232">
        <v>115.33308964517001</v>
      </c>
      <c r="AC68" s="232">
        <f>'Cálculo PU'!U270</f>
        <v>75.929223128296755</v>
      </c>
      <c r="AD68" s="168">
        <f t="shared" ref="AD68:AD113" si="8">AB68-AC68</f>
        <v>39.403866516873251</v>
      </c>
      <c r="AF68" s="147">
        <v>5573</v>
      </c>
      <c r="AG68" s="156">
        <v>43374</v>
      </c>
      <c r="AH68" s="156">
        <v>45359</v>
      </c>
      <c r="AI68" s="148" t="s">
        <v>952</v>
      </c>
      <c r="AJ68" s="148" t="s">
        <v>823</v>
      </c>
      <c r="AK68" s="148" t="s">
        <v>956</v>
      </c>
      <c r="AL68" s="232">
        <v>207.60795648504799</v>
      </c>
      <c r="AM68" s="232">
        <f>'Cálculo PU'!T270</f>
        <v>262.24880321933034</v>
      </c>
      <c r="AN68" s="168">
        <f t="shared" ref="AN68:AN113" si="9">AL68-AM68</f>
        <v>-54.640846734282349</v>
      </c>
      <c r="AP68" s="147">
        <v>5581</v>
      </c>
      <c r="AQ68" s="156">
        <v>43374</v>
      </c>
      <c r="AR68" s="156">
        <v>45359</v>
      </c>
      <c r="AS68" s="148" t="s">
        <v>952</v>
      </c>
      <c r="AT68" s="148" t="s">
        <v>823</v>
      </c>
      <c r="AU68" s="148" t="s">
        <v>942</v>
      </c>
      <c r="AV68" s="232">
        <v>11.445238850000001</v>
      </c>
      <c r="AW68" s="232">
        <f>'Cálculo PU'!Q270</f>
        <v>16.3812</v>
      </c>
      <c r="AX68" s="168">
        <f t="shared" ref="AX68:AX113" si="10">AV68-AW68</f>
        <v>-4.9359611499999989</v>
      </c>
      <c r="AZ68" s="147">
        <v>5582</v>
      </c>
      <c r="BA68" s="156">
        <v>43374</v>
      </c>
      <c r="BB68" s="156">
        <v>45359</v>
      </c>
      <c r="BC68" s="148" t="s">
        <v>952</v>
      </c>
      <c r="BD68" s="148" t="s">
        <v>823</v>
      </c>
      <c r="BE68" s="148" t="s">
        <v>943</v>
      </c>
      <c r="BF68" s="148">
        <v>1367</v>
      </c>
      <c r="BG68" s="237">
        <f>'Cálculo PU'!L270</f>
        <v>2059</v>
      </c>
      <c r="BH68" s="168">
        <f t="shared" ref="BH68:BH113" si="11">BF68-BG68</f>
        <v>-692</v>
      </c>
    </row>
    <row r="69" spans="2:60">
      <c r="B69" s="226">
        <v>5635</v>
      </c>
      <c r="C69" s="227">
        <v>43374</v>
      </c>
      <c r="D69" s="227">
        <v>45390</v>
      </c>
      <c r="E69" s="227" t="s">
        <v>952</v>
      </c>
      <c r="F69" s="227" t="s">
        <v>823</v>
      </c>
      <c r="G69" s="227" t="s">
        <v>953</v>
      </c>
      <c r="H69" s="227">
        <v>114.524014877498</v>
      </c>
      <c r="I69" s="232">
        <f>'Cálculo PU'!V271</f>
        <v>70.303344953837893</v>
      </c>
      <c r="J69" s="235">
        <f t="shared" si="6"/>
        <v>-44.220669923660111</v>
      </c>
      <c r="L69" s="147">
        <v>5634</v>
      </c>
      <c r="M69" s="156">
        <v>43374</v>
      </c>
      <c r="N69" s="156">
        <v>45390</v>
      </c>
      <c r="O69" s="148" t="s">
        <v>952</v>
      </c>
      <c r="P69" s="148" t="s">
        <v>823</v>
      </c>
      <c r="Q69" s="148" t="s">
        <v>827</v>
      </c>
      <c r="R69" s="148">
        <v>1.145592526208</v>
      </c>
      <c r="S69" s="148">
        <f>'Cálculo PU'!O271</f>
        <v>1.2259744464339446</v>
      </c>
      <c r="T69" s="168">
        <f t="shared" si="7"/>
        <v>-8.0381920225944592E-2</v>
      </c>
      <c r="V69" s="147">
        <v>5622</v>
      </c>
      <c r="W69" s="156">
        <v>43374</v>
      </c>
      <c r="X69" s="156">
        <v>45390</v>
      </c>
      <c r="Y69" s="148" t="s">
        <v>952</v>
      </c>
      <c r="Z69" s="148" t="s">
        <v>823</v>
      </c>
      <c r="AA69" s="148" t="s">
        <v>954</v>
      </c>
      <c r="AB69" s="232">
        <v>131.19785551499501</v>
      </c>
      <c r="AC69" s="232">
        <f>'Cálculo PU'!U271</f>
        <v>86.190104412236067</v>
      </c>
      <c r="AD69" s="168">
        <f t="shared" si="8"/>
        <v>45.007751102758945</v>
      </c>
      <c r="AF69" s="147">
        <v>5612</v>
      </c>
      <c r="AG69" s="156">
        <v>43374</v>
      </c>
      <c r="AH69" s="156">
        <v>45390</v>
      </c>
      <c r="AI69" s="148" t="s">
        <v>952</v>
      </c>
      <c r="AJ69" s="148" t="s">
        <v>823</v>
      </c>
      <c r="AK69" s="148" t="s">
        <v>956</v>
      </c>
      <c r="AL69" s="232">
        <v>238.45253612693901</v>
      </c>
      <c r="AM69" s="232">
        <f>'Cálculo PU'!T271</f>
        <v>301.26856435206355</v>
      </c>
      <c r="AN69" s="168">
        <f t="shared" si="9"/>
        <v>-62.816028225124541</v>
      </c>
      <c r="AP69" s="147">
        <v>5620</v>
      </c>
      <c r="AQ69" s="156">
        <v>43374</v>
      </c>
      <c r="AR69" s="156">
        <v>45390</v>
      </c>
      <c r="AS69" s="148" t="s">
        <v>952</v>
      </c>
      <c r="AT69" s="148" t="s">
        <v>823</v>
      </c>
      <c r="AU69" s="148" t="s">
        <v>942</v>
      </c>
      <c r="AV69" s="232">
        <v>11.466225939999999</v>
      </c>
      <c r="AW69" s="232">
        <f>'Cálculo PU'!Q271</f>
        <v>16.38</v>
      </c>
      <c r="AX69" s="168">
        <f t="shared" si="10"/>
        <v>-4.9137740599999997</v>
      </c>
      <c r="AZ69" s="147">
        <v>5621</v>
      </c>
      <c r="BA69" s="156">
        <v>43374</v>
      </c>
      <c r="BB69" s="156">
        <v>45390</v>
      </c>
      <c r="BC69" s="148" t="s">
        <v>952</v>
      </c>
      <c r="BD69" s="148" t="s">
        <v>823</v>
      </c>
      <c r="BE69" s="148" t="s">
        <v>943</v>
      </c>
      <c r="BF69" s="148">
        <v>1387</v>
      </c>
      <c r="BG69" s="237">
        <f>'Cálculo PU'!L271</f>
        <v>2079</v>
      </c>
      <c r="BH69" s="168">
        <f t="shared" si="11"/>
        <v>-692</v>
      </c>
    </row>
    <row r="70" spans="2:60">
      <c r="B70" s="226">
        <v>5674</v>
      </c>
      <c r="C70" s="227">
        <v>43374</v>
      </c>
      <c r="D70" s="227">
        <v>45421</v>
      </c>
      <c r="E70" s="227" t="s">
        <v>952</v>
      </c>
      <c r="F70" s="227" t="s">
        <v>823</v>
      </c>
      <c r="G70" s="227" t="s">
        <v>953</v>
      </c>
      <c r="H70" s="227">
        <v>121.369945913107</v>
      </c>
      <c r="I70" s="232">
        <f>'Cálculo PU'!V272</f>
        <v>74.325017353922988</v>
      </c>
      <c r="J70" s="235">
        <f t="shared" si="6"/>
        <v>-47.044928559184015</v>
      </c>
      <c r="L70" s="147">
        <v>5673</v>
      </c>
      <c r="M70" s="156">
        <v>43374</v>
      </c>
      <c r="N70" s="156">
        <v>45421</v>
      </c>
      <c r="O70" s="148" t="s">
        <v>952</v>
      </c>
      <c r="P70" s="148" t="s">
        <v>823</v>
      </c>
      <c r="Q70" s="148" t="s">
        <v>827</v>
      </c>
      <c r="R70" s="148">
        <v>1.148065015195</v>
      </c>
      <c r="S70" s="148">
        <f>'Cálculo PU'!O272</f>
        <v>1.2286204206775786</v>
      </c>
      <c r="T70" s="168">
        <f t="shared" si="7"/>
        <v>-8.0555405482578557E-2</v>
      </c>
      <c r="V70" s="147">
        <v>5661</v>
      </c>
      <c r="W70" s="156">
        <v>43374</v>
      </c>
      <c r="X70" s="156">
        <v>45421</v>
      </c>
      <c r="Y70" s="148" t="s">
        <v>952</v>
      </c>
      <c r="Z70" s="148" t="s">
        <v>823</v>
      </c>
      <c r="AA70" s="148" t="s">
        <v>954</v>
      </c>
      <c r="AB70" s="232">
        <v>139.34058879894701</v>
      </c>
      <c r="AC70" s="232">
        <f>'Cálculo PU'!U272</f>
        <v>91.317234088245186</v>
      </c>
      <c r="AD70" s="168">
        <f t="shared" si="8"/>
        <v>48.023354710701824</v>
      </c>
      <c r="AF70" s="147">
        <v>5651</v>
      </c>
      <c r="AG70" s="156">
        <v>43374</v>
      </c>
      <c r="AH70" s="156">
        <v>45421</v>
      </c>
      <c r="AI70" s="148" t="s">
        <v>952</v>
      </c>
      <c r="AJ70" s="148" t="s">
        <v>823</v>
      </c>
      <c r="AK70" s="148" t="s">
        <v>956</v>
      </c>
      <c r="AL70" s="232">
        <v>255.950809474701</v>
      </c>
      <c r="AM70" s="232">
        <f>'Cálculo PU'!T272</f>
        <v>323.41719756730129</v>
      </c>
      <c r="AN70" s="168">
        <f t="shared" si="9"/>
        <v>-67.466388092600283</v>
      </c>
      <c r="AP70" s="147">
        <v>5659</v>
      </c>
      <c r="AQ70" s="156">
        <v>43374</v>
      </c>
      <c r="AR70" s="156">
        <v>45421</v>
      </c>
      <c r="AS70" s="148" t="s">
        <v>952</v>
      </c>
      <c r="AT70" s="148" t="s">
        <v>823</v>
      </c>
      <c r="AU70" s="148" t="s">
        <v>942</v>
      </c>
      <c r="AV70" s="232">
        <v>11.48862795</v>
      </c>
      <c r="AW70" s="232">
        <f>'Cálculo PU'!Q272</f>
        <v>16.378799999999998</v>
      </c>
      <c r="AX70" s="168">
        <f t="shared" si="10"/>
        <v>-4.8901720499999985</v>
      </c>
      <c r="AZ70" s="147">
        <v>5660</v>
      </c>
      <c r="BA70" s="156">
        <v>43374</v>
      </c>
      <c r="BB70" s="156">
        <v>45421</v>
      </c>
      <c r="BC70" s="148" t="s">
        <v>952</v>
      </c>
      <c r="BD70" s="148" t="s">
        <v>823</v>
      </c>
      <c r="BE70" s="148" t="s">
        <v>943</v>
      </c>
      <c r="BF70" s="148">
        <v>1409</v>
      </c>
      <c r="BG70" s="237">
        <f>'Cálculo PU'!L272</f>
        <v>2101</v>
      </c>
      <c r="BH70" s="168">
        <f t="shared" si="11"/>
        <v>-692</v>
      </c>
    </row>
    <row r="71" spans="2:60">
      <c r="B71" s="226">
        <v>5713</v>
      </c>
      <c r="C71" s="227">
        <v>43374</v>
      </c>
      <c r="D71" s="227">
        <v>45453</v>
      </c>
      <c r="E71" s="227" t="s">
        <v>952</v>
      </c>
      <c r="F71" s="227" t="s">
        <v>823</v>
      </c>
      <c r="G71" s="227" t="s">
        <v>953</v>
      </c>
      <c r="H71" s="227">
        <v>111.585800392661</v>
      </c>
      <c r="I71" s="232">
        <f>'Cálculo PU'!V273</f>
        <v>68.162400028384184</v>
      </c>
      <c r="J71" s="235">
        <f t="shared" si="6"/>
        <v>-43.423400364276816</v>
      </c>
      <c r="L71" s="147">
        <v>5712</v>
      </c>
      <c r="M71" s="156">
        <v>43374</v>
      </c>
      <c r="N71" s="156">
        <v>45453</v>
      </c>
      <c r="O71" s="148" t="s">
        <v>952</v>
      </c>
      <c r="P71" s="148" t="s">
        <v>823</v>
      </c>
      <c r="Q71" s="148" t="s">
        <v>827</v>
      </c>
      <c r="R71" s="148">
        <v>1.150430096112</v>
      </c>
      <c r="S71" s="148">
        <f>'Cálculo PU'!O273</f>
        <v>1.2311514504298016</v>
      </c>
      <c r="T71" s="168">
        <f t="shared" si="7"/>
        <v>-8.0721354317801586E-2</v>
      </c>
      <c r="V71" s="147">
        <v>5700</v>
      </c>
      <c r="W71" s="156">
        <v>43374</v>
      </c>
      <c r="X71" s="156">
        <v>45453</v>
      </c>
      <c r="Y71" s="148" t="s">
        <v>952</v>
      </c>
      <c r="Z71" s="148" t="s">
        <v>823</v>
      </c>
      <c r="AA71" s="148" t="s">
        <v>954</v>
      </c>
      <c r="AB71" s="232">
        <v>128.371663070463</v>
      </c>
      <c r="AC71" s="232">
        <f>'Cálculo PU'!U273</f>
        <v>83.918237659721541</v>
      </c>
      <c r="AD71" s="168">
        <f t="shared" si="8"/>
        <v>44.45342541074146</v>
      </c>
      <c r="AF71" s="147">
        <v>5690</v>
      </c>
      <c r="AG71" s="156">
        <v>43374</v>
      </c>
      <c r="AH71" s="156">
        <v>45453</v>
      </c>
      <c r="AI71" s="148" t="s">
        <v>952</v>
      </c>
      <c r="AJ71" s="148" t="s">
        <v>823</v>
      </c>
      <c r="AK71" s="148" t="s">
        <v>956</v>
      </c>
      <c r="AL71" s="232">
        <v>238.200370798785</v>
      </c>
      <c r="AM71" s="232">
        <f>'Cálculo PU'!T273</f>
        <v>300.96891265318141</v>
      </c>
      <c r="AN71" s="168">
        <f t="shared" si="9"/>
        <v>-62.768541854396403</v>
      </c>
      <c r="AP71" s="147">
        <v>5698</v>
      </c>
      <c r="AQ71" s="156">
        <v>43374</v>
      </c>
      <c r="AR71" s="156">
        <v>45453</v>
      </c>
      <c r="AS71" s="148" t="s">
        <v>952</v>
      </c>
      <c r="AT71" s="148" t="s">
        <v>823</v>
      </c>
      <c r="AU71" s="148" t="s">
        <v>942</v>
      </c>
      <c r="AV71" s="232">
        <v>11.5093727</v>
      </c>
      <c r="AW71" s="232">
        <f>'Cálculo PU'!Q273</f>
        <v>16.377700000000001</v>
      </c>
      <c r="AX71" s="168">
        <f t="shared" si="10"/>
        <v>-4.8683273000000007</v>
      </c>
      <c r="AZ71" s="147">
        <v>5699</v>
      </c>
      <c r="BA71" s="156">
        <v>43374</v>
      </c>
      <c r="BB71" s="156">
        <v>45453</v>
      </c>
      <c r="BC71" s="148" t="s">
        <v>952</v>
      </c>
      <c r="BD71" s="148" t="s">
        <v>823</v>
      </c>
      <c r="BE71" s="148" t="s">
        <v>943</v>
      </c>
      <c r="BF71" s="148">
        <v>1430</v>
      </c>
      <c r="BG71" s="237">
        <f>'Cálculo PU'!L273</f>
        <v>2122</v>
      </c>
      <c r="BH71" s="168">
        <f t="shared" si="11"/>
        <v>-692</v>
      </c>
    </row>
    <row r="72" spans="2:60">
      <c r="B72" s="226">
        <v>5752</v>
      </c>
      <c r="C72" s="227">
        <v>43374</v>
      </c>
      <c r="D72" s="227">
        <v>45481</v>
      </c>
      <c r="E72" s="227" t="s">
        <v>952</v>
      </c>
      <c r="F72" s="227" t="s">
        <v>823</v>
      </c>
      <c r="G72" s="227" t="s">
        <v>953</v>
      </c>
      <c r="H72" s="227">
        <v>102.722113428368</v>
      </c>
      <c r="I72" s="232">
        <f>'Cálculo PU'!V274</f>
        <v>62.376171173599225</v>
      </c>
      <c r="J72" s="235">
        <f t="shared" si="6"/>
        <v>-40.345942254768779</v>
      </c>
      <c r="L72" s="147">
        <v>5751</v>
      </c>
      <c r="M72" s="156">
        <v>43374</v>
      </c>
      <c r="N72" s="156">
        <v>45481</v>
      </c>
      <c r="O72" s="148" t="s">
        <v>952</v>
      </c>
      <c r="P72" s="148" t="s">
        <v>823</v>
      </c>
      <c r="Q72" s="148" t="s">
        <v>827</v>
      </c>
      <c r="R72" s="148">
        <v>1.1526870836950001</v>
      </c>
      <c r="S72" s="148">
        <f>'Cálculo PU'!O274</f>
        <v>1.2335668023444135</v>
      </c>
      <c r="T72" s="168">
        <f t="shared" si="7"/>
        <v>-8.0879718649413457E-2</v>
      </c>
      <c r="V72" s="147">
        <v>5739</v>
      </c>
      <c r="W72" s="156">
        <v>43374</v>
      </c>
      <c r="X72" s="156">
        <v>45481</v>
      </c>
      <c r="Y72" s="148" t="s">
        <v>952</v>
      </c>
      <c r="Z72" s="148" t="s">
        <v>823</v>
      </c>
      <c r="AA72" s="148" t="s">
        <v>954</v>
      </c>
      <c r="AB72" s="232">
        <v>118.406453358733</v>
      </c>
      <c r="AC72" s="232">
        <f>'Cálculo PU'!U274</f>
        <v>76.945174017104577</v>
      </c>
      <c r="AD72" s="168">
        <f t="shared" si="8"/>
        <v>41.461279341628426</v>
      </c>
      <c r="AF72" s="147">
        <v>5729</v>
      </c>
      <c r="AG72" s="156">
        <v>43374</v>
      </c>
      <c r="AH72" s="156">
        <v>45481</v>
      </c>
      <c r="AI72" s="148" t="s">
        <v>952</v>
      </c>
      <c r="AJ72" s="148" t="s">
        <v>823</v>
      </c>
      <c r="AK72" s="148" t="s">
        <v>956</v>
      </c>
      <c r="AL72" s="232">
        <v>221.850295977873</v>
      </c>
      <c r="AM72" s="232">
        <f>'Cálculo PU'!T274</f>
        <v>279.27980845757588</v>
      </c>
      <c r="AN72" s="168">
        <f t="shared" si="9"/>
        <v>-57.429512479702879</v>
      </c>
      <c r="AP72" s="147">
        <v>5737</v>
      </c>
      <c r="AQ72" s="156">
        <v>43374</v>
      </c>
      <c r="AR72" s="156">
        <v>45481</v>
      </c>
      <c r="AS72" s="148" t="s">
        <v>952</v>
      </c>
      <c r="AT72" s="148" t="s">
        <v>823</v>
      </c>
      <c r="AU72" s="148" t="s">
        <v>942</v>
      </c>
      <c r="AV72" s="232">
        <v>11.529745139999999</v>
      </c>
      <c r="AW72" s="232">
        <f>'Cálculo PU'!Q274</f>
        <v>16.3766</v>
      </c>
      <c r="AX72" s="168">
        <f t="shared" si="10"/>
        <v>-4.8468548600000005</v>
      </c>
      <c r="AZ72" s="147">
        <v>5738</v>
      </c>
      <c r="BA72" s="156">
        <v>43374</v>
      </c>
      <c r="BB72" s="156">
        <v>45481</v>
      </c>
      <c r="BC72" s="148" t="s">
        <v>952</v>
      </c>
      <c r="BD72" s="148" t="s">
        <v>823</v>
      </c>
      <c r="BE72" s="148" t="s">
        <v>943</v>
      </c>
      <c r="BF72" s="148">
        <v>1450</v>
      </c>
      <c r="BG72" s="237">
        <f>'Cálculo PU'!L274</f>
        <v>2142</v>
      </c>
      <c r="BH72" s="168">
        <f t="shared" si="11"/>
        <v>-692</v>
      </c>
    </row>
    <row r="73" spans="2:60">
      <c r="B73" s="226">
        <v>5791</v>
      </c>
      <c r="C73" s="227">
        <v>43374</v>
      </c>
      <c r="D73" s="227">
        <v>45512</v>
      </c>
      <c r="E73" s="227" t="s">
        <v>952</v>
      </c>
      <c r="F73" s="227" t="s">
        <v>823</v>
      </c>
      <c r="G73" s="227" t="s">
        <v>953</v>
      </c>
      <c r="H73" s="227">
        <v>114.820872807505</v>
      </c>
      <c r="I73" s="232">
        <f>'Cálculo PU'!V275</f>
        <v>68.813387125857162</v>
      </c>
      <c r="J73" s="235">
        <f t="shared" si="6"/>
        <v>-46.007485681647836</v>
      </c>
      <c r="L73" s="147">
        <v>5790</v>
      </c>
      <c r="M73" s="156">
        <v>43374</v>
      </c>
      <c r="N73" s="156">
        <v>45512</v>
      </c>
      <c r="O73" s="148" t="s">
        <v>952</v>
      </c>
      <c r="P73" s="148" t="s">
        <v>823</v>
      </c>
      <c r="Q73" s="148" t="s">
        <v>827</v>
      </c>
      <c r="R73" s="148">
        <v>1.155288093946</v>
      </c>
      <c r="S73" s="148">
        <f>'Cálculo PU'!O275</f>
        <v>1.2363503157054359</v>
      </c>
      <c r="T73" s="168">
        <f t="shared" si="7"/>
        <v>-8.1062221759435893E-2</v>
      </c>
      <c r="V73" s="147">
        <v>5778</v>
      </c>
      <c r="W73" s="156">
        <v>43374</v>
      </c>
      <c r="X73" s="156">
        <v>45512</v>
      </c>
      <c r="Y73" s="148" t="s">
        <v>952</v>
      </c>
      <c r="Z73" s="148" t="s">
        <v>823</v>
      </c>
      <c r="AA73" s="148" t="s">
        <v>954</v>
      </c>
      <c r="AB73" s="232">
        <v>132.65118729099899</v>
      </c>
      <c r="AC73" s="232">
        <f>'Cálculo PU'!U275</f>
        <v>85.077452897813885</v>
      </c>
      <c r="AD73" s="168">
        <f t="shared" si="8"/>
        <v>47.573734393185106</v>
      </c>
      <c r="AF73" s="147">
        <v>5768</v>
      </c>
      <c r="AG73" s="156">
        <v>43374</v>
      </c>
      <c r="AH73" s="156">
        <v>45512</v>
      </c>
      <c r="AI73" s="148" t="s">
        <v>952</v>
      </c>
      <c r="AJ73" s="148" t="s">
        <v>823</v>
      </c>
      <c r="AK73" s="148" t="s">
        <v>956</v>
      </c>
      <c r="AL73" s="232">
        <v>251.348172442465</v>
      </c>
      <c r="AM73" s="232">
        <f>'Cálculo PU'!T275</f>
        <v>313.07537728393356</v>
      </c>
      <c r="AN73" s="168">
        <f t="shared" si="9"/>
        <v>-61.727204841468563</v>
      </c>
      <c r="AP73" s="147">
        <v>5776</v>
      </c>
      <c r="AQ73" s="156">
        <v>43374</v>
      </c>
      <c r="AR73" s="156">
        <v>45512</v>
      </c>
      <c r="AS73" s="148" t="s">
        <v>952</v>
      </c>
      <c r="AT73" s="148" t="s">
        <v>823</v>
      </c>
      <c r="AU73" s="148" t="s">
        <v>942</v>
      </c>
      <c r="AV73" s="232">
        <v>11.55411415</v>
      </c>
      <c r="AW73" s="232">
        <f>'Cálculo PU'!Q275</f>
        <v>16.375499999999999</v>
      </c>
      <c r="AX73" s="168">
        <f t="shared" si="10"/>
        <v>-4.8213858499999986</v>
      </c>
      <c r="AZ73" s="147">
        <v>5777</v>
      </c>
      <c r="BA73" s="156">
        <v>43374</v>
      </c>
      <c r="BB73" s="156">
        <v>45512</v>
      </c>
      <c r="BC73" s="148" t="s">
        <v>952</v>
      </c>
      <c r="BD73" s="148" t="s">
        <v>823</v>
      </c>
      <c r="BE73" s="148" t="s">
        <v>943</v>
      </c>
      <c r="BF73" s="148">
        <v>1473</v>
      </c>
      <c r="BG73" s="237">
        <f>'Cálculo PU'!L275</f>
        <v>2165</v>
      </c>
      <c r="BH73" s="168">
        <f t="shared" si="11"/>
        <v>-692</v>
      </c>
    </row>
    <row r="74" spans="2:60">
      <c r="B74" s="226">
        <v>5830</v>
      </c>
      <c r="C74" s="227">
        <v>43374</v>
      </c>
      <c r="D74" s="227">
        <v>45544</v>
      </c>
      <c r="E74" s="227" t="s">
        <v>952</v>
      </c>
      <c r="F74" s="227" t="s">
        <v>823</v>
      </c>
      <c r="G74" s="227" t="s">
        <v>953</v>
      </c>
      <c r="H74" s="227">
        <v>105.598783191271</v>
      </c>
      <c r="I74" s="232">
        <f>'Cálculo PU'!V276</f>
        <v>63.129935326541919</v>
      </c>
      <c r="J74" s="235">
        <f t="shared" si="6"/>
        <v>-42.468847864729078</v>
      </c>
      <c r="L74" s="147">
        <v>5829</v>
      </c>
      <c r="M74" s="156">
        <v>43374</v>
      </c>
      <c r="N74" s="156">
        <v>45544</v>
      </c>
      <c r="O74" s="148" t="s">
        <v>952</v>
      </c>
      <c r="P74" s="148" t="s">
        <v>823</v>
      </c>
      <c r="Q74" s="148" t="s">
        <v>827</v>
      </c>
      <c r="R74" s="148">
        <v>1.1577815085109999</v>
      </c>
      <c r="S74" s="148">
        <f>'Cálculo PU'!O276</f>
        <v>1.2390186837949835</v>
      </c>
      <c r="T74" s="168">
        <f t="shared" si="7"/>
        <v>-8.1237175283983554E-2</v>
      </c>
      <c r="V74" s="147">
        <v>5817</v>
      </c>
      <c r="W74" s="156">
        <v>43374</v>
      </c>
      <c r="X74" s="156">
        <v>45544</v>
      </c>
      <c r="Y74" s="148" t="s">
        <v>952</v>
      </c>
      <c r="Z74" s="148" t="s">
        <v>823</v>
      </c>
      <c r="AA74" s="148" t="s">
        <v>954</v>
      </c>
      <c r="AB74" s="232">
        <v>122.260318500116</v>
      </c>
      <c r="AC74" s="232">
        <f>'Cálculo PU'!U276</f>
        <v>78.219169376354401</v>
      </c>
      <c r="AD74" s="168">
        <f t="shared" si="8"/>
        <v>44.041149123761599</v>
      </c>
      <c r="AF74" s="147">
        <v>5807</v>
      </c>
      <c r="AG74" s="156">
        <v>43374</v>
      </c>
      <c r="AH74" s="156">
        <v>45544</v>
      </c>
      <c r="AI74" s="148" t="s">
        <v>952</v>
      </c>
      <c r="AJ74" s="148" t="s">
        <v>823</v>
      </c>
      <c r="AK74" s="148" t="s">
        <v>956</v>
      </c>
      <c r="AL74" s="232">
        <v>234.162794188894</v>
      </c>
      <c r="AM74" s="232">
        <f>'Cálculo PU'!T276</f>
        <v>291.65207103634248</v>
      </c>
      <c r="AN74" s="168">
        <f t="shared" si="9"/>
        <v>-57.48927684744848</v>
      </c>
      <c r="AP74" s="147">
        <v>5815</v>
      </c>
      <c r="AQ74" s="156">
        <v>43374</v>
      </c>
      <c r="AR74" s="156">
        <v>45544</v>
      </c>
      <c r="AS74" s="148" t="s">
        <v>952</v>
      </c>
      <c r="AT74" s="148" t="s">
        <v>823</v>
      </c>
      <c r="AU74" s="148" t="s">
        <v>942</v>
      </c>
      <c r="AV74" s="232">
        <v>11.57672676</v>
      </c>
      <c r="AW74" s="232">
        <f>'Cálculo PU'!Q276</f>
        <v>16.374500000000001</v>
      </c>
      <c r="AX74" s="168">
        <f t="shared" si="10"/>
        <v>-4.7977732400000015</v>
      </c>
      <c r="AZ74" s="147">
        <v>5816</v>
      </c>
      <c r="BA74" s="156">
        <v>43374</v>
      </c>
      <c r="BB74" s="156">
        <v>45544</v>
      </c>
      <c r="BC74" s="148" t="s">
        <v>952</v>
      </c>
      <c r="BD74" s="148" t="s">
        <v>823</v>
      </c>
      <c r="BE74" s="148" t="s">
        <v>943</v>
      </c>
      <c r="BF74" s="148">
        <v>1495</v>
      </c>
      <c r="BG74" s="237">
        <f>'Cálculo PU'!L276</f>
        <v>2187</v>
      </c>
      <c r="BH74" s="168">
        <f t="shared" si="11"/>
        <v>-692</v>
      </c>
    </row>
    <row r="75" spans="2:60">
      <c r="B75" s="226">
        <v>5869</v>
      </c>
      <c r="C75" s="227">
        <v>43374</v>
      </c>
      <c r="D75" s="227">
        <v>45573</v>
      </c>
      <c r="E75" s="227" t="s">
        <v>952</v>
      </c>
      <c r="F75" s="227" t="s">
        <v>823</v>
      </c>
      <c r="G75" s="227" t="s">
        <v>953</v>
      </c>
      <c r="H75" s="227">
        <v>96.926303297933501</v>
      </c>
      <c r="I75" s="232">
        <f>'Cálculo PU'!V277</f>
        <v>57.808557975261536</v>
      </c>
      <c r="J75" s="235">
        <f t="shared" si="6"/>
        <v>-39.117745322671965</v>
      </c>
      <c r="L75" s="147">
        <v>5868</v>
      </c>
      <c r="M75" s="156">
        <v>43374</v>
      </c>
      <c r="N75" s="156">
        <v>45573</v>
      </c>
      <c r="O75" s="148" t="s">
        <v>952</v>
      </c>
      <c r="P75" s="148" t="s">
        <v>823</v>
      </c>
      <c r="Q75" s="148" t="s">
        <v>827</v>
      </c>
      <c r="R75" s="148">
        <v>1.1601666059710001</v>
      </c>
      <c r="S75" s="148">
        <f>'Cálculo PU'!O277</f>
        <v>1.2415711345759299</v>
      </c>
      <c r="T75" s="168">
        <f t="shared" si="7"/>
        <v>-8.140452860492986E-2</v>
      </c>
      <c r="V75" s="147">
        <v>5856</v>
      </c>
      <c r="W75" s="156">
        <v>43374</v>
      </c>
      <c r="X75" s="156">
        <v>45573</v>
      </c>
      <c r="Y75" s="148" t="s">
        <v>952</v>
      </c>
      <c r="Z75" s="148" t="s">
        <v>823</v>
      </c>
      <c r="AA75" s="148" t="s">
        <v>954</v>
      </c>
      <c r="AB75" s="232">
        <v>112.450660326479</v>
      </c>
      <c r="AC75" s="232">
        <f>'Cálculo PU'!U277</f>
        <v>71.77343691354389</v>
      </c>
      <c r="AD75" s="168">
        <f t="shared" si="8"/>
        <v>40.677223412935106</v>
      </c>
      <c r="AF75" s="147">
        <v>5846</v>
      </c>
      <c r="AG75" s="156">
        <v>43374</v>
      </c>
      <c r="AH75" s="156">
        <v>45573</v>
      </c>
      <c r="AI75" s="148" t="s">
        <v>952</v>
      </c>
      <c r="AJ75" s="148" t="s">
        <v>823</v>
      </c>
      <c r="AK75" s="148" t="s">
        <v>956</v>
      </c>
      <c r="AL75" s="232">
        <v>217.59553826759401</v>
      </c>
      <c r="AM75" s="232">
        <f>'Cálculo PU'!T277</f>
        <v>271.0011052012415</v>
      </c>
      <c r="AN75" s="168">
        <f t="shared" si="9"/>
        <v>-53.405566933647492</v>
      </c>
      <c r="AP75" s="147">
        <v>5854</v>
      </c>
      <c r="AQ75" s="156">
        <v>43374</v>
      </c>
      <c r="AR75" s="156">
        <v>45573</v>
      </c>
      <c r="AS75" s="148" t="s">
        <v>952</v>
      </c>
      <c r="AT75" s="148" t="s">
        <v>823</v>
      </c>
      <c r="AU75" s="148" t="s">
        <v>942</v>
      </c>
      <c r="AV75" s="232">
        <v>11.5977034</v>
      </c>
      <c r="AW75" s="232">
        <f>'Cálculo PU'!Q277</f>
        <v>16.3735</v>
      </c>
      <c r="AX75" s="168">
        <f t="shared" si="10"/>
        <v>-4.7757965999999996</v>
      </c>
      <c r="AZ75" s="147">
        <v>5855</v>
      </c>
      <c r="BA75" s="156">
        <v>43374</v>
      </c>
      <c r="BB75" s="156">
        <v>45573</v>
      </c>
      <c r="BC75" s="148" t="s">
        <v>952</v>
      </c>
      <c r="BD75" s="148" t="s">
        <v>823</v>
      </c>
      <c r="BE75" s="148" t="s">
        <v>943</v>
      </c>
      <c r="BF75" s="148">
        <v>1516</v>
      </c>
      <c r="BG75" s="237">
        <f>'Cálculo PU'!L277</f>
        <v>2208</v>
      </c>
      <c r="BH75" s="168">
        <f t="shared" si="11"/>
        <v>-692</v>
      </c>
    </row>
    <row r="76" spans="2:60">
      <c r="B76" s="226">
        <v>5908</v>
      </c>
      <c r="C76" s="227">
        <v>43374</v>
      </c>
      <c r="D76" s="227">
        <v>45604</v>
      </c>
      <c r="E76" s="227" t="s">
        <v>952</v>
      </c>
      <c r="F76" s="227" t="s">
        <v>823</v>
      </c>
      <c r="G76" s="227" t="s">
        <v>953</v>
      </c>
      <c r="H76" s="227">
        <v>101.98067216183</v>
      </c>
      <c r="I76" s="232">
        <f>'Cálculo PU'!V278</f>
        <v>60.677302105030371</v>
      </c>
      <c r="J76" s="235">
        <f t="shared" si="6"/>
        <v>-41.303370056799629</v>
      </c>
      <c r="L76" s="147">
        <v>5907</v>
      </c>
      <c r="M76" s="156">
        <v>43374</v>
      </c>
      <c r="N76" s="156">
        <v>45604</v>
      </c>
      <c r="O76" s="148" t="s">
        <v>952</v>
      </c>
      <c r="P76" s="148" t="s">
        <v>823</v>
      </c>
      <c r="Q76" s="148" t="s">
        <v>827</v>
      </c>
      <c r="R76" s="148">
        <v>1.162784493582</v>
      </c>
      <c r="S76" s="148">
        <f>'Cálculo PU'!O278</f>
        <v>1.2443727095171357</v>
      </c>
      <c r="T76" s="168">
        <f t="shared" si="7"/>
        <v>-8.1588215935135766E-2</v>
      </c>
      <c r="V76" s="147">
        <v>5895</v>
      </c>
      <c r="W76" s="156">
        <v>43374</v>
      </c>
      <c r="X76" s="156">
        <v>45604</v>
      </c>
      <c r="Y76" s="148" t="s">
        <v>952</v>
      </c>
      <c r="Z76" s="148" t="s">
        <v>823</v>
      </c>
      <c r="AA76" s="148" t="s">
        <v>954</v>
      </c>
      <c r="AB76" s="232">
        <v>118.581544234845</v>
      </c>
      <c r="AC76" s="232">
        <f>'Cálculo PU'!U278</f>
        <v>75.505178826626448</v>
      </c>
      <c r="AD76" s="168">
        <f t="shared" si="8"/>
        <v>43.07636540821855</v>
      </c>
      <c r="AF76" s="147">
        <v>5885</v>
      </c>
      <c r="AG76" s="156">
        <v>43374</v>
      </c>
      <c r="AH76" s="156">
        <v>45604</v>
      </c>
      <c r="AI76" s="148" t="s">
        <v>952</v>
      </c>
      <c r="AJ76" s="148" t="s">
        <v>823</v>
      </c>
      <c r="AK76" s="148" t="s">
        <v>956</v>
      </c>
      <c r="AL76" s="232">
        <v>232.05184628295501</v>
      </c>
      <c r="AM76" s="232">
        <f>'Cálculo PU'!T278</f>
        <v>289.04017331217824</v>
      </c>
      <c r="AN76" s="168">
        <f t="shared" si="9"/>
        <v>-56.988327029223228</v>
      </c>
      <c r="AP76" s="147">
        <v>5893</v>
      </c>
      <c r="AQ76" s="156">
        <v>43374</v>
      </c>
      <c r="AR76" s="156">
        <v>45604</v>
      </c>
      <c r="AS76" s="148" t="s">
        <v>952</v>
      </c>
      <c r="AT76" s="148" t="s">
        <v>823</v>
      </c>
      <c r="AU76" s="148" t="s">
        <v>942</v>
      </c>
      <c r="AV76" s="232">
        <v>11.6200253</v>
      </c>
      <c r="AW76" s="232">
        <f>'Cálculo PU'!Q278</f>
        <v>16.372399999999999</v>
      </c>
      <c r="AX76" s="168">
        <f t="shared" si="10"/>
        <v>-4.752374699999999</v>
      </c>
      <c r="AZ76" s="147">
        <v>5894</v>
      </c>
      <c r="BA76" s="156">
        <v>43374</v>
      </c>
      <c r="BB76" s="156">
        <v>45604</v>
      </c>
      <c r="BC76" s="148" t="s">
        <v>952</v>
      </c>
      <c r="BD76" s="148" t="s">
        <v>823</v>
      </c>
      <c r="BE76" s="148" t="s">
        <v>943</v>
      </c>
      <c r="BF76" s="148">
        <v>1539</v>
      </c>
      <c r="BG76" s="237">
        <f>'Cálculo PU'!L278</f>
        <v>2231</v>
      </c>
      <c r="BH76" s="168">
        <f t="shared" si="11"/>
        <v>-692</v>
      </c>
    </row>
    <row r="77" spans="2:60">
      <c r="B77" s="226">
        <v>5947</v>
      </c>
      <c r="C77" s="227">
        <v>43374</v>
      </c>
      <c r="D77" s="227">
        <v>45635</v>
      </c>
      <c r="E77" s="227" t="s">
        <v>952</v>
      </c>
      <c r="F77" s="227" t="s">
        <v>823</v>
      </c>
      <c r="G77" s="227" t="s">
        <v>953</v>
      </c>
      <c r="H77" s="227">
        <v>85.217723989932793</v>
      </c>
      <c r="I77" s="232">
        <f>'Cálculo PU'!V279</f>
        <v>50.583312784321897</v>
      </c>
      <c r="J77" s="235">
        <f t="shared" si="6"/>
        <v>-34.634411205610895</v>
      </c>
      <c r="L77" s="147">
        <v>5946</v>
      </c>
      <c r="M77" s="156">
        <v>43374</v>
      </c>
      <c r="N77" s="156">
        <v>45635</v>
      </c>
      <c r="O77" s="148" t="s">
        <v>952</v>
      </c>
      <c r="P77" s="148" t="s">
        <v>823</v>
      </c>
      <c r="Q77" s="148" t="s">
        <v>827</v>
      </c>
      <c r="R77" s="148">
        <v>1.1650657188139999</v>
      </c>
      <c r="S77" s="148">
        <f>'Cálculo PU'!O279</f>
        <v>1.2468139997461924</v>
      </c>
      <c r="T77" s="168">
        <f t="shared" si="7"/>
        <v>-8.1748280932192552E-2</v>
      </c>
      <c r="V77" s="147">
        <v>5934</v>
      </c>
      <c r="W77" s="156">
        <v>43374</v>
      </c>
      <c r="X77" s="156">
        <v>45635</v>
      </c>
      <c r="Y77" s="148" t="s">
        <v>952</v>
      </c>
      <c r="Z77" s="148" t="s">
        <v>823</v>
      </c>
      <c r="AA77" s="148" t="s">
        <v>954</v>
      </c>
      <c r="AB77" s="232">
        <v>99.284248856024107</v>
      </c>
      <c r="AC77" s="232">
        <f>'Cálculo PU'!U279</f>
        <v>63.067982533033096</v>
      </c>
      <c r="AD77" s="168">
        <f t="shared" si="8"/>
        <v>36.216266322991011</v>
      </c>
      <c r="AF77" s="147">
        <v>5924</v>
      </c>
      <c r="AG77" s="156">
        <v>43374</v>
      </c>
      <c r="AH77" s="156">
        <v>45635</v>
      </c>
      <c r="AI77" s="148" t="s">
        <v>952</v>
      </c>
      <c r="AJ77" s="148" t="s">
        <v>823</v>
      </c>
      <c r="AK77" s="148" t="s">
        <v>956</v>
      </c>
      <c r="AL77" s="232">
        <v>196.19670805124301</v>
      </c>
      <c r="AM77" s="232">
        <f>'Cálculo PU'!T279</f>
        <v>244.33551328403166</v>
      </c>
      <c r="AN77" s="168">
        <f t="shared" si="9"/>
        <v>-48.138805232788656</v>
      </c>
      <c r="AP77" s="147">
        <v>5932</v>
      </c>
      <c r="AQ77" s="156">
        <v>43374</v>
      </c>
      <c r="AR77" s="156">
        <v>45635</v>
      </c>
      <c r="AS77" s="148" t="s">
        <v>952</v>
      </c>
      <c r="AT77" s="148" t="s">
        <v>823</v>
      </c>
      <c r="AU77" s="148" t="s">
        <v>942</v>
      </c>
      <c r="AV77" s="232">
        <v>11.63890376</v>
      </c>
      <c r="AW77" s="232">
        <f>'Cálculo PU'!Q279</f>
        <v>16.371500000000001</v>
      </c>
      <c r="AX77" s="168">
        <f t="shared" si="10"/>
        <v>-4.7325962400000012</v>
      </c>
      <c r="AZ77" s="147">
        <v>5933</v>
      </c>
      <c r="BA77" s="156">
        <v>43374</v>
      </c>
      <c r="BB77" s="156">
        <v>45635</v>
      </c>
      <c r="BC77" s="148" t="s">
        <v>952</v>
      </c>
      <c r="BD77" s="148" t="s">
        <v>823</v>
      </c>
      <c r="BE77" s="148" t="s">
        <v>943</v>
      </c>
      <c r="BF77" s="148">
        <v>1559</v>
      </c>
      <c r="BG77" s="237">
        <f>'Cálculo PU'!L279</f>
        <v>2251</v>
      </c>
      <c r="BH77" s="168">
        <f t="shared" si="11"/>
        <v>-692</v>
      </c>
    </row>
    <row r="78" spans="2:60">
      <c r="B78" s="226">
        <v>5986</v>
      </c>
      <c r="C78" s="227">
        <v>43374</v>
      </c>
      <c r="D78" s="227">
        <v>45666</v>
      </c>
      <c r="E78" s="227" t="s">
        <v>952</v>
      </c>
      <c r="F78" s="227" t="s">
        <v>823</v>
      </c>
      <c r="G78" s="227" t="s">
        <v>953</v>
      </c>
      <c r="H78" s="227">
        <v>85.7095227587849</v>
      </c>
      <c r="I78" s="232">
        <f>'Cálculo PU'!V280</f>
        <v>50.504109030050572</v>
      </c>
      <c r="J78" s="235">
        <f t="shared" si="6"/>
        <v>-35.205413728734328</v>
      </c>
      <c r="L78" s="147">
        <v>5985</v>
      </c>
      <c r="M78" s="156">
        <v>43374</v>
      </c>
      <c r="N78" s="156">
        <v>45666</v>
      </c>
      <c r="O78" s="148" t="s">
        <v>952</v>
      </c>
      <c r="P78" s="148" t="s">
        <v>823</v>
      </c>
      <c r="Q78" s="148" t="s">
        <v>827</v>
      </c>
      <c r="R78" s="148">
        <v>1.167465822172</v>
      </c>
      <c r="S78" s="148">
        <f>'Cálculo PU'!O280</f>
        <v>1.2493825093328272</v>
      </c>
      <c r="T78" s="168">
        <f t="shared" si="7"/>
        <v>-8.1916687160827228E-2</v>
      </c>
      <c r="V78" s="147">
        <v>5973</v>
      </c>
      <c r="W78" s="156">
        <v>43374</v>
      </c>
      <c r="X78" s="156">
        <v>45666</v>
      </c>
      <c r="Y78" s="148" t="s">
        <v>952</v>
      </c>
      <c r="Z78" s="148" t="s">
        <v>823</v>
      </c>
      <c r="AA78" s="148" t="s">
        <v>954</v>
      </c>
      <c r="AB78" s="232">
        <v>100.062938455555</v>
      </c>
      <c r="AC78" s="232">
        <f>'Cálculo PU'!U280</f>
        <v>63.098950471583279</v>
      </c>
      <c r="AD78" s="168">
        <f t="shared" si="8"/>
        <v>36.96398798397172</v>
      </c>
      <c r="AF78" s="147">
        <v>5963</v>
      </c>
      <c r="AG78" s="156">
        <v>43374</v>
      </c>
      <c r="AH78" s="156">
        <v>45666</v>
      </c>
      <c r="AI78" s="148" t="s">
        <v>952</v>
      </c>
      <c r="AJ78" s="148" t="s">
        <v>823</v>
      </c>
      <c r="AK78" s="148" t="s">
        <v>956</v>
      </c>
      <c r="AL78" s="232">
        <v>199.76398777877699</v>
      </c>
      <c r="AM78" s="232">
        <f>'Cálculo PU'!T280</f>
        <v>247.51578048996751</v>
      </c>
      <c r="AN78" s="168">
        <f t="shared" si="9"/>
        <v>-47.751792711190518</v>
      </c>
      <c r="AP78" s="147">
        <v>5971</v>
      </c>
      <c r="AQ78" s="156">
        <v>43374</v>
      </c>
      <c r="AR78" s="156">
        <v>45666</v>
      </c>
      <c r="AS78" s="148" t="s">
        <v>952</v>
      </c>
      <c r="AT78" s="148" t="s">
        <v>823</v>
      </c>
      <c r="AU78" s="148" t="s">
        <v>942</v>
      </c>
      <c r="AV78" s="232">
        <v>11.65727103</v>
      </c>
      <c r="AW78" s="232">
        <f>'Cálculo PU'!Q280</f>
        <v>16.369</v>
      </c>
      <c r="AX78" s="168">
        <f t="shared" si="10"/>
        <v>-4.7117289699999994</v>
      </c>
      <c r="AZ78" s="147">
        <v>5972</v>
      </c>
      <c r="BA78" s="156">
        <v>43374</v>
      </c>
      <c r="BB78" s="156">
        <v>45666</v>
      </c>
      <c r="BC78" s="148" t="s">
        <v>952</v>
      </c>
      <c r="BD78" s="148" t="s">
        <v>823</v>
      </c>
      <c r="BE78" s="148" t="s">
        <v>943</v>
      </c>
      <c r="BF78" s="148">
        <v>1580</v>
      </c>
      <c r="BG78" s="237">
        <f>'Cálculo PU'!L280</f>
        <v>2272</v>
      </c>
      <c r="BH78" s="168">
        <f t="shared" si="11"/>
        <v>-692</v>
      </c>
    </row>
    <row r="79" spans="2:60">
      <c r="B79" s="226">
        <v>6025</v>
      </c>
      <c r="C79" s="227">
        <v>43374</v>
      </c>
      <c r="D79" s="227">
        <v>45698</v>
      </c>
      <c r="E79" s="227" t="s">
        <v>952</v>
      </c>
      <c r="F79" s="227" t="s">
        <v>823</v>
      </c>
      <c r="G79" s="227" t="s">
        <v>953</v>
      </c>
      <c r="H79" s="227">
        <v>85.150682547931595</v>
      </c>
      <c r="I79" s="232">
        <f>'Cálculo PU'!V281</f>
        <v>49.228070106151428</v>
      </c>
      <c r="J79" s="235">
        <f t="shared" si="6"/>
        <v>-35.922612441780167</v>
      </c>
      <c r="L79" s="147">
        <v>6024</v>
      </c>
      <c r="M79" s="156">
        <v>43374</v>
      </c>
      <c r="N79" s="156">
        <v>45698</v>
      </c>
      <c r="O79" s="148" t="s">
        <v>952</v>
      </c>
      <c r="P79" s="148" t="s">
        <v>823</v>
      </c>
      <c r="Q79" s="148" t="s">
        <v>827</v>
      </c>
      <c r="R79" s="148">
        <v>1.1699855194669999</v>
      </c>
      <c r="S79" s="148">
        <f>'Cálculo PU'!O281</f>
        <v>1.2520790043126022</v>
      </c>
      <c r="T79" s="168">
        <f t="shared" si="7"/>
        <v>-8.2093484845602305E-2</v>
      </c>
      <c r="V79" s="147">
        <v>6012</v>
      </c>
      <c r="W79" s="156">
        <v>43374</v>
      </c>
      <c r="X79" s="156">
        <v>45698</v>
      </c>
      <c r="Y79" s="148" t="s">
        <v>952</v>
      </c>
      <c r="Z79" s="148" t="s">
        <v>823</v>
      </c>
      <c r="AA79" s="148" t="s">
        <v>954</v>
      </c>
      <c r="AB79" s="232">
        <v>99.625065553811297</v>
      </c>
      <c r="AC79" s="232">
        <f>'Cálculo PU'!U281</f>
        <v>61.637433002741062</v>
      </c>
      <c r="AD79" s="168">
        <f t="shared" si="8"/>
        <v>37.987632551070234</v>
      </c>
      <c r="AF79" s="147">
        <v>6002</v>
      </c>
      <c r="AG79" s="156">
        <v>43374</v>
      </c>
      <c r="AH79" s="156">
        <v>45698</v>
      </c>
      <c r="AI79" s="148" t="s">
        <v>952</v>
      </c>
      <c r="AJ79" s="148" t="s">
        <v>823</v>
      </c>
      <c r="AK79" s="148" t="s">
        <v>956</v>
      </c>
      <c r="AL79" s="232">
        <v>201.01296512939899</v>
      </c>
      <c r="AM79" s="232">
        <f>'Cálculo PU'!T281</f>
        <v>244.91383743072316</v>
      </c>
      <c r="AN79" s="168">
        <f t="shared" si="9"/>
        <v>-43.900872301324171</v>
      </c>
      <c r="AP79" s="147">
        <v>6010</v>
      </c>
      <c r="AQ79" s="156">
        <v>43374</v>
      </c>
      <c r="AR79" s="156">
        <v>45698</v>
      </c>
      <c r="AS79" s="148" t="s">
        <v>952</v>
      </c>
      <c r="AT79" s="148" t="s">
        <v>823</v>
      </c>
      <c r="AU79" s="148" t="s">
        <v>942</v>
      </c>
      <c r="AV79" s="232">
        <v>11.674698810000001</v>
      </c>
      <c r="AW79" s="232">
        <f>'Cálculo PU'!Q281</f>
        <v>16.3643</v>
      </c>
      <c r="AX79" s="168">
        <f t="shared" si="10"/>
        <v>-4.6896011899999994</v>
      </c>
      <c r="AZ79" s="147">
        <v>6011</v>
      </c>
      <c r="BA79" s="156">
        <v>43374</v>
      </c>
      <c r="BB79" s="156">
        <v>45698</v>
      </c>
      <c r="BC79" s="148" t="s">
        <v>952</v>
      </c>
      <c r="BD79" s="148" t="s">
        <v>823</v>
      </c>
      <c r="BE79" s="148" t="s">
        <v>943</v>
      </c>
      <c r="BF79" s="148">
        <v>1602</v>
      </c>
      <c r="BG79" s="237">
        <f>'Cálculo PU'!L281</f>
        <v>2294</v>
      </c>
      <c r="BH79" s="168">
        <f t="shared" si="11"/>
        <v>-692</v>
      </c>
    </row>
    <row r="80" spans="2:60">
      <c r="B80" s="226">
        <v>6064</v>
      </c>
      <c r="C80" s="227">
        <v>43374</v>
      </c>
      <c r="D80" s="227">
        <v>45728</v>
      </c>
      <c r="E80" s="227" t="s">
        <v>952</v>
      </c>
      <c r="F80" s="227" t="s">
        <v>823</v>
      </c>
      <c r="G80" s="227" t="s">
        <v>953</v>
      </c>
      <c r="H80" s="227">
        <v>74.088469182578606</v>
      </c>
      <c r="I80" s="232">
        <f>'Cálculo PU'!V282</f>
        <v>42.741048427118109</v>
      </c>
      <c r="J80" s="235">
        <f t="shared" si="6"/>
        <v>-31.347420755460497</v>
      </c>
      <c r="L80" s="147">
        <v>6063</v>
      </c>
      <c r="M80" s="156">
        <v>43374</v>
      </c>
      <c r="N80" s="156">
        <v>45728</v>
      </c>
      <c r="O80" s="148" t="s">
        <v>952</v>
      </c>
      <c r="P80" s="148" t="s">
        <v>823</v>
      </c>
      <c r="Q80" s="148" t="s">
        <v>827</v>
      </c>
      <c r="R80" s="148">
        <v>1.172280872133</v>
      </c>
      <c r="S80" s="148">
        <f>'Cálculo PU'!O282</f>
        <v>1.2545354132452773</v>
      </c>
      <c r="T80" s="168">
        <f t="shared" si="7"/>
        <v>-8.2254541112277257E-2</v>
      </c>
      <c r="V80" s="147">
        <v>6051</v>
      </c>
      <c r="W80" s="156">
        <v>43374</v>
      </c>
      <c r="X80" s="156">
        <v>45728</v>
      </c>
      <c r="Y80" s="148" t="s">
        <v>952</v>
      </c>
      <c r="Z80" s="148" t="s">
        <v>823</v>
      </c>
      <c r="AA80" s="148" t="s">
        <v>954</v>
      </c>
      <c r="AB80" s="232">
        <v>86.852495268352101</v>
      </c>
      <c r="AC80" s="232">
        <f>'Cálculo PU'!U282</f>
        <v>53.620158851051023</v>
      </c>
      <c r="AD80" s="168">
        <f t="shared" si="8"/>
        <v>33.232336417301077</v>
      </c>
      <c r="AF80" s="147">
        <v>6041</v>
      </c>
      <c r="AG80" s="156">
        <v>43374</v>
      </c>
      <c r="AH80" s="156">
        <v>45728</v>
      </c>
      <c r="AI80" s="148" t="s">
        <v>952</v>
      </c>
      <c r="AJ80" s="148" t="s">
        <v>823</v>
      </c>
      <c r="AK80" s="148" t="s">
        <v>956</v>
      </c>
      <c r="AL80" s="232">
        <v>176.94163057702099</v>
      </c>
      <c r="AM80" s="232">
        <f>'Cálculo PU'!T282</f>
        <v>215.5625429463104</v>
      </c>
      <c r="AN80" s="168">
        <f t="shared" si="9"/>
        <v>-38.620912369289414</v>
      </c>
      <c r="AP80" s="147">
        <v>6049</v>
      </c>
      <c r="AQ80" s="156">
        <v>43374</v>
      </c>
      <c r="AR80" s="156">
        <v>45728</v>
      </c>
      <c r="AS80" s="148" t="s">
        <v>952</v>
      </c>
      <c r="AT80" s="148" t="s">
        <v>823</v>
      </c>
      <c r="AU80" s="148" t="s">
        <v>942</v>
      </c>
      <c r="AV80" s="232">
        <v>11.690134260000001</v>
      </c>
      <c r="AW80" s="232">
        <f>'Cálculo PU'!Q282</f>
        <v>16.36</v>
      </c>
      <c r="AX80" s="168">
        <f t="shared" si="10"/>
        <v>-4.6698657399999988</v>
      </c>
      <c r="AZ80" s="147">
        <v>6050</v>
      </c>
      <c r="BA80" s="156">
        <v>43374</v>
      </c>
      <c r="BB80" s="156">
        <v>45728</v>
      </c>
      <c r="BC80" s="148" t="s">
        <v>952</v>
      </c>
      <c r="BD80" s="148" t="s">
        <v>823</v>
      </c>
      <c r="BE80" s="148" t="s">
        <v>943</v>
      </c>
      <c r="BF80" s="148">
        <v>1622</v>
      </c>
      <c r="BG80" s="237">
        <f>'Cálculo PU'!L282</f>
        <v>2314</v>
      </c>
      <c r="BH80" s="168">
        <f t="shared" si="11"/>
        <v>-692</v>
      </c>
    </row>
    <row r="81" spans="2:60">
      <c r="B81" s="226">
        <v>6103</v>
      </c>
      <c r="C81" s="227">
        <v>43374</v>
      </c>
      <c r="D81" s="227">
        <v>45755</v>
      </c>
      <c r="E81" s="227" t="s">
        <v>952</v>
      </c>
      <c r="F81" s="227" t="s">
        <v>823</v>
      </c>
      <c r="G81" s="227" t="s">
        <v>953</v>
      </c>
      <c r="H81" s="227">
        <v>67.358673549604603</v>
      </c>
      <c r="I81" s="232">
        <f>'Cálculo PU'!V283</f>
        <v>38.781529335984075</v>
      </c>
      <c r="J81" s="235">
        <f t="shared" si="6"/>
        <v>-28.577144213620528</v>
      </c>
      <c r="L81" s="147">
        <v>6102</v>
      </c>
      <c r="M81" s="156">
        <v>43374</v>
      </c>
      <c r="N81" s="156">
        <v>45755</v>
      </c>
      <c r="O81" s="148" t="s">
        <v>952</v>
      </c>
      <c r="P81" s="148" t="s">
        <v>823</v>
      </c>
      <c r="Q81" s="148" t="s">
        <v>827</v>
      </c>
      <c r="R81" s="148">
        <v>1.1744656280920001</v>
      </c>
      <c r="S81" s="148">
        <f>'Cálculo PU'!O283</f>
        <v>1.2568734653144804</v>
      </c>
      <c r="T81" s="168">
        <f t="shared" si="7"/>
        <v>-8.2407837222480351E-2</v>
      </c>
      <c r="V81" s="147">
        <v>6090</v>
      </c>
      <c r="W81" s="156">
        <v>43374</v>
      </c>
      <c r="X81" s="156">
        <v>45755</v>
      </c>
      <c r="Y81" s="148" t="s">
        <v>952</v>
      </c>
      <c r="Z81" s="148" t="s">
        <v>823</v>
      </c>
      <c r="AA81" s="148" t="s">
        <v>954</v>
      </c>
      <c r="AB81" s="232">
        <v>79.110446837880403</v>
      </c>
      <c r="AC81" s="232">
        <f>'Cálculo PU'!U283</f>
        <v>48.74347516671348</v>
      </c>
      <c r="AD81" s="168">
        <f t="shared" si="8"/>
        <v>30.366971671166922</v>
      </c>
      <c r="AF81" s="147">
        <v>6080</v>
      </c>
      <c r="AG81" s="156">
        <v>43374</v>
      </c>
      <c r="AH81" s="156">
        <v>45755</v>
      </c>
      <c r="AI81" s="148" t="s">
        <v>952</v>
      </c>
      <c r="AJ81" s="148" t="s">
        <v>823</v>
      </c>
      <c r="AK81" s="148" t="s">
        <v>956</v>
      </c>
      <c r="AL81" s="232">
        <v>162.653803746047</v>
      </c>
      <c r="AM81" s="232">
        <f>'Cálculo PU'!T283</f>
        <v>198.14579703375938</v>
      </c>
      <c r="AN81" s="168">
        <f t="shared" si="9"/>
        <v>-35.491993287712376</v>
      </c>
      <c r="AP81" s="147">
        <v>6088</v>
      </c>
      <c r="AQ81" s="156">
        <v>43374</v>
      </c>
      <c r="AR81" s="156">
        <v>45755</v>
      </c>
      <c r="AS81" s="148" t="s">
        <v>952</v>
      </c>
      <c r="AT81" s="148" t="s">
        <v>823</v>
      </c>
      <c r="AU81" s="148" t="s">
        <v>942</v>
      </c>
      <c r="AV81" s="232">
        <v>11.704451349999999</v>
      </c>
      <c r="AW81" s="232">
        <f>'Cálculo PU'!Q283</f>
        <v>16.356000000000002</v>
      </c>
      <c r="AX81" s="168">
        <f t="shared" si="10"/>
        <v>-4.6515486500000023</v>
      </c>
      <c r="AZ81" s="147">
        <v>6089</v>
      </c>
      <c r="BA81" s="156">
        <v>43374</v>
      </c>
      <c r="BB81" s="156">
        <v>45755</v>
      </c>
      <c r="BC81" s="148" t="s">
        <v>952</v>
      </c>
      <c r="BD81" s="148" t="s">
        <v>823</v>
      </c>
      <c r="BE81" s="148" t="s">
        <v>943</v>
      </c>
      <c r="BF81" s="148">
        <v>1641</v>
      </c>
      <c r="BG81" s="237">
        <f>'Cálculo PU'!L283</f>
        <v>2333</v>
      </c>
      <c r="BH81" s="168">
        <f t="shared" si="11"/>
        <v>-692</v>
      </c>
    </row>
    <row r="82" spans="2:60">
      <c r="B82" s="226">
        <v>6142</v>
      </c>
      <c r="C82" s="227">
        <v>43374</v>
      </c>
      <c r="D82" s="227">
        <v>45786</v>
      </c>
      <c r="E82" s="227" t="s">
        <v>952</v>
      </c>
      <c r="F82" s="227" t="s">
        <v>823</v>
      </c>
      <c r="G82" s="227" t="s">
        <v>953</v>
      </c>
      <c r="H82" s="227">
        <v>67.790493484464406</v>
      </c>
      <c r="I82" s="232">
        <f>'Cálculo PU'!V284</f>
        <v>38.95261946932748</v>
      </c>
      <c r="J82" s="235">
        <f t="shared" si="6"/>
        <v>-28.837874015136926</v>
      </c>
      <c r="L82" s="147">
        <v>6141</v>
      </c>
      <c r="M82" s="156">
        <v>43374</v>
      </c>
      <c r="N82" s="156">
        <v>45786</v>
      </c>
      <c r="O82" s="148" t="s">
        <v>952</v>
      </c>
      <c r="P82" s="148" t="s">
        <v>823</v>
      </c>
      <c r="Q82" s="148" t="s">
        <v>827</v>
      </c>
      <c r="R82" s="148">
        <v>1.176769770123</v>
      </c>
      <c r="S82" s="148">
        <f>'Cálculo PU'!O284</f>
        <v>1.2593392803283947</v>
      </c>
      <c r="T82" s="168">
        <f t="shared" si="7"/>
        <v>-8.2569510205394714E-2</v>
      </c>
      <c r="V82" s="147">
        <v>6129</v>
      </c>
      <c r="W82" s="156">
        <v>43374</v>
      </c>
      <c r="X82" s="156">
        <v>45786</v>
      </c>
      <c r="Y82" s="148" t="s">
        <v>952</v>
      </c>
      <c r="Z82" s="148" t="s">
        <v>823</v>
      </c>
      <c r="AA82" s="148" t="s">
        <v>954</v>
      </c>
      <c r="AB82" s="232">
        <v>79.773803434237905</v>
      </c>
      <c r="AC82" s="232">
        <f>'Cálculo PU'!U284</f>
        <v>49.054563769408688</v>
      </c>
      <c r="AD82" s="168">
        <f t="shared" si="8"/>
        <v>30.719239664829217</v>
      </c>
      <c r="AF82" s="147">
        <v>6119</v>
      </c>
      <c r="AG82" s="156">
        <v>43374</v>
      </c>
      <c r="AH82" s="156">
        <v>45786</v>
      </c>
      <c r="AI82" s="148" t="s">
        <v>952</v>
      </c>
      <c r="AJ82" s="148" t="s">
        <v>823</v>
      </c>
      <c r="AK82" s="148" t="s">
        <v>956</v>
      </c>
      <c r="AL82" s="232">
        <v>165.60862846370901</v>
      </c>
      <c r="AM82" s="232">
        <f>'Cálculo PU'!T284</f>
        <v>201.75589525805961</v>
      </c>
      <c r="AN82" s="168">
        <f t="shared" si="9"/>
        <v>-36.1472667943506</v>
      </c>
      <c r="AP82" s="147">
        <v>6127</v>
      </c>
      <c r="AQ82" s="156">
        <v>43374</v>
      </c>
      <c r="AR82" s="156">
        <v>45786</v>
      </c>
      <c r="AS82" s="148" t="s">
        <v>952</v>
      </c>
      <c r="AT82" s="148" t="s">
        <v>823</v>
      </c>
      <c r="AU82" s="148" t="s">
        <v>942</v>
      </c>
      <c r="AV82" s="232">
        <v>11.719170030000001</v>
      </c>
      <c r="AW82" s="232">
        <f>'Cálculo PU'!Q284</f>
        <v>16.351900000000001</v>
      </c>
      <c r="AX82" s="168">
        <f t="shared" si="10"/>
        <v>-4.6327299699999998</v>
      </c>
      <c r="AZ82" s="147">
        <v>6128</v>
      </c>
      <c r="BA82" s="156">
        <v>43374</v>
      </c>
      <c r="BB82" s="156">
        <v>45786</v>
      </c>
      <c r="BC82" s="148" t="s">
        <v>952</v>
      </c>
      <c r="BD82" s="148" t="s">
        <v>823</v>
      </c>
      <c r="BE82" s="148" t="s">
        <v>943</v>
      </c>
      <c r="BF82" s="148">
        <v>1661</v>
      </c>
      <c r="BG82" s="237">
        <f>'Cálculo PU'!L284</f>
        <v>2353</v>
      </c>
      <c r="BH82" s="168">
        <f t="shared" si="11"/>
        <v>-692</v>
      </c>
    </row>
    <row r="83" spans="2:60">
      <c r="B83" s="226">
        <v>6181</v>
      </c>
      <c r="C83" s="227">
        <v>43374</v>
      </c>
      <c r="D83" s="227">
        <v>45817</v>
      </c>
      <c r="E83" s="227" t="s">
        <v>952</v>
      </c>
      <c r="F83" s="227" t="s">
        <v>823</v>
      </c>
      <c r="G83" s="227" t="s">
        <v>953</v>
      </c>
      <c r="H83" s="227">
        <v>67.967644308919702</v>
      </c>
      <c r="I83" s="232">
        <f>'Cálculo PU'!V285</f>
        <v>38.972817505406553</v>
      </c>
      <c r="J83" s="235">
        <f t="shared" si="6"/>
        <v>-28.994826803513149</v>
      </c>
      <c r="L83" s="147">
        <v>6180</v>
      </c>
      <c r="M83" s="156">
        <v>43374</v>
      </c>
      <c r="N83" s="156">
        <v>45817</v>
      </c>
      <c r="O83" s="148" t="s">
        <v>952</v>
      </c>
      <c r="P83" s="148" t="s">
        <v>823</v>
      </c>
      <c r="Q83" s="148" t="s">
        <v>827</v>
      </c>
      <c r="R83" s="148">
        <v>1.1791939845099999</v>
      </c>
      <c r="S83" s="148">
        <f>'Cálculo PU'!O285</f>
        <v>1.2619335927238347</v>
      </c>
      <c r="T83" s="168">
        <f t="shared" si="7"/>
        <v>-8.2739608213834748E-2</v>
      </c>
      <c r="V83" s="147">
        <v>6168</v>
      </c>
      <c r="W83" s="156">
        <v>43374</v>
      </c>
      <c r="X83" s="156">
        <v>45817</v>
      </c>
      <c r="Y83" s="148" t="s">
        <v>952</v>
      </c>
      <c r="Z83" s="148" t="s">
        <v>823</v>
      </c>
      <c r="AA83" s="148" t="s">
        <v>954</v>
      </c>
      <c r="AB83" s="232">
        <v>80.147037310393401</v>
      </c>
      <c r="AC83" s="232">
        <f>'Cálculo PU'!U285</f>
        <v>49.181107613168045</v>
      </c>
      <c r="AD83" s="168">
        <f t="shared" si="8"/>
        <v>30.965929697225356</v>
      </c>
      <c r="AF83" s="147">
        <v>6158</v>
      </c>
      <c r="AG83" s="156">
        <v>43374</v>
      </c>
      <c r="AH83" s="156">
        <v>45817</v>
      </c>
      <c r="AI83" s="148" t="s">
        <v>952</v>
      </c>
      <c r="AJ83" s="148" t="s">
        <v>823</v>
      </c>
      <c r="AK83" s="148" t="s">
        <v>956</v>
      </c>
      <c r="AL83" s="232">
        <v>168.07844592568901</v>
      </c>
      <c r="AM83" s="232">
        <f>'Cálculo PU'!T285</f>
        <v>204.7757641232547</v>
      </c>
      <c r="AN83" s="168">
        <f t="shared" si="9"/>
        <v>-36.697318197565693</v>
      </c>
      <c r="AP83" s="147">
        <v>6166</v>
      </c>
      <c r="AQ83" s="156">
        <v>43374</v>
      </c>
      <c r="AR83" s="156">
        <v>45817</v>
      </c>
      <c r="AS83" s="148" t="s">
        <v>952</v>
      </c>
      <c r="AT83" s="148" t="s">
        <v>823</v>
      </c>
      <c r="AU83" s="148" t="s">
        <v>942</v>
      </c>
      <c r="AV83" s="232">
        <v>11.73424994</v>
      </c>
      <c r="AW83" s="232">
        <f>'Cálculo PU'!Q285</f>
        <v>16.3477</v>
      </c>
      <c r="AX83" s="168">
        <f t="shared" si="10"/>
        <v>-4.6134500599999999</v>
      </c>
      <c r="AZ83" s="147">
        <v>6167</v>
      </c>
      <c r="BA83" s="156">
        <v>43374</v>
      </c>
      <c r="BB83" s="156">
        <v>45817</v>
      </c>
      <c r="BC83" s="148" t="s">
        <v>952</v>
      </c>
      <c r="BD83" s="148" t="s">
        <v>823</v>
      </c>
      <c r="BE83" s="148" t="s">
        <v>943</v>
      </c>
      <c r="BF83" s="148">
        <v>1682</v>
      </c>
      <c r="BG83" s="237">
        <f>'Cálculo PU'!L285</f>
        <v>2374</v>
      </c>
      <c r="BH83" s="168">
        <f t="shared" si="11"/>
        <v>-692</v>
      </c>
    </row>
    <row r="84" spans="2:60">
      <c r="B84" s="226">
        <v>6220</v>
      </c>
      <c r="C84" s="227">
        <v>43374</v>
      </c>
      <c r="D84" s="227">
        <v>45846</v>
      </c>
      <c r="E84" s="227" t="s">
        <v>952</v>
      </c>
      <c r="F84" s="227" t="s">
        <v>823</v>
      </c>
      <c r="G84" s="227" t="s">
        <v>953</v>
      </c>
      <c r="H84" s="227">
        <v>61.425479198966698</v>
      </c>
      <c r="I84" s="232">
        <f>'Cálculo PU'!V286</f>
        <v>35.345864382527438</v>
      </c>
      <c r="J84" s="235">
        <f t="shared" si="6"/>
        <v>-26.07961481643926</v>
      </c>
      <c r="L84" s="147">
        <v>6219</v>
      </c>
      <c r="M84" s="156">
        <v>43374</v>
      </c>
      <c r="N84" s="156">
        <v>45846</v>
      </c>
      <c r="O84" s="148" t="s">
        <v>952</v>
      </c>
      <c r="P84" s="148" t="s">
        <v>823</v>
      </c>
      <c r="Q84" s="148" t="s">
        <v>827</v>
      </c>
      <c r="R84" s="148">
        <v>1.181507402934</v>
      </c>
      <c r="S84" s="148">
        <f>'Cálculo PU'!O286</f>
        <v>1.2644093350203933</v>
      </c>
      <c r="T84" s="168">
        <f t="shared" si="7"/>
        <v>-8.2901932086393293E-2</v>
      </c>
      <c r="V84" s="147">
        <v>6207</v>
      </c>
      <c r="W84" s="156">
        <v>43374</v>
      </c>
      <c r="X84" s="156">
        <v>45846</v>
      </c>
      <c r="Y84" s="148" t="s">
        <v>952</v>
      </c>
      <c r="Z84" s="148" t="s">
        <v>823</v>
      </c>
      <c r="AA84" s="148" t="s">
        <v>954</v>
      </c>
      <c r="AB84" s="232">
        <v>72.574658402347495</v>
      </c>
      <c r="AC84" s="232">
        <f>'Cálculo PU'!U286</f>
        <v>44.691640879632523</v>
      </c>
      <c r="AD84" s="168">
        <f t="shared" si="8"/>
        <v>27.883017522714972</v>
      </c>
      <c r="AF84" s="147">
        <v>6197</v>
      </c>
      <c r="AG84" s="156">
        <v>43374</v>
      </c>
      <c r="AH84" s="156">
        <v>45846</v>
      </c>
      <c r="AI84" s="148" t="s">
        <v>952</v>
      </c>
      <c r="AJ84" s="148" t="s">
        <v>823</v>
      </c>
      <c r="AK84" s="148" t="s">
        <v>956</v>
      </c>
      <c r="AL84" s="232">
        <v>153.65936909349401</v>
      </c>
      <c r="AM84" s="232">
        <f>'Cálculo PU'!T286</f>
        <v>188.27106411294096</v>
      </c>
      <c r="AN84" s="168">
        <f t="shared" si="9"/>
        <v>-34.611695019446955</v>
      </c>
      <c r="AP84" s="147">
        <v>6205</v>
      </c>
      <c r="AQ84" s="156">
        <v>43374</v>
      </c>
      <c r="AR84" s="156">
        <v>45846</v>
      </c>
      <c r="AS84" s="148" t="s">
        <v>952</v>
      </c>
      <c r="AT84" s="148" t="s">
        <v>823</v>
      </c>
      <c r="AU84" s="148" t="s">
        <v>942</v>
      </c>
      <c r="AV84" s="232">
        <v>11.74663778</v>
      </c>
      <c r="AW84" s="232">
        <f>'Cálculo PU'!Q286</f>
        <v>16.343699999999998</v>
      </c>
      <c r="AX84" s="168">
        <f t="shared" si="10"/>
        <v>-4.597062219999998</v>
      </c>
      <c r="AZ84" s="147">
        <v>6206</v>
      </c>
      <c r="BA84" s="156">
        <v>43374</v>
      </c>
      <c r="BB84" s="156">
        <v>45846</v>
      </c>
      <c r="BC84" s="148" t="s">
        <v>952</v>
      </c>
      <c r="BD84" s="148" t="s">
        <v>823</v>
      </c>
      <c r="BE84" s="148" t="s">
        <v>943</v>
      </c>
      <c r="BF84" s="148">
        <v>1702</v>
      </c>
      <c r="BG84" s="237">
        <f>'Cálculo PU'!L286</f>
        <v>2394</v>
      </c>
      <c r="BH84" s="168">
        <f t="shared" si="11"/>
        <v>-692</v>
      </c>
    </row>
    <row r="85" spans="2:60">
      <c r="B85" s="226">
        <v>6259</v>
      </c>
      <c r="C85" s="227">
        <v>43374</v>
      </c>
      <c r="D85" s="227">
        <v>45877</v>
      </c>
      <c r="E85" s="227" t="s">
        <v>952</v>
      </c>
      <c r="F85" s="227" t="s">
        <v>823</v>
      </c>
      <c r="G85" s="227" t="s">
        <v>953</v>
      </c>
      <c r="H85" s="227">
        <v>66.149538369272605</v>
      </c>
      <c r="I85" s="232">
        <f>'Cálculo PU'!V287</f>
        <v>38.636156922267027</v>
      </c>
      <c r="J85" s="235">
        <f t="shared" si="6"/>
        <v>-27.513381447005578</v>
      </c>
      <c r="L85" s="147">
        <v>6258</v>
      </c>
      <c r="M85" s="156">
        <v>43374</v>
      </c>
      <c r="N85" s="156">
        <v>45877</v>
      </c>
      <c r="O85" s="148" t="s">
        <v>952</v>
      </c>
      <c r="P85" s="148" t="s">
        <v>823</v>
      </c>
      <c r="Q85" s="148" t="s">
        <v>827</v>
      </c>
      <c r="R85" s="148">
        <v>1.1841734455320001</v>
      </c>
      <c r="S85" s="148">
        <f>'Cálculo PU'!O287</f>
        <v>1.267262443803105</v>
      </c>
      <c r="T85" s="168">
        <f t="shared" si="7"/>
        <v>-8.3088998271104941E-2</v>
      </c>
      <c r="V85" s="147">
        <v>6246</v>
      </c>
      <c r="W85" s="156">
        <v>43374</v>
      </c>
      <c r="X85" s="156">
        <v>45877</v>
      </c>
      <c r="Y85" s="148" t="s">
        <v>952</v>
      </c>
      <c r="Z85" s="148" t="s">
        <v>823</v>
      </c>
      <c r="AA85" s="148" t="s">
        <v>954</v>
      </c>
      <c r="AB85" s="232">
        <v>78.332526771092802</v>
      </c>
      <c r="AC85" s="232">
        <f>'Cálculo PU'!U287</f>
        <v>48.962150640472366</v>
      </c>
      <c r="AD85" s="168">
        <f t="shared" si="8"/>
        <v>29.370376130620436</v>
      </c>
      <c r="AF85" s="147">
        <v>6236</v>
      </c>
      <c r="AG85" s="156">
        <v>43374</v>
      </c>
      <c r="AH85" s="156">
        <v>45877</v>
      </c>
      <c r="AI85" s="148" t="s">
        <v>952</v>
      </c>
      <c r="AJ85" s="148" t="s">
        <v>823</v>
      </c>
      <c r="AK85" s="148" t="s">
        <v>956</v>
      </c>
      <c r="AL85" s="232">
        <v>167.65942376466501</v>
      </c>
      <c r="AM85" s="232">
        <f>'Cálculo PU'!T287</f>
        <v>209.05328108394437</v>
      </c>
      <c r="AN85" s="168">
        <f t="shared" si="9"/>
        <v>-41.393857319279363</v>
      </c>
      <c r="AP85" s="147">
        <v>6244</v>
      </c>
      <c r="AQ85" s="156">
        <v>43374</v>
      </c>
      <c r="AR85" s="156">
        <v>45877</v>
      </c>
      <c r="AS85" s="148" t="s">
        <v>952</v>
      </c>
      <c r="AT85" s="148" t="s">
        <v>823</v>
      </c>
      <c r="AU85" s="148" t="s">
        <v>942</v>
      </c>
      <c r="AV85" s="232">
        <v>11.758269800000001</v>
      </c>
      <c r="AW85" s="232">
        <f>'Cálculo PU'!Q287</f>
        <v>16.339200000000002</v>
      </c>
      <c r="AX85" s="168">
        <f t="shared" si="10"/>
        <v>-4.580930200000001</v>
      </c>
      <c r="AZ85" s="147">
        <v>6245</v>
      </c>
      <c r="BA85" s="156">
        <v>43374</v>
      </c>
      <c r="BB85" s="156">
        <v>45877</v>
      </c>
      <c r="BC85" s="148" t="s">
        <v>952</v>
      </c>
      <c r="BD85" s="148" t="s">
        <v>823</v>
      </c>
      <c r="BE85" s="148" t="s">
        <v>943</v>
      </c>
      <c r="BF85" s="148">
        <v>1725</v>
      </c>
      <c r="BG85" s="237">
        <f>'Cálculo PU'!L287</f>
        <v>2417</v>
      </c>
      <c r="BH85" s="168">
        <f t="shared" si="11"/>
        <v>-692</v>
      </c>
    </row>
    <row r="86" spans="2:60">
      <c r="B86" s="226">
        <v>6298</v>
      </c>
      <c r="C86" s="227">
        <v>43374</v>
      </c>
      <c r="D86" s="227">
        <v>45908</v>
      </c>
      <c r="E86" s="227" t="s">
        <v>952</v>
      </c>
      <c r="F86" s="227" t="s">
        <v>823</v>
      </c>
      <c r="G86" s="227" t="s">
        <v>953</v>
      </c>
      <c r="H86" s="227">
        <v>57.512131609754199</v>
      </c>
      <c r="I86" s="232">
        <f>'Cálculo PU'!V288</f>
        <v>33.507718038905288</v>
      </c>
      <c r="J86" s="235">
        <f t="shared" si="6"/>
        <v>-24.004413570848911</v>
      </c>
      <c r="L86" s="147">
        <v>6297</v>
      </c>
      <c r="M86" s="156">
        <v>43374</v>
      </c>
      <c r="N86" s="156">
        <v>45908</v>
      </c>
      <c r="O86" s="148" t="s">
        <v>952</v>
      </c>
      <c r="P86" s="148" t="s">
        <v>823</v>
      </c>
      <c r="Q86" s="148" t="s">
        <v>827</v>
      </c>
      <c r="R86" s="148">
        <v>1.1866129119219999</v>
      </c>
      <c r="S86" s="148">
        <f>'Cálculo PU'!O288</f>
        <v>1.2698730783775909</v>
      </c>
      <c r="T86" s="168">
        <f t="shared" si="7"/>
        <v>-8.3260166455590978E-2</v>
      </c>
      <c r="V86" s="147">
        <v>6285</v>
      </c>
      <c r="W86" s="156">
        <v>43374</v>
      </c>
      <c r="X86" s="156">
        <v>45908</v>
      </c>
      <c r="Y86" s="148" t="s">
        <v>952</v>
      </c>
      <c r="Z86" s="148" t="s">
        <v>823</v>
      </c>
      <c r="AA86" s="148" t="s">
        <v>954</v>
      </c>
      <c r="AB86" s="232">
        <v>68.244637960291797</v>
      </c>
      <c r="AC86" s="232">
        <f>'Cálculo PU'!U288</f>
        <v>42.550549055472992</v>
      </c>
      <c r="AD86" s="168">
        <f t="shared" si="8"/>
        <v>25.694088904818805</v>
      </c>
      <c r="AF86" s="147">
        <v>6275</v>
      </c>
      <c r="AG86" s="156">
        <v>43374</v>
      </c>
      <c r="AH86" s="156">
        <v>45908</v>
      </c>
      <c r="AI86" s="148" t="s">
        <v>952</v>
      </c>
      <c r="AJ86" s="148" t="s">
        <v>823</v>
      </c>
      <c r="AK86" s="148" t="s">
        <v>956</v>
      </c>
      <c r="AL86" s="232">
        <v>147.521878864331</v>
      </c>
      <c r="AM86" s="232">
        <f>'Cálculo PU'!T288</f>
        <v>183.92229601782546</v>
      </c>
      <c r="AN86" s="168">
        <f t="shared" si="9"/>
        <v>-36.400417153494459</v>
      </c>
      <c r="AP86" s="147">
        <v>6283</v>
      </c>
      <c r="AQ86" s="156">
        <v>43374</v>
      </c>
      <c r="AR86" s="156">
        <v>45908</v>
      </c>
      <c r="AS86" s="148" t="s">
        <v>952</v>
      </c>
      <c r="AT86" s="148" t="s">
        <v>823</v>
      </c>
      <c r="AU86" s="148" t="s">
        <v>942</v>
      </c>
      <c r="AV86" s="232">
        <v>11.768623720000001</v>
      </c>
      <c r="AW86" s="232">
        <f>'Cálculo PU'!Q288</f>
        <v>16.3352</v>
      </c>
      <c r="AX86" s="168">
        <f t="shared" si="10"/>
        <v>-4.5665762799999996</v>
      </c>
      <c r="AZ86" s="147">
        <v>6284</v>
      </c>
      <c r="BA86" s="156">
        <v>43374</v>
      </c>
      <c r="BB86" s="156">
        <v>45908</v>
      </c>
      <c r="BC86" s="148" t="s">
        <v>952</v>
      </c>
      <c r="BD86" s="148" t="s">
        <v>823</v>
      </c>
      <c r="BE86" s="148" t="s">
        <v>943</v>
      </c>
      <c r="BF86" s="148">
        <v>1746</v>
      </c>
      <c r="BG86" s="237">
        <f>'Cálculo PU'!L288</f>
        <v>2438</v>
      </c>
      <c r="BH86" s="168">
        <f t="shared" si="11"/>
        <v>-692</v>
      </c>
    </row>
    <row r="87" spans="2:60">
      <c r="B87" s="226">
        <v>6337</v>
      </c>
      <c r="C87" s="227">
        <v>43374</v>
      </c>
      <c r="D87" s="227">
        <v>45938</v>
      </c>
      <c r="E87" s="227" t="s">
        <v>952</v>
      </c>
      <c r="F87" s="227" t="s">
        <v>823</v>
      </c>
      <c r="G87" s="227" t="s">
        <v>953</v>
      </c>
      <c r="H87" s="227">
        <v>57.312887118951402</v>
      </c>
      <c r="I87" s="232">
        <f>'Cálculo PU'!V289</f>
        <v>33.310653103305263</v>
      </c>
      <c r="J87" s="235">
        <f t="shared" si="6"/>
        <v>-24.002234015646138</v>
      </c>
      <c r="L87" s="147">
        <v>6336</v>
      </c>
      <c r="M87" s="156">
        <v>43374</v>
      </c>
      <c r="N87" s="156">
        <v>45938</v>
      </c>
      <c r="O87" s="148" t="s">
        <v>952</v>
      </c>
      <c r="P87" s="148" t="s">
        <v>823</v>
      </c>
      <c r="Q87" s="148" t="s">
        <v>827</v>
      </c>
      <c r="R87" s="148">
        <v>1.1891739336560001</v>
      </c>
      <c r="S87" s="148">
        <f>'Cálculo PU'!O289</f>
        <v>1.2726137973769509</v>
      </c>
      <c r="T87" s="168">
        <f t="shared" si="7"/>
        <v>-8.3439863720950802E-2</v>
      </c>
      <c r="V87" s="147">
        <v>6324</v>
      </c>
      <c r="W87" s="156">
        <v>43374</v>
      </c>
      <c r="X87" s="156">
        <v>45938</v>
      </c>
      <c r="Y87" s="148" t="s">
        <v>952</v>
      </c>
      <c r="Z87" s="148" t="s">
        <v>823</v>
      </c>
      <c r="AA87" s="148" t="s">
        <v>954</v>
      </c>
      <c r="AB87" s="232">
        <v>68.154991424425802</v>
      </c>
      <c r="AC87" s="232">
        <f>'Cálculo PU'!U289</f>
        <v>42.39159673890363</v>
      </c>
      <c r="AD87" s="168">
        <f t="shared" si="8"/>
        <v>25.763394685522172</v>
      </c>
      <c r="AF87" s="147">
        <v>6314</v>
      </c>
      <c r="AG87" s="156">
        <v>43374</v>
      </c>
      <c r="AH87" s="156">
        <v>45938</v>
      </c>
      <c r="AI87" s="148" t="s">
        <v>952</v>
      </c>
      <c r="AJ87" s="148" t="s">
        <v>823</v>
      </c>
      <c r="AK87" s="148" t="s">
        <v>956</v>
      </c>
      <c r="AL87" s="232">
        <v>148.86496376110799</v>
      </c>
      <c r="AM87" s="232">
        <f>'Cálculo PU'!T289</f>
        <v>185.60781439918395</v>
      </c>
      <c r="AN87" s="168">
        <f t="shared" si="9"/>
        <v>-36.742850638075964</v>
      </c>
      <c r="AP87" s="147">
        <v>6322</v>
      </c>
      <c r="AQ87" s="156">
        <v>43374</v>
      </c>
      <c r="AR87" s="156">
        <v>45938</v>
      </c>
      <c r="AS87" s="148" t="s">
        <v>952</v>
      </c>
      <c r="AT87" s="148" t="s">
        <v>823</v>
      </c>
      <c r="AU87" s="148" t="s">
        <v>942</v>
      </c>
      <c r="AV87" s="232">
        <v>11.77920786</v>
      </c>
      <c r="AW87" s="232">
        <f>'Cálculo PU'!Q289</f>
        <v>16.331099999999999</v>
      </c>
      <c r="AX87" s="168">
        <f t="shared" si="10"/>
        <v>-4.5518921399999996</v>
      </c>
      <c r="AZ87" s="147">
        <v>6323</v>
      </c>
      <c r="BA87" s="156">
        <v>43374</v>
      </c>
      <c r="BB87" s="156">
        <v>45938</v>
      </c>
      <c r="BC87" s="148" t="s">
        <v>952</v>
      </c>
      <c r="BD87" s="148" t="s">
        <v>823</v>
      </c>
      <c r="BE87" s="148" t="s">
        <v>943</v>
      </c>
      <c r="BF87" s="148">
        <v>1768</v>
      </c>
      <c r="BG87" s="237">
        <f>'Cálculo PU'!L289</f>
        <v>2460</v>
      </c>
      <c r="BH87" s="168">
        <f t="shared" si="11"/>
        <v>-692</v>
      </c>
    </row>
    <row r="88" spans="2:60">
      <c r="B88" s="226">
        <v>6376</v>
      </c>
      <c r="C88" s="227">
        <v>43374</v>
      </c>
      <c r="D88" s="227">
        <v>45971</v>
      </c>
      <c r="E88" s="227" t="s">
        <v>952</v>
      </c>
      <c r="F88" s="227" t="s">
        <v>823</v>
      </c>
      <c r="G88" s="227" t="s">
        <v>953</v>
      </c>
      <c r="H88" s="227">
        <v>56.911488756987403</v>
      </c>
      <c r="I88" s="232">
        <f>'Cálculo PU'!V290</f>
        <v>32.993621029604661</v>
      </c>
      <c r="J88" s="235">
        <f t="shared" si="6"/>
        <v>-23.917867727382742</v>
      </c>
      <c r="L88" s="147">
        <v>6375</v>
      </c>
      <c r="M88" s="156">
        <v>43374</v>
      </c>
      <c r="N88" s="156">
        <v>45971</v>
      </c>
      <c r="O88" s="148" t="s">
        <v>952</v>
      </c>
      <c r="P88" s="148" t="s">
        <v>823</v>
      </c>
      <c r="Q88" s="148" t="s">
        <v>827</v>
      </c>
      <c r="R88" s="148">
        <v>1.1918572755929999</v>
      </c>
      <c r="S88" s="148">
        <f>'Cálculo PU'!O290</f>
        <v>1.2754854193285856</v>
      </c>
      <c r="T88" s="168">
        <f t="shared" si="7"/>
        <v>-8.3628143735585692E-2</v>
      </c>
      <c r="V88" s="147">
        <v>6363</v>
      </c>
      <c r="W88" s="156">
        <v>43374</v>
      </c>
      <c r="X88" s="156">
        <v>45971</v>
      </c>
      <c r="Y88" s="148" t="s">
        <v>952</v>
      </c>
      <c r="Z88" s="148" t="s">
        <v>823</v>
      </c>
      <c r="AA88" s="148" t="s">
        <v>954</v>
      </c>
      <c r="AB88" s="232">
        <v>67.830371939844596</v>
      </c>
      <c r="AC88" s="232">
        <f>'Cálculo PU'!U290</f>
        <v>42.082882554113738</v>
      </c>
      <c r="AD88" s="168">
        <f t="shared" si="8"/>
        <v>25.747489385730859</v>
      </c>
      <c r="AF88" s="147">
        <v>6353</v>
      </c>
      <c r="AG88" s="156">
        <v>43374</v>
      </c>
      <c r="AH88" s="156">
        <v>45971</v>
      </c>
      <c r="AI88" s="148" t="s">
        <v>952</v>
      </c>
      <c r="AJ88" s="148" t="s">
        <v>823</v>
      </c>
      <c r="AK88" s="148" t="s">
        <v>956</v>
      </c>
      <c r="AL88" s="232">
        <v>149.772064020665</v>
      </c>
      <c r="AM88" s="232">
        <f>'Cálculo PU'!T290</f>
        <v>186.7496660502857</v>
      </c>
      <c r="AN88" s="168">
        <f t="shared" si="9"/>
        <v>-36.977602029620698</v>
      </c>
      <c r="AP88" s="147">
        <v>6361</v>
      </c>
      <c r="AQ88" s="156">
        <v>43374</v>
      </c>
      <c r="AR88" s="156">
        <v>45971</v>
      </c>
      <c r="AS88" s="148" t="s">
        <v>952</v>
      </c>
      <c r="AT88" s="148" t="s">
        <v>823</v>
      </c>
      <c r="AU88" s="148" t="s">
        <v>942</v>
      </c>
      <c r="AV88" s="232">
        <v>11.7899961</v>
      </c>
      <c r="AW88" s="232">
        <f>'Cálculo PU'!Q290</f>
        <v>16.326799999999999</v>
      </c>
      <c r="AX88" s="168">
        <f t="shared" si="10"/>
        <v>-4.5368038999999989</v>
      </c>
      <c r="AZ88" s="147">
        <v>6362</v>
      </c>
      <c r="BA88" s="156">
        <v>43374</v>
      </c>
      <c r="BB88" s="156">
        <v>45971</v>
      </c>
      <c r="BC88" s="148" t="s">
        <v>952</v>
      </c>
      <c r="BD88" s="148" t="s">
        <v>823</v>
      </c>
      <c r="BE88" s="148" t="s">
        <v>943</v>
      </c>
      <c r="BF88" s="148">
        <v>1791</v>
      </c>
      <c r="BG88" s="237">
        <f>'Cálculo PU'!L290</f>
        <v>2483</v>
      </c>
      <c r="BH88" s="168">
        <f t="shared" si="11"/>
        <v>-692</v>
      </c>
    </row>
    <row r="89" spans="2:60">
      <c r="B89" s="226">
        <v>6415</v>
      </c>
      <c r="C89" s="227">
        <v>43374</v>
      </c>
      <c r="D89" s="227">
        <v>45999</v>
      </c>
      <c r="E89" s="227" t="s">
        <v>952</v>
      </c>
      <c r="F89" s="227" t="s">
        <v>823</v>
      </c>
      <c r="G89" s="227" t="s">
        <v>953</v>
      </c>
      <c r="H89" s="227">
        <v>46.995762648957502</v>
      </c>
      <c r="I89" s="232">
        <f>'Cálculo PU'!V291</f>
        <v>27.178837828583568</v>
      </c>
      <c r="J89" s="235">
        <f t="shared" si="6"/>
        <v>-19.816924820373934</v>
      </c>
      <c r="L89" s="147">
        <v>6414</v>
      </c>
      <c r="M89" s="156">
        <v>43374</v>
      </c>
      <c r="N89" s="156">
        <v>45999</v>
      </c>
      <c r="O89" s="148" t="s">
        <v>952</v>
      </c>
      <c r="P89" s="148" t="s">
        <v>823</v>
      </c>
      <c r="Q89" s="148" t="s">
        <v>827</v>
      </c>
      <c r="R89" s="148">
        <v>1.1941955376740001</v>
      </c>
      <c r="S89" s="148">
        <f>'Cálculo PU'!O291</f>
        <v>1.2779877484681559</v>
      </c>
      <c r="T89" s="168">
        <f t="shared" si="7"/>
        <v>-8.3792210794155775E-2</v>
      </c>
      <c r="V89" s="147">
        <v>6402</v>
      </c>
      <c r="W89" s="156">
        <v>43374</v>
      </c>
      <c r="X89" s="156">
        <v>45999</v>
      </c>
      <c r="Y89" s="148" t="s">
        <v>952</v>
      </c>
      <c r="Z89" s="148" t="s">
        <v>823</v>
      </c>
      <c r="AA89" s="148" t="s">
        <v>954</v>
      </c>
      <c r="AB89" s="232">
        <v>56.122130044971499</v>
      </c>
      <c r="AC89" s="232">
        <f>'Cálculo PU'!U291</f>
        <v>34.734221762532655</v>
      </c>
      <c r="AD89" s="168">
        <f t="shared" si="8"/>
        <v>21.387908282438843</v>
      </c>
      <c r="AF89" s="147">
        <v>6392</v>
      </c>
      <c r="AG89" s="156">
        <v>43374</v>
      </c>
      <c r="AH89" s="156">
        <v>45999</v>
      </c>
      <c r="AI89" s="148" t="s">
        <v>952</v>
      </c>
      <c r="AJ89" s="148" t="s">
        <v>823</v>
      </c>
      <c r="AK89" s="148" t="s">
        <v>956</v>
      </c>
      <c r="AL89" s="232">
        <v>125.09442902961599</v>
      </c>
      <c r="AM89" s="232">
        <f>'Cálculo PU'!T291</f>
        <v>155.95205785061603</v>
      </c>
      <c r="AN89" s="168">
        <f t="shared" si="9"/>
        <v>-30.857628821000034</v>
      </c>
      <c r="AP89" s="147">
        <v>6400</v>
      </c>
      <c r="AQ89" s="156">
        <v>43374</v>
      </c>
      <c r="AR89" s="156">
        <v>45999</v>
      </c>
      <c r="AS89" s="148" t="s">
        <v>952</v>
      </c>
      <c r="AT89" s="148" t="s">
        <v>823</v>
      </c>
      <c r="AU89" s="148" t="s">
        <v>942</v>
      </c>
      <c r="AV89" s="232">
        <v>11.799155259999999</v>
      </c>
      <c r="AW89" s="232">
        <f>'Cálculo PU'!Q291</f>
        <v>16.3232</v>
      </c>
      <c r="AX89" s="168">
        <f t="shared" si="10"/>
        <v>-4.5240447400000008</v>
      </c>
      <c r="AZ89" s="147">
        <v>6401</v>
      </c>
      <c r="BA89" s="156">
        <v>43374</v>
      </c>
      <c r="BB89" s="156">
        <v>45999</v>
      </c>
      <c r="BC89" s="148" t="s">
        <v>952</v>
      </c>
      <c r="BD89" s="148" t="s">
        <v>823</v>
      </c>
      <c r="BE89" s="148" t="s">
        <v>943</v>
      </c>
      <c r="BF89" s="148">
        <v>1811</v>
      </c>
      <c r="BG89" s="237">
        <f>'Cálculo PU'!L291</f>
        <v>2503</v>
      </c>
      <c r="BH89" s="168">
        <f t="shared" si="11"/>
        <v>-692</v>
      </c>
    </row>
    <row r="90" spans="2:60">
      <c r="B90" s="226">
        <v>6454</v>
      </c>
      <c r="C90" s="227">
        <v>43374</v>
      </c>
      <c r="D90" s="227">
        <v>46031</v>
      </c>
      <c r="E90" s="227" t="s">
        <v>952</v>
      </c>
      <c r="F90" s="227" t="s">
        <v>823</v>
      </c>
      <c r="G90" s="227" t="s">
        <v>953</v>
      </c>
      <c r="H90" s="227">
        <v>49.479697559336003</v>
      </c>
      <c r="I90" s="232">
        <f>'Cálculo PU'!V292</f>
        <v>28.569573493613351</v>
      </c>
      <c r="J90" s="235">
        <f t="shared" si="6"/>
        <v>-20.910124065722652</v>
      </c>
      <c r="L90" s="147">
        <v>6453</v>
      </c>
      <c r="M90" s="156">
        <v>43374</v>
      </c>
      <c r="N90" s="156">
        <v>46031</v>
      </c>
      <c r="O90" s="148" t="s">
        <v>952</v>
      </c>
      <c r="P90" s="148" t="s">
        <v>823</v>
      </c>
      <c r="Q90" s="148" t="s">
        <v>827</v>
      </c>
      <c r="R90" s="148">
        <v>1.196772924702</v>
      </c>
      <c r="S90" s="148">
        <f>'Cálculo PU'!O292</f>
        <v>1.2807459810528257</v>
      </c>
      <c r="T90" s="168">
        <f t="shared" si="7"/>
        <v>-8.3973056350825637E-2</v>
      </c>
      <c r="V90" s="147">
        <v>6441</v>
      </c>
      <c r="W90" s="156">
        <v>43374</v>
      </c>
      <c r="X90" s="156">
        <v>46031</v>
      </c>
      <c r="Y90" s="148" t="s">
        <v>952</v>
      </c>
      <c r="Z90" s="148" t="s">
        <v>823</v>
      </c>
      <c r="AA90" s="148" t="s">
        <v>954</v>
      </c>
      <c r="AB90" s="232">
        <v>59.215962361456903</v>
      </c>
      <c r="AC90" s="232">
        <f>'Cálculo PU'!U292</f>
        <v>36.590366432338634</v>
      </c>
      <c r="AD90" s="168">
        <f t="shared" si="8"/>
        <v>22.625595929118269</v>
      </c>
      <c r="AF90" s="147">
        <v>6431</v>
      </c>
      <c r="AG90" s="156">
        <v>43374</v>
      </c>
      <c r="AH90" s="156">
        <v>46031</v>
      </c>
      <c r="AI90" s="148" t="s">
        <v>952</v>
      </c>
      <c r="AJ90" s="148" t="s">
        <v>823</v>
      </c>
      <c r="AK90" s="148" t="s">
        <v>956</v>
      </c>
      <c r="AL90" s="232">
        <v>133.391079631324</v>
      </c>
      <c r="AM90" s="232">
        <f>'Cálculo PU'!T292</f>
        <v>166.44164272419053</v>
      </c>
      <c r="AN90" s="168">
        <f t="shared" si="9"/>
        <v>-33.050563092866525</v>
      </c>
      <c r="AP90" s="147">
        <v>6439</v>
      </c>
      <c r="AQ90" s="156">
        <v>43374</v>
      </c>
      <c r="AR90" s="156">
        <v>46031</v>
      </c>
      <c r="AS90" s="148" t="s">
        <v>952</v>
      </c>
      <c r="AT90" s="148" t="s">
        <v>823</v>
      </c>
      <c r="AU90" s="148" t="s">
        <v>942</v>
      </c>
      <c r="AV90" s="232">
        <v>11.811734360000001</v>
      </c>
      <c r="AW90" s="232">
        <f>'Cálculo PU'!Q292</f>
        <v>16.321300000000001</v>
      </c>
      <c r="AX90" s="168">
        <f t="shared" si="10"/>
        <v>-4.5095656399999999</v>
      </c>
      <c r="AZ90" s="147">
        <v>6440</v>
      </c>
      <c r="BA90" s="156">
        <v>43374</v>
      </c>
      <c r="BB90" s="156">
        <v>46031</v>
      </c>
      <c r="BC90" s="148" t="s">
        <v>952</v>
      </c>
      <c r="BD90" s="148" t="s">
        <v>823</v>
      </c>
      <c r="BE90" s="148" t="s">
        <v>943</v>
      </c>
      <c r="BF90" s="148">
        <v>1833</v>
      </c>
      <c r="BG90" s="237">
        <f>'Cálculo PU'!L292</f>
        <v>2525</v>
      </c>
      <c r="BH90" s="168">
        <f t="shared" si="11"/>
        <v>-692</v>
      </c>
    </row>
    <row r="91" spans="2:60">
      <c r="B91" s="226">
        <v>6493</v>
      </c>
      <c r="C91" s="227">
        <v>43374</v>
      </c>
      <c r="D91" s="227">
        <v>46062</v>
      </c>
      <c r="E91" s="227" t="s">
        <v>952</v>
      </c>
      <c r="F91" s="227" t="s">
        <v>823</v>
      </c>
      <c r="G91" s="227" t="s">
        <v>953</v>
      </c>
      <c r="H91" s="227">
        <v>45.9791878898193</v>
      </c>
      <c r="I91" s="232">
        <f>'Cálculo PU'!V293</f>
        <v>26.54979459218422</v>
      </c>
      <c r="J91" s="235">
        <f t="shared" si="6"/>
        <v>-19.42939329763508</v>
      </c>
      <c r="L91" s="147">
        <v>6492</v>
      </c>
      <c r="M91" s="156">
        <v>43374</v>
      </c>
      <c r="N91" s="156">
        <v>46062</v>
      </c>
      <c r="O91" s="148" t="s">
        <v>952</v>
      </c>
      <c r="P91" s="148" t="s">
        <v>823</v>
      </c>
      <c r="Q91" s="148" t="s">
        <v>827</v>
      </c>
      <c r="R91" s="148">
        <v>1.1992383467550001</v>
      </c>
      <c r="S91" s="148">
        <f>'Cálculo PU'!O293</f>
        <v>1.2833843925007624</v>
      </c>
      <c r="T91" s="168">
        <f t="shared" si="7"/>
        <v>-8.4146045745762343E-2</v>
      </c>
      <c r="V91" s="147">
        <v>6480</v>
      </c>
      <c r="W91" s="156">
        <v>43374</v>
      </c>
      <c r="X91" s="156">
        <v>46062</v>
      </c>
      <c r="Y91" s="148" t="s">
        <v>952</v>
      </c>
      <c r="Z91" s="148" t="s">
        <v>823</v>
      </c>
      <c r="AA91" s="148" t="s">
        <v>954</v>
      </c>
      <c r="AB91" s="232">
        <v>55.140005270124497</v>
      </c>
      <c r="AC91" s="232">
        <f>'Cálculo PU'!U293</f>
        <v>34.073592003710374</v>
      </c>
      <c r="AD91" s="168">
        <f t="shared" si="8"/>
        <v>21.066413266414123</v>
      </c>
      <c r="AF91" s="147">
        <v>6470</v>
      </c>
      <c r="AG91" s="156">
        <v>43374</v>
      </c>
      <c r="AH91" s="156">
        <v>46062</v>
      </c>
      <c r="AI91" s="148" t="s">
        <v>952</v>
      </c>
      <c r="AJ91" s="148" t="s">
        <v>823</v>
      </c>
      <c r="AK91" s="148" t="s">
        <v>956</v>
      </c>
      <c r="AL91" s="232">
        <v>125.498086726713</v>
      </c>
      <c r="AM91" s="232">
        <f>'Cálculo PU'!T293</f>
        <v>156.97346699859045</v>
      </c>
      <c r="AN91" s="168">
        <f t="shared" si="9"/>
        <v>-31.475380271877455</v>
      </c>
      <c r="AP91" s="147">
        <v>6478</v>
      </c>
      <c r="AQ91" s="156">
        <v>43374</v>
      </c>
      <c r="AR91" s="156">
        <v>46062</v>
      </c>
      <c r="AS91" s="148" t="s">
        <v>952</v>
      </c>
      <c r="AT91" s="148" t="s">
        <v>823</v>
      </c>
      <c r="AU91" s="148" t="s">
        <v>942</v>
      </c>
      <c r="AV91" s="232">
        <v>11.82719195</v>
      </c>
      <c r="AW91" s="232">
        <f>'Cálculo PU'!Q293</f>
        <v>16.322399999999998</v>
      </c>
      <c r="AX91" s="168">
        <f t="shared" si="10"/>
        <v>-4.4952080499999987</v>
      </c>
      <c r="AZ91" s="147">
        <v>6479</v>
      </c>
      <c r="BA91" s="156">
        <v>43374</v>
      </c>
      <c r="BB91" s="156">
        <v>46062</v>
      </c>
      <c r="BC91" s="148" t="s">
        <v>952</v>
      </c>
      <c r="BD91" s="148" t="s">
        <v>823</v>
      </c>
      <c r="BE91" s="148" t="s">
        <v>943</v>
      </c>
      <c r="BF91" s="148">
        <v>1854</v>
      </c>
      <c r="BG91" s="237">
        <f>'Cálculo PU'!L293</f>
        <v>2546</v>
      </c>
      <c r="BH91" s="168">
        <f t="shared" si="11"/>
        <v>-692</v>
      </c>
    </row>
    <row r="92" spans="2:60">
      <c r="B92" s="226">
        <v>6532</v>
      </c>
      <c r="C92" s="227">
        <v>43374</v>
      </c>
      <c r="D92" s="227">
        <v>46090</v>
      </c>
      <c r="E92" s="227" t="s">
        <v>952</v>
      </c>
      <c r="F92" s="227" t="s">
        <v>823</v>
      </c>
      <c r="G92" s="227" t="s">
        <v>953</v>
      </c>
      <c r="H92" s="227">
        <v>37.148741528001203</v>
      </c>
      <c r="I92" s="232">
        <f>'Cálculo PU'!V294</f>
        <v>21.403330912242211</v>
      </c>
      <c r="J92" s="235">
        <f t="shared" si="6"/>
        <v>-15.745410615758992</v>
      </c>
      <c r="L92" s="147">
        <v>6531</v>
      </c>
      <c r="M92" s="156">
        <v>43374</v>
      </c>
      <c r="N92" s="156">
        <v>46090</v>
      </c>
      <c r="O92" s="148" t="s">
        <v>952</v>
      </c>
      <c r="P92" s="148" t="s">
        <v>823</v>
      </c>
      <c r="Q92" s="148" t="s">
        <v>827</v>
      </c>
      <c r="R92" s="148">
        <v>1.2013556076609999</v>
      </c>
      <c r="S92" s="148">
        <f>'Cálculo PU'!O294</f>
        <v>1.2856502136438364</v>
      </c>
      <c r="T92" s="168">
        <f t="shared" si="7"/>
        <v>-8.4294605982836446E-2</v>
      </c>
      <c r="V92" s="147">
        <v>6519</v>
      </c>
      <c r="W92" s="156">
        <v>43374</v>
      </c>
      <c r="X92" s="156">
        <v>46090</v>
      </c>
      <c r="Y92" s="148" t="s">
        <v>952</v>
      </c>
      <c r="Z92" s="148" t="s">
        <v>823</v>
      </c>
      <c r="AA92" s="148" t="s">
        <v>954</v>
      </c>
      <c r="AB92" s="232">
        <v>44.628848952213303</v>
      </c>
      <c r="AC92" s="232">
        <f>'Cálculo PU'!U294</f>
        <v>27.517196960013926</v>
      </c>
      <c r="AD92" s="168">
        <f t="shared" si="8"/>
        <v>17.111651992199377</v>
      </c>
      <c r="AF92" s="147">
        <v>6509</v>
      </c>
      <c r="AG92" s="156">
        <v>43374</v>
      </c>
      <c r="AH92" s="156">
        <v>46090</v>
      </c>
      <c r="AI92" s="148" t="s">
        <v>952</v>
      </c>
      <c r="AJ92" s="148" t="s">
        <v>823</v>
      </c>
      <c r="AK92" s="148" t="s">
        <v>956</v>
      </c>
      <c r="AL92" s="232">
        <v>102.47736817174599</v>
      </c>
      <c r="AM92" s="232">
        <f>'Cálculo PU'!T294</f>
        <v>128.15541224490582</v>
      </c>
      <c r="AN92" s="168">
        <f t="shared" si="9"/>
        <v>-25.678044073159825</v>
      </c>
      <c r="AP92" s="147">
        <v>6517</v>
      </c>
      <c r="AQ92" s="156">
        <v>43374</v>
      </c>
      <c r="AR92" s="156">
        <v>46090</v>
      </c>
      <c r="AS92" s="148" t="s">
        <v>952</v>
      </c>
      <c r="AT92" s="148" t="s">
        <v>823</v>
      </c>
      <c r="AU92" s="148" t="s">
        <v>942</v>
      </c>
      <c r="AV92" s="232">
        <v>11.84016692</v>
      </c>
      <c r="AW92" s="232">
        <f>'Cálculo PU'!Q294</f>
        <v>16.3233</v>
      </c>
      <c r="AX92" s="168">
        <f t="shared" si="10"/>
        <v>-4.48313308</v>
      </c>
      <c r="AZ92" s="147">
        <v>6518</v>
      </c>
      <c r="BA92" s="156">
        <v>43374</v>
      </c>
      <c r="BB92" s="156">
        <v>46090</v>
      </c>
      <c r="BC92" s="148" t="s">
        <v>952</v>
      </c>
      <c r="BD92" s="148" t="s">
        <v>823</v>
      </c>
      <c r="BE92" s="148" t="s">
        <v>943</v>
      </c>
      <c r="BF92" s="148">
        <v>1872</v>
      </c>
      <c r="BG92" s="237">
        <f>'Cálculo PU'!L294</f>
        <v>2564</v>
      </c>
      <c r="BH92" s="168">
        <f t="shared" si="11"/>
        <v>-692</v>
      </c>
    </row>
    <row r="93" spans="2:60">
      <c r="B93" s="226">
        <v>6571</v>
      </c>
      <c r="C93" s="227">
        <v>43374</v>
      </c>
      <c r="D93" s="227">
        <v>46121</v>
      </c>
      <c r="E93" s="227" t="s">
        <v>952</v>
      </c>
      <c r="F93" s="227" t="s">
        <v>823</v>
      </c>
      <c r="G93" s="227" t="s">
        <v>953</v>
      </c>
      <c r="H93" s="227">
        <v>42.675034980363897</v>
      </c>
      <c r="I93" s="232">
        <f>'Cálculo PU'!V295</f>
        <v>24.532334276765646</v>
      </c>
      <c r="J93" s="235">
        <f t="shared" si="6"/>
        <v>-18.142700703598251</v>
      </c>
      <c r="L93" s="147">
        <v>6570</v>
      </c>
      <c r="M93" s="156">
        <v>43374</v>
      </c>
      <c r="N93" s="156">
        <v>46121</v>
      </c>
      <c r="O93" s="148" t="s">
        <v>952</v>
      </c>
      <c r="P93" s="148" t="s">
        <v>823</v>
      </c>
      <c r="Q93" s="148" t="s">
        <v>827</v>
      </c>
      <c r="R93" s="148">
        <v>1.203948447997</v>
      </c>
      <c r="S93" s="148">
        <f>'Cálculo PU'!O295</f>
        <v>1.2884249838370643</v>
      </c>
      <c r="T93" s="168">
        <f t="shared" si="7"/>
        <v>-8.4476535840064315E-2</v>
      </c>
      <c r="V93" s="147">
        <v>6558</v>
      </c>
      <c r="W93" s="156">
        <v>43374</v>
      </c>
      <c r="X93" s="156">
        <v>46121</v>
      </c>
      <c r="Y93" s="148" t="s">
        <v>952</v>
      </c>
      <c r="Z93" s="148" t="s">
        <v>823</v>
      </c>
      <c r="AA93" s="148" t="s">
        <v>954</v>
      </c>
      <c r="AB93" s="232">
        <v>51.378542132826702</v>
      </c>
      <c r="AC93" s="232">
        <f>'Cálculo PU'!U295</f>
        <v>31.608072394027236</v>
      </c>
      <c r="AD93" s="168">
        <f t="shared" si="8"/>
        <v>19.770469738799466</v>
      </c>
      <c r="AF93" s="147">
        <v>6548</v>
      </c>
      <c r="AG93" s="156">
        <v>43374</v>
      </c>
      <c r="AH93" s="156">
        <v>46121</v>
      </c>
      <c r="AI93" s="148" t="s">
        <v>952</v>
      </c>
      <c r="AJ93" s="148" t="s">
        <v>823</v>
      </c>
      <c r="AK93" s="148" t="s">
        <v>956</v>
      </c>
      <c r="AL93" s="232">
        <v>119.258626449422</v>
      </c>
      <c r="AM93" s="232">
        <f>'Cálculo PU'!T295</f>
        <v>149.17832392714911</v>
      </c>
      <c r="AN93" s="168">
        <f t="shared" si="9"/>
        <v>-29.919697477727112</v>
      </c>
      <c r="AP93" s="147">
        <v>6556</v>
      </c>
      <c r="AQ93" s="156">
        <v>43374</v>
      </c>
      <c r="AR93" s="156">
        <v>46121</v>
      </c>
      <c r="AS93" s="148" t="s">
        <v>952</v>
      </c>
      <c r="AT93" s="148" t="s">
        <v>823</v>
      </c>
      <c r="AU93" s="148" t="s">
        <v>942</v>
      </c>
      <c r="AV93" s="232">
        <v>11.85569229</v>
      </c>
      <c r="AW93" s="232">
        <f>'Cálculo PU'!Q295</f>
        <v>16.324400000000001</v>
      </c>
      <c r="AX93" s="168">
        <f t="shared" si="10"/>
        <v>-4.4687077100000003</v>
      </c>
      <c r="AZ93" s="147">
        <v>6557</v>
      </c>
      <c r="BA93" s="156">
        <v>43374</v>
      </c>
      <c r="BB93" s="156">
        <v>46121</v>
      </c>
      <c r="BC93" s="148" t="s">
        <v>952</v>
      </c>
      <c r="BD93" s="148" t="s">
        <v>823</v>
      </c>
      <c r="BE93" s="148" t="s">
        <v>943</v>
      </c>
      <c r="BF93" s="148">
        <v>1894</v>
      </c>
      <c r="BG93" s="237">
        <f>'Cálculo PU'!L295</f>
        <v>2586</v>
      </c>
      <c r="BH93" s="168">
        <f t="shared" si="11"/>
        <v>-692</v>
      </c>
    </row>
    <row r="94" spans="2:60">
      <c r="B94" s="226">
        <v>6610</v>
      </c>
      <c r="C94" s="227">
        <v>43374</v>
      </c>
      <c r="D94" s="227">
        <v>46153</v>
      </c>
      <c r="E94" s="227" t="s">
        <v>952</v>
      </c>
      <c r="F94" s="227" t="s">
        <v>823</v>
      </c>
      <c r="G94" s="227" t="s">
        <v>953</v>
      </c>
      <c r="H94" s="227">
        <v>36.395287365849597</v>
      </c>
      <c r="I94" s="232">
        <f>'Cálculo PU'!V296</f>
        <v>20.872541733791575</v>
      </c>
      <c r="J94" s="235">
        <f t="shared" si="6"/>
        <v>-15.522745632058022</v>
      </c>
      <c r="L94" s="147">
        <v>6609</v>
      </c>
      <c r="M94" s="156">
        <v>43374</v>
      </c>
      <c r="N94" s="156">
        <v>46153</v>
      </c>
      <c r="O94" s="148" t="s">
        <v>952</v>
      </c>
      <c r="P94" s="148" t="s">
        <v>823</v>
      </c>
      <c r="Q94" s="148" t="s">
        <v>827</v>
      </c>
      <c r="R94" s="148">
        <v>1.206310431316</v>
      </c>
      <c r="S94" s="148">
        <f>'Cálculo PU'!O296</f>
        <v>1.2909526986445792</v>
      </c>
      <c r="T94" s="168">
        <f t="shared" si="7"/>
        <v>-8.4642267328579157E-2</v>
      </c>
      <c r="V94" s="147">
        <v>6597</v>
      </c>
      <c r="W94" s="156">
        <v>43374</v>
      </c>
      <c r="X94" s="156">
        <v>46153</v>
      </c>
      <c r="Y94" s="148" t="s">
        <v>952</v>
      </c>
      <c r="Z94" s="148" t="s">
        <v>823</v>
      </c>
      <c r="AA94" s="148" t="s">
        <v>954</v>
      </c>
      <c r="AB94" s="232">
        <v>43.904014800167801</v>
      </c>
      <c r="AC94" s="232">
        <f>'Cálculo PU'!U296</f>
        <v>26.945464078809838</v>
      </c>
      <c r="AD94" s="168">
        <f t="shared" si="8"/>
        <v>16.958550721357962</v>
      </c>
      <c r="AF94" s="147">
        <v>6587</v>
      </c>
      <c r="AG94" s="156">
        <v>43374</v>
      </c>
      <c r="AH94" s="156">
        <v>46153</v>
      </c>
      <c r="AI94" s="148" t="s">
        <v>952</v>
      </c>
      <c r="AJ94" s="148" t="s">
        <v>823</v>
      </c>
      <c r="AK94" s="148" t="s">
        <v>956</v>
      </c>
      <c r="AL94" s="232">
        <v>102.915579669452</v>
      </c>
      <c r="AM94" s="232">
        <f>'Cálculo PU'!T296</f>
        <v>128.71938570315194</v>
      </c>
      <c r="AN94" s="168">
        <f t="shared" si="9"/>
        <v>-25.803806033699942</v>
      </c>
      <c r="AP94" s="147">
        <v>6595</v>
      </c>
      <c r="AQ94" s="156">
        <v>43374</v>
      </c>
      <c r="AR94" s="156">
        <v>46153</v>
      </c>
      <c r="AS94" s="148" t="s">
        <v>952</v>
      </c>
      <c r="AT94" s="148" t="s">
        <v>823</v>
      </c>
      <c r="AU94" s="148" t="s">
        <v>942</v>
      </c>
      <c r="AV94" s="232">
        <v>11.86949836</v>
      </c>
      <c r="AW94" s="232">
        <f>'Cálculo PU'!Q296</f>
        <v>16.325399999999998</v>
      </c>
      <c r="AX94" s="168">
        <f t="shared" si="10"/>
        <v>-4.4559016399999987</v>
      </c>
      <c r="AZ94" s="147">
        <v>6596</v>
      </c>
      <c r="BA94" s="156">
        <v>43374</v>
      </c>
      <c r="BB94" s="156">
        <v>46153</v>
      </c>
      <c r="BC94" s="148" t="s">
        <v>952</v>
      </c>
      <c r="BD94" s="148" t="s">
        <v>823</v>
      </c>
      <c r="BE94" s="148" t="s">
        <v>943</v>
      </c>
      <c r="BF94" s="148">
        <v>1914</v>
      </c>
      <c r="BG94" s="237">
        <f>'Cálculo PU'!L296</f>
        <v>2606</v>
      </c>
      <c r="BH94" s="168">
        <f t="shared" si="11"/>
        <v>-692</v>
      </c>
    </row>
    <row r="95" spans="2:60">
      <c r="B95" s="226">
        <v>6649</v>
      </c>
      <c r="C95" s="227">
        <v>43374</v>
      </c>
      <c r="D95" s="227">
        <v>46182</v>
      </c>
      <c r="E95" s="227" t="s">
        <v>952</v>
      </c>
      <c r="F95" s="227" t="s">
        <v>823</v>
      </c>
      <c r="G95" s="227" t="s">
        <v>953</v>
      </c>
      <c r="H95" s="227">
        <v>34.077062116441603</v>
      </c>
      <c r="I95" s="232">
        <f>'Cálculo PU'!V297</f>
        <v>19.499070664128414</v>
      </c>
      <c r="J95" s="235">
        <f t="shared" si="6"/>
        <v>-14.577991452313189</v>
      </c>
      <c r="L95" s="147">
        <v>6648</v>
      </c>
      <c r="M95" s="156">
        <v>43374</v>
      </c>
      <c r="N95" s="156">
        <v>46182</v>
      </c>
      <c r="O95" s="148" t="s">
        <v>952</v>
      </c>
      <c r="P95" s="148" t="s">
        <v>823</v>
      </c>
      <c r="Q95" s="148" t="s">
        <v>827</v>
      </c>
      <c r="R95" s="148">
        <v>1.208677048525</v>
      </c>
      <c r="S95" s="148">
        <f>'Cálculo PU'!O297</f>
        <v>1.2934853724851989</v>
      </c>
      <c r="T95" s="168">
        <f t="shared" si="7"/>
        <v>-8.4808323960198884E-2</v>
      </c>
      <c r="V95" s="147">
        <v>6636</v>
      </c>
      <c r="W95" s="156">
        <v>43374</v>
      </c>
      <c r="X95" s="156">
        <v>46182</v>
      </c>
      <c r="Y95" s="148" t="s">
        <v>952</v>
      </c>
      <c r="Z95" s="148" t="s">
        <v>823</v>
      </c>
      <c r="AA95" s="148" t="s">
        <v>954</v>
      </c>
      <c r="AB95" s="232">
        <v>41.188162861303702</v>
      </c>
      <c r="AC95" s="232">
        <f>'Cálculo PU'!U297</f>
        <v>25.221762681105357</v>
      </c>
      <c r="AD95" s="168">
        <f t="shared" si="8"/>
        <v>15.966400180198345</v>
      </c>
      <c r="AF95" s="147">
        <v>6626</v>
      </c>
      <c r="AG95" s="156">
        <v>43374</v>
      </c>
      <c r="AH95" s="156">
        <v>46182</v>
      </c>
      <c r="AI95" s="148" t="s">
        <v>952</v>
      </c>
      <c r="AJ95" s="148" t="s">
        <v>823</v>
      </c>
      <c r="AK95" s="148" t="s">
        <v>956</v>
      </c>
      <c r="AL95" s="232">
        <v>97.503043507750604</v>
      </c>
      <c r="AM95" s="232">
        <f>'Cálculo PU'!T297</f>
        <v>121.949775775598</v>
      </c>
      <c r="AN95" s="168">
        <f t="shared" si="9"/>
        <v>-24.446732267847395</v>
      </c>
      <c r="AP95" s="147">
        <v>6634</v>
      </c>
      <c r="AQ95" s="156">
        <v>43374</v>
      </c>
      <c r="AR95" s="156">
        <v>46182</v>
      </c>
      <c r="AS95" s="148" t="s">
        <v>952</v>
      </c>
      <c r="AT95" s="148" t="s">
        <v>823</v>
      </c>
      <c r="AU95" s="148" t="s">
        <v>942</v>
      </c>
      <c r="AV95" s="232">
        <v>11.88302054</v>
      </c>
      <c r="AW95" s="232">
        <f>'Cálculo PU'!Q297</f>
        <v>16.3263</v>
      </c>
      <c r="AX95" s="168">
        <f t="shared" si="10"/>
        <v>-4.4432794599999994</v>
      </c>
      <c r="AZ95" s="147">
        <v>6635</v>
      </c>
      <c r="BA95" s="156">
        <v>43374</v>
      </c>
      <c r="BB95" s="156">
        <v>46182</v>
      </c>
      <c r="BC95" s="148" t="s">
        <v>952</v>
      </c>
      <c r="BD95" s="148" t="s">
        <v>823</v>
      </c>
      <c r="BE95" s="148" t="s">
        <v>943</v>
      </c>
      <c r="BF95" s="148">
        <v>1934</v>
      </c>
      <c r="BG95" s="237">
        <f>'Cálculo PU'!L297</f>
        <v>2626</v>
      </c>
      <c r="BH95" s="168">
        <f t="shared" si="11"/>
        <v>-692</v>
      </c>
    </row>
    <row r="96" spans="2:60">
      <c r="B96" s="226">
        <v>6688</v>
      </c>
      <c r="C96" s="227">
        <v>43374</v>
      </c>
      <c r="D96" s="227">
        <v>46211</v>
      </c>
      <c r="E96" s="227" t="s">
        <v>952</v>
      </c>
      <c r="F96" s="227" t="s">
        <v>823</v>
      </c>
      <c r="G96" s="227" t="s">
        <v>953</v>
      </c>
      <c r="H96" s="227">
        <v>33.219784610876403</v>
      </c>
      <c r="I96" s="232">
        <f>'Cálculo PU'!V298</f>
        <v>19.071515141453126</v>
      </c>
      <c r="J96" s="235">
        <f t="shared" si="6"/>
        <v>-14.148269469423276</v>
      </c>
      <c r="L96" s="147">
        <v>6687</v>
      </c>
      <c r="M96" s="156">
        <v>43374</v>
      </c>
      <c r="N96" s="156">
        <v>46211</v>
      </c>
      <c r="O96" s="148" t="s">
        <v>952</v>
      </c>
      <c r="P96" s="148" t="s">
        <v>823</v>
      </c>
      <c r="Q96" s="148" t="s">
        <v>827</v>
      </c>
      <c r="R96" s="148">
        <v>1.2111669937680001</v>
      </c>
      <c r="S96" s="148">
        <f>'Cálculo PU'!O298</f>
        <v>1.2961500278227847</v>
      </c>
      <c r="T96" s="168">
        <f t="shared" si="7"/>
        <v>-8.4983034054784579E-2</v>
      </c>
      <c r="V96" s="147">
        <v>6675</v>
      </c>
      <c r="W96" s="156">
        <v>43374</v>
      </c>
      <c r="X96" s="156">
        <v>46211</v>
      </c>
      <c r="Y96" s="148" t="s">
        <v>952</v>
      </c>
      <c r="Z96" s="148" t="s">
        <v>823</v>
      </c>
      <c r="AA96" s="148" t="s">
        <v>954</v>
      </c>
      <c r="AB96" s="232">
        <v>40.234706660775601</v>
      </c>
      <c r="AC96" s="232">
        <f>'Cálculo PU'!U298</f>
        <v>24.719544881217129</v>
      </c>
      <c r="AD96" s="168">
        <f t="shared" si="8"/>
        <v>15.515161779558472</v>
      </c>
      <c r="AF96" s="147">
        <v>6665</v>
      </c>
      <c r="AG96" s="156">
        <v>43374</v>
      </c>
      <c r="AH96" s="156">
        <v>46211</v>
      </c>
      <c r="AI96" s="148" t="s">
        <v>952</v>
      </c>
      <c r="AJ96" s="148" t="s">
        <v>823</v>
      </c>
      <c r="AK96" s="148" t="s">
        <v>956</v>
      </c>
      <c r="AL96" s="232">
        <v>96.223926875940094</v>
      </c>
      <c r="AM96" s="232">
        <f>'Cálculo PU'!T298</f>
        <v>121.04822257095709</v>
      </c>
      <c r="AN96" s="168">
        <f t="shared" si="9"/>
        <v>-24.824295695017</v>
      </c>
      <c r="AP96" s="147">
        <v>6673</v>
      </c>
      <c r="AQ96" s="156">
        <v>43374</v>
      </c>
      <c r="AR96" s="156">
        <v>46211</v>
      </c>
      <c r="AS96" s="148" t="s">
        <v>952</v>
      </c>
      <c r="AT96" s="148" t="s">
        <v>823</v>
      </c>
      <c r="AU96" s="148" t="s">
        <v>942</v>
      </c>
      <c r="AV96" s="232">
        <v>11.89540105</v>
      </c>
      <c r="AW96" s="232">
        <f>'Cálculo PU'!Q298</f>
        <v>16.327300000000001</v>
      </c>
      <c r="AX96" s="168">
        <f t="shared" si="10"/>
        <v>-4.4318989500000008</v>
      </c>
      <c r="AZ96" s="147">
        <v>6674</v>
      </c>
      <c r="BA96" s="156">
        <v>43374</v>
      </c>
      <c r="BB96" s="156">
        <v>46211</v>
      </c>
      <c r="BC96" s="148" t="s">
        <v>952</v>
      </c>
      <c r="BD96" s="148" t="s">
        <v>823</v>
      </c>
      <c r="BE96" s="148" t="s">
        <v>943</v>
      </c>
      <c r="BF96" s="148">
        <v>1955</v>
      </c>
      <c r="BG96" s="237">
        <f>'Cálculo PU'!L298</f>
        <v>2647</v>
      </c>
      <c r="BH96" s="168">
        <f t="shared" si="11"/>
        <v>-692</v>
      </c>
    </row>
    <row r="97" spans="2:60">
      <c r="B97" s="226">
        <v>6727</v>
      </c>
      <c r="C97" s="227">
        <v>43374</v>
      </c>
      <c r="D97" s="227">
        <v>46244</v>
      </c>
      <c r="E97" s="227" t="s">
        <v>952</v>
      </c>
      <c r="F97" s="227" t="s">
        <v>823</v>
      </c>
      <c r="G97" s="227" t="s">
        <v>953</v>
      </c>
      <c r="H97" s="227">
        <v>33.235645038374003</v>
      </c>
      <c r="I97" s="232">
        <f>'Cálculo PU'!V299</f>
        <v>19.384597985633512</v>
      </c>
      <c r="J97" s="235">
        <f t="shared" si="6"/>
        <v>-13.851047052740491</v>
      </c>
      <c r="L97" s="147">
        <v>6726</v>
      </c>
      <c r="M97" s="156">
        <v>43374</v>
      </c>
      <c r="N97" s="156">
        <v>46244</v>
      </c>
      <c r="O97" s="148" t="s">
        <v>952</v>
      </c>
      <c r="P97" s="148" t="s">
        <v>823</v>
      </c>
      <c r="Q97" s="148" t="s">
        <v>827</v>
      </c>
      <c r="R97" s="148">
        <v>1.213899962508</v>
      </c>
      <c r="S97" s="148">
        <f>'Cálculo PU'!O299</f>
        <v>1.2990747587035745</v>
      </c>
      <c r="T97" s="168">
        <f t="shared" si="7"/>
        <v>-8.5174796195574443E-2</v>
      </c>
      <c r="V97" s="147">
        <v>6714</v>
      </c>
      <c r="W97" s="156">
        <v>43374</v>
      </c>
      <c r="X97" s="156">
        <v>46244</v>
      </c>
      <c r="Y97" s="148" t="s">
        <v>952</v>
      </c>
      <c r="Z97" s="148" t="s">
        <v>823</v>
      </c>
      <c r="AA97" s="148" t="s">
        <v>954</v>
      </c>
      <c r="AB97" s="232">
        <v>40.344748266011401</v>
      </c>
      <c r="AC97" s="232">
        <f>'Cálculo PU'!U299</f>
        <v>25.182041950752652</v>
      </c>
      <c r="AD97" s="168">
        <f t="shared" si="8"/>
        <v>15.162706315258749</v>
      </c>
      <c r="AF97" s="147">
        <v>6704</v>
      </c>
      <c r="AG97" s="156">
        <v>43374</v>
      </c>
      <c r="AH97" s="156">
        <v>46244</v>
      </c>
      <c r="AI97" s="148" t="s">
        <v>952</v>
      </c>
      <c r="AJ97" s="148" t="s">
        <v>823</v>
      </c>
      <c r="AK97" s="148" t="s">
        <v>956</v>
      </c>
      <c r="AL97" s="232">
        <v>97.557653304964404</v>
      </c>
      <c r="AM97" s="232">
        <f>'Cálculo PU'!T299</f>
        <v>125.03947870094385</v>
      </c>
      <c r="AN97" s="168">
        <f t="shared" si="9"/>
        <v>-27.481825395979442</v>
      </c>
      <c r="AP97" s="147">
        <v>6712</v>
      </c>
      <c r="AQ97" s="156">
        <v>43374</v>
      </c>
      <c r="AR97" s="156">
        <v>46244</v>
      </c>
      <c r="AS97" s="148" t="s">
        <v>952</v>
      </c>
      <c r="AT97" s="148" t="s">
        <v>823</v>
      </c>
      <c r="AU97" s="148" t="s">
        <v>942</v>
      </c>
      <c r="AV97" s="232">
        <v>11.90646398</v>
      </c>
      <c r="AW97" s="232">
        <f>'Cálculo PU'!Q299</f>
        <v>16.328399999999998</v>
      </c>
      <c r="AX97" s="168">
        <f t="shared" si="10"/>
        <v>-4.4219360199999986</v>
      </c>
      <c r="AZ97" s="147">
        <v>6713</v>
      </c>
      <c r="BA97" s="156">
        <v>43374</v>
      </c>
      <c r="BB97" s="156">
        <v>46244</v>
      </c>
      <c r="BC97" s="148" t="s">
        <v>952</v>
      </c>
      <c r="BD97" s="148" t="s">
        <v>823</v>
      </c>
      <c r="BE97" s="148" t="s">
        <v>943</v>
      </c>
      <c r="BF97" s="148">
        <v>1978</v>
      </c>
      <c r="BG97" s="237">
        <f>'Cálculo PU'!L299</f>
        <v>2670</v>
      </c>
      <c r="BH97" s="168">
        <f t="shared" si="11"/>
        <v>-692</v>
      </c>
    </row>
    <row r="98" spans="2:60">
      <c r="B98" s="226">
        <v>6766</v>
      </c>
      <c r="C98" s="227">
        <v>43374</v>
      </c>
      <c r="D98" s="227">
        <v>46274</v>
      </c>
      <c r="E98" s="227" t="s">
        <v>952</v>
      </c>
      <c r="F98" s="227" t="s">
        <v>823</v>
      </c>
      <c r="G98" s="227" t="s">
        <v>953</v>
      </c>
      <c r="H98" s="227">
        <v>28.166654625093301</v>
      </c>
      <c r="I98" s="232">
        <f>'Cálculo PU'!V300</f>
        <v>16.383059069352839</v>
      </c>
      <c r="J98" s="235">
        <f t="shared" si="6"/>
        <v>-11.783595555740462</v>
      </c>
      <c r="L98" s="147">
        <v>6765</v>
      </c>
      <c r="M98" s="156">
        <v>43374</v>
      </c>
      <c r="N98" s="156">
        <v>46274</v>
      </c>
      <c r="O98" s="148" t="s">
        <v>952</v>
      </c>
      <c r="P98" s="148" t="s">
        <v>823</v>
      </c>
      <c r="Q98" s="148" t="s">
        <v>827</v>
      </c>
      <c r="R98" s="148">
        <v>1.2164006672579999</v>
      </c>
      <c r="S98" s="148">
        <f>'Cálculo PU'!O300</f>
        <v>1.3017509285028908</v>
      </c>
      <c r="T98" s="168">
        <f t="shared" si="7"/>
        <v>-8.5350261244890868E-2</v>
      </c>
      <c r="V98" s="147">
        <v>6753</v>
      </c>
      <c r="W98" s="156">
        <v>43374</v>
      </c>
      <c r="X98" s="156">
        <v>46274</v>
      </c>
      <c r="Y98" s="148" t="s">
        <v>952</v>
      </c>
      <c r="Z98" s="148" t="s">
        <v>823</v>
      </c>
      <c r="AA98" s="148" t="s">
        <v>954</v>
      </c>
      <c r="AB98" s="232">
        <v>34.261937480389101</v>
      </c>
      <c r="AC98" s="232">
        <f>'Cálculo PU'!U300</f>
        <v>21.326662355247766</v>
      </c>
      <c r="AD98" s="168">
        <f t="shared" si="8"/>
        <v>12.935275125141334</v>
      </c>
      <c r="AF98" s="147">
        <v>6743</v>
      </c>
      <c r="AG98" s="156">
        <v>43374</v>
      </c>
      <c r="AH98" s="156">
        <v>46274</v>
      </c>
      <c r="AI98" s="148" t="s">
        <v>952</v>
      </c>
      <c r="AJ98" s="148" t="s">
        <v>823</v>
      </c>
      <c r="AK98" s="148" t="s">
        <v>956</v>
      </c>
      <c r="AL98" s="232">
        <v>83.687702885111506</v>
      </c>
      <c r="AM98" s="232">
        <f>'Cálculo PU'!T300</f>
        <v>107.24790008749228</v>
      </c>
      <c r="AN98" s="168">
        <f t="shared" si="9"/>
        <v>-23.560197202380778</v>
      </c>
      <c r="AP98" s="147">
        <v>6751</v>
      </c>
      <c r="AQ98" s="156">
        <v>43374</v>
      </c>
      <c r="AR98" s="156">
        <v>46274</v>
      </c>
      <c r="AS98" s="148" t="s">
        <v>952</v>
      </c>
      <c r="AT98" s="148" t="s">
        <v>823</v>
      </c>
      <c r="AU98" s="148" t="s">
        <v>942</v>
      </c>
      <c r="AV98" s="232">
        <v>11.916343510000001</v>
      </c>
      <c r="AW98" s="232">
        <f>'Cálculo PU'!Q300</f>
        <v>16.3293</v>
      </c>
      <c r="AX98" s="168">
        <f t="shared" si="10"/>
        <v>-4.4129564899999991</v>
      </c>
      <c r="AZ98" s="147">
        <v>6752</v>
      </c>
      <c r="BA98" s="156">
        <v>43374</v>
      </c>
      <c r="BB98" s="156">
        <v>46274</v>
      </c>
      <c r="BC98" s="148" t="s">
        <v>952</v>
      </c>
      <c r="BD98" s="148" t="s">
        <v>823</v>
      </c>
      <c r="BE98" s="148" t="s">
        <v>943</v>
      </c>
      <c r="BF98" s="148">
        <v>1999</v>
      </c>
      <c r="BG98" s="237">
        <f>'Cálculo PU'!L300</f>
        <v>2691</v>
      </c>
      <c r="BH98" s="168">
        <f t="shared" si="11"/>
        <v>-692</v>
      </c>
    </row>
    <row r="99" spans="2:60">
      <c r="B99" s="226">
        <v>6805</v>
      </c>
      <c r="C99" s="227">
        <v>43374</v>
      </c>
      <c r="D99" s="227">
        <v>46304</v>
      </c>
      <c r="E99" s="227" t="s">
        <v>952</v>
      </c>
      <c r="F99" s="227" t="s">
        <v>823</v>
      </c>
      <c r="G99" s="227" t="s">
        <v>953</v>
      </c>
      <c r="H99" s="227">
        <v>27.310709258161701</v>
      </c>
      <c r="I99" s="232">
        <f>'Cálculo PU'!V301</f>
        <v>15.844654602041624</v>
      </c>
      <c r="J99" s="235">
        <f t="shared" si="6"/>
        <v>-11.466054656120077</v>
      </c>
      <c r="L99" s="147">
        <v>6804</v>
      </c>
      <c r="M99" s="156">
        <v>43374</v>
      </c>
      <c r="N99" s="156">
        <v>46304</v>
      </c>
      <c r="O99" s="148" t="s">
        <v>952</v>
      </c>
      <c r="P99" s="148" t="s">
        <v>823</v>
      </c>
      <c r="Q99" s="148" t="s">
        <v>827</v>
      </c>
      <c r="R99" s="148">
        <v>1.2189065236050001</v>
      </c>
      <c r="S99" s="148">
        <f>'Cálculo PU'!O301</f>
        <v>1.3044326113681388</v>
      </c>
      <c r="T99" s="168">
        <f t="shared" si="7"/>
        <v>-8.5526087763138747E-2</v>
      </c>
      <c r="V99" s="147">
        <v>6792</v>
      </c>
      <c r="W99" s="156">
        <v>43374</v>
      </c>
      <c r="X99" s="156">
        <v>46304</v>
      </c>
      <c r="Y99" s="148" t="s">
        <v>952</v>
      </c>
      <c r="Z99" s="148" t="s">
        <v>823</v>
      </c>
      <c r="AA99" s="148" t="s">
        <v>954</v>
      </c>
      <c r="AB99" s="232">
        <v>33.289201679052802</v>
      </c>
      <c r="AC99" s="232">
        <f>'Cálculo PU'!U301</f>
        <v>20.668284178767355</v>
      </c>
      <c r="AD99" s="168">
        <f t="shared" si="8"/>
        <v>12.620917500285447</v>
      </c>
      <c r="AF99" s="147">
        <v>6782</v>
      </c>
      <c r="AG99" s="156">
        <v>43374</v>
      </c>
      <c r="AH99" s="156">
        <v>46304</v>
      </c>
      <c r="AI99" s="148" t="s">
        <v>952</v>
      </c>
      <c r="AJ99" s="148" t="s">
        <v>823</v>
      </c>
      <c r="AK99" s="148" t="s">
        <v>956</v>
      </c>
      <c r="AL99" s="232">
        <v>82.135045710876994</v>
      </c>
      <c r="AM99" s="232">
        <f>'Cálculo PU'!T301</f>
        <v>105.26514640808723</v>
      </c>
      <c r="AN99" s="168">
        <f t="shared" si="9"/>
        <v>-23.130100697210239</v>
      </c>
      <c r="AP99" s="147">
        <v>6790</v>
      </c>
      <c r="AQ99" s="156">
        <v>43374</v>
      </c>
      <c r="AR99" s="156">
        <v>46304</v>
      </c>
      <c r="AS99" s="148" t="s">
        <v>952</v>
      </c>
      <c r="AT99" s="148" t="s">
        <v>823</v>
      </c>
      <c r="AU99" s="148" t="s">
        <v>942</v>
      </c>
      <c r="AV99" s="232">
        <v>11.926018470000001</v>
      </c>
      <c r="AW99" s="232">
        <f>'Cálculo PU'!Q301</f>
        <v>16.330300000000001</v>
      </c>
      <c r="AX99" s="168">
        <f t="shared" si="10"/>
        <v>-4.4042815300000004</v>
      </c>
      <c r="AZ99" s="147">
        <v>6791</v>
      </c>
      <c r="BA99" s="156">
        <v>43374</v>
      </c>
      <c r="BB99" s="156">
        <v>46304</v>
      </c>
      <c r="BC99" s="148" t="s">
        <v>952</v>
      </c>
      <c r="BD99" s="148" t="s">
        <v>823</v>
      </c>
      <c r="BE99" s="148" t="s">
        <v>943</v>
      </c>
      <c r="BF99" s="148">
        <v>2020</v>
      </c>
      <c r="BG99" s="237">
        <f>'Cálculo PU'!L301</f>
        <v>2712</v>
      </c>
      <c r="BH99" s="168">
        <f t="shared" si="11"/>
        <v>-692</v>
      </c>
    </row>
    <row r="100" spans="2:60">
      <c r="B100" s="226">
        <v>6844</v>
      </c>
      <c r="C100" s="227">
        <v>43374</v>
      </c>
      <c r="D100" s="227">
        <v>46336</v>
      </c>
      <c r="E100" s="227" t="s">
        <v>952</v>
      </c>
      <c r="F100" s="227" t="s">
        <v>823</v>
      </c>
      <c r="G100" s="227" t="s">
        <v>953</v>
      </c>
      <c r="H100" s="227">
        <v>22.874796845041001</v>
      </c>
      <c r="I100" s="232">
        <f>'Cálculo PU'!V302</f>
        <v>13.234687424736089</v>
      </c>
      <c r="J100" s="235">
        <f t="shared" si="6"/>
        <v>-9.6401094203049116</v>
      </c>
      <c r="L100" s="147">
        <v>6843</v>
      </c>
      <c r="M100" s="156">
        <v>43374</v>
      </c>
      <c r="N100" s="156">
        <v>46336</v>
      </c>
      <c r="O100" s="148" t="s">
        <v>952</v>
      </c>
      <c r="P100" s="148" t="s">
        <v>823</v>
      </c>
      <c r="Q100" s="148" t="s">
        <v>827</v>
      </c>
      <c r="R100" s="148">
        <v>1.221417542163</v>
      </c>
      <c r="S100" s="148">
        <f>'Cálculo PU'!O302</f>
        <v>1.3071198186565558</v>
      </c>
      <c r="T100" s="168">
        <f t="shared" si="7"/>
        <v>-8.5702276493555773E-2</v>
      </c>
      <c r="V100" s="147">
        <v>6831</v>
      </c>
      <c r="W100" s="156">
        <v>43374</v>
      </c>
      <c r="X100" s="156">
        <v>46336</v>
      </c>
      <c r="Y100" s="148" t="s">
        <v>952</v>
      </c>
      <c r="Z100" s="148" t="s">
        <v>823</v>
      </c>
      <c r="AA100" s="148" t="s">
        <v>954</v>
      </c>
      <c r="AB100" s="232">
        <v>27.939678139948001</v>
      </c>
      <c r="AC100" s="232">
        <f>'Cálculo PU'!U302</f>
        <v>17.299322226597237</v>
      </c>
      <c r="AD100" s="168">
        <f t="shared" si="8"/>
        <v>10.640355913350763</v>
      </c>
      <c r="AF100" s="147">
        <v>6821</v>
      </c>
      <c r="AG100" s="156">
        <v>43374</v>
      </c>
      <c r="AH100" s="156">
        <v>46336</v>
      </c>
      <c r="AI100" s="148" t="s">
        <v>952</v>
      </c>
      <c r="AJ100" s="148" t="s">
        <v>823</v>
      </c>
      <c r="AK100" s="148" t="s">
        <v>956</v>
      </c>
      <c r="AL100" s="232">
        <v>69.634091796134697</v>
      </c>
      <c r="AM100" s="232">
        <f>'Cálculo PU'!T302</f>
        <v>89.231892956540364</v>
      </c>
      <c r="AN100" s="168">
        <f t="shared" si="9"/>
        <v>-19.597801160405666</v>
      </c>
      <c r="AP100" s="147">
        <v>6829</v>
      </c>
      <c r="AQ100" s="156">
        <v>43374</v>
      </c>
      <c r="AR100" s="156">
        <v>46336</v>
      </c>
      <c r="AS100" s="148" t="s">
        <v>952</v>
      </c>
      <c r="AT100" s="148" t="s">
        <v>823</v>
      </c>
      <c r="AU100" s="148" t="s">
        <v>942</v>
      </c>
      <c r="AV100" s="232">
        <v>11.935495149999999</v>
      </c>
      <c r="AW100" s="232">
        <f>'Cálculo PU'!Q302</f>
        <v>16.331199999999999</v>
      </c>
      <c r="AX100" s="168">
        <f t="shared" si="10"/>
        <v>-4.3957048499999996</v>
      </c>
      <c r="AZ100" s="147">
        <v>6830</v>
      </c>
      <c r="BA100" s="156">
        <v>43374</v>
      </c>
      <c r="BB100" s="156">
        <v>46336</v>
      </c>
      <c r="BC100" s="148" t="s">
        <v>952</v>
      </c>
      <c r="BD100" s="148" t="s">
        <v>823</v>
      </c>
      <c r="BE100" s="148" t="s">
        <v>943</v>
      </c>
      <c r="BF100" s="148">
        <v>2041</v>
      </c>
      <c r="BG100" s="237">
        <f>'Cálculo PU'!L302</f>
        <v>2733</v>
      </c>
      <c r="BH100" s="168">
        <f t="shared" si="11"/>
        <v>-692</v>
      </c>
    </row>
    <row r="101" spans="2:60">
      <c r="B101" s="226">
        <v>6883</v>
      </c>
      <c r="C101" s="227">
        <v>43374</v>
      </c>
      <c r="D101" s="227">
        <v>46364</v>
      </c>
      <c r="E101" s="227" t="s">
        <v>952</v>
      </c>
      <c r="F101" s="227" t="s">
        <v>823</v>
      </c>
      <c r="G101" s="227" t="s">
        <v>953</v>
      </c>
      <c r="H101" s="227">
        <v>21.005916554760301</v>
      </c>
      <c r="I101" s="232">
        <f>'Cálculo PU'!V303</f>
        <v>12.123234579067134</v>
      </c>
      <c r="J101" s="235">
        <f t="shared" si="6"/>
        <v>-8.882681975693167</v>
      </c>
      <c r="L101" s="147">
        <v>6882</v>
      </c>
      <c r="M101" s="156">
        <v>43374</v>
      </c>
      <c r="N101" s="156">
        <v>46364</v>
      </c>
      <c r="O101" s="148" t="s">
        <v>952</v>
      </c>
      <c r="P101" s="148" t="s">
        <v>823</v>
      </c>
      <c r="Q101" s="148" t="s">
        <v>827</v>
      </c>
      <c r="R101" s="148">
        <v>1.223813797472</v>
      </c>
      <c r="S101" s="148">
        <f>'Cálculo PU'!O303</f>
        <v>1.3096842101906088</v>
      </c>
      <c r="T101" s="168">
        <f t="shared" si="7"/>
        <v>-8.5870412718608735E-2</v>
      </c>
      <c r="V101" s="147">
        <v>6870</v>
      </c>
      <c r="W101" s="156">
        <v>43374</v>
      </c>
      <c r="X101" s="156">
        <v>46364</v>
      </c>
      <c r="Y101" s="148" t="s">
        <v>952</v>
      </c>
      <c r="Z101" s="148" t="s">
        <v>823</v>
      </c>
      <c r="AA101" s="148" t="s">
        <v>954</v>
      </c>
      <c r="AB101" s="232">
        <v>25.707330508261201</v>
      </c>
      <c r="AC101" s="232">
        <f>'Cálculo PU'!U303</f>
        <v>15.877608904641017</v>
      </c>
      <c r="AD101" s="168">
        <f t="shared" si="8"/>
        <v>9.8297216036201842</v>
      </c>
      <c r="AF101" s="147">
        <v>6860</v>
      </c>
      <c r="AG101" s="156">
        <v>43374</v>
      </c>
      <c r="AH101" s="156">
        <v>46364</v>
      </c>
      <c r="AI101" s="148" t="s">
        <v>952</v>
      </c>
      <c r="AJ101" s="148" t="s">
        <v>823</v>
      </c>
      <c r="AK101" s="148" t="s">
        <v>956</v>
      </c>
      <c r="AL101" s="232">
        <v>64.688121532076394</v>
      </c>
      <c r="AM101" s="232">
        <f>'Cálculo PU'!T303</f>
        <v>82.893930073922846</v>
      </c>
      <c r="AN101" s="168">
        <f t="shared" si="9"/>
        <v>-18.205808541846451</v>
      </c>
      <c r="AP101" s="147">
        <v>6868</v>
      </c>
      <c r="AQ101" s="156">
        <v>43374</v>
      </c>
      <c r="AR101" s="156">
        <v>46364</v>
      </c>
      <c r="AS101" s="148" t="s">
        <v>952</v>
      </c>
      <c r="AT101" s="148" t="s">
        <v>823</v>
      </c>
      <c r="AU101" s="148" t="s">
        <v>942</v>
      </c>
      <c r="AV101" s="232">
        <v>11.94434174</v>
      </c>
      <c r="AW101" s="232">
        <f>'Cálculo PU'!Q303</f>
        <v>16.332000000000001</v>
      </c>
      <c r="AX101" s="168">
        <f t="shared" si="10"/>
        <v>-4.3876582600000003</v>
      </c>
      <c r="AZ101" s="147">
        <v>6869</v>
      </c>
      <c r="BA101" s="156">
        <v>43374</v>
      </c>
      <c r="BB101" s="156">
        <v>46364</v>
      </c>
      <c r="BC101" s="148" t="s">
        <v>952</v>
      </c>
      <c r="BD101" s="148" t="s">
        <v>823</v>
      </c>
      <c r="BE101" s="148" t="s">
        <v>943</v>
      </c>
      <c r="BF101" s="148">
        <v>2061</v>
      </c>
      <c r="BG101" s="237">
        <f>'Cálculo PU'!L303</f>
        <v>2753</v>
      </c>
      <c r="BH101" s="168">
        <f t="shared" si="11"/>
        <v>-692</v>
      </c>
    </row>
    <row r="102" spans="2:60">
      <c r="B102" s="226">
        <v>6922</v>
      </c>
      <c r="C102" s="227">
        <v>43374</v>
      </c>
      <c r="D102" s="227">
        <v>46398</v>
      </c>
      <c r="E102" s="227" t="s">
        <v>952</v>
      </c>
      <c r="F102" s="227" t="s">
        <v>823</v>
      </c>
      <c r="G102" s="227" t="s">
        <v>953</v>
      </c>
      <c r="H102" s="227">
        <v>21.105411333267099</v>
      </c>
      <c r="I102" s="232">
        <f>'Cálculo PU'!V304</f>
        <v>12.096532637241348</v>
      </c>
      <c r="J102" s="235">
        <f t="shared" si="6"/>
        <v>-9.0088786960257519</v>
      </c>
      <c r="L102" s="147">
        <v>6921</v>
      </c>
      <c r="M102" s="156">
        <v>43374</v>
      </c>
      <c r="N102" s="156">
        <v>46398</v>
      </c>
      <c r="O102" s="148" t="s">
        <v>952</v>
      </c>
      <c r="P102" s="148" t="s">
        <v>823</v>
      </c>
      <c r="Q102" s="148" t="s">
        <v>827</v>
      </c>
      <c r="R102" s="148">
        <v>1.226455108468</v>
      </c>
      <c r="S102" s="148">
        <f>'Cálculo PU'!O304</f>
        <v>1.3125108520488777</v>
      </c>
      <c r="T102" s="168">
        <f t="shared" si="7"/>
        <v>-8.6055743580877753E-2</v>
      </c>
      <c r="V102" s="147">
        <v>6909</v>
      </c>
      <c r="W102" s="156">
        <v>43374</v>
      </c>
      <c r="X102" s="156">
        <v>46398</v>
      </c>
      <c r="Y102" s="148" t="s">
        <v>952</v>
      </c>
      <c r="Z102" s="148" t="s">
        <v>823</v>
      </c>
      <c r="AA102" s="148" t="s">
        <v>954</v>
      </c>
      <c r="AB102" s="232">
        <v>25.884839546003899</v>
      </c>
      <c r="AC102" s="232">
        <f>'Cálculo PU'!U304</f>
        <v>15.8768303585427</v>
      </c>
      <c r="AD102" s="168">
        <f t="shared" si="8"/>
        <v>10.0080091874612</v>
      </c>
      <c r="AF102" s="147">
        <v>6899</v>
      </c>
      <c r="AG102" s="156">
        <v>43374</v>
      </c>
      <c r="AH102" s="156">
        <v>46398</v>
      </c>
      <c r="AI102" s="148" t="s">
        <v>952</v>
      </c>
      <c r="AJ102" s="148" t="s">
        <v>823</v>
      </c>
      <c r="AK102" s="148" t="s">
        <v>956</v>
      </c>
      <c r="AL102" s="232">
        <v>65.826497930609193</v>
      </c>
      <c r="AM102" s="232">
        <f>'Cálculo PU'!T304</f>
        <v>83.999787693985326</v>
      </c>
      <c r="AN102" s="168">
        <f t="shared" si="9"/>
        <v>-18.173289763376133</v>
      </c>
      <c r="AP102" s="147">
        <v>6907</v>
      </c>
      <c r="AQ102" s="156">
        <v>43374</v>
      </c>
      <c r="AR102" s="156">
        <v>46398</v>
      </c>
      <c r="AS102" s="148" t="s">
        <v>952</v>
      </c>
      <c r="AT102" s="148" t="s">
        <v>823</v>
      </c>
      <c r="AU102" s="148" t="s">
        <v>942</v>
      </c>
      <c r="AV102" s="232">
        <v>11.95400132</v>
      </c>
      <c r="AW102" s="232">
        <f>'Cálculo PU'!Q304</f>
        <v>16.332999999999998</v>
      </c>
      <c r="AX102" s="168">
        <f t="shared" si="10"/>
        <v>-4.3789986799999987</v>
      </c>
      <c r="AZ102" s="147">
        <v>6908</v>
      </c>
      <c r="BA102" s="156">
        <v>43374</v>
      </c>
      <c r="BB102" s="156">
        <v>46398</v>
      </c>
      <c r="BC102" s="148" t="s">
        <v>952</v>
      </c>
      <c r="BD102" s="148" t="s">
        <v>823</v>
      </c>
      <c r="BE102" s="148" t="s">
        <v>943</v>
      </c>
      <c r="BF102" s="148">
        <v>2083</v>
      </c>
      <c r="BG102" s="237">
        <f>'Cálculo PU'!L304</f>
        <v>2775</v>
      </c>
      <c r="BH102" s="168">
        <f t="shared" si="11"/>
        <v>-692</v>
      </c>
    </row>
    <row r="103" spans="2:60">
      <c r="B103" s="226">
        <v>6961</v>
      </c>
      <c r="C103" s="227">
        <v>43374</v>
      </c>
      <c r="D103" s="227">
        <v>46428</v>
      </c>
      <c r="E103" s="227" t="s">
        <v>952</v>
      </c>
      <c r="F103" s="227" t="s">
        <v>823</v>
      </c>
      <c r="G103" s="227" t="s">
        <v>953</v>
      </c>
      <c r="H103" s="227">
        <v>17.317122065827899</v>
      </c>
      <c r="I103" s="232">
        <f>'Cálculo PU'!V305</f>
        <v>9.7539829421942041</v>
      </c>
      <c r="J103" s="235">
        <f t="shared" si="6"/>
        <v>-7.5631391236336949</v>
      </c>
      <c r="L103" s="147">
        <v>6960</v>
      </c>
      <c r="M103" s="156">
        <v>43374</v>
      </c>
      <c r="N103" s="156">
        <v>46428</v>
      </c>
      <c r="O103" s="148" t="s">
        <v>952</v>
      </c>
      <c r="P103" s="148" t="s">
        <v>823</v>
      </c>
      <c r="Q103" s="148" t="s">
        <v>827</v>
      </c>
      <c r="R103" s="148">
        <v>1.228861246798</v>
      </c>
      <c r="S103" s="148">
        <f>'Cálculo PU'!O305</f>
        <v>1.3150858200581657</v>
      </c>
      <c r="T103" s="168">
        <f t="shared" si="7"/>
        <v>-8.6224573260165638E-2</v>
      </c>
      <c r="V103" s="147">
        <v>6948</v>
      </c>
      <c r="W103" s="156">
        <v>43374</v>
      </c>
      <c r="X103" s="156">
        <v>46428</v>
      </c>
      <c r="Y103" s="148" t="s">
        <v>952</v>
      </c>
      <c r="Z103" s="148" t="s">
        <v>823</v>
      </c>
      <c r="AA103" s="148" t="s">
        <v>954</v>
      </c>
      <c r="AB103" s="232">
        <v>21.2803402127665</v>
      </c>
      <c r="AC103" s="232">
        <f>'Cálculo PU'!U305</f>
        <v>12.827324656368823</v>
      </c>
      <c r="AD103" s="168">
        <f t="shared" si="8"/>
        <v>8.453015556397677</v>
      </c>
      <c r="AF103" s="147">
        <v>6938</v>
      </c>
      <c r="AG103" s="156">
        <v>43374</v>
      </c>
      <c r="AH103" s="156">
        <v>46428</v>
      </c>
      <c r="AI103" s="148" t="s">
        <v>952</v>
      </c>
      <c r="AJ103" s="148" t="s">
        <v>823</v>
      </c>
      <c r="AK103" s="148" t="s">
        <v>956</v>
      </c>
      <c r="AL103" s="232">
        <v>54.639875537859098</v>
      </c>
      <c r="AM103" s="232">
        <f>'Cálculo PU'!T305</f>
        <v>68.690727097383956</v>
      </c>
      <c r="AN103" s="168">
        <f t="shared" si="9"/>
        <v>-14.050851559524858</v>
      </c>
      <c r="AP103" s="147">
        <v>6946</v>
      </c>
      <c r="AQ103" s="156">
        <v>43374</v>
      </c>
      <c r="AR103" s="156">
        <v>46428</v>
      </c>
      <c r="AS103" s="148" t="s">
        <v>952</v>
      </c>
      <c r="AT103" s="148" t="s">
        <v>823</v>
      </c>
      <c r="AU103" s="148" t="s">
        <v>942</v>
      </c>
      <c r="AV103" s="232">
        <v>11.962769079999999</v>
      </c>
      <c r="AW103" s="232">
        <f>'Cálculo PU'!Q305</f>
        <v>16.3338</v>
      </c>
      <c r="AX103" s="168">
        <f t="shared" si="10"/>
        <v>-4.3710309200000008</v>
      </c>
      <c r="AZ103" s="147">
        <v>6947</v>
      </c>
      <c r="BA103" s="156">
        <v>43374</v>
      </c>
      <c r="BB103" s="156">
        <v>46428</v>
      </c>
      <c r="BC103" s="148" t="s">
        <v>952</v>
      </c>
      <c r="BD103" s="148" t="s">
        <v>823</v>
      </c>
      <c r="BE103" s="148" t="s">
        <v>943</v>
      </c>
      <c r="BF103" s="148">
        <v>2103</v>
      </c>
      <c r="BG103" s="237">
        <f>'Cálculo PU'!L305</f>
        <v>2795</v>
      </c>
      <c r="BH103" s="168">
        <f t="shared" si="11"/>
        <v>-692</v>
      </c>
    </row>
    <row r="104" spans="2:60">
      <c r="B104" s="226">
        <v>7000</v>
      </c>
      <c r="C104" s="227">
        <v>43374</v>
      </c>
      <c r="D104" s="227">
        <v>46454</v>
      </c>
      <c r="E104" s="227" t="s">
        <v>952</v>
      </c>
      <c r="F104" s="227" t="s">
        <v>823</v>
      </c>
      <c r="G104" s="227" t="s">
        <v>953</v>
      </c>
      <c r="H104" s="227">
        <v>13.940400432267801</v>
      </c>
      <c r="I104" s="232">
        <f>'Cálculo PU'!V306</f>
        <v>7.8335656118722543</v>
      </c>
      <c r="J104" s="235">
        <f t="shared" si="6"/>
        <v>-6.1068348203955463</v>
      </c>
      <c r="L104" s="147">
        <v>6999</v>
      </c>
      <c r="M104" s="156">
        <v>43374</v>
      </c>
      <c r="N104" s="156">
        <v>46454</v>
      </c>
      <c r="O104" s="148" t="s">
        <v>952</v>
      </c>
      <c r="P104" s="148" t="s">
        <v>823</v>
      </c>
      <c r="Q104" s="148" t="s">
        <v>827</v>
      </c>
      <c r="R104" s="148">
        <v>1.2310308070730001</v>
      </c>
      <c r="S104" s="148">
        <f>'Cálculo PU'!O306</f>
        <v>1.3174076102197541</v>
      </c>
      <c r="T104" s="168">
        <f t="shared" si="7"/>
        <v>-8.6376803146754E-2</v>
      </c>
      <c r="V104" s="147">
        <v>6987</v>
      </c>
      <c r="W104" s="156">
        <v>43374</v>
      </c>
      <c r="X104" s="156">
        <v>46454</v>
      </c>
      <c r="Y104" s="148" t="s">
        <v>952</v>
      </c>
      <c r="Z104" s="148" t="s">
        <v>823</v>
      </c>
      <c r="AA104" s="148" t="s">
        <v>954</v>
      </c>
      <c r="AB104" s="232">
        <v>17.161062395055399</v>
      </c>
      <c r="AC104" s="232">
        <f>'Cálculo PU'!U306</f>
        <v>10.319998952236272</v>
      </c>
      <c r="AD104" s="168">
        <f t="shared" si="8"/>
        <v>6.8410634428191273</v>
      </c>
      <c r="AF104" s="147">
        <v>6977</v>
      </c>
      <c r="AG104" s="156">
        <v>43374</v>
      </c>
      <c r="AH104" s="156">
        <v>46454</v>
      </c>
      <c r="AI104" s="148" t="s">
        <v>952</v>
      </c>
      <c r="AJ104" s="148" t="s">
        <v>823</v>
      </c>
      <c r="AK104" s="148" t="s">
        <v>956</v>
      </c>
      <c r="AL104" s="232">
        <v>44.446091913403897</v>
      </c>
      <c r="AM104" s="232">
        <f>'Cálculo PU'!T306</f>
        <v>55.868665429722107</v>
      </c>
      <c r="AN104" s="168">
        <f t="shared" si="9"/>
        <v>-11.422573516318209</v>
      </c>
      <c r="AP104" s="147">
        <v>6985</v>
      </c>
      <c r="AQ104" s="156">
        <v>43374</v>
      </c>
      <c r="AR104" s="156">
        <v>46454</v>
      </c>
      <c r="AS104" s="148" t="s">
        <v>952</v>
      </c>
      <c r="AT104" s="148" t="s">
        <v>823</v>
      </c>
      <c r="AU104" s="148" t="s">
        <v>942</v>
      </c>
      <c r="AV104" s="232">
        <v>11.97051926</v>
      </c>
      <c r="AW104" s="232">
        <f>'Cálculo PU'!Q306</f>
        <v>16.334599999999998</v>
      </c>
      <c r="AX104" s="168">
        <f t="shared" si="10"/>
        <v>-4.3640807399999986</v>
      </c>
      <c r="AZ104" s="147">
        <v>6986</v>
      </c>
      <c r="BA104" s="156">
        <v>43374</v>
      </c>
      <c r="BB104" s="156">
        <v>46454</v>
      </c>
      <c r="BC104" s="148" t="s">
        <v>952</v>
      </c>
      <c r="BD104" s="148" t="s">
        <v>823</v>
      </c>
      <c r="BE104" s="148" t="s">
        <v>943</v>
      </c>
      <c r="BF104" s="148">
        <v>2121</v>
      </c>
      <c r="BG104" s="237">
        <f>'Cálculo PU'!L306</f>
        <v>2813</v>
      </c>
      <c r="BH104" s="168">
        <f t="shared" si="11"/>
        <v>-692</v>
      </c>
    </row>
    <row r="105" spans="2:60">
      <c r="B105" s="226">
        <v>7039</v>
      </c>
      <c r="C105" s="227">
        <v>43374</v>
      </c>
      <c r="D105" s="227">
        <v>46485</v>
      </c>
      <c r="E105" s="227" t="s">
        <v>952</v>
      </c>
      <c r="F105" s="227" t="s">
        <v>823</v>
      </c>
      <c r="G105" s="227" t="s">
        <v>953</v>
      </c>
      <c r="H105" s="227">
        <v>15.0684239050382</v>
      </c>
      <c r="I105" s="232">
        <f>'Cálculo PU'!V307</f>
        <v>8.4465348198921024</v>
      </c>
      <c r="J105" s="235">
        <f t="shared" si="6"/>
        <v>-6.6218890851460976</v>
      </c>
      <c r="L105" s="147">
        <v>7038</v>
      </c>
      <c r="M105" s="156">
        <v>43374</v>
      </c>
      <c r="N105" s="156">
        <v>46485</v>
      </c>
      <c r="O105" s="148" t="s">
        <v>952</v>
      </c>
      <c r="P105" s="148" t="s">
        <v>823</v>
      </c>
      <c r="Q105" s="148" t="s">
        <v>827</v>
      </c>
      <c r="R105" s="148">
        <v>1.233687694269</v>
      </c>
      <c r="S105" s="148">
        <f>'Cálculo PU'!O307</f>
        <v>1.3202509211999693</v>
      </c>
      <c r="T105" s="168">
        <f t="shared" si="7"/>
        <v>-8.6563226930969295E-2</v>
      </c>
      <c r="V105" s="147">
        <v>7026</v>
      </c>
      <c r="W105" s="156">
        <v>43374</v>
      </c>
      <c r="X105" s="156">
        <v>46485</v>
      </c>
      <c r="Y105" s="148" t="s">
        <v>952</v>
      </c>
      <c r="Z105" s="148" t="s">
        <v>823</v>
      </c>
      <c r="AA105" s="148" t="s">
        <v>954</v>
      </c>
      <c r="AB105" s="232">
        <v>18.589729143674401</v>
      </c>
      <c r="AC105" s="232">
        <f>'Cálculo PU'!U307</f>
        <v>11.151545376910166</v>
      </c>
      <c r="AD105" s="168">
        <f t="shared" si="8"/>
        <v>7.4381837667642348</v>
      </c>
      <c r="AF105" s="147">
        <v>7016</v>
      </c>
      <c r="AG105" s="156">
        <v>43374</v>
      </c>
      <c r="AH105" s="156">
        <v>46485</v>
      </c>
      <c r="AI105" s="148" t="s">
        <v>952</v>
      </c>
      <c r="AJ105" s="148" t="s">
        <v>823</v>
      </c>
      <c r="AK105" s="148" t="s">
        <v>956</v>
      </c>
      <c r="AL105" s="232">
        <v>48.658186540538601</v>
      </c>
      <c r="AM105" s="232">
        <f>'Cálculo PU'!T307</f>
        <v>61.178382334697567</v>
      </c>
      <c r="AN105" s="168">
        <f t="shared" si="9"/>
        <v>-12.520195794158965</v>
      </c>
      <c r="AP105" s="147">
        <v>7024</v>
      </c>
      <c r="AQ105" s="156">
        <v>43374</v>
      </c>
      <c r="AR105" s="156">
        <v>46485</v>
      </c>
      <c r="AS105" s="148" t="s">
        <v>952</v>
      </c>
      <c r="AT105" s="148" t="s">
        <v>823</v>
      </c>
      <c r="AU105" s="148" t="s">
        <v>942</v>
      </c>
      <c r="AV105" s="232">
        <v>11.9798156</v>
      </c>
      <c r="AW105" s="232">
        <f>'Cálculo PU'!Q307</f>
        <v>16.3355</v>
      </c>
      <c r="AX105" s="168">
        <f t="shared" si="10"/>
        <v>-4.3556843999999995</v>
      </c>
      <c r="AZ105" s="147">
        <v>7025</v>
      </c>
      <c r="BA105" s="156">
        <v>43374</v>
      </c>
      <c r="BB105" s="156">
        <v>46485</v>
      </c>
      <c r="BC105" s="148" t="s">
        <v>952</v>
      </c>
      <c r="BD105" s="148" t="s">
        <v>823</v>
      </c>
      <c r="BE105" s="148" t="s">
        <v>943</v>
      </c>
      <c r="BF105" s="148">
        <v>2143</v>
      </c>
      <c r="BG105" s="237">
        <f>'Cálculo PU'!L307</f>
        <v>2835</v>
      </c>
      <c r="BH105" s="168">
        <f t="shared" si="11"/>
        <v>-692</v>
      </c>
    </row>
    <row r="106" spans="2:60">
      <c r="B106" s="226">
        <v>7078</v>
      </c>
      <c r="C106" s="227">
        <v>43374</v>
      </c>
      <c r="D106" s="227">
        <v>46517</v>
      </c>
      <c r="E106" s="227" t="s">
        <v>952</v>
      </c>
      <c r="F106" s="227" t="s">
        <v>823</v>
      </c>
      <c r="G106" s="227" t="s">
        <v>953</v>
      </c>
      <c r="H106" s="227">
        <v>12.562046673031499</v>
      </c>
      <c r="I106" s="232">
        <f>'Cálculo PU'!V308</f>
        <v>7.0229416369923374</v>
      </c>
      <c r="J106" s="235">
        <f t="shared" si="6"/>
        <v>-5.539105036039162</v>
      </c>
      <c r="L106" s="147">
        <v>7077</v>
      </c>
      <c r="M106" s="156">
        <v>43374</v>
      </c>
      <c r="N106" s="156">
        <v>46517</v>
      </c>
      <c r="O106" s="148" t="s">
        <v>952</v>
      </c>
      <c r="P106" s="148" t="s">
        <v>823</v>
      </c>
      <c r="Q106" s="148" t="s">
        <v>827</v>
      </c>
      <c r="R106" s="148">
        <v>1.2362291629</v>
      </c>
      <c r="S106" s="148">
        <f>'Cálculo PU'!O308</f>
        <v>1.322970715129582</v>
      </c>
      <c r="T106" s="168">
        <f t="shared" si="7"/>
        <v>-8.674155222958202E-2</v>
      </c>
      <c r="V106" s="147">
        <v>7065</v>
      </c>
      <c r="W106" s="156">
        <v>43374</v>
      </c>
      <c r="X106" s="156">
        <v>46517</v>
      </c>
      <c r="Y106" s="148" t="s">
        <v>952</v>
      </c>
      <c r="Z106" s="148" t="s">
        <v>823</v>
      </c>
      <c r="AA106" s="148" t="s">
        <v>954</v>
      </c>
      <c r="AB106" s="232">
        <v>15.529568442912501</v>
      </c>
      <c r="AC106" s="232">
        <f>'Cálculo PU'!U308</f>
        <v>9.2911461198050702</v>
      </c>
      <c r="AD106" s="168">
        <f t="shared" si="8"/>
        <v>6.2384223231074305</v>
      </c>
      <c r="AF106" s="147">
        <v>7055</v>
      </c>
      <c r="AG106" s="156">
        <v>43374</v>
      </c>
      <c r="AH106" s="156">
        <v>46517</v>
      </c>
      <c r="AI106" s="148" t="s">
        <v>952</v>
      </c>
      <c r="AJ106" s="148" t="s">
        <v>823</v>
      </c>
      <c r="AK106" s="148" t="s">
        <v>956</v>
      </c>
      <c r="AL106" s="232">
        <v>41.060751939562699</v>
      </c>
      <c r="AM106" s="232">
        <f>'Cálculo PU'!T308</f>
        <v>51.622863630812091</v>
      </c>
      <c r="AN106" s="168">
        <f t="shared" si="9"/>
        <v>-10.562111691249392</v>
      </c>
      <c r="AP106" s="147">
        <v>7063</v>
      </c>
      <c r="AQ106" s="156">
        <v>43374</v>
      </c>
      <c r="AR106" s="156">
        <v>46517</v>
      </c>
      <c r="AS106" s="148" t="s">
        <v>952</v>
      </c>
      <c r="AT106" s="148" t="s">
        <v>823</v>
      </c>
      <c r="AU106" s="148" t="s">
        <v>942</v>
      </c>
      <c r="AV106" s="232">
        <v>11.988513749999999</v>
      </c>
      <c r="AW106" s="232">
        <f>'Cálculo PU'!Q308</f>
        <v>16.336300000000001</v>
      </c>
      <c r="AX106" s="168">
        <f t="shared" si="10"/>
        <v>-4.3477862500000022</v>
      </c>
      <c r="AZ106" s="147">
        <v>7064</v>
      </c>
      <c r="BA106" s="156">
        <v>43374</v>
      </c>
      <c r="BB106" s="156">
        <v>46517</v>
      </c>
      <c r="BC106" s="148" t="s">
        <v>952</v>
      </c>
      <c r="BD106" s="148" t="s">
        <v>823</v>
      </c>
      <c r="BE106" s="148" t="s">
        <v>943</v>
      </c>
      <c r="BF106" s="148">
        <v>2164</v>
      </c>
      <c r="BG106" s="237">
        <f>'Cálculo PU'!L308</f>
        <v>2856</v>
      </c>
      <c r="BH106" s="168">
        <f t="shared" si="11"/>
        <v>-692</v>
      </c>
    </row>
    <row r="107" spans="2:60">
      <c r="B107" s="226">
        <v>7117</v>
      </c>
      <c r="C107" s="227">
        <v>43374</v>
      </c>
      <c r="D107" s="227">
        <v>46546</v>
      </c>
      <c r="E107" s="227" t="s">
        <v>952</v>
      </c>
      <c r="F107" s="227" t="s">
        <v>823</v>
      </c>
      <c r="G107" s="227" t="s">
        <v>953</v>
      </c>
      <c r="H107" s="227">
        <v>10.2909295360305</v>
      </c>
      <c r="I107" s="232">
        <f>'Cálculo PU'!V309</f>
        <v>5.7386899467360868</v>
      </c>
      <c r="J107" s="235">
        <f t="shared" si="6"/>
        <v>-4.5522395892944134</v>
      </c>
      <c r="L107" s="147">
        <v>7116</v>
      </c>
      <c r="M107" s="156">
        <v>43374</v>
      </c>
      <c r="N107" s="156">
        <v>46546</v>
      </c>
      <c r="O107" s="148" t="s">
        <v>952</v>
      </c>
      <c r="P107" s="148" t="s">
        <v>823</v>
      </c>
      <c r="Q107" s="148" t="s">
        <v>827</v>
      </c>
      <c r="R107" s="148">
        <v>1.238654476597</v>
      </c>
      <c r="S107" s="148">
        <f>'Cálculo PU'!O309</f>
        <v>1.3255662039694385</v>
      </c>
      <c r="T107" s="168">
        <f t="shared" si="7"/>
        <v>-8.6911727372438463E-2</v>
      </c>
      <c r="V107" s="147">
        <v>7104</v>
      </c>
      <c r="W107" s="156">
        <v>43374</v>
      </c>
      <c r="X107" s="156">
        <v>46546</v>
      </c>
      <c r="Y107" s="148" t="s">
        <v>952</v>
      </c>
      <c r="Z107" s="148" t="s">
        <v>823</v>
      </c>
      <c r="AA107" s="148" t="s">
        <v>954</v>
      </c>
      <c r="AB107" s="232">
        <v>12.746905938148499</v>
      </c>
      <c r="AC107" s="232">
        <f>'Cálculo PU'!U309</f>
        <v>7.6070134484525331</v>
      </c>
      <c r="AD107" s="168">
        <f t="shared" si="8"/>
        <v>5.1398924896959661</v>
      </c>
      <c r="AF107" s="147">
        <v>7094</v>
      </c>
      <c r="AG107" s="156">
        <v>43374</v>
      </c>
      <c r="AH107" s="156">
        <v>46546</v>
      </c>
      <c r="AI107" s="148" t="s">
        <v>952</v>
      </c>
      <c r="AJ107" s="148" t="s">
        <v>823</v>
      </c>
      <c r="AK107" s="148" t="s">
        <v>956</v>
      </c>
      <c r="AL107" s="232">
        <v>34.028919027831002</v>
      </c>
      <c r="AM107" s="232">
        <f>'Cálculo PU'!T309</f>
        <v>42.779584824275901</v>
      </c>
      <c r="AN107" s="168">
        <f t="shared" si="9"/>
        <v>-8.7506657964448991</v>
      </c>
      <c r="AP107" s="147">
        <v>7102</v>
      </c>
      <c r="AQ107" s="156">
        <v>43374</v>
      </c>
      <c r="AR107" s="156">
        <v>46546</v>
      </c>
      <c r="AS107" s="148" t="s">
        <v>952</v>
      </c>
      <c r="AT107" s="148" t="s">
        <v>823</v>
      </c>
      <c r="AU107" s="148" t="s">
        <v>942</v>
      </c>
      <c r="AV107" s="232">
        <v>11.9966428</v>
      </c>
      <c r="AW107" s="232">
        <f>'Cálculo PU'!Q309</f>
        <v>16.3371</v>
      </c>
      <c r="AX107" s="168">
        <f t="shared" si="10"/>
        <v>-4.3404571999999995</v>
      </c>
      <c r="AZ107" s="147">
        <v>7103</v>
      </c>
      <c r="BA107" s="156">
        <v>43374</v>
      </c>
      <c r="BB107" s="156">
        <v>46546</v>
      </c>
      <c r="BC107" s="148" t="s">
        <v>952</v>
      </c>
      <c r="BD107" s="148" t="s">
        <v>823</v>
      </c>
      <c r="BE107" s="148" t="s">
        <v>943</v>
      </c>
      <c r="BF107" s="148">
        <v>2184</v>
      </c>
      <c r="BG107" s="237">
        <f>'Cálculo PU'!L309</f>
        <v>2876</v>
      </c>
      <c r="BH107" s="168">
        <f t="shared" si="11"/>
        <v>-692</v>
      </c>
    </row>
    <row r="108" spans="2:60">
      <c r="B108" s="226">
        <v>7156</v>
      </c>
      <c r="C108" s="227">
        <v>43374</v>
      </c>
      <c r="D108" s="227">
        <v>46576</v>
      </c>
      <c r="E108" s="227" t="s">
        <v>952</v>
      </c>
      <c r="F108" s="227" t="s">
        <v>823</v>
      </c>
      <c r="G108" s="227" t="s">
        <v>953</v>
      </c>
      <c r="H108" s="227">
        <v>9.5322609883126308</v>
      </c>
      <c r="I108" s="232">
        <f>'Cálculo PU'!V310</f>
        <v>5.3018232263812619</v>
      </c>
      <c r="J108" s="235">
        <f t="shared" si="6"/>
        <v>-4.2304377619313689</v>
      </c>
      <c r="L108" s="147">
        <v>7155</v>
      </c>
      <c r="M108" s="156">
        <v>43374</v>
      </c>
      <c r="N108" s="156">
        <v>46576</v>
      </c>
      <c r="O108" s="148" t="s">
        <v>952</v>
      </c>
      <c r="P108" s="148" t="s">
        <v>823</v>
      </c>
      <c r="Q108" s="148" t="s">
        <v>827</v>
      </c>
      <c r="R108" s="148">
        <v>1.24132781767</v>
      </c>
      <c r="S108" s="148">
        <f>'Cálculo PU'!O310</f>
        <v>1.3284271233337344</v>
      </c>
      <c r="T108" s="168">
        <f t="shared" si="7"/>
        <v>-8.7099305663734361E-2</v>
      </c>
      <c r="V108" s="147">
        <v>7143</v>
      </c>
      <c r="W108" s="156">
        <v>43374</v>
      </c>
      <c r="X108" s="156">
        <v>46576</v>
      </c>
      <c r="Y108" s="148" t="s">
        <v>952</v>
      </c>
      <c r="Z108" s="148" t="s">
        <v>823</v>
      </c>
      <c r="AA108" s="148" t="s">
        <v>954</v>
      </c>
      <c r="AB108" s="232">
        <v>11.832660730082999</v>
      </c>
      <c r="AC108" s="232">
        <f>'Cálculo PU'!U310</f>
        <v>7.0430857770456381</v>
      </c>
      <c r="AD108" s="168">
        <f t="shared" si="8"/>
        <v>4.789574953037361</v>
      </c>
      <c r="AF108" s="147">
        <v>7133</v>
      </c>
      <c r="AG108" s="156">
        <v>43374</v>
      </c>
      <c r="AH108" s="156">
        <v>46576</v>
      </c>
      <c r="AI108" s="148" t="s">
        <v>952</v>
      </c>
      <c r="AJ108" s="148" t="s">
        <v>823</v>
      </c>
      <c r="AK108" s="148" t="s">
        <v>956</v>
      </c>
      <c r="AL108" s="232">
        <v>31.924141861074801</v>
      </c>
      <c r="AM108" s="232">
        <f>'Cálculo PU'!T310</f>
        <v>40.13851512646908</v>
      </c>
      <c r="AN108" s="168">
        <f t="shared" si="9"/>
        <v>-8.2143732653942791</v>
      </c>
      <c r="AP108" s="147">
        <v>7141</v>
      </c>
      <c r="AQ108" s="156">
        <v>43374</v>
      </c>
      <c r="AR108" s="156">
        <v>46576</v>
      </c>
      <c r="AS108" s="148" t="s">
        <v>952</v>
      </c>
      <c r="AT108" s="148" t="s">
        <v>823</v>
      </c>
      <c r="AU108" s="148" t="s">
        <v>942</v>
      </c>
      <c r="AV108" s="232">
        <v>12.005415169999999</v>
      </c>
      <c r="AW108" s="232">
        <f>'Cálculo PU'!Q310</f>
        <v>16.338000000000001</v>
      </c>
      <c r="AX108" s="168">
        <f t="shared" si="10"/>
        <v>-4.3325848300000018</v>
      </c>
      <c r="AZ108" s="147">
        <v>7142</v>
      </c>
      <c r="BA108" s="156">
        <v>43374</v>
      </c>
      <c r="BB108" s="156">
        <v>46576</v>
      </c>
      <c r="BC108" s="148" t="s">
        <v>952</v>
      </c>
      <c r="BD108" s="148" t="s">
        <v>823</v>
      </c>
      <c r="BE108" s="148" t="s">
        <v>943</v>
      </c>
      <c r="BF108" s="148">
        <v>2206</v>
      </c>
      <c r="BG108" s="237">
        <f>'Cálculo PU'!L310</f>
        <v>2898</v>
      </c>
      <c r="BH108" s="168">
        <f t="shared" si="11"/>
        <v>-692</v>
      </c>
    </row>
    <row r="109" spans="2:60">
      <c r="B109" s="226">
        <v>7195</v>
      </c>
      <c r="C109" s="227">
        <v>43374</v>
      </c>
      <c r="D109" s="227">
        <v>46608</v>
      </c>
      <c r="E109" s="227" t="s">
        <v>952</v>
      </c>
      <c r="F109" s="227" t="s">
        <v>823</v>
      </c>
      <c r="G109" s="227" t="s">
        <v>953</v>
      </c>
      <c r="H109" s="227">
        <v>7.80218970750379</v>
      </c>
      <c r="I109" s="232">
        <f>'Cálculo PU'!V311</f>
        <v>4.3277988551107081</v>
      </c>
      <c r="J109" s="235">
        <f t="shared" si="6"/>
        <v>-3.474390852393082</v>
      </c>
      <c r="L109" s="147">
        <v>7194</v>
      </c>
      <c r="M109" s="156">
        <v>43374</v>
      </c>
      <c r="N109" s="156">
        <v>46608</v>
      </c>
      <c r="O109" s="148" t="s">
        <v>952</v>
      </c>
      <c r="P109" s="148" t="s">
        <v>823</v>
      </c>
      <c r="Q109" s="148" t="s">
        <v>827</v>
      </c>
      <c r="R109" s="148">
        <v>1.2440069285140001</v>
      </c>
      <c r="S109" s="148">
        <f>'Cálculo PU'!O311</f>
        <v>1.3312942173120059</v>
      </c>
      <c r="T109" s="168">
        <f t="shared" si="7"/>
        <v>-8.7287288798005847E-2</v>
      </c>
      <c r="V109" s="147">
        <v>7182</v>
      </c>
      <c r="W109" s="156">
        <v>43374</v>
      </c>
      <c r="X109" s="156">
        <v>46608</v>
      </c>
      <c r="Y109" s="148" t="s">
        <v>952</v>
      </c>
      <c r="Z109" s="148" t="s">
        <v>823</v>
      </c>
      <c r="AA109" s="148" t="s">
        <v>954</v>
      </c>
      <c r="AB109" s="232">
        <v>9.7059780537153397</v>
      </c>
      <c r="AC109" s="232">
        <f>'Cálculo PU'!U311</f>
        <v>5.761573589498405</v>
      </c>
      <c r="AD109" s="168">
        <f t="shared" si="8"/>
        <v>3.9444044642169347</v>
      </c>
      <c r="AF109" s="147">
        <v>7172</v>
      </c>
      <c r="AG109" s="156">
        <v>43374</v>
      </c>
      <c r="AH109" s="156">
        <v>46608</v>
      </c>
      <c r="AI109" s="148" t="s">
        <v>952</v>
      </c>
      <c r="AJ109" s="148" t="s">
        <v>823</v>
      </c>
      <c r="AK109" s="148" t="s">
        <v>956</v>
      </c>
      <c r="AL109" s="232">
        <v>26.464858216205901</v>
      </c>
      <c r="AM109" s="232">
        <f>'Cálculo PU'!T311</f>
        <v>33.274507939906712</v>
      </c>
      <c r="AN109" s="168">
        <f t="shared" si="9"/>
        <v>-6.8096497237008116</v>
      </c>
      <c r="AP109" s="147">
        <v>7180</v>
      </c>
      <c r="AQ109" s="156">
        <v>43374</v>
      </c>
      <c r="AR109" s="156">
        <v>46608</v>
      </c>
      <c r="AS109" s="148" t="s">
        <v>952</v>
      </c>
      <c r="AT109" s="148" t="s">
        <v>823</v>
      </c>
      <c r="AU109" s="148" t="s">
        <v>942</v>
      </c>
      <c r="AV109" s="232">
        <v>12.014014960000001</v>
      </c>
      <c r="AW109" s="232">
        <f>'Cálculo PU'!Q311</f>
        <v>16.338799999999999</v>
      </c>
      <c r="AX109" s="168">
        <f t="shared" si="10"/>
        <v>-4.3247850399999983</v>
      </c>
      <c r="AZ109" s="147">
        <v>7181</v>
      </c>
      <c r="BA109" s="156">
        <v>43374</v>
      </c>
      <c r="BB109" s="156">
        <v>46608</v>
      </c>
      <c r="BC109" s="148" t="s">
        <v>952</v>
      </c>
      <c r="BD109" s="148" t="s">
        <v>823</v>
      </c>
      <c r="BE109" s="148" t="s">
        <v>943</v>
      </c>
      <c r="BF109" s="148">
        <v>2228</v>
      </c>
      <c r="BG109" s="237">
        <f>'Cálculo PU'!L311</f>
        <v>2920</v>
      </c>
      <c r="BH109" s="168">
        <f t="shared" si="11"/>
        <v>-692</v>
      </c>
    </row>
    <row r="110" spans="2:60">
      <c r="B110" s="226">
        <v>7234</v>
      </c>
      <c r="C110" s="227">
        <v>43374</v>
      </c>
      <c r="D110" s="227">
        <v>46639</v>
      </c>
      <c r="E110" s="227" t="s">
        <v>952</v>
      </c>
      <c r="F110" s="227" t="s">
        <v>823</v>
      </c>
      <c r="G110" s="227" t="s">
        <v>953</v>
      </c>
      <c r="H110" s="227">
        <v>6.1314278394623001</v>
      </c>
      <c r="I110" s="232">
        <f>'Cálculo PU'!V312</f>
        <v>3.3917868142211409</v>
      </c>
      <c r="J110" s="235">
        <f t="shared" si="6"/>
        <v>-2.7396410252411592</v>
      </c>
      <c r="L110" s="147">
        <v>7233</v>
      </c>
      <c r="M110" s="156">
        <v>43374</v>
      </c>
      <c r="N110" s="156">
        <v>46639</v>
      </c>
      <c r="O110" s="148" t="s">
        <v>952</v>
      </c>
      <c r="P110" s="148" t="s">
        <v>823</v>
      </c>
      <c r="Q110" s="148" t="s">
        <v>827</v>
      </c>
      <c r="R110" s="148">
        <v>1.2466918215809999</v>
      </c>
      <c r="S110" s="148">
        <f>'Cálculo PU'!O312</f>
        <v>1.3341674992306893</v>
      </c>
      <c r="T110" s="168">
        <f t="shared" si="7"/>
        <v>-8.7475677649689443E-2</v>
      </c>
      <c r="V110" s="147">
        <v>7221</v>
      </c>
      <c r="W110" s="156">
        <v>43374</v>
      </c>
      <c r="X110" s="156">
        <v>46639</v>
      </c>
      <c r="Y110" s="148" t="s">
        <v>952</v>
      </c>
      <c r="Z110" s="148" t="s">
        <v>823</v>
      </c>
      <c r="AA110" s="148" t="s">
        <v>954</v>
      </c>
      <c r="AB110" s="232">
        <v>7.6440009420717097</v>
      </c>
      <c r="AC110" s="232">
        <f>'Cálculo PU'!U312</f>
        <v>4.5252117318530463</v>
      </c>
      <c r="AD110" s="168">
        <f t="shared" si="8"/>
        <v>3.1187892102186634</v>
      </c>
      <c r="AF110" s="147">
        <v>7211</v>
      </c>
      <c r="AG110" s="156">
        <v>43374</v>
      </c>
      <c r="AH110" s="156">
        <v>46639</v>
      </c>
      <c r="AI110" s="148" t="s">
        <v>952</v>
      </c>
      <c r="AJ110" s="148" t="s">
        <v>823</v>
      </c>
      <c r="AK110" s="148" t="s">
        <v>956</v>
      </c>
      <c r="AL110" s="232">
        <v>21.064174605026</v>
      </c>
      <c r="AM110" s="232">
        <f>'Cálculo PU'!T312</f>
        <v>26.4841791108983</v>
      </c>
      <c r="AN110" s="168">
        <f t="shared" si="9"/>
        <v>-5.4200045058722992</v>
      </c>
      <c r="AP110" s="147">
        <v>7219</v>
      </c>
      <c r="AQ110" s="156">
        <v>43374</v>
      </c>
      <c r="AR110" s="156">
        <v>46639</v>
      </c>
      <c r="AS110" s="148" t="s">
        <v>952</v>
      </c>
      <c r="AT110" s="148" t="s">
        <v>823</v>
      </c>
      <c r="AU110" s="148" t="s">
        <v>942</v>
      </c>
      <c r="AV110" s="232">
        <v>12.022447229999999</v>
      </c>
      <c r="AW110" s="232">
        <f>'Cálculo PU'!Q312</f>
        <v>16.339700000000001</v>
      </c>
      <c r="AX110" s="168">
        <f t="shared" si="10"/>
        <v>-4.3172527700000014</v>
      </c>
      <c r="AZ110" s="147">
        <v>7220</v>
      </c>
      <c r="BA110" s="156">
        <v>43374</v>
      </c>
      <c r="BB110" s="156">
        <v>46639</v>
      </c>
      <c r="BC110" s="148" t="s">
        <v>952</v>
      </c>
      <c r="BD110" s="148" t="s">
        <v>823</v>
      </c>
      <c r="BE110" s="148" t="s">
        <v>943</v>
      </c>
      <c r="BF110" s="148">
        <v>2250</v>
      </c>
      <c r="BG110" s="237">
        <f>'Cálculo PU'!L312</f>
        <v>2942</v>
      </c>
      <c r="BH110" s="168">
        <f t="shared" si="11"/>
        <v>-692</v>
      </c>
    </row>
    <row r="111" spans="2:60">
      <c r="B111" s="226">
        <v>7273</v>
      </c>
      <c r="C111" s="227">
        <v>43374</v>
      </c>
      <c r="D111" s="227">
        <v>46671</v>
      </c>
      <c r="E111" s="227" t="s">
        <v>952</v>
      </c>
      <c r="F111" s="227" t="s">
        <v>823</v>
      </c>
      <c r="G111" s="227" t="s">
        <v>953</v>
      </c>
      <c r="H111" s="227">
        <v>4.5209330985465401</v>
      </c>
      <c r="I111" s="232">
        <f>'Cálculo PU'!V313</f>
        <v>2.4944064372602566</v>
      </c>
      <c r="J111" s="235">
        <f t="shared" si="6"/>
        <v>-2.0265266612862836</v>
      </c>
      <c r="L111" s="147">
        <v>7272</v>
      </c>
      <c r="M111" s="156">
        <v>43374</v>
      </c>
      <c r="N111" s="156">
        <v>46671</v>
      </c>
      <c r="O111" s="148" t="s">
        <v>952</v>
      </c>
      <c r="P111" s="148" t="s">
        <v>823</v>
      </c>
      <c r="Q111" s="148" t="s">
        <v>827</v>
      </c>
      <c r="R111" s="148">
        <v>1.2492600794740001</v>
      </c>
      <c r="S111" s="148">
        <f>'Cálculo PU'!O313</f>
        <v>1.336915962123028</v>
      </c>
      <c r="T111" s="168">
        <f t="shared" si="7"/>
        <v>-8.7655882649027905E-2</v>
      </c>
      <c r="V111" s="147">
        <v>7260</v>
      </c>
      <c r="W111" s="156">
        <v>43374</v>
      </c>
      <c r="X111" s="156">
        <v>46671</v>
      </c>
      <c r="Y111" s="148" t="s">
        <v>952</v>
      </c>
      <c r="Z111" s="148" t="s">
        <v>823</v>
      </c>
      <c r="AA111" s="148" t="s">
        <v>954</v>
      </c>
      <c r="AB111" s="232">
        <v>5.6478212419868896</v>
      </c>
      <c r="AC111" s="232">
        <f>'Cálculo PU'!U313</f>
        <v>3.3348117819956702</v>
      </c>
      <c r="AD111" s="168">
        <f t="shared" si="8"/>
        <v>2.3130094599912194</v>
      </c>
      <c r="AF111" s="147">
        <v>7250</v>
      </c>
      <c r="AG111" s="156">
        <v>43374</v>
      </c>
      <c r="AH111" s="156">
        <v>46671</v>
      </c>
      <c r="AI111" s="148" t="s">
        <v>952</v>
      </c>
      <c r="AJ111" s="148" t="s">
        <v>823</v>
      </c>
      <c r="AK111" s="148" t="s">
        <v>956</v>
      </c>
      <c r="AL111" s="232">
        <v>15.721330975066</v>
      </c>
      <c r="AM111" s="232">
        <f>'Cálculo PU'!T313</f>
        <v>19.76657301853248</v>
      </c>
      <c r="AN111" s="168">
        <f t="shared" si="9"/>
        <v>-4.0452420434664802</v>
      </c>
      <c r="AP111" s="147">
        <v>7258</v>
      </c>
      <c r="AQ111" s="156">
        <v>43374</v>
      </c>
      <c r="AR111" s="156">
        <v>46671</v>
      </c>
      <c r="AS111" s="148" t="s">
        <v>952</v>
      </c>
      <c r="AT111" s="148" t="s">
        <v>823</v>
      </c>
      <c r="AU111" s="148" t="s">
        <v>942</v>
      </c>
      <c r="AV111" s="232">
        <v>12.030344380000001</v>
      </c>
      <c r="AW111" s="232">
        <f>'Cálculo PU'!Q313</f>
        <v>16.340499999999999</v>
      </c>
      <c r="AX111" s="168">
        <f t="shared" si="10"/>
        <v>-4.310155619999998</v>
      </c>
      <c r="AZ111" s="147">
        <v>7259</v>
      </c>
      <c r="BA111" s="156">
        <v>43374</v>
      </c>
      <c r="BB111" s="156">
        <v>46671</v>
      </c>
      <c r="BC111" s="148" t="s">
        <v>952</v>
      </c>
      <c r="BD111" s="148" t="s">
        <v>823</v>
      </c>
      <c r="BE111" s="148" t="s">
        <v>943</v>
      </c>
      <c r="BF111" s="148">
        <v>2271</v>
      </c>
      <c r="BG111" s="237">
        <f>'Cálculo PU'!L313</f>
        <v>2963</v>
      </c>
      <c r="BH111" s="168">
        <f t="shared" si="11"/>
        <v>-692</v>
      </c>
    </row>
    <row r="112" spans="2:60">
      <c r="B112" s="226">
        <v>7312</v>
      </c>
      <c r="C112" s="227">
        <v>43374</v>
      </c>
      <c r="D112" s="227">
        <v>46701</v>
      </c>
      <c r="E112" s="227" t="s">
        <v>952</v>
      </c>
      <c r="F112" s="227" t="s">
        <v>823</v>
      </c>
      <c r="G112" s="227" t="s">
        <v>953</v>
      </c>
      <c r="H112" s="227">
        <v>2.69420403432138</v>
      </c>
      <c r="I112" s="232">
        <f>'Cálculo PU'!V314</f>
        <v>1.4826688093940854</v>
      </c>
      <c r="J112" s="235">
        <f t="shared" si="6"/>
        <v>-1.2115352249272946</v>
      </c>
      <c r="L112" s="147">
        <v>7311</v>
      </c>
      <c r="M112" s="156">
        <v>43374</v>
      </c>
      <c r="N112" s="156">
        <v>46701</v>
      </c>
      <c r="O112" s="148" t="s">
        <v>952</v>
      </c>
      <c r="P112" s="148" t="s">
        <v>823</v>
      </c>
      <c r="Q112" s="148" t="s">
        <v>827</v>
      </c>
      <c r="R112" s="148">
        <v>1.251710958059</v>
      </c>
      <c r="S112" s="148">
        <f>'Cálculo PU'!O314</f>
        <v>1.3395388096432594</v>
      </c>
      <c r="T112" s="168">
        <f t="shared" si="7"/>
        <v>-8.7827851584259431E-2</v>
      </c>
      <c r="V112" s="147">
        <v>7299</v>
      </c>
      <c r="W112" s="156">
        <v>43374</v>
      </c>
      <c r="X112" s="156">
        <v>46701</v>
      </c>
      <c r="Y112" s="148" t="s">
        <v>952</v>
      </c>
      <c r="Z112" s="148" t="s">
        <v>823</v>
      </c>
      <c r="AA112" s="148" t="s">
        <v>954</v>
      </c>
      <c r="AB112" s="232">
        <v>3.3723647130068399</v>
      </c>
      <c r="AC112" s="232">
        <f>'Cálculo PU'!U314</f>
        <v>1.986092412030942</v>
      </c>
      <c r="AD112" s="168">
        <f t="shared" si="8"/>
        <v>1.3862723009758979</v>
      </c>
      <c r="AF112" s="147">
        <v>7289</v>
      </c>
      <c r="AG112" s="156">
        <v>43374</v>
      </c>
      <c r="AH112" s="156">
        <v>46701</v>
      </c>
      <c r="AI112" s="148" t="s">
        <v>952</v>
      </c>
      <c r="AJ112" s="148" t="s">
        <v>823</v>
      </c>
      <c r="AK112" s="148" t="s">
        <v>956</v>
      </c>
      <c r="AL112" s="232">
        <v>9.4780449888113605</v>
      </c>
      <c r="AM112" s="232">
        <f>'Cálculo PU'!T314</f>
        <v>11.915360262709408</v>
      </c>
      <c r="AN112" s="168">
        <f t="shared" si="9"/>
        <v>-2.4373152738980473</v>
      </c>
      <c r="AP112" s="147">
        <v>7297</v>
      </c>
      <c r="AQ112" s="156">
        <v>43374</v>
      </c>
      <c r="AR112" s="156">
        <v>46701</v>
      </c>
      <c r="AS112" s="148" t="s">
        <v>952</v>
      </c>
      <c r="AT112" s="148" t="s">
        <v>823</v>
      </c>
      <c r="AU112" s="148" t="s">
        <v>942</v>
      </c>
      <c r="AV112" s="232">
        <v>12.03773138</v>
      </c>
      <c r="AW112" s="232">
        <f>'Cálculo PU'!Q314</f>
        <v>16.341200000000001</v>
      </c>
      <c r="AX112" s="168">
        <f t="shared" si="10"/>
        <v>-4.3034686200000003</v>
      </c>
      <c r="AZ112" s="147">
        <v>7298</v>
      </c>
      <c r="BA112" s="156">
        <v>43374</v>
      </c>
      <c r="BB112" s="156">
        <v>46701</v>
      </c>
      <c r="BC112" s="148" t="s">
        <v>952</v>
      </c>
      <c r="BD112" s="148" t="s">
        <v>823</v>
      </c>
      <c r="BE112" s="148" t="s">
        <v>943</v>
      </c>
      <c r="BF112" s="148">
        <v>2291</v>
      </c>
      <c r="BG112" s="237">
        <f>'Cálculo PU'!L314</f>
        <v>2983</v>
      </c>
      <c r="BH112" s="168">
        <f t="shared" si="11"/>
        <v>-692</v>
      </c>
    </row>
    <row r="113" spans="2:60" ht="15.75" thickBot="1">
      <c r="B113" s="228">
        <v>7351</v>
      </c>
      <c r="C113" s="229">
        <v>43374</v>
      </c>
      <c r="D113" s="229">
        <v>46729</v>
      </c>
      <c r="E113" s="229" t="s">
        <v>952</v>
      </c>
      <c r="F113" s="229" t="s">
        <v>823</v>
      </c>
      <c r="G113" s="229" t="s">
        <v>953</v>
      </c>
      <c r="H113" s="229">
        <v>1.25856431303276</v>
      </c>
      <c r="I113" s="233">
        <f>'Cálculo PU'!V315</f>
        <v>0.69086052937168518</v>
      </c>
      <c r="J113" s="235">
        <f t="shared" si="6"/>
        <v>-0.56770378366107477</v>
      </c>
      <c r="L113" s="149">
        <v>7350</v>
      </c>
      <c r="M113" s="157">
        <v>43374</v>
      </c>
      <c r="N113" s="157">
        <v>46729</v>
      </c>
      <c r="O113" s="150" t="s">
        <v>952</v>
      </c>
      <c r="P113" s="150" t="s">
        <v>823</v>
      </c>
      <c r="Q113" s="150" t="s">
        <v>827</v>
      </c>
      <c r="R113" s="150">
        <v>1.254166644935</v>
      </c>
      <c r="S113" s="150">
        <f>'Cálculo PU'!O315</f>
        <v>1.3421668028340559</v>
      </c>
      <c r="T113" s="168">
        <f t="shared" si="7"/>
        <v>-8.8000157899055909E-2</v>
      </c>
      <c r="V113" s="149">
        <v>7338</v>
      </c>
      <c r="W113" s="157">
        <v>43374</v>
      </c>
      <c r="X113" s="157">
        <v>46729</v>
      </c>
      <c r="Y113" s="150" t="s">
        <v>952</v>
      </c>
      <c r="Z113" s="150" t="s">
        <v>823</v>
      </c>
      <c r="AA113" s="150" t="s">
        <v>954</v>
      </c>
      <c r="AB113" s="233">
        <v>1.57844938191122</v>
      </c>
      <c r="AC113" s="233">
        <f>'Cálculo PU'!U315</f>
        <v>0.92725006791103803</v>
      </c>
      <c r="AD113" s="168">
        <f t="shared" si="8"/>
        <v>0.65119931400018194</v>
      </c>
      <c r="AF113" s="149">
        <v>7328</v>
      </c>
      <c r="AG113" s="157">
        <v>43374</v>
      </c>
      <c r="AH113" s="157">
        <v>46729</v>
      </c>
      <c r="AI113" s="150" t="s">
        <v>952</v>
      </c>
      <c r="AJ113" s="150" t="s">
        <v>823</v>
      </c>
      <c r="AK113" s="150" t="s">
        <v>956</v>
      </c>
      <c r="AL113" s="233">
        <v>4.4790999119655597</v>
      </c>
      <c r="AM113" s="233">
        <f>'Cálculo PU'!T315</f>
        <v>5.63057419807385</v>
      </c>
      <c r="AN113" s="168">
        <f t="shared" si="9"/>
        <v>-1.1514742861082903</v>
      </c>
      <c r="AP113" s="149">
        <v>7336</v>
      </c>
      <c r="AQ113" s="157">
        <v>43374</v>
      </c>
      <c r="AR113" s="157">
        <v>46729</v>
      </c>
      <c r="AS113" s="150" t="s">
        <v>952</v>
      </c>
      <c r="AT113" s="150" t="s">
        <v>823</v>
      </c>
      <c r="AU113" s="150" t="s">
        <v>942</v>
      </c>
      <c r="AV113" s="233">
        <v>12.044991</v>
      </c>
      <c r="AW113" s="233">
        <f>'Cálculo PU'!Q315</f>
        <v>16.341899999999999</v>
      </c>
      <c r="AX113" s="168">
        <f t="shared" si="10"/>
        <v>-4.2969089999999994</v>
      </c>
      <c r="AZ113" s="149">
        <v>7337</v>
      </c>
      <c r="BA113" s="157">
        <v>43374</v>
      </c>
      <c r="BB113" s="157">
        <v>46729</v>
      </c>
      <c r="BC113" s="150" t="s">
        <v>952</v>
      </c>
      <c r="BD113" s="150" t="s">
        <v>823</v>
      </c>
      <c r="BE113" s="150" t="s">
        <v>943</v>
      </c>
      <c r="BF113" s="150">
        <v>2311</v>
      </c>
      <c r="BG113" s="238">
        <f>'Cálculo PU'!L315</f>
        <v>3003</v>
      </c>
      <c r="BH113" s="168">
        <f t="shared" si="11"/>
        <v>-692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113"/>
  <sheetViews>
    <sheetView showGridLines="0" zoomScale="85" zoomScaleNormal="85" workbookViewId="0">
      <selection activeCell="N16" sqref="N16"/>
    </sheetView>
  </sheetViews>
  <sheetFormatPr defaultRowHeight="15"/>
  <cols>
    <col min="3" max="3" width="14.42578125" bestFit="1" customWidth="1"/>
    <col min="4" max="4" width="13.28515625" customWidth="1"/>
    <col min="8" max="9" width="12.140625" style="230" bestFit="1" customWidth="1"/>
    <col min="10" max="10" width="16.140625" style="230" bestFit="1" customWidth="1"/>
    <col min="13" max="13" width="11.85546875" customWidth="1"/>
    <col min="14" max="14" width="10.85546875" bestFit="1" customWidth="1"/>
    <col min="18" max="19" width="12.140625" style="230" bestFit="1" customWidth="1"/>
    <col min="20" max="20" width="13.85546875" style="230" bestFit="1" customWidth="1"/>
    <col min="23" max="23" width="15.140625" customWidth="1"/>
    <col min="24" max="24" width="14.28515625" customWidth="1"/>
    <col min="28" max="29" width="12.140625" style="230" bestFit="1" customWidth="1"/>
    <col min="30" max="30" width="13.85546875" style="230" bestFit="1" customWidth="1"/>
    <col min="33" max="33" width="13.28515625" customWidth="1"/>
    <col min="34" max="34" width="10.85546875" bestFit="1" customWidth="1"/>
    <col min="38" max="39" width="10" style="230" bestFit="1" customWidth="1"/>
    <col min="40" max="40" width="10" bestFit="1" customWidth="1"/>
  </cols>
  <sheetData>
    <row r="1" spans="2:50" ht="15.75" thickBot="1"/>
    <row r="2" spans="2:50" s="164" customFormat="1">
      <c r="B2" s="162"/>
      <c r="C2" s="151" t="s">
        <v>83</v>
      </c>
      <c r="D2" s="163"/>
      <c r="E2" s="163"/>
      <c r="F2" s="163"/>
      <c r="G2" s="163"/>
      <c r="H2" s="231"/>
      <c r="I2" s="231"/>
      <c r="J2" s="234">
        <f>ABS(SUM(J3:J125))</f>
        <v>20578.573777571903</v>
      </c>
      <c r="L2" s="162"/>
      <c r="M2" s="151" t="s">
        <v>961</v>
      </c>
      <c r="N2" s="163"/>
      <c r="O2" s="163"/>
      <c r="P2" s="163"/>
      <c r="Q2" s="163"/>
      <c r="R2" s="231"/>
      <c r="S2" s="231"/>
      <c r="T2" s="234">
        <f>SUM(T3:T113)</f>
        <v>-20753.295320560606</v>
      </c>
      <c r="V2" s="162"/>
      <c r="W2" s="151" t="s">
        <v>964</v>
      </c>
      <c r="X2" s="163"/>
      <c r="Y2" s="163"/>
      <c r="Z2" s="163"/>
      <c r="AA2" s="163"/>
      <c r="AB2" s="231"/>
      <c r="AC2" s="231"/>
      <c r="AD2" s="234">
        <f>SUM(AD3:AD125)</f>
        <v>5.326228347257711E-11</v>
      </c>
      <c r="AG2" s="240" t="s">
        <v>84</v>
      </c>
      <c r="AL2" s="230"/>
      <c r="AM2" s="230"/>
      <c r="AN2" s="239">
        <f>SUM(AN3:AN113)</f>
        <v>-8.7449940237523389</v>
      </c>
      <c r="AQ2" s="240" t="s">
        <v>944</v>
      </c>
      <c r="AX2" s="242">
        <f>SUM(AX3:AX113)</f>
        <v>-76812</v>
      </c>
    </row>
    <row r="3" spans="2:50">
      <c r="B3" s="147">
        <v>3063</v>
      </c>
      <c r="C3" s="156">
        <v>43374</v>
      </c>
      <c r="D3" s="156">
        <v>43382</v>
      </c>
      <c r="E3" s="148" t="s">
        <v>959</v>
      </c>
      <c r="F3" s="148" t="s">
        <v>823</v>
      </c>
      <c r="G3" s="148" t="s">
        <v>960</v>
      </c>
      <c r="H3" s="232">
        <v>808.21470349839296</v>
      </c>
      <c r="I3" s="232">
        <f>'Cálculo PU'!V352</f>
        <v>493.11181181384001</v>
      </c>
      <c r="J3" s="235">
        <f>I3-H3</f>
        <v>-315.10289168455296</v>
      </c>
      <c r="L3" s="147">
        <v>3051</v>
      </c>
      <c r="M3" s="156">
        <v>43374</v>
      </c>
      <c r="N3" s="156">
        <v>43382</v>
      </c>
      <c r="O3" s="148" t="s">
        <v>959</v>
      </c>
      <c r="P3" s="148" t="s">
        <v>823</v>
      </c>
      <c r="Q3" s="148" t="s">
        <v>962</v>
      </c>
      <c r="R3" s="232">
        <v>808.92784229246001</v>
      </c>
      <c r="S3" s="232">
        <f>'Cálculo PU'!U352</f>
        <v>528.17724682331232</v>
      </c>
      <c r="T3" s="235">
        <f>S3-R3</f>
        <v>-280.7505954691477</v>
      </c>
      <c r="V3" s="147">
        <v>3042</v>
      </c>
      <c r="W3" s="156">
        <v>43374</v>
      </c>
      <c r="X3" s="156">
        <v>43382</v>
      </c>
      <c r="Y3" s="148" t="s">
        <v>959</v>
      </c>
      <c r="Z3" s="148" t="s">
        <v>823</v>
      </c>
      <c r="AA3" s="148" t="s">
        <v>963</v>
      </c>
      <c r="AB3" s="232">
        <v>810.72457999999904</v>
      </c>
      <c r="AC3" s="232">
        <f>'Cálculo PU'!T352</f>
        <v>810.72457999999995</v>
      </c>
      <c r="AD3" s="235">
        <f>AC3-AB3</f>
        <v>9.0949470177292824E-13</v>
      </c>
      <c r="AF3">
        <v>3062</v>
      </c>
      <c r="AG3" s="215">
        <v>43374</v>
      </c>
      <c r="AH3" s="215">
        <v>43382</v>
      </c>
      <c r="AI3" t="s">
        <v>959</v>
      </c>
      <c r="AJ3" t="s">
        <v>823</v>
      </c>
      <c r="AK3" t="s">
        <v>827</v>
      </c>
      <c r="AL3" s="230">
        <v>1.000882363054</v>
      </c>
      <c r="AM3" s="230">
        <f>'Cálculo PU'!O352</f>
        <v>1.0711105152409333</v>
      </c>
      <c r="AN3" s="192">
        <f>AL3-AM3</f>
        <v>-7.0228152186933235E-2</v>
      </c>
      <c r="AP3">
        <v>3050</v>
      </c>
      <c r="AQ3" s="215">
        <v>43374</v>
      </c>
      <c r="AR3" s="215">
        <v>43382</v>
      </c>
      <c r="AS3" t="s">
        <v>959</v>
      </c>
      <c r="AT3" t="s">
        <v>823</v>
      </c>
      <c r="AU3" t="s">
        <v>943</v>
      </c>
      <c r="AV3">
        <v>9</v>
      </c>
      <c r="AW3" s="241">
        <f>'Cálculo PU'!L352</f>
        <v>701</v>
      </c>
      <c r="AX3" s="241">
        <f>AV3-AW3</f>
        <v>-692</v>
      </c>
    </row>
    <row r="4" spans="2:50">
      <c r="B4" s="147">
        <v>3102</v>
      </c>
      <c r="C4" s="156">
        <v>43374</v>
      </c>
      <c r="D4" s="156">
        <v>43416</v>
      </c>
      <c r="E4" s="148" t="s">
        <v>959</v>
      </c>
      <c r="F4" s="148" t="s">
        <v>823</v>
      </c>
      <c r="G4" s="148" t="s">
        <v>960</v>
      </c>
      <c r="H4" s="232">
        <v>771.35777157472398</v>
      </c>
      <c r="I4" s="232">
        <f>'Cálculo PU'!V353</f>
        <v>466.90082251937406</v>
      </c>
      <c r="J4" s="235">
        <f t="shared" ref="J4:J67" si="0">I4-H4</f>
        <v>-304.45694905534992</v>
      </c>
      <c r="L4" s="147">
        <v>3090</v>
      </c>
      <c r="M4" s="156">
        <v>43374</v>
      </c>
      <c r="N4" s="156">
        <v>43416</v>
      </c>
      <c r="O4" s="148" t="s">
        <v>959</v>
      </c>
      <c r="P4" s="148" t="s">
        <v>823</v>
      </c>
      <c r="Q4" s="148" t="s">
        <v>962</v>
      </c>
      <c r="R4" s="232">
        <v>773.70465040687498</v>
      </c>
      <c r="S4" s="232">
        <f>'Cálculo PU'!U353</f>
        <v>501.18173261386607</v>
      </c>
      <c r="T4" s="235">
        <f t="shared" ref="T4:T67" si="1">S4-R4</f>
        <v>-272.5229177930089</v>
      </c>
      <c r="V4" s="147">
        <v>3081</v>
      </c>
      <c r="W4" s="156">
        <v>43374</v>
      </c>
      <c r="X4" s="156">
        <v>43416</v>
      </c>
      <c r="Y4" s="148" t="s">
        <v>959</v>
      </c>
      <c r="Z4" s="148" t="s">
        <v>823</v>
      </c>
      <c r="AA4" s="148" t="s">
        <v>963</v>
      </c>
      <c r="AB4" s="232">
        <v>779.70107199999904</v>
      </c>
      <c r="AC4" s="232">
        <f>'Cálculo PU'!T353</f>
        <v>779.70107199999995</v>
      </c>
      <c r="AD4" s="235">
        <f t="shared" ref="AD4:AD67" si="2">AC4-AB4</f>
        <v>9.0949470177292824E-13</v>
      </c>
      <c r="AF4">
        <v>3101</v>
      </c>
      <c r="AG4" s="215">
        <v>43374</v>
      </c>
      <c r="AH4" s="215">
        <v>43416</v>
      </c>
      <c r="AI4" t="s">
        <v>959</v>
      </c>
      <c r="AJ4" t="s">
        <v>823</v>
      </c>
      <c r="AK4" t="s">
        <v>827</v>
      </c>
      <c r="AL4" s="230">
        <v>1.003042529574</v>
      </c>
      <c r="AM4" s="230">
        <f>'Cálculo PU'!O353</f>
        <v>1.0734222525235957</v>
      </c>
      <c r="AN4" s="192">
        <f t="shared" ref="AN4:AN67" si="3">AL4-AM4</f>
        <v>-7.0379722949595713E-2</v>
      </c>
      <c r="AP4">
        <v>3089</v>
      </c>
      <c r="AQ4" s="215">
        <v>43374</v>
      </c>
      <c r="AR4" s="215">
        <v>43416</v>
      </c>
      <c r="AS4" t="s">
        <v>959</v>
      </c>
      <c r="AT4" t="s">
        <v>823</v>
      </c>
      <c r="AU4" t="s">
        <v>943</v>
      </c>
      <c r="AV4">
        <v>31</v>
      </c>
      <c r="AW4" s="241">
        <f>'Cálculo PU'!L353</f>
        <v>723</v>
      </c>
      <c r="AX4" s="241">
        <f t="shared" ref="AX4:AX67" si="4">AV4-AW4</f>
        <v>-692</v>
      </c>
    </row>
    <row r="5" spans="2:50">
      <c r="B5" s="147">
        <v>3141</v>
      </c>
      <c r="C5" s="156">
        <v>43374</v>
      </c>
      <c r="D5" s="156">
        <v>43444</v>
      </c>
      <c r="E5" s="148" t="s">
        <v>959</v>
      </c>
      <c r="F5" s="148" t="s">
        <v>823</v>
      </c>
      <c r="G5" s="148" t="s">
        <v>960</v>
      </c>
      <c r="H5" s="232">
        <v>770.387329641223</v>
      </c>
      <c r="I5" s="232">
        <f>'Cálculo PU'!V354</f>
        <v>463.01495911599852</v>
      </c>
      <c r="J5" s="235">
        <f t="shared" si="0"/>
        <v>-307.37237052522448</v>
      </c>
      <c r="L5" s="147">
        <v>3129</v>
      </c>
      <c r="M5" s="156">
        <v>43374</v>
      </c>
      <c r="N5" s="156">
        <v>43444</v>
      </c>
      <c r="O5" s="148" t="s">
        <v>959</v>
      </c>
      <c r="P5" s="148" t="s">
        <v>823</v>
      </c>
      <c r="Q5" s="148" t="s">
        <v>962</v>
      </c>
      <c r="R5" s="232">
        <v>774.24724963690801</v>
      </c>
      <c r="S5" s="232">
        <f>'Cálculo PU'!U354</f>
        <v>497.98562757536411</v>
      </c>
      <c r="T5" s="235">
        <f t="shared" si="1"/>
        <v>-276.2616220615439</v>
      </c>
      <c r="V5" s="147">
        <v>3120</v>
      </c>
      <c r="W5" s="156">
        <v>43374</v>
      </c>
      <c r="X5" s="156">
        <v>43444</v>
      </c>
      <c r="Y5" s="148" t="s">
        <v>959</v>
      </c>
      <c r="Z5" s="148" t="s">
        <v>823</v>
      </c>
      <c r="AA5" s="148" t="s">
        <v>963</v>
      </c>
      <c r="AB5" s="232">
        <v>784.25619200000006</v>
      </c>
      <c r="AC5" s="232">
        <f>'Cálculo PU'!T354</f>
        <v>784.25619200000006</v>
      </c>
      <c r="AD5" s="235">
        <f t="shared" si="2"/>
        <v>0</v>
      </c>
      <c r="AF5">
        <v>3140</v>
      </c>
      <c r="AG5" s="215">
        <v>43374</v>
      </c>
      <c r="AH5" s="215">
        <v>43444</v>
      </c>
      <c r="AI5" t="s">
        <v>959</v>
      </c>
      <c r="AJ5" t="s">
        <v>823</v>
      </c>
      <c r="AK5" t="s">
        <v>827</v>
      </c>
      <c r="AL5" s="230">
        <v>1.0050103627710001</v>
      </c>
      <c r="AM5" s="230">
        <f>'Cálculo PU'!O354</f>
        <v>1.0755281611767633</v>
      </c>
      <c r="AN5" s="192">
        <f t="shared" si="3"/>
        <v>-7.0517798405763221E-2</v>
      </c>
      <c r="AP5">
        <v>3128</v>
      </c>
      <c r="AQ5" s="215">
        <v>43374</v>
      </c>
      <c r="AR5" s="215">
        <v>43444</v>
      </c>
      <c r="AS5" t="s">
        <v>959</v>
      </c>
      <c r="AT5" t="s">
        <v>823</v>
      </c>
      <c r="AU5" t="s">
        <v>943</v>
      </c>
      <c r="AV5">
        <v>51</v>
      </c>
      <c r="AW5" s="241">
        <f>'Cálculo PU'!L354</f>
        <v>743</v>
      </c>
      <c r="AX5" s="241">
        <f t="shared" si="4"/>
        <v>-692</v>
      </c>
    </row>
    <row r="6" spans="2:50">
      <c r="B6" s="147">
        <v>3180</v>
      </c>
      <c r="C6" s="156">
        <v>43374</v>
      </c>
      <c r="D6" s="156">
        <v>43474</v>
      </c>
      <c r="E6" s="148" t="s">
        <v>959</v>
      </c>
      <c r="F6" s="148" t="s">
        <v>823</v>
      </c>
      <c r="G6" s="148" t="s">
        <v>960</v>
      </c>
      <c r="H6" s="232">
        <v>821.97574994904403</v>
      </c>
      <c r="I6" s="232">
        <f>'Cálculo PU'!V355</f>
        <v>490.71182341835521</v>
      </c>
      <c r="J6" s="235">
        <f t="shared" si="0"/>
        <v>-331.26392653068882</v>
      </c>
      <c r="L6" s="147">
        <v>3168</v>
      </c>
      <c r="M6" s="156">
        <v>43374</v>
      </c>
      <c r="N6" s="156">
        <v>43474</v>
      </c>
      <c r="O6" s="148" t="s">
        <v>959</v>
      </c>
      <c r="P6" s="148" t="s">
        <v>823</v>
      </c>
      <c r="Q6" s="148" t="s">
        <v>962</v>
      </c>
      <c r="R6" s="232">
        <v>827.71483114997397</v>
      </c>
      <c r="S6" s="232">
        <f>'Cálculo PU'!U355</f>
        <v>528.80980676318723</v>
      </c>
      <c r="T6" s="235">
        <f t="shared" si="1"/>
        <v>-298.90502438678675</v>
      </c>
      <c r="V6" s="147">
        <v>3159</v>
      </c>
      <c r="W6" s="156">
        <v>43374</v>
      </c>
      <c r="X6" s="156">
        <v>43474</v>
      </c>
      <c r="Y6" s="148" t="s">
        <v>959</v>
      </c>
      <c r="Z6" s="148" t="s">
        <v>823</v>
      </c>
      <c r="AA6" s="148" t="s">
        <v>963</v>
      </c>
      <c r="AB6" s="232">
        <v>843.08066299999905</v>
      </c>
      <c r="AC6" s="232">
        <f>'Cálculo PU'!T355</f>
        <v>843.08066299999996</v>
      </c>
      <c r="AD6" s="235">
        <f t="shared" si="2"/>
        <v>9.0949470177292824E-13</v>
      </c>
      <c r="AF6">
        <v>3179</v>
      </c>
      <c r="AG6" s="215">
        <v>43374</v>
      </c>
      <c r="AH6" s="215">
        <v>43474</v>
      </c>
      <c r="AI6" t="s">
        <v>959</v>
      </c>
      <c r="AJ6" t="s">
        <v>823</v>
      </c>
      <c r="AK6" t="s">
        <v>827</v>
      </c>
      <c r="AL6" s="230">
        <v>1.006982056589</v>
      </c>
      <c r="AM6" s="230">
        <f>'Cálculo PU'!O355</f>
        <v>1.0776382013366563</v>
      </c>
      <c r="AN6" s="192">
        <f t="shared" si="3"/>
        <v>-7.0656144747656358E-2</v>
      </c>
      <c r="AP6">
        <v>3167</v>
      </c>
      <c r="AQ6" s="215">
        <v>43374</v>
      </c>
      <c r="AR6" s="215">
        <v>43474</v>
      </c>
      <c r="AS6" t="s">
        <v>959</v>
      </c>
      <c r="AT6" t="s">
        <v>823</v>
      </c>
      <c r="AU6" t="s">
        <v>943</v>
      </c>
      <c r="AV6">
        <v>71</v>
      </c>
      <c r="AW6" s="241">
        <f>'Cálculo PU'!L355</f>
        <v>763</v>
      </c>
      <c r="AX6" s="241">
        <f t="shared" si="4"/>
        <v>-692</v>
      </c>
    </row>
    <row r="7" spans="2:50">
      <c r="B7" s="147">
        <v>3219</v>
      </c>
      <c r="C7" s="156">
        <v>43374</v>
      </c>
      <c r="D7" s="156">
        <v>43504</v>
      </c>
      <c r="E7" s="148" t="s">
        <v>959</v>
      </c>
      <c r="F7" s="148" t="s">
        <v>823</v>
      </c>
      <c r="G7" s="148" t="s">
        <v>960</v>
      </c>
      <c r="H7" s="232">
        <v>792.25014977544504</v>
      </c>
      <c r="I7" s="232">
        <f>'Cálculo PU'!V356</f>
        <v>469.52559164412719</v>
      </c>
      <c r="J7" s="235">
        <f t="shared" si="0"/>
        <v>-322.72455813131785</v>
      </c>
      <c r="L7" s="147">
        <v>3207</v>
      </c>
      <c r="M7" s="156">
        <v>43374</v>
      </c>
      <c r="N7" s="156">
        <v>43504</v>
      </c>
      <c r="O7" s="148" t="s">
        <v>959</v>
      </c>
      <c r="P7" s="148" t="s">
        <v>823</v>
      </c>
      <c r="Q7" s="148" t="s">
        <v>962</v>
      </c>
      <c r="R7" s="232">
        <v>799.503507168483</v>
      </c>
      <c r="S7" s="232">
        <f>'Cálculo PU'!U356</f>
        <v>507.07074876776898</v>
      </c>
      <c r="T7" s="235">
        <f t="shared" si="1"/>
        <v>-292.43275840071402</v>
      </c>
      <c r="V7" s="147">
        <v>3198</v>
      </c>
      <c r="W7" s="156">
        <v>43374</v>
      </c>
      <c r="X7" s="156">
        <v>43504</v>
      </c>
      <c r="Y7" s="148" t="s">
        <v>959</v>
      </c>
      <c r="Z7" s="148" t="s">
        <v>823</v>
      </c>
      <c r="AA7" s="148" t="s">
        <v>963</v>
      </c>
      <c r="AB7" s="232">
        <v>819.45331399999895</v>
      </c>
      <c r="AC7" s="232">
        <f>'Cálculo PU'!T356</f>
        <v>819.45331399999998</v>
      </c>
      <c r="AD7" s="235">
        <f t="shared" si="2"/>
        <v>1.0231815394945443E-12</v>
      </c>
      <c r="AF7">
        <v>3218</v>
      </c>
      <c r="AG7" s="215">
        <v>43374</v>
      </c>
      <c r="AH7" s="215">
        <v>43504</v>
      </c>
      <c r="AI7" t="s">
        <v>959</v>
      </c>
      <c r="AJ7" t="s">
        <v>823</v>
      </c>
      <c r="AK7" t="s">
        <v>827</v>
      </c>
      <c r="AL7" s="230">
        <v>1.0091553878470001</v>
      </c>
      <c r="AM7" s="230">
        <f>'Cálculo PU'!O356</f>
        <v>1.0799640270771413</v>
      </c>
      <c r="AN7" s="192">
        <f t="shared" si="3"/>
        <v>-7.0808639230141246E-2</v>
      </c>
      <c r="AP7">
        <v>3206</v>
      </c>
      <c r="AQ7" s="215">
        <v>43374</v>
      </c>
      <c r="AR7" s="215">
        <v>43504</v>
      </c>
      <c r="AS7" t="s">
        <v>959</v>
      </c>
      <c r="AT7" t="s">
        <v>823</v>
      </c>
      <c r="AU7" t="s">
        <v>943</v>
      </c>
      <c r="AV7">
        <v>93</v>
      </c>
      <c r="AW7" s="241">
        <f>'Cálculo PU'!L356</f>
        <v>785</v>
      </c>
      <c r="AX7" s="241">
        <f t="shared" si="4"/>
        <v>-692</v>
      </c>
    </row>
    <row r="8" spans="2:50">
      <c r="B8" s="147">
        <v>3258</v>
      </c>
      <c r="C8" s="156">
        <v>43374</v>
      </c>
      <c r="D8" s="156">
        <v>43536</v>
      </c>
      <c r="E8" s="148" t="s">
        <v>959</v>
      </c>
      <c r="F8" s="148" t="s">
        <v>823</v>
      </c>
      <c r="G8" s="148" t="s">
        <v>960</v>
      </c>
      <c r="H8" s="232">
        <v>790.28996096820595</v>
      </c>
      <c r="I8" s="232">
        <f>'Cálculo PU'!V357</f>
        <v>465.33123740992119</v>
      </c>
      <c r="J8" s="235">
        <f t="shared" si="0"/>
        <v>-324.95872355828476</v>
      </c>
      <c r="L8" s="147">
        <v>3246</v>
      </c>
      <c r="M8" s="156">
        <v>43374</v>
      </c>
      <c r="N8" s="156">
        <v>43536</v>
      </c>
      <c r="O8" s="148" t="s">
        <v>959</v>
      </c>
      <c r="P8" s="148" t="s">
        <v>823</v>
      </c>
      <c r="Q8" s="148" t="s">
        <v>962</v>
      </c>
      <c r="R8" s="232">
        <v>799.09000852192401</v>
      </c>
      <c r="S8" s="232">
        <f>'Cálculo PU'!U357</f>
        <v>503.52691425256791</v>
      </c>
      <c r="T8" s="235">
        <f t="shared" si="1"/>
        <v>-295.5630942693561</v>
      </c>
      <c r="V8" s="147">
        <v>3237</v>
      </c>
      <c r="W8" s="156">
        <v>43374</v>
      </c>
      <c r="X8" s="156">
        <v>43536</v>
      </c>
      <c r="Y8" s="148" t="s">
        <v>959</v>
      </c>
      <c r="Z8" s="148" t="s">
        <v>823</v>
      </c>
      <c r="AA8" s="148" t="s">
        <v>963</v>
      </c>
      <c r="AB8" s="232">
        <v>823.817363</v>
      </c>
      <c r="AC8" s="232">
        <f>'Cálculo PU'!T357</f>
        <v>823.817363</v>
      </c>
      <c r="AD8" s="235">
        <f t="shared" si="2"/>
        <v>0</v>
      </c>
      <c r="AF8">
        <v>3257</v>
      </c>
      <c r="AG8" s="215">
        <v>43374</v>
      </c>
      <c r="AH8" s="215">
        <v>43536</v>
      </c>
      <c r="AI8" t="s">
        <v>959</v>
      </c>
      <c r="AJ8" t="s">
        <v>823</v>
      </c>
      <c r="AK8" t="s">
        <v>827</v>
      </c>
      <c r="AL8" s="230">
        <v>1.0111352136409999</v>
      </c>
      <c r="AM8" s="230">
        <f>'Cálculo PU'!O357</f>
        <v>1.0820827698033932</v>
      </c>
      <c r="AN8" s="192">
        <f t="shared" si="3"/>
        <v>-7.0947556162393344E-2</v>
      </c>
      <c r="AP8">
        <v>3245</v>
      </c>
      <c r="AQ8" s="215">
        <v>43374</v>
      </c>
      <c r="AR8" s="215">
        <v>43536</v>
      </c>
      <c r="AS8" t="s">
        <v>959</v>
      </c>
      <c r="AT8" t="s">
        <v>823</v>
      </c>
      <c r="AU8" t="s">
        <v>943</v>
      </c>
      <c r="AV8">
        <v>113</v>
      </c>
      <c r="AW8" s="241">
        <f>'Cálculo PU'!L357</f>
        <v>805</v>
      </c>
      <c r="AX8" s="241">
        <f t="shared" si="4"/>
        <v>-692</v>
      </c>
    </row>
    <row r="9" spans="2:50">
      <c r="B9" s="147">
        <v>3297</v>
      </c>
      <c r="C9" s="156">
        <v>43374</v>
      </c>
      <c r="D9" s="156">
        <v>43563</v>
      </c>
      <c r="E9" s="148" t="s">
        <v>959</v>
      </c>
      <c r="F9" s="148" t="s">
        <v>823</v>
      </c>
      <c r="G9" s="148" t="s">
        <v>960</v>
      </c>
      <c r="H9" s="232">
        <v>782.16245583711202</v>
      </c>
      <c r="I9" s="232">
        <f>'Cálculo PU'!V358</f>
        <v>457.78335266982094</v>
      </c>
      <c r="J9" s="235">
        <f t="shared" si="0"/>
        <v>-324.37910316729108</v>
      </c>
      <c r="L9" s="147">
        <v>3285</v>
      </c>
      <c r="M9" s="156">
        <v>43374</v>
      </c>
      <c r="N9" s="156">
        <v>43563</v>
      </c>
      <c r="O9" s="148" t="s">
        <v>959</v>
      </c>
      <c r="P9" s="148" t="s">
        <v>823</v>
      </c>
      <c r="Q9" s="148" t="s">
        <v>962</v>
      </c>
      <c r="R9" s="232">
        <v>792.34593390915995</v>
      </c>
      <c r="S9" s="232">
        <f>'Cálculo PU'!U358</f>
        <v>496.28266958584345</v>
      </c>
      <c r="T9" s="235">
        <f t="shared" si="1"/>
        <v>-296.0632643233165</v>
      </c>
      <c r="V9" s="147">
        <v>3276</v>
      </c>
      <c r="W9" s="156">
        <v>43374</v>
      </c>
      <c r="X9" s="156">
        <v>43563</v>
      </c>
      <c r="Y9" s="148" t="s">
        <v>959</v>
      </c>
      <c r="Z9" s="148" t="s">
        <v>823</v>
      </c>
      <c r="AA9" s="148" t="s">
        <v>963</v>
      </c>
      <c r="AB9" s="232">
        <v>821.52405499999895</v>
      </c>
      <c r="AC9" s="232">
        <f>'Cálculo PU'!T358</f>
        <v>821.52405499999998</v>
      </c>
      <c r="AD9" s="235">
        <f t="shared" si="2"/>
        <v>1.0231815394945443E-12</v>
      </c>
      <c r="AF9">
        <v>3296</v>
      </c>
      <c r="AG9" s="215">
        <v>43374</v>
      </c>
      <c r="AH9" s="215">
        <v>43563</v>
      </c>
      <c r="AI9" t="s">
        <v>959</v>
      </c>
      <c r="AJ9" t="s">
        <v>823</v>
      </c>
      <c r="AK9" t="s">
        <v>827</v>
      </c>
      <c r="AL9" s="230">
        <v>1.013019645722</v>
      </c>
      <c r="AM9" s="230">
        <f>'Cálculo PU'!O358</f>
        <v>1.0840994253973897</v>
      </c>
      <c r="AN9" s="192">
        <f t="shared" si="3"/>
        <v>-7.1079779675389698E-2</v>
      </c>
      <c r="AP9">
        <v>3284</v>
      </c>
      <c r="AQ9" s="215">
        <v>43374</v>
      </c>
      <c r="AR9" s="215">
        <v>43563</v>
      </c>
      <c r="AS9" t="s">
        <v>959</v>
      </c>
      <c r="AT9" t="s">
        <v>823</v>
      </c>
      <c r="AU9" t="s">
        <v>943</v>
      </c>
      <c r="AV9">
        <v>132</v>
      </c>
      <c r="AW9" s="241">
        <f>'Cálculo PU'!L358</f>
        <v>824</v>
      </c>
      <c r="AX9" s="241">
        <f t="shared" si="4"/>
        <v>-692</v>
      </c>
    </row>
    <row r="10" spans="2:50">
      <c r="B10" s="147">
        <v>3336</v>
      </c>
      <c r="C10" s="156">
        <v>43374</v>
      </c>
      <c r="D10" s="156">
        <v>43594</v>
      </c>
      <c r="E10" s="148" t="s">
        <v>959</v>
      </c>
      <c r="F10" s="148" t="s">
        <v>823</v>
      </c>
      <c r="G10" s="148" t="s">
        <v>960</v>
      </c>
      <c r="H10" s="232">
        <v>753.65838886373194</v>
      </c>
      <c r="I10" s="232">
        <f>'Cálculo PU'!V359</f>
        <v>438.31552397881063</v>
      </c>
      <c r="J10" s="235">
        <f t="shared" si="0"/>
        <v>-315.34286488492131</v>
      </c>
      <c r="L10" s="147">
        <v>3324</v>
      </c>
      <c r="M10" s="156">
        <v>43374</v>
      </c>
      <c r="N10" s="156">
        <v>43594</v>
      </c>
      <c r="O10" s="148" t="s">
        <v>959</v>
      </c>
      <c r="P10" s="148" t="s">
        <v>823</v>
      </c>
      <c r="Q10" s="148" t="s">
        <v>962</v>
      </c>
      <c r="R10" s="232">
        <v>765.04354838115205</v>
      </c>
      <c r="S10" s="232">
        <f>'Cálculo PU'!U359</f>
        <v>476.15650128494366</v>
      </c>
      <c r="T10" s="235">
        <f t="shared" si="1"/>
        <v>-288.88704709620839</v>
      </c>
      <c r="V10" s="147">
        <v>3315</v>
      </c>
      <c r="W10" s="156">
        <v>43374</v>
      </c>
      <c r="X10" s="156">
        <v>43594</v>
      </c>
      <c r="Y10" s="148" t="s">
        <v>959</v>
      </c>
      <c r="Z10" s="148" t="s">
        <v>823</v>
      </c>
      <c r="AA10" s="148" t="s">
        <v>963</v>
      </c>
      <c r="AB10" s="232">
        <v>798.46682599999895</v>
      </c>
      <c r="AC10" s="232">
        <f>'Cálculo PU'!T359</f>
        <v>798.46682599999997</v>
      </c>
      <c r="AD10" s="235">
        <f t="shared" si="2"/>
        <v>1.0231815394945443E-12</v>
      </c>
      <c r="AF10">
        <v>3335</v>
      </c>
      <c r="AG10" s="215">
        <v>43374</v>
      </c>
      <c r="AH10" s="215">
        <v>43594</v>
      </c>
      <c r="AI10" t="s">
        <v>959</v>
      </c>
      <c r="AJ10" t="s">
        <v>823</v>
      </c>
      <c r="AK10" t="s">
        <v>827</v>
      </c>
      <c r="AL10" s="230">
        <v>1.0151065252980001</v>
      </c>
      <c r="AM10" s="230">
        <f>'Cálculo PU'!O359</f>
        <v>1.0863327334670501</v>
      </c>
      <c r="AN10" s="192">
        <f t="shared" si="3"/>
        <v>-7.1226208169050009E-2</v>
      </c>
      <c r="AP10">
        <v>3323</v>
      </c>
      <c r="AQ10" s="215">
        <v>43374</v>
      </c>
      <c r="AR10" s="215">
        <v>43594</v>
      </c>
      <c r="AS10" t="s">
        <v>959</v>
      </c>
      <c r="AT10" t="s">
        <v>823</v>
      </c>
      <c r="AU10" t="s">
        <v>943</v>
      </c>
      <c r="AV10">
        <v>153</v>
      </c>
      <c r="AW10" s="241">
        <f>'Cálculo PU'!L359</f>
        <v>845</v>
      </c>
      <c r="AX10" s="241">
        <f t="shared" si="4"/>
        <v>-692</v>
      </c>
    </row>
    <row r="11" spans="2:50">
      <c r="B11" s="147">
        <v>3375</v>
      </c>
      <c r="C11" s="156">
        <v>43374</v>
      </c>
      <c r="D11" s="156">
        <v>43626</v>
      </c>
      <c r="E11" s="148" t="s">
        <v>959</v>
      </c>
      <c r="F11" s="148" t="s">
        <v>823</v>
      </c>
      <c r="G11" s="148" t="s">
        <v>960</v>
      </c>
      <c r="H11" s="232">
        <v>730.93831117439902</v>
      </c>
      <c r="I11" s="232">
        <f>'Cálculo PU'!V360</f>
        <v>422.36754511727713</v>
      </c>
      <c r="J11" s="235">
        <f t="shared" si="0"/>
        <v>-308.57076605712189</v>
      </c>
      <c r="L11" s="147">
        <v>3363</v>
      </c>
      <c r="M11" s="156">
        <v>43374</v>
      </c>
      <c r="N11" s="156">
        <v>43626</v>
      </c>
      <c r="O11" s="148" t="s">
        <v>959</v>
      </c>
      <c r="P11" s="148" t="s">
        <v>823</v>
      </c>
      <c r="Q11" s="148" t="s">
        <v>962</v>
      </c>
      <c r="R11" s="232">
        <v>743.58163715090404</v>
      </c>
      <c r="S11" s="232">
        <f>'Cálculo PU'!U360</f>
        <v>459.82196888400392</v>
      </c>
      <c r="T11" s="235">
        <f t="shared" si="1"/>
        <v>-283.75966826690012</v>
      </c>
      <c r="V11" s="147">
        <v>3354</v>
      </c>
      <c r="W11" s="156">
        <v>43374</v>
      </c>
      <c r="X11" s="156">
        <v>43626</v>
      </c>
      <c r="Y11" s="148" t="s">
        <v>959</v>
      </c>
      <c r="Z11" s="148" t="s">
        <v>823</v>
      </c>
      <c r="AA11" s="148" t="s">
        <v>963</v>
      </c>
      <c r="AB11" s="232">
        <v>781.59492999999895</v>
      </c>
      <c r="AC11" s="232">
        <f>'Cálculo PU'!T360</f>
        <v>781.59492999999998</v>
      </c>
      <c r="AD11" s="235">
        <f t="shared" si="2"/>
        <v>1.0231815394945443E-12</v>
      </c>
      <c r="AF11">
        <v>3374</v>
      </c>
      <c r="AG11" s="215">
        <v>43374</v>
      </c>
      <c r="AH11" s="215">
        <v>43626</v>
      </c>
      <c r="AI11" t="s">
        <v>959</v>
      </c>
      <c r="AJ11" t="s">
        <v>823</v>
      </c>
      <c r="AK11" t="s">
        <v>827</v>
      </c>
      <c r="AL11" s="230">
        <v>1.017297391289</v>
      </c>
      <c r="AM11" s="230">
        <f>'Cálculo PU'!O360</f>
        <v>1.088677324287137</v>
      </c>
      <c r="AN11" s="192">
        <f t="shared" si="3"/>
        <v>-7.1379932998137052E-2</v>
      </c>
      <c r="AP11">
        <v>3362</v>
      </c>
      <c r="AQ11" s="215">
        <v>43374</v>
      </c>
      <c r="AR11" s="215">
        <v>43626</v>
      </c>
      <c r="AS11" t="s">
        <v>959</v>
      </c>
      <c r="AT11" t="s">
        <v>823</v>
      </c>
      <c r="AU11" t="s">
        <v>943</v>
      </c>
      <c r="AV11">
        <v>175</v>
      </c>
      <c r="AW11" s="241">
        <f>'Cálculo PU'!L360</f>
        <v>867</v>
      </c>
      <c r="AX11" s="241">
        <f t="shared" si="4"/>
        <v>-692</v>
      </c>
    </row>
    <row r="12" spans="2:50">
      <c r="B12" s="147">
        <v>3414</v>
      </c>
      <c r="C12" s="156">
        <v>43374</v>
      </c>
      <c r="D12" s="156">
        <v>43654</v>
      </c>
      <c r="E12" s="148" t="s">
        <v>959</v>
      </c>
      <c r="F12" s="148" t="s">
        <v>823</v>
      </c>
      <c r="G12" s="148" t="s">
        <v>960</v>
      </c>
      <c r="H12" s="232">
        <v>734.46745849847298</v>
      </c>
      <c r="I12" s="232">
        <f>'Cálculo PU'!V361</f>
        <v>422.19749257292688</v>
      </c>
      <c r="J12" s="235">
        <f t="shared" si="0"/>
        <v>-312.2699659255461</v>
      </c>
      <c r="L12" s="147">
        <v>3402</v>
      </c>
      <c r="M12" s="156">
        <v>43374</v>
      </c>
      <c r="N12" s="156">
        <v>43654</v>
      </c>
      <c r="O12" s="148" t="s">
        <v>959</v>
      </c>
      <c r="P12" s="148" t="s">
        <v>823</v>
      </c>
      <c r="Q12" s="148" t="s">
        <v>962</v>
      </c>
      <c r="R12" s="232">
        <v>748.56431842139898</v>
      </c>
      <c r="S12" s="232">
        <f>'Cálculo PU'!U361</f>
        <v>460.49345233510996</v>
      </c>
      <c r="T12" s="235">
        <f t="shared" si="1"/>
        <v>-288.07086608628902</v>
      </c>
      <c r="V12" s="147">
        <v>3393</v>
      </c>
      <c r="W12" s="156">
        <v>43374</v>
      </c>
      <c r="X12" s="156">
        <v>43654</v>
      </c>
      <c r="Y12" s="148" t="s">
        <v>959</v>
      </c>
      <c r="Z12" s="148" t="s">
        <v>823</v>
      </c>
      <c r="AA12" s="148" t="s">
        <v>963</v>
      </c>
      <c r="AB12" s="232">
        <v>791.78900799999894</v>
      </c>
      <c r="AC12" s="232">
        <f>'Cálculo PU'!T361</f>
        <v>791.78900799999997</v>
      </c>
      <c r="AD12" s="235">
        <f t="shared" si="2"/>
        <v>1.0231815394945443E-12</v>
      </c>
      <c r="AF12">
        <v>3413</v>
      </c>
      <c r="AG12" s="215">
        <v>43374</v>
      </c>
      <c r="AH12" s="215">
        <v>43654</v>
      </c>
      <c r="AI12" t="s">
        <v>959</v>
      </c>
      <c r="AJ12" t="s">
        <v>823</v>
      </c>
      <c r="AK12" t="s">
        <v>827</v>
      </c>
      <c r="AL12" s="230">
        <v>1.0191933076949999</v>
      </c>
      <c r="AM12" s="230">
        <f>'Cálculo PU'!O361</f>
        <v>1.0907062700178594</v>
      </c>
      <c r="AN12" s="192">
        <f t="shared" si="3"/>
        <v>-7.1512962322859419E-2</v>
      </c>
      <c r="AP12">
        <v>3401</v>
      </c>
      <c r="AQ12" s="215">
        <v>43374</v>
      </c>
      <c r="AR12" s="215">
        <v>43654</v>
      </c>
      <c r="AS12" t="s">
        <v>959</v>
      </c>
      <c r="AT12" t="s">
        <v>823</v>
      </c>
      <c r="AU12" t="s">
        <v>943</v>
      </c>
      <c r="AV12">
        <v>194</v>
      </c>
      <c r="AW12" s="241">
        <f>'Cálculo PU'!L361</f>
        <v>886</v>
      </c>
      <c r="AX12" s="241">
        <f t="shared" si="4"/>
        <v>-692</v>
      </c>
    </row>
    <row r="13" spans="2:50">
      <c r="B13" s="147">
        <v>3453</v>
      </c>
      <c r="C13" s="156">
        <v>43374</v>
      </c>
      <c r="D13" s="156">
        <v>43685</v>
      </c>
      <c r="E13" s="148" t="s">
        <v>959</v>
      </c>
      <c r="F13" s="148" t="s">
        <v>823</v>
      </c>
      <c r="G13" s="148" t="s">
        <v>960</v>
      </c>
      <c r="H13" s="232">
        <v>695.33800618512396</v>
      </c>
      <c r="I13" s="232">
        <f>'Cálculo PU'!V362</f>
        <v>397.37076090105609</v>
      </c>
      <c r="J13" s="235">
        <f t="shared" si="0"/>
        <v>-297.96724528406787</v>
      </c>
      <c r="L13" s="147">
        <v>3441</v>
      </c>
      <c r="M13" s="156">
        <v>43374</v>
      </c>
      <c r="N13" s="156">
        <v>43685</v>
      </c>
      <c r="O13" s="148" t="s">
        <v>959</v>
      </c>
      <c r="P13" s="148" t="s">
        <v>823</v>
      </c>
      <c r="Q13" s="148" t="s">
        <v>962</v>
      </c>
      <c r="R13" s="232">
        <v>710.282970271522</v>
      </c>
      <c r="S13" s="232">
        <f>'Cálculo PU'!U362</f>
        <v>434.39277030294085</v>
      </c>
      <c r="T13" s="235">
        <f t="shared" si="1"/>
        <v>-275.89019996858116</v>
      </c>
      <c r="V13" s="147">
        <v>3432</v>
      </c>
      <c r="W13" s="156">
        <v>43374</v>
      </c>
      <c r="X13" s="156">
        <v>43685</v>
      </c>
      <c r="Y13" s="148" t="s">
        <v>959</v>
      </c>
      <c r="Z13" s="148" t="s">
        <v>823</v>
      </c>
      <c r="AA13" s="148" t="s">
        <v>963</v>
      </c>
      <c r="AB13" s="232">
        <v>757.17296799999895</v>
      </c>
      <c r="AC13" s="232">
        <f>'Cálculo PU'!T362</f>
        <v>757.17296799999997</v>
      </c>
      <c r="AD13" s="235">
        <f t="shared" si="2"/>
        <v>1.0231815394945443E-12</v>
      </c>
      <c r="AF13">
        <v>3452</v>
      </c>
      <c r="AG13" s="215">
        <v>43374</v>
      </c>
      <c r="AH13" s="215">
        <v>43685</v>
      </c>
      <c r="AI13" t="s">
        <v>959</v>
      </c>
      <c r="AJ13" t="s">
        <v>823</v>
      </c>
      <c r="AK13" t="s">
        <v>827</v>
      </c>
      <c r="AL13" s="230">
        <v>1.021493092501</v>
      </c>
      <c r="AM13" s="230">
        <f>'Cálculo PU'!O362</f>
        <v>1.0931674220768928</v>
      </c>
      <c r="AN13" s="192">
        <f t="shared" si="3"/>
        <v>-7.1674329575892815E-2</v>
      </c>
      <c r="AP13">
        <v>3440</v>
      </c>
      <c r="AQ13" s="215">
        <v>43374</v>
      </c>
      <c r="AR13" s="215">
        <v>43685</v>
      </c>
      <c r="AS13" t="s">
        <v>959</v>
      </c>
      <c r="AT13" t="s">
        <v>823</v>
      </c>
      <c r="AU13" t="s">
        <v>943</v>
      </c>
      <c r="AV13">
        <v>217</v>
      </c>
      <c r="AW13" s="241">
        <f>'Cálculo PU'!L362</f>
        <v>909</v>
      </c>
      <c r="AX13" s="241">
        <f t="shared" si="4"/>
        <v>-692</v>
      </c>
    </row>
    <row r="14" spans="2:50">
      <c r="B14" s="147">
        <v>3492</v>
      </c>
      <c r="C14" s="156">
        <v>43374</v>
      </c>
      <c r="D14" s="156">
        <v>43717</v>
      </c>
      <c r="E14" s="148" t="s">
        <v>959</v>
      </c>
      <c r="F14" s="148" t="s">
        <v>823</v>
      </c>
      <c r="G14" s="148" t="s">
        <v>960</v>
      </c>
      <c r="H14" s="232">
        <v>685.66913825064705</v>
      </c>
      <c r="I14" s="232">
        <f>'Cálculo PU'!V363</f>
        <v>389.67584245418988</v>
      </c>
      <c r="J14" s="235">
        <f t="shared" si="0"/>
        <v>-295.99329579645718</v>
      </c>
      <c r="L14" s="147">
        <v>3480</v>
      </c>
      <c r="M14" s="156">
        <v>43374</v>
      </c>
      <c r="N14" s="156">
        <v>43717</v>
      </c>
      <c r="O14" s="148" t="s">
        <v>959</v>
      </c>
      <c r="P14" s="148" t="s">
        <v>823</v>
      </c>
      <c r="Q14" s="148" t="s">
        <v>962</v>
      </c>
      <c r="R14" s="232">
        <v>701.91794884545595</v>
      </c>
      <c r="S14" s="232">
        <f>'Cálculo PU'!U363</f>
        <v>426.90031467204591</v>
      </c>
      <c r="T14" s="235">
        <f t="shared" si="1"/>
        <v>-275.01763417341004</v>
      </c>
      <c r="V14" s="147">
        <v>3471</v>
      </c>
      <c r="W14" s="156">
        <v>43374</v>
      </c>
      <c r="X14" s="156">
        <v>43717</v>
      </c>
      <c r="Y14" s="148" t="s">
        <v>959</v>
      </c>
      <c r="Z14" s="148" t="s">
        <v>823</v>
      </c>
      <c r="AA14" s="148" t="s">
        <v>963</v>
      </c>
      <c r="AB14" s="232">
        <v>753.88898400000005</v>
      </c>
      <c r="AC14" s="232">
        <f>'Cálculo PU'!T363</f>
        <v>753.88898400000005</v>
      </c>
      <c r="AD14" s="235">
        <f t="shared" si="2"/>
        <v>0</v>
      </c>
      <c r="AF14">
        <v>3491</v>
      </c>
      <c r="AG14" s="215">
        <v>43374</v>
      </c>
      <c r="AH14" s="215">
        <v>43717</v>
      </c>
      <c r="AI14" t="s">
        <v>959</v>
      </c>
      <c r="AJ14" t="s">
        <v>823</v>
      </c>
      <c r="AK14" t="s">
        <v>827</v>
      </c>
      <c r="AL14" s="230">
        <v>1.023697742378</v>
      </c>
      <c r="AM14" s="230">
        <f>'Cálculo PU'!O363</f>
        <v>1.0955267639467081</v>
      </c>
      <c r="AN14" s="192">
        <f t="shared" si="3"/>
        <v>-7.1829021568708074E-2</v>
      </c>
      <c r="AP14">
        <v>3479</v>
      </c>
      <c r="AQ14" s="215">
        <v>43374</v>
      </c>
      <c r="AR14" s="215">
        <v>43717</v>
      </c>
      <c r="AS14" t="s">
        <v>959</v>
      </c>
      <c r="AT14" t="s">
        <v>823</v>
      </c>
      <c r="AU14" t="s">
        <v>943</v>
      </c>
      <c r="AV14">
        <v>239</v>
      </c>
      <c r="AW14" s="241">
        <f>'Cálculo PU'!L363</f>
        <v>931</v>
      </c>
      <c r="AX14" s="241">
        <f t="shared" si="4"/>
        <v>-692</v>
      </c>
    </row>
    <row r="15" spans="2:50">
      <c r="B15" s="147">
        <v>3531</v>
      </c>
      <c r="C15" s="156">
        <v>43374</v>
      </c>
      <c r="D15" s="156">
        <v>43746</v>
      </c>
      <c r="E15" s="148" t="s">
        <v>959</v>
      </c>
      <c r="F15" s="148" t="s">
        <v>823</v>
      </c>
      <c r="G15" s="148" t="s">
        <v>960</v>
      </c>
      <c r="H15" s="232">
        <v>676.53832913199597</v>
      </c>
      <c r="I15" s="232">
        <f>'Cálculo PU'!V364</f>
        <v>382.55088838533698</v>
      </c>
      <c r="J15" s="235">
        <f t="shared" si="0"/>
        <v>-293.98744074665899</v>
      </c>
      <c r="L15" s="147">
        <v>3519</v>
      </c>
      <c r="M15" s="156">
        <v>43374</v>
      </c>
      <c r="N15" s="156">
        <v>43746</v>
      </c>
      <c r="O15" s="148" t="s">
        <v>959</v>
      </c>
      <c r="P15" s="148" t="s">
        <v>823</v>
      </c>
      <c r="Q15" s="148" t="s">
        <v>962</v>
      </c>
      <c r="R15" s="232">
        <v>693.99749633997999</v>
      </c>
      <c r="S15" s="232">
        <f>'Cálculo PU'!U364</f>
        <v>419.95809640821562</v>
      </c>
      <c r="T15" s="235">
        <f t="shared" si="1"/>
        <v>-274.03939993176436</v>
      </c>
      <c r="V15" s="147">
        <v>3510</v>
      </c>
      <c r="W15" s="156">
        <v>43374</v>
      </c>
      <c r="X15" s="156">
        <v>43746</v>
      </c>
      <c r="Y15" s="148" t="s">
        <v>959</v>
      </c>
      <c r="Z15" s="148" t="s">
        <v>823</v>
      </c>
      <c r="AA15" s="148" t="s">
        <v>963</v>
      </c>
      <c r="AB15" s="232">
        <v>750.92908599999896</v>
      </c>
      <c r="AC15" s="232">
        <f>'Cálculo PU'!T364</f>
        <v>750.92908599999998</v>
      </c>
      <c r="AD15" s="235">
        <f t="shared" si="2"/>
        <v>1.0231815394945443E-12</v>
      </c>
      <c r="AF15">
        <v>3530</v>
      </c>
      <c r="AG15" s="215">
        <v>43374</v>
      </c>
      <c r="AH15" s="215">
        <v>43746</v>
      </c>
      <c r="AI15" t="s">
        <v>959</v>
      </c>
      <c r="AJ15" t="s">
        <v>823</v>
      </c>
      <c r="AK15" t="s">
        <v>827</v>
      </c>
      <c r="AL15" s="230">
        <v>1.0258066194569999</v>
      </c>
      <c r="AM15" s="230">
        <f>'Cálculo PU'!O364</f>
        <v>1.0977836130005245</v>
      </c>
      <c r="AN15" s="192">
        <f t="shared" si="3"/>
        <v>-7.1976993543524603E-2</v>
      </c>
      <c r="AP15">
        <v>3518</v>
      </c>
      <c r="AQ15" s="215">
        <v>43374</v>
      </c>
      <c r="AR15" s="215">
        <v>43746</v>
      </c>
      <c r="AS15" t="s">
        <v>959</v>
      </c>
      <c r="AT15" t="s">
        <v>823</v>
      </c>
      <c r="AU15" t="s">
        <v>943</v>
      </c>
      <c r="AV15">
        <v>260</v>
      </c>
      <c r="AW15" s="241">
        <f>'Cálculo PU'!L364</f>
        <v>952</v>
      </c>
      <c r="AX15" s="241">
        <f t="shared" si="4"/>
        <v>-692</v>
      </c>
    </row>
    <row r="16" spans="2:50">
      <c r="B16" s="147">
        <v>3570</v>
      </c>
      <c r="C16" s="156">
        <v>43374</v>
      </c>
      <c r="D16" s="156">
        <v>43777</v>
      </c>
      <c r="E16" s="148" t="s">
        <v>959</v>
      </c>
      <c r="F16" s="148" t="s">
        <v>823</v>
      </c>
      <c r="G16" s="148" t="s">
        <v>960</v>
      </c>
      <c r="H16" s="232">
        <v>649.83349415427301</v>
      </c>
      <c r="I16" s="232">
        <f>'Cálculo PU'!V365</f>
        <v>365.5351071358383</v>
      </c>
      <c r="J16" s="235">
        <f t="shared" si="0"/>
        <v>-284.29838701843471</v>
      </c>
      <c r="L16" s="147">
        <v>3558</v>
      </c>
      <c r="M16" s="156">
        <v>43374</v>
      </c>
      <c r="N16" s="156">
        <v>43777</v>
      </c>
      <c r="O16" s="148" t="s">
        <v>959</v>
      </c>
      <c r="P16" s="148" t="s">
        <v>823</v>
      </c>
      <c r="Q16" s="148" t="s">
        <v>962</v>
      </c>
      <c r="R16" s="232">
        <v>668.107674364932</v>
      </c>
      <c r="S16" s="232">
        <f>'Cálculo PU'!U365</f>
        <v>402.1839256131006</v>
      </c>
      <c r="T16" s="235">
        <f t="shared" si="1"/>
        <v>-265.9237487518314</v>
      </c>
      <c r="V16" s="147">
        <v>3549</v>
      </c>
      <c r="W16" s="156">
        <v>43374</v>
      </c>
      <c r="X16" s="156">
        <v>43777</v>
      </c>
      <c r="Y16" s="148" t="s">
        <v>959</v>
      </c>
      <c r="Z16" s="148" t="s">
        <v>823</v>
      </c>
      <c r="AA16" s="148" t="s">
        <v>963</v>
      </c>
      <c r="AB16" s="232">
        <v>729.02756899999895</v>
      </c>
      <c r="AC16" s="232">
        <f>'Cálculo PU'!T365</f>
        <v>729.02756899999997</v>
      </c>
      <c r="AD16" s="235">
        <f t="shared" si="2"/>
        <v>1.0231815394945443E-12</v>
      </c>
      <c r="AF16">
        <v>3569</v>
      </c>
      <c r="AG16" s="215">
        <v>43374</v>
      </c>
      <c r="AH16" s="215">
        <v>43777</v>
      </c>
      <c r="AI16" t="s">
        <v>959</v>
      </c>
      <c r="AJ16" t="s">
        <v>823</v>
      </c>
      <c r="AK16" t="s">
        <v>827</v>
      </c>
      <c r="AL16" s="230">
        <v>1.02812132704</v>
      </c>
      <c r="AM16" s="230">
        <f>'Cálculo PU'!O365</f>
        <v>1.1002607349111424</v>
      </c>
      <c r="AN16" s="192">
        <f t="shared" si="3"/>
        <v>-7.2139407871142369E-2</v>
      </c>
      <c r="AP16">
        <v>3557</v>
      </c>
      <c r="AQ16" s="215">
        <v>43374</v>
      </c>
      <c r="AR16" s="215">
        <v>43777</v>
      </c>
      <c r="AS16" t="s">
        <v>959</v>
      </c>
      <c r="AT16" t="s">
        <v>823</v>
      </c>
      <c r="AU16" t="s">
        <v>943</v>
      </c>
      <c r="AV16">
        <v>283</v>
      </c>
      <c r="AW16" s="241">
        <f>'Cálculo PU'!L365</f>
        <v>975</v>
      </c>
      <c r="AX16" s="241">
        <f t="shared" si="4"/>
        <v>-692</v>
      </c>
    </row>
    <row r="17" spans="2:50">
      <c r="B17" s="147">
        <v>3609</v>
      </c>
      <c r="C17" s="156">
        <v>43374</v>
      </c>
      <c r="D17" s="156">
        <v>43808</v>
      </c>
      <c r="E17" s="148" t="s">
        <v>959</v>
      </c>
      <c r="F17" s="148" t="s">
        <v>823</v>
      </c>
      <c r="G17" s="148" t="s">
        <v>960</v>
      </c>
      <c r="H17" s="232">
        <v>651.84286829318705</v>
      </c>
      <c r="I17" s="232">
        <f>'Cálculo PU'!V366</f>
        <v>365.00155065100472</v>
      </c>
      <c r="J17" s="235">
        <f t="shared" si="0"/>
        <v>-286.84131764218233</v>
      </c>
      <c r="L17" s="147">
        <v>3597</v>
      </c>
      <c r="M17" s="156">
        <v>43374</v>
      </c>
      <c r="N17" s="156">
        <v>43808</v>
      </c>
      <c r="O17" s="148" t="s">
        <v>959</v>
      </c>
      <c r="P17" s="148" t="s">
        <v>823</v>
      </c>
      <c r="Q17" s="148" t="s">
        <v>962</v>
      </c>
      <c r="R17" s="232">
        <v>671.48834425337498</v>
      </c>
      <c r="S17" s="232">
        <f>'Cálculo PU'!U366</f>
        <v>402.38475288032851</v>
      </c>
      <c r="T17" s="235">
        <f t="shared" si="1"/>
        <v>-269.10359137304647</v>
      </c>
      <c r="V17" s="147">
        <v>3588</v>
      </c>
      <c r="W17" s="156">
        <v>43374</v>
      </c>
      <c r="X17" s="156">
        <v>43808</v>
      </c>
      <c r="Y17" s="148" t="s">
        <v>959</v>
      </c>
      <c r="Z17" s="148" t="s">
        <v>823</v>
      </c>
      <c r="AA17" s="148" t="s">
        <v>963</v>
      </c>
      <c r="AB17" s="232">
        <v>738.10051499999895</v>
      </c>
      <c r="AC17" s="232">
        <f>'Cálculo PU'!T366</f>
        <v>738.10051499999997</v>
      </c>
      <c r="AD17" s="235">
        <f t="shared" si="2"/>
        <v>1.0231815394945443E-12</v>
      </c>
      <c r="AF17">
        <v>3608</v>
      </c>
      <c r="AG17" s="215">
        <v>43374</v>
      </c>
      <c r="AH17" s="215">
        <v>43808</v>
      </c>
      <c r="AI17" t="s">
        <v>959</v>
      </c>
      <c r="AJ17" t="s">
        <v>823</v>
      </c>
      <c r="AK17" t="s">
        <v>827</v>
      </c>
      <c r="AL17" s="230">
        <v>1.0301383614299999</v>
      </c>
      <c r="AM17" s="230">
        <f>'Cálculo PU'!O366</f>
        <v>1.1024192970211999</v>
      </c>
      <c r="AN17" s="192">
        <f t="shared" si="3"/>
        <v>-7.2280935591199968E-2</v>
      </c>
      <c r="AP17">
        <v>3596</v>
      </c>
      <c r="AQ17" s="215">
        <v>43374</v>
      </c>
      <c r="AR17" s="215">
        <v>43808</v>
      </c>
      <c r="AS17" t="s">
        <v>959</v>
      </c>
      <c r="AT17" t="s">
        <v>823</v>
      </c>
      <c r="AU17" t="s">
        <v>943</v>
      </c>
      <c r="AV17">
        <v>303</v>
      </c>
      <c r="AW17" s="241">
        <f>'Cálculo PU'!L366</f>
        <v>995</v>
      </c>
      <c r="AX17" s="241">
        <f t="shared" si="4"/>
        <v>-692</v>
      </c>
    </row>
    <row r="18" spans="2:50">
      <c r="B18" s="147">
        <v>3648</v>
      </c>
      <c r="C18" s="156">
        <v>43374</v>
      </c>
      <c r="D18" s="156">
        <v>43839</v>
      </c>
      <c r="E18" s="148" t="s">
        <v>959</v>
      </c>
      <c r="F18" s="148" t="s">
        <v>823</v>
      </c>
      <c r="G18" s="148" t="s">
        <v>960</v>
      </c>
      <c r="H18" s="232">
        <v>683.89877696535802</v>
      </c>
      <c r="I18" s="232">
        <f>'Cálculo PU'!V367</f>
        <v>381.20563374331812</v>
      </c>
      <c r="J18" s="235">
        <f t="shared" si="0"/>
        <v>-302.69314322203991</v>
      </c>
      <c r="L18" s="147">
        <v>3636</v>
      </c>
      <c r="M18" s="156">
        <v>43374</v>
      </c>
      <c r="N18" s="156">
        <v>43839</v>
      </c>
      <c r="O18" s="148" t="s">
        <v>959</v>
      </c>
      <c r="P18" s="148" t="s">
        <v>823</v>
      </c>
      <c r="Q18" s="148" t="s">
        <v>962</v>
      </c>
      <c r="R18" s="232">
        <v>705.96169794602497</v>
      </c>
      <c r="S18" s="232">
        <f>'Cálculo PU'!U367</f>
        <v>421.11418309218033</v>
      </c>
      <c r="T18" s="235">
        <f t="shared" si="1"/>
        <v>-284.84751485384464</v>
      </c>
      <c r="V18" s="147">
        <v>3627</v>
      </c>
      <c r="W18" s="156">
        <v>43374</v>
      </c>
      <c r="X18" s="156">
        <v>43839</v>
      </c>
      <c r="Y18" s="148" t="s">
        <v>959</v>
      </c>
      <c r="Z18" s="148" t="s">
        <v>823</v>
      </c>
      <c r="AA18" s="148" t="s">
        <v>963</v>
      </c>
      <c r="AB18" s="232">
        <v>782.11828700000001</v>
      </c>
      <c r="AC18" s="232">
        <f>'Cálculo PU'!T367</f>
        <v>782.11828700000001</v>
      </c>
      <c r="AD18" s="235">
        <f t="shared" si="2"/>
        <v>0</v>
      </c>
      <c r="AF18">
        <v>3647</v>
      </c>
      <c r="AG18" s="215">
        <v>43374</v>
      </c>
      <c r="AH18" s="215">
        <v>43839</v>
      </c>
      <c r="AI18" t="s">
        <v>959</v>
      </c>
      <c r="AJ18" t="s">
        <v>823</v>
      </c>
      <c r="AK18" t="s">
        <v>827</v>
      </c>
      <c r="AL18" s="230">
        <v>1.0322605065599999</v>
      </c>
      <c r="AM18" s="230">
        <f>'Cálculo PU'!O367</f>
        <v>1.1046903450953045</v>
      </c>
      <c r="AN18" s="192">
        <f t="shared" si="3"/>
        <v>-7.2429838535304603E-2</v>
      </c>
      <c r="AP18">
        <v>3635</v>
      </c>
      <c r="AQ18" s="215">
        <v>43374</v>
      </c>
      <c r="AR18" s="215">
        <v>43839</v>
      </c>
      <c r="AS18" t="s">
        <v>959</v>
      </c>
      <c r="AT18" t="s">
        <v>823</v>
      </c>
      <c r="AU18" t="s">
        <v>943</v>
      </c>
      <c r="AV18">
        <v>324</v>
      </c>
      <c r="AW18" s="241">
        <f>'Cálculo PU'!L367</f>
        <v>1016</v>
      </c>
      <c r="AX18" s="241">
        <f t="shared" si="4"/>
        <v>-692</v>
      </c>
    </row>
    <row r="19" spans="2:50">
      <c r="B19" s="147">
        <v>3687</v>
      </c>
      <c r="C19" s="156">
        <v>43374</v>
      </c>
      <c r="D19" s="156">
        <v>43871</v>
      </c>
      <c r="E19" s="148" t="s">
        <v>959</v>
      </c>
      <c r="F19" s="148" t="s">
        <v>823</v>
      </c>
      <c r="G19" s="148" t="s">
        <v>960</v>
      </c>
      <c r="H19" s="232">
        <v>663.55266686570496</v>
      </c>
      <c r="I19" s="232">
        <f>'Cálculo PU'!V368</f>
        <v>368.20326110796026</v>
      </c>
      <c r="J19" s="235">
        <f t="shared" si="0"/>
        <v>-295.34940575774471</v>
      </c>
      <c r="L19" s="147">
        <v>3675</v>
      </c>
      <c r="M19" s="156">
        <v>43374</v>
      </c>
      <c r="N19" s="156">
        <v>43871</v>
      </c>
      <c r="O19" s="148" t="s">
        <v>959</v>
      </c>
      <c r="P19" s="148" t="s">
        <v>823</v>
      </c>
      <c r="Q19" s="148" t="s">
        <v>962</v>
      </c>
      <c r="R19" s="232">
        <v>686.43753356948105</v>
      </c>
      <c r="S19" s="232">
        <f>'Cálculo PU'!U368</f>
        <v>407.62846197590784</v>
      </c>
      <c r="T19" s="235">
        <f t="shared" si="1"/>
        <v>-278.80907159357321</v>
      </c>
      <c r="V19" s="147">
        <v>3666</v>
      </c>
      <c r="W19" s="156">
        <v>43374</v>
      </c>
      <c r="X19" s="156">
        <v>43871</v>
      </c>
      <c r="Y19" s="148" t="s">
        <v>959</v>
      </c>
      <c r="Z19" s="148" t="s">
        <v>823</v>
      </c>
      <c r="AA19" s="148" t="s">
        <v>963</v>
      </c>
      <c r="AB19" s="232">
        <v>766.96403299999895</v>
      </c>
      <c r="AC19" s="232">
        <f>'Cálculo PU'!T368</f>
        <v>766.96403299999997</v>
      </c>
      <c r="AD19" s="235">
        <f t="shared" si="2"/>
        <v>1.0231815394945443E-12</v>
      </c>
      <c r="AF19">
        <v>3686</v>
      </c>
      <c r="AG19" s="215">
        <v>43374</v>
      </c>
      <c r="AH19" s="215">
        <v>43871</v>
      </c>
      <c r="AI19" t="s">
        <v>959</v>
      </c>
      <c r="AJ19" t="s">
        <v>823</v>
      </c>
      <c r="AK19" t="s">
        <v>827</v>
      </c>
      <c r="AL19" s="230">
        <v>1.0344883953399999</v>
      </c>
      <c r="AM19" s="230">
        <f>'Cálculo PU'!O368</f>
        <v>1.1070745564537186</v>
      </c>
      <c r="AN19" s="192">
        <f t="shared" si="3"/>
        <v>-7.2586161113718628E-2</v>
      </c>
      <c r="AP19">
        <v>3674</v>
      </c>
      <c r="AQ19" s="215">
        <v>43374</v>
      </c>
      <c r="AR19" s="215">
        <v>43871</v>
      </c>
      <c r="AS19" t="s">
        <v>959</v>
      </c>
      <c r="AT19" t="s">
        <v>823</v>
      </c>
      <c r="AU19" t="s">
        <v>943</v>
      </c>
      <c r="AV19">
        <v>346</v>
      </c>
      <c r="AW19" s="241">
        <f>'Cálculo PU'!L368</f>
        <v>1038</v>
      </c>
      <c r="AX19" s="241">
        <f t="shared" si="4"/>
        <v>-692</v>
      </c>
    </row>
    <row r="20" spans="2:50">
      <c r="B20" s="147">
        <v>3726</v>
      </c>
      <c r="C20" s="156">
        <v>43374</v>
      </c>
      <c r="D20" s="156">
        <v>43899</v>
      </c>
      <c r="E20" s="148" t="s">
        <v>959</v>
      </c>
      <c r="F20" s="148" t="s">
        <v>823</v>
      </c>
      <c r="G20" s="148" t="s">
        <v>960</v>
      </c>
      <c r="H20" s="232">
        <v>670.99444918476297</v>
      </c>
      <c r="I20" s="232">
        <f>'Cálculo PU'!V369</f>
        <v>370.96442223597552</v>
      </c>
      <c r="J20" s="235">
        <f t="shared" si="0"/>
        <v>-300.03002694878745</v>
      </c>
      <c r="L20" s="147">
        <v>3714</v>
      </c>
      <c r="M20" s="156">
        <v>43374</v>
      </c>
      <c r="N20" s="156">
        <v>43899</v>
      </c>
      <c r="O20" s="148" t="s">
        <v>959</v>
      </c>
      <c r="P20" s="148" t="s">
        <v>823</v>
      </c>
      <c r="Q20" s="148" t="s">
        <v>962</v>
      </c>
      <c r="R20" s="232">
        <v>695.36147132030396</v>
      </c>
      <c r="S20" s="232">
        <f>'Cálculo PU'!U369</f>
        <v>411.41033997625652</v>
      </c>
      <c r="T20" s="235">
        <f t="shared" si="1"/>
        <v>-283.95113134404744</v>
      </c>
      <c r="V20" s="147">
        <v>3705</v>
      </c>
      <c r="W20" s="156">
        <v>43374</v>
      </c>
      <c r="X20" s="156">
        <v>43899</v>
      </c>
      <c r="Y20" s="148" t="s">
        <v>959</v>
      </c>
      <c r="Z20" s="148" t="s">
        <v>823</v>
      </c>
      <c r="AA20" s="148" t="s">
        <v>963</v>
      </c>
      <c r="AB20" s="232">
        <v>782.34389299999896</v>
      </c>
      <c r="AC20" s="232">
        <f>'Cálculo PU'!T369</f>
        <v>782.34389299999998</v>
      </c>
      <c r="AD20" s="235">
        <f t="shared" si="2"/>
        <v>1.0231815394945443E-12</v>
      </c>
      <c r="AF20">
        <v>3725</v>
      </c>
      <c r="AG20" s="215">
        <v>43374</v>
      </c>
      <c r="AH20" s="215">
        <v>43899</v>
      </c>
      <c r="AI20" t="s">
        <v>959</v>
      </c>
      <c r="AJ20" t="s">
        <v>823</v>
      </c>
      <c r="AK20" t="s">
        <v>827</v>
      </c>
      <c r="AL20" s="230">
        <v>1.036314789437</v>
      </c>
      <c r="AM20" s="230">
        <f>'Cálculo PU'!O369</f>
        <v>1.1090291017572376</v>
      </c>
      <c r="AN20" s="192">
        <f t="shared" si="3"/>
        <v>-7.2714312320237617E-2</v>
      </c>
      <c r="AP20">
        <v>3713</v>
      </c>
      <c r="AQ20" s="215">
        <v>43374</v>
      </c>
      <c r="AR20" s="215">
        <v>43899</v>
      </c>
      <c r="AS20" t="s">
        <v>959</v>
      </c>
      <c r="AT20" t="s">
        <v>823</v>
      </c>
      <c r="AU20" t="s">
        <v>943</v>
      </c>
      <c r="AV20">
        <v>364</v>
      </c>
      <c r="AW20" s="241">
        <f>'Cálculo PU'!L369</f>
        <v>1056</v>
      </c>
      <c r="AX20" s="241">
        <f t="shared" si="4"/>
        <v>-692</v>
      </c>
    </row>
    <row r="21" spans="2:50">
      <c r="B21" s="147">
        <v>3765</v>
      </c>
      <c r="C21" s="156">
        <v>43374</v>
      </c>
      <c r="D21" s="156">
        <v>43930</v>
      </c>
      <c r="E21" s="148" t="s">
        <v>959</v>
      </c>
      <c r="F21" s="148" t="s">
        <v>823</v>
      </c>
      <c r="G21" s="148" t="s">
        <v>960</v>
      </c>
      <c r="H21" s="232">
        <v>636.92832019123705</v>
      </c>
      <c r="I21" s="232">
        <f>'Cálculo PU'!V370</f>
        <v>350.63383907657249</v>
      </c>
      <c r="J21" s="235">
        <f t="shared" si="0"/>
        <v>-286.29448111466456</v>
      </c>
      <c r="L21" s="147">
        <v>3753</v>
      </c>
      <c r="M21" s="156">
        <v>43374</v>
      </c>
      <c r="N21" s="156">
        <v>43930</v>
      </c>
      <c r="O21" s="148" t="s">
        <v>959</v>
      </c>
      <c r="P21" s="148" t="s">
        <v>823</v>
      </c>
      <c r="Q21" s="148" t="s">
        <v>962</v>
      </c>
      <c r="R21" s="232">
        <v>661.48281673639701</v>
      </c>
      <c r="S21" s="232">
        <f>'Cálculo PU'!U370</f>
        <v>389.70240017493052</v>
      </c>
      <c r="T21" s="235">
        <f t="shared" si="1"/>
        <v>-271.7804165614665</v>
      </c>
      <c r="V21" s="147">
        <v>3744</v>
      </c>
      <c r="W21" s="156">
        <v>43374</v>
      </c>
      <c r="X21" s="156">
        <v>43930</v>
      </c>
      <c r="Y21" s="148" t="s">
        <v>959</v>
      </c>
      <c r="Z21" s="148" t="s">
        <v>823</v>
      </c>
      <c r="AA21" s="148" t="s">
        <v>963</v>
      </c>
      <c r="AB21" s="232">
        <v>750.74720300000001</v>
      </c>
      <c r="AC21" s="232">
        <f>'Cálculo PU'!T370</f>
        <v>750.74720300000001</v>
      </c>
      <c r="AD21" s="235">
        <f t="shared" si="2"/>
        <v>0</v>
      </c>
      <c r="AF21">
        <v>3764</v>
      </c>
      <c r="AG21" s="215">
        <v>43374</v>
      </c>
      <c r="AH21" s="215">
        <v>43930</v>
      </c>
      <c r="AI21" t="s">
        <v>959</v>
      </c>
      <c r="AJ21" t="s">
        <v>823</v>
      </c>
      <c r="AK21" t="s">
        <v>827</v>
      </c>
      <c r="AL21" s="230">
        <v>1.038551428421</v>
      </c>
      <c r="AM21" s="230">
        <f>'Cálculo PU'!O370</f>
        <v>1.1114226772899296</v>
      </c>
      <c r="AN21" s="192">
        <f t="shared" si="3"/>
        <v>-7.2871248868929595E-2</v>
      </c>
      <c r="AP21">
        <v>3752</v>
      </c>
      <c r="AQ21" s="215">
        <v>43374</v>
      </c>
      <c r="AR21" s="215">
        <v>43930</v>
      </c>
      <c r="AS21" t="s">
        <v>959</v>
      </c>
      <c r="AT21" t="s">
        <v>823</v>
      </c>
      <c r="AU21" t="s">
        <v>943</v>
      </c>
      <c r="AV21">
        <v>386</v>
      </c>
      <c r="AW21" s="241">
        <f>'Cálculo PU'!L370</f>
        <v>1078</v>
      </c>
      <c r="AX21" s="241">
        <f t="shared" si="4"/>
        <v>-692</v>
      </c>
    </row>
    <row r="22" spans="2:50">
      <c r="B22" s="147">
        <v>3804</v>
      </c>
      <c r="C22" s="156">
        <v>43374</v>
      </c>
      <c r="D22" s="156">
        <v>43962</v>
      </c>
      <c r="E22" s="148" t="s">
        <v>959</v>
      </c>
      <c r="F22" s="148" t="s">
        <v>823</v>
      </c>
      <c r="G22" s="148" t="s">
        <v>960</v>
      </c>
      <c r="H22" s="232">
        <v>633.00316107186597</v>
      </c>
      <c r="I22" s="232">
        <f>'Cálculo PU'!V371</f>
        <v>347.23799565228774</v>
      </c>
      <c r="J22" s="235">
        <f t="shared" si="0"/>
        <v>-285.76516541957824</v>
      </c>
      <c r="L22" s="147">
        <v>3792</v>
      </c>
      <c r="M22" s="156">
        <v>43374</v>
      </c>
      <c r="N22" s="156">
        <v>43962</v>
      </c>
      <c r="O22" s="148" t="s">
        <v>959</v>
      </c>
      <c r="P22" s="148" t="s">
        <v>823</v>
      </c>
      <c r="Q22" s="148" t="s">
        <v>962</v>
      </c>
      <c r="R22" s="232">
        <v>658.696079062791</v>
      </c>
      <c r="S22" s="232">
        <f>'Cálculo PU'!U371</f>
        <v>386.68532145745246</v>
      </c>
      <c r="T22" s="235">
        <f t="shared" si="1"/>
        <v>-272.01075760533854</v>
      </c>
      <c r="V22" s="147">
        <v>3783</v>
      </c>
      <c r="W22" s="156">
        <v>43374</v>
      </c>
      <c r="X22" s="156">
        <v>43962</v>
      </c>
      <c r="Y22" s="148" t="s">
        <v>959</v>
      </c>
      <c r="Z22" s="148" t="s">
        <v>823</v>
      </c>
      <c r="AA22" s="148" t="s">
        <v>963</v>
      </c>
      <c r="AB22" s="232">
        <v>753.77609500000005</v>
      </c>
      <c r="AC22" s="232">
        <f>'Cálculo PU'!T371</f>
        <v>753.77609500000005</v>
      </c>
      <c r="AD22" s="235">
        <f t="shared" si="2"/>
        <v>0</v>
      </c>
      <c r="AF22">
        <v>3803</v>
      </c>
      <c r="AG22" s="215">
        <v>43374</v>
      </c>
      <c r="AH22" s="215">
        <v>43962</v>
      </c>
      <c r="AI22" t="s">
        <v>959</v>
      </c>
      <c r="AJ22" t="s">
        <v>823</v>
      </c>
      <c r="AK22" t="s">
        <v>827</v>
      </c>
      <c r="AL22" s="230">
        <v>1.040588925255</v>
      </c>
      <c r="AM22" s="230">
        <f>'Cálculo PU'!O371</f>
        <v>1.1136031376147728</v>
      </c>
      <c r="AN22" s="192">
        <f t="shared" si="3"/>
        <v>-7.301421235977279E-2</v>
      </c>
      <c r="AP22">
        <v>3791</v>
      </c>
      <c r="AQ22" s="215">
        <v>43374</v>
      </c>
      <c r="AR22" s="215">
        <v>43962</v>
      </c>
      <c r="AS22" t="s">
        <v>959</v>
      </c>
      <c r="AT22" t="s">
        <v>823</v>
      </c>
      <c r="AU22" t="s">
        <v>943</v>
      </c>
      <c r="AV22">
        <v>406</v>
      </c>
      <c r="AW22" s="241">
        <f>'Cálculo PU'!L371</f>
        <v>1098</v>
      </c>
      <c r="AX22" s="241">
        <f t="shared" si="4"/>
        <v>-692</v>
      </c>
    </row>
    <row r="23" spans="2:50">
      <c r="B23" s="147">
        <v>3843</v>
      </c>
      <c r="C23" s="156">
        <v>43374</v>
      </c>
      <c r="D23" s="156">
        <v>43991</v>
      </c>
      <c r="E23" s="148" t="s">
        <v>959</v>
      </c>
      <c r="F23" s="148" t="s">
        <v>823</v>
      </c>
      <c r="G23" s="148" t="s">
        <v>960</v>
      </c>
      <c r="H23" s="232">
        <v>619.89206276359596</v>
      </c>
      <c r="I23" s="232">
        <f>'Cálculo PU'!V372</f>
        <v>338.84004354793939</v>
      </c>
      <c r="J23" s="235">
        <f t="shared" si="0"/>
        <v>-281.05201921565657</v>
      </c>
      <c r="L23" s="147">
        <v>3831</v>
      </c>
      <c r="M23" s="156">
        <v>43374</v>
      </c>
      <c r="N23" s="156">
        <v>43991</v>
      </c>
      <c r="O23" s="148" t="s">
        <v>959</v>
      </c>
      <c r="P23" s="148" t="s">
        <v>823</v>
      </c>
      <c r="Q23" s="148" t="s">
        <v>962</v>
      </c>
      <c r="R23" s="232">
        <v>646.31832136954199</v>
      </c>
      <c r="S23" s="232">
        <f>'Cálculo PU'!U372</f>
        <v>378.07361239468531</v>
      </c>
      <c r="T23" s="235">
        <f t="shared" si="1"/>
        <v>-268.24470897485668</v>
      </c>
      <c r="V23" s="147">
        <v>3822</v>
      </c>
      <c r="W23" s="156">
        <v>43374</v>
      </c>
      <c r="X23" s="156">
        <v>43991</v>
      </c>
      <c r="Y23" s="148" t="s">
        <v>959</v>
      </c>
      <c r="Z23" s="148" t="s">
        <v>823</v>
      </c>
      <c r="AA23" s="148" t="s">
        <v>963</v>
      </c>
      <c r="AB23" s="232">
        <v>745.73731599999905</v>
      </c>
      <c r="AC23" s="232">
        <f>'Cálculo PU'!T372</f>
        <v>745.73731599999996</v>
      </c>
      <c r="AD23" s="235">
        <f t="shared" si="2"/>
        <v>9.0949470177292824E-13</v>
      </c>
      <c r="AF23">
        <v>3842</v>
      </c>
      <c r="AG23" s="215">
        <v>43374</v>
      </c>
      <c r="AH23" s="215">
        <v>43991</v>
      </c>
      <c r="AI23" t="s">
        <v>959</v>
      </c>
      <c r="AJ23" t="s">
        <v>823</v>
      </c>
      <c r="AK23" t="s">
        <v>827</v>
      </c>
      <c r="AL23" s="230">
        <v>1.04263041938</v>
      </c>
      <c r="AM23" s="230">
        <f>'Cálculo PU'!O372</f>
        <v>1.1157878757065947</v>
      </c>
      <c r="AN23" s="192">
        <f t="shared" si="3"/>
        <v>-7.315745632659465E-2</v>
      </c>
      <c r="AP23">
        <v>3830</v>
      </c>
      <c r="AQ23" s="215">
        <v>43374</v>
      </c>
      <c r="AR23" s="215">
        <v>43991</v>
      </c>
      <c r="AS23" t="s">
        <v>959</v>
      </c>
      <c r="AT23" t="s">
        <v>823</v>
      </c>
      <c r="AU23" t="s">
        <v>943</v>
      </c>
      <c r="AV23">
        <v>426</v>
      </c>
      <c r="AW23" s="241">
        <f>'Cálculo PU'!L372</f>
        <v>1118</v>
      </c>
      <c r="AX23" s="241">
        <f t="shared" si="4"/>
        <v>-692</v>
      </c>
    </row>
    <row r="24" spans="2:50">
      <c r="B24" s="147">
        <v>3882</v>
      </c>
      <c r="C24" s="156">
        <v>43374</v>
      </c>
      <c r="D24" s="156">
        <v>44020</v>
      </c>
      <c r="E24" s="148" t="s">
        <v>959</v>
      </c>
      <c r="F24" s="148" t="s">
        <v>823</v>
      </c>
      <c r="G24" s="148" t="s">
        <v>960</v>
      </c>
      <c r="H24" s="232">
        <v>601.94121969650098</v>
      </c>
      <c r="I24" s="232">
        <f>'Cálculo PU'!V373</f>
        <v>327.8490340167919</v>
      </c>
      <c r="J24" s="235">
        <f t="shared" si="0"/>
        <v>-274.09218567970908</v>
      </c>
      <c r="L24" s="147">
        <v>3870</v>
      </c>
      <c r="M24" s="156">
        <v>43374</v>
      </c>
      <c r="N24" s="156">
        <v>44020</v>
      </c>
      <c r="O24" s="148" t="s">
        <v>959</v>
      </c>
      <c r="P24" s="148" t="s">
        <v>823</v>
      </c>
      <c r="Q24" s="148" t="s">
        <v>962</v>
      </c>
      <c r="R24" s="232">
        <v>628.89512353845703</v>
      </c>
      <c r="S24" s="232">
        <f>'Cálculo PU'!U373</f>
        <v>366.56356711483431</v>
      </c>
      <c r="T24" s="235">
        <f t="shared" si="1"/>
        <v>-262.33155642362271</v>
      </c>
      <c r="V24" s="147">
        <v>3861</v>
      </c>
      <c r="W24" s="156">
        <v>43374</v>
      </c>
      <c r="X24" s="156">
        <v>44020</v>
      </c>
      <c r="Y24" s="148" t="s">
        <v>959</v>
      </c>
      <c r="Z24" s="148" t="s">
        <v>823</v>
      </c>
      <c r="AA24" s="148" t="s">
        <v>963</v>
      </c>
      <c r="AB24" s="232">
        <v>732.04894300000001</v>
      </c>
      <c r="AC24" s="232">
        <f>'Cálculo PU'!T373</f>
        <v>732.04894300000001</v>
      </c>
      <c r="AD24" s="235">
        <f t="shared" si="2"/>
        <v>0</v>
      </c>
      <c r="AF24">
        <v>3881</v>
      </c>
      <c r="AG24" s="215">
        <v>43374</v>
      </c>
      <c r="AH24" s="215">
        <v>44020</v>
      </c>
      <c r="AI24" t="s">
        <v>959</v>
      </c>
      <c r="AJ24" t="s">
        <v>823</v>
      </c>
      <c r="AK24" t="s">
        <v>827</v>
      </c>
      <c r="AL24" s="230">
        <v>1.044778298877</v>
      </c>
      <c r="AM24" s="230">
        <f>'Cálculo PU'!O373</f>
        <v>1.1180864638328003</v>
      </c>
      <c r="AN24" s="192">
        <f t="shared" si="3"/>
        <v>-7.3308164955800281E-2</v>
      </c>
      <c r="AP24">
        <v>3869</v>
      </c>
      <c r="AQ24" s="215">
        <v>43374</v>
      </c>
      <c r="AR24" s="215">
        <v>44020</v>
      </c>
      <c r="AS24" t="s">
        <v>959</v>
      </c>
      <c r="AT24" t="s">
        <v>823</v>
      </c>
      <c r="AU24" t="s">
        <v>943</v>
      </c>
      <c r="AV24">
        <v>447</v>
      </c>
      <c r="AW24" s="241">
        <f>'Cálculo PU'!L373</f>
        <v>1139</v>
      </c>
      <c r="AX24" s="241">
        <f t="shared" si="4"/>
        <v>-692</v>
      </c>
    </row>
    <row r="25" spans="2:50">
      <c r="B25" s="147">
        <v>3921</v>
      </c>
      <c r="C25" s="156">
        <v>43374</v>
      </c>
      <c r="D25" s="156">
        <v>44053</v>
      </c>
      <c r="E25" s="148" t="s">
        <v>959</v>
      </c>
      <c r="F25" s="148" t="s">
        <v>823</v>
      </c>
      <c r="G25" s="148" t="s">
        <v>960</v>
      </c>
      <c r="H25" s="232">
        <v>578.72057910480805</v>
      </c>
      <c r="I25" s="232">
        <f>'Cálculo PU'!V374</f>
        <v>314.03219340767322</v>
      </c>
      <c r="J25" s="235">
        <f t="shared" si="0"/>
        <v>-264.68838569713483</v>
      </c>
      <c r="L25" s="147">
        <v>3909</v>
      </c>
      <c r="M25" s="156">
        <v>43374</v>
      </c>
      <c r="N25" s="156">
        <v>44053</v>
      </c>
      <c r="O25" s="148" t="s">
        <v>959</v>
      </c>
      <c r="P25" s="148" t="s">
        <v>823</v>
      </c>
      <c r="Q25" s="148" t="s">
        <v>962</v>
      </c>
      <c r="R25" s="232">
        <v>605.999045600209</v>
      </c>
      <c r="S25" s="232">
        <f>'Cálculo PU'!U374</f>
        <v>351.90742740517294</v>
      </c>
      <c r="T25" s="235">
        <f t="shared" si="1"/>
        <v>-254.09161819503606</v>
      </c>
      <c r="V25" s="147">
        <v>3900</v>
      </c>
      <c r="W25" s="156">
        <v>43374</v>
      </c>
      <c r="X25" s="156">
        <v>44053</v>
      </c>
      <c r="Y25" s="148" t="s">
        <v>959</v>
      </c>
      <c r="Z25" s="148" t="s">
        <v>823</v>
      </c>
      <c r="AA25" s="148" t="s">
        <v>963</v>
      </c>
      <c r="AB25" s="232">
        <v>712.37685999999906</v>
      </c>
      <c r="AC25" s="232">
        <f>'Cálculo PU'!T374</f>
        <v>712.37685999999997</v>
      </c>
      <c r="AD25" s="235">
        <f t="shared" si="2"/>
        <v>9.0949470177292824E-13</v>
      </c>
      <c r="AF25">
        <v>3920</v>
      </c>
      <c r="AG25" s="215">
        <v>43374</v>
      </c>
      <c r="AH25" s="215">
        <v>44053</v>
      </c>
      <c r="AI25" t="s">
        <v>959</v>
      </c>
      <c r="AJ25" t="s">
        <v>823</v>
      </c>
      <c r="AK25" t="s">
        <v>827</v>
      </c>
      <c r="AL25" s="230">
        <v>1.047135815591</v>
      </c>
      <c r="AM25" s="230">
        <f>'Cálculo PU'!O374</f>
        <v>1.1206093986304471</v>
      </c>
      <c r="AN25" s="192">
        <f t="shared" si="3"/>
        <v>-7.3473583039447066E-2</v>
      </c>
      <c r="AP25">
        <v>3908</v>
      </c>
      <c r="AQ25" s="215">
        <v>43374</v>
      </c>
      <c r="AR25" s="215">
        <v>44053</v>
      </c>
      <c r="AS25" t="s">
        <v>959</v>
      </c>
      <c r="AT25" t="s">
        <v>823</v>
      </c>
      <c r="AU25" t="s">
        <v>943</v>
      </c>
      <c r="AV25">
        <v>470</v>
      </c>
      <c r="AW25" s="241">
        <f>'Cálculo PU'!L374</f>
        <v>1162</v>
      </c>
      <c r="AX25" s="241">
        <f t="shared" si="4"/>
        <v>-692</v>
      </c>
    </row>
    <row r="26" spans="2:50">
      <c r="B26" s="147">
        <v>3960</v>
      </c>
      <c r="C26" s="156">
        <v>43374</v>
      </c>
      <c r="D26" s="156">
        <v>44083</v>
      </c>
      <c r="E26" s="148" t="s">
        <v>959</v>
      </c>
      <c r="F26" s="148" t="s">
        <v>823</v>
      </c>
      <c r="G26" s="148" t="s">
        <v>960</v>
      </c>
      <c r="H26" s="232">
        <v>574.21641475717195</v>
      </c>
      <c r="I26" s="232">
        <f>'Cálculo PU'!V375</f>
        <v>310.53139662374821</v>
      </c>
      <c r="J26" s="235">
        <f t="shared" si="0"/>
        <v>-263.68501813342374</v>
      </c>
      <c r="L26" s="147">
        <v>3948</v>
      </c>
      <c r="M26" s="156">
        <v>43374</v>
      </c>
      <c r="N26" s="156">
        <v>44083</v>
      </c>
      <c r="O26" s="148" t="s">
        <v>959</v>
      </c>
      <c r="P26" s="148" t="s">
        <v>823</v>
      </c>
      <c r="Q26" s="148" t="s">
        <v>962</v>
      </c>
      <c r="R26" s="232">
        <v>602.52125097733699</v>
      </c>
      <c r="S26" s="232">
        <f>'Cálculo PU'!U375</f>
        <v>348.70126979741258</v>
      </c>
      <c r="T26" s="235">
        <f t="shared" si="1"/>
        <v>-253.81998117992441</v>
      </c>
      <c r="V26" s="147">
        <v>3939</v>
      </c>
      <c r="W26" s="156">
        <v>43374</v>
      </c>
      <c r="X26" s="156">
        <v>44083</v>
      </c>
      <c r="Y26" s="148" t="s">
        <v>959</v>
      </c>
      <c r="Z26" s="148" t="s">
        <v>823</v>
      </c>
      <c r="AA26" s="148" t="s">
        <v>963</v>
      </c>
      <c r="AB26" s="232">
        <v>714.68453099999897</v>
      </c>
      <c r="AC26" s="232">
        <f>'Cálculo PU'!T375</f>
        <v>714.68453099999999</v>
      </c>
      <c r="AD26" s="235">
        <f t="shared" si="2"/>
        <v>1.0231815394945443E-12</v>
      </c>
      <c r="AF26">
        <v>3959</v>
      </c>
      <c r="AG26" s="215">
        <v>43374</v>
      </c>
      <c r="AH26" s="215">
        <v>44083</v>
      </c>
      <c r="AI26" t="s">
        <v>959</v>
      </c>
      <c r="AJ26" t="s">
        <v>823</v>
      </c>
      <c r="AK26" t="s">
        <v>827</v>
      </c>
      <c r="AL26" s="230">
        <v>1.0492929764679999</v>
      </c>
      <c r="AM26" s="230">
        <f>'Cálculo PU'!O375</f>
        <v>1.1229179193751944</v>
      </c>
      <c r="AN26" s="192">
        <f t="shared" si="3"/>
        <v>-7.3624942907194457E-2</v>
      </c>
      <c r="AP26">
        <v>3947</v>
      </c>
      <c r="AQ26" s="215">
        <v>43374</v>
      </c>
      <c r="AR26" s="215">
        <v>44083</v>
      </c>
      <c r="AS26" t="s">
        <v>959</v>
      </c>
      <c r="AT26" t="s">
        <v>823</v>
      </c>
      <c r="AU26" t="s">
        <v>943</v>
      </c>
      <c r="AV26">
        <v>491</v>
      </c>
      <c r="AW26" s="241">
        <f>'Cálculo PU'!L375</f>
        <v>1183</v>
      </c>
      <c r="AX26" s="241">
        <f t="shared" si="4"/>
        <v>-692</v>
      </c>
    </row>
    <row r="27" spans="2:50">
      <c r="B27" s="147">
        <v>3999</v>
      </c>
      <c r="C27" s="156">
        <v>43374</v>
      </c>
      <c r="D27" s="156">
        <v>44113</v>
      </c>
      <c r="E27" s="148" t="s">
        <v>959</v>
      </c>
      <c r="F27" s="148" t="s">
        <v>823</v>
      </c>
      <c r="G27" s="148" t="s">
        <v>960</v>
      </c>
      <c r="H27" s="232">
        <v>561.39659401917095</v>
      </c>
      <c r="I27" s="232">
        <f>'Cálculo PU'!V376</f>
        <v>302.64177711460849</v>
      </c>
      <c r="J27" s="235">
        <f t="shared" si="0"/>
        <v>-258.75481690456246</v>
      </c>
      <c r="L27" s="147">
        <v>3987</v>
      </c>
      <c r="M27" s="156">
        <v>43374</v>
      </c>
      <c r="N27" s="156">
        <v>44113</v>
      </c>
      <c r="O27" s="148" t="s">
        <v>959</v>
      </c>
      <c r="P27" s="148" t="s">
        <v>823</v>
      </c>
      <c r="Q27" s="148" t="s">
        <v>962</v>
      </c>
      <c r="R27" s="232">
        <v>590.28302066444598</v>
      </c>
      <c r="S27" s="232">
        <f>'Cálculo PU'!U376</f>
        <v>340.54196876393843</v>
      </c>
      <c r="T27" s="235">
        <f t="shared" si="1"/>
        <v>-249.74105190050756</v>
      </c>
      <c r="V27" s="147">
        <v>3978</v>
      </c>
      <c r="W27" s="156">
        <v>43374</v>
      </c>
      <c r="X27" s="156">
        <v>44113</v>
      </c>
      <c r="Y27" s="148" t="s">
        <v>959</v>
      </c>
      <c r="Z27" s="148" t="s">
        <v>823</v>
      </c>
      <c r="AA27" s="148" t="s">
        <v>963</v>
      </c>
      <c r="AB27" s="232">
        <v>706.63436100000001</v>
      </c>
      <c r="AC27" s="232">
        <f>'Cálculo PU'!T376</f>
        <v>706.63436100000001</v>
      </c>
      <c r="AD27" s="235">
        <f t="shared" si="2"/>
        <v>0</v>
      </c>
      <c r="AF27">
        <v>3998</v>
      </c>
      <c r="AG27" s="215">
        <v>43374</v>
      </c>
      <c r="AH27" s="215">
        <v>44113</v>
      </c>
      <c r="AI27" t="s">
        <v>959</v>
      </c>
      <c r="AJ27" t="s">
        <v>823</v>
      </c>
      <c r="AK27" t="s">
        <v>827</v>
      </c>
      <c r="AL27" s="230">
        <v>1.0514545812230001</v>
      </c>
      <c r="AM27" s="230">
        <f>'Cálculo PU'!O376</f>
        <v>1.12523119580737</v>
      </c>
      <c r="AN27" s="192">
        <f t="shared" si="3"/>
        <v>-7.3776614584369904E-2</v>
      </c>
      <c r="AP27">
        <v>3986</v>
      </c>
      <c r="AQ27" s="215">
        <v>43374</v>
      </c>
      <c r="AR27" s="215">
        <v>44113</v>
      </c>
      <c r="AS27" t="s">
        <v>959</v>
      </c>
      <c r="AT27" t="s">
        <v>823</v>
      </c>
      <c r="AU27" t="s">
        <v>943</v>
      </c>
      <c r="AV27">
        <v>512</v>
      </c>
      <c r="AW27" s="241">
        <f>'Cálculo PU'!L376</f>
        <v>1204</v>
      </c>
      <c r="AX27" s="241">
        <f t="shared" si="4"/>
        <v>-692</v>
      </c>
    </row>
    <row r="28" spans="2:50">
      <c r="B28" s="147">
        <v>4038</v>
      </c>
      <c r="C28" s="156">
        <v>43374</v>
      </c>
      <c r="D28" s="156">
        <v>44145</v>
      </c>
      <c r="E28" s="148" t="s">
        <v>959</v>
      </c>
      <c r="F28" s="148" t="s">
        <v>823</v>
      </c>
      <c r="G28" s="148" t="s">
        <v>960</v>
      </c>
      <c r="H28" s="232">
        <v>548.04796396588495</v>
      </c>
      <c r="I28" s="232">
        <f>'Cálculo PU'!V377</f>
        <v>294.60709238640339</v>
      </c>
      <c r="J28" s="235">
        <f t="shared" si="0"/>
        <v>-253.44087157948155</v>
      </c>
      <c r="L28" s="147">
        <v>4026</v>
      </c>
      <c r="M28" s="156">
        <v>43374</v>
      </c>
      <c r="N28" s="156">
        <v>44145</v>
      </c>
      <c r="O28" s="148" t="s">
        <v>959</v>
      </c>
      <c r="P28" s="148" t="s">
        <v>823</v>
      </c>
      <c r="Q28" s="148" t="s">
        <v>962</v>
      </c>
      <c r="R28" s="232">
        <v>577.43464600131699</v>
      </c>
      <c r="S28" s="232">
        <f>'Cálculo PU'!U377</f>
        <v>332.18400244836351</v>
      </c>
      <c r="T28" s="235">
        <f t="shared" si="1"/>
        <v>-245.25064355295348</v>
      </c>
      <c r="V28" s="147">
        <v>4017</v>
      </c>
      <c r="W28" s="156">
        <v>43374</v>
      </c>
      <c r="X28" s="156">
        <v>44145</v>
      </c>
      <c r="Y28" s="148" t="s">
        <v>959</v>
      </c>
      <c r="Z28" s="148" t="s">
        <v>823</v>
      </c>
      <c r="AA28" s="148" t="s">
        <v>963</v>
      </c>
      <c r="AB28" s="232">
        <v>697.82653200000004</v>
      </c>
      <c r="AC28" s="232">
        <f>'Cálculo PU'!T377</f>
        <v>697.82653200000004</v>
      </c>
      <c r="AD28" s="235">
        <f t="shared" si="2"/>
        <v>0</v>
      </c>
      <c r="AF28">
        <v>4037</v>
      </c>
      <c r="AG28" s="215">
        <v>43374</v>
      </c>
      <c r="AH28" s="215">
        <v>44145</v>
      </c>
      <c r="AI28" t="s">
        <v>959</v>
      </c>
      <c r="AJ28" t="s">
        <v>823</v>
      </c>
      <c r="AK28" t="s">
        <v>827</v>
      </c>
      <c r="AL28" s="230">
        <v>1.0536206390089999</v>
      </c>
      <c r="AM28" s="230">
        <f>'Cálculo PU'!O377</f>
        <v>1.1275492377239671</v>
      </c>
      <c r="AN28" s="192">
        <f t="shared" si="3"/>
        <v>-7.3928598714967153E-2</v>
      </c>
      <c r="AP28">
        <v>4025</v>
      </c>
      <c r="AQ28" s="215">
        <v>43374</v>
      </c>
      <c r="AR28" s="215">
        <v>44145</v>
      </c>
      <c r="AS28" t="s">
        <v>959</v>
      </c>
      <c r="AT28" t="s">
        <v>823</v>
      </c>
      <c r="AU28" t="s">
        <v>943</v>
      </c>
      <c r="AV28">
        <v>533</v>
      </c>
      <c r="AW28" s="241">
        <f>'Cálculo PU'!L377</f>
        <v>1225</v>
      </c>
      <c r="AX28" s="241">
        <f t="shared" si="4"/>
        <v>-692</v>
      </c>
    </row>
    <row r="29" spans="2:50">
      <c r="B29" s="147">
        <v>4077</v>
      </c>
      <c r="C29" s="156">
        <v>43374</v>
      </c>
      <c r="D29" s="156">
        <v>44173</v>
      </c>
      <c r="E29" s="148" t="s">
        <v>959</v>
      </c>
      <c r="F29" s="148" t="s">
        <v>823</v>
      </c>
      <c r="G29" s="148" t="s">
        <v>960</v>
      </c>
      <c r="H29" s="232">
        <v>542.07852968352597</v>
      </c>
      <c r="I29" s="232">
        <f>'Cálculo PU'!V378</f>
        <v>290.61170626957363</v>
      </c>
      <c r="J29" s="235">
        <f t="shared" si="0"/>
        <v>-251.46682341395234</v>
      </c>
      <c r="L29" s="147">
        <v>4065</v>
      </c>
      <c r="M29" s="156">
        <v>43374</v>
      </c>
      <c r="N29" s="156">
        <v>44173</v>
      </c>
      <c r="O29" s="148" t="s">
        <v>959</v>
      </c>
      <c r="P29" s="148" t="s">
        <v>823</v>
      </c>
      <c r="Q29" s="148" t="s">
        <v>962</v>
      </c>
      <c r="R29" s="232">
        <v>572.26563599656299</v>
      </c>
      <c r="S29" s="232">
        <f>'Cálculo PU'!U378</f>
        <v>328.32186958171667</v>
      </c>
      <c r="T29" s="235">
        <f t="shared" si="1"/>
        <v>-243.94376641484632</v>
      </c>
      <c r="V29" s="147">
        <v>4056</v>
      </c>
      <c r="W29" s="156">
        <v>43374</v>
      </c>
      <c r="X29" s="156">
        <v>44173</v>
      </c>
      <c r="Y29" s="148" t="s">
        <v>959</v>
      </c>
      <c r="Z29" s="148" t="s">
        <v>823</v>
      </c>
      <c r="AA29" s="148" t="s">
        <v>963</v>
      </c>
      <c r="AB29" s="232">
        <v>697.841453</v>
      </c>
      <c r="AC29" s="232">
        <f>'Cálculo PU'!T378</f>
        <v>697.841453</v>
      </c>
      <c r="AD29" s="235">
        <f t="shared" si="2"/>
        <v>0</v>
      </c>
      <c r="AF29">
        <v>4076</v>
      </c>
      <c r="AG29" s="215">
        <v>43374</v>
      </c>
      <c r="AH29" s="215">
        <v>44173</v>
      </c>
      <c r="AI29" t="s">
        <v>959</v>
      </c>
      <c r="AJ29" t="s">
        <v>823</v>
      </c>
      <c r="AK29" t="s">
        <v>827</v>
      </c>
      <c r="AL29" s="230">
        <v>1.0556876995860001</v>
      </c>
      <c r="AM29" s="230">
        <f>'Cálculo PU'!O378</f>
        <v>1.1297613361698611</v>
      </c>
      <c r="AN29" s="192">
        <f t="shared" si="3"/>
        <v>-7.4073636583861013E-2</v>
      </c>
      <c r="AP29">
        <v>4064</v>
      </c>
      <c r="AQ29" s="215">
        <v>43374</v>
      </c>
      <c r="AR29" s="215">
        <v>44173</v>
      </c>
      <c r="AS29" t="s">
        <v>959</v>
      </c>
      <c r="AT29" t="s">
        <v>823</v>
      </c>
      <c r="AU29" t="s">
        <v>943</v>
      </c>
      <c r="AV29">
        <v>553</v>
      </c>
      <c r="AW29" s="241">
        <f>'Cálculo PU'!L378</f>
        <v>1245</v>
      </c>
      <c r="AX29" s="241">
        <f t="shared" si="4"/>
        <v>-692</v>
      </c>
    </row>
    <row r="30" spans="2:50">
      <c r="B30" s="147">
        <v>4116</v>
      </c>
      <c r="C30" s="156">
        <v>43374</v>
      </c>
      <c r="D30" s="156">
        <v>44207</v>
      </c>
      <c r="E30" s="148" t="s">
        <v>959</v>
      </c>
      <c r="F30" s="148" t="s">
        <v>823</v>
      </c>
      <c r="G30" s="148" t="s">
        <v>960</v>
      </c>
      <c r="H30" s="232">
        <v>559.91273209627298</v>
      </c>
      <c r="I30" s="232">
        <f>'Cálculo PU'!V379</f>
        <v>299.27684412360486</v>
      </c>
      <c r="J30" s="235">
        <f t="shared" si="0"/>
        <v>-260.63588797266812</v>
      </c>
      <c r="L30" s="147">
        <v>4104</v>
      </c>
      <c r="M30" s="156">
        <v>43374</v>
      </c>
      <c r="N30" s="156">
        <v>44207</v>
      </c>
      <c r="O30" s="148" t="s">
        <v>959</v>
      </c>
      <c r="P30" s="148" t="s">
        <v>823</v>
      </c>
      <c r="Q30" s="148" t="s">
        <v>962</v>
      </c>
      <c r="R30" s="232">
        <v>592.36871773024097</v>
      </c>
      <c r="S30" s="232">
        <f>'Cálculo PU'!U379</f>
        <v>338.84114035437773</v>
      </c>
      <c r="T30" s="235">
        <f t="shared" si="1"/>
        <v>-253.52757737586325</v>
      </c>
      <c r="V30" s="147">
        <v>4095</v>
      </c>
      <c r="W30" s="156">
        <v>43374</v>
      </c>
      <c r="X30" s="156">
        <v>44207</v>
      </c>
      <c r="Y30" s="148" t="s">
        <v>959</v>
      </c>
      <c r="Z30" s="148" t="s">
        <v>823</v>
      </c>
      <c r="AA30" s="148" t="s">
        <v>963</v>
      </c>
      <c r="AB30" s="232">
        <v>729.61102100000005</v>
      </c>
      <c r="AC30" s="232">
        <f>'Cálculo PU'!T379</f>
        <v>729.61102100000005</v>
      </c>
      <c r="AD30" s="235">
        <f t="shared" si="2"/>
        <v>0</v>
      </c>
      <c r="AF30">
        <v>4115</v>
      </c>
      <c r="AG30" s="215">
        <v>43374</v>
      </c>
      <c r="AH30" s="215">
        <v>44207</v>
      </c>
      <c r="AI30" t="s">
        <v>959</v>
      </c>
      <c r="AJ30" t="s">
        <v>823</v>
      </c>
      <c r="AK30" t="s">
        <v>827</v>
      </c>
      <c r="AL30" s="230">
        <v>1.05796615039</v>
      </c>
      <c r="AM30" s="230">
        <f>'Cálculo PU'!O379</f>
        <v>1.1321996572993545</v>
      </c>
      <c r="AN30" s="192">
        <f t="shared" si="3"/>
        <v>-7.4233506909354485E-2</v>
      </c>
      <c r="AP30">
        <v>4103</v>
      </c>
      <c r="AQ30" s="215">
        <v>43374</v>
      </c>
      <c r="AR30" s="215">
        <v>44207</v>
      </c>
      <c r="AS30" t="s">
        <v>959</v>
      </c>
      <c r="AT30" t="s">
        <v>823</v>
      </c>
      <c r="AU30" t="s">
        <v>943</v>
      </c>
      <c r="AV30">
        <v>575</v>
      </c>
      <c r="AW30" s="241">
        <f>'Cálculo PU'!L379</f>
        <v>1267</v>
      </c>
      <c r="AX30" s="241">
        <f t="shared" si="4"/>
        <v>-692</v>
      </c>
    </row>
    <row r="31" spans="2:50">
      <c r="B31" s="147">
        <v>4155</v>
      </c>
      <c r="C31" s="156">
        <v>43374</v>
      </c>
      <c r="D31" s="156">
        <v>44235</v>
      </c>
      <c r="E31" s="148" t="s">
        <v>959</v>
      </c>
      <c r="F31" s="148" t="s">
        <v>823</v>
      </c>
      <c r="G31" s="148" t="s">
        <v>960</v>
      </c>
      <c r="H31" s="232">
        <v>555.13154362662499</v>
      </c>
      <c r="I31" s="232">
        <f>'Cálculo PU'!V380</f>
        <v>295.91369479477436</v>
      </c>
      <c r="J31" s="235">
        <f t="shared" si="0"/>
        <v>-259.21784883185063</v>
      </c>
      <c r="L31" s="147">
        <v>4143</v>
      </c>
      <c r="M31" s="156">
        <v>43374</v>
      </c>
      <c r="N31" s="156">
        <v>44235</v>
      </c>
      <c r="O31" s="148" t="s">
        <v>959</v>
      </c>
      <c r="P31" s="148" t="s">
        <v>823</v>
      </c>
      <c r="Q31" s="148" t="s">
        <v>962</v>
      </c>
      <c r="R31" s="232">
        <v>588.46260536421198</v>
      </c>
      <c r="S31" s="232">
        <f>'Cálculo PU'!U380</f>
        <v>335.69067382729042</v>
      </c>
      <c r="T31" s="235">
        <f t="shared" si="1"/>
        <v>-252.77193153692156</v>
      </c>
      <c r="V31" s="147">
        <v>4134</v>
      </c>
      <c r="W31" s="156">
        <v>43374</v>
      </c>
      <c r="X31" s="156">
        <v>44235</v>
      </c>
      <c r="Y31" s="148" t="s">
        <v>959</v>
      </c>
      <c r="Z31" s="148" t="s">
        <v>823</v>
      </c>
      <c r="AA31" s="148" t="s">
        <v>963</v>
      </c>
      <c r="AB31" s="232">
        <v>731.49060999999904</v>
      </c>
      <c r="AC31" s="232">
        <f>'Cálculo PU'!T380</f>
        <v>731.49060999999995</v>
      </c>
      <c r="AD31" s="235">
        <f t="shared" si="2"/>
        <v>9.0949470177292824E-13</v>
      </c>
      <c r="AF31">
        <v>4154</v>
      </c>
      <c r="AG31" s="215">
        <v>43374</v>
      </c>
      <c r="AH31" s="215">
        <v>44235</v>
      </c>
      <c r="AI31" t="s">
        <v>959</v>
      </c>
      <c r="AJ31" t="s">
        <v>823</v>
      </c>
      <c r="AK31" t="s">
        <v>827</v>
      </c>
      <c r="AL31" s="230">
        <v>1.0600417362700001</v>
      </c>
      <c r="AM31" s="230">
        <f>'Cálculo PU'!O380</f>
        <v>1.1344208792367743</v>
      </c>
      <c r="AN31" s="192">
        <f t="shared" si="3"/>
        <v>-7.437914296677417E-2</v>
      </c>
      <c r="AP31">
        <v>4142</v>
      </c>
      <c r="AQ31" s="215">
        <v>43374</v>
      </c>
      <c r="AR31" s="215">
        <v>44235</v>
      </c>
      <c r="AS31" t="s">
        <v>959</v>
      </c>
      <c r="AT31" t="s">
        <v>823</v>
      </c>
      <c r="AU31" t="s">
        <v>943</v>
      </c>
      <c r="AV31">
        <v>595</v>
      </c>
      <c r="AW31" s="241">
        <f>'Cálculo PU'!L380</f>
        <v>1287</v>
      </c>
      <c r="AX31" s="241">
        <f t="shared" si="4"/>
        <v>-692</v>
      </c>
    </row>
    <row r="32" spans="2:50">
      <c r="B32" s="147">
        <v>4194</v>
      </c>
      <c r="C32" s="156">
        <v>43374</v>
      </c>
      <c r="D32" s="156">
        <v>44263</v>
      </c>
      <c r="E32" s="148" t="s">
        <v>959</v>
      </c>
      <c r="F32" s="148" t="s">
        <v>823</v>
      </c>
      <c r="G32" s="148" t="s">
        <v>960</v>
      </c>
      <c r="H32" s="232">
        <v>551.35848199786994</v>
      </c>
      <c r="I32" s="232">
        <f>'Cálculo PU'!V381</f>
        <v>293.18186767479523</v>
      </c>
      <c r="J32" s="235">
        <f t="shared" si="0"/>
        <v>-258.17661432307472</v>
      </c>
      <c r="L32" s="147">
        <v>4182</v>
      </c>
      <c r="M32" s="156">
        <v>43374</v>
      </c>
      <c r="N32" s="156">
        <v>44263</v>
      </c>
      <c r="O32" s="148" t="s">
        <v>959</v>
      </c>
      <c r="P32" s="148" t="s">
        <v>823</v>
      </c>
      <c r="Q32" s="148" t="s">
        <v>962</v>
      </c>
      <c r="R32" s="232">
        <v>585.49487472701003</v>
      </c>
      <c r="S32" s="232">
        <f>'Cálculo PU'!U381</f>
        <v>333.17882418482344</v>
      </c>
      <c r="T32" s="235">
        <f t="shared" si="1"/>
        <v>-252.31605054218659</v>
      </c>
      <c r="V32" s="147">
        <v>4173</v>
      </c>
      <c r="W32" s="156">
        <v>43374</v>
      </c>
      <c r="X32" s="156">
        <v>44263</v>
      </c>
      <c r="Y32" s="148" t="s">
        <v>959</v>
      </c>
      <c r="Z32" s="148" t="s">
        <v>823</v>
      </c>
      <c r="AA32" s="148" t="s">
        <v>963</v>
      </c>
      <c r="AB32" s="232">
        <v>733.84533399999896</v>
      </c>
      <c r="AC32" s="232">
        <f>'Cálculo PU'!T381</f>
        <v>733.84533399999998</v>
      </c>
      <c r="AD32" s="235">
        <f t="shared" si="2"/>
        <v>1.0231815394945443E-12</v>
      </c>
      <c r="AF32">
        <v>4193</v>
      </c>
      <c r="AG32" s="215">
        <v>43374</v>
      </c>
      <c r="AH32" s="215">
        <v>44263</v>
      </c>
      <c r="AI32" t="s">
        <v>959</v>
      </c>
      <c r="AJ32" t="s">
        <v>823</v>
      </c>
      <c r="AK32" t="s">
        <v>827</v>
      </c>
      <c r="AL32" s="230">
        <v>1.0619132449099999</v>
      </c>
      <c r="AM32" s="230">
        <f>'Cálculo PU'!O381</f>
        <v>1.1364237046009744</v>
      </c>
      <c r="AN32" s="192">
        <f t="shared" si="3"/>
        <v>-7.4510459690974473E-2</v>
      </c>
      <c r="AP32">
        <v>4181</v>
      </c>
      <c r="AQ32" s="215">
        <v>43374</v>
      </c>
      <c r="AR32" s="215">
        <v>44263</v>
      </c>
      <c r="AS32" t="s">
        <v>959</v>
      </c>
      <c r="AT32" t="s">
        <v>823</v>
      </c>
      <c r="AU32" t="s">
        <v>943</v>
      </c>
      <c r="AV32">
        <v>613</v>
      </c>
      <c r="AW32" s="241">
        <f>'Cálculo PU'!L381</f>
        <v>1305</v>
      </c>
      <c r="AX32" s="241">
        <f t="shared" si="4"/>
        <v>-692</v>
      </c>
    </row>
    <row r="33" spans="2:50">
      <c r="B33" s="147">
        <v>4233</v>
      </c>
      <c r="C33" s="156">
        <v>43374</v>
      </c>
      <c r="D33" s="156">
        <v>44295</v>
      </c>
      <c r="E33" s="148" t="s">
        <v>959</v>
      </c>
      <c r="F33" s="148" t="s">
        <v>823</v>
      </c>
      <c r="G33" s="148" t="s">
        <v>960</v>
      </c>
      <c r="H33" s="232">
        <v>520.06703271972299</v>
      </c>
      <c r="I33" s="232">
        <f>'Cálculo PU'!V382</f>
        <v>275.67989355165832</v>
      </c>
      <c r="J33" s="235">
        <f t="shared" si="0"/>
        <v>-244.38713916806466</v>
      </c>
      <c r="L33" s="147">
        <v>4221</v>
      </c>
      <c r="M33" s="156">
        <v>43374</v>
      </c>
      <c r="N33" s="156">
        <v>44295</v>
      </c>
      <c r="O33" s="148" t="s">
        <v>959</v>
      </c>
      <c r="P33" s="148" t="s">
        <v>823</v>
      </c>
      <c r="Q33" s="148" t="s">
        <v>962</v>
      </c>
      <c r="R33" s="232">
        <v>553.51224518518495</v>
      </c>
      <c r="S33" s="232">
        <f>'Cálculo PU'!U382</f>
        <v>313.99609526513069</v>
      </c>
      <c r="T33" s="235">
        <f t="shared" si="1"/>
        <v>-239.51614992005426</v>
      </c>
      <c r="V33" s="147">
        <v>4212</v>
      </c>
      <c r="W33" s="156">
        <v>43374</v>
      </c>
      <c r="X33" s="156">
        <v>44295</v>
      </c>
      <c r="Y33" s="148" t="s">
        <v>959</v>
      </c>
      <c r="Z33" s="148" t="s">
        <v>823</v>
      </c>
      <c r="AA33" s="148" t="s">
        <v>963</v>
      </c>
      <c r="AB33" s="232">
        <v>701.13712499999895</v>
      </c>
      <c r="AC33" s="232">
        <f>'Cálculo PU'!T382</f>
        <v>701.13712499999997</v>
      </c>
      <c r="AD33" s="235">
        <f t="shared" si="2"/>
        <v>1.0231815394945443E-12</v>
      </c>
      <c r="AF33">
        <v>4232</v>
      </c>
      <c r="AG33" s="215">
        <v>43374</v>
      </c>
      <c r="AH33" s="215">
        <v>44295</v>
      </c>
      <c r="AI33" t="s">
        <v>959</v>
      </c>
      <c r="AJ33" t="s">
        <v>823</v>
      </c>
      <c r="AK33" t="s">
        <v>827</v>
      </c>
      <c r="AL33" s="230">
        <v>1.064309426211</v>
      </c>
      <c r="AM33" s="230">
        <f>'Cálculo PU'!O382</f>
        <v>1.1389880169345483</v>
      </c>
      <c r="AN33" s="192">
        <f t="shared" si="3"/>
        <v>-7.4678590723548322E-2</v>
      </c>
      <c r="AP33">
        <v>4220</v>
      </c>
      <c r="AQ33" s="215">
        <v>43374</v>
      </c>
      <c r="AR33" s="215">
        <v>44295</v>
      </c>
      <c r="AS33" t="s">
        <v>959</v>
      </c>
      <c r="AT33" t="s">
        <v>823</v>
      </c>
      <c r="AU33" t="s">
        <v>943</v>
      </c>
      <c r="AV33">
        <v>636</v>
      </c>
      <c r="AW33" s="241">
        <f>'Cálculo PU'!L382</f>
        <v>1328</v>
      </c>
      <c r="AX33" s="241">
        <f t="shared" si="4"/>
        <v>-692</v>
      </c>
    </row>
    <row r="34" spans="2:50">
      <c r="B34" s="147">
        <v>4272</v>
      </c>
      <c r="C34" s="156">
        <v>43374</v>
      </c>
      <c r="D34" s="156">
        <v>44326</v>
      </c>
      <c r="E34" s="148" t="s">
        <v>959</v>
      </c>
      <c r="F34" s="148" t="s">
        <v>823</v>
      </c>
      <c r="G34" s="148" t="s">
        <v>960</v>
      </c>
      <c r="H34" s="232">
        <v>518.67520407891197</v>
      </c>
      <c r="I34" s="232">
        <f>'Cálculo PU'!V383</f>
        <v>274.2008242297872</v>
      </c>
      <c r="J34" s="235">
        <f t="shared" si="0"/>
        <v>-244.47437984912477</v>
      </c>
      <c r="L34" s="147">
        <v>4260</v>
      </c>
      <c r="M34" s="156">
        <v>43374</v>
      </c>
      <c r="N34" s="156">
        <v>44326</v>
      </c>
      <c r="O34" s="148" t="s">
        <v>959</v>
      </c>
      <c r="P34" s="148" t="s">
        <v>823</v>
      </c>
      <c r="Q34" s="148" t="s">
        <v>962</v>
      </c>
      <c r="R34" s="232">
        <v>553.11391850229597</v>
      </c>
      <c r="S34" s="232">
        <f>'Cálculo PU'!U383</f>
        <v>312.92416567991518</v>
      </c>
      <c r="T34" s="235">
        <f t="shared" si="1"/>
        <v>-240.1897528223808</v>
      </c>
      <c r="V34" s="147">
        <v>4251</v>
      </c>
      <c r="W34" s="156">
        <v>43374</v>
      </c>
      <c r="X34" s="156">
        <v>44326</v>
      </c>
      <c r="Y34" s="148" t="s">
        <v>959</v>
      </c>
      <c r="Z34" s="148" t="s">
        <v>823</v>
      </c>
      <c r="AA34" s="148" t="s">
        <v>963</v>
      </c>
      <c r="AB34" s="232">
        <v>707.11854700000004</v>
      </c>
      <c r="AC34" s="232">
        <f>'Cálculo PU'!T383</f>
        <v>707.11854700000004</v>
      </c>
      <c r="AD34" s="235">
        <f t="shared" si="2"/>
        <v>0</v>
      </c>
      <c r="AF34">
        <v>4271</v>
      </c>
      <c r="AG34" s="215">
        <v>43374</v>
      </c>
      <c r="AH34" s="215">
        <v>44326</v>
      </c>
      <c r="AI34" t="s">
        <v>959</v>
      </c>
      <c r="AJ34" t="s">
        <v>823</v>
      </c>
      <c r="AK34" t="s">
        <v>827</v>
      </c>
      <c r="AL34" s="230">
        <v>1.066397456737</v>
      </c>
      <c r="AM34" s="230">
        <f>'Cálculo PU'!O383</f>
        <v>1.1412225567114884</v>
      </c>
      <c r="AN34" s="192">
        <f t="shared" si="3"/>
        <v>-7.4825099974488385E-2</v>
      </c>
      <c r="AP34">
        <v>4259</v>
      </c>
      <c r="AQ34" s="215">
        <v>43374</v>
      </c>
      <c r="AR34" s="215">
        <v>44326</v>
      </c>
      <c r="AS34" t="s">
        <v>959</v>
      </c>
      <c r="AT34" t="s">
        <v>823</v>
      </c>
      <c r="AU34" t="s">
        <v>943</v>
      </c>
      <c r="AV34">
        <v>656</v>
      </c>
      <c r="AW34" s="241">
        <f>'Cálculo PU'!L383</f>
        <v>1348</v>
      </c>
      <c r="AX34" s="241">
        <f t="shared" si="4"/>
        <v>-692</v>
      </c>
    </row>
    <row r="35" spans="2:50">
      <c r="B35" s="147">
        <v>4311</v>
      </c>
      <c r="C35" s="156">
        <v>43374</v>
      </c>
      <c r="D35" s="156">
        <v>44356</v>
      </c>
      <c r="E35" s="148" t="s">
        <v>959</v>
      </c>
      <c r="F35" s="148" t="s">
        <v>823</v>
      </c>
      <c r="G35" s="148" t="s">
        <v>960</v>
      </c>
      <c r="H35" s="232">
        <v>503.45276808912001</v>
      </c>
      <c r="I35" s="232">
        <f>'Cálculo PU'!V384</f>
        <v>265.40029693030357</v>
      </c>
      <c r="J35" s="235">
        <f t="shared" si="0"/>
        <v>-238.05247115881645</v>
      </c>
      <c r="L35" s="147">
        <v>4299</v>
      </c>
      <c r="M35" s="156">
        <v>43374</v>
      </c>
      <c r="N35" s="156">
        <v>44356</v>
      </c>
      <c r="O35" s="148" t="s">
        <v>959</v>
      </c>
      <c r="P35" s="148" t="s">
        <v>823</v>
      </c>
      <c r="Q35" s="148" t="s">
        <v>962</v>
      </c>
      <c r="R35" s="232">
        <v>537.98675715037598</v>
      </c>
      <c r="S35" s="232">
        <f>'Cálculo PU'!U384</f>
        <v>303.50475754596033</v>
      </c>
      <c r="T35" s="235">
        <f t="shared" si="1"/>
        <v>-234.48199960441565</v>
      </c>
      <c r="V35" s="147">
        <v>4290</v>
      </c>
      <c r="W35" s="156">
        <v>43374</v>
      </c>
      <c r="X35" s="156">
        <v>44356</v>
      </c>
      <c r="Y35" s="148" t="s">
        <v>959</v>
      </c>
      <c r="Z35" s="148" t="s">
        <v>823</v>
      </c>
      <c r="AA35" s="148" t="s">
        <v>963</v>
      </c>
      <c r="AB35" s="232">
        <v>694.46639200000004</v>
      </c>
      <c r="AC35" s="232">
        <f>'Cálculo PU'!T384</f>
        <v>694.46639200000004</v>
      </c>
      <c r="AD35" s="235">
        <f t="shared" si="2"/>
        <v>0</v>
      </c>
      <c r="AF35">
        <v>4310</v>
      </c>
      <c r="AG35" s="215">
        <v>43374</v>
      </c>
      <c r="AH35" s="215">
        <v>44356</v>
      </c>
      <c r="AI35" t="s">
        <v>959</v>
      </c>
      <c r="AJ35" t="s">
        <v>823</v>
      </c>
      <c r="AK35" t="s">
        <v>827</v>
      </c>
      <c r="AL35" s="230">
        <v>1.0685942977180001</v>
      </c>
      <c r="AM35" s="230">
        <f>'Cálculo PU'!O384</f>
        <v>1.1435735417645871</v>
      </c>
      <c r="AN35" s="192">
        <f t="shared" si="3"/>
        <v>-7.4979244046587068E-2</v>
      </c>
      <c r="AP35">
        <v>4298</v>
      </c>
      <c r="AQ35" s="215">
        <v>43374</v>
      </c>
      <c r="AR35" s="215">
        <v>44356</v>
      </c>
      <c r="AS35" t="s">
        <v>959</v>
      </c>
      <c r="AT35" t="s">
        <v>823</v>
      </c>
      <c r="AU35" t="s">
        <v>943</v>
      </c>
      <c r="AV35">
        <v>677</v>
      </c>
      <c r="AW35" s="241">
        <f>'Cálculo PU'!L384</f>
        <v>1369</v>
      </c>
      <c r="AX35" s="241">
        <f t="shared" si="4"/>
        <v>-692</v>
      </c>
    </row>
    <row r="36" spans="2:50">
      <c r="B36" s="147">
        <v>4350</v>
      </c>
      <c r="C36" s="156">
        <v>43374</v>
      </c>
      <c r="D36" s="156">
        <v>44385</v>
      </c>
      <c r="E36" s="148" t="s">
        <v>959</v>
      </c>
      <c r="F36" s="148" t="s">
        <v>823</v>
      </c>
      <c r="G36" s="148" t="s">
        <v>960</v>
      </c>
      <c r="H36" s="232">
        <v>491.74532003824203</v>
      </c>
      <c r="I36" s="232">
        <f>'Cálculo PU'!V385</f>
        <v>258.52546385819016</v>
      </c>
      <c r="J36" s="235">
        <f t="shared" si="0"/>
        <v>-233.21985618005186</v>
      </c>
      <c r="L36" s="147">
        <v>4338</v>
      </c>
      <c r="M36" s="156">
        <v>43374</v>
      </c>
      <c r="N36" s="156">
        <v>44385</v>
      </c>
      <c r="O36" s="148" t="s">
        <v>959</v>
      </c>
      <c r="P36" s="148" t="s">
        <v>823</v>
      </c>
      <c r="Q36" s="148" t="s">
        <v>962</v>
      </c>
      <c r="R36" s="232">
        <v>526.55875664709197</v>
      </c>
      <c r="S36" s="232">
        <f>'Cálculo PU'!U385</f>
        <v>296.25192192385452</v>
      </c>
      <c r="T36" s="235">
        <f t="shared" si="1"/>
        <v>-230.30683472323744</v>
      </c>
      <c r="V36" s="147">
        <v>4329</v>
      </c>
      <c r="W36" s="156">
        <v>43374</v>
      </c>
      <c r="X36" s="156">
        <v>44385</v>
      </c>
      <c r="Y36" s="148" t="s">
        <v>959</v>
      </c>
      <c r="Z36" s="148" t="s">
        <v>823</v>
      </c>
      <c r="AA36" s="148" t="s">
        <v>963</v>
      </c>
      <c r="AB36" s="232">
        <v>686.40925600000003</v>
      </c>
      <c r="AC36" s="232">
        <f>'Cálculo PU'!T385</f>
        <v>686.40925600000003</v>
      </c>
      <c r="AD36" s="235">
        <f t="shared" si="2"/>
        <v>0</v>
      </c>
      <c r="AF36">
        <v>4349</v>
      </c>
      <c r="AG36" s="215">
        <v>43374</v>
      </c>
      <c r="AH36" s="215">
        <v>44385</v>
      </c>
      <c r="AI36" t="s">
        <v>959</v>
      </c>
      <c r="AJ36" t="s">
        <v>823</v>
      </c>
      <c r="AK36" t="s">
        <v>827</v>
      </c>
      <c r="AL36" s="230">
        <v>1.0707956643209999</v>
      </c>
      <c r="AM36" s="230">
        <f>'Cálculo PU'!O385</f>
        <v>1.1459293699840669</v>
      </c>
      <c r="AN36" s="192">
        <f t="shared" si="3"/>
        <v>-7.5133705663066985E-2</v>
      </c>
      <c r="AP36">
        <v>4337</v>
      </c>
      <c r="AQ36" s="215">
        <v>43374</v>
      </c>
      <c r="AR36" s="215">
        <v>44385</v>
      </c>
      <c r="AS36" t="s">
        <v>959</v>
      </c>
      <c r="AT36" t="s">
        <v>823</v>
      </c>
      <c r="AU36" t="s">
        <v>943</v>
      </c>
      <c r="AV36">
        <v>698</v>
      </c>
      <c r="AW36" s="241">
        <f>'Cálculo PU'!L385</f>
        <v>1390</v>
      </c>
      <c r="AX36" s="241">
        <f t="shared" si="4"/>
        <v>-692</v>
      </c>
    </row>
    <row r="37" spans="2:50">
      <c r="B37" s="147">
        <v>4389</v>
      </c>
      <c r="C37" s="156">
        <v>43374</v>
      </c>
      <c r="D37" s="156">
        <v>44417</v>
      </c>
      <c r="E37" s="148" t="s">
        <v>959</v>
      </c>
      <c r="F37" s="148" t="s">
        <v>823</v>
      </c>
      <c r="G37" s="148" t="s">
        <v>960</v>
      </c>
      <c r="H37" s="232">
        <v>476.64230091374401</v>
      </c>
      <c r="I37" s="232">
        <f>'Cálculo PU'!V386</f>
        <v>249.91653738192002</v>
      </c>
      <c r="J37" s="235">
        <f t="shared" si="0"/>
        <v>-226.72576353182399</v>
      </c>
      <c r="L37" s="147">
        <v>4377</v>
      </c>
      <c r="M37" s="156">
        <v>43374</v>
      </c>
      <c r="N37" s="156">
        <v>44417</v>
      </c>
      <c r="O37" s="148" t="s">
        <v>959</v>
      </c>
      <c r="P37" s="148" t="s">
        <v>823</v>
      </c>
      <c r="Q37" s="148" t="s">
        <v>962</v>
      </c>
      <c r="R37" s="232">
        <v>511.48805713488002</v>
      </c>
      <c r="S37" s="232">
        <f>'Cálculo PU'!U386</f>
        <v>287.00479780580736</v>
      </c>
      <c r="T37" s="235">
        <f t="shared" si="1"/>
        <v>-224.48325932907267</v>
      </c>
      <c r="V37" s="147">
        <v>4368</v>
      </c>
      <c r="W37" s="156">
        <v>43374</v>
      </c>
      <c r="X37" s="156">
        <v>44417</v>
      </c>
      <c r="Y37" s="148" t="s">
        <v>959</v>
      </c>
      <c r="Z37" s="148" t="s">
        <v>823</v>
      </c>
      <c r="AA37" s="148" t="s">
        <v>963</v>
      </c>
      <c r="AB37" s="232">
        <v>673.76345200000003</v>
      </c>
      <c r="AC37" s="232">
        <f>'Cálculo PU'!T386</f>
        <v>673.76345200000003</v>
      </c>
      <c r="AD37" s="235">
        <f t="shared" si="2"/>
        <v>0</v>
      </c>
      <c r="AF37">
        <v>4388</v>
      </c>
      <c r="AG37" s="215">
        <v>43374</v>
      </c>
      <c r="AH37" s="215">
        <v>44417</v>
      </c>
      <c r="AI37" t="s">
        <v>959</v>
      </c>
      <c r="AJ37" t="s">
        <v>823</v>
      </c>
      <c r="AK37" t="s">
        <v>827</v>
      </c>
      <c r="AL37" s="230">
        <v>1.073106722073</v>
      </c>
      <c r="AM37" s="230">
        <f>'Cálculo PU'!O386</f>
        <v>1.1484025859689686</v>
      </c>
      <c r="AN37" s="192">
        <f t="shared" si="3"/>
        <v>-7.5295863895968651E-2</v>
      </c>
      <c r="AP37">
        <v>4376</v>
      </c>
      <c r="AQ37" s="215">
        <v>43374</v>
      </c>
      <c r="AR37" s="215">
        <v>44417</v>
      </c>
      <c r="AS37" t="s">
        <v>959</v>
      </c>
      <c r="AT37" t="s">
        <v>823</v>
      </c>
      <c r="AU37" t="s">
        <v>943</v>
      </c>
      <c r="AV37">
        <v>720</v>
      </c>
      <c r="AW37" s="241">
        <f>'Cálculo PU'!L386</f>
        <v>1412</v>
      </c>
      <c r="AX37" s="241">
        <f t="shared" si="4"/>
        <v>-692</v>
      </c>
    </row>
    <row r="38" spans="2:50">
      <c r="B38" s="147">
        <v>4428</v>
      </c>
      <c r="C38" s="156">
        <v>43374</v>
      </c>
      <c r="D38" s="156">
        <v>44448</v>
      </c>
      <c r="E38" s="148" t="s">
        <v>959</v>
      </c>
      <c r="F38" s="148" t="s">
        <v>823</v>
      </c>
      <c r="G38" s="148" t="s">
        <v>960</v>
      </c>
      <c r="H38" s="232">
        <v>464.842368796139</v>
      </c>
      <c r="I38" s="232">
        <f>'Cálculo PU'!V387</f>
        <v>243.07919824501377</v>
      </c>
      <c r="J38" s="235">
        <f t="shared" si="0"/>
        <v>-221.76317055112523</v>
      </c>
      <c r="L38" s="147">
        <v>4416</v>
      </c>
      <c r="M38" s="156">
        <v>43374</v>
      </c>
      <c r="N38" s="156">
        <v>44448</v>
      </c>
      <c r="O38" s="148" t="s">
        <v>959</v>
      </c>
      <c r="P38" s="148" t="s">
        <v>823</v>
      </c>
      <c r="Q38" s="148" t="s">
        <v>962</v>
      </c>
      <c r="R38" s="232">
        <v>499.90206679171399</v>
      </c>
      <c r="S38" s="232">
        <f>'Cálculo PU'!U387</f>
        <v>279.75526473845491</v>
      </c>
      <c r="T38" s="235">
        <f t="shared" si="1"/>
        <v>-220.14680205325908</v>
      </c>
      <c r="V38" s="147">
        <v>4407</v>
      </c>
      <c r="W38" s="156">
        <v>43374</v>
      </c>
      <c r="X38" s="156">
        <v>44448</v>
      </c>
      <c r="Y38" s="148" t="s">
        <v>959</v>
      </c>
      <c r="Z38" s="148" t="s">
        <v>823</v>
      </c>
      <c r="AA38" s="148" t="s">
        <v>963</v>
      </c>
      <c r="AB38" s="232">
        <v>665.41493400000002</v>
      </c>
      <c r="AC38" s="232">
        <f>'Cálculo PU'!T387</f>
        <v>665.41493400000002</v>
      </c>
      <c r="AD38" s="235">
        <f t="shared" si="2"/>
        <v>0</v>
      </c>
      <c r="AF38">
        <v>4427</v>
      </c>
      <c r="AG38" s="215">
        <v>43374</v>
      </c>
      <c r="AH38" s="215">
        <v>44448</v>
      </c>
      <c r="AI38" t="s">
        <v>959</v>
      </c>
      <c r="AJ38" t="s">
        <v>823</v>
      </c>
      <c r="AK38" t="s">
        <v>827</v>
      </c>
      <c r="AL38" s="230">
        <v>1.0754227676929999</v>
      </c>
      <c r="AM38" s="230">
        <f>'Cálculo PU'!O387</f>
        <v>1.1508811398023173</v>
      </c>
      <c r="AN38" s="192">
        <f t="shared" si="3"/>
        <v>-7.5458372109317384E-2</v>
      </c>
      <c r="AP38">
        <v>4415</v>
      </c>
      <c r="AQ38" s="215">
        <v>43374</v>
      </c>
      <c r="AR38" s="215">
        <v>44448</v>
      </c>
      <c r="AS38" t="s">
        <v>959</v>
      </c>
      <c r="AT38" t="s">
        <v>823</v>
      </c>
      <c r="AU38" t="s">
        <v>943</v>
      </c>
      <c r="AV38">
        <v>742</v>
      </c>
      <c r="AW38" s="241">
        <f>'Cálculo PU'!L387</f>
        <v>1434</v>
      </c>
      <c r="AX38" s="241">
        <f t="shared" si="4"/>
        <v>-692</v>
      </c>
    </row>
    <row r="39" spans="2:50">
      <c r="B39" s="147">
        <v>4467</v>
      </c>
      <c r="C39" s="156">
        <v>43374</v>
      </c>
      <c r="D39" s="156">
        <v>44480</v>
      </c>
      <c r="E39" s="148" t="s">
        <v>959</v>
      </c>
      <c r="F39" s="148" t="s">
        <v>823</v>
      </c>
      <c r="G39" s="148" t="s">
        <v>960</v>
      </c>
      <c r="H39" s="232">
        <v>457.11024537037503</v>
      </c>
      <c r="I39" s="232">
        <f>'Cálculo PU'!V388</f>
        <v>238.4407012336421</v>
      </c>
      <c r="J39" s="235">
        <f t="shared" si="0"/>
        <v>-218.66954413673292</v>
      </c>
      <c r="L39" s="147">
        <v>4455</v>
      </c>
      <c r="M39" s="156">
        <v>43374</v>
      </c>
      <c r="N39" s="156">
        <v>44480</v>
      </c>
      <c r="O39" s="148" t="s">
        <v>959</v>
      </c>
      <c r="P39" s="148" t="s">
        <v>823</v>
      </c>
      <c r="Q39" s="148" t="s">
        <v>962</v>
      </c>
      <c r="R39" s="232">
        <v>492.59946263593099</v>
      </c>
      <c r="S39" s="232">
        <f>'Cálculo PU'!U388</f>
        <v>274.98222084867001</v>
      </c>
      <c r="T39" s="235">
        <f t="shared" si="1"/>
        <v>-217.61724178726098</v>
      </c>
      <c r="V39" s="147">
        <v>4446</v>
      </c>
      <c r="W39" s="156">
        <v>43374</v>
      </c>
      <c r="X39" s="156">
        <v>44480</v>
      </c>
      <c r="Y39" s="148" t="s">
        <v>959</v>
      </c>
      <c r="Z39" s="148" t="s">
        <v>823</v>
      </c>
      <c r="AA39" s="148" t="s">
        <v>963</v>
      </c>
      <c r="AB39" s="232">
        <v>662.29617499999904</v>
      </c>
      <c r="AC39" s="232">
        <f>'Cálculo PU'!T388</f>
        <v>662.29617499999995</v>
      </c>
      <c r="AD39" s="235">
        <f t="shared" si="2"/>
        <v>9.0949470177292824E-13</v>
      </c>
      <c r="AF39">
        <v>4466</v>
      </c>
      <c r="AG39" s="215">
        <v>43374</v>
      </c>
      <c r="AH39" s="215">
        <v>44480</v>
      </c>
      <c r="AI39" t="s">
        <v>959</v>
      </c>
      <c r="AJ39" t="s">
        <v>823</v>
      </c>
      <c r="AK39" t="s">
        <v>827</v>
      </c>
      <c r="AL39" s="230">
        <v>1.0776382013420001</v>
      </c>
      <c r="AM39" s="230">
        <f>'Cálculo PU'!O388</f>
        <v>1.153252022100127</v>
      </c>
      <c r="AN39" s="192">
        <f t="shared" si="3"/>
        <v>-7.5613820758126948E-2</v>
      </c>
      <c r="AP39">
        <v>4454</v>
      </c>
      <c r="AQ39" s="215">
        <v>43374</v>
      </c>
      <c r="AR39" s="215">
        <v>44480</v>
      </c>
      <c r="AS39" t="s">
        <v>959</v>
      </c>
      <c r="AT39" t="s">
        <v>823</v>
      </c>
      <c r="AU39" t="s">
        <v>943</v>
      </c>
      <c r="AV39">
        <v>763</v>
      </c>
      <c r="AW39" s="241">
        <f>'Cálculo PU'!L388</f>
        <v>1455</v>
      </c>
      <c r="AX39" s="241">
        <f t="shared" si="4"/>
        <v>-692</v>
      </c>
    </row>
    <row r="40" spans="2:50">
      <c r="B40" s="147">
        <v>4506</v>
      </c>
      <c r="C40" s="156">
        <v>43374</v>
      </c>
      <c r="D40" s="156">
        <v>44510</v>
      </c>
      <c r="E40" s="148" t="s">
        <v>959</v>
      </c>
      <c r="F40" s="148" t="s">
        <v>823</v>
      </c>
      <c r="G40" s="148" t="s">
        <v>960</v>
      </c>
      <c r="H40" s="232">
        <v>449.70555400130598</v>
      </c>
      <c r="I40" s="232">
        <f>'Cálculo PU'!V389</f>
        <v>234.03959797393523</v>
      </c>
      <c r="J40" s="235">
        <f t="shared" si="0"/>
        <v>-215.66595602737075</v>
      </c>
      <c r="L40" s="147">
        <v>4494</v>
      </c>
      <c r="M40" s="156">
        <v>43374</v>
      </c>
      <c r="N40" s="156">
        <v>44510</v>
      </c>
      <c r="O40" s="148" t="s">
        <v>959</v>
      </c>
      <c r="P40" s="148" t="s">
        <v>823</v>
      </c>
      <c r="Q40" s="148" t="s">
        <v>962</v>
      </c>
      <c r="R40" s="232">
        <v>485.57064273310101</v>
      </c>
      <c r="S40" s="232">
        <f>'Cálculo PU'!U389</f>
        <v>270.43615977960764</v>
      </c>
      <c r="T40" s="235">
        <f t="shared" si="1"/>
        <v>-215.13448295349338</v>
      </c>
      <c r="V40" s="147">
        <v>4485</v>
      </c>
      <c r="W40" s="156">
        <v>43374</v>
      </c>
      <c r="X40" s="156">
        <v>44510</v>
      </c>
      <c r="Y40" s="148" t="s">
        <v>959</v>
      </c>
      <c r="Z40" s="148" t="s">
        <v>823</v>
      </c>
      <c r="AA40" s="148" t="s">
        <v>963</v>
      </c>
      <c r="AB40" s="232">
        <v>659.14534900000001</v>
      </c>
      <c r="AC40" s="232">
        <f>'Cálculo PU'!T389</f>
        <v>659.14534900000001</v>
      </c>
      <c r="AD40" s="235">
        <f t="shared" si="2"/>
        <v>0</v>
      </c>
      <c r="AF40">
        <v>4505</v>
      </c>
      <c r="AG40" s="215">
        <v>43374</v>
      </c>
      <c r="AH40" s="215">
        <v>44510</v>
      </c>
      <c r="AI40" t="s">
        <v>959</v>
      </c>
      <c r="AJ40" t="s">
        <v>823</v>
      </c>
      <c r="AK40" t="s">
        <v>827</v>
      </c>
      <c r="AL40" s="230">
        <v>1.079752381114</v>
      </c>
      <c r="AM40" s="230">
        <f>'Cálculo PU'!O389</f>
        <v>1.1555145459176779</v>
      </c>
      <c r="AN40" s="192">
        <f t="shared" si="3"/>
        <v>-7.5762164803677923E-2</v>
      </c>
      <c r="AP40">
        <v>4493</v>
      </c>
      <c r="AQ40" s="215">
        <v>43374</v>
      </c>
      <c r="AR40" s="215">
        <v>44510</v>
      </c>
      <c r="AS40" t="s">
        <v>959</v>
      </c>
      <c r="AT40" t="s">
        <v>823</v>
      </c>
      <c r="AU40" t="s">
        <v>943</v>
      </c>
      <c r="AV40">
        <v>783</v>
      </c>
      <c r="AW40" s="241">
        <f>'Cálculo PU'!L389</f>
        <v>1475</v>
      </c>
      <c r="AX40" s="241">
        <f t="shared" si="4"/>
        <v>-692</v>
      </c>
    </row>
    <row r="41" spans="2:50">
      <c r="B41" s="147">
        <v>4545</v>
      </c>
      <c r="C41" s="156">
        <v>43374</v>
      </c>
      <c r="D41" s="156">
        <v>44538</v>
      </c>
      <c r="E41" s="148" t="s">
        <v>959</v>
      </c>
      <c r="F41" s="148" t="s">
        <v>823</v>
      </c>
      <c r="G41" s="148" t="s">
        <v>960</v>
      </c>
      <c r="H41" s="232">
        <v>439.69972551821502</v>
      </c>
      <c r="I41" s="232">
        <f>'Cálculo PU'!V390</f>
        <v>228.30680937502163</v>
      </c>
      <c r="J41" s="235">
        <f t="shared" si="0"/>
        <v>-211.39291614319339</v>
      </c>
      <c r="L41" s="147">
        <v>4533</v>
      </c>
      <c r="M41" s="156">
        <v>43374</v>
      </c>
      <c r="N41" s="156">
        <v>44538</v>
      </c>
      <c r="O41" s="148" t="s">
        <v>959</v>
      </c>
      <c r="P41" s="148" t="s">
        <v>823</v>
      </c>
      <c r="Q41" s="148" t="s">
        <v>962</v>
      </c>
      <c r="R41" s="232">
        <v>475.69825362641001</v>
      </c>
      <c r="S41" s="232">
        <f>'Cálculo PU'!U390</f>
        <v>264.3294021589507</v>
      </c>
      <c r="T41" s="235">
        <f t="shared" si="1"/>
        <v>-211.36885146745931</v>
      </c>
      <c r="V41" s="147">
        <v>4524</v>
      </c>
      <c r="W41" s="156">
        <v>43374</v>
      </c>
      <c r="X41" s="156">
        <v>44538</v>
      </c>
      <c r="Y41" s="148" t="s">
        <v>959</v>
      </c>
      <c r="Z41" s="148" t="s">
        <v>823</v>
      </c>
      <c r="AA41" s="148" t="s">
        <v>963</v>
      </c>
      <c r="AB41" s="232">
        <v>651.97476200000006</v>
      </c>
      <c r="AC41" s="232">
        <f>'Cálculo PU'!T390</f>
        <v>651.97476200000006</v>
      </c>
      <c r="AD41" s="235">
        <f t="shared" si="2"/>
        <v>0</v>
      </c>
      <c r="AF41">
        <v>4544</v>
      </c>
      <c r="AG41" s="215">
        <v>43374</v>
      </c>
      <c r="AH41" s="215">
        <v>44538</v>
      </c>
      <c r="AI41" t="s">
        <v>959</v>
      </c>
      <c r="AJ41" t="s">
        <v>823</v>
      </c>
      <c r="AK41" t="s">
        <v>827</v>
      </c>
      <c r="AL41" s="230">
        <v>1.0818707086199999</v>
      </c>
      <c r="AM41" s="230">
        <f>'Cálculo PU'!O390</f>
        <v>1.157781508499633</v>
      </c>
      <c r="AN41" s="192">
        <f t="shared" si="3"/>
        <v>-7.5910799879633117E-2</v>
      </c>
      <c r="AP41">
        <v>4532</v>
      </c>
      <c r="AQ41" s="215">
        <v>43374</v>
      </c>
      <c r="AR41" s="215">
        <v>44538</v>
      </c>
      <c r="AS41" t="s">
        <v>959</v>
      </c>
      <c r="AT41" t="s">
        <v>823</v>
      </c>
      <c r="AU41" t="s">
        <v>943</v>
      </c>
      <c r="AV41">
        <v>803</v>
      </c>
      <c r="AW41" s="241">
        <f>'Cálculo PU'!L390</f>
        <v>1495</v>
      </c>
      <c r="AX41" s="241">
        <f t="shared" si="4"/>
        <v>-692</v>
      </c>
    </row>
    <row r="42" spans="2:50">
      <c r="B42" s="147">
        <v>4584</v>
      </c>
      <c r="C42" s="156">
        <v>43374</v>
      </c>
      <c r="D42" s="156">
        <v>44571</v>
      </c>
      <c r="E42" s="148" t="s">
        <v>959</v>
      </c>
      <c r="F42" s="148" t="s">
        <v>823</v>
      </c>
      <c r="G42" s="148" t="s">
        <v>960</v>
      </c>
      <c r="H42" s="232">
        <v>456.89222203567999</v>
      </c>
      <c r="I42" s="232">
        <f>'Cálculo PU'!V391</f>
        <v>236.5959810099728</v>
      </c>
      <c r="J42" s="235">
        <f t="shared" si="0"/>
        <v>-220.29624102570719</v>
      </c>
      <c r="L42" s="147">
        <v>4572</v>
      </c>
      <c r="M42" s="156">
        <v>43374</v>
      </c>
      <c r="N42" s="156">
        <v>44571</v>
      </c>
      <c r="O42" s="148" t="s">
        <v>959</v>
      </c>
      <c r="P42" s="148" t="s">
        <v>823</v>
      </c>
      <c r="Q42" s="148" t="s">
        <v>962</v>
      </c>
      <c r="R42" s="232">
        <v>495.413684084853</v>
      </c>
      <c r="S42" s="232">
        <f>'Cálculo PU'!U391</f>
        <v>274.54456014681813</v>
      </c>
      <c r="T42" s="235">
        <f t="shared" si="1"/>
        <v>-220.86912393803487</v>
      </c>
      <c r="V42" s="147">
        <v>4563</v>
      </c>
      <c r="W42" s="156">
        <v>43374</v>
      </c>
      <c r="X42" s="156">
        <v>44571</v>
      </c>
      <c r="Y42" s="148" t="s">
        <v>959</v>
      </c>
      <c r="Z42" s="148" t="s">
        <v>823</v>
      </c>
      <c r="AA42" s="148" t="s">
        <v>963</v>
      </c>
      <c r="AB42" s="232">
        <v>686.51037099999905</v>
      </c>
      <c r="AC42" s="232">
        <f>'Cálculo PU'!T391</f>
        <v>686.51037099999996</v>
      </c>
      <c r="AD42" s="235">
        <f t="shared" si="2"/>
        <v>9.0949470177292824E-13</v>
      </c>
      <c r="AF42">
        <v>4583</v>
      </c>
      <c r="AG42" s="215">
        <v>43374</v>
      </c>
      <c r="AH42" s="215">
        <v>44571</v>
      </c>
      <c r="AI42" t="s">
        <v>959</v>
      </c>
      <c r="AJ42" t="s">
        <v>823</v>
      </c>
      <c r="AK42" t="s">
        <v>827</v>
      </c>
      <c r="AL42" s="230">
        <v>1.08431192345</v>
      </c>
      <c r="AM42" s="230">
        <f>'Cálculo PU'!O391</f>
        <v>1.1603940141960642</v>
      </c>
      <c r="AN42" s="192">
        <f t="shared" si="3"/>
        <v>-7.6082090746064202E-2</v>
      </c>
      <c r="AP42">
        <v>4571</v>
      </c>
      <c r="AQ42" s="215">
        <v>43374</v>
      </c>
      <c r="AR42" s="215">
        <v>44571</v>
      </c>
      <c r="AS42" t="s">
        <v>959</v>
      </c>
      <c r="AT42" t="s">
        <v>823</v>
      </c>
      <c r="AU42" t="s">
        <v>943</v>
      </c>
      <c r="AV42">
        <v>826</v>
      </c>
      <c r="AW42" s="241">
        <f>'Cálculo PU'!L391</f>
        <v>1518</v>
      </c>
      <c r="AX42" s="241">
        <f t="shared" si="4"/>
        <v>-692</v>
      </c>
    </row>
    <row r="43" spans="2:50">
      <c r="B43" s="147">
        <v>4623</v>
      </c>
      <c r="C43" s="156">
        <v>43374</v>
      </c>
      <c r="D43" s="156">
        <v>44600</v>
      </c>
      <c r="E43" s="148" t="s">
        <v>959</v>
      </c>
      <c r="F43" s="148" t="s">
        <v>823</v>
      </c>
      <c r="G43" s="148" t="s">
        <v>960</v>
      </c>
      <c r="H43" s="232">
        <v>451.46652530018099</v>
      </c>
      <c r="I43" s="232">
        <f>'Cálculo PU'!V392</f>
        <v>233.19791692408114</v>
      </c>
      <c r="J43" s="235">
        <f t="shared" si="0"/>
        <v>-218.26860837609985</v>
      </c>
      <c r="L43" s="147">
        <v>4611</v>
      </c>
      <c r="M43" s="156">
        <v>43374</v>
      </c>
      <c r="N43" s="156">
        <v>44600</v>
      </c>
      <c r="O43" s="148" t="s">
        <v>959</v>
      </c>
      <c r="P43" s="148" t="s">
        <v>823</v>
      </c>
      <c r="Q43" s="148" t="s">
        <v>962</v>
      </c>
      <c r="R43" s="232">
        <v>490.53899788935001</v>
      </c>
      <c r="S43" s="232">
        <f>'Cálculo PU'!U392</f>
        <v>271.15892173218566</v>
      </c>
      <c r="T43" s="235">
        <f t="shared" si="1"/>
        <v>-219.38007615716435</v>
      </c>
      <c r="V43" s="147">
        <v>4602</v>
      </c>
      <c r="W43" s="156">
        <v>43374</v>
      </c>
      <c r="X43" s="156">
        <v>44600</v>
      </c>
      <c r="Y43" s="148" t="s">
        <v>959</v>
      </c>
      <c r="Z43" s="148" t="s">
        <v>823</v>
      </c>
      <c r="AA43" s="148" t="s">
        <v>963</v>
      </c>
      <c r="AB43" s="232">
        <v>686.58441800000003</v>
      </c>
      <c r="AC43" s="232">
        <f>'Cálculo PU'!T392</f>
        <v>686.58441800000003</v>
      </c>
      <c r="AD43" s="235">
        <f t="shared" si="2"/>
        <v>0</v>
      </c>
      <c r="AF43">
        <v>4622</v>
      </c>
      <c r="AG43" s="215">
        <v>43374</v>
      </c>
      <c r="AH43" s="215">
        <v>44600</v>
      </c>
      <c r="AI43" t="s">
        <v>959</v>
      </c>
      <c r="AJ43" t="s">
        <v>823</v>
      </c>
      <c r="AK43" t="s">
        <v>827</v>
      </c>
      <c r="AL43" s="230">
        <v>1.0865456692790001</v>
      </c>
      <c r="AM43" s="230">
        <f>'Cálculo PU'!O392</f>
        <v>1.1627844935701674</v>
      </c>
      <c r="AN43" s="192">
        <f t="shared" si="3"/>
        <v>-7.6238824291167351E-2</v>
      </c>
      <c r="AP43">
        <v>4610</v>
      </c>
      <c r="AQ43" s="215">
        <v>43374</v>
      </c>
      <c r="AR43" s="215">
        <v>44600</v>
      </c>
      <c r="AS43" t="s">
        <v>959</v>
      </c>
      <c r="AT43" t="s">
        <v>823</v>
      </c>
      <c r="AU43" t="s">
        <v>943</v>
      </c>
      <c r="AV43">
        <v>847</v>
      </c>
      <c r="AW43" s="241">
        <f>'Cálculo PU'!L392</f>
        <v>1539</v>
      </c>
      <c r="AX43" s="241">
        <f t="shared" si="4"/>
        <v>-692</v>
      </c>
    </row>
    <row r="44" spans="2:50">
      <c r="B44" s="147">
        <v>4662</v>
      </c>
      <c r="C44" s="156">
        <v>43374</v>
      </c>
      <c r="D44" s="156">
        <v>44629</v>
      </c>
      <c r="E44" s="148" t="s">
        <v>959</v>
      </c>
      <c r="F44" s="148" t="s">
        <v>823</v>
      </c>
      <c r="G44" s="148" t="s">
        <v>960</v>
      </c>
      <c r="H44" s="232">
        <v>447.3669063063</v>
      </c>
      <c r="I44" s="232">
        <f>'Cálculo PU'!V393</f>
        <v>230.55362955449755</v>
      </c>
      <c r="J44" s="235">
        <f t="shared" si="0"/>
        <v>-216.81327675180245</v>
      </c>
      <c r="L44" s="147">
        <v>4650</v>
      </c>
      <c r="M44" s="156">
        <v>43374</v>
      </c>
      <c r="N44" s="156">
        <v>44629</v>
      </c>
      <c r="O44" s="148" t="s">
        <v>959</v>
      </c>
      <c r="P44" s="148" t="s">
        <v>823</v>
      </c>
      <c r="Q44" s="148" t="s">
        <v>962</v>
      </c>
      <c r="R44" s="232">
        <v>486.990480536245</v>
      </c>
      <c r="S44" s="232">
        <f>'Cálculo PU'!U393</f>
        <v>268.58380841224715</v>
      </c>
      <c r="T44" s="235">
        <f t="shared" si="1"/>
        <v>-218.40667212399785</v>
      </c>
      <c r="V44" s="147">
        <v>4641</v>
      </c>
      <c r="W44" s="156">
        <v>43374</v>
      </c>
      <c r="X44" s="156">
        <v>44629</v>
      </c>
      <c r="Y44" s="148" t="s">
        <v>959</v>
      </c>
      <c r="Z44" s="148" t="s">
        <v>823</v>
      </c>
      <c r="AA44" s="148" t="s">
        <v>963</v>
      </c>
      <c r="AB44" s="232">
        <v>687.81036700000004</v>
      </c>
      <c r="AC44" s="232">
        <f>'Cálculo PU'!T393</f>
        <v>687.81036700000004</v>
      </c>
      <c r="AD44" s="235">
        <f t="shared" si="2"/>
        <v>0</v>
      </c>
      <c r="AF44">
        <v>4661</v>
      </c>
      <c r="AG44" s="215">
        <v>43374</v>
      </c>
      <c r="AH44" s="215">
        <v>44629</v>
      </c>
      <c r="AI44" t="s">
        <v>959</v>
      </c>
      <c r="AJ44" t="s">
        <v>823</v>
      </c>
      <c r="AK44" t="s">
        <v>827</v>
      </c>
      <c r="AL44" s="230">
        <v>1.0885706422879999</v>
      </c>
      <c r="AM44" s="230">
        <f>'Cálculo PU'!O393</f>
        <v>1.1649515513212085</v>
      </c>
      <c r="AN44" s="192">
        <f t="shared" si="3"/>
        <v>-7.6380909033208599E-2</v>
      </c>
      <c r="AP44">
        <v>4649</v>
      </c>
      <c r="AQ44" s="215">
        <v>43374</v>
      </c>
      <c r="AR44" s="215">
        <v>44629</v>
      </c>
      <c r="AS44" t="s">
        <v>959</v>
      </c>
      <c r="AT44" t="s">
        <v>823</v>
      </c>
      <c r="AU44" t="s">
        <v>943</v>
      </c>
      <c r="AV44">
        <v>866</v>
      </c>
      <c r="AW44" s="241">
        <f>'Cálculo PU'!L393</f>
        <v>1558</v>
      </c>
      <c r="AX44" s="241">
        <f t="shared" si="4"/>
        <v>-692</v>
      </c>
    </row>
    <row r="45" spans="2:50">
      <c r="B45" s="147">
        <v>4701</v>
      </c>
      <c r="C45" s="156">
        <v>43374</v>
      </c>
      <c r="D45" s="156">
        <v>44659</v>
      </c>
      <c r="E45" s="148" t="s">
        <v>959</v>
      </c>
      <c r="F45" s="148" t="s">
        <v>823</v>
      </c>
      <c r="G45" s="148" t="s">
        <v>960</v>
      </c>
      <c r="H45" s="232">
        <v>428.81274098243898</v>
      </c>
      <c r="I45" s="232">
        <f>'Cálculo PU'!V394</f>
        <v>220.43927192503844</v>
      </c>
      <c r="J45" s="235">
        <f t="shared" si="0"/>
        <v>-208.37346905740054</v>
      </c>
      <c r="L45" s="147">
        <v>4689</v>
      </c>
      <c r="M45" s="156">
        <v>43374</v>
      </c>
      <c r="N45" s="156">
        <v>44659</v>
      </c>
      <c r="O45" s="148" t="s">
        <v>959</v>
      </c>
      <c r="P45" s="148" t="s">
        <v>823</v>
      </c>
      <c r="Q45" s="148" t="s">
        <v>962</v>
      </c>
      <c r="R45" s="232">
        <v>467.80042245150401</v>
      </c>
      <c r="S45" s="232">
        <f>'Cálculo PU'!U394</f>
        <v>257.35531583433573</v>
      </c>
      <c r="T45" s="235">
        <f t="shared" si="1"/>
        <v>-210.44510661716828</v>
      </c>
      <c r="V45" s="147">
        <v>4680</v>
      </c>
      <c r="W45" s="156">
        <v>43374</v>
      </c>
      <c r="X45" s="156">
        <v>44659</v>
      </c>
      <c r="Y45" s="148" t="s">
        <v>959</v>
      </c>
      <c r="Z45" s="148" t="s">
        <v>823</v>
      </c>
      <c r="AA45" s="148" t="s">
        <v>963</v>
      </c>
      <c r="AB45" s="232">
        <v>667.75722099999905</v>
      </c>
      <c r="AC45" s="232">
        <f>'Cálculo PU'!T394</f>
        <v>667.75722099999996</v>
      </c>
      <c r="AD45" s="235">
        <f t="shared" si="2"/>
        <v>9.0949470177292824E-13</v>
      </c>
      <c r="AF45">
        <v>4700</v>
      </c>
      <c r="AG45" s="215">
        <v>43374</v>
      </c>
      <c r="AH45" s="215">
        <v>44659</v>
      </c>
      <c r="AI45" t="s">
        <v>959</v>
      </c>
      <c r="AJ45" t="s">
        <v>823</v>
      </c>
      <c r="AK45" t="s">
        <v>827</v>
      </c>
      <c r="AL45" s="230">
        <v>1.090920063102</v>
      </c>
      <c r="AM45" s="230">
        <f>'Cálculo PU'!O394</f>
        <v>1.1674658221600858</v>
      </c>
      <c r="AN45" s="192">
        <f t="shared" si="3"/>
        <v>-7.6545759058085805E-2</v>
      </c>
      <c r="AP45">
        <v>4688</v>
      </c>
      <c r="AQ45" s="215">
        <v>43374</v>
      </c>
      <c r="AR45" s="215">
        <v>44659</v>
      </c>
      <c r="AS45" t="s">
        <v>959</v>
      </c>
      <c r="AT45" t="s">
        <v>823</v>
      </c>
      <c r="AU45" t="s">
        <v>943</v>
      </c>
      <c r="AV45">
        <v>888</v>
      </c>
      <c r="AW45" s="241">
        <f>'Cálculo PU'!L394</f>
        <v>1580</v>
      </c>
      <c r="AX45" s="241">
        <f t="shared" si="4"/>
        <v>-692</v>
      </c>
    </row>
    <row r="46" spans="2:50">
      <c r="B46" s="147">
        <v>4740</v>
      </c>
      <c r="C46" s="156">
        <v>43374</v>
      </c>
      <c r="D46" s="156">
        <v>44690</v>
      </c>
      <c r="E46" s="148" t="s">
        <v>959</v>
      </c>
      <c r="F46" s="148" t="s">
        <v>823</v>
      </c>
      <c r="G46" s="148" t="s">
        <v>960</v>
      </c>
      <c r="H46" s="232">
        <v>426.975453747534</v>
      </c>
      <c r="I46" s="232">
        <f>'Cálculo PU'!V395</f>
        <v>219.06063784472281</v>
      </c>
      <c r="J46" s="235">
        <f t="shared" si="0"/>
        <v>-207.9148159028112</v>
      </c>
      <c r="L46" s="147">
        <v>4728</v>
      </c>
      <c r="M46" s="156">
        <v>43374</v>
      </c>
      <c r="N46" s="156">
        <v>44690</v>
      </c>
      <c r="O46" s="148" t="s">
        <v>959</v>
      </c>
      <c r="P46" s="148" t="s">
        <v>823</v>
      </c>
      <c r="Q46" s="148" t="s">
        <v>962</v>
      </c>
      <c r="R46" s="232">
        <v>466.66418361833303</v>
      </c>
      <c r="S46" s="232">
        <f>'Cálculo PU'!U395</f>
        <v>256.22243591129012</v>
      </c>
      <c r="T46" s="235">
        <f t="shared" si="1"/>
        <v>-210.44174770704291</v>
      </c>
      <c r="V46" s="147">
        <v>4719</v>
      </c>
      <c r="W46" s="156">
        <v>43374</v>
      </c>
      <c r="X46" s="156">
        <v>44690</v>
      </c>
      <c r="Y46" s="148" t="s">
        <v>959</v>
      </c>
      <c r="Z46" s="148" t="s">
        <v>823</v>
      </c>
      <c r="AA46" s="148" t="s">
        <v>963</v>
      </c>
      <c r="AB46" s="232">
        <v>672.388958</v>
      </c>
      <c r="AC46" s="232">
        <f>'Cálculo PU'!T395</f>
        <v>672.388958</v>
      </c>
      <c r="AD46" s="235">
        <f t="shared" si="2"/>
        <v>0</v>
      </c>
      <c r="AF46">
        <v>4739</v>
      </c>
      <c r="AG46" s="215">
        <v>43374</v>
      </c>
      <c r="AH46" s="215">
        <v>44690</v>
      </c>
      <c r="AI46" t="s">
        <v>959</v>
      </c>
      <c r="AJ46" t="s">
        <v>823</v>
      </c>
      <c r="AK46" t="s">
        <v>827</v>
      </c>
      <c r="AL46" s="230">
        <v>1.092953188579</v>
      </c>
      <c r="AM46" s="230">
        <f>'Cálculo PU'!O395</f>
        <v>1.1696416044077658</v>
      </c>
      <c r="AN46" s="192">
        <f t="shared" si="3"/>
        <v>-7.6688415828765732E-2</v>
      </c>
      <c r="AP46">
        <v>4727</v>
      </c>
      <c r="AQ46" s="215">
        <v>43374</v>
      </c>
      <c r="AR46" s="215">
        <v>44690</v>
      </c>
      <c r="AS46" t="s">
        <v>959</v>
      </c>
      <c r="AT46" t="s">
        <v>823</v>
      </c>
      <c r="AU46" t="s">
        <v>943</v>
      </c>
      <c r="AV46">
        <v>907</v>
      </c>
      <c r="AW46" s="241">
        <f>'Cálculo PU'!L395</f>
        <v>1599</v>
      </c>
      <c r="AX46" s="241">
        <f t="shared" si="4"/>
        <v>-692</v>
      </c>
    </row>
    <row r="47" spans="2:50">
      <c r="B47" s="147">
        <v>4779</v>
      </c>
      <c r="C47" s="156">
        <v>43374</v>
      </c>
      <c r="D47" s="156">
        <v>44720</v>
      </c>
      <c r="E47" s="148" t="s">
        <v>959</v>
      </c>
      <c r="F47" s="148" t="s">
        <v>823</v>
      </c>
      <c r="G47" s="148" t="s">
        <v>960</v>
      </c>
      <c r="H47" s="232">
        <v>409.37554107539898</v>
      </c>
      <c r="I47" s="232">
        <f>'Cálculo PU'!V396</f>
        <v>209.54846988332503</v>
      </c>
      <c r="J47" s="235">
        <f t="shared" si="0"/>
        <v>-199.82707119207396</v>
      </c>
      <c r="L47" s="147">
        <v>4767</v>
      </c>
      <c r="M47" s="156">
        <v>43374</v>
      </c>
      <c r="N47" s="156">
        <v>44720</v>
      </c>
      <c r="O47" s="148" t="s">
        <v>959</v>
      </c>
      <c r="P47" s="148" t="s">
        <v>823</v>
      </c>
      <c r="Q47" s="148" t="s">
        <v>962</v>
      </c>
      <c r="R47" s="232">
        <v>448.39397051543602</v>
      </c>
      <c r="S47" s="232">
        <f>'Cálculo PU'!U396</f>
        <v>245.62559124858288</v>
      </c>
      <c r="T47" s="235">
        <f t="shared" si="1"/>
        <v>-202.76837926685315</v>
      </c>
      <c r="V47" s="147">
        <v>4758</v>
      </c>
      <c r="W47" s="156">
        <v>43374</v>
      </c>
      <c r="X47" s="156">
        <v>44720</v>
      </c>
      <c r="Y47" s="148" t="s">
        <v>959</v>
      </c>
      <c r="Z47" s="148" t="s">
        <v>823</v>
      </c>
      <c r="AA47" s="148" t="s">
        <v>963</v>
      </c>
      <c r="AB47" s="232">
        <v>653.09256800000003</v>
      </c>
      <c r="AC47" s="232">
        <f>'Cálculo PU'!T396</f>
        <v>653.09256800000003</v>
      </c>
      <c r="AD47" s="235">
        <f t="shared" si="2"/>
        <v>0</v>
      </c>
      <c r="AF47">
        <v>4778</v>
      </c>
      <c r="AG47" s="215">
        <v>43374</v>
      </c>
      <c r="AH47" s="215">
        <v>44720</v>
      </c>
      <c r="AI47" t="s">
        <v>959</v>
      </c>
      <c r="AJ47" t="s">
        <v>823</v>
      </c>
      <c r="AK47" t="s">
        <v>827</v>
      </c>
      <c r="AL47" s="230">
        <v>1.0953120680770001</v>
      </c>
      <c r="AM47" s="230">
        <f>'Cálculo PU'!O396</f>
        <v>1.1721659976106975</v>
      </c>
      <c r="AN47" s="192">
        <f t="shared" si="3"/>
        <v>-7.6853929533697407E-2</v>
      </c>
      <c r="AP47">
        <v>4766</v>
      </c>
      <c r="AQ47" s="215">
        <v>43374</v>
      </c>
      <c r="AR47" s="215">
        <v>44720</v>
      </c>
      <c r="AS47" t="s">
        <v>959</v>
      </c>
      <c r="AT47" t="s">
        <v>823</v>
      </c>
      <c r="AU47" t="s">
        <v>943</v>
      </c>
      <c r="AV47">
        <v>929</v>
      </c>
      <c r="AW47" s="241">
        <f>'Cálculo PU'!L396</f>
        <v>1621</v>
      </c>
      <c r="AX47" s="241">
        <f t="shared" si="4"/>
        <v>-692</v>
      </c>
    </row>
    <row r="48" spans="2:50">
      <c r="B48" s="147">
        <v>4818</v>
      </c>
      <c r="C48" s="156">
        <v>43374</v>
      </c>
      <c r="D48" s="156">
        <v>44750</v>
      </c>
      <c r="E48" s="148" t="s">
        <v>959</v>
      </c>
      <c r="F48" s="148" t="s">
        <v>823</v>
      </c>
      <c r="G48" s="148" t="s">
        <v>960</v>
      </c>
      <c r="H48" s="232">
        <v>402.15828548114501</v>
      </c>
      <c r="I48" s="232">
        <f>'Cálculo PU'!V397</f>
        <v>205.3691184069497</v>
      </c>
      <c r="J48" s="235">
        <f t="shared" si="0"/>
        <v>-196.78916707419532</v>
      </c>
      <c r="L48" s="147">
        <v>4806</v>
      </c>
      <c r="M48" s="156">
        <v>43374</v>
      </c>
      <c r="N48" s="156">
        <v>44750</v>
      </c>
      <c r="O48" s="148" t="s">
        <v>959</v>
      </c>
      <c r="P48" s="148" t="s">
        <v>823</v>
      </c>
      <c r="Q48" s="148" t="s">
        <v>962</v>
      </c>
      <c r="R48" s="232">
        <v>441.39625604181998</v>
      </c>
      <c r="S48" s="232">
        <f>'Cálculo PU'!U397</f>
        <v>241.22260859842254</v>
      </c>
      <c r="T48" s="235">
        <f t="shared" si="1"/>
        <v>-200.17364744339744</v>
      </c>
      <c r="V48" s="147">
        <v>4797</v>
      </c>
      <c r="W48" s="156">
        <v>43374</v>
      </c>
      <c r="X48" s="156">
        <v>44750</v>
      </c>
      <c r="Y48" s="148" t="s">
        <v>959</v>
      </c>
      <c r="Z48" s="148" t="s">
        <v>823</v>
      </c>
      <c r="AA48" s="148" t="s">
        <v>963</v>
      </c>
      <c r="AB48" s="232">
        <v>649.46098400000005</v>
      </c>
      <c r="AC48" s="232">
        <f>'Cálculo PU'!T397</f>
        <v>649.46098400000005</v>
      </c>
      <c r="AD48" s="235">
        <f t="shared" si="2"/>
        <v>0</v>
      </c>
      <c r="AF48">
        <v>4817</v>
      </c>
      <c r="AG48" s="215">
        <v>43374</v>
      </c>
      <c r="AH48" s="215">
        <v>44750</v>
      </c>
      <c r="AI48" t="s">
        <v>959</v>
      </c>
      <c r="AJ48" t="s">
        <v>823</v>
      </c>
      <c r="AK48" t="s">
        <v>827</v>
      </c>
      <c r="AL48" s="230">
        <v>1.0975684748450001</v>
      </c>
      <c r="AM48" s="230">
        <f>'Cálculo PU'!O397</f>
        <v>1.174580727957488</v>
      </c>
      <c r="AN48" s="192">
        <f t="shared" si="3"/>
        <v>-7.7012253112487938E-2</v>
      </c>
      <c r="AP48">
        <v>4805</v>
      </c>
      <c r="AQ48" s="215">
        <v>43374</v>
      </c>
      <c r="AR48" s="215">
        <v>44750</v>
      </c>
      <c r="AS48" t="s">
        <v>959</v>
      </c>
      <c r="AT48" t="s">
        <v>823</v>
      </c>
      <c r="AU48" t="s">
        <v>943</v>
      </c>
      <c r="AV48">
        <v>950</v>
      </c>
      <c r="AW48" s="241">
        <f>'Cálculo PU'!L397</f>
        <v>1642</v>
      </c>
      <c r="AX48" s="241">
        <f t="shared" si="4"/>
        <v>-692</v>
      </c>
    </row>
    <row r="49" spans="2:50">
      <c r="B49" s="147">
        <v>4857</v>
      </c>
      <c r="C49" s="156">
        <v>43374</v>
      </c>
      <c r="D49" s="156">
        <v>44781</v>
      </c>
      <c r="E49" s="148" t="s">
        <v>959</v>
      </c>
      <c r="F49" s="148" t="s">
        <v>823</v>
      </c>
      <c r="G49" s="148" t="s">
        <v>960</v>
      </c>
      <c r="H49" s="232">
        <v>392.76230138817903</v>
      </c>
      <c r="I49" s="232">
        <f>'Cálculo PU'!V398</f>
        <v>200.05252812231575</v>
      </c>
      <c r="J49" s="235">
        <f t="shared" si="0"/>
        <v>-192.70977326586328</v>
      </c>
      <c r="L49" s="147">
        <v>4845</v>
      </c>
      <c r="M49" s="156">
        <v>43374</v>
      </c>
      <c r="N49" s="156">
        <v>44781</v>
      </c>
      <c r="O49" s="148" t="s">
        <v>959</v>
      </c>
      <c r="P49" s="148" t="s">
        <v>823</v>
      </c>
      <c r="Q49" s="148" t="s">
        <v>962</v>
      </c>
      <c r="R49" s="232">
        <v>431.97157731509202</v>
      </c>
      <c r="S49" s="232">
        <f>'Cálculo PU'!U398</f>
        <v>235.46191218063603</v>
      </c>
      <c r="T49" s="235">
        <f t="shared" si="1"/>
        <v>-196.50966513445599</v>
      </c>
      <c r="V49" s="147">
        <v>4836</v>
      </c>
      <c r="W49" s="156">
        <v>43374</v>
      </c>
      <c r="X49" s="156">
        <v>44781</v>
      </c>
      <c r="Y49" s="148" t="s">
        <v>959</v>
      </c>
      <c r="Z49" s="148" t="s">
        <v>823</v>
      </c>
      <c r="AA49" s="148" t="s">
        <v>963</v>
      </c>
      <c r="AB49" s="232">
        <v>641.93034899999896</v>
      </c>
      <c r="AC49" s="232">
        <f>'Cálculo PU'!T398</f>
        <v>641.93034899999998</v>
      </c>
      <c r="AD49" s="235">
        <f t="shared" si="2"/>
        <v>1.0231815394945443E-12</v>
      </c>
      <c r="AF49">
        <v>4856</v>
      </c>
      <c r="AG49" s="215">
        <v>43374</v>
      </c>
      <c r="AH49" s="215">
        <v>44781</v>
      </c>
      <c r="AI49" t="s">
        <v>959</v>
      </c>
      <c r="AJ49" t="s">
        <v>823</v>
      </c>
      <c r="AK49" t="s">
        <v>827</v>
      </c>
      <c r="AL49" s="230">
        <v>1.0998295299430001</v>
      </c>
      <c r="AM49" s="230">
        <f>'Cálculo PU'!O398</f>
        <v>1.1770004327896839</v>
      </c>
      <c r="AN49" s="192">
        <f t="shared" si="3"/>
        <v>-7.717090284668382E-2</v>
      </c>
      <c r="AP49">
        <v>4844</v>
      </c>
      <c r="AQ49" s="215">
        <v>43374</v>
      </c>
      <c r="AR49" s="215">
        <v>44781</v>
      </c>
      <c r="AS49" t="s">
        <v>959</v>
      </c>
      <c r="AT49" t="s">
        <v>823</v>
      </c>
      <c r="AU49" t="s">
        <v>943</v>
      </c>
      <c r="AV49">
        <v>971</v>
      </c>
      <c r="AW49" s="241">
        <f>'Cálculo PU'!L398</f>
        <v>1663</v>
      </c>
      <c r="AX49" s="241">
        <f t="shared" si="4"/>
        <v>-692</v>
      </c>
    </row>
    <row r="50" spans="2:50">
      <c r="B50" s="147">
        <v>4896</v>
      </c>
      <c r="C50" s="156">
        <v>43374</v>
      </c>
      <c r="D50" s="156">
        <v>44813</v>
      </c>
      <c r="E50" s="148" t="s">
        <v>959</v>
      </c>
      <c r="F50" s="148" t="s">
        <v>823</v>
      </c>
      <c r="G50" s="148" t="s">
        <v>960</v>
      </c>
      <c r="H50" s="232">
        <v>378.59349155635601</v>
      </c>
      <c r="I50" s="232">
        <f>'Cálculo PU'!V399</f>
        <v>192.29005407292101</v>
      </c>
      <c r="J50" s="235">
        <f t="shared" si="0"/>
        <v>-186.303437483435</v>
      </c>
      <c r="L50" s="147">
        <v>4884</v>
      </c>
      <c r="M50" s="156">
        <v>43374</v>
      </c>
      <c r="N50" s="156">
        <v>44813</v>
      </c>
      <c r="O50" s="148" t="s">
        <v>959</v>
      </c>
      <c r="P50" s="148" t="s">
        <v>823</v>
      </c>
      <c r="Q50" s="148" t="s">
        <v>962</v>
      </c>
      <c r="R50" s="232">
        <v>417.32787189115101</v>
      </c>
      <c r="S50" s="232">
        <f>'Cálculo PU'!U399</f>
        <v>226.83617477578292</v>
      </c>
      <c r="T50" s="235">
        <f t="shared" si="1"/>
        <v>-190.49169711536808</v>
      </c>
      <c r="V50" s="147">
        <v>4875</v>
      </c>
      <c r="W50" s="156">
        <v>43374</v>
      </c>
      <c r="X50" s="156">
        <v>44813</v>
      </c>
      <c r="Y50" s="148" t="s">
        <v>959</v>
      </c>
      <c r="Z50" s="148" t="s">
        <v>823</v>
      </c>
      <c r="AA50" s="148" t="s">
        <v>963</v>
      </c>
      <c r="AB50" s="232">
        <v>626.94401100000005</v>
      </c>
      <c r="AC50" s="232">
        <f>'Cálculo PU'!T399</f>
        <v>626.94401100000005</v>
      </c>
      <c r="AD50" s="235">
        <f t="shared" si="2"/>
        <v>0</v>
      </c>
      <c r="AF50">
        <v>4895</v>
      </c>
      <c r="AG50" s="215">
        <v>43374</v>
      </c>
      <c r="AH50" s="215">
        <v>44813</v>
      </c>
      <c r="AI50" t="s">
        <v>959</v>
      </c>
      <c r="AJ50" t="s">
        <v>823</v>
      </c>
      <c r="AK50" t="s">
        <v>827</v>
      </c>
      <c r="AL50" s="230">
        <v>1.102311268415</v>
      </c>
      <c r="AM50" s="230">
        <f>'Cálculo PU'!O399</f>
        <v>1.1796563055193754</v>
      </c>
      <c r="AN50" s="192">
        <f t="shared" si="3"/>
        <v>-7.7345037104375347E-2</v>
      </c>
      <c r="AP50">
        <v>4883</v>
      </c>
      <c r="AQ50" s="215">
        <v>43374</v>
      </c>
      <c r="AR50" s="215">
        <v>44813</v>
      </c>
      <c r="AS50" t="s">
        <v>959</v>
      </c>
      <c r="AT50" t="s">
        <v>823</v>
      </c>
      <c r="AU50" t="s">
        <v>943</v>
      </c>
      <c r="AV50">
        <v>994</v>
      </c>
      <c r="AW50" s="241">
        <f>'Cálculo PU'!L399</f>
        <v>1686</v>
      </c>
      <c r="AX50" s="241">
        <f t="shared" si="4"/>
        <v>-692</v>
      </c>
    </row>
    <row r="51" spans="2:50">
      <c r="B51" s="147">
        <v>4935</v>
      </c>
      <c r="C51" s="156">
        <v>43374</v>
      </c>
      <c r="D51" s="156">
        <v>44845</v>
      </c>
      <c r="E51" s="148" t="s">
        <v>959</v>
      </c>
      <c r="F51" s="148" t="s">
        <v>823</v>
      </c>
      <c r="G51" s="148" t="s">
        <v>960</v>
      </c>
      <c r="H51" s="232">
        <v>373.95829267012903</v>
      </c>
      <c r="I51" s="232">
        <f>'Cálculo PU'!V400</f>
        <v>189.47590851983972</v>
      </c>
      <c r="J51" s="235">
        <f t="shared" si="0"/>
        <v>-184.48238415028931</v>
      </c>
      <c r="L51" s="147">
        <v>4923</v>
      </c>
      <c r="M51" s="156">
        <v>43374</v>
      </c>
      <c r="N51" s="156">
        <v>44845</v>
      </c>
      <c r="O51" s="148" t="s">
        <v>959</v>
      </c>
      <c r="P51" s="148" t="s">
        <v>823</v>
      </c>
      <c r="Q51" s="148" t="s">
        <v>962</v>
      </c>
      <c r="R51" s="232">
        <v>413.06763396529499</v>
      </c>
      <c r="S51" s="232">
        <f>'Cálculo PU'!U400</f>
        <v>223.97690715830296</v>
      </c>
      <c r="T51" s="235">
        <f t="shared" si="1"/>
        <v>-189.09072680699202</v>
      </c>
      <c r="V51" s="147">
        <v>4914</v>
      </c>
      <c r="W51" s="156">
        <v>43374</v>
      </c>
      <c r="X51" s="156">
        <v>44845</v>
      </c>
      <c r="Y51" s="148" t="s">
        <v>959</v>
      </c>
      <c r="Z51" s="148" t="s">
        <v>823</v>
      </c>
      <c r="AA51" s="148" t="s">
        <v>963</v>
      </c>
      <c r="AB51" s="232">
        <v>626.83143600000005</v>
      </c>
      <c r="AC51" s="232">
        <f>'Cálculo PU'!T400</f>
        <v>626.83143600000005</v>
      </c>
      <c r="AD51" s="235">
        <f t="shared" si="2"/>
        <v>0</v>
      </c>
      <c r="AF51">
        <v>4934</v>
      </c>
      <c r="AG51" s="215">
        <v>43374</v>
      </c>
      <c r="AH51" s="215">
        <v>44845</v>
      </c>
      <c r="AI51" t="s">
        <v>959</v>
      </c>
      <c r="AJ51" t="s">
        <v>823</v>
      </c>
      <c r="AK51" t="s">
        <v>827</v>
      </c>
      <c r="AL51" s="230">
        <v>1.1045820939440001</v>
      </c>
      <c r="AM51" s="230">
        <f>'Cálculo PU'!O400</f>
        <v>1.1820864663374906</v>
      </c>
      <c r="AN51" s="192">
        <f t="shared" si="3"/>
        <v>-7.7504372393490506E-2</v>
      </c>
      <c r="AP51">
        <v>4922</v>
      </c>
      <c r="AQ51" s="215">
        <v>43374</v>
      </c>
      <c r="AR51" s="215">
        <v>44845</v>
      </c>
      <c r="AS51" t="s">
        <v>959</v>
      </c>
      <c r="AT51" t="s">
        <v>823</v>
      </c>
      <c r="AU51" t="s">
        <v>943</v>
      </c>
      <c r="AV51">
        <v>1015</v>
      </c>
      <c r="AW51" s="241">
        <f>'Cálculo PU'!L400</f>
        <v>1707</v>
      </c>
      <c r="AX51" s="241">
        <f t="shared" si="4"/>
        <v>-692</v>
      </c>
    </row>
    <row r="52" spans="2:50">
      <c r="B52" s="147">
        <v>4974</v>
      </c>
      <c r="C52" s="156">
        <v>43374</v>
      </c>
      <c r="D52" s="156">
        <v>44875</v>
      </c>
      <c r="E52" s="148" t="s">
        <v>959</v>
      </c>
      <c r="F52" s="148" t="s">
        <v>823</v>
      </c>
      <c r="G52" s="148" t="s">
        <v>960</v>
      </c>
      <c r="H52" s="232">
        <v>367.59959962299502</v>
      </c>
      <c r="I52" s="232">
        <f>'Cálculo PU'!V401</f>
        <v>185.86136065233603</v>
      </c>
      <c r="J52" s="235">
        <f t="shared" si="0"/>
        <v>-181.73823897065898</v>
      </c>
      <c r="L52" s="147">
        <v>4962</v>
      </c>
      <c r="M52" s="156">
        <v>43374</v>
      </c>
      <c r="N52" s="156">
        <v>44875</v>
      </c>
      <c r="O52" s="148" t="s">
        <v>959</v>
      </c>
      <c r="P52" s="148" t="s">
        <v>823</v>
      </c>
      <c r="Q52" s="148" t="s">
        <v>962</v>
      </c>
      <c r="R52" s="232">
        <v>406.84053853193899</v>
      </c>
      <c r="S52" s="232">
        <f>'Cálculo PU'!U401</f>
        <v>220.13522883761379</v>
      </c>
      <c r="T52" s="235">
        <f t="shared" si="1"/>
        <v>-186.70530969432519</v>
      </c>
      <c r="V52" s="147">
        <v>4953</v>
      </c>
      <c r="W52" s="156">
        <v>43374</v>
      </c>
      <c r="X52" s="156">
        <v>44875</v>
      </c>
      <c r="Y52" s="148" t="s">
        <v>959</v>
      </c>
      <c r="Z52" s="148" t="s">
        <v>823</v>
      </c>
      <c r="AA52" s="148" t="s">
        <v>963</v>
      </c>
      <c r="AB52" s="232">
        <v>623.46539700000005</v>
      </c>
      <c r="AC52" s="232">
        <f>'Cálculo PU'!T401</f>
        <v>623.46539700000005</v>
      </c>
      <c r="AD52" s="235">
        <f t="shared" si="2"/>
        <v>0</v>
      </c>
      <c r="AF52">
        <v>4973</v>
      </c>
      <c r="AG52" s="215">
        <v>43374</v>
      </c>
      <c r="AH52" s="215">
        <v>44875</v>
      </c>
      <c r="AI52" t="s">
        <v>959</v>
      </c>
      <c r="AJ52" t="s">
        <v>823</v>
      </c>
      <c r="AK52" t="s">
        <v>827</v>
      </c>
      <c r="AL52" s="230">
        <v>1.1067491339740001</v>
      </c>
      <c r="AM52" s="230">
        <f>'Cálculo PU'!O401</f>
        <v>1.1844055594179628</v>
      </c>
      <c r="AN52" s="192">
        <f t="shared" si="3"/>
        <v>-7.7656425443962673E-2</v>
      </c>
      <c r="AP52">
        <v>4961</v>
      </c>
      <c r="AQ52" s="215">
        <v>43374</v>
      </c>
      <c r="AR52" s="215">
        <v>44875</v>
      </c>
      <c r="AS52" t="s">
        <v>959</v>
      </c>
      <c r="AT52" t="s">
        <v>823</v>
      </c>
      <c r="AU52" t="s">
        <v>943</v>
      </c>
      <c r="AV52">
        <v>1035</v>
      </c>
      <c r="AW52" s="241">
        <f>'Cálculo PU'!L401</f>
        <v>1727</v>
      </c>
      <c r="AX52" s="241">
        <f t="shared" si="4"/>
        <v>-692</v>
      </c>
    </row>
    <row r="53" spans="2:50">
      <c r="B53" s="147">
        <v>5013</v>
      </c>
      <c r="C53" s="156">
        <v>43374</v>
      </c>
      <c r="D53" s="156">
        <v>44903</v>
      </c>
      <c r="E53" s="148" t="s">
        <v>959</v>
      </c>
      <c r="F53" s="148" t="s">
        <v>823</v>
      </c>
      <c r="G53" s="148" t="s">
        <v>960</v>
      </c>
      <c r="H53" s="232">
        <v>359.44582748875001</v>
      </c>
      <c r="I53" s="232">
        <f>'Cálculo PU'!V402</f>
        <v>181.35719529689348</v>
      </c>
      <c r="J53" s="235">
        <f t="shared" si="0"/>
        <v>-178.08863219185653</v>
      </c>
      <c r="L53" s="147">
        <v>5001</v>
      </c>
      <c r="M53" s="156">
        <v>43374</v>
      </c>
      <c r="N53" s="156">
        <v>44903</v>
      </c>
      <c r="O53" s="148" t="s">
        <v>959</v>
      </c>
      <c r="P53" s="148" t="s">
        <v>823</v>
      </c>
      <c r="Q53" s="148" t="s">
        <v>962</v>
      </c>
      <c r="R53" s="232">
        <v>398.59681994217698</v>
      </c>
      <c r="S53" s="232">
        <f>'Cálculo PU'!U402</f>
        <v>215.22187969590067</v>
      </c>
      <c r="T53" s="235">
        <f t="shared" si="1"/>
        <v>-183.37494024627631</v>
      </c>
      <c r="V53" s="147">
        <v>4992</v>
      </c>
      <c r="W53" s="156">
        <v>43374</v>
      </c>
      <c r="X53" s="156">
        <v>44903</v>
      </c>
      <c r="Y53" s="148" t="s">
        <v>959</v>
      </c>
      <c r="Z53" s="148" t="s">
        <v>823</v>
      </c>
      <c r="AA53" s="148" t="s">
        <v>963</v>
      </c>
      <c r="AB53" s="232">
        <v>616.85131699999897</v>
      </c>
      <c r="AC53" s="232">
        <f>'Cálculo PU'!T402</f>
        <v>616.85131699999999</v>
      </c>
      <c r="AD53" s="235">
        <f t="shared" si="2"/>
        <v>1.0231815394945443E-12</v>
      </c>
      <c r="AF53">
        <v>5012</v>
      </c>
      <c r="AG53" s="215">
        <v>43374</v>
      </c>
      <c r="AH53" s="215">
        <v>44903</v>
      </c>
      <c r="AI53" t="s">
        <v>959</v>
      </c>
      <c r="AJ53" t="s">
        <v>823</v>
      </c>
      <c r="AK53" t="s">
        <v>827</v>
      </c>
      <c r="AL53" s="230">
        <v>1.108920425442</v>
      </c>
      <c r="AM53" s="230">
        <f>'Cálculo PU'!O402</f>
        <v>1.1867292022440494</v>
      </c>
      <c r="AN53" s="192">
        <f t="shared" si="3"/>
        <v>-7.7808776802049451E-2</v>
      </c>
      <c r="AP53">
        <v>5000</v>
      </c>
      <c r="AQ53" s="215">
        <v>43374</v>
      </c>
      <c r="AR53" s="215">
        <v>44903</v>
      </c>
      <c r="AS53" t="s">
        <v>959</v>
      </c>
      <c r="AT53" t="s">
        <v>823</v>
      </c>
      <c r="AU53" t="s">
        <v>943</v>
      </c>
      <c r="AV53">
        <v>1055</v>
      </c>
      <c r="AW53" s="241">
        <f>'Cálculo PU'!L402</f>
        <v>1747</v>
      </c>
      <c r="AX53" s="241">
        <f t="shared" si="4"/>
        <v>-692</v>
      </c>
    </row>
    <row r="54" spans="2:50">
      <c r="B54" s="147">
        <v>5052</v>
      </c>
      <c r="C54" s="156">
        <v>43374</v>
      </c>
      <c r="D54" s="156">
        <v>44935</v>
      </c>
      <c r="E54" s="148" t="s">
        <v>959</v>
      </c>
      <c r="F54" s="148" t="s">
        <v>823</v>
      </c>
      <c r="G54" s="148" t="s">
        <v>960</v>
      </c>
      <c r="H54" s="232">
        <v>375.252700984211</v>
      </c>
      <c r="I54" s="232">
        <f>'Cálculo PU'!V403</f>
        <v>188.89563552267708</v>
      </c>
      <c r="J54" s="235">
        <f t="shared" si="0"/>
        <v>-186.35706546153392</v>
      </c>
      <c r="L54" s="147">
        <v>5040</v>
      </c>
      <c r="M54" s="156">
        <v>43374</v>
      </c>
      <c r="N54" s="156">
        <v>44935</v>
      </c>
      <c r="O54" s="148" t="s">
        <v>959</v>
      </c>
      <c r="P54" s="148" t="s">
        <v>823</v>
      </c>
      <c r="Q54" s="148" t="s">
        <v>962</v>
      </c>
      <c r="R54" s="232">
        <v>417.02349249079202</v>
      </c>
      <c r="S54" s="232">
        <f>'Cálculo PU'!U403</f>
        <v>224.65178008912903</v>
      </c>
      <c r="T54" s="235">
        <f t="shared" si="1"/>
        <v>-192.37171240166299</v>
      </c>
      <c r="V54" s="147">
        <v>5031</v>
      </c>
      <c r="W54" s="156">
        <v>43374</v>
      </c>
      <c r="X54" s="156">
        <v>44935</v>
      </c>
      <c r="Y54" s="148" t="s">
        <v>959</v>
      </c>
      <c r="Z54" s="148" t="s">
        <v>823</v>
      </c>
      <c r="AA54" s="148" t="s">
        <v>963</v>
      </c>
      <c r="AB54" s="232">
        <v>652.38660000000004</v>
      </c>
      <c r="AC54" s="232">
        <f>'Cálculo PU'!T403</f>
        <v>652.38660000000004</v>
      </c>
      <c r="AD54" s="235">
        <f t="shared" si="2"/>
        <v>0</v>
      </c>
      <c r="AF54">
        <v>5051</v>
      </c>
      <c r="AG54" s="215">
        <v>43374</v>
      </c>
      <c r="AH54" s="215">
        <v>44935</v>
      </c>
      <c r="AI54" t="s">
        <v>959</v>
      </c>
      <c r="AJ54" t="s">
        <v>823</v>
      </c>
      <c r="AK54" t="s">
        <v>827</v>
      </c>
      <c r="AL54" s="230">
        <v>1.1113137664220001</v>
      </c>
      <c r="AM54" s="230">
        <f>'Cálculo PU'!O403</f>
        <v>1.1892904749626119</v>
      </c>
      <c r="AN54" s="192">
        <f t="shared" si="3"/>
        <v>-7.7976708540611783E-2</v>
      </c>
      <c r="AP54">
        <v>5039</v>
      </c>
      <c r="AQ54" s="215">
        <v>43374</v>
      </c>
      <c r="AR54" s="215">
        <v>44935</v>
      </c>
      <c r="AS54" t="s">
        <v>959</v>
      </c>
      <c r="AT54" t="s">
        <v>823</v>
      </c>
      <c r="AU54" t="s">
        <v>943</v>
      </c>
      <c r="AV54">
        <v>1077</v>
      </c>
      <c r="AW54" s="241">
        <f>'Cálculo PU'!L403</f>
        <v>1769</v>
      </c>
      <c r="AX54" s="241">
        <f t="shared" si="4"/>
        <v>-692</v>
      </c>
    </row>
    <row r="55" spans="2:50">
      <c r="B55" s="147">
        <v>5091</v>
      </c>
      <c r="C55" s="156">
        <v>43374</v>
      </c>
      <c r="D55" s="156">
        <v>44965</v>
      </c>
      <c r="E55" s="148" t="s">
        <v>959</v>
      </c>
      <c r="F55" s="148" t="s">
        <v>823</v>
      </c>
      <c r="G55" s="148" t="s">
        <v>960</v>
      </c>
      <c r="H55" s="232">
        <v>365.94836328290501</v>
      </c>
      <c r="I55" s="232">
        <f>'Cálculo PU'!V404</f>
        <v>183.79016753111966</v>
      </c>
      <c r="J55" s="235">
        <f t="shared" si="0"/>
        <v>-182.15819575178534</v>
      </c>
      <c r="L55" s="147">
        <v>5079</v>
      </c>
      <c r="M55" s="156">
        <v>43374</v>
      </c>
      <c r="N55" s="156">
        <v>44965</v>
      </c>
      <c r="O55" s="148" t="s">
        <v>959</v>
      </c>
      <c r="P55" s="148" t="s">
        <v>823</v>
      </c>
      <c r="Q55" s="148" t="s">
        <v>962</v>
      </c>
      <c r="R55" s="232">
        <v>407.56118342156702</v>
      </c>
      <c r="S55" s="232">
        <f>'Cálculo PU'!U404</f>
        <v>219.05164835187338</v>
      </c>
      <c r="T55" s="235">
        <f t="shared" si="1"/>
        <v>-188.50953506969364</v>
      </c>
      <c r="V55" s="147">
        <v>5070</v>
      </c>
      <c r="W55" s="156">
        <v>43374</v>
      </c>
      <c r="X55" s="156">
        <v>44965</v>
      </c>
      <c r="Y55" s="148" t="s">
        <v>959</v>
      </c>
      <c r="Z55" s="148" t="s">
        <v>823</v>
      </c>
      <c r="AA55" s="148" t="s">
        <v>963</v>
      </c>
      <c r="AB55" s="232">
        <v>644.54702699999905</v>
      </c>
      <c r="AC55" s="232">
        <f>'Cálculo PU'!T404</f>
        <v>644.54702699999996</v>
      </c>
      <c r="AD55" s="235">
        <f t="shared" si="2"/>
        <v>9.0949470177292824E-13</v>
      </c>
      <c r="AF55">
        <v>5090</v>
      </c>
      <c r="AG55" s="215">
        <v>43374</v>
      </c>
      <c r="AH55" s="215">
        <v>44965</v>
      </c>
      <c r="AI55" t="s">
        <v>959</v>
      </c>
      <c r="AJ55" t="s">
        <v>823</v>
      </c>
      <c r="AK55" t="s">
        <v>827</v>
      </c>
      <c r="AL55" s="230">
        <v>1.1137122728610001</v>
      </c>
      <c r="AM55" s="230">
        <f>'Cálculo PU'!O404</f>
        <v>1.1918572755791366</v>
      </c>
      <c r="AN55" s="192">
        <f t="shared" si="3"/>
        <v>-7.8145002718136514E-2</v>
      </c>
      <c r="AP55">
        <v>5078</v>
      </c>
      <c r="AQ55" s="215">
        <v>43374</v>
      </c>
      <c r="AR55" s="215">
        <v>44965</v>
      </c>
      <c r="AS55" t="s">
        <v>959</v>
      </c>
      <c r="AT55" t="s">
        <v>823</v>
      </c>
      <c r="AU55" t="s">
        <v>943</v>
      </c>
      <c r="AV55">
        <v>1099</v>
      </c>
      <c r="AW55" s="241">
        <f>'Cálculo PU'!L404</f>
        <v>1791</v>
      </c>
      <c r="AX55" s="241">
        <f t="shared" si="4"/>
        <v>-692</v>
      </c>
    </row>
    <row r="56" spans="2:50">
      <c r="B56" s="147">
        <v>5130</v>
      </c>
      <c r="C56" s="156">
        <v>43374</v>
      </c>
      <c r="D56" s="156">
        <v>44993</v>
      </c>
      <c r="E56" s="148" t="s">
        <v>959</v>
      </c>
      <c r="F56" s="148" t="s">
        <v>823</v>
      </c>
      <c r="G56" s="148" t="s">
        <v>960</v>
      </c>
      <c r="H56" s="232">
        <v>365.85148357223397</v>
      </c>
      <c r="I56" s="232">
        <f>'Cálculo PU'!V405</f>
        <v>183.39650972561327</v>
      </c>
      <c r="J56" s="235">
        <f t="shared" si="0"/>
        <v>-182.4549738466207</v>
      </c>
      <c r="L56" s="147">
        <v>5118</v>
      </c>
      <c r="M56" s="156">
        <v>43374</v>
      </c>
      <c r="N56" s="156">
        <v>44993</v>
      </c>
      <c r="O56" s="148" t="s">
        <v>959</v>
      </c>
      <c r="P56" s="148" t="s">
        <v>823</v>
      </c>
      <c r="Q56" s="148" t="s">
        <v>962</v>
      </c>
      <c r="R56" s="232">
        <v>408.17264798188103</v>
      </c>
      <c r="S56" s="232">
        <f>'Cálculo PU'!U405</f>
        <v>218.96837279482932</v>
      </c>
      <c r="T56" s="235">
        <f t="shared" si="1"/>
        <v>-189.20427518705171</v>
      </c>
      <c r="V56" s="147">
        <v>5109</v>
      </c>
      <c r="W56" s="156">
        <v>43374</v>
      </c>
      <c r="X56" s="156">
        <v>44993</v>
      </c>
      <c r="Y56" s="148" t="s">
        <v>959</v>
      </c>
      <c r="Z56" s="148" t="s">
        <v>823</v>
      </c>
      <c r="AA56" s="148" t="s">
        <v>963</v>
      </c>
      <c r="AB56" s="232">
        <v>651.27632300000005</v>
      </c>
      <c r="AC56" s="232">
        <f>'Cálculo PU'!T405</f>
        <v>651.27632300000005</v>
      </c>
      <c r="AD56" s="235">
        <f t="shared" si="2"/>
        <v>0</v>
      </c>
      <c r="AF56">
        <v>5129</v>
      </c>
      <c r="AG56" s="215">
        <v>43374</v>
      </c>
      <c r="AH56" s="215">
        <v>44993</v>
      </c>
      <c r="AI56" t="s">
        <v>959</v>
      </c>
      <c r="AJ56" t="s">
        <v>823</v>
      </c>
      <c r="AK56" t="s">
        <v>827</v>
      </c>
      <c r="AL56" s="230">
        <v>1.1156785370840001</v>
      </c>
      <c r="AM56" s="230">
        <f>'Cálculo PU'!O405</f>
        <v>1.1939615051695178</v>
      </c>
      <c r="AN56" s="192">
        <f t="shared" si="3"/>
        <v>-7.8282968085517712E-2</v>
      </c>
      <c r="AP56">
        <v>5117</v>
      </c>
      <c r="AQ56" s="215">
        <v>43374</v>
      </c>
      <c r="AR56" s="215">
        <v>44993</v>
      </c>
      <c r="AS56" t="s">
        <v>959</v>
      </c>
      <c r="AT56" t="s">
        <v>823</v>
      </c>
      <c r="AU56" t="s">
        <v>943</v>
      </c>
      <c r="AV56">
        <v>1117</v>
      </c>
      <c r="AW56" s="241">
        <f>'Cálculo PU'!L405</f>
        <v>1809</v>
      </c>
      <c r="AX56" s="241">
        <f t="shared" si="4"/>
        <v>-692</v>
      </c>
    </row>
    <row r="57" spans="2:50">
      <c r="B57" s="147">
        <v>5169</v>
      </c>
      <c r="C57" s="156">
        <v>43374</v>
      </c>
      <c r="D57" s="156">
        <v>45027</v>
      </c>
      <c r="E57" s="148" t="s">
        <v>959</v>
      </c>
      <c r="F57" s="148" t="s">
        <v>823</v>
      </c>
      <c r="G57" s="148" t="s">
        <v>960</v>
      </c>
      <c r="H57" s="232">
        <v>347.69494064399697</v>
      </c>
      <c r="I57" s="232">
        <f>'Cálculo PU'!V406</f>
        <v>173.85057174974233</v>
      </c>
      <c r="J57" s="235">
        <f t="shared" si="0"/>
        <v>-173.84436889425464</v>
      </c>
      <c r="L57" s="147">
        <v>5157</v>
      </c>
      <c r="M57" s="156">
        <v>43374</v>
      </c>
      <c r="N57" s="156">
        <v>45027</v>
      </c>
      <c r="O57" s="148" t="s">
        <v>959</v>
      </c>
      <c r="P57" s="148" t="s">
        <v>823</v>
      </c>
      <c r="Q57" s="148" t="s">
        <v>962</v>
      </c>
      <c r="R57" s="232">
        <v>388.791105218268</v>
      </c>
      <c r="S57" s="232">
        <f>'Cálculo PU'!U406</f>
        <v>208.03926896522952</v>
      </c>
      <c r="T57" s="235">
        <f t="shared" si="1"/>
        <v>-180.75183625303848</v>
      </c>
      <c r="V57" s="147">
        <v>5148</v>
      </c>
      <c r="W57" s="156">
        <v>43374</v>
      </c>
      <c r="X57" s="156">
        <v>45027</v>
      </c>
      <c r="Y57" s="148" t="s">
        <v>959</v>
      </c>
      <c r="Z57" s="148" t="s">
        <v>823</v>
      </c>
      <c r="AA57" s="148" t="s">
        <v>963</v>
      </c>
      <c r="AB57" s="232">
        <v>627.33830499999897</v>
      </c>
      <c r="AC57" s="232">
        <f>'Cálculo PU'!T406</f>
        <v>627.33830499999999</v>
      </c>
      <c r="AD57" s="235">
        <f t="shared" si="2"/>
        <v>1.0231815394945443E-12</v>
      </c>
      <c r="AF57">
        <v>5168</v>
      </c>
      <c r="AG57" s="215">
        <v>43374</v>
      </c>
      <c r="AH57" s="215">
        <v>45027</v>
      </c>
      <c r="AI57" t="s">
        <v>959</v>
      </c>
      <c r="AJ57" t="s">
        <v>823</v>
      </c>
      <c r="AK57" t="s">
        <v>827</v>
      </c>
      <c r="AL57" s="230">
        <v>1.1181960384530001</v>
      </c>
      <c r="AM57" s="230">
        <f>'Cálculo PU'!O406</f>
        <v>1.1966556501447794</v>
      </c>
      <c r="AN57" s="192">
        <f t="shared" si="3"/>
        <v>-7.8459611691779285E-2</v>
      </c>
      <c r="AP57">
        <v>5156</v>
      </c>
      <c r="AQ57" s="215">
        <v>43374</v>
      </c>
      <c r="AR57" s="215">
        <v>45027</v>
      </c>
      <c r="AS57" t="s">
        <v>959</v>
      </c>
      <c r="AT57" t="s">
        <v>823</v>
      </c>
      <c r="AU57" t="s">
        <v>943</v>
      </c>
      <c r="AV57">
        <v>1140</v>
      </c>
      <c r="AW57" s="241">
        <f>'Cálculo PU'!L406</f>
        <v>1832</v>
      </c>
      <c r="AX57" s="241">
        <f t="shared" si="4"/>
        <v>-692</v>
      </c>
    </row>
    <row r="58" spans="2:50">
      <c r="B58" s="147">
        <v>5208</v>
      </c>
      <c r="C58" s="156">
        <v>43374</v>
      </c>
      <c r="D58" s="156">
        <v>45055</v>
      </c>
      <c r="E58" s="148" t="s">
        <v>959</v>
      </c>
      <c r="F58" s="148" t="s">
        <v>823</v>
      </c>
      <c r="G58" s="148" t="s">
        <v>960</v>
      </c>
      <c r="H58" s="232">
        <v>349.33147086855303</v>
      </c>
      <c r="I58" s="232">
        <f>'Cálculo PU'!V407</f>
        <v>174.28724822646254</v>
      </c>
      <c r="J58" s="235">
        <f t="shared" si="0"/>
        <v>-175.04422264209049</v>
      </c>
      <c r="L58" s="147">
        <v>5196</v>
      </c>
      <c r="M58" s="156">
        <v>43374</v>
      </c>
      <c r="N58" s="156">
        <v>45055</v>
      </c>
      <c r="O58" s="148" t="s">
        <v>959</v>
      </c>
      <c r="P58" s="148" t="s">
        <v>823</v>
      </c>
      <c r="Q58" s="148" t="s">
        <v>962</v>
      </c>
      <c r="R58" s="232">
        <v>391.31071015166202</v>
      </c>
      <c r="S58" s="232">
        <f>'Cálculo PU'!U407</f>
        <v>208.93003720693835</v>
      </c>
      <c r="T58" s="235">
        <f t="shared" si="1"/>
        <v>-182.38067294472367</v>
      </c>
      <c r="V58" s="147">
        <v>5187</v>
      </c>
      <c r="W58" s="156">
        <v>43374</v>
      </c>
      <c r="X58" s="156">
        <v>45055</v>
      </c>
      <c r="Y58" s="148" t="s">
        <v>959</v>
      </c>
      <c r="Z58" s="148" t="s">
        <v>823</v>
      </c>
      <c r="AA58" s="148" t="s">
        <v>963</v>
      </c>
      <c r="AB58" s="232">
        <v>636.84184800000003</v>
      </c>
      <c r="AC58" s="232">
        <f>'Cálculo PU'!T407</f>
        <v>636.84184800000003</v>
      </c>
      <c r="AD58" s="235">
        <f t="shared" si="2"/>
        <v>0</v>
      </c>
      <c r="AF58">
        <v>5207</v>
      </c>
      <c r="AG58" s="215">
        <v>43374</v>
      </c>
      <c r="AH58" s="215">
        <v>45055</v>
      </c>
      <c r="AI58" t="s">
        <v>959</v>
      </c>
      <c r="AJ58" t="s">
        <v>823</v>
      </c>
      <c r="AK58" t="s">
        <v>827</v>
      </c>
      <c r="AL58" s="230">
        <v>1.1201702187860001</v>
      </c>
      <c r="AM58" s="230">
        <f>'Cálculo PU'!O407</f>
        <v>1.1987683512878822</v>
      </c>
      <c r="AN58" s="192">
        <f t="shared" si="3"/>
        <v>-7.8598132501882079E-2</v>
      </c>
      <c r="AP58">
        <v>5195</v>
      </c>
      <c r="AQ58" s="215">
        <v>43374</v>
      </c>
      <c r="AR58" s="215">
        <v>45055</v>
      </c>
      <c r="AS58" t="s">
        <v>959</v>
      </c>
      <c r="AT58" t="s">
        <v>823</v>
      </c>
      <c r="AU58" t="s">
        <v>943</v>
      </c>
      <c r="AV58">
        <v>1158</v>
      </c>
      <c r="AW58" s="241">
        <f>'Cálculo PU'!L407</f>
        <v>1850</v>
      </c>
      <c r="AX58" s="241">
        <f t="shared" si="4"/>
        <v>-692</v>
      </c>
    </row>
    <row r="59" spans="2:50">
      <c r="B59" s="147">
        <v>5247</v>
      </c>
      <c r="C59" s="156">
        <v>43374</v>
      </c>
      <c r="D59" s="156">
        <v>45086</v>
      </c>
      <c r="E59" s="148" t="s">
        <v>959</v>
      </c>
      <c r="F59" s="148" t="s">
        <v>823</v>
      </c>
      <c r="G59" s="148" t="s">
        <v>960</v>
      </c>
      <c r="H59" s="232">
        <v>334.257087067854</v>
      </c>
      <c r="I59" s="232">
        <f>'Cálculo PU'!V408</f>
        <v>166.3216728276831</v>
      </c>
      <c r="J59" s="235">
        <f t="shared" si="0"/>
        <v>-167.9354142401709</v>
      </c>
      <c r="L59" s="147">
        <v>5235</v>
      </c>
      <c r="M59" s="156">
        <v>43374</v>
      </c>
      <c r="N59" s="156">
        <v>45086</v>
      </c>
      <c r="O59" s="148" t="s">
        <v>959</v>
      </c>
      <c r="P59" s="148" t="s">
        <v>823</v>
      </c>
      <c r="Q59" s="148" t="s">
        <v>962</v>
      </c>
      <c r="R59" s="232">
        <v>375.23294129931497</v>
      </c>
      <c r="S59" s="232">
        <f>'Cálculo PU'!U408</f>
        <v>199.81147432462285</v>
      </c>
      <c r="T59" s="235">
        <f t="shared" si="1"/>
        <v>-175.42146697469212</v>
      </c>
      <c r="V59" s="147">
        <v>5226</v>
      </c>
      <c r="W59" s="156">
        <v>43374</v>
      </c>
      <c r="X59" s="156">
        <v>45086</v>
      </c>
      <c r="Y59" s="148" t="s">
        <v>959</v>
      </c>
      <c r="Z59" s="148" t="s">
        <v>823</v>
      </c>
      <c r="AA59" s="148" t="s">
        <v>963</v>
      </c>
      <c r="AB59" s="232">
        <v>617.11034800000004</v>
      </c>
      <c r="AC59" s="232">
        <f>'Cálculo PU'!T408</f>
        <v>617.11034800000004</v>
      </c>
      <c r="AD59" s="235">
        <f t="shared" si="2"/>
        <v>0</v>
      </c>
      <c r="AF59">
        <v>5246</v>
      </c>
      <c r="AG59" s="215">
        <v>43374</v>
      </c>
      <c r="AH59" s="215">
        <v>45086</v>
      </c>
      <c r="AI59" t="s">
        <v>959</v>
      </c>
      <c r="AJ59" t="s">
        <v>823</v>
      </c>
      <c r="AK59" t="s">
        <v>827</v>
      </c>
      <c r="AL59" s="230">
        <v>1.12258783977</v>
      </c>
      <c r="AM59" s="230">
        <f>'Cálculo PU'!O408</f>
        <v>1.2013556076461347</v>
      </c>
      <c r="AN59" s="192">
        <f t="shared" si="3"/>
        <v>-7.8767767876134709E-2</v>
      </c>
      <c r="AP59">
        <v>5234</v>
      </c>
      <c r="AQ59" s="215">
        <v>43374</v>
      </c>
      <c r="AR59" s="215">
        <v>45086</v>
      </c>
      <c r="AS59" t="s">
        <v>959</v>
      </c>
      <c r="AT59" t="s">
        <v>823</v>
      </c>
      <c r="AU59" t="s">
        <v>943</v>
      </c>
      <c r="AV59">
        <v>1180</v>
      </c>
      <c r="AW59" s="241">
        <f>'Cálculo PU'!L408</f>
        <v>1872</v>
      </c>
      <c r="AX59" s="241">
        <f t="shared" si="4"/>
        <v>-692</v>
      </c>
    </row>
    <row r="60" spans="2:50">
      <c r="B60" s="147">
        <v>5286</v>
      </c>
      <c r="C60" s="156">
        <v>43374</v>
      </c>
      <c r="D60" s="156">
        <v>45117</v>
      </c>
      <c r="E60" s="148" t="s">
        <v>959</v>
      </c>
      <c r="F60" s="148" t="s">
        <v>823</v>
      </c>
      <c r="G60" s="148" t="s">
        <v>960</v>
      </c>
      <c r="H60" s="232">
        <v>328.08600659253301</v>
      </c>
      <c r="I60" s="232">
        <f>'Cálculo PU'!V409</f>
        <v>162.84623857283879</v>
      </c>
      <c r="J60" s="235">
        <f t="shared" si="0"/>
        <v>-165.23976801969422</v>
      </c>
      <c r="L60" s="147">
        <v>5274</v>
      </c>
      <c r="M60" s="156">
        <v>43374</v>
      </c>
      <c r="N60" s="156">
        <v>45117</v>
      </c>
      <c r="O60" s="148" t="s">
        <v>959</v>
      </c>
      <c r="P60" s="148" t="s">
        <v>823</v>
      </c>
      <c r="Q60" s="148" t="s">
        <v>962</v>
      </c>
      <c r="R60" s="232">
        <v>369.06409193329</v>
      </c>
      <c r="S60" s="232">
        <f>'Cálculo PU'!U409</f>
        <v>196.03926396653904</v>
      </c>
      <c r="T60" s="235">
        <f t="shared" si="1"/>
        <v>-173.02482796675096</v>
      </c>
      <c r="V60" s="147">
        <v>5265</v>
      </c>
      <c r="W60" s="156">
        <v>43374</v>
      </c>
      <c r="X60" s="156">
        <v>45117</v>
      </c>
      <c r="Y60" s="148" t="s">
        <v>959</v>
      </c>
      <c r="Z60" s="148" t="s">
        <v>823</v>
      </c>
      <c r="AA60" s="148" t="s">
        <v>963</v>
      </c>
      <c r="AB60" s="232">
        <v>613.11244599999895</v>
      </c>
      <c r="AC60" s="232">
        <f>'Cálculo PU'!T409</f>
        <v>613.11244599999998</v>
      </c>
      <c r="AD60" s="235">
        <f t="shared" si="2"/>
        <v>1.0231815394945443E-12</v>
      </c>
      <c r="AF60">
        <v>5285</v>
      </c>
      <c r="AG60" s="215">
        <v>43374</v>
      </c>
      <c r="AH60" s="215">
        <v>45117</v>
      </c>
      <c r="AI60" t="s">
        <v>959</v>
      </c>
      <c r="AJ60" t="s">
        <v>823</v>
      </c>
      <c r="AK60" t="s">
        <v>827</v>
      </c>
      <c r="AL60" s="230">
        <v>1.124900436219</v>
      </c>
      <c r="AM60" s="230">
        <f>'Cálculo PU'!O409</f>
        <v>1.2038304702927081</v>
      </c>
      <c r="AN60" s="192">
        <f t="shared" si="3"/>
        <v>-7.8930034073708022E-2</v>
      </c>
      <c r="AP60">
        <v>5273</v>
      </c>
      <c r="AQ60" s="215">
        <v>43374</v>
      </c>
      <c r="AR60" s="215">
        <v>45117</v>
      </c>
      <c r="AS60" t="s">
        <v>959</v>
      </c>
      <c r="AT60" t="s">
        <v>823</v>
      </c>
      <c r="AU60" t="s">
        <v>943</v>
      </c>
      <c r="AV60">
        <v>1201</v>
      </c>
      <c r="AW60" s="241">
        <f>'Cálculo PU'!L409</f>
        <v>1893</v>
      </c>
      <c r="AX60" s="241">
        <f t="shared" si="4"/>
        <v>-692</v>
      </c>
    </row>
    <row r="61" spans="2:50">
      <c r="B61" s="147">
        <v>5325</v>
      </c>
      <c r="C61" s="156">
        <v>43374</v>
      </c>
      <c r="D61" s="156">
        <v>45146</v>
      </c>
      <c r="E61" s="148" t="s">
        <v>959</v>
      </c>
      <c r="F61" s="148" t="s">
        <v>823</v>
      </c>
      <c r="G61" s="148" t="s">
        <v>960</v>
      </c>
      <c r="H61" s="232">
        <v>320.42872736170602</v>
      </c>
      <c r="I61" s="232">
        <f>'Cálculo PU'!V410</f>
        <v>158.66676445103624</v>
      </c>
      <c r="J61" s="235">
        <f t="shared" si="0"/>
        <v>-161.76196291066978</v>
      </c>
      <c r="L61" s="147">
        <v>5313</v>
      </c>
      <c r="M61" s="156">
        <v>43374</v>
      </c>
      <c r="N61" s="156">
        <v>45146</v>
      </c>
      <c r="O61" s="148" t="s">
        <v>959</v>
      </c>
      <c r="P61" s="148" t="s">
        <v>823</v>
      </c>
      <c r="Q61" s="148" t="s">
        <v>962</v>
      </c>
      <c r="R61" s="232">
        <v>361.19296407238897</v>
      </c>
      <c r="S61" s="232">
        <f>'Cálculo PU'!U410</f>
        <v>191.40137305802133</v>
      </c>
      <c r="T61" s="235">
        <f t="shared" si="1"/>
        <v>-169.79159101436764</v>
      </c>
      <c r="V61" s="147">
        <v>5304</v>
      </c>
      <c r="W61" s="156">
        <v>43374</v>
      </c>
      <c r="X61" s="156">
        <v>45146</v>
      </c>
      <c r="Y61" s="148" t="s">
        <v>959</v>
      </c>
      <c r="Z61" s="148" t="s">
        <v>823</v>
      </c>
      <c r="AA61" s="148" t="s">
        <v>963</v>
      </c>
      <c r="AB61" s="232">
        <v>606.172055</v>
      </c>
      <c r="AC61" s="232">
        <f>'Cálculo PU'!T410</f>
        <v>606.172055</v>
      </c>
      <c r="AD61" s="235">
        <f t="shared" si="2"/>
        <v>0</v>
      </c>
      <c r="AF61">
        <v>5324</v>
      </c>
      <c r="AG61" s="215">
        <v>43374</v>
      </c>
      <c r="AH61" s="215">
        <v>45146</v>
      </c>
      <c r="AI61" t="s">
        <v>959</v>
      </c>
      <c r="AJ61" t="s">
        <v>823</v>
      </c>
      <c r="AK61" t="s">
        <v>827</v>
      </c>
      <c r="AL61" s="230">
        <v>1.127217796751</v>
      </c>
      <c r="AM61" s="230">
        <f>'Cálculo PU'!O410</f>
        <v>1.2063104313007329</v>
      </c>
      <c r="AN61" s="192">
        <f t="shared" si="3"/>
        <v>-7.9092634549732921E-2</v>
      </c>
      <c r="AP61">
        <v>5312</v>
      </c>
      <c r="AQ61" s="215">
        <v>43374</v>
      </c>
      <c r="AR61" s="215">
        <v>45146</v>
      </c>
      <c r="AS61" t="s">
        <v>959</v>
      </c>
      <c r="AT61" t="s">
        <v>823</v>
      </c>
      <c r="AU61" t="s">
        <v>943</v>
      </c>
      <c r="AV61">
        <v>1222</v>
      </c>
      <c r="AW61" s="241">
        <f>'Cálculo PU'!L410</f>
        <v>1914</v>
      </c>
      <c r="AX61" s="241">
        <f t="shared" si="4"/>
        <v>-692</v>
      </c>
    </row>
    <row r="62" spans="2:50">
      <c r="B62" s="147">
        <v>5364</v>
      </c>
      <c r="C62" s="156">
        <v>43374</v>
      </c>
      <c r="D62" s="156">
        <v>45180</v>
      </c>
      <c r="E62" s="148" t="s">
        <v>959</v>
      </c>
      <c r="F62" s="148" t="s">
        <v>823</v>
      </c>
      <c r="G62" s="148" t="s">
        <v>960</v>
      </c>
      <c r="H62" s="232">
        <v>309.25007999868399</v>
      </c>
      <c r="I62" s="232">
        <f>'Cálculo PU'!V411</f>
        <v>152.73207842444347</v>
      </c>
      <c r="J62" s="235">
        <f t="shared" si="0"/>
        <v>-156.51800157424051</v>
      </c>
      <c r="L62" s="147">
        <v>5352</v>
      </c>
      <c r="M62" s="156">
        <v>43374</v>
      </c>
      <c r="N62" s="156">
        <v>45180</v>
      </c>
      <c r="O62" s="148" t="s">
        <v>959</v>
      </c>
      <c r="P62" s="148" t="s">
        <v>823</v>
      </c>
      <c r="Q62" s="148" t="s">
        <v>962</v>
      </c>
      <c r="R62" s="232">
        <v>349.37878359277602</v>
      </c>
      <c r="S62" s="232">
        <f>'Cálculo PU'!U411</f>
        <v>184.65803764632969</v>
      </c>
      <c r="T62" s="235">
        <f t="shared" si="1"/>
        <v>-164.72074594644633</v>
      </c>
      <c r="V62" s="147">
        <v>5343</v>
      </c>
      <c r="W62" s="156">
        <v>43374</v>
      </c>
      <c r="X62" s="156">
        <v>45180</v>
      </c>
      <c r="Y62" s="148" t="s">
        <v>959</v>
      </c>
      <c r="Z62" s="148" t="s">
        <v>823</v>
      </c>
      <c r="AA62" s="148" t="s">
        <v>963</v>
      </c>
      <c r="AB62" s="232">
        <v>592.91472599999895</v>
      </c>
      <c r="AC62" s="232">
        <f>'Cálculo PU'!T411</f>
        <v>592.91472599999997</v>
      </c>
      <c r="AD62" s="235">
        <f t="shared" si="2"/>
        <v>1.0231815394945443E-12</v>
      </c>
      <c r="AF62">
        <v>5363</v>
      </c>
      <c r="AG62" s="215">
        <v>43374</v>
      </c>
      <c r="AH62" s="215">
        <v>45180</v>
      </c>
      <c r="AI62" t="s">
        <v>959</v>
      </c>
      <c r="AJ62" t="s">
        <v>823</v>
      </c>
      <c r="AK62" t="s">
        <v>827</v>
      </c>
      <c r="AL62" s="230">
        <v>1.129761336179</v>
      </c>
      <c r="AM62" s="230">
        <f>'Cálculo PU'!O411</f>
        <v>1.209032441326201</v>
      </c>
      <c r="AN62" s="192">
        <f t="shared" si="3"/>
        <v>-7.9271105147201038E-2</v>
      </c>
      <c r="AP62">
        <v>5351</v>
      </c>
      <c r="AQ62" s="215">
        <v>43374</v>
      </c>
      <c r="AR62" s="215">
        <v>45180</v>
      </c>
      <c r="AS62" t="s">
        <v>959</v>
      </c>
      <c r="AT62" t="s">
        <v>823</v>
      </c>
      <c r="AU62" t="s">
        <v>943</v>
      </c>
      <c r="AV62">
        <v>1245</v>
      </c>
      <c r="AW62" s="241">
        <f>'Cálculo PU'!L411</f>
        <v>1937</v>
      </c>
      <c r="AX62" s="241">
        <f t="shared" si="4"/>
        <v>-692</v>
      </c>
    </row>
    <row r="63" spans="2:50">
      <c r="B63" s="147">
        <v>5403</v>
      </c>
      <c r="C63" s="156">
        <v>43374</v>
      </c>
      <c r="D63" s="156">
        <v>45209</v>
      </c>
      <c r="E63" s="148" t="s">
        <v>959</v>
      </c>
      <c r="F63" s="148" t="s">
        <v>823</v>
      </c>
      <c r="G63" s="148" t="s">
        <v>960</v>
      </c>
      <c r="H63" s="232">
        <v>306.725406948527</v>
      </c>
      <c r="I63" s="232">
        <f>'Cálculo PU'!V412</f>
        <v>151.14098390502301</v>
      </c>
      <c r="J63" s="235">
        <f t="shared" si="0"/>
        <v>-155.58442304350399</v>
      </c>
      <c r="L63" s="147">
        <v>5391</v>
      </c>
      <c r="M63" s="156">
        <v>43374</v>
      </c>
      <c r="N63" s="156">
        <v>45209</v>
      </c>
      <c r="O63" s="148" t="s">
        <v>959</v>
      </c>
      <c r="P63" s="148" t="s">
        <v>823</v>
      </c>
      <c r="Q63" s="148" t="s">
        <v>962</v>
      </c>
      <c r="R63" s="232">
        <v>347.20634352854501</v>
      </c>
      <c r="S63" s="232">
        <f>'Cálculo PU'!U412</f>
        <v>183.09285273386399</v>
      </c>
      <c r="T63" s="235">
        <f t="shared" si="1"/>
        <v>-164.11349079468101</v>
      </c>
      <c r="V63" s="147">
        <v>5382</v>
      </c>
      <c r="W63" s="156">
        <v>43374</v>
      </c>
      <c r="X63" s="156">
        <v>45209</v>
      </c>
      <c r="Y63" s="148" t="s">
        <v>959</v>
      </c>
      <c r="Z63" s="148" t="s">
        <v>823</v>
      </c>
      <c r="AA63" s="148" t="s">
        <v>963</v>
      </c>
      <c r="AB63" s="232">
        <v>594.96135600000002</v>
      </c>
      <c r="AC63" s="232">
        <f>'Cálculo PU'!T412</f>
        <v>594.96135600000002</v>
      </c>
      <c r="AD63" s="235">
        <f t="shared" si="2"/>
        <v>0</v>
      </c>
      <c r="AF63">
        <v>5402</v>
      </c>
      <c r="AG63" s="215">
        <v>43374</v>
      </c>
      <c r="AH63" s="215">
        <v>45209</v>
      </c>
      <c r="AI63" t="s">
        <v>959</v>
      </c>
      <c r="AJ63" t="s">
        <v>823</v>
      </c>
      <c r="AK63" t="s">
        <v>827</v>
      </c>
      <c r="AL63" s="230">
        <v>1.1319777744620001</v>
      </c>
      <c r="AM63" s="230">
        <f>'Cálculo PU'!O412</f>
        <v>1.2114043987494454</v>
      </c>
      <c r="AN63" s="192">
        <f t="shared" si="3"/>
        <v>-7.9426624287445291E-2</v>
      </c>
      <c r="AP63">
        <v>5390</v>
      </c>
      <c r="AQ63" s="215">
        <v>43374</v>
      </c>
      <c r="AR63" s="215">
        <v>45209</v>
      </c>
      <c r="AS63" t="s">
        <v>959</v>
      </c>
      <c r="AT63" t="s">
        <v>823</v>
      </c>
      <c r="AU63" t="s">
        <v>943</v>
      </c>
      <c r="AV63">
        <v>1265</v>
      </c>
      <c r="AW63" s="241">
        <f>'Cálculo PU'!L412</f>
        <v>1957</v>
      </c>
      <c r="AX63" s="241">
        <f t="shared" si="4"/>
        <v>-692</v>
      </c>
    </row>
    <row r="64" spans="2:50">
      <c r="B64" s="147">
        <v>5442</v>
      </c>
      <c r="C64" s="156">
        <v>43374</v>
      </c>
      <c r="D64" s="156">
        <v>45240</v>
      </c>
      <c r="E64" s="148" t="s">
        <v>959</v>
      </c>
      <c r="F64" s="148" t="s">
        <v>823</v>
      </c>
      <c r="G64" s="148" t="s">
        <v>960</v>
      </c>
      <c r="H64" s="232">
        <v>298.195763693544</v>
      </c>
      <c r="I64" s="232">
        <f>'Cálculo PU'!V413</f>
        <v>146.58693671240849</v>
      </c>
      <c r="J64" s="235">
        <f t="shared" si="0"/>
        <v>-151.60882698113551</v>
      </c>
      <c r="L64" s="147">
        <v>5430</v>
      </c>
      <c r="M64" s="156">
        <v>43374</v>
      </c>
      <c r="N64" s="156">
        <v>45240</v>
      </c>
      <c r="O64" s="148" t="s">
        <v>959</v>
      </c>
      <c r="P64" s="148" t="s">
        <v>823</v>
      </c>
      <c r="Q64" s="148" t="s">
        <v>962</v>
      </c>
      <c r="R64" s="232">
        <v>338.24635164712902</v>
      </c>
      <c r="S64" s="232">
        <f>'Cálculo PU'!U413</f>
        <v>177.94187697701025</v>
      </c>
      <c r="T64" s="235">
        <f t="shared" si="1"/>
        <v>-160.30447467011876</v>
      </c>
      <c r="V64" s="147">
        <v>5421</v>
      </c>
      <c r="W64" s="156">
        <v>43374</v>
      </c>
      <c r="X64" s="156">
        <v>45240</v>
      </c>
      <c r="Y64" s="148" t="s">
        <v>959</v>
      </c>
      <c r="Z64" s="148" t="s">
        <v>823</v>
      </c>
      <c r="AA64" s="148" t="s">
        <v>963</v>
      </c>
      <c r="AB64" s="232">
        <v>585.52668600000004</v>
      </c>
      <c r="AC64" s="232">
        <f>'Cálculo PU'!T413</f>
        <v>585.52668600000004</v>
      </c>
      <c r="AD64" s="235">
        <f t="shared" si="2"/>
        <v>0</v>
      </c>
      <c r="AF64">
        <v>5441</v>
      </c>
      <c r="AG64" s="215">
        <v>43374</v>
      </c>
      <c r="AH64" s="215">
        <v>45240</v>
      </c>
      <c r="AI64" t="s">
        <v>959</v>
      </c>
      <c r="AJ64" t="s">
        <v>823</v>
      </c>
      <c r="AK64" t="s">
        <v>827</v>
      </c>
      <c r="AL64" s="230">
        <v>1.134309714724</v>
      </c>
      <c r="AM64" s="230">
        <f>'Cálculo PU'!O413</f>
        <v>1.2138999624920028</v>
      </c>
      <c r="AN64" s="192">
        <f t="shared" si="3"/>
        <v>-7.9590247768002831E-2</v>
      </c>
      <c r="AP64">
        <v>5429</v>
      </c>
      <c r="AQ64" s="215">
        <v>43374</v>
      </c>
      <c r="AR64" s="215">
        <v>45240</v>
      </c>
      <c r="AS64" t="s">
        <v>959</v>
      </c>
      <c r="AT64" t="s">
        <v>823</v>
      </c>
      <c r="AU64" t="s">
        <v>943</v>
      </c>
      <c r="AV64">
        <v>1286</v>
      </c>
      <c r="AW64" s="241">
        <f>'Cálculo PU'!L413</f>
        <v>1978</v>
      </c>
      <c r="AX64" s="241">
        <f t="shared" si="4"/>
        <v>-692</v>
      </c>
    </row>
    <row r="65" spans="2:50">
      <c r="B65" s="147">
        <v>5481</v>
      </c>
      <c r="C65" s="156">
        <v>43374</v>
      </c>
      <c r="D65" s="156">
        <v>45268</v>
      </c>
      <c r="E65" s="148" t="s">
        <v>959</v>
      </c>
      <c r="F65" s="148" t="s">
        <v>823</v>
      </c>
      <c r="G65" s="148" t="s">
        <v>960</v>
      </c>
      <c r="H65" s="232">
        <v>292.94643837997302</v>
      </c>
      <c r="I65" s="232">
        <f>'Cálculo PU'!V414</f>
        <v>143.67779521720445</v>
      </c>
      <c r="J65" s="235">
        <f t="shared" si="0"/>
        <v>-149.26864316276857</v>
      </c>
      <c r="L65" s="147">
        <v>5469</v>
      </c>
      <c r="M65" s="156">
        <v>43374</v>
      </c>
      <c r="N65" s="156">
        <v>45268</v>
      </c>
      <c r="O65" s="148" t="s">
        <v>959</v>
      </c>
      <c r="P65" s="148" t="s">
        <v>823</v>
      </c>
      <c r="Q65" s="148" t="s">
        <v>962</v>
      </c>
      <c r="R65" s="232">
        <v>332.943902698339</v>
      </c>
      <c r="S65" s="232">
        <f>'Cálculo PU'!U414</f>
        <v>174.75263987696306</v>
      </c>
      <c r="T65" s="235">
        <f t="shared" si="1"/>
        <v>-158.19126282137594</v>
      </c>
      <c r="V65" s="147">
        <v>5460</v>
      </c>
      <c r="W65" s="156">
        <v>43374</v>
      </c>
      <c r="X65" s="156">
        <v>45268</v>
      </c>
      <c r="Y65" s="148" t="s">
        <v>959</v>
      </c>
      <c r="Z65" s="148" t="s">
        <v>823</v>
      </c>
      <c r="AA65" s="148" t="s">
        <v>963</v>
      </c>
      <c r="AB65" s="232">
        <v>581.95176000000004</v>
      </c>
      <c r="AC65" s="232">
        <f>'Cálculo PU'!T414</f>
        <v>581.95176000000004</v>
      </c>
      <c r="AD65" s="235">
        <f t="shared" si="2"/>
        <v>0</v>
      </c>
      <c r="AF65">
        <v>5480</v>
      </c>
      <c r="AG65" s="215">
        <v>43374</v>
      </c>
      <c r="AH65" s="215">
        <v>45268</v>
      </c>
      <c r="AI65" t="s">
        <v>959</v>
      </c>
      <c r="AJ65" t="s">
        <v>823</v>
      </c>
      <c r="AK65" t="s">
        <v>827</v>
      </c>
      <c r="AL65" s="230">
        <v>1.136535076308</v>
      </c>
      <c r="AM65" s="230">
        <f>'Cálculo PU'!O414</f>
        <v>1.2162814693306041</v>
      </c>
      <c r="AN65" s="192">
        <f t="shared" si="3"/>
        <v>-7.9746393022604112E-2</v>
      </c>
      <c r="AP65">
        <v>5468</v>
      </c>
      <c r="AQ65" s="215">
        <v>43374</v>
      </c>
      <c r="AR65" s="215">
        <v>45268</v>
      </c>
      <c r="AS65" t="s">
        <v>959</v>
      </c>
      <c r="AT65" t="s">
        <v>823</v>
      </c>
      <c r="AU65" t="s">
        <v>943</v>
      </c>
      <c r="AV65">
        <v>1306</v>
      </c>
      <c r="AW65" s="241">
        <f>'Cálculo PU'!L414</f>
        <v>1998</v>
      </c>
      <c r="AX65" s="241">
        <f t="shared" si="4"/>
        <v>-692</v>
      </c>
    </row>
    <row r="66" spans="2:50">
      <c r="B66" s="147">
        <v>5520</v>
      </c>
      <c r="C66" s="156">
        <v>43374</v>
      </c>
      <c r="D66" s="156">
        <v>45300</v>
      </c>
      <c r="E66" s="148" t="s">
        <v>959</v>
      </c>
      <c r="F66" s="148" t="s">
        <v>823</v>
      </c>
      <c r="G66" s="148" t="s">
        <v>960</v>
      </c>
      <c r="H66" s="232">
        <v>312.23568465278601</v>
      </c>
      <c r="I66" s="232">
        <f>'Cálculo PU'!V415</f>
        <v>152.78635508863715</v>
      </c>
      <c r="J66" s="235">
        <f t="shared" si="0"/>
        <v>-159.44932956414885</v>
      </c>
      <c r="L66" s="147">
        <v>5508</v>
      </c>
      <c r="M66" s="156">
        <v>43374</v>
      </c>
      <c r="N66" s="156">
        <v>45300</v>
      </c>
      <c r="O66" s="148" t="s">
        <v>959</v>
      </c>
      <c r="P66" s="148" t="s">
        <v>823</v>
      </c>
      <c r="Q66" s="148" t="s">
        <v>962</v>
      </c>
      <c r="R66" s="232">
        <v>355.56300815706498</v>
      </c>
      <c r="S66" s="232">
        <f>'Cálculo PU'!U415</f>
        <v>186.1957880576916</v>
      </c>
      <c r="T66" s="235">
        <f t="shared" si="1"/>
        <v>-169.36722009937338</v>
      </c>
      <c r="V66" s="147">
        <v>5499</v>
      </c>
      <c r="W66" s="156">
        <v>43374</v>
      </c>
      <c r="X66" s="156">
        <v>45300</v>
      </c>
      <c r="Y66" s="148" t="s">
        <v>959</v>
      </c>
      <c r="Z66" s="148" t="s">
        <v>823</v>
      </c>
      <c r="AA66" s="148" t="s">
        <v>963</v>
      </c>
      <c r="AB66" s="232">
        <v>627.51931400000001</v>
      </c>
      <c r="AC66" s="232">
        <f>'Cálculo PU'!T415</f>
        <v>627.51931400000001</v>
      </c>
      <c r="AD66" s="235">
        <f t="shared" si="2"/>
        <v>0</v>
      </c>
      <c r="AF66">
        <v>5519</v>
      </c>
      <c r="AG66" s="215">
        <v>43374</v>
      </c>
      <c r="AH66" s="215">
        <v>45300</v>
      </c>
      <c r="AI66" t="s">
        <v>959</v>
      </c>
      <c r="AJ66" t="s">
        <v>823</v>
      </c>
      <c r="AK66" t="s">
        <v>827</v>
      </c>
      <c r="AL66" s="230">
        <v>1.1387648037489999</v>
      </c>
      <c r="AM66" s="230">
        <f>'Cálculo PU'!O415</f>
        <v>1.2186676483621353</v>
      </c>
      <c r="AN66" s="192">
        <f t="shared" si="3"/>
        <v>-7.9902844613135349E-2</v>
      </c>
      <c r="AP66">
        <v>5507</v>
      </c>
      <c r="AQ66" s="215">
        <v>43374</v>
      </c>
      <c r="AR66" s="215">
        <v>45300</v>
      </c>
      <c r="AS66" t="s">
        <v>959</v>
      </c>
      <c r="AT66" t="s">
        <v>823</v>
      </c>
      <c r="AU66" t="s">
        <v>943</v>
      </c>
      <c r="AV66">
        <v>1326</v>
      </c>
      <c r="AW66" s="241">
        <f>'Cálculo PU'!L415</f>
        <v>2018</v>
      </c>
      <c r="AX66" s="241">
        <f t="shared" si="4"/>
        <v>-692</v>
      </c>
    </row>
    <row r="67" spans="2:50">
      <c r="B67" s="147">
        <v>5559</v>
      </c>
      <c r="C67" s="156">
        <v>43374</v>
      </c>
      <c r="D67" s="156">
        <v>45334</v>
      </c>
      <c r="E67" s="148" t="s">
        <v>959</v>
      </c>
      <c r="F67" s="148" t="s">
        <v>823</v>
      </c>
      <c r="G67" s="148" t="s">
        <v>960</v>
      </c>
      <c r="H67" s="232">
        <v>302.14231839005299</v>
      </c>
      <c r="I67" s="232">
        <f>'Cálculo PU'!V416</f>
        <v>147.47012939481982</v>
      </c>
      <c r="J67" s="235">
        <f t="shared" si="0"/>
        <v>-154.67218899523317</v>
      </c>
      <c r="L67" s="147">
        <v>5547</v>
      </c>
      <c r="M67" s="156">
        <v>43374</v>
      </c>
      <c r="N67" s="156">
        <v>45334</v>
      </c>
      <c r="O67" s="148" t="s">
        <v>959</v>
      </c>
      <c r="P67" s="148" t="s">
        <v>823</v>
      </c>
      <c r="Q67" s="148" t="s">
        <v>962</v>
      </c>
      <c r="R67" s="232">
        <v>344.811629086707</v>
      </c>
      <c r="S67" s="232">
        <f>'Cálculo PU'!U416</f>
        <v>180.10495235549567</v>
      </c>
      <c r="T67" s="235">
        <f t="shared" si="1"/>
        <v>-164.70667673121133</v>
      </c>
      <c r="V67" s="147">
        <v>5538</v>
      </c>
      <c r="W67" s="156">
        <v>43374</v>
      </c>
      <c r="X67" s="156">
        <v>45334</v>
      </c>
      <c r="Y67" s="148" t="s">
        <v>959</v>
      </c>
      <c r="Z67" s="148" t="s">
        <v>823</v>
      </c>
      <c r="AA67" s="148" t="s">
        <v>963</v>
      </c>
      <c r="AB67" s="232">
        <v>615.02969700000006</v>
      </c>
      <c r="AC67" s="232">
        <f>'Cálculo PU'!T416</f>
        <v>615.02969700000006</v>
      </c>
      <c r="AD67" s="235">
        <f t="shared" si="2"/>
        <v>0</v>
      </c>
      <c r="AF67">
        <v>5558</v>
      </c>
      <c r="AG67" s="215">
        <v>43374</v>
      </c>
      <c r="AH67" s="215">
        <v>45334</v>
      </c>
      <c r="AI67" t="s">
        <v>959</v>
      </c>
      <c r="AJ67" t="s">
        <v>823</v>
      </c>
      <c r="AK67" t="s">
        <v>827</v>
      </c>
      <c r="AL67" s="230">
        <v>1.1412225567209999</v>
      </c>
      <c r="AM67" s="230">
        <f>'Cálculo PU'!O416</f>
        <v>1.2212978526200589</v>
      </c>
      <c r="AN67" s="192">
        <f t="shared" si="3"/>
        <v>-8.0075295899058929E-2</v>
      </c>
      <c r="AP67">
        <v>5546</v>
      </c>
      <c r="AQ67" s="215">
        <v>43374</v>
      </c>
      <c r="AR67" s="215">
        <v>45334</v>
      </c>
      <c r="AS67" t="s">
        <v>959</v>
      </c>
      <c r="AT67" t="s">
        <v>823</v>
      </c>
      <c r="AU67" t="s">
        <v>943</v>
      </c>
      <c r="AV67">
        <v>1348</v>
      </c>
      <c r="AW67" s="241">
        <f>'Cálculo PU'!L416</f>
        <v>2040</v>
      </c>
      <c r="AX67" s="241">
        <f t="shared" si="4"/>
        <v>-692</v>
      </c>
    </row>
    <row r="68" spans="2:50">
      <c r="B68" s="147">
        <v>5598</v>
      </c>
      <c r="C68" s="156">
        <v>43374</v>
      </c>
      <c r="D68" s="156">
        <v>45359</v>
      </c>
      <c r="E68" s="148" t="s">
        <v>959</v>
      </c>
      <c r="F68" s="148" t="s">
        <v>823</v>
      </c>
      <c r="G68" s="148" t="s">
        <v>960</v>
      </c>
      <c r="H68" s="232">
        <v>299.51191214519099</v>
      </c>
      <c r="I68" s="232">
        <f>'Cálculo PU'!V417</f>
        <v>145.86408162677054</v>
      </c>
      <c r="J68" s="235">
        <f t="shared" ref="J68:J113" si="5">I68-H68</f>
        <v>-153.64783051842045</v>
      </c>
      <c r="L68" s="147">
        <v>5586</v>
      </c>
      <c r="M68" s="156">
        <v>43374</v>
      </c>
      <c r="N68" s="156">
        <v>45359</v>
      </c>
      <c r="O68" s="148" t="s">
        <v>959</v>
      </c>
      <c r="P68" s="148" t="s">
        <v>823</v>
      </c>
      <c r="Q68" s="148" t="s">
        <v>962</v>
      </c>
      <c r="R68" s="232">
        <v>342.44677400874798</v>
      </c>
      <c r="S68" s="232">
        <f>'Cálculo PU'!U417</f>
        <v>178.47549205444619</v>
      </c>
      <c r="T68" s="235">
        <f t="shared" ref="T68:T113" si="6">S68-R68</f>
        <v>-163.97128195430179</v>
      </c>
      <c r="V68" s="147">
        <v>5577</v>
      </c>
      <c r="W68" s="156">
        <v>43374</v>
      </c>
      <c r="X68" s="156">
        <v>45359</v>
      </c>
      <c r="Y68" s="148" t="s">
        <v>959</v>
      </c>
      <c r="Z68" s="148" t="s">
        <v>823</v>
      </c>
      <c r="AA68" s="148" t="s">
        <v>963</v>
      </c>
      <c r="AB68" s="232">
        <v>616.42912000000001</v>
      </c>
      <c r="AC68" s="232">
        <f>'Cálculo PU'!T417</f>
        <v>616.42912000000001</v>
      </c>
      <c r="AD68" s="235">
        <f t="shared" ref="AD68:AD113" si="7">AC68-AB68</f>
        <v>0</v>
      </c>
      <c r="AF68">
        <v>5597</v>
      </c>
      <c r="AG68" s="215">
        <v>43374</v>
      </c>
      <c r="AH68" s="215">
        <v>45359</v>
      </c>
      <c r="AI68" t="s">
        <v>959</v>
      </c>
      <c r="AJ68" t="s">
        <v>823</v>
      </c>
      <c r="AK68" t="s">
        <v>827</v>
      </c>
      <c r="AL68" s="230">
        <v>1.1433494299310001</v>
      </c>
      <c r="AM68" s="230">
        <f>'Cálculo PU'!O417</f>
        <v>1.2235739605252514</v>
      </c>
      <c r="AN68" s="192">
        <f t="shared" ref="AN68:AN113" si="8">AL68-AM68</f>
        <v>-8.0224530594251275E-2</v>
      </c>
      <c r="AP68">
        <v>5585</v>
      </c>
      <c r="AQ68" s="215">
        <v>43374</v>
      </c>
      <c r="AR68" s="215">
        <v>45359</v>
      </c>
      <c r="AS68" t="s">
        <v>959</v>
      </c>
      <c r="AT68" t="s">
        <v>823</v>
      </c>
      <c r="AU68" t="s">
        <v>943</v>
      </c>
      <c r="AV68">
        <v>1367</v>
      </c>
      <c r="AW68" s="241">
        <f>'Cálculo PU'!L417</f>
        <v>2059</v>
      </c>
      <c r="AX68" s="241">
        <f t="shared" ref="AX68:AX113" si="9">AV68-AW68</f>
        <v>-692</v>
      </c>
    </row>
    <row r="69" spans="2:50">
      <c r="B69" s="147">
        <v>5637</v>
      </c>
      <c r="C69" s="156">
        <v>43374</v>
      </c>
      <c r="D69" s="156">
        <v>45390</v>
      </c>
      <c r="E69" s="148" t="s">
        <v>959</v>
      </c>
      <c r="F69" s="148" t="s">
        <v>823</v>
      </c>
      <c r="G69" s="148" t="s">
        <v>960</v>
      </c>
      <c r="H69" s="232">
        <v>291.76171984220002</v>
      </c>
      <c r="I69" s="232">
        <f>'Cálculo PU'!V418</f>
        <v>141.76070433633564</v>
      </c>
      <c r="J69" s="235">
        <f t="shared" si="5"/>
        <v>-150.00101550586439</v>
      </c>
      <c r="L69" s="147">
        <v>5625</v>
      </c>
      <c r="M69" s="156">
        <v>43374</v>
      </c>
      <c r="N69" s="156">
        <v>45390</v>
      </c>
      <c r="O69" s="148" t="s">
        <v>959</v>
      </c>
      <c r="P69" s="148" t="s">
        <v>823</v>
      </c>
      <c r="Q69" s="148" t="s">
        <v>962</v>
      </c>
      <c r="R69" s="232">
        <v>334.24004568481701</v>
      </c>
      <c r="S69" s="232">
        <f>'Cálculo PU'!U418</f>
        <v>173.79500102482518</v>
      </c>
      <c r="T69" s="235">
        <f t="shared" si="6"/>
        <v>-160.44504465999182</v>
      </c>
      <c r="V69" s="147">
        <v>5616</v>
      </c>
      <c r="W69" s="156">
        <v>43374</v>
      </c>
      <c r="X69" s="156">
        <v>45390</v>
      </c>
      <c r="Y69" s="148" t="s">
        <v>959</v>
      </c>
      <c r="Z69" s="148" t="s">
        <v>823</v>
      </c>
      <c r="AA69" s="148" t="s">
        <v>963</v>
      </c>
      <c r="AB69" s="232">
        <v>607.48238800000001</v>
      </c>
      <c r="AC69" s="232">
        <f>'Cálculo PU'!T418</f>
        <v>607.48238800000001</v>
      </c>
      <c r="AD69" s="235">
        <f t="shared" si="7"/>
        <v>0</v>
      </c>
      <c r="AF69">
        <v>5636</v>
      </c>
      <c r="AG69" s="215">
        <v>43374</v>
      </c>
      <c r="AH69" s="215">
        <v>45390</v>
      </c>
      <c r="AI69" t="s">
        <v>959</v>
      </c>
      <c r="AJ69" t="s">
        <v>823</v>
      </c>
      <c r="AK69" t="s">
        <v>827</v>
      </c>
      <c r="AL69" s="230">
        <v>1.145592526208</v>
      </c>
      <c r="AM69" s="230">
        <f>'Cálculo PU'!O418</f>
        <v>1.2259744464339446</v>
      </c>
      <c r="AN69" s="192">
        <f t="shared" si="8"/>
        <v>-8.0381920225944592E-2</v>
      </c>
      <c r="AP69">
        <v>5624</v>
      </c>
      <c r="AQ69" s="215">
        <v>43374</v>
      </c>
      <c r="AR69" s="215">
        <v>45390</v>
      </c>
      <c r="AS69" t="s">
        <v>959</v>
      </c>
      <c r="AT69" t="s">
        <v>823</v>
      </c>
      <c r="AU69" t="s">
        <v>943</v>
      </c>
      <c r="AV69">
        <v>1387</v>
      </c>
      <c r="AW69" s="241">
        <f>'Cálculo PU'!L418</f>
        <v>2079</v>
      </c>
      <c r="AX69" s="241">
        <f t="shared" si="9"/>
        <v>-692</v>
      </c>
    </row>
    <row r="70" spans="2:50">
      <c r="B70" s="147">
        <v>5676</v>
      </c>
      <c r="C70" s="156">
        <v>43374</v>
      </c>
      <c r="D70" s="156">
        <v>45421</v>
      </c>
      <c r="E70" s="148" t="s">
        <v>959</v>
      </c>
      <c r="F70" s="148" t="s">
        <v>823</v>
      </c>
      <c r="G70" s="148" t="s">
        <v>960</v>
      </c>
      <c r="H70" s="232">
        <v>282.437913393663</v>
      </c>
      <c r="I70" s="232">
        <f>'Cálculo PU'!V419</f>
        <v>136.8800808344748</v>
      </c>
      <c r="J70" s="235">
        <f t="shared" si="5"/>
        <v>-145.5578325591882</v>
      </c>
      <c r="L70" s="147">
        <v>5664</v>
      </c>
      <c r="M70" s="156">
        <v>43374</v>
      </c>
      <c r="N70" s="156">
        <v>45421</v>
      </c>
      <c r="O70" s="148" t="s">
        <v>959</v>
      </c>
      <c r="P70" s="148" t="s">
        <v>823</v>
      </c>
      <c r="Q70" s="148" t="s">
        <v>962</v>
      </c>
      <c r="R70" s="232">
        <v>324.25708733194</v>
      </c>
      <c r="S70" s="232">
        <f>'Cálculo PU'!U419</f>
        <v>168.17366249723338</v>
      </c>
      <c r="T70" s="235">
        <f t="shared" si="6"/>
        <v>-156.08342483470662</v>
      </c>
      <c r="V70" s="147">
        <v>5655</v>
      </c>
      <c r="W70" s="156">
        <v>43374</v>
      </c>
      <c r="X70" s="156">
        <v>45421</v>
      </c>
      <c r="Y70" s="148" t="s">
        <v>959</v>
      </c>
      <c r="Z70" s="148" t="s">
        <v>823</v>
      </c>
      <c r="AA70" s="148" t="s">
        <v>963</v>
      </c>
      <c r="AB70" s="232">
        <v>595.61872600000004</v>
      </c>
      <c r="AC70" s="232">
        <f>'Cálculo PU'!T419</f>
        <v>595.61872600000004</v>
      </c>
      <c r="AD70" s="235">
        <f t="shared" si="7"/>
        <v>0</v>
      </c>
      <c r="AF70">
        <v>5675</v>
      </c>
      <c r="AG70" s="215">
        <v>43374</v>
      </c>
      <c r="AH70" s="215">
        <v>45421</v>
      </c>
      <c r="AI70" t="s">
        <v>959</v>
      </c>
      <c r="AJ70" t="s">
        <v>823</v>
      </c>
      <c r="AK70" t="s">
        <v>827</v>
      </c>
      <c r="AL70" s="230">
        <v>1.148065015195</v>
      </c>
      <c r="AM70" s="230">
        <f>'Cálculo PU'!O419</f>
        <v>1.2286204206775786</v>
      </c>
      <c r="AN70" s="192">
        <f t="shared" si="8"/>
        <v>-8.0555405482578557E-2</v>
      </c>
      <c r="AP70">
        <v>5663</v>
      </c>
      <c r="AQ70" s="215">
        <v>43374</v>
      </c>
      <c r="AR70" s="215">
        <v>45421</v>
      </c>
      <c r="AS70" t="s">
        <v>959</v>
      </c>
      <c r="AT70" t="s">
        <v>823</v>
      </c>
      <c r="AU70" t="s">
        <v>943</v>
      </c>
      <c r="AV70">
        <v>1409</v>
      </c>
      <c r="AW70" s="241">
        <f>'Cálculo PU'!L419</f>
        <v>2101</v>
      </c>
      <c r="AX70" s="241">
        <f t="shared" si="9"/>
        <v>-692</v>
      </c>
    </row>
    <row r="71" spans="2:50">
      <c r="B71" s="147">
        <v>5715</v>
      </c>
      <c r="C71" s="156">
        <v>43374</v>
      </c>
      <c r="D71" s="156">
        <v>45453</v>
      </c>
      <c r="E71" s="148" t="s">
        <v>959</v>
      </c>
      <c r="F71" s="148" t="s">
        <v>823</v>
      </c>
      <c r="G71" s="148" t="s">
        <v>960</v>
      </c>
      <c r="H71" s="232">
        <v>277.015833214537</v>
      </c>
      <c r="I71" s="232">
        <f>'Cálculo PU'!V420</f>
        <v>133.92489890822574</v>
      </c>
      <c r="J71" s="235">
        <f t="shared" si="5"/>
        <v>-143.09093430631125</v>
      </c>
      <c r="L71" s="147">
        <v>5703</v>
      </c>
      <c r="M71" s="156">
        <v>43374</v>
      </c>
      <c r="N71" s="156">
        <v>45453</v>
      </c>
      <c r="O71" s="148" t="s">
        <v>959</v>
      </c>
      <c r="P71" s="148" t="s">
        <v>823</v>
      </c>
      <c r="Q71" s="148" t="s">
        <v>962</v>
      </c>
      <c r="R71" s="232">
        <v>318.68735162954601</v>
      </c>
      <c r="S71" s="232">
        <f>'Cálculo PU'!U420</f>
        <v>164.88183353952667</v>
      </c>
      <c r="T71" s="235">
        <f t="shared" si="6"/>
        <v>-153.80551809001935</v>
      </c>
      <c r="V71" s="147">
        <v>5694</v>
      </c>
      <c r="W71" s="156">
        <v>43374</v>
      </c>
      <c r="X71" s="156">
        <v>45453</v>
      </c>
      <c r="Y71" s="148" t="s">
        <v>959</v>
      </c>
      <c r="Z71" s="148" t="s">
        <v>823</v>
      </c>
      <c r="AA71" s="148" t="s">
        <v>963</v>
      </c>
      <c r="AB71" s="232">
        <v>591.341138</v>
      </c>
      <c r="AC71" s="232">
        <f>'Cálculo PU'!T420</f>
        <v>591.341138</v>
      </c>
      <c r="AD71" s="235">
        <f t="shared" si="7"/>
        <v>0</v>
      </c>
      <c r="AF71">
        <v>5714</v>
      </c>
      <c r="AG71" s="215">
        <v>43374</v>
      </c>
      <c r="AH71" s="215">
        <v>45453</v>
      </c>
      <c r="AI71" t="s">
        <v>959</v>
      </c>
      <c r="AJ71" t="s">
        <v>823</v>
      </c>
      <c r="AK71" t="s">
        <v>827</v>
      </c>
      <c r="AL71" s="230">
        <v>1.150430096112</v>
      </c>
      <c r="AM71" s="230">
        <f>'Cálculo PU'!O420</f>
        <v>1.2311514504298016</v>
      </c>
      <c r="AN71" s="192">
        <f t="shared" si="8"/>
        <v>-8.0721354317801586E-2</v>
      </c>
      <c r="AP71">
        <v>5702</v>
      </c>
      <c r="AQ71" s="215">
        <v>43374</v>
      </c>
      <c r="AR71" s="215">
        <v>45453</v>
      </c>
      <c r="AS71" t="s">
        <v>959</v>
      </c>
      <c r="AT71" t="s">
        <v>823</v>
      </c>
      <c r="AU71" t="s">
        <v>943</v>
      </c>
      <c r="AV71">
        <v>1430</v>
      </c>
      <c r="AW71" s="241">
        <f>'Cálculo PU'!L420</f>
        <v>2122</v>
      </c>
      <c r="AX71" s="241">
        <f t="shared" si="9"/>
        <v>-692</v>
      </c>
    </row>
    <row r="72" spans="2:50">
      <c r="B72" s="147">
        <v>5754</v>
      </c>
      <c r="C72" s="156">
        <v>43374</v>
      </c>
      <c r="D72" s="156">
        <v>45481</v>
      </c>
      <c r="E72" s="148" t="s">
        <v>959</v>
      </c>
      <c r="F72" s="148" t="s">
        <v>823</v>
      </c>
      <c r="G72" s="148" t="s">
        <v>960</v>
      </c>
      <c r="H72" s="232">
        <v>271.98799361122701</v>
      </c>
      <c r="I72" s="232">
        <f>'Cálculo PU'!V421</f>
        <v>131.19732335383421</v>
      </c>
      <c r="J72" s="235">
        <f t="shared" si="5"/>
        <v>-140.7906702573928</v>
      </c>
      <c r="L72" s="147">
        <v>5742</v>
      </c>
      <c r="M72" s="156">
        <v>43374</v>
      </c>
      <c r="N72" s="156">
        <v>45481</v>
      </c>
      <c r="O72" s="148" t="s">
        <v>959</v>
      </c>
      <c r="P72" s="148" t="s">
        <v>823</v>
      </c>
      <c r="Q72" s="148" t="s">
        <v>962</v>
      </c>
      <c r="R72" s="232">
        <v>313.51704715577898</v>
      </c>
      <c r="S72" s="232">
        <f>'Cálculo PU'!U421</f>
        <v>161.84066264573531</v>
      </c>
      <c r="T72" s="235">
        <f t="shared" si="6"/>
        <v>-151.67638451004368</v>
      </c>
      <c r="V72" s="147">
        <v>5733</v>
      </c>
      <c r="W72" s="156">
        <v>43374</v>
      </c>
      <c r="X72" s="156">
        <v>45481</v>
      </c>
      <c r="Y72" s="148" t="s">
        <v>959</v>
      </c>
      <c r="Z72" s="148" t="s">
        <v>823</v>
      </c>
      <c r="AA72" s="148" t="s">
        <v>963</v>
      </c>
      <c r="AB72" s="232">
        <v>587.41603799999905</v>
      </c>
      <c r="AC72" s="232">
        <f>'Cálculo PU'!T421</f>
        <v>587.41603799999996</v>
      </c>
      <c r="AD72" s="235">
        <f t="shared" si="7"/>
        <v>9.0949470177292824E-13</v>
      </c>
      <c r="AF72">
        <v>5753</v>
      </c>
      <c r="AG72" s="215">
        <v>43374</v>
      </c>
      <c r="AH72" s="215">
        <v>45481</v>
      </c>
      <c r="AI72" t="s">
        <v>959</v>
      </c>
      <c r="AJ72" t="s">
        <v>823</v>
      </c>
      <c r="AK72" t="s">
        <v>827</v>
      </c>
      <c r="AL72" s="230">
        <v>1.1526870836950001</v>
      </c>
      <c r="AM72" s="230">
        <f>'Cálculo PU'!O421</f>
        <v>1.2335668023444135</v>
      </c>
      <c r="AN72" s="192">
        <f t="shared" si="8"/>
        <v>-8.0879718649413457E-2</v>
      </c>
      <c r="AP72">
        <v>5741</v>
      </c>
      <c r="AQ72" s="215">
        <v>43374</v>
      </c>
      <c r="AR72" s="215">
        <v>45481</v>
      </c>
      <c r="AS72" t="s">
        <v>959</v>
      </c>
      <c r="AT72" t="s">
        <v>823</v>
      </c>
      <c r="AU72" t="s">
        <v>943</v>
      </c>
      <c r="AV72">
        <v>1450</v>
      </c>
      <c r="AW72" s="241">
        <f>'Cálculo PU'!L421</f>
        <v>2142</v>
      </c>
      <c r="AX72" s="241">
        <f t="shared" si="9"/>
        <v>-692</v>
      </c>
    </row>
    <row r="73" spans="2:50">
      <c r="B73" s="147">
        <v>5793</v>
      </c>
      <c r="C73" s="156">
        <v>43374</v>
      </c>
      <c r="D73" s="156">
        <v>45512</v>
      </c>
      <c r="E73" s="148" t="s">
        <v>959</v>
      </c>
      <c r="F73" s="148" t="s">
        <v>823</v>
      </c>
      <c r="G73" s="148" t="s">
        <v>960</v>
      </c>
      <c r="H73" s="232">
        <v>262.03870350669803</v>
      </c>
      <c r="I73" s="232">
        <f>'Cálculo PU'!V422</f>
        <v>126.07946362451126</v>
      </c>
      <c r="J73" s="235">
        <f t="shared" si="5"/>
        <v>-135.95923988218675</v>
      </c>
      <c r="L73" s="147">
        <v>5781</v>
      </c>
      <c r="M73" s="156">
        <v>43374</v>
      </c>
      <c r="N73" s="156">
        <v>45512</v>
      </c>
      <c r="O73" s="148" t="s">
        <v>959</v>
      </c>
      <c r="P73" s="148" t="s">
        <v>823</v>
      </c>
      <c r="Q73" s="148" t="s">
        <v>962</v>
      </c>
      <c r="R73" s="232">
        <v>302.73019431433403</v>
      </c>
      <c r="S73" s="232">
        <f>'Cálculo PU'!U422</f>
        <v>155.87838465613652</v>
      </c>
      <c r="T73" s="235">
        <f t="shared" si="6"/>
        <v>-146.85180965819751</v>
      </c>
      <c r="V73" s="147">
        <v>5772</v>
      </c>
      <c r="W73" s="156">
        <v>43374</v>
      </c>
      <c r="X73" s="156">
        <v>45512</v>
      </c>
      <c r="Y73" s="148" t="s">
        <v>959</v>
      </c>
      <c r="Z73" s="148" t="s">
        <v>823</v>
      </c>
      <c r="AA73" s="148" t="s">
        <v>963</v>
      </c>
      <c r="AB73" s="232">
        <v>573.61477600000001</v>
      </c>
      <c r="AC73" s="232">
        <f>'Cálculo PU'!T422</f>
        <v>573.61477600000001</v>
      </c>
      <c r="AD73" s="235">
        <f t="shared" si="7"/>
        <v>0</v>
      </c>
      <c r="AF73">
        <v>5792</v>
      </c>
      <c r="AG73" s="215">
        <v>43374</v>
      </c>
      <c r="AH73" s="215">
        <v>45512</v>
      </c>
      <c r="AI73" t="s">
        <v>959</v>
      </c>
      <c r="AJ73" t="s">
        <v>823</v>
      </c>
      <c r="AK73" t="s">
        <v>827</v>
      </c>
      <c r="AL73" s="230">
        <v>1.155288093946</v>
      </c>
      <c r="AM73" s="230">
        <f>'Cálculo PU'!O422</f>
        <v>1.2363503157054359</v>
      </c>
      <c r="AN73" s="192">
        <f t="shared" si="8"/>
        <v>-8.1062221759435893E-2</v>
      </c>
      <c r="AP73">
        <v>5780</v>
      </c>
      <c r="AQ73" s="215">
        <v>43374</v>
      </c>
      <c r="AR73" s="215">
        <v>45512</v>
      </c>
      <c r="AS73" t="s">
        <v>959</v>
      </c>
      <c r="AT73" t="s">
        <v>823</v>
      </c>
      <c r="AU73" t="s">
        <v>943</v>
      </c>
      <c r="AV73">
        <v>1473</v>
      </c>
      <c r="AW73" s="241">
        <f>'Cálculo PU'!L422</f>
        <v>2165</v>
      </c>
      <c r="AX73" s="241">
        <f t="shared" si="9"/>
        <v>-692</v>
      </c>
    </row>
    <row r="74" spans="2:50">
      <c r="B74" s="147">
        <v>5832</v>
      </c>
      <c r="C74" s="156">
        <v>43374</v>
      </c>
      <c r="D74" s="156">
        <v>45544</v>
      </c>
      <c r="E74" s="148" t="s">
        <v>959</v>
      </c>
      <c r="F74" s="148" t="s">
        <v>823</v>
      </c>
      <c r="G74" s="148" t="s">
        <v>960</v>
      </c>
      <c r="H74" s="232">
        <v>256.65013636415398</v>
      </c>
      <c r="I74" s="232">
        <f>'Cálculo PU'!V423</f>
        <v>123.18866730639543</v>
      </c>
      <c r="J74" s="235">
        <f t="shared" si="5"/>
        <v>-133.46146905775856</v>
      </c>
      <c r="L74" s="147">
        <v>5820</v>
      </c>
      <c r="M74" s="156">
        <v>43374</v>
      </c>
      <c r="N74" s="156">
        <v>45544</v>
      </c>
      <c r="O74" s="148" t="s">
        <v>959</v>
      </c>
      <c r="P74" s="148" t="s">
        <v>823</v>
      </c>
      <c r="Q74" s="148" t="s">
        <v>962</v>
      </c>
      <c r="R74" s="232">
        <v>297.14478203924398</v>
      </c>
      <c r="S74" s="232">
        <f>'Cálculo PU'!U423</f>
        <v>152.63306042442818</v>
      </c>
      <c r="T74" s="235">
        <f t="shared" si="6"/>
        <v>-144.5117216148158</v>
      </c>
      <c r="V74" s="147">
        <v>5811</v>
      </c>
      <c r="W74" s="156">
        <v>43374</v>
      </c>
      <c r="X74" s="156">
        <v>45544</v>
      </c>
      <c r="Y74" s="148" t="s">
        <v>959</v>
      </c>
      <c r="Z74" s="148" t="s">
        <v>823</v>
      </c>
      <c r="AA74" s="148" t="s">
        <v>963</v>
      </c>
      <c r="AB74" s="232">
        <v>569.11558300000002</v>
      </c>
      <c r="AC74" s="232">
        <f>'Cálculo PU'!T423</f>
        <v>569.11558300000002</v>
      </c>
      <c r="AD74" s="235">
        <f t="shared" si="7"/>
        <v>0</v>
      </c>
      <c r="AF74">
        <v>5831</v>
      </c>
      <c r="AG74" s="215">
        <v>43374</v>
      </c>
      <c r="AH74" s="215">
        <v>45544</v>
      </c>
      <c r="AI74" t="s">
        <v>959</v>
      </c>
      <c r="AJ74" t="s">
        <v>823</v>
      </c>
      <c r="AK74" t="s">
        <v>827</v>
      </c>
      <c r="AL74" s="230">
        <v>1.1577815085109999</v>
      </c>
      <c r="AM74" s="230">
        <f>'Cálculo PU'!O423</f>
        <v>1.2390186837949835</v>
      </c>
      <c r="AN74" s="192">
        <f t="shared" si="8"/>
        <v>-8.1237175283983554E-2</v>
      </c>
      <c r="AP74">
        <v>5819</v>
      </c>
      <c r="AQ74" s="215">
        <v>43374</v>
      </c>
      <c r="AR74" s="215">
        <v>45544</v>
      </c>
      <c r="AS74" t="s">
        <v>959</v>
      </c>
      <c r="AT74" t="s">
        <v>823</v>
      </c>
      <c r="AU74" t="s">
        <v>943</v>
      </c>
      <c r="AV74">
        <v>1495</v>
      </c>
      <c r="AW74" s="241">
        <f>'Cálculo PU'!L423</f>
        <v>2187</v>
      </c>
      <c r="AX74" s="241">
        <f t="shared" si="9"/>
        <v>-692</v>
      </c>
    </row>
    <row r="75" spans="2:50">
      <c r="B75" s="147">
        <v>5871</v>
      </c>
      <c r="C75" s="156">
        <v>43374</v>
      </c>
      <c r="D75" s="156">
        <v>45573</v>
      </c>
      <c r="E75" s="148" t="s">
        <v>959</v>
      </c>
      <c r="F75" s="148" t="s">
        <v>823</v>
      </c>
      <c r="G75" s="148" t="s">
        <v>960</v>
      </c>
      <c r="H75" s="232">
        <v>251.64396381627299</v>
      </c>
      <c r="I75" s="232">
        <f>'Cálculo PU'!V424</f>
        <v>120.50801371056431</v>
      </c>
      <c r="J75" s="235">
        <f t="shared" si="5"/>
        <v>-131.13595010570867</v>
      </c>
      <c r="L75" s="147">
        <v>5859</v>
      </c>
      <c r="M75" s="156">
        <v>43374</v>
      </c>
      <c r="N75" s="156">
        <v>45573</v>
      </c>
      <c r="O75" s="148" t="s">
        <v>959</v>
      </c>
      <c r="P75" s="148" t="s">
        <v>823</v>
      </c>
      <c r="Q75" s="148" t="s">
        <v>962</v>
      </c>
      <c r="R75" s="232">
        <v>291.94892341381501</v>
      </c>
      <c r="S75" s="232">
        <f>'Cálculo PU'!U424</f>
        <v>149.61927130811705</v>
      </c>
      <c r="T75" s="235">
        <f t="shared" si="6"/>
        <v>-142.32965210569796</v>
      </c>
      <c r="V75" s="147">
        <v>5850</v>
      </c>
      <c r="W75" s="156">
        <v>43374</v>
      </c>
      <c r="X75" s="156">
        <v>45573</v>
      </c>
      <c r="Y75" s="148" t="s">
        <v>959</v>
      </c>
      <c r="Z75" s="148" t="s">
        <v>823</v>
      </c>
      <c r="AA75" s="148" t="s">
        <v>963</v>
      </c>
      <c r="AB75" s="232">
        <v>564.93028100000004</v>
      </c>
      <c r="AC75" s="232">
        <f>'Cálculo PU'!T424</f>
        <v>564.93028100000004</v>
      </c>
      <c r="AD75" s="235">
        <f t="shared" si="7"/>
        <v>0</v>
      </c>
      <c r="AF75">
        <v>5870</v>
      </c>
      <c r="AG75" s="215">
        <v>43374</v>
      </c>
      <c r="AH75" s="215">
        <v>45573</v>
      </c>
      <c r="AI75" t="s">
        <v>959</v>
      </c>
      <c r="AJ75" t="s">
        <v>823</v>
      </c>
      <c r="AK75" t="s">
        <v>827</v>
      </c>
      <c r="AL75" s="230">
        <v>1.1601666059710001</v>
      </c>
      <c r="AM75" s="230">
        <f>'Cálculo PU'!O424</f>
        <v>1.2415711345759299</v>
      </c>
      <c r="AN75" s="192">
        <f t="shared" si="8"/>
        <v>-8.140452860492986E-2</v>
      </c>
      <c r="AP75">
        <v>5858</v>
      </c>
      <c r="AQ75" s="215">
        <v>43374</v>
      </c>
      <c r="AR75" s="215">
        <v>45573</v>
      </c>
      <c r="AS75" t="s">
        <v>959</v>
      </c>
      <c r="AT75" t="s">
        <v>823</v>
      </c>
      <c r="AU75" t="s">
        <v>943</v>
      </c>
      <c r="AV75">
        <v>1516</v>
      </c>
      <c r="AW75" s="241">
        <f>'Cálculo PU'!L424</f>
        <v>2208</v>
      </c>
      <c r="AX75" s="241">
        <f t="shared" si="9"/>
        <v>-692</v>
      </c>
    </row>
    <row r="76" spans="2:50">
      <c r="B76" s="147">
        <v>5910</v>
      </c>
      <c r="C76" s="156">
        <v>43374</v>
      </c>
      <c r="D76" s="156">
        <v>45604</v>
      </c>
      <c r="E76" s="148" t="s">
        <v>959</v>
      </c>
      <c r="F76" s="148" t="s">
        <v>823</v>
      </c>
      <c r="G76" s="148" t="s">
        <v>960</v>
      </c>
      <c r="H76" s="232">
        <v>243.466077529188</v>
      </c>
      <c r="I76" s="232">
        <f>'Cálculo PU'!V425</f>
        <v>116.29838142352469</v>
      </c>
      <c r="J76" s="235">
        <f t="shared" si="5"/>
        <v>-127.16769610566331</v>
      </c>
      <c r="L76" s="147">
        <v>5898</v>
      </c>
      <c r="M76" s="156">
        <v>43374</v>
      </c>
      <c r="N76" s="156">
        <v>45604</v>
      </c>
      <c r="O76" s="148" t="s">
        <v>959</v>
      </c>
      <c r="P76" s="148" t="s">
        <v>823</v>
      </c>
      <c r="Q76" s="148" t="s">
        <v>962</v>
      </c>
      <c r="R76" s="232">
        <v>283.09857966417297</v>
      </c>
      <c r="S76" s="232">
        <f>'Cálculo PU'!U425</f>
        <v>144.71853200444875</v>
      </c>
      <c r="T76" s="235">
        <f t="shared" si="6"/>
        <v>-138.38004765972423</v>
      </c>
      <c r="V76" s="147">
        <v>5889</v>
      </c>
      <c r="W76" s="156">
        <v>43374</v>
      </c>
      <c r="X76" s="156">
        <v>45604</v>
      </c>
      <c r="Y76" s="148" t="s">
        <v>959</v>
      </c>
      <c r="Z76" s="148" t="s">
        <v>823</v>
      </c>
      <c r="AA76" s="148" t="s">
        <v>963</v>
      </c>
      <c r="AB76" s="232">
        <v>553.99470899999903</v>
      </c>
      <c r="AC76" s="232">
        <f>'Cálculo PU'!T425</f>
        <v>553.99470899999994</v>
      </c>
      <c r="AD76" s="235">
        <f t="shared" si="7"/>
        <v>9.0949470177292824E-13</v>
      </c>
      <c r="AF76">
        <v>5909</v>
      </c>
      <c r="AG76" s="215">
        <v>43374</v>
      </c>
      <c r="AH76" s="215">
        <v>45604</v>
      </c>
      <c r="AI76" t="s">
        <v>959</v>
      </c>
      <c r="AJ76" t="s">
        <v>823</v>
      </c>
      <c r="AK76" t="s">
        <v>827</v>
      </c>
      <c r="AL76" s="230">
        <v>1.162784493582</v>
      </c>
      <c r="AM76" s="230">
        <f>'Cálculo PU'!O425</f>
        <v>1.2443727095171357</v>
      </c>
      <c r="AN76" s="192">
        <f t="shared" si="8"/>
        <v>-8.1588215935135766E-2</v>
      </c>
      <c r="AP76">
        <v>5897</v>
      </c>
      <c r="AQ76" s="215">
        <v>43374</v>
      </c>
      <c r="AR76" s="215">
        <v>45604</v>
      </c>
      <c r="AS76" t="s">
        <v>959</v>
      </c>
      <c r="AT76" t="s">
        <v>823</v>
      </c>
      <c r="AU76" t="s">
        <v>943</v>
      </c>
      <c r="AV76">
        <v>1539</v>
      </c>
      <c r="AW76" s="241">
        <f>'Cálculo PU'!L425</f>
        <v>2231</v>
      </c>
      <c r="AX76" s="241">
        <f t="shared" si="9"/>
        <v>-692</v>
      </c>
    </row>
    <row r="77" spans="2:50">
      <c r="B77" s="147">
        <v>5949</v>
      </c>
      <c r="C77" s="156">
        <v>43374</v>
      </c>
      <c r="D77" s="156">
        <v>45635</v>
      </c>
      <c r="E77" s="148" t="s">
        <v>959</v>
      </c>
      <c r="F77" s="148" t="s">
        <v>823</v>
      </c>
      <c r="G77" s="148" t="s">
        <v>960</v>
      </c>
      <c r="H77" s="232">
        <v>240.70537962814799</v>
      </c>
      <c r="I77" s="232">
        <f>'Cálculo PU'!V426</f>
        <v>114.72769173338108</v>
      </c>
      <c r="J77" s="235">
        <f t="shared" si="5"/>
        <v>-125.97768789476692</v>
      </c>
      <c r="L77" s="147">
        <v>5937</v>
      </c>
      <c r="M77" s="156">
        <v>43374</v>
      </c>
      <c r="N77" s="156">
        <v>45635</v>
      </c>
      <c r="O77" s="148" t="s">
        <v>959</v>
      </c>
      <c r="P77" s="148" t="s">
        <v>823</v>
      </c>
      <c r="Q77" s="148" t="s">
        <v>962</v>
      </c>
      <c r="R77" s="232">
        <v>280.43758613886502</v>
      </c>
      <c r="S77" s="232">
        <f>'Cálculo PU'!U426</f>
        <v>143.04409221174504</v>
      </c>
      <c r="T77" s="235">
        <f t="shared" si="6"/>
        <v>-137.39349392711998</v>
      </c>
      <c r="V77" s="147">
        <v>5928</v>
      </c>
      <c r="W77" s="156">
        <v>43374</v>
      </c>
      <c r="X77" s="156">
        <v>45635</v>
      </c>
      <c r="Y77" s="148" t="s">
        <v>959</v>
      </c>
      <c r="Z77" s="148" t="s">
        <v>823</v>
      </c>
      <c r="AA77" s="148" t="s">
        <v>963</v>
      </c>
      <c r="AB77" s="232">
        <v>554.17583200000001</v>
      </c>
      <c r="AC77" s="232">
        <f>'Cálculo PU'!T426</f>
        <v>554.17583200000001</v>
      </c>
      <c r="AD77" s="235">
        <f t="shared" si="7"/>
        <v>0</v>
      </c>
      <c r="AF77">
        <v>5948</v>
      </c>
      <c r="AG77" s="215">
        <v>43374</v>
      </c>
      <c r="AH77" s="215">
        <v>45635</v>
      </c>
      <c r="AI77" t="s">
        <v>959</v>
      </c>
      <c r="AJ77" t="s">
        <v>823</v>
      </c>
      <c r="AK77" t="s">
        <v>827</v>
      </c>
      <c r="AL77" s="230">
        <v>1.1650657188139999</v>
      </c>
      <c r="AM77" s="230">
        <f>'Cálculo PU'!O426</f>
        <v>1.2468139997461924</v>
      </c>
      <c r="AN77" s="192">
        <f t="shared" si="8"/>
        <v>-8.1748280932192552E-2</v>
      </c>
      <c r="AP77">
        <v>5936</v>
      </c>
      <c r="AQ77" s="215">
        <v>43374</v>
      </c>
      <c r="AR77" s="215">
        <v>45635</v>
      </c>
      <c r="AS77" t="s">
        <v>959</v>
      </c>
      <c r="AT77" t="s">
        <v>823</v>
      </c>
      <c r="AU77" t="s">
        <v>943</v>
      </c>
      <c r="AV77">
        <v>1559</v>
      </c>
      <c r="AW77" s="241">
        <f>'Cálculo PU'!L426</f>
        <v>2251</v>
      </c>
      <c r="AX77" s="241">
        <f t="shared" si="9"/>
        <v>-692</v>
      </c>
    </row>
    <row r="78" spans="2:50">
      <c r="B78" s="147">
        <v>5988</v>
      </c>
      <c r="C78" s="156">
        <v>43374</v>
      </c>
      <c r="D78" s="156">
        <v>45666</v>
      </c>
      <c r="E78" s="148" t="s">
        <v>959</v>
      </c>
      <c r="F78" s="148" t="s">
        <v>823</v>
      </c>
      <c r="G78" s="148" t="s">
        <v>960</v>
      </c>
      <c r="H78" s="232">
        <v>256.27517859076499</v>
      </c>
      <c r="I78" s="232">
        <f>'Cálculo PU'!V427</f>
        <v>121.87608303638909</v>
      </c>
      <c r="J78" s="235">
        <f t="shared" si="5"/>
        <v>-134.39909555437589</v>
      </c>
      <c r="L78" s="147">
        <v>5976</v>
      </c>
      <c r="M78" s="156">
        <v>43374</v>
      </c>
      <c r="N78" s="156">
        <v>45666</v>
      </c>
      <c r="O78" s="148" t="s">
        <v>959</v>
      </c>
      <c r="P78" s="148" t="s">
        <v>823</v>
      </c>
      <c r="Q78" s="148" t="s">
        <v>962</v>
      </c>
      <c r="R78" s="232">
        <v>299.19251207574302</v>
      </c>
      <c r="S78" s="232">
        <f>'Cálculo PU'!U427</f>
        <v>152.26984645165982</v>
      </c>
      <c r="T78" s="235">
        <f t="shared" si="6"/>
        <v>-146.92266562408321</v>
      </c>
      <c r="V78" s="147">
        <v>5967</v>
      </c>
      <c r="W78" s="156">
        <v>43374</v>
      </c>
      <c r="X78" s="156">
        <v>45666</v>
      </c>
      <c r="Y78" s="148" t="s">
        <v>959</v>
      </c>
      <c r="Z78" s="148" t="s">
        <v>823</v>
      </c>
      <c r="AA78" s="148" t="s">
        <v>963</v>
      </c>
      <c r="AB78" s="232">
        <v>597.30295999999896</v>
      </c>
      <c r="AC78" s="232">
        <f>'Cálculo PU'!T427</f>
        <v>597.30295999999998</v>
      </c>
      <c r="AD78" s="235">
        <f t="shared" si="7"/>
        <v>1.0231815394945443E-12</v>
      </c>
      <c r="AF78">
        <v>5987</v>
      </c>
      <c r="AG78" s="215">
        <v>43374</v>
      </c>
      <c r="AH78" s="215">
        <v>45666</v>
      </c>
      <c r="AI78" t="s">
        <v>959</v>
      </c>
      <c r="AJ78" t="s">
        <v>823</v>
      </c>
      <c r="AK78" t="s">
        <v>827</v>
      </c>
      <c r="AL78" s="230">
        <v>1.167465822172</v>
      </c>
      <c r="AM78" s="230">
        <f>'Cálculo PU'!O427</f>
        <v>1.2493825093328272</v>
      </c>
      <c r="AN78" s="192">
        <f t="shared" si="8"/>
        <v>-8.1916687160827228E-2</v>
      </c>
      <c r="AP78">
        <v>5975</v>
      </c>
      <c r="AQ78" s="215">
        <v>43374</v>
      </c>
      <c r="AR78" s="215">
        <v>45666</v>
      </c>
      <c r="AS78" t="s">
        <v>959</v>
      </c>
      <c r="AT78" t="s">
        <v>823</v>
      </c>
      <c r="AU78" t="s">
        <v>943</v>
      </c>
      <c r="AV78">
        <v>1580</v>
      </c>
      <c r="AW78" s="241">
        <f>'Cálculo PU'!L427</f>
        <v>2272</v>
      </c>
      <c r="AX78" s="241">
        <f t="shared" si="9"/>
        <v>-692</v>
      </c>
    </row>
    <row r="79" spans="2:50">
      <c r="B79" s="147">
        <v>6027</v>
      </c>
      <c r="C79" s="156">
        <v>43374</v>
      </c>
      <c r="D79" s="156">
        <v>45698</v>
      </c>
      <c r="E79" s="148" t="s">
        <v>959</v>
      </c>
      <c r="F79" s="148" t="s">
        <v>823</v>
      </c>
      <c r="G79" s="148" t="s">
        <v>960</v>
      </c>
      <c r="H79" s="232">
        <v>249.32715192878101</v>
      </c>
      <c r="I79" s="232">
        <f>'Cálculo PU'!V428</f>
        <v>118.30551754317911</v>
      </c>
      <c r="J79" s="235">
        <f t="shared" si="5"/>
        <v>-131.02163438560189</v>
      </c>
      <c r="L79" s="147">
        <v>6015</v>
      </c>
      <c r="M79" s="156">
        <v>43374</v>
      </c>
      <c r="N79" s="156">
        <v>45698</v>
      </c>
      <c r="O79" s="148" t="s">
        <v>959</v>
      </c>
      <c r="P79" s="148" t="s">
        <v>823</v>
      </c>
      <c r="Q79" s="148" t="s">
        <v>962</v>
      </c>
      <c r="R79" s="232">
        <v>291.70915736662198</v>
      </c>
      <c r="S79" s="232">
        <f>'Cálculo PU'!U428</f>
        <v>148.12785461015079</v>
      </c>
      <c r="T79" s="235">
        <f t="shared" si="6"/>
        <v>-143.58130275647119</v>
      </c>
      <c r="V79" s="147">
        <v>6006</v>
      </c>
      <c r="W79" s="156">
        <v>43374</v>
      </c>
      <c r="X79" s="156">
        <v>45698</v>
      </c>
      <c r="Y79" s="148" t="s">
        <v>959</v>
      </c>
      <c r="Z79" s="148" t="s">
        <v>823</v>
      </c>
      <c r="AA79" s="148" t="s">
        <v>963</v>
      </c>
      <c r="AB79" s="232">
        <v>588.580016</v>
      </c>
      <c r="AC79" s="232">
        <f>'Cálculo PU'!T428</f>
        <v>588.580016</v>
      </c>
      <c r="AD79" s="235">
        <f t="shared" si="7"/>
        <v>0</v>
      </c>
      <c r="AF79">
        <v>6026</v>
      </c>
      <c r="AG79" s="215">
        <v>43374</v>
      </c>
      <c r="AH79" s="215">
        <v>45698</v>
      </c>
      <c r="AI79" t="s">
        <v>959</v>
      </c>
      <c r="AJ79" t="s">
        <v>823</v>
      </c>
      <c r="AK79" t="s">
        <v>827</v>
      </c>
      <c r="AL79" s="230">
        <v>1.1699855194669999</v>
      </c>
      <c r="AM79" s="230">
        <f>'Cálculo PU'!O428</f>
        <v>1.2520790043126022</v>
      </c>
      <c r="AN79" s="192">
        <f t="shared" si="8"/>
        <v>-8.2093484845602305E-2</v>
      </c>
      <c r="AP79">
        <v>6014</v>
      </c>
      <c r="AQ79" s="215">
        <v>43374</v>
      </c>
      <c r="AR79" s="215">
        <v>45698</v>
      </c>
      <c r="AS79" t="s">
        <v>959</v>
      </c>
      <c r="AT79" t="s">
        <v>823</v>
      </c>
      <c r="AU79" t="s">
        <v>943</v>
      </c>
      <c r="AV79">
        <v>1602</v>
      </c>
      <c r="AW79" s="241">
        <f>'Cálculo PU'!L428</f>
        <v>2294</v>
      </c>
      <c r="AX79" s="241">
        <f t="shared" si="9"/>
        <v>-692</v>
      </c>
    </row>
    <row r="80" spans="2:50">
      <c r="B80" s="147">
        <v>6066</v>
      </c>
      <c r="C80" s="156">
        <v>43374</v>
      </c>
      <c r="D80" s="156">
        <v>45728</v>
      </c>
      <c r="E80" s="148" t="s">
        <v>959</v>
      </c>
      <c r="F80" s="148" t="s">
        <v>823</v>
      </c>
      <c r="G80" s="148" t="s">
        <v>960</v>
      </c>
      <c r="H80" s="232">
        <v>245.43622804015601</v>
      </c>
      <c r="I80" s="232">
        <f>'Cálculo PU'!V429</f>
        <v>116.22242810365351</v>
      </c>
      <c r="J80" s="235">
        <f t="shared" si="5"/>
        <v>-129.21379993650248</v>
      </c>
      <c r="L80" s="147">
        <v>6054</v>
      </c>
      <c r="M80" s="156">
        <v>43374</v>
      </c>
      <c r="N80" s="156">
        <v>45728</v>
      </c>
      <c r="O80" s="148" t="s">
        <v>959</v>
      </c>
      <c r="P80" s="148" t="s">
        <v>823</v>
      </c>
      <c r="Q80" s="148" t="s">
        <v>962</v>
      </c>
      <c r="R80" s="232">
        <v>287.720195459948</v>
      </c>
      <c r="S80" s="232">
        <f>'Cálculo PU'!U429</f>
        <v>145.80515186938649</v>
      </c>
      <c r="T80" s="235">
        <f t="shared" si="6"/>
        <v>-141.91504359056151</v>
      </c>
      <c r="V80" s="147">
        <v>6045</v>
      </c>
      <c r="W80" s="156">
        <v>43374</v>
      </c>
      <c r="X80" s="156">
        <v>45728</v>
      </c>
      <c r="Y80" s="148" t="s">
        <v>959</v>
      </c>
      <c r="Z80" s="148" t="s">
        <v>823</v>
      </c>
      <c r="AA80" s="148" t="s">
        <v>963</v>
      </c>
      <c r="AB80" s="232">
        <v>586.16255499999897</v>
      </c>
      <c r="AC80" s="232">
        <f>'Cálculo PU'!T429</f>
        <v>586.162555</v>
      </c>
      <c r="AD80" s="235">
        <f t="shared" si="7"/>
        <v>1.0231815394945443E-12</v>
      </c>
      <c r="AF80">
        <v>6065</v>
      </c>
      <c r="AG80" s="215">
        <v>43374</v>
      </c>
      <c r="AH80" s="215">
        <v>45728</v>
      </c>
      <c r="AI80" t="s">
        <v>959</v>
      </c>
      <c r="AJ80" t="s">
        <v>823</v>
      </c>
      <c r="AK80" t="s">
        <v>827</v>
      </c>
      <c r="AL80" s="230">
        <v>1.172280872133</v>
      </c>
      <c r="AM80" s="230">
        <f>'Cálculo PU'!O429</f>
        <v>1.2545354132452773</v>
      </c>
      <c r="AN80" s="192">
        <f t="shared" si="8"/>
        <v>-8.2254541112277257E-2</v>
      </c>
      <c r="AP80">
        <v>6053</v>
      </c>
      <c r="AQ80" s="215">
        <v>43374</v>
      </c>
      <c r="AR80" s="215">
        <v>45728</v>
      </c>
      <c r="AS80" t="s">
        <v>959</v>
      </c>
      <c r="AT80" t="s">
        <v>823</v>
      </c>
      <c r="AU80" t="s">
        <v>943</v>
      </c>
      <c r="AV80">
        <v>1622</v>
      </c>
      <c r="AW80" s="241">
        <f>'Cálculo PU'!L429</f>
        <v>2314</v>
      </c>
      <c r="AX80" s="241">
        <f t="shared" si="9"/>
        <v>-692</v>
      </c>
    </row>
    <row r="81" spans="2:50">
      <c r="B81" s="147">
        <v>6105</v>
      </c>
      <c r="C81" s="156">
        <v>43374</v>
      </c>
      <c r="D81" s="156">
        <v>45755</v>
      </c>
      <c r="E81" s="148" t="s">
        <v>959</v>
      </c>
      <c r="F81" s="148" t="s">
        <v>823</v>
      </c>
      <c r="G81" s="148" t="s">
        <v>960</v>
      </c>
      <c r="H81" s="232">
        <v>241.10696518461901</v>
      </c>
      <c r="I81" s="232">
        <f>'Cálculo PU'!V430</f>
        <v>113.95162449195711</v>
      </c>
      <c r="J81" s="235">
        <f t="shared" si="5"/>
        <v>-127.15534069266191</v>
      </c>
      <c r="L81" s="147">
        <v>6093</v>
      </c>
      <c r="M81" s="156">
        <v>43374</v>
      </c>
      <c r="N81" s="156">
        <v>45755</v>
      </c>
      <c r="O81" s="148" t="s">
        <v>959</v>
      </c>
      <c r="P81" s="148" t="s">
        <v>823</v>
      </c>
      <c r="Q81" s="148" t="s">
        <v>962</v>
      </c>
      <c r="R81" s="232">
        <v>283.171843302909</v>
      </c>
      <c r="S81" s="232">
        <f>'Cálculo PU'!U430</f>
        <v>143.22277315342055</v>
      </c>
      <c r="T81" s="235">
        <f t="shared" si="6"/>
        <v>-139.94907014948845</v>
      </c>
      <c r="V81" s="147">
        <v>6084</v>
      </c>
      <c r="W81" s="156">
        <v>43374</v>
      </c>
      <c r="X81" s="156">
        <v>45755</v>
      </c>
      <c r="Y81" s="148" t="s">
        <v>959</v>
      </c>
      <c r="Z81" s="148" t="s">
        <v>823</v>
      </c>
      <c r="AA81" s="148" t="s">
        <v>963</v>
      </c>
      <c r="AB81" s="232">
        <v>582.21106399999906</v>
      </c>
      <c r="AC81" s="232">
        <f>'Cálculo PU'!T430</f>
        <v>582.21106399999996</v>
      </c>
      <c r="AD81" s="235">
        <f t="shared" si="7"/>
        <v>9.0949470177292824E-13</v>
      </c>
      <c r="AF81">
        <v>6104</v>
      </c>
      <c r="AG81" s="215">
        <v>43374</v>
      </c>
      <c r="AH81" s="215">
        <v>45755</v>
      </c>
      <c r="AI81" t="s">
        <v>959</v>
      </c>
      <c r="AJ81" t="s">
        <v>823</v>
      </c>
      <c r="AK81" t="s">
        <v>827</v>
      </c>
      <c r="AL81" s="230">
        <v>1.1744656280920001</v>
      </c>
      <c r="AM81" s="230">
        <f>'Cálculo PU'!O430</f>
        <v>1.2568734653144804</v>
      </c>
      <c r="AN81" s="192">
        <f t="shared" si="8"/>
        <v>-8.2407837222480351E-2</v>
      </c>
      <c r="AP81">
        <v>6092</v>
      </c>
      <c r="AQ81" s="215">
        <v>43374</v>
      </c>
      <c r="AR81" s="215">
        <v>45755</v>
      </c>
      <c r="AS81" t="s">
        <v>959</v>
      </c>
      <c r="AT81" t="s">
        <v>823</v>
      </c>
      <c r="AU81" t="s">
        <v>943</v>
      </c>
      <c r="AV81">
        <v>1641</v>
      </c>
      <c r="AW81" s="241">
        <f>'Cálculo PU'!L430</f>
        <v>2333</v>
      </c>
      <c r="AX81" s="241">
        <f t="shared" si="9"/>
        <v>-692</v>
      </c>
    </row>
    <row r="82" spans="2:50">
      <c r="B82" s="147">
        <v>6144</v>
      </c>
      <c r="C82" s="156">
        <v>43374</v>
      </c>
      <c r="D82" s="156">
        <v>45786</v>
      </c>
      <c r="E82" s="148" t="s">
        <v>959</v>
      </c>
      <c r="F82" s="148" t="s">
        <v>823</v>
      </c>
      <c r="G82" s="148" t="s">
        <v>960</v>
      </c>
      <c r="H82" s="232">
        <v>235.16773151312401</v>
      </c>
      <c r="I82" s="232">
        <f>'Cálculo PU'!V431</f>
        <v>110.91807650431686</v>
      </c>
      <c r="J82" s="235">
        <f t="shared" si="5"/>
        <v>-124.24965500880715</v>
      </c>
      <c r="L82" s="147">
        <v>6132</v>
      </c>
      <c r="M82" s="156">
        <v>43374</v>
      </c>
      <c r="N82" s="156">
        <v>45786</v>
      </c>
      <c r="O82" s="148" t="s">
        <v>959</v>
      </c>
      <c r="P82" s="148" t="s">
        <v>823</v>
      </c>
      <c r="Q82" s="148" t="s">
        <v>962</v>
      </c>
      <c r="R82" s="232">
        <v>276.73827735304701</v>
      </c>
      <c r="S82" s="232">
        <f>'Cálculo PU'!U431</f>
        <v>139.68349064035621</v>
      </c>
      <c r="T82" s="235">
        <f t="shared" si="6"/>
        <v>-137.0547867126908</v>
      </c>
      <c r="V82" s="147">
        <v>6123</v>
      </c>
      <c r="W82" s="156">
        <v>43374</v>
      </c>
      <c r="X82" s="156">
        <v>45786</v>
      </c>
      <c r="Y82" s="148" t="s">
        <v>959</v>
      </c>
      <c r="Z82" s="148" t="s">
        <v>823</v>
      </c>
      <c r="AA82" s="148" t="s">
        <v>963</v>
      </c>
      <c r="AB82" s="232">
        <v>574.50246300000003</v>
      </c>
      <c r="AC82" s="232">
        <f>'Cálculo PU'!T431</f>
        <v>574.50246300000003</v>
      </c>
      <c r="AD82" s="235">
        <f t="shared" si="7"/>
        <v>0</v>
      </c>
      <c r="AF82">
        <v>6143</v>
      </c>
      <c r="AG82" s="215">
        <v>43374</v>
      </c>
      <c r="AH82" s="215">
        <v>45786</v>
      </c>
      <c r="AI82" t="s">
        <v>959</v>
      </c>
      <c r="AJ82" t="s">
        <v>823</v>
      </c>
      <c r="AK82" t="s">
        <v>827</v>
      </c>
      <c r="AL82" s="230">
        <v>1.176769770123</v>
      </c>
      <c r="AM82" s="230">
        <f>'Cálculo PU'!O431</f>
        <v>1.2593392803283947</v>
      </c>
      <c r="AN82" s="192">
        <f t="shared" si="8"/>
        <v>-8.2569510205394714E-2</v>
      </c>
      <c r="AP82">
        <v>6131</v>
      </c>
      <c r="AQ82" s="215">
        <v>43374</v>
      </c>
      <c r="AR82" s="215">
        <v>45786</v>
      </c>
      <c r="AS82" t="s">
        <v>959</v>
      </c>
      <c r="AT82" t="s">
        <v>823</v>
      </c>
      <c r="AU82" t="s">
        <v>943</v>
      </c>
      <c r="AV82">
        <v>1661</v>
      </c>
      <c r="AW82" s="241">
        <f>'Cálculo PU'!L431</f>
        <v>2353</v>
      </c>
      <c r="AX82" s="241">
        <f t="shared" si="9"/>
        <v>-692</v>
      </c>
    </row>
    <row r="83" spans="2:50">
      <c r="B83" s="147">
        <v>6183</v>
      </c>
      <c r="C83" s="156">
        <v>43374</v>
      </c>
      <c r="D83" s="156">
        <v>45817</v>
      </c>
      <c r="E83" s="148" t="s">
        <v>959</v>
      </c>
      <c r="F83" s="148" t="s">
        <v>823</v>
      </c>
      <c r="G83" s="148" t="s">
        <v>960</v>
      </c>
      <c r="H83" s="232">
        <v>229.137253380125</v>
      </c>
      <c r="I83" s="232">
        <f>'Cálculo PU'!V432</f>
        <v>107.84220462226686</v>
      </c>
      <c r="J83" s="235">
        <f t="shared" si="5"/>
        <v>-121.29504875785814</v>
      </c>
      <c r="L83" s="147">
        <v>6171</v>
      </c>
      <c r="M83" s="156">
        <v>43374</v>
      </c>
      <c r="N83" s="156">
        <v>45817</v>
      </c>
      <c r="O83" s="148" t="s">
        <v>959</v>
      </c>
      <c r="P83" s="148" t="s">
        <v>823</v>
      </c>
      <c r="Q83" s="148" t="s">
        <v>962</v>
      </c>
      <c r="R83" s="232">
        <v>270.19727081298697</v>
      </c>
      <c r="S83" s="232">
        <f>'Cálculo PU'!U432</f>
        <v>136.08970072623615</v>
      </c>
      <c r="T83" s="235">
        <f t="shared" si="6"/>
        <v>-134.10757008675083</v>
      </c>
      <c r="V83" s="147">
        <v>6162</v>
      </c>
      <c r="W83" s="156">
        <v>43374</v>
      </c>
      <c r="X83" s="156">
        <v>45817</v>
      </c>
      <c r="Y83" s="148" t="s">
        <v>959</v>
      </c>
      <c r="Z83" s="148" t="s">
        <v>823</v>
      </c>
      <c r="AA83" s="148" t="s">
        <v>963</v>
      </c>
      <c r="AB83" s="232">
        <v>566.63775599999894</v>
      </c>
      <c r="AC83" s="232">
        <f>'Cálculo PU'!T432</f>
        <v>566.63775599999997</v>
      </c>
      <c r="AD83" s="235">
        <f t="shared" si="7"/>
        <v>1.0231815394945443E-12</v>
      </c>
      <c r="AF83">
        <v>6182</v>
      </c>
      <c r="AG83" s="215">
        <v>43374</v>
      </c>
      <c r="AH83" s="215">
        <v>45817</v>
      </c>
      <c r="AI83" t="s">
        <v>959</v>
      </c>
      <c r="AJ83" t="s">
        <v>823</v>
      </c>
      <c r="AK83" t="s">
        <v>827</v>
      </c>
      <c r="AL83" s="230">
        <v>1.1791939845099999</v>
      </c>
      <c r="AM83" s="230">
        <f>'Cálculo PU'!O432</f>
        <v>1.2619335927238347</v>
      </c>
      <c r="AN83" s="192">
        <f t="shared" si="8"/>
        <v>-8.2739608213834748E-2</v>
      </c>
      <c r="AP83">
        <v>6170</v>
      </c>
      <c r="AQ83" s="215">
        <v>43374</v>
      </c>
      <c r="AR83" s="215">
        <v>45817</v>
      </c>
      <c r="AS83" t="s">
        <v>959</v>
      </c>
      <c r="AT83" t="s">
        <v>823</v>
      </c>
      <c r="AU83" t="s">
        <v>943</v>
      </c>
      <c r="AV83">
        <v>1682</v>
      </c>
      <c r="AW83" s="241">
        <f>'Cálculo PU'!L432</f>
        <v>2374</v>
      </c>
      <c r="AX83" s="241">
        <f t="shared" si="9"/>
        <v>-692</v>
      </c>
    </row>
    <row r="84" spans="2:50">
      <c r="B84" s="147">
        <v>6222</v>
      </c>
      <c r="C84" s="156">
        <v>43374</v>
      </c>
      <c r="D84" s="156">
        <v>45846</v>
      </c>
      <c r="E84" s="148" t="s">
        <v>959</v>
      </c>
      <c r="F84" s="148" t="s">
        <v>823</v>
      </c>
      <c r="G84" s="148" t="s">
        <v>960</v>
      </c>
      <c r="H84" s="232">
        <v>224.82965379011699</v>
      </c>
      <c r="I84" s="232">
        <f>'Cálculo PU'!V433</f>
        <v>105.58910621959005</v>
      </c>
      <c r="J84" s="235">
        <f t="shared" si="5"/>
        <v>-119.24054757052694</v>
      </c>
      <c r="L84" s="147">
        <v>6210</v>
      </c>
      <c r="M84" s="156">
        <v>43374</v>
      </c>
      <c r="N84" s="156">
        <v>45846</v>
      </c>
      <c r="O84" s="148" t="s">
        <v>959</v>
      </c>
      <c r="P84" s="148" t="s">
        <v>823</v>
      </c>
      <c r="Q84" s="148" t="s">
        <v>962</v>
      </c>
      <c r="R84" s="232">
        <v>265.63790035211099</v>
      </c>
      <c r="S84" s="232">
        <f>'Cálculo PU'!U433</f>
        <v>133.50785158050954</v>
      </c>
      <c r="T84" s="235">
        <f t="shared" si="6"/>
        <v>-132.13004877160145</v>
      </c>
      <c r="V84" s="147">
        <v>6201</v>
      </c>
      <c r="W84" s="156">
        <v>43374</v>
      </c>
      <c r="X84" s="156">
        <v>45846</v>
      </c>
      <c r="Y84" s="148" t="s">
        <v>959</v>
      </c>
      <c r="Z84" s="148" t="s">
        <v>823</v>
      </c>
      <c r="AA84" s="148" t="s">
        <v>963</v>
      </c>
      <c r="AB84" s="232">
        <v>562.42430999999897</v>
      </c>
      <c r="AC84" s="232">
        <f>'Cálculo PU'!T433</f>
        <v>562.42430999999999</v>
      </c>
      <c r="AD84" s="235">
        <f t="shared" si="7"/>
        <v>1.0231815394945443E-12</v>
      </c>
      <c r="AF84">
        <v>6221</v>
      </c>
      <c r="AG84" s="215">
        <v>43374</v>
      </c>
      <c r="AH84" s="215">
        <v>45846</v>
      </c>
      <c r="AI84" t="s">
        <v>959</v>
      </c>
      <c r="AJ84" t="s">
        <v>823</v>
      </c>
      <c r="AK84" t="s">
        <v>827</v>
      </c>
      <c r="AL84" s="230">
        <v>1.181507402934</v>
      </c>
      <c r="AM84" s="230">
        <f>'Cálculo PU'!O433</f>
        <v>1.2644093350203933</v>
      </c>
      <c r="AN84" s="192">
        <f t="shared" si="8"/>
        <v>-8.2901932086393293E-2</v>
      </c>
      <c r="AP84">
        <v>6209</v>
      </c>
      <c r="AQ84" s="215">
        <v>43374</v>
      </c>
      <c r="AR84" s="215">
        <v>45846</v>
      </c>
      <c r="AS84" t="s">
        <v>959</v>
      </c>
      <c r="AT84" t="s">
        <v>823</v>
      </c>
      <c r="AU84" t="s">
        <v>943</v>
      </c>
      <c r="AV84">
        <v>1702</v>
      </c>
      <c r="AW84" s="241">
        <f>'Cálculo PU'!L433</f>
        <v>2394</v>
      </c>
      <c r="AX84" s="241">
        <f t="shared" si="9"/>
        <v>-692</v>
      </c>
    </row>
    <row r="85" spans="2:50">
      <c r="B85" s="147">
        <v>6261</v>
      </c>
      <c r="C85" s="156">
        <v>43374</v>
      </c>
      <c r="D85" s="156">
        <v>45877</v>
      </c>
      <c r="E85" s="148" t="s">
        <v>959</v>
      </c>
      <c r="F85" s="148" t="s">
        <v>823</v>
      </c>
      <c r="G85" s="148" t="s">
        <v>960</v>
      </c>
      <c r="H85" s="232">
        <v>217.43506980902799</v>
      </c>
      <c r="I85" s="232">
        <f>'Cálculo PU'!V434</f>
        <v>101.85155800434299</v>
      </c>
      <c r="J85" s="235">
        <f t="shared" si="5"/>
        <v>-115.583511804685</v>
      </c>
      <c r="L85" s="147">
        <v>6249</v>
      </c>
      <c r="M85" s="156">
        <v>43374</v>
      </c>
      <c r="N85" s="156">
        <v>45877</v>
      </c>
      <c r="O85" s="148" t="s">
        <v>959</v>
      </c>
      <c r="P85" s="148" t="s">
        <v>823</v>
      </c>
      <c r="Q85" s="148" t="s">
        <v>962</v>
      </c>
      <c r="R85" s="232">
        <v>257.480835795247</v>
      </c>
      <c r="S85" s="232">
        <f>'Cálculo PU'!U434</f>
        <v>129.0726543017374</v>
      </c>
      <c r="T85" s="235">
        <f t="shared" si="6"/>
        <v>-128.4081814935096</v>
      </c>
      <c r="V85" s="147">
        <v>6240</v>
      </c>
      <c r="W85" s="156">
        <v>43374</v>
      </c>
      <c r="X85" s="156">
        <v>45877</v>
      </c>
      <c r="Y85" s="148" t="s">
        <v>959</v>
      </c>
      <c r="Z85" s="148" t="s">
        <v>823</v>
      </c>
      <c r="AA85" s="148" t="s">
        <v>963</v>
      </c>
      <c r="AB85" s="232">
        <v>551.10042199999896</v>
      </c>
      <c r="AC85" s="232">
        <f>'Cálculo PU'!T434</f>
        <v>551.10042199999998</v>
      </c>
      <c r="AD85" s="235">
        <f t="shared" si="7"/>
        <v>1.0231815394945443E-12</v>
      </c>
      <c r="AF85">
        <v>6260</v>
      </c>
      <c r="AG85" s="215">
        <v>43374</v>
      </c>
      <c r="AH85" s="215">
        <v>45877</v>
      </c>
      <c r="AI85" t="s">
        <v>959</v>
      </c>
      <c r="AJ85" t="s">
        <v>823</v>
      </c>
      <c r="AK85" t="s">
        <v>827</v>
      </c>
      <c r="AL85" s="230">
        <v>1.1841734455320001</v>
      </c>
      <c r="AM85" s="230">
        <f>'Cálculo PU'!O434</f>
        <v>1.267262443803105</v>
      </c>
      <c r="AN85" s="192">
        <f t="shared" si="8"/>
        <v>-8.3088998271104941E-2</v>
      </c>
      <c r="AP85">
        <v>6248</v>
      </c>
      <c r="AQ85" s="215">
        <v>43374</v>
      </c>
      <c r="AR85" s="215">
        <v>45877</v>
      </c>
      <c r="AS85" t="s">
        <v>959</v>
      </c>
      <c r="AT85" t="s">
        <v>823</v>
      </c>
      <c r="AU85" t="s">
        <v>943</v>
      </c>
      <c r="AV85">
        <v>1725</v>
      </c>
      <c r="AW85" s="241">
        <f>'Cálculo PU'!L434</f>
        <v>2417</v>
      </c>
      <c r="AX85" s="241">
        <f t="shared" si="9"/>
        <v>-692</v>
      </c>
    </row>
    <row r="86" spans="2:50">
      <c r="B86" s="147">
        <v>6300</v>
      </c>
      <c r="C86" s="156">
        <v>43374</v>
      </c>
      <c r="D86" s="156">
        <v>45908</v>
      </c>
      <c r="E86" s="148" t="s">
        <v>959</v>
      </c>
      <c r="F86" s="148" t="s">
        <v>823</v>
      </c>
      <c r="G86" s="148" t="s">
        <v>960</v>
      </c>
      <c r="H86" s="232">
        <v>213.70265059207301</v>
      </c>
      <c r="I86" s="232">
        <f>'Cálculo PU'!V435</f>
        <v>99.865930248209537</v>
      </c>
      <c r="J86" s="235">
        <f t="shared" si="5"/>
        <v>-113.83672034386348</v>
      </c>
      <c r="L86" s="147">
        <v>6288</v>
      </c>
      <c r="M86" s="156">
        <v>43374</v>
      </c>
      <c r="N86" s="156">
        <v>45908</v>
      </c>
      <c r="O86" s="148" t="s">
        <v>959</v>
      </c>
      <c r="P86" s="148" t="s">
        <v>823</v>
      </c>
      <c r="Q86" s="148" t="s">
        <v>962</v>
      </c>
      <c r="R86" s="232">
        <v>253.58232450450899</v>
      </c>
      <c r="S86" s="232">
        <f>'Cálculo PU'!U435</f>
        <v>126.81705626933561</v>
      </c>
      <c r="T86" s="235">
        <f t="shared" si="6"/>
        <v>-126.76526823517338</v>
      </c>
      <c r="V86" s="147">
        <v>6279</v>
      </c>
      <c r="W86" s="156">
        <v>43374</v>
      </c>
      <c r="X86" s="156">
        <v>45908</v>
      </c>
      <c r="Y86" s="148" t="s">
        <v>959</v>
      </c>
      <c r="Z86" s="148" t="s">
        <v>823</v>
      </c>
      <c r="AA86" s="148" t="s">
        <v>963</v>
      </c>
      <c r="AB86" s="232">
        <v>548.15941699999905</v>
      </c>
      <c r="AC86" s="232">
        <f>'Cálculo PU'!T435</f>
        <v>548.15941699999996</v>
      </c>
      <c r="AD86" s="235">
        <f t="shared" si="7"/>
        <v>9.0949470177292824E-13</v>
      </c>
      <c r="AF86">
        <v>6299</v>
      </c>
      <c r="AG86" s="215">
        <v>43374</v>
      </c>
      <c r="AH86" s="215">
        <v>45908</v>
      </c>
      <c r="AI86" t="s">
        <v>959</v>
      </c>
      <c r="AJ86" t="s">
        <v>823</v>
      </c>
      <c r="AK86" t="s">
        <v>827</v>
      </c>
      <c r="AL86" s="230">
        <v>1.1866129119219999</v>
      </c>
      <c r="AM86" s="230">
        <f>'Cálculo PU'!O435</f>
        <v>1.2698730783775909</v>
      </c>
      <c r="AN86" s="192">
        <f t="shared" si="8"/>
        <v>-8.3260166455590978E-2</v>
      </c>
      <c r="AP86">
        <v>6287</v>
      </c>
      <c r="AQ86" s="215">
        <v>43374</v>
      </c>
      <c r="AR86" s="215">
        <v>45908</v>
      </c>
      <c r="AS86" t="s">
        <v>959</v>
      </c>
      <c r="AT86" t="s">
        <v>823</v>
      </c>
      <c r="AU86" t="s">
        <v>943</v>
      </c>
      <c r="AV86">
        <v>1746</v>
      </c>
      <c r="AW86" s="241">
        <f>'Cálculo PU'!L435</f>
        <v>2438</v>
      </c>
      <c r="AX86" s="241">
        <f t="shared" si="9"/>
        <v>-692</v>
      </c>
    </row>
    <row r="87" spans="2:50">
      <c r="B87" s="147">
        <v>6339</v>
      </c>
      <c r="C87" s="156">
        <v>43374</v>
      </c>
      <c r="D87" s="156">
        <v>45938</v>
      </c>
      <c r="E87" s="148" t="s">
        <v>959</v>
      </c>
      <c r="F87" s="148" t="s">
        <v>823</v>
      </c>
      <c r="G87" s="148" t="s">
        <v>960</v>
      </c>
      <c r="H87" s="232">
        <v>208.10212662061701</v>
      </c>
      <c r="I87" s="232">
        <f>'Cálculo PU'!V436</f>
        <v>97.007121711677954</v>
      </c>
      <c r="J87" s="235">
        <f t="shared" si="5"/>
        <v>-111.09500490893906</v>
      </c>
      <c r="L87" s="147">
        <v>6327</v>
      </c>
      <c r="M87" s="156">
        <v>43374</v>
      </c>
      <c r="N87" s="156">
        <v>45938</v>
      </c>
      <c r="O87" s="148" t="s">
        <v>959</v>
      </c>
      <c r="P87" s="148" t="s">
        <v>823</v>
      </c>
      <c r="Q87" s="148" t="s">
        <v>962</v>
      </c>
      <c r="R87" s="232">
        <v>247.46962451561799</v>
      </c>
      <c r="S87" s="232">
        <f>'Cálculo PU'!U436</f>
        <v>123.45260153410653</v>
      </c>
      <c r="T87" s="235">
        <f t="shared" si="6"/>
        <v>-124.01702298151146</v>
      </c>
      <c r="V87" s="147">
        <v>6318</v>
      </c>
      <c r="W87" s="156">
        <v>43374</v>
      </c>
      <c r="X87" s="156">
        <v>45938</v>
      </c>
      <c r="Y87" s="148" t="s">
        <v>959</v>
      </c>
      <c r="Z87" s="148" t="s">
        <v>823</v>
      </c>
      <c r="AA87" s="148" t="s">
        <v>963</v>
      </c>
      <c r="AB87" s="232">
        <v>540.52617299999895</v>
      </c>
      <c r="AC87" s="232">
        <f>'Cálculo PU'!T436</f>
        <v>540.52617299999997</v>
      </c>
      <c r="AD87" s="235">
        <f t="shared" si="7"/>
        <v>1.0231815394945443E-12</v>
      </c>
      <c r="AF87">
        <v>6338</v>
      </c>
      <c r="AG87" s="215">
        <v>43374</v>
      </c>
      <c r="AH87" s="215">
        <v>45938</v>
      </c>
      <c r="AI87" t="s">
        <v>959</v>
      </c>
      <c r="AJ87" t="s">
        <v>823</v>
      </c>
      <c r="AK87" t="s">
        <v>827</v>
      </c>
      <c r="AL87" s="230">
        <v>1.1891739336560001</v>
      </c>
      <c r="AM87" s="230">
        <f>'Cálculo PU'!O436</f>
        <v>1.2726137973769509</v>
      </c>
      <c r="AN87" s="192">
        <f t="shared" si="8"/>
        <v>-8.3439863720950802E-2</v>
      </c>
      <c r="AP87">
        <v>6326</v>
      </c>
      <c r="AQ87" s="215">
        <v>43374</v>
      </c>
      <c r="AR87" s="215">
        <v>45938</v>
      </c>
      <c r="AS87" t="s">
        <v>959</v>
      </c>
      <c r="AT87" t="s">
        <v>823</v>
      </c>
      <c r="AU87" t="s">
        <v>943</v>
      </c>
      <c r="AV87">
        <v>1768</v>
      </c>
      <c r="AW87" s="241">
        <f>'Cálculo PU'!L436</f>
        <v>2460</v>
      </c>
      <c r="AX87" s="241">
        <f t="shared" si="9"/>
        <v>-692</v>
      </c>
    </row>
    <row r="88" spans="2:50">
      <c r="B88" s="147">
        <v>6378</v>
      </c>
      <c r="C88" s="156">
        <v>43374</v>
      </c>
      <c r="D88" s="156">
        <v>45971</v>
      </c>
      <c r="E88" s="148" t="s">
        <v>959</v>
      </c>
      <c r="F88" s="148" t="s">
        <v>823</v>
      </c>
      <c r="G88" s="148" t="s">
        <v>960</v>
      </c>
      <c r="H88" s="232">
        <v>202.439377520834</v>
      </c>
      <c r="I88" s="232">
        <f>'Cálculo PU'!V437</f>
        <v>94.123053821063493</v>
      </c>
      <c r="J88" s="235">
        <f t="shared" si="5"/>
        <v>-108.31632369977051</v>
      </c>
      <c r="L88" s="147">
        <v>6366</v>
      </c>
      <c r="M88" s="156">
        <v>43374</v>
      </c>
      <c r="N88" s="156">
        <v>45971</v>
      </c>
      <c r="O88" s="148" t="s">
        <v>959</v>
      </c>
      <c r="P88" s="148" t="s">
        <v>823</v>
      </c>
      <c r="Q88" s="148" t="s">
        <v>962</v>
      </c>
      <c r="R88" s="232">
        <v>241.27884496472399</v>
      </c>
      <c r="S88" s="232">
        <f>'Cálculo PU'!U437</f>
        <v>120.0525827714462</v>
      </c>
      <c r="T88" s="235">
        <f t="shared" si="6"/>
        <v>-121.22626219327779</v>
      </c>
      <c r="V88" s="147">
        <v>6357</v>
      </c>
      <c r="W88" s="156">
        <v>43374</v>
      </c>
      <c r="X88" s="156">
        <v>45971</v>
      </c>
      <c r="Y88" s="148" t="s">
        <v>959</v>
      </c>
      <c r="Z88" s="148" t="s">
        <v>823</v>
      </c>
      <c r="AA88" s="148" t="s">
        <v>963</v>
      </c>
      <c r="AB88" s="232">
        <v>532.75294799999904</v>
      </c>
      <c r="AC88" s="232">
        <f>'Cálculo PU'!T437</f>
        <v>532.75294799999995</v>
      </c>
      <c r="AD88" s="235">
        <f t="shared" si="7"/>
        <v>9.0949470177292824E-13</v>
      </c>
      <c r="AF88">
        <v>6377</v>
      </c>
      <c r="AG88" s="215">
        <v>43374</v>
      </c>
      <c r="AH88" s="215">
        <v>45971</v>
      </c>
      <c r="AI88" t="s">
        <v>959</v>
      </c>
      <c r="AJ88" t="s">
        <v>823</v>
      </c>
      <c r="AK88" t="s">
        <v>827</v>
      </c>
      <c r="AL88" s="230">
        <v>1.1918572755929999</v>
      </c>
      <c r="AM88" s="230">
        <f>'Cálculo PU'!O437</f>
        <v>1.2754854193285856</v>
      </c>
      <c r="AN88" s="192">
        <f t="shared" si="8"/>
        <v>-8.3628143735585692E-2</v>
      </c>
      <c r="AP88">
        <v>6365</v>
      </c>
      <c r="AQ88" s="215">
        <v>43374</v>
      </c>
      <c r="AR88" s="215">
        <v>45971</v>
      </c>
      <c r="AS88" t="s">
        <v>959</v>
      </c>
      <c r="AT88" t="s">
        <v>823</v>
      </c>
      <c r="AU88" t="s">
        <v>943</v>
      </c>
      <c r="AV88">
        <v>1791</v>
      </c>
      <c r="AW88" s="241">
        <f>'Cálculo PU'!L437</f>
        <v>2483</v>
      </c>
      <c r="AX88" s="241">
        <f t="shared" si="9"/>
        <v>-692</v>
      </c>
    </row>
    <row r="89" spans="2:50">
      <c r="B89" s="147">
        <v>6417</v>
      </c>
      <c r="C89" s="156">
        <v>43374</v>
      </c>
      <c r="D89" s="156">
        <v>45999</v>
      </c>
      <c r="E89" s="148" t="s">
        <v>959</v>
      </c>
      <c r="F89" s="148" t="s">
        <v>823</v>
      </c>
      <c r="G89" s="148" t="s">
        <v>960</v>
      </c>
      <c r="H89" s="232">
        <v>199.608537029649</v>
      </c>
      <c r="I89" s="232">
        <f>'Cálculo PU'!V438</f>
        <v>92.597263343367246</v>
      </c>
      <c r="J89" s="235">
        <f t="shared" si="5"/>
        <v>-107.01127368628175</v>
      </c>
      <c r="L89" s="147">
        <v>6405</v>
      </c>
      <c r="M89" s="156">
        <v>43374</v>
      </c>
      <c r="N89" s="156">
        <v>45999</v>
      </c>
      <c r="O89" s="148" t="s">
        <v>959</v>
      </c>
      <c r="P89" s="148" t="s">
        <v>823</v>
      </c>
      <c r="Q89" s="148" t="s">
        <v>962</v>
      </c>
      <c r="R89" s="232">
        <v>238.37162420244201</v>
      </c>
      <c r="S89" s="232">
        <f>'Cálculo PU'!U438</f>
        <v>118.33816809450282</v>
      </c>
      <c r="T89" s="235">
        <f t="shared" si="6"/>
        <v>-120.03345610793919</v>
      </c>
      <c r="V89" s="147">
        <v>6396</v>
      </c>
      <c r="W89" s="156">
        <v>43374</v>
      </c>
      <c r="X89" s="156">
        <v>45999</v>
      </c>
      <c r="Y89" s="148" t="s">
        <v>959</v>
      </c>
      <c r="Z89" s="148" t="s">
        <v>823</v>
      </c>
      <c r="AA89" s="148" t="s">
        <v>963</v>
      </c>
      <c r="AB89" s="232">
        <v>531.32271000000003</v>
      </c>
      <c r="AC89" s="232">
        <f>'Cálculo PU'!T438</f>
        <v>531.32271000000003</v>
      </c>
      <c r="AD89" s="235">
        <f t="shared" si="7"/>
        <v>0</v>
      </c>
      <c r="AF89">
        <v>6416</v>
      </c>
      <c r="AG89" s="215">
        <v>43374</v>
      </c>
      <c r="AH89" s="215">
        <v>45999</v>
      </c>
      <c r="AI89" t="s">
        <v>959</v>
      </c>
      <c r="AJ89" t="s">
        <v>823</v>
      </c>
      <c r="AK89" t="s">
        <v>827</v>
      </c>
      <c r="AL89" s="230">
        <v>1.1941955376740001</v>
      </c>
      <c r="AM89" s="230">
        <f>'Cálculo PU'!O438</f>
        <v>1.2779877484681559</v>
      </c>
      <c r="AN89" s="192">
        <f t="shared" si="8"/>
        <v>-8.3792210794155775E-2</v>
      </c>
      <c r="AP89">
        <v>6404</v>
      </c>
      <c r="AQ89" s="215">
        <v>43374</v>
      </c>
      <c r="AR89" s="215">
        <v>45999</v>
      </c>
      <c r="AS89" t="s">
        <v>959</v>
      </c>
      <c r="AT89" t="s">
        <v>823</v>
      </c>
      <c r="AU89" t="s">
        <v>943</v>
      </c>
      <c r="AV89">
        <v>1811</v>
      </c>
      <c r="AW89" s="241">
        <f>'Cálculo PU'!L438</f>
        <v>2503</v>
      </c>
      <c r="AX89" s="241">
        <f t="shared" si="9"/>
        <v>-692</v>
      </c>
    </row>
    <row r="90" spans="2:50">
      <c r="B90" s="147">
        <v>6456</v>
      </c>
      <c r="C90" s="156">
        <v>43374</v>
      </c>
      <c r="D90" s="156">
        <v>46031</v>
      </c>
      <c r="E90" s="148" t="s">
        <v>959</v>
      </c>
      <c r="F90" s="148" t="s">
        <v>823</v>
      </c>
      <c r="G90" s="148" t="s">
        <v>960</v>
      </c>
      <c r="H90" s="232">
        <v>211.05591917756701</v>
      </c>
      <c r="I90" s="232">
        <f>'Cálculo PU'!V439</f>
        <v>97.665021820847414</v>
      </c>
      <c r="J90" s="235">
        <f t="shared" si="5"/>
        <v>-113.39089735671959</v>
      </c>
      <c r="L90" s="147">
        <v>6444</v>
      </c>
      <c r="M90" s="156">
        <v>43374</v>
      </c>
      <c r="N90" s="156">
        <v>46031</v>
      </c>
      <c r="O90" s="148" t="s">
        <v>959</v>
      </c>
      <c r="P90" s="148" t="s">
        <v>823</v>
      </c>
      <c r="Q90" s="148" t="s">
        <v>962</v>
      </c>
      <c r="R90" s="232">
        <v>252.586009669806</v>
      </c>
      <c r="S90" s="232">
        <f>'Cálculo PU'!U439</f>
        <v>125.08408418648685</v>
      </c>
      <c r="T90" s="235">
        <f t="shared" si="6"/>
        <v>-127.50192548331916</v>
      </c>
      <c r="V90" s="147">
        <v>6435</v>
      </c>
      <c r="W90" s="156">
        <v>43374</v>
      </c>
      <c r="X90" s="156">
        <v>46031</v>
      </c>
      <c r="Y90" s="148" t="s">
        <v>959</v>
      </c>
      <c r="Z90" s="148" t="s">
        <v>823</v>
      </c>
      <c r="AA90" s="148" t="s">
        <v>963</v>
      </c>
      <c r="AB90" s="232">
        <v>568.98037599999896</v>
      </c>
      <c r="AC90" s="232">
        <f>'Cálculo PU'!T439</f>
        <v>568.98037599999998</v>
      </c>
      <c r="AD90" s="235">
        <f t="shared" si="7"/>
        <v>1.0231815394945443E-12</v>
      </c>
      <c r="AF90">
        <v>6455</v>
      </c>
      <c r="AG90" s="215">
        <v>43374</v>
      </c>
      <c r="AH90" s="215">
        <v>46031</v>
      </c>
      <c r="AI90" t="s">
        <v>959</v>
      </c>
      <c r="AJ90" t="s">
        <v>823</v>
      </c>
      <c r="AK90" t="s">
        <v>827</v>
      </c>
      <c r="AL90" s="230">
        <v>1.196772924702</v>
      </c>
      <c r="AM90" s="230">
        <f>'Cálculo PU'!O439</f>
        <v>1.2807459810528257</v>
      </c>
      <c r="AN90" s="192">
        <f t="shared" si="8"/>
        <v>-8.3973056350825637E-2</v>
      </c>
      <c r="AP90">
        <v>6443</v>
      </c>
      <c r="AQ90" s="215">
        <v>43374</v>
      </c>
      <c r="AR90" s="215">
        <v>46031</v>
      </c>
      <c r="AS90" t="s">
        <v>959</v>
      </c>
      <c r="AT90" t="s">
        <v>823</v>
      </c>
      <c r="AU90" t="s">
        <v>943</v>
      </c>
      <c r="AV90">
        <v>1833</v>
      </c>
      <c r="AW90" s="241">
        <f>'Cálculo PU'!L439</f>
        <v>2525</v>
      </c>
      <c r="AX90" s="241">
        <f t="shared" si="9"/>
        <v>-692</v>
      </c>
    </row>
    <row r="91" spans="2:50">
      <c r="B91" s="147">
        <v>6495</v>
      </c>
      <c r="C91" s="156">
        <v>43374</v>
      </c>
      <c r="D91" s="156">
        <v>46062</v>
      </c>
      <c r="E91" s="148" t="s">
        <v>959</v>
      </c>
      <c r="F91" s="148" t="s">
        <v>823</v>
      </c>
      <c r="G91" s="148" t="s">
        <v>960</v>
      </c>
      <c r="H91" s="232">
        <v>206.69589124056901</v>
      </c>
      <c r="I91" s="232">
        <f>'Cálculo PU'!V440</f>
        <v>95.420693209129951</v>
      </c>
      <c r="J91" s="235">
        <f t="shared" si="5"/>
        <v>-111.27519803143906</v>
      </c>
      <c r="L91" s="147">
        <v>6483</v>
      </c>
      <c r="M91" s="156">
        <v>43374</v>
      </c>
      <c r="N91" s="156">
        <v>46062</v>
      </c>
      <c r="O91" s="148" t="s">
        <v>959</v>
      </c>
      <c r="P91" s="148" t="s">
        <v>823</v>
      </c>
      <c r="Q91" s="148" t="s">
        <v>962</v>
      </c>
      <c r="R91" s="232">
        <v>247.87763889239099</v>
      </c>
      <c r="S91" s="232">
        <f>'Cálculo PU'!U440</f>
        <v>122.46142838620086</v>
      </c>
      <c r="T91" s="235">
        <f t="shared" si="6"/>
        <v>-125.41621050619013</v>
      </c>
      <c r="V91" s="147">
        <v>6474</v>
      </c>
      <c r="W91" s="156">
        <v>43374</v>
      </c>
      <c r="X91" s="156">
        <v>46062</v>
      </c>
      <c r="Y91" s="148" t="s">
        <v>959</v>
      </c>
      <c r="Z91" s="148" t="s">
        <v>823</v>
      </c>
      <c r="AA91" s="148" t="s">
        <v>963</v>
      </c>
      <c r="AB91" s="232">
        <v>564.166965</v>
      </c>
      <c r="AC91" s="232">
        <f>'Cálculo PU'!T440</f>
        <v>564.166965</v>
      </c>
      <c r="AD91" s="235">
        <f t="shared" si="7"/>
        <v>0</v>
      </c>
      <c r="AF91">
        <v>6494</v>
      </c>
      <c r="AG91" s="215">
        <v>43374</v>
      </c>
      <c r="AH91" s="215">
        <v>46062</v>
      </c>
      <c r="AI91" t="s">
        <v>959</v>
      </c>
      <c r="AJ91" t="s">
        <v>823</v>
      </c>
      <c r="AK91" t="s">
        <v>827</v>
      </c>
      <c r="AL91" s="230">
        <v>1.1992383467550001</v>
      </c>
      <c r="AM91" s="230">
        <f>'Cálculo PU'!O440</f>
        <v>1.2833843925007624</v>
      </c>
      <c r="AN91" s="192">
        <f t="shared" si="8"/>
        <v>-8.4146045745762343E-2</v>
      </c>
      <c r="AP91">
        <v>6482</v>
      </c>
      <c r="AQ91" s="215">
        <v>43374</v>
      </c>
      <c r="AR91" s="215">
        <v>46062</v>
      </c>
      <c r="AS91" t="s">
        <v>959</v>
      </c>
      <c r="AT91" t="s">
        <v>823</v>
      </c>
      <c r="AU91" t="s">
        <v>943</v>
      </c>
      <c r="AV91">
        <v>1854</v>
      </c>
      <c r="AW91" s="241">
        <f>'Cálculo PU'!L440</f>
        <v>2546</v>
      </c>
      <c r="AX91" s="241">
        <f t="shared" si="9"/>
        <v>-692</v>
      </c>
    </row>
    <row r="92" spans="2:50">
      <c r="B92" s="147">
        <v>6534</v>
      </c>
      <c r="C92" s="156">
        <v>43374</v>
      </c>
      <c r="D92" s="156">
        <v>46090</v>
      </c>
      <c r="E92" s="148" t="s">
        <v>959</v>
      </c>
      <c r="F92" s="148" t="s">
        <v>823</v>
      </c>
      <c r="G92" s="148" t="s">
        <v>960</v>
      </c>
      <c r="H92" s="232">
        <v>203.90644399172601</v>
      </c>
      <c r="I92" s="232">
        <f>'Cálculo PU'!V441</f>
        <v>93.94187462040388</v>
      </c>
      <c r="J92" s="235">
        <f t="shared" si="5"/>
        <v>-109.96456937132213</v>
      </c>
      <c r="L92" s="147">
        <v>6522</v>
      </c>
      <c r="M92" s="156">
        <v>43374</v>
      </c>
      <c r="N92" s="156">
        <v>46090</v>
      </c>
      <c r="O92" s="148" t="s">
        <v>959</v>
      </c>
      <c r="P92" s="148" t="s">
        <v>823</v>
      </c>
      <c r="Q92" s="148" t="s">
        <v>962</v>
      </c>
      <c r="R92" s="232">
        <v>244.96414992767399</v>
      </c>
      <c r="S92" s="232">
        <f>'Cálculo PU'!U441</f>
        <v>120.77639117582473</v>
      </c>
      <c r="T92" s="235">
        <f t="shared" si="6"/>
        <v>-124.18775875184926</v>
      </c>
      <c r="V92" s="147">
        <v>6513</v>
      </c>
      <c r="W92" s="156">
        <v>43374</v>
      </c>
      <c r="X92" s="156">
        <v>46090</v>
      </c>
      <c r="Y92" s="148" t="s">
        <v>959</v>
      </c>
      <c r="Z92" s="148" t="s">
        <v>823</v>
      </c>
      <c r="AA92" s="148" t="s">
        <v>963</v>
      </c>
      <c r="AB92" s="232">
        <v>562.490003</v>
      </c>
      <c r="AC92" s="232">
        <f>'Cálculo PU'!T441</f>
        <v>562.490003</v>
      </c>
      <c r="AD92" s="235">
        <f t="shared" si="7"/>
        <v>0</v>
      </c>
      <c r="AF92">
        <v>6533</v>
      </c>
      <c r="AG92" s="215">
        <v>43374</v>
      </c>
      <c r="AH92" s="215">
        <v>46090</v>
      </c>
      <c r="AI92" t="s">
        <v>959</v>
      </c>
      <c r="AJ92" t="s">
        <v>823</v>
      </c>
      <c r="AK92" t="s">
        <v>827</v>
      </c>
      <c r="AL92" s="230">
        <v>1.2013556076609999</v>
      </c>
      <c r="AM92" s="230">
        <f>'Cálculo PU'!O441</f>
        <v>1.2856502136438364</v>
      </c>
      <c r="AN92" s="192">
        <f t="shared" si="8"/>
        <v>-8.4294605982836446E-2</v>
      </c>
      <c r="AP92">
        <v>6521</v>
      </c>
      <c r="AQ92" s="215">
        <v>43374</v>
      </c>
      <c r="AR92" s="215">
        <v>46090</v>
      </c>
      <c r="AS92" t="s">
        <v>959</v>
      </c>
      <c r="AT92" t="s">
        <v>823</v>
      </c>
      <c r="AU92" t="s">
        <v>943</v>
      </c>
      <c r="AV92">
        <v>1872</v>
      </c>
      <c r="AW92" s="241">
        <f>'Cálculo PU'!L441</f>
        <v>2564</v>
      </c>
      <c r="AX92" s="241">
        <f t="shared" si="9"/>
        <v>-692</v>
      </c>
    </row>
    <row r="93" spans="2:50">
      <c r="B93" s="147">
        <v>6573</v>
      </c>
      <c r="C93" s="156">
        <v>43374</v>
      </c>
      <c r="D93" s="156">
        <v>46121</v>
      </c>
      <c r="E93" s="148" t="s">
        <v>959</v>
      </c>
      <c r="F93" s="148" t="s">
        <v>823</v>
      </c>
      <c r="G93" s="148" t="s">
        <v>960</v>
      </c>
      <c r="H93" s="232">
        <v>197.35842458353099</v>
      </c>
      <c r="I93" s="232">
        <f>'Cálculo PU'!V442</f>
        <v>90.699467519387682</v>
      </c>
      <c r="J93" s="235">
        <f t="shared" si="5"/>
        <v>-106.65895706414331</v>
      </c>
      <c r="L93" s="147">
        <v>6561</v>
      </c>
      <c r="M93" s="156">
        <v>43374</v>
      </c>
      <c r="N93" s="156">
        <v>46121</v>
      </c>
      <c r="O93" s="148" t="s">
        <v>959</v>
      </c>
      <c r="P93" s="148" t="s">
        <v>823</v>
      </c>
      <c r="Q93" s="148" t="s">
        <v>962</v>
      </c>
      <c r="R93" s="232">
        <v>237.609368976475</v>
      </c>
      <c r="S93" s="232">
        <f>'Cálculo PU'!U442</f>
        <v>116.85945997269741</v>
      </c>
      <c r="T93" s="235">
        <f t="shared" si="6"/>
        <v>-120.74990900377759</v>
      </c>
      <c r="V93" s="147">
        <v>6552</v>
      </c>
      <c r="W93" s="156">
        <v>43374</v>
      </c>
      <c r="X93" s="156">
        <v>46121</v>
      </c>
      <c r="Y93" s="148" t="s">
        <v>959</v>
      </c>
      <c r="Z93" s="148" t="s">
        <v>823</v>
      </c>
      <c r="AA93" s="148" t="s">
        <v>963</v>
      </c>
      <c r="AB93" s="232">
        <v>551.53310699999895</v>
      </c>
      <c r="AC93" s="232">
        <f>'Cálculo PU'!T442</f>
        <v>551.53310699999997</v>
      </c>
      <c r="AD93" s="235">
        <f t="shared" si="7"/>
        <v>1.0231815394945443E-12</v>
      </c>
      <c r="AF93">
        <v>6572</v>
      </c>
      <c r="AG93" s="215">
        <v>43374</v>
      </c>
      <c r="AH93" s="215">
        <v>46121</v>
      </c>
      <c r="AI93" t="s">
        <v>959</v>
      </c>
      <c r="AJ93" t="s">
        <v>823</v>
      </c>
      <c r="AK93" t="s">
        <v>827</v>
      </c>
      <c r="AL93" s="230">
        <v>1.203948447997</v>
      </c>
      <c r="AM93" s="230">
        <f>'Cálculo PU'!O442</f>
        <v>1.2884249838370643</v>
      </c>
      <c r="AN93" s="192">
        <f t="shared" si="8"/>
        <v>-8.4476535840064315E-2</v>
      </c>
      <c r="AP93">
        <v>6560</v>
      </c>
      <c r="AQ93" s="215">
        <v>43374</v>
      </c>
      <c r="AR93" s="215">
        <v>46121</v>
      </c>
      <c r="AS93" t="s">
        <v>959</v>
      </c>
      <c r="AT93" t="s">
        <v>823</v>
      </c>
      <c r="AU93" t="s">
        <v>943</v>
      </c>
      <c r="AV93">
        <v>1894</v>
      </c>
      <c r="AW93" s="241">
        <f>'Cálculo PU'!L442</f>
        <v>2586</v>
      </c>
      <c r="AX93" s="241">
        <f t="shared" si="9"/>
        <v>-692</v>
      </c>
    </row>
    <row r="94" spans="2:50">
      <c r="B94" s="147">
        <v>6612</v>
      </c>
      <c r="C94" s="156">
        <v>43374</v>
      </c>
      <c r="D94" s="156">
        <v>46153</v>
      </c>
      <c r="E94" s="148" t="s">
        <v>959</v>
      </c>
      <c r="F94" s="148" t="s">
        <v>823</v>
      </c>
      <c r="G94" s="148" t="s">
        <v>960</v>
      </c>
      <c r="H94" s="232">
        <v>193.776493704432</v>
      </c>
      <c r="I94" s="232">
        <f>'Cálculo PU'!V443</f>
        <v>88.852253017646717</v>
      </c>
      <c r="J94" s="235">
        <f t="shared" si="5"/>
        <v>-104.92424068678528</v>
      </c>
      <c r="L94" s="147">
        <v>6600</v>
      </c>
      <c r="M94" s="156">
        <v>43374</v>
      </c>
      <c r="N94" s="156">
        <v>46153</v>
      </c>
      <c r="O94" s="148" t="s">
        <v>959</v>
      </c>
      <c r="P94" s="148" t="s">
        <v>823</v>
      </c>
      <c r="Q94" s="148" t="s">
        <v>962</v>
      </c>
      <c r="R94" s="232">
        <v>233.75460569949499</v>
      </c>
      <c r="S94" s="232">
        <f>'Cálculo PU'!U443</f>
        <v>114.70405581378199</v>
      </c>
      <c r="T94" s="235">
        <f t="shared" si="6"/>
        <v>-119.050549885713</v>
      </c>
      <c r="V94" s="147">
        <v>6591</v>
      </c>
      <c r="W94" s="156">
        <v>43374</v>
      </c>
      <c r="X94" s="156">
        <v>46153</v>
      </c>
      <c r="Y94" s="148" t="s">
        <v>959</v>
      </c>
      <c r="Z94" s="148" t="s">
        <v>823</v>
      </c>
      <c r="AA94" s="148" t="s">
        <v>963</v>
      </c>
      <c r="AB94" s="232">
        <v>547.94512199999895</v>
      </c>
      <c r="AC94" s="232">
        <f>'Cálculo PU'!T443</f>
        <v>547.94512199999997</v>
      </c>
      <c r="AD94" s="235">
        <f t="shared" si="7"/>
        <v>1.0231815394945443E-12</v>
      </c>
      <c r="AF94">
        <v>6611</v>
      </c>
      <c r="AG94" s="215">
        <v>43374</v>
      </c>
      <c r="AH94" s="215">
        <v>46153</v>
      </c>
      <c r="AI94" t="s">
        <v>959</v>
      </c>
      <c r="AJ94" t="s">
        <v>823</v>
      </c>
      <c r="AK94" t="s">
        <v>827</v>
      </c>
      <c r="AL94" s="230">
        <v>1.206310431316</v>
      </c>
      <c r="AM94" s="230">
        <f>'Cálculo PU'!O443</f>
        <v>1.2909526986445792</v>
      </c>
      <c r="AN94" s="192">
        <f t="shared" si="8"/>
        <v>-8.4642267328579157E-2</v>
      </c>
      <c r="AP94">
        <v>6599</v>
      </c>
      <c r="AQ94" s="215">
        <v>43374</v>
      </c>
      <c r="AR94" s="215">
        <v>46153</v>
      </c>
      <c r="AS94" t="s">
        <v>959</v>
      </c>
      <c r="AT94" t="s">
        <v>823</v>
      </c>
      <c r="AU94" t="s">
        <v>943</v>
      </c>
      <c r="AV94">
        <v>1914</v>
      </c>
      <c r="AW94" s="241">
        <f>'Cálculo PU'!L443</f>
        <v>2606</v>
      </c>
      <c r="AX94" s="241">
        <f t="shared" si="9"/>
        <v>-692</v>
      </c>
    </row>
    <row r="95" spans="2:50">
      <c r="B95" s="147">
        <v>6651</v>
      </c>
      <c r="C95" s="156">
        <v>43374</v>
      </c>
      <c r="D95" s="156">
        <v>46182</v>
      </c>
      <c r="E95" s="148" t="s">
        <v>959</v>
      </c>
      <c r="F95" s="148" t="s">
        <v>823</v>
      </c>
      <c r="G95" s="148" t="s">
        <v>960</v>
      </c>
      <c r="H95" s="232">
        <v>189.568466398981</v>
      </c>
      <c r="I95" s="232">
        <f>'Cálculo PU'!V444</f>
        <v>86.727141014597052</v>
      </c>
      <c r="J95" s="235">
        <f t="shared" si="5"/>
        <v>-102.84132538438395</v>
      </c>
      <c r="L95" s="147">
        <v>6639</v>
      </c>
      <c r="M95" s="156">
        <v>43374</v>
      </c>
      <c r="N95" s="156">
        <v>46182</v>
      </c>
      <c r="O95" s="148" t="s">
        <v>959</v>
      </c>
      <c r="P95" s="148" t="s">
        <v>823</v>
      </c>
      <c r="Q95" s="148" t="s">
        <v>962</v>
      </c>
      <c r="R95" s="232">
        <v>229.12705446053101</v>
      </c>
      <c r="S95" s="232">
        <f>'Cálculo PU'!U444</f>
        <v>112.18028829984243</v>
      </c>
      <c r="T95" s="235">
        <f t="shared" si="6"/>
        <v>-116.94676616068858</v>
      </c>
      <c r="V95" s="147">
        <v>6630</v>
      </c>
      <c r="W95" s="156">
        <v>43374</v>
      </c>
      <c r="X95" s="156">
        <v>46182</v>
      </c>
      <c r="Y95" s="148" t="s">
        <v>959</v>
      </c>
      <c r="Z95" s="148" t="s">
        <v>823</v>
      </c>
      <c r="AA95" s="148" t="s">
        <v>963</v>
      </c>
      <c r="AB95" s="232">
        <v>542.40305000000001</v>
      </c>
      <c r="AC95" s="232">
        <f>'Cálculo PU'!T444</f>
        <v>542.40305000000001</v>
      </c>
      <c r="AD95" s="235">
        <f t="shared" si="7"/>
        <v>0</v>
      </c>
      <c r="AF95">
        <v>6650</v>
      </c>
      <c r="AG95" s="215">
        <v>43374</v>
      </c>
      <c r="AH95" s="215">
        <v>46182</v>
      </c>
      <c r="AI95" t="s">
        <v>959</v>
      </c>
      <c r="AJ95" t="s">
        <v>823</v>
      </c>
      <c r="AK95" t="s">
        <v>827</v>
      </c>
      <c r="AL95" s="230">
        <v>1.208677048525</v>
      </c>
      <c r="AM95" s="230">
        <f>'Cálculo PU'!O444</f>
        <v>1.2934853724851989</v>
      </c>
      <c r="AN95" s="192">
        <f t="shared" si="8"/>
        <v>-8.4808323960198884E-2</v>
      </c>
      <c r="AP95">
        <v>6638</v>
      </c>
      <c r="AQ95" s="215">
        <v>43374</v>
      </c>
      <c r="AR95" s="215">
        <v>46182</v>
      </c>
      <c r="AS95" t="s">
        <v>959</v>
      </c>
      <c r="AT95" t="s">
        <v>823</v>
      </c>
      <c r="AU95" t="s">
        <v>943</v>
      </c>
      <c r="AV95">
        <v>1934</v>
      </c>
      <c r="AW95" s="241">
        <f>'Cálculo PU'!L444</f>
        <v>2626</v>
      </c>
      <c r="AX95" s="241">
        <f t="shared" si="9"/>
        <v>-692</v>
      </c>
    </row>
    <row r="96" spans="2:50">
      <c r="B96" s="147">
        <v>6690</v>
      </c>
      <c r="C96" s="156">
        <v>43374</v>
      </c>
      <c r="D96" s="156">
        <v>46211</v>
      </c>
      <c r="E96" s="148" t="s">
        <v>959</v>
      </c>
      <c r="F96" s="148" t="s">
        <v>823</v>
      </c>
      <c r="G96" s="148" t="s">
        <v>960</v>
      </c>
      <c r="H96" s="232">
        <v>184.95960461024001</v>
      </c>
      <c r="I96" s="232">
        <f>'Cálculo PU'!V445</f>
        <v>84.409228866307799</v>
      </c>
      <c r="J96" s="235">
        <f t="shared" si="5"/>
        <v>-100.55037574393221</v>
      </c>
      <c r="L96" s="147">
        <v>6678</v>
      </c>
      <c r="M96" s="156">
        <v>43374</v>
      </c>
      <c r="N96" s="156">
        <v>46211</v>
      </c>
      <c r="O96" s="148" t="s">
        <v>959</v>
      </c>
      <c r="P96" s="148" t="s">
        <v>823</v>
      </c>
      <c r="Q96" s="148" t="s">
        <v>962</v>
      </c>
      <c r="R96" s="232">
        <v>224.016968284303</v>
      </c>
      <c r="S96" s="232">
        <f>'Cálculo PU'!U445</f>
        <v>109.40702434356464</v>
      </c>
      <c r="T96" s="235">
        <f t="shared" si="6"/>
        <v>-114.60994394073836</v>
      </c>
      <c r="V96" s="147">
        <v>6669</v>
      </c>
      <c r="W96" s="156">
        <v>43374</v>
      </c>
      <c r="X96" s="156">
        <v>46211</v>
      </c>
      <c r="Y96" s="148" t="s">
        <v>959</v>
      </c>
      <c r="Z96" s="148" t="s">
        <v>823</v>
      </c>
      <c r="AA96" s="148" t="s">
        <v>963</v>
      </c>
      <c r="AB96" s="232">
        <v>535.75120000000004</v>
      </c>
      <c r="AC96" s="232">
        <f>'Cálculo PU'!T445</f>
        <v>535.75120000000004</v>
      </c>
      <c r="AD96" s="235">
        <f t="shared" si="7"/>
        <v>0</v>
      </c>
      <c r="AF96">
        <v>6689</v>
      </c>
      <c r="AG96" s="215">
        <v>43374</v>
      </c>
      <c r="AH96" s="215">
        <v>46211</v>
      </c>
      <c r="AI96" t="s">
        <v>959</v>
      </c>
      <c r="AJ96" t="s">
        <v>823</v>
      </c>
      <c r="AK96" t="s">
        <v>827</v>
      </c>
      <c r="AL96" s="230">
        <v>1.2111669937680001</v>
      </c>
      <c r="AM96" s="230">
        <f>'Cálculo PU'!O445</f>
        <v>1.2961500278227847</v>
      </c>
      <c r="AN96" s="192">
        <f t="shared" si="8"/>
        <v>-8.4983034054784579E-2</v>
      </c>
      <c r="AP96">
        <v>6677</v>
      </c>
      <c r="AQ96" s="215">
        <v>43374</v>
      </c>
      <c r="AR96" s="215">
        <v>46211</v>
      </c>
      <c r="AS96" t="s">
        <v>959</v>
      </c>
      <c r="AT96" t="s">
        <v>823</v>
      </c>
      <c r="AU96" t="s">
        <v>943</v>
      </c>
      <c r="AV96">
        <v>1955</v>
      </c>
      <c r="AW96" s="241">
        <f>'Cálculo PU'!L445</f>
        <v>2647</v>
      </c>
      <c r="AX96" s="241">
        <f t="shared" si="9"/>
        <v>-692</v>
      </c>
    </row>
    <row r="97" spans="2:50">
      <c r="B97" s="147">
        <v>6729</v>
      </c>
      <c r="C97" s="156">
        <v>43374</v>
      </c>
      <c r="D97" s="156">
        <v>46244</v>
      </c>
      <c r="E97" s="148" t="s">
        <v>959</v>
      </c>
      <c r="F97" s="148" t="s">
        <v>823</v>
      </c>
      <c r="G97" s="148" t="s">
        <v>960</v>
      </c>
      <c r="H97" s="232">
        <v>179.793974658492</v>
      </c>
      <c r="I97" s="232">
        <f>'Cálculo PU'!V446</f>
        <v>81.816709800838026</v>
      </c>
      <c r="J97" s="235">
        <f t="shared" si="5"/>
        <v>-97.977264857653978</v>
      </c>
      <c r="L97" s="147">
        <v>6717</v>
      </c>
      <c r="M97" s="156">
        <v>43374</v>
      </c>
      <c r="N97" s="156">
        <v>46244</v>
      </c>
      <c r="O97" s="148" t="s">
        <v>959</v>
      </c>
      <c r="P97" s="148" t="s">
        <v>823</v>
      </c>
      <c r="Q97" s="148" t="s">
        <v>962</v>
      </c>
      <c r="R97" s="232">
        <v>218.25189909710801</v>
      </c>
      <c r="S97" s="232">
        <f>'Cálculo PU'!U446</f>
        <v>106.28602254244404</v>
      </c>
      <c r="T97" s="235">
        <f t="shared" si="6"/>
        <v>-111.96587655466396</v>
      </c>
      <c r="V97" s="147">
        <v>6708</v>
      </c>
      <c r="W97" s="156">
        <v>43374</v>
      </c>
      <c r="X97" s="156">
        <v>46244</v>
      </c>
      <c r="Y97" s="148" t="s">
        <v>959</v>
      </c>
      <c r="Z97" s="148" t="s">
        <v>823</v>
      </c>
      <c r="AA97" s="148" t="s">
        <v>963</v>
      </c>
      <c r="AB97" s="232">
        <v>527.75501199999906</v>
      </c>
      <c r="AC97" s="232">
        <f>'Cálculo PU'!T446</f>
        <v>527.75501199999997</v>
      </c>
      <c r="AD97" s="235">
        <f t="shared" si="7"/>
        <v>9.0949470177292824E-13</v>
      </c>
      <c r="AF97">
        <v>6728</v>
      </c>
      <c r="AG97" s="215">
        <v>43374</v>
      </c>
      <c r="AH97" s="215">
        <v>46244</v>
      </c>
      <c r="AI97" t="s">
        <v>959</v>
      </c>
      <c r="AJ97" t="s">
        <v>823</v>
      </c>
      <c r="AK97" t="s">
        <v>827</v>
      </c>
      <c r="AL97" s="230">
        <v>1.213899962508</v>
      </c>
      <c r="AM97" s="230">
        <f>'Cálculo PU'!O446</f>
        <v>1.2990747587035745</v>
      </c>
      <c r="AN97" s="192">
        <f t="shared" si="8"/>
        <v>-8.5174796195574443E-2</v>
      </c>
      <c r="AP97">
        <v>6716</v>
      </c>
      <c r="AQ97" s="215">
        <v>43374</v>
      </c>
      <c r="AR97" s="215">
        <v>46244</v>
      </c>
      <c r="AS97" t="s">
        <v>959</v>
      </c>
      <c r="AT97" t="s">
        <v>823</v>
      </c>
      <c r="AU97" t="s">
        <v>943</v>
      </c>
      <c r="AV97">
        <v>1978</v>
      </c>
      <c r="AW97" s="241">
        <f>'Cálculo PU'!L446</f>
        <v>2670</v>
      </c>
      <c r="AX97" s="241">
        <f t="shared" si="9"/>
        <v>-692</v>
      </c>
    </row>
    <row r="98" spans="2:50">
      <c r="B98" s="147">
        <v>6768</v>
      </c>
      <c r="C98" s="156">
        <v>43374</v>
      </c>
      <c r="D98" s="156">
        <v>46274</v>
      </c>
      <c r="E98" s="148" t="s">
        <v>959</v>
      </c>
      <c r="F98" s="148" t="s">
        <v>823</v>
      </c>
      <c r="G98" s="148" t="s">
        <v>960</v>
      </c>
      <c r="H98" s="232">
        <v>176.33315002091501</v>
      </c>
      <c r="I98" s="232">
        <f>'Cálculo PU'!V447</f>
        <v>80.032529641102272</v>
      </c>
      <c r="J98" s="235">
        <f t="shared" si="5"/>
        <v>-96.300620379812742</v>
      </c>
      <c r="L98" s="147">
        <v>6756</v>
      </c>
      <c r="M98" s="156">
        <v>43374</v>
      </c>
      <c r="N98" s="156">
        <v>46274</v>
      </c>
      <c r="O98" s="148" t="s">
        <v>959</v>
      </c>
      <c r="P98" s="148" t="s">
        <v>823</v>
      </c>
      <c r="Q98" s="148" t="s">
        <v>962</v>
      </c>
      <c r="R98" s="232">
        <v>214.49176134514599</v>
      </c>
      <c r="S98" s="232">
        <f>'Cálculo PU'!U447</f>
        <v>104.18241977074001</v>
      </c>
      <c r="T98" s="235">
        <f t="shared" si="6"/>
        <v>-110.30934157440598</v>
      </c>
      <c r="V98" s="147">
        <v>6747</v>
      </c>
      <c r="W98" s="156">
        <v>43374</v>
      </c>
      <c r="X98" s="156">
        <v>46274</v>
      </c>
      <c r="Y98" s="148" t="s">
        <v>959</v>
      </c>
      <c r="Z98" s="148" t="s">
        <v>823</v>
      </c>
      <c r="AA98" s="148" t="s">
        <v>963</v>
      </c>
      <c r="AB98" s="232">
        <v>523.91441099999895</v>
      </c>
      <c r="AC98" s="232">
        <f>'Cálculo PU'!T447</f>
        <v>523.91441099999997</v>
      </c>
      <c r="AD98" s="235">
        <f t="shared" si="7"/>
        <v>1.0231815394945443E-12</v>
      </c>
      <c r="AF98">
        <v>6767</v>
      </c>
      <c r="AG98" s="215">
        <v>43374</v>
      </c>
      <c r="AH98" s="215">
        <v>46274</v>
      </c>
      <c r="AI98" t="s">
        <v>959</v>
      </c>
      <c r="AJ98" t="s">
        <v>823</v>
      </c>
      <c r="AK98" t="s">
        <v>827</v>
      </c>
      <c r="AL98" s="230">
        <v>1.2164006672579999</v>
      </c>
      <c r="AM98" s="230">
        <f>'Cálculo PU'!O447</f>
        <v>1.3017509285028908</v>
      </c>
      <c r="AN98" s="192">
        <f t="shared" si="8"/>
        <v>-8.5350261244890868E-2</v>
      </c>
      <c r="AP98">
        <v>6755</v>
      </c>
      <c r="AQ98" s="215">
        <v>43374</v>
      </c>
      <c r="AR98" s="215">
        <v>46274</v>
      </c>
      <c r="AS98" t="s">
        <v>959</v>
      </c>
      <c r="AT98" t="s">
        <v>823</v>
      </c>
      <c r="AU98" t="s">
        <v>943</v>
      </c>
      <c r="AV98">
        <v>1999</v>
      </c>
      <c r="AW98" s="241">
        <f>'Cálculo PU'!L447</f>
        <v>2691</v>
      </c>
      <c r="AX98" s="241">
        <f t="shared" si="9"/>
        <v>-692</v>
      </c>
    </row>
    <row r="99" spans="2:50">
      <c r="B99" s="147">
        <v>6807</v>
      </c>
      <c r="C99" s="156">
        <v>43374</v>
      </c>
      <c r="D99" s="156">
        <v>46304</v>
      </c>
      <c r="E99" s="148" t="s">
        <v>959</v>
      </c>
      <c r="F99" s="148" t="s">
        <v>823</v>
      </c>
      <c r="G99" s="148" t="s">
        <v>960</v>
      </c>
      <c r="H99" s="232">
        <v>172.38109814622501</v>
      </c>
      <c r="I99" s="232">
        <f>'Cálculo PU'!V448</f>
        <v>78.033905779467247</v>
      </c>
      <c r="J99" s="235">
        <f t="shared" si="5"/>
        <v>-94.347192366757767</v>
      </c>
      <c r="L99" s="147">
        <v>6795</v>
      </c>
      <c r="M99" s="156">
        <v>43374</v>
      </c>
      <c r="N99" s="156">
        <v>46304</v>
      </c>
      <c r="O99" s="148" t="s">
        <v>959</v>
      </c>
      <c r="P99" s="148" t="s">
        <v>823</v>
      </c>
      <c r="Q99" s="148" t="s">
        <v>962</v>
      </c>
      <c r="R99" s="232">
        <v>210.116445076627</v>
      </c>
      <c r="S99" s="232">
        <f>'Cálculo PU'!U448</f>
        <v>101.78997149116576</v>
      </c>
      <c r="T99" s="235">
        <f t="shared" si="6"/>
        <v>-108.32647358546124</v>
      </c>
      <c r="V99" s="147">
        <v>6786</v>
      </c>
      <c r="W99" s="156">
        <v>43374</v>
      </c>
      <c r="X99" s="156">
        <v>46304</v>
      </c>
      <c r="Y99" s="148" t="s">
        <v>959</v>
      </c>
      <c r="Z99" s="148" t="s">
        <v>823</v>
      </c>
      <c r="AA99" s="148" t="s">
        <v>963</v>
      </c>
      <c r="AB99" s="232">
        <v>518.42408199999898</v>
      </c>
      <c r="AC99" s="232">
        <f>'Cálculo PU'!T448</f>
        <v>518.424082</v>
      </c>
      <c r="AD99" s="235">
        <f t="shared" si="7"/>
        <v>1.0231815394945443E-12</v>
      </c>
      <c r="AF99">
        <v>6806</v>
      </c>
      <c r="AG99" s="215">
        <v>43374</v>
      </c>
      <c r="AH99" s="215">
        <v>46304</v>
      </c>
      <c r="AI99" t="s">
        <v>959</v>
      </c>
      <c r="AJ99" t="s">
        <v>823</v>
      </c>
      <c r="AK99" t="s">
        <v>827</v>
      </c>
      <c r="AL99" s="230">
        <v>1.2189065236050001</v>
      </c>
      <c r="AM99" s="230">
        <f>'Cálculo PU'!O448</f>
        <v>1.3044326113681388</v>
      </c>
      <c r="AN99" s="192">
        <f t="shared" si="8"/>
        <v>-8.5526087763138747E-2</v>
      </c>
      <c r="AP99">
        <v>6794</v>
      </c>
      <c r="AQ99" s="215">
        <v>43374</v>
      </c>
      <c r="AR99" s="215">
        <v>46304</v>
      </c>
      <c r="AS99" t="s">
        <v>959</v>
      </c>
      <c r="AT99" t="s">
        <v>823</v>
      </c>
      <c r="AU99" t="s">
        <v>943</v>
      </c>
      <c r="AV99">
        <v>2020</v>
      </c>
      <c r="AW99" s="241">
        <f>'Cálculo PU'!L448</f>
        <v>2712</v>
      </c>
      <c r="AX99" s="241">
        <f t="shared" si="9"/>
        <v>-692</v>
      </c>
    </row>
    <row r="100" spans="2:50">
      <c r="B100" s="147">
        <v>6846</v>
      </c>
      <c r="C100" s="156">
        <v>43374</v>
      </c>
      <c r="D100" s="156">
        <v>46336</v>
      </c>
      <c r="E100" s="148" t="s">
        <v>959</v>
      </c>
      <c r="F100" s="148" t="s">
        <v>823</v>
      </c>
      <c r="G100" s="148" t="s">
        <v>960</v>
      </c>
      <c r="H100" s="232">
        <v>168.522712839897</v>
      </c>
      <c r="I100" s="232">
        <f>'Cálculo PU'!V449</f>
        <v>76.088092059804382</v>
      </c>
      <c r="J100" s="235">
        <f t="shared" si="5"/>
        <v>-92.434620780092615</v>
      </c>
      <c r="L100" s="147">
        <v>6834</v>
      </c>
      <c r="M100" s="156">
        <v>43374</v>
      </c>
      <c r="N100" s="156">
        <v>46336</v>
      </c>
      <c r="O100" s="148" t="s">
        <v>959</v>
      </c>
      <c r="P100" s="148" t="s">
        <v>823</v>
      </c>
      <c r="Q100" s="148" t="s">
        <v>962</v>
      </c>
      <c r="R100" s="232">
        <v>205.83659771554801</v>
      </c>
      <c r="S100" s="232">
        <f>'Cálculo PU'!U449</f>
        <v>99.456253095134826</v>
      </c>
      <c r="T100" s="235">
        <f t="shared" si="6"/>
        <v>-106.38034462041318</v>
      </c>
      <c r="V100" s="147">
        <v>6825</v>
      </c>
      <c r="W100" s="156">
        <v>43374</v>
      </c>
      <c r="X100" s="156">
        <v>46336</v>
      </c>
      <c r="Y100" s="148" t="s">
        <v>959</v>
      </c>
      <c r="Z100" s="148" t="s">
        <v>823</v>
      </c>
      <c r="AA100" s="148" t="s">
        <v>963</v>
      </c>
      <c r="AB100" s="232">
        <v>513.00678800000003</v>
      </c>
      <c r="AC100" s="232">
        <f>'Cálculo PU'!T449</f>
        <v>513.00678800000003</v>
      </c>
      <c r="AD100" s="235">
        <f t="shared" si="7"/>
        <v>0</v>
      </c>
      <c r="AF100">
        <v>6845</v>
      </c>
      <c r="AG100" s="215">
        <v>43374</v>
      </c>
      <c r="AH100" s="215">
        <v>46336</v>
      </c>
      <c r="AI100" t="s">
        <v>959</v>
      </c>
      <c r="AJ100" t="s">
        <v>823</v>
      </c>
      <c r="AK100" t="s">
        <v>827</v>
      </c>
      <c r="AL100" s="230">
        <v>1.221417542163</v>
      </c>
      <c r="AM100" s="230">
        <f>'Cálculo PU'!O449</f>
        <v>1.3071198186565558</v>
      </c>
      <c r="AN100" s="192">
        <f t="shared" si="8"/>
        <v>-8.5702276493555773E-2</v>
      </c>
      <c r="AP100">
        <v>6833</v>
      </c>
      <c r="AQ100" s="215">
        <v>43374</v>
      </c>
      <c r="AR100" s="215">
        <v>46336</v>
      </c>
      <c r="AS100" t="s">
        <v>959</v>
      </c>
      <c r="AT100" t="s">
        <v>823</v>
      </c>
      <c r="AU100" t="s">
        <v>943</v>
      </c>
      <c r="AV100">
        <v>2041</v>
      </c>
      <c r="AW100" s="241">
        <f>'Cálculo PU'!L449</f>
        <v>2733</v>
      </c>
      <c r="AX100" s="241">
        <f t="shared" si="9"/>
        <v>-692</v>
      </c>
    </row>
    <row r="101" spans="2:50">
      <c r="B101" s="147">
        <v>6885</v>
      </c>
      <c r="C101" s="156">
        <v>43374</v>
      </c>
      <c r="D101" s="156">
        <v>46364</v>
      </c>
      <c r="E101" s="148" t="s">
        <v>959</v>
      </c>
      <c r="F101" s="148" t="s">
        <v>823</v>
      </c>
      <c r="G101" s="148" t="s">
        <v>960</v>
      </c>
      <c r="H101" s="232">
        <v>165.158009486033</v>
      </c>
      <c r="I101" s="232">
        <f>'Cálculo PU'!V450</f>
        <v>74.383793342840391</v>
      </c>
      <c r="J101" s="235">
        <f t="shared" si="5"/>
        <v>-90.774216143192604</v>
      </c>
      <c r="L101" s="147">
        <v>6873</v>
      </c>
      <c r="M101" s="156">
        <v>43374</v>
      </c>
      <c r="N101" s="156">
        <v>46364</v>
      </c>
      <c r="O101" s="148" t="s">
        <v>959</v>
      </c>
      <c r="P101" s="148" t="s">
        <v>823</v>
      </c>
      <c r="Q101" s="148" t="s">
        <v>962</v>
      </c>
      <c r="R101" s="232">
        <v>202.122650772019</v>
      </c>
      <c r="S101" s="232">
        <f>'Cálculo PU'!U450</f>
        <v>97.419279635199374</v>
      </c>
      <c r="T101" s="235">
        <f t="shared" si="6"/>
        <v>-104.70337113681963</v>
      </c>
      <c r="V101" s="147">
        <v>6864</v>
      </c>
      <c r="W101" s="156">
        <v>43374</v>
      </c>
      <c r="X101" s="156">
        <v>46364</v>
      </c>
      <c r="Y101" s="148" t="s">
        <v>959</v>
      </c>
      <c r="Z101" s="148" t="s">
        <v>823</v>
      </c>
      <c r="AA101" s="148" t="s">
        <v>963</v>
      </c>
      <c r="AB101" s="232">
        <v>508.60724699999901</v>
      </c>
      <c r="AC101" s="232">
        <f>'Cálculo PU'!T450</f>
        <v>508.60724699999997</v>
      </c>
      <c r="AD101" s="235">
        <f t="shared" si="7"/>
        <v>9.6633812063373625E-13</v>
      </c>
      <c r="AF101">
        <v>6884</v>
      </c>
      <c r="AG101" s="215">
        <v>43374</v>
      </c>
      <c r="AH101" s="215">
        <v>46364</v>
      </c>
      <c r="AI101" t="s">
        <v>959</v>
      </c>
      <c r="AJ101" t="s">
        <v>823</v>
      </c>
      <c r="AK101" t="s">
        <v>827</v>
      </c>
      <c r="AL101" s="230">
        <v>1.223813797472</v>
      </c>
      <c r="AM101" s="230">
        <f>'Cálculo PU'!O450</f>
        <v>1.3096842101906088</v>
      </c>
      <c r="AN101" s="192">
        <f t="shared" si="8"/>
        <v>-8.5870412718608735E-2</v>
      </c>
      <c r="AP101">
        <v>6872</v>
      </c>
      <c r="AQ101" s="215">
        <v>43374</v>
      </c>
      <c r="AR101" s="215">
        <v>46364</v>
      </c>
      <c r="AS101" t="s">
        <v>959</v>
      </c>
      <c r="AT101" t="s">
        <v>823</v>
      </c>
      <c r="AU101" t="s">
        <v>943</v>
      </c>
      <c r="AV101">
        <v>2061</v>
      </c>
      <c r="AW101" s="241">
        <f>'Cálculo PU'!L450</f>
        <v>2753</v>
      </c>
      <c r="AX101" s="241">
        <f t="shared" si="9"/>
        <v>-692</v>
      </c>
    </row>
    <row r="102" spans="2:50">
      <c r="B102" s="147">
        <v>6924</v>
      </c>
      <c r="C102" s="156">
        <v>43374</v>
      </c>
      <c r="D102" s="156">
        <v>46398</v>
      </c>
      <c r="E102" s="148" t="s">
        <v>959</v>
      </c>
      <c r="F102" s="148" t="s">
        <v>823</v>
      </c>
      <c r="G102" s="148" t="s">
        <v>960</v>
      </c>
      <c r="H102" s="232">
        <v>174.94713508613</v>
      </c>
      <c r="I102" s="232">
        <f>'Cálculo PU'!V451</f>
        <v>78.577187095714166</v>
      </c>
      <c r="J102" s="235">
        <f t="shared" si="5"/>
        <v>-96.369947990415838</v>
      </c>
      <c r="L102" s="147">
        <v>6912</v>
      </c>
      <c r="M102" s="156">
        <v>43374</v>
      </c>
      <c r="N102" s="156">
        <v>46398</v>
      </c>
      <c r="O102" s="148" t="s">
        <v>959</v>
      </c>
      <c r="P102" s="148" t="s">
        <v>823</v>
      </c>
      <c r="Q102" s="148" t="s">
        <v>962</v>
      </c>
      <c r="R102" s="232">
        <v>214.56480753822601</v>
      </c>
      <c r="S102" s="232">
        <f>'Cálculo PU'!U451</f>
        <v>103.13341078659988</v>
      </c>
      <c r="T102" s="235">
        <f t="shared" si="6"/>
        <v>-111.43139675162612</v>
      </c>
      <c r="V102" s="147">
        <v>6903</v>
      </c>
      <c r="W102" s="156">
        <v>43374</v>
      </c>
      <c r="X102" s="156">
        <v>46398</v>
      </c>
      <c r="Y102" s="148" t="s">
        <v>959</v>
      </c>
      <c r="Z102" s="148" t="s">
        <v>823</v>
      </c>
      <c r="AA102" s="148" t="s">
        <v>963</v>
      </c>
      <c r="AB102" s="232">
        <v>545.64950399999896</v>
      </c>
      <c r="AC102" s="232">
        <f>'Cálculo PU'!T451</f>
        <v>545.64950399999998</v>
      </c>
      <c r="AD102" s="235">
        <f t="shared" si="7"/>
        <v>1.0231815394945443E-12</v>
      </c>
      <c r="AF102">
        <v>6923</v>
      </c>
      <c r="AG102" s="215">
        <v>43374</v>
      </c>
      <c r="AH102" s="215">
        <v>46398</v>
      </c>
      <c r="AI102" t="s">
        <v>959</v>
      </c>
      <c r="AJ102" t="s">
        <v>823</v>
      </c>
      <c r="AK102" t="s">
        <v>827</v>
      </c>
      <c r="AL102" s="230">
        <v>1.226455108468</v>
      </c>
      <c r="AM102" s="230">
        <f>'Cálculo PU'!O451</f>
        <v>1.3125108520488777</v>
      </c>
      <c r="AN102" s="192">
        <f t="shared" si="8"/>
        <v>-8.6055743580877753E-2</v>
      </c>
      <c r="AP102">
        <v>6911</v>
      </c>
      <c r="AQ102" s="215">
        <v>43374</v>
      </c>
      <c r="AR102" s="215">
        <v>46398</v>
      </c>
      <c r="AS102" t="s">
        <v>959</v>
      </c>
      <c r="AT102" t="s">
        <v>823</v>
      </c>
      <c r="AU102" t="s">
        <v>943</v>
      </c>
      <c r="AV102">
        <v>2083</v>
      </c>
      <c r="AW102" s="241">
        <f>'Cálculo PU'!L451</f>
        <v>2775</v>
      </c>
      <c r="AX102" s="241">
        <f t="shared" si="9"/>
        <v>-692</v>
      </c>
    </row>
    <row r="103" spans="2:50">
      <c r="B103" s="147">
        <v>6963</v>
      </c>
      <c r="C103" s="156">
        <v>43374</v>
      </c>
      <c r="D103" s="156">
        <v>46428</v>
      </c>
      <c r="E103" s="148" t="s">
        <v>959</v>
      </c>
      <c r="F103" s="148" t="s">
        <v>823</v>
      </c>
      <c r="G103" s="148" t="s">
        <v>960</v>
      </c>
      <c r="H103" s="232">
        <v>171.61097407767599</v>
      </c>
      <c r="I103" s="232">
        <f>'Cálculo PU'!V452</f>
        <v>76.88877077998437</v>
      </c>
      <c r="J103" s="235">
        <f t="shared" si="5"/>
        <v>-94.722203297691621</v>
      </c>
      <c r="L103" s="147">
        <v>6951</v>
      </c>
      <c r="M103" s="156">
        <v>43374</v>
      </c>
      <c r="N103" s="156">
        <v>46428</v>
      </c>
      <c r="O103" s="148" t="s">
        <v>959</v>
      </c>
      <c r="P103" s="148" t="s">
        <v>823</v>
      </c>
      <c r="Q103" s="148" t="s">
        <v>962</v>
      </c>
      <c r="R103" s="232">
        <v>210.886075569312</v>
      </c>
      <c r="S103" s="232">
        <f>'Cálculo PU'!U452</f>
        <v>101.11533217446006</v>
      </c>
      <c r="T103" s="235">
        <f t="shared" si="6"/>
        <v>-109.77074339485193</v>
      </c>
      <c r="V103" s="147">
        <v>6942</v>
      </c>
      <c r="W103" s="156">
        <v>43374</v>
      </c>
      <c r="X103" s="156">
        <v>46428</v>
      </c>
      <c r="Y103" s="148" t="s">
        <v>959</v>
      </c>
      <c r="Z103" s="148" t="s">
        <v>823</v>
      </c>
      <c r="AA103" s="148" t="s">
        <v>963</v>
      </c>
      <c r="AB103" s="232">
        <v>541.47578499999895</v>
      </c>
      <c r="AC103" s="232">
        <f>'Cálculo PU'!T452</f>
        <v>541.47578499999997</v>
      </c>
      <c r="AD103" s="235">
        <f t="shared" si="7"/>
        <v>1.0231815394945443E-12</v>
      </c>
      <c r="AF103">
        <v>6962</v>
      </c>
      <c r="AG103" s="215">
        <v>43374</v>
      </c>
      <c r="AH103" s="215">
        <v>46428</v>
      </c>
      <c r="AI103" t="s">
        <v>959</v>
      </c>
      <c r="AJ103" t="s">
        <v>823</v>
      </c>
      <c r="AK103" t="s">
        <v>827</v>
      </c>
      <c r="AL103" s="230">
        <v>1.228861246798</v>
      </c>
      <c r="AM103" s="230">
        <f>'Cálculo PU'!O452</f>
        <v>1.3150858200581657</v>
      </c>
      <c r="AN103" s="192">
        <f t="shared" si="8"/>
        <v>-8.6224573260165638E-2</v>
      </c>
      <c r="AP103">
        <v>6950</v>
      </c>
      <c r="AQ103" s="215">
        <v>43374</v>
      </c>
      <c r="AR103" s="215">
        <v>46428</v>
      </c>
      <c r="AS103" t="s">
        <v>959</v>
      </c>
      <c r="AT103" t="s">
        <v>823</v>
      </c>
      <c r="AU103" t="s">
        <v>943</v>
      </c>
      <c r="AV103">
        <v>2103</v>
      </c>
      <c r="AW103" s="241">
        <f>'Cálculo PU'!L452</f>
        <v>2795</v>
      </c>
      <c r="AX103" s="241">
        <f t="shared" si="9"/>
        <v>-692</v>
      </c>
    </row>
    <row r="104" spans="2:50">
      <c r="B104" s="147">
        <v>7002</v>
      </c>
      <c r="C104" s="156">
        <v>43374</v>
      </c>
      <c r="D104" s="156">
        <v>46454</v>
      </c>
      <c r="E104" s="148" t="s">
        <v>959</v>
      </c>
      <c r="F104" s="148" t="s">
        <v>823</v>
      </c>
      <c r="G104" s="148" t="s">
        <v>960</v>
      </c>
      <c r="H104" s="232">
        <v>168.64238743815201</v>
      </c>
      <c r="I104" s="232">
        <f>'Cálculo PU'!V453</f>
        <v>75.390437062891124</v>
      </c>
      <c r="J104" s="235">
        <f t="shared" si="5"/>
        <v>-93.25195037526089</v>
      </c>
      <c r="L104" s="147">
        <v>6990</v>
      </c>
      <c r="M104" s="156">
        <v>43374</v>
      </c>
      <c r="N104" s="156">
        <v>46454</v>
      </c>
      <c r="O104" s="148" t="s">
        <v>959</v>
      </c>
      <c r="P104" s="148" t="s">
        <v>823</v>
      </c>
      <c r="Q104" s="148" t="s">
        <v>962</v>
      </c>
      <c r="R104" s="232">
        <v>207.603974314705</v>
      </c>
      <c r="S104" s="232">
        <f>'Cálculo PU'!U453</f>
        <v>99.319935524446166</v>
      </c>
      <c r="T104" s="235">
        <f t="shared" si="6"/>
        <v>-108.28403879025883</v>
      </c>
      <c r="V104" s="147">
        <v>6981</v>
      </c>
      <c r="W104" s="156">
        <v>43374</v>
      </c>
      <c r="X104" s="156">
        <v>46454</v>
      </c>
      <c r="Y104" s="148" t="s">
        <v>959</v>
      </c>
      <c r="Z104" s="148" t="s">
        <v>823</v>
      </c>
      <c r="AA104" s="148" t="s">
        <v>963</v>
      </c>
      <c r="AB104" s="232">
        <v>537.68147399999896</v>
      </c>
      <c r="AC104" s="232">
        <f>'Cálculo PU'!T453</f>
        <v>537.68147399999998</v>
      </c>
      <c r="AD104" s="235">
        <f t="shared" si="7"/>
        <v>1.0231815394945443E-12</v>
      </c>
      <c r="AF104">
        <v>7001</v>
      </c>
      <c r="AG104" s="215">
        <v>43374</v>
      </c>
      <c r="AH104" s="215">
        <v>46454</v>
      </c>
      <c r="AI104" t="s">
        <v>959</v>
      </c>
      <c r="AJ104" t="s">
        <v>823</v>
      </c>
      <c r="AK104" t="s">
        <v>827</v>
      </c>
      <c r="AL104" s="230">
        <v>1.2310308070730001</v>
      </c>
      <c r="AM104" s="230">
        <f>'Cálculo PU'!O453</f>
        <v>1.3174076102197541</v>
      </c>
      <c r="AN104" s="192">
        <f t="shared" si="8"/>
        <v>-8.6376803146754E-2</v>
      </c>
      <c r="AP104">
        <v>6989</v>
      </c>
      <c r="AQ104" s="215">
        <v>43374</v>
      </c>
      <c r="AR104" s="215">
        <v>46454</v>
      </c>
      <c r="AS104" t="s">
        <v>959</v>
      </c>
      <c r="AT104" t="s">
        <v>823</v>
      </c>
      <c r="AU104" t="s">
        <v>943</v>
      </c>
      <c r="AV104">
        <v>2121</v>
      </c>
      <c r="AW104" s="241">
        <f>'Cálculo PU'!L453</f>
        <v>2813</v>
      </c>
      <c r="AX104" s="241">
        <f t="shared" si="9"/>
        <v>-692</v>
      </c>
    </row>
    <row r="105" spans="2:50">
      <c r="B105" s="147">
        <v>7041</v>
      </c>
      <c r="C105" s="156">
        <v>43374</v>
      </c>
      <c r="D105" s="156">
        <v>46485</v>
      </c>
      <c r="E105" s="148" t="s">
        <v>959</v>
      </c>
      <c r="F105" s="148" t="s">
        <v>823</v>
      </c>
      <c r="G105" s="148" t="s">
        <v>960</v>
      </c>
      <c r="H105" s="232">
        <v>164.02341760869899</v>
      </c>
      <c r="I105" s="232">
        <f>'Cálculo PU'!V454</f>
        <v>73.126457272572992</v>
      </c>
      <c r="J105" s="235">
        <f t="shared" si="5"/>
        <v>-90.896960336126</v>
      </c>
      <c r="L105" s="147">
        <v>7029</v>
      </c>
      <c r="M105" s="156">
        <v>43374</v>
      </c>
      <c r="N105" s="156">
        <v>46485</v>
      </c>
      <c r="O105" s="148" t="s">
        <v>959</v>
      </c>
      <c r="P105" s="148" t="s">
        <v>823</v>
      </c>
      <c r="Q105" s="148" t="s">
        <v>962</v>
      </c>
      <c r="R105" s="232">
        <v>202.353671875798</v>
      </c>
      <c r="S105" s="232">
        <f>'Cálculo PU'!U454</f>
        <v>96.545272578204688</v>
      </c>
      <c r="T105" s="235">
        <f t="shared" si="6"/>
        <v>-105.80839929759331</v>
      </c>
      <c r="V105" s="147">
        <v>7020</v>
      </c>
      <c r="W105" s="156">
        <v>43374</v>
      </c>
      <c r="X105" s="156">
        <v>46485</v>
      </c>
      <c r="Y105" s="148" t="s">
        <v>959</v>
      </c>
      <c r="Z105" s="148" t="s">
        <v>823</v>
      </c>
      <c r="AA105" s="148" t="s">
        <v>963</v>
      </c>
      <c r="AB105" s="232">
        <v>529.65606100000002</v>
      </c>
      <c r="AC105" s="232">
        <f>'Cálculo PU'!T454</f>
        <v>529.65606100000002</v>
      </c>
      <c r="AD105" s="235">
        <f t="shared" si="7"/>
        <v>0</v>
      </c>
      <c r="AF105">
        <v>7040</v>
      </c>
      <c r="AG105" s="215">
        <v>43374</v>
      </c>
      <c r="AH105" s="215">
        <v>46485</v>
      </c>
      <c r="AI105" t="s">
        <v>959</v>
      </c>
      <c r="AJ105" t="s">
        <v>823</v>
      </c>
      <c r="AK105" t="s">
        <v>827</v>
      </c>
      <c r="AL105" s="230">
        <v>1.233687694269</v>
      </c>
      <c r="AM105" s="230">
        <f>'Cálculo PU'!O454</f>
        <v>1.3202509211999693</v>
      </c>
      <c r="AN105" s="192">
        <f t="shared" si="8"/>
        <v>-8.6563226930969295E-2</v>
      </c>
      <c r="AP105">
        <v>7028</v>
      </c>
      <c r="AQ105" s="215">
        <v>43374</v>
      </c>
      <c r="AR105" s="215">
        <v>46485</v>
      </c>
      <c r="AS105" t="s">
        <v>959</v>
      </c>
      <c r="AT105" t="s">
        <v>823</v>
      </c>
      <c r="AU105" t="s">
        <v>943</v>
      </c>
      <c r="AV105">
        <v>2143</v>
      </c>
      <c r="AW105" s="241">
        <f>'Cálculo PU'!L454</f>
        <v>2835</v>
      </c>
      <c r="AX105" s="241">
        <f t="shared" si="9"/>
        <v>-692</v>
      </c>
    </row>
    <row r="106" spans="2:50">
      <c r="B106" s="147">
        <v>7080</v>
      </c>
      <c r="C106" s="156">
        <v>43374</v>
      </c>
      <c r="D106" s="156">
        <v>46517</v>
      </c>
      <c r="E106" s="148" t="s">
        <v>959</v>
      </c>
      <c r="F106" s="148" t="s">
        <v>823</v>
      </c>
      <c r="G106" s="148" t="s">
        <v>960</v>
      </c>
      <c r="H106" s="232">
        <v>160.452790788058</v>
      </c>
      <c r="I106" s="232">
        <f>'Cálculo PU'!V455</f>
        <v>71.349467806990916</v>
      </c>
      <c r="J106" s="235">
        <f t="shared" si="5"/>
        <v>-89.10332298106708</v>
      </c>
      <c r="L106" s="147">
        <v>7068</v>
      </c>
      <c r="M106" s="156">
        <v>43374</v>
      </c>
      <c r="N106" s="156">
        <v>46517</v>
      </c>
      <c r="O106" s="148" t="s">
        <v>959</v>
      </c>
      <c r="P106" s="148" t="s">
        <v>823</v>
      </c>
      <c r="Q106" s="148" t="s">
        <v>962</v>
      </c>
      <c r="R106" s="232">
        <v>198.35641924089001</v>
      </c>
      <c r="S106" s="232">
        <f>'Cálculo PU'!U455</f>
        <v>94.393256448729858</v>
      </c>
      <c r="T106" s="235">
        <f t="shared" si="6"/>
        <v>-103.96316279216015</v>
      </c>
      <c r="V106" s="147">
        <v>7059</v>
      </c>
      <c r="W106" s="156">
        <v>43374</v>
      </c>
      <c r="X106" s="156">
        <v>46517</v>
      </c>
      <c r="Y106" s="148" t="s">
        <v>959</v>
      </c>
      <c r="Z106" s="148" t="s">
        <v>823</v>
      </c>
      <c r="AA106" s="148" t="s">
        <v>963</v>
      </c>
      <c r="AB106" s="232">
        <v>524.46169099999895</v>
      </c>
      <c r="AC106" s="232">
        <f>'Cálculo PU'!T455</f>
        <v>524.46169099999997</v>
      </c>
      <c r="AD106" s="235">
        <f t="shared" si="7"/>
        <v>1.0231815394945443E-12</v>
      </c>
      <c r="AF106">
        <v>7079</v>
      </c>
      <c r="AG106" s="215">
        <v>43374</v>
      </c>
      <c r="AH106" s="215">
        <v>46517</v>
      </c>
      <c r="AI106" t="s">
        <v>959</v>
      </c>
      <c r="AJ106" t="s">
        <v>823</v>
      </c>
      <c r="AK106" t="s">
        <v>827</v>
      </c>
      <c r="AL106" s="230">
        <v>1.2362291629</v>
      </c>
      <c r="AM106" s="230">
        <f>'Cálculo PU'!O455</f>
        <v>1.322970715129582</v>
      </c>
      <c r="AN106" s="192">
        <f t="shared" si="8"/>
        <v>-8.674155222958202E-2</v>
      </c>
      <c r="AP106">
        <v>7067</v>
      </c>
      <c r="AQ106" s="215">
        <v>43374</v>
      </c>
      <c r="AR106" s="215">
        <v>46517</v>
      </c>
      <c r="AS106" t="s">
        <v>959</v>
      </c>
      <c r="AT106" t="s">
        <v>823</v>
      </c>
      <c r="AU106" t="s">
        <v>943</v>
      </c>
      <c r="AV106">
        <v>2164</v>
      </c>
      <c r="AW106" s="241">
        <f>'Cálculo PU'!L455</f>
        <v>2856</v>
      </c>
      <c r="AX106" s="241">
        <f t="shared" si="9"/>
        <v>-692</v>
      </c>
    </row>
    <row r="107" spans="2:50">
      <c r="B107" s="147">
        <v>7119</v>
      </c>
      <c r="C107" s="156">
        <v>43374</v>
      </c>
      <c r="D107" s="156">
        <v>46546</v>
      </c>
      <c r="E107" s="148" t="s">
        <v>959</v>
      </c>
      <c r="F107" s="148" t="s">
        <v>823</v>
      </c>
      <c r="G107" s="148" t="s">
        <v>960</v>
      </c>
      <c r="H107" s="232">
        <v>157.159114695249</v>
      </c>
      <c r="I107" s="232">
        <f>'Cálculo PU'!V456</f>
        <v>69.712285018793239</v>
      </c>
      <c r="J107" s="235">
        <f t="shared" si="5"/>
        <v>-87.446829676455764</v>
      </c>
      <c r="L107" s="147">
        <v>7107</v>
      </c>
      <c r="M107" s="156">
        <v>43374</v>
      </c>
      <c r="N107" s="156">
        <v>46546</v>
      </c>
      <c r="O107" s="148" t="s">
        <v>959</v>
      </c>
      <c r="P107" s="148" t="s">
        <v>823</v>
      </c>
      <c r="Q107" s="148" t="s">
        <v>962</v>
      </c>
      <c r="R107" s="232">
        <v>194.665840955291</v>
      </c>
      <c r="S107" s="232">
        <f>'Cálculo PU'!U456</f>
        <v>92.4082490223973</v>
      </c>
      <c r="T107" s="235">
        <f t="shared" si="6"/>
        <v>-102.2575919328937</v>
      </c>
      <c r="V107" s="147">
        <v>7098</v>
      </c>
      <c r="W107" s="156">
        <v>43374</v>
      </c>
      <c r="X107" s="156">
        <v>46546</v>
      </c>
      <c r="Y107" s="148" t="s">
        <v>959</v>
      </c>
      <c r="Z107" s="148" t="s">
        <v>823</v>
      </c>
      <c r="AA107" s="148" t="s">
        <v>963</v>
      </c>
      <c r="AB107" s="232">
        <v>519.67655300000001</v>
      </c>
      <c r="AC107" s="232">
        <f>'Cálculo PU'!T456</f>
        <v>519.67655300000001</v>
      </c>
      <c r="AD107" s="235">
        <f t="shared" si="7"/>
        <v>0</v>
      </c>
      <c r="AF107">
        <v>7118</v>
      </c>
      <c r="AG107" s="215">
        <v>43374</v>
      </c>
      <c r="AH107" s="215">
        <v>46546</v>
      </c>
      <c r="AI107" t="s">
        <v>959</v>
      </c>
      <c r="AJ107" t="s">
        <v>823</v>
      </c>
      <c r="AK107" t="s">
        <v>827</v>
      </c>
      <c r="AL107" s="230">
        <v>1.238654476597</v>
      </c>
      <c r="AM107" s="230">
        <f>'Cálculo PU'!O456</f>
        <v>1.3255662039694385</v>
      </c>
      <c r="AN107" s="192">
        <f t="shared" si="8"/>
        <v>-8.6911727372438463E-2</v>
      </c>
      <c r="AP107">
        <v>7106</v>
      </c>
      <c r="AQ107" s="215">
        <v>43374</v>
      </c>
      <c r="AR107" s="215">
        <v>46546</v>
      </c>
      <c r="AS107" t="s">
        <v>959</v>
      </c>
      <c r="AT107" t="s">
        <v>823</v>
      </c>
      <c r="AU107" t="s">
        <v>943</v>
      </c>
      <c r="AV107">
        <v>2184</v>
      </c>
      <c r="AW107" s="241">
        <f>'Cálculo PU'!L456</f>
        <v>2876</v>
      </c>
      <c r="AX107" s="241">
        <f t="shared" si="9"/>
        <v>-692</v>
      </c>
    </row>
    <row r="108" spans="2:50">
      <c r="B108" s="147">
        <v>7158</v>
      </c>
      <c r="C108" s="156">
        <v>43374</v>
      </c>
      <c r="D108" s="156">
        <v>46576</v>
      </c>
      <c r="E108" s="148" t="s">
        <v>959</v>
      </c>
      <c r="F108" s="148" t="s">
        <v>823</v>
      </c>
      <c r="G108" s="148" t="s">
        <v>960</v>
      </c>
      <c r="H108" s="232">
        <v>153.306086388757</v>
      </c>
      <c r="I108" s="232">
        <f>'Cálculo PU'!V457</f>
        <v>67.818260408941384</v>
      </c>
      <c r="J108" s="235">
        <f t="shared" si="5"/>
        <v>-85.487825979815611</v>
      </c>
      <c r="L108" s="147">
        <v>7146</v>
      </c>
      <c r="M108" s="156">
        <v>43374</v>
      </c>
      <c r="N108" s="156">
        <v>46576</v>
      </c>
      <c r="O108" s="148" t="s">
        <v>959</v>
      </c>
      <c r="P108" s="148" t="s">
        <v>823</v>
      </c>
      <c r="Q108" s="148" t="s">
        <v>962</v>
      </c>
      <c r="R108" s="232">
        <v>190.30310965248401</v>
      </c>
      <c r="S108" s="232">
        <f>'Cálculo PU'!U457</f>
        <v>90.091616584548092</v>
      </c>
      <c r="T108" s="235">
        <f t="shared" si="6"/>
        <v>-100.21149306793592</v>
      </c>
      <c r="V108" s="147">
        <v>7137</v>
      </c>
      <c r="W108" s="156">
        <v>43374</v>
      </c>
      <c r="X108" s="156">
        <v>46576</v>
      </c>
      <c r="Y108" s="148" t="s">
        <v>959</v>
      </c>
      <c r="Z108" s="148" t="s">
        <v>823</v>
      </c>
      <c r="AA108" s="148" t="s">
        <v>963</v>
      </c>
      <c r="AB108" s="232">
        <v>513.43173000000002</v>
      </c>
      <c r="AC108" s="232">
        <f>'Cálculo PU'!T457</f>
        <v>513.43173000000002</v>
      </c>
      <c r="AD108" s="235">
        <f t="shared" si="7"/>
        <v>0</v>
      </c>
      <c r="AF108">
        <v>7157</v>
      </c>
      <c r="AG108" s="215">
        <v>43374</v>
      </c>
      <c r="AH108" s="215">
        <v>46576</v>
      </c>
      <c r="AI108" t="s">
        <v>959</v>
      </c>
      <c r="AJ108" t="s">
        <v>823</v>
      </c>
      <c r="AK108" t="s">
        <v>827</v>
      </c>
      <c r="AL108" s="230">
        <v>1.24132781767</v>
      </c>
      <c r="AM108" s="230">
        <f>'Cálculo PU'!O457</f>
        <v>1.3284271233337344</v>
      </c>
      <c r="AN108" s="192">
        <f t="shared" si="8"/>
        <v>-8.7099305663734361E-2</v>
      </c>
      <c r="AP108">
        <v>7145</v>
      </c>
      <c r="AQ108" s="215">
        <v>43374</v>
      </c>
      <c r="AR108" s="215">
        <v>46576</v>
      </c>
      <c r="AS108" t="s">
        <v>959</v>
      </c>
      <c r="AT108" t="s">
        <v>823</v>
      </c>
      <c r="AU108" t="s">
        <v>943</v>
      </c>
      <c r="AV108">
        <v>2206</v>
      </c>
      <c r="AW108" s="241">
        <f>'Cálculo PU'!L457</f>
        <v>2898</v>
      </c>
      <c r="AX108" s="241">
        <f t="shared" si="9"/>
        <v>-692</v>
      </c>
    </row>
    <row r="109" spans="2:50">
      <c r="B109" s="147">
        <v>7197</v>
      </c>
      <c r="C109" s="156">
        <v>43374</v>
      </c>
      <c r="D109" s="156">
        <v>46608</v>
      </c>
      <c r="E109" s="148" t="s">
        <v>959</v>
      </c>
      <c r="F109" s="148" t="s">
        <v>823</v>
      </c>
      <c r="G109" s="148" t="s">
        <v>960</v>
      </c>
      <c r="H109" s="232">
        <v>149.741684760065</v>
      </c>
      <c r="I109" s="232">
        <f>'Cálculo PU'!V458</f>
        <v>66.061922281041191</v>
      </c>
      <c r="J109" s="235">
        <f t="shared" si="5"/>
        <v>-83.679762479023807</v>
      </c>
      <c r="L109" s="147">
        <v>7185</v>
      </c>
      <c r="M109" s="156">
        <v>43374</v>
      </c>
      <c r="N109" s="156">
        <v>46608</v>
      </c>
      <c r="O109" s="148" t="s">
        <v>959</v>
      </c>
      <c r="P109" s="148" t="s">
        <v>823</v>
      </c>
      <c r="Q109" s="148" t="s">
        <v>962</v>
      </c>
      <c r="R109" s="232">
        <v>186.27969332888</v>
      </c>
      <c r="S109" s="232">
        <f>'Cálculo PU'!U458</f>
        <v>87.947855117265306</v>
      </c>
      <c r="T109" s="235">
        <f t="shared" si="6"/>
        <v>-98.331838211614695</v>
      </c>
      <c r="V109" s="147">
        <v>7176</v>
      </c>
      <c r="W109" s="156">
        <v>43374</v>
      </c>
      <c r="X109" s="156">
        <v>46608</v>
      </c>
      <c r="Y109" s="148" t="s">
        <v>959</v>
      </c>
      <c r="Z109" s="148" t="s">
        <v>823</v>
      </c>
      <c r="AA109" s="148" t="s">
        <v>963</v>
      </c>
      <c r="AB109" s="232">
        <v>507.920546</v>
      </c>
      <c r="AC109" s="232">
        <f>'Cálculo PU'!T458</f>
        <v>507.920546</v>
      </c>
      <c r="AD109" s="235">
        <f t="shared" si="7"/>
        <v>0</v>
      </c>
      <c r="AF109">
        <v>7196</v>
      </c>
      <c r="AG109" s="215">
        <v>43374</v>
      </c>
      <c r="AH109" s="215">
        <v>46608</v>
      </c>
      <c r="AI109" t="s">
        <v>959</v>
      </c>
      <c r="AJ109" t="s">
        <v>823</v>
      </c>
      <c r="AK109" t="s">
        <v>827</v>
      </c>
      <c r="AL109" s="230">
        <v>1.2440069285140001</v>
      </c>
      <c r="AM109" s="230">
        <f>'Cálculo PU'!O458</f>
        <v>1.3312942173120059</v>
      </c>
      <c r="AN109" s="192">
        <f t="shared" si="8"/>
        <v>-8.7287288798005847E-2</v>
      </c>
      <c r="AP109">
        <v>7184</v>
      </c>
      <c r="AQ109" s="215">
        <v>43374</v>
      </c>
      <c r="AR109" s="215">
        <v>46608</v>
      </c>
      <c r="AS109" t="s">
        <v>959</v>
      </c>
      <c r="AT109" t="s">
        <v>823</v>
      </c>
      <c r="AU109" t="s">
        <v>943</v>
      </c>
      <c r="AV109">
        <v>2228</v>
      </c>
      <c r="AW109" s="241">
        <f>'Cálculo PU'!L458</f>
        <v>2920</v>
      </c>
      <c r="AX109" s="241">
        <f t="shared" si="9"/>
        <v>-692</v>
      </c>
    </row>
    <row r="110" spans="2:50">
      <c r="B110" s="147">
        <v>7236</v>
      </c>
      <c r="C110" s="156">
        <v>43374</v>
      </c>
      <c r="D110" s="156">
        <v>46639</v>
      </c>
      <c r="E110" s="148" t="s">
        <v>959</v>
      </c>
      <c r="F110" s="148" t="s">
        <v>823</v>
      </c>
      <c r="G110" s="148" t="s">
        <v>960</v>
      </c>
      <c r="H110" s="232">
        <v>146.26374340970199</v>
      </c>
      <c r="I110" s="232">
        <f>'Cálculo PU'!V459</f>
        <v>64.351924616942213</v>
      </c>
      <c r="J110" s="235">
        <f t="shared" si="5"/>
        <v>-81.911818792759775</v>
      </c>
      <c r="L110" s="147">
        <v>7224</v>
      </c>
      <c r="M110" s="156">
        <v>43374</v>
      </c>
      <c r="N110" s="156">
        <v>46639</v>
      </c>
      <c r="O110" s="148" t="s">
        <v>959</v>
      </c>
      <c r="P110" s="148" t="s">
        <v>823</v>
      </c>
      <c r="Q110" s="148" t="s">
        <v>962</v>
      </c>
      <c r="R110" s="232">
        <v>182.345812702697</v>
      </c>
      <c r="S110" s="232">
        <f>'Cálculo PU'!U459</f>
        <v>85.856246336867628</v>
      </c>
      <c r="T110" s="235">
        <f t="shared" si="6"/>
        <v>-96.489566365829376</v>
      </c>
      <c r="V110" s="147">
        <v>7215</v>
      </c>
      <c r="W110" s="156">
        <v>43374</v>
      </c>
      <c r="X110" s="156">
        <v>46639</v>
      </c>
      <c r="Y110" s="148" t="s">
        <v>959</v>
      </c>
      <c r="Z110" s="148" t="s">
        <v>823</v>
      </c>
      <c r="AA110" s="148" t="s">
        <v>963</v>
      </c>
      <c r="AB110" s="232">
        <v>502.48084299999903</v>
      </c>
      <c r="AC110" s="232">
        <f>'Cálculo PU'!T459</f>
        <v>502.48084299999999</v>
      </c>
      <c r="AD110" s="235">
        <f t="shared" si="7"/>
        <v>9.6633812063373625E-13</v>
      </c>
      <c r="AF110">
        <v>7235</v>
      </c>
      <c r="AG110" s="215">
        <v>43374</v>
      </c>
      <c r="AH110" s="215">
        <v>46639</v>
      </c>
      <c r="AI110" t="s">
        <v>959</v>
      </c>
      <c r="AJ110" t="s">
        <v>823</v>
      </c>
      <c r="AK110" t="s">
        <v>827</v>
      </c>
      <c r="AL110" s="230">
        <v>1.2466918215809999</v>
      </c>
      <c r="AM110" s="230">
        <f>'Cálculo PU'!O459</f>
        <v>1.3341674992306893</v>
      </c>
      <c r="AN110" s="192">
        <f t="shared" si="8"/>
        <v>-8.7475677649689443E-2</v>
      </c>
      <c r="AP110">
        <v>7223</v>
      </c>
      <c r="AQ110" s="215">
        <v>43374</v>
      </c>
      <c r="AR110" s="215">
        <v>46639</v>
      </c>
      <c r="AS110" t="s">
        <v>959</v>
      </c>
      <c r="AT110" t="s">
        <v>823</v>
      </c>
      <c r="AU110" t="s">
        <v>943</v>
      </c>
      <c r="AV110">
        <v>2250</v>
      </c>
      <c r="AW110" s="241">
        <f>'Cálculo PU'!L459</f>
        <v>2942</v>
      </c>
      <c r="AX110" s="241">
        <f t="shared" si="9"/>
        <v>-692</v>
      </c>
    </row>
    <row r="111" spans="2:50">
      <c r="B111" s="147">
        <v>7275</v>
      </c>
      <c r="C111" s="156">
        <v>43374</v>
      </c>
      <c r="D111" s="156">
        <v>46671</v>
      </c>
      <c r="E111" s="148" t="s">
        <v>959</v>
      </c>
      <c r="F111" s="148" t="s">
        <v>823</v>
      </c>
      <c r="G111" s="148" t="s">
        <v>960</v>
      </c>
      <c r="H111" s="232">
        <v>143.080204687616</v>
      </c>
      <c r="I111" s="232">
        <f>'Cálculo PU'!V460</f>
        <v>62.78799583642099</v>
      </c>
      <c r="J111" s="235">
        <f t="shared" si="5"/>
        <v>-80.292208851195014</v>
      </c>
      <c r="L111" s="147">
        <v>7263</v>
      </c>
      <c r="M111" s="156">
        <v>43374</v>
      </c>
      <c r="N111" s="156">
        <v>46671</v>
      </c>
      <c r="O111" s="148" t="s">
        <v>959</v>
      </c>
      <c r="P111" s="148" t="s">
        <v>823</v>
      </c>
      <c r="Q111" s="148" t="s">
        <v>962</v>
      </c>
      <c r="R111" s="232">
        <v>178.74438787920701</v>
      </c>
      <c r="S111" s="232">
        <f>'Cálculo PU'!U460</f>
        <v>83.942273863425442</v>
      </c>
      <c r="T111" s="235">
        <f t="shared" si="6"/>
        <v>-94.802114015781569</v>
      </c>
      <c r="V111" s="147">
        <v>7254</v>
      </c>
      <c r="W111" s="156">
        <v>43374</v>
      </c>
      <c r="X111" s="156">
        <v>46671</v>
      </c>
      <c r="Y111" s="148" t="s">
        <v>959</v>
      </c>
      <c r="Z111" s="148" t="s">
        <v>823</v>
      </c>
      <c r="AA111" s="148" t="s">
        <v>963</v>
      </c>
      <c r="AB111" s="232">
        <v>497.55464299999898</v>
      </c>
      <c r="AC111" s="232">
        <f>'Cálculo PU'!T460</f>
        <v>497.554643</v>
      </c>
      <c r="AD111" s="235">
        <f t="shared" si="7"/>
        <v>1.0231815394945443E-12</v>
      </c>
      <c r="AF111">
        <v>7274</v>
      </c>
      <c r="AG111" s="215">
        <v>43374</v>
      </c>
      <c r="AH111" s="215">
        <v>46671</v>
      </c>
      <c r="AI111" t="s">
        <v>959</v>
      </c>
      <c r="AJ111" t="s">
        <v>823</v>
      </c>
      <c r="AK111" t="s">
        <v>827</v>
      </c>
      <c r="AL111" s="230">
        <v>1.2492600794740001</v>
      </c>
      <c r="AM111" s="230">
        <f>'Cálculo PU'!O460</f>
        <v>1.336915962123028</v>
      </c>
      <c r="AN111" s="192">
        <f t="shared" si="8"/>
        <v>-8.7655882649027905E-2</v>
      </c>
      <c r="AP111">
        <v>7262</v>
      </c>
      <c r="AQ111" s="215">
        <v>43374</v>
      </c>
      <c r="AR111" s="215">
        <v>46671</v>
      </c>
      <c r="AS111" t="s">
        <v>959</v>
      </c>
      <c r="AT111" t="s">
        <v>823</v>
      </c>
      <c r="AU111" t="s">
        <v>943</v>
      </c>
      <c r="AV111">
        <v>2271</v>
      </c>
      <c r="AW111" s="241">
        <f>'Cálculo PU'!L460</f>
        <v>2963</v>
      </c>
      <c r="AX111" s="241">
        <f t="shared" si="9"/>
        <v>-692</v>
      </c>
    </row>
    <row r="112" spans="2:50">
      <c r="B112" s="147">
        <v>7314</v>
      </c>
      <c r="C112" s="156">
        <v>43374</v>
      </c>
      <c r="D112" s="156">
        <v>46701</v>
      </c>
      <c r="E112" s="148" t="s">
        <v>959</v>
      </c>
      <c r="F112" s="148" t="s">
        <v>823</v>
      </c>
      <c r="G112" s="148" t="s">
        <v>960</v>
      </c>
      <c r="H112" s="232">
        <v>140.105636792003</v>
      </c>
      <c r="I112" s="232">
        <f>'Cálculo PU'!V461</f>
        <v>61.331115772284882</v>
      </c>
      <c r="J112" s="235">
        <f t="shared" si="5"/>
        <v>-78.774521019718122</v>
      </c>
      <c r="L112" s="147">
        <v>7302</v>
      </c>
      <c r="M112" s="156">
        <v>43374</v>
      </c>
      <c r="N112" s="156">
        <v>46701</v>
      </c>
      <c r="O112" s="148" t="s">
        <v>959</v>
      </c>
      <c r="P112" s="148" t="s">
        <v>823</v>
      </c>
      <c r="Q112" s="148" t="s">
        <v>962</v>
      </c>
      <c r="R112" s="232">
        <v>175.37176085838399</v>
      </c>
      <c r="S112" s="232">
        <f>'Cálculo PU'!U461</f>
        <v>82.155409815699429</v>
      </c>
      <c r="T112" s="235">
        <f t="shared" si="6"/>
        <v>-93.216351042684565</v>
      </c>
      <c r="V112" s="147">
        <v>7293</v>
      </c>
      <c r="W112" s="156">
        <v>43374</v>
      </c>
      <c r="X112" s="156">
        <v>46701</v>
      </c>
      <c r="Y112" s="148" t="s">
        <v>959</v>
      </c>
      <c r="Z112" s="148" t="s">
        <v>823</v>
      </c>
      <c r="AA112" s="148" t="s">
        <v>963</v>
      </c>
      <c r="AB112" s="232">
        <v>492.88306</v>
      </c>
      <c r="AC112" s="232">
        <f>'Cálculo PU'!T461</f>
        <v>492.88306</v>
      </c>
      <c r="AD112" s="235">
        <f t="shared" si="7"/>
        <v>0</v>
      </c>
      <c r="AF112">
        <v>7313</v>
      </c>
      <c r="AG112" s="215">
        <v>43374</v>
      </c>
      <c r="AH112" s="215">
        <v>46701</v>
      </c>
      <c r="AI112" t="s">
        <v>959</v>
      </c>
      <c r="AJ112" t="s">
        <v>823</v>
      </c>
      <c r="AK112" t="s">
        <v>827</v>
      </c>
      <c r="AL112" s="230">
        <v>1.251710958059</v>
      </c>
      <c r="AM112" s="230">
        <f>'Cálculo PU'!O461</f>
        <v>1.3395388096432594</v>
      </c>
      <c r="AN112" s="192">
        <f t="shared" si="8"/>
        <v>-8.7827851584259431E-2</v>
      </c>
      <c r="AP112">
        <v>7301</v>
      </c>
      <c r="AQ112" s="215">
        <v>43374</v>
      </c>
      <c r="AR112" s="215">
        <v>46701</v>
      </c>
      <c r="AS112" t="s">
        <v>959</v>
      </c>
      <c r="AT112" t="s">
        <v>823</v>
      </c>
      <c r="AU112" t="s">
        <v>943</v>
      </c>
      <c r="AV112">
        <v>2291</v>
      </c>
      <c r="AW112" s="241">
        <f>'Cálculo PU'!L461</f>
        <v>2983</v>
      </c>
      <c r="AX112" s="241">
        <f t="shared" si="9"/>
        <v>-692</v>
      </c>
    </row>
    <row r="113" spans="2:50" ht="15.75" thickBot="1">
      <c r="B113" s="149">
        <v>7353</v>
      </c>
      <c r="C113" s="157">
        <v>43374</v>
      </c>
      <c r="D113" s="157">
        <v>46729</v>
      </c>
      <c r="E113" s="150" t="s">
        <v>959</v>
      </c>
      <c r="F113" s="150" t="s">
        <v>823</v>
      </c>
      <c r="G113" s="150" t="s">
        <v>960</v>
      </c>
      <c r="H113" s="233">
        <v>137.153041572387</v>
      </c>
      <c r="I113" s="232">
        <f>'Cálculo PU'!V462</f>
        <v>59.89057398816643</v>
      </c>
      <c r="J113" s="235">
        <f t="shared" si="5"/>
        <v>-77.262467584220559</v>
      </c>
      <c r="L113" s="149">
        <v>7341</v>
      </c>
      <c r="M113" s="157">
        <v>43374</v>
      </c>
      <c r="N113" s="157">
        <v>46729</v>
      </c>
      <c r="O113" s="150" t="s">
        <v>959</v>
      </c>
      <c r="P113" s="150" t="s">
        <v>823</v>
      </c>
      <c r="Q113" s="150" t="s">
        <v>962</v>
      </c>
      <c r="R113" s="233">
        <v>172.012769991471</v>
      </c>
      <c r="S113" s="232">
        <f>'Cálculo PU'!U462</f>
        <v>80.383140209593805</v>
      </c>
      <c r="T113" s="235">
        <f t="shared" si="6"/>
        <v>-91.629629781877199</v>
      </c>
      <c r="V113" s="149">
        <v>7332</v>
      </c>
      <c r="W113" s="157">
        <v>43374</v>
      </c>
      <c r="X113" s="157">
        <v>46729</v>
      </c>
      <c r="Y113" s="150" t="s">
        <v>959</v>
      </c>
      <c r="Z113" s="150" t="s">
        <v>823</v>
      </c>
      <c r="AA113" s="150" t="s">
        <v>963</v>
      </c>
      <c r="AB113" s="233">
        <v>488.11345599999902</v>
      </c>
      <c r="AC113" s="232">
        <f>'Cálculo PU'!T462</f>
        <v>488.11345599999999</v>
      </c>
      <c r="AD113" s="235">
        <f t="shared" si="7"/>
        <v>9.6633812063373625E-13</v>
      </c>
      <c r="AF113">
        <v>7352</v>
      </c>
      <c r="AG113" s="215">
        <v>43374</v>
      </c>
      <c r="AH113" s="215">
        <v>46729</v>
      </c>
      <c r="AI113" t="s">
        <v>959</v>
      </c>
      <c r="AJ113" t="s">
        <v>823</v>
      </c>
      <c r="AK113" t="s">
        <v>827</v>
      </c>
      <c r="AL113" s="230">
        <v>1.254166644935</v>
      </c>
      <c r="AM113" s="230">
        <f>'Cálculo PU'!O462</f>
        <v>1.3421668028340559</v>
      </c>
      <c r="AN113" s="192">
        <f t="shared" si="8"/>
        <v>-8.8000157899055909E-2</v>
      </c>
      <c r="AP113">
        <v>7340</v>
      </c>
      <c r="AQ113" s="215">
        <v>43374</v>
      </c>
      <c r="AR113" s="215">
        <v>46729</v>
      </c>
      <c r="AS113" t="s">
        <v>959</v>
      </c>
      <c r="AT113" t="s">
        <v>823</v>
      </c>
      <c r="AU113" t="s">
        <v>943</v>
      </c>
      <c r="AV113">
        <v>2311</v>
      </c>
      <c r="AW113" s="241">
        <f>'Cálculo PU'!L462</f>
        <v>3003</v>
      </c>
      <c r="AX113" s="241">
        <f t="shared" si="9"/>
        <v>-692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D113"/>
  <sheetViews>
    <sheetView showGridLines="0" zoomScale="85" zoomScaleNormal="85" workbookViewId="0"/>
  </sheetViews>
  <sheetFormatPr defaultRowHeight="15"/>
  <cols>
    <col min="4" max="4" width="22.140625" bestFit="1" customWidth="1"/>
    <col min="10" max="10" width="17.42578125" style="169" customWidth="1"/>
    <col min="20" max="20" width="17.42578125" style="169" customWidth="1"/>
    <col min="30" max="30" width="12.85546875" bestFit="1" customWidth="1"/>
  </cols>
  <sheetData>
    <row r="1" spans="2:30" ht="15.75" thickBot="1"/>
    <row r="2" spans="2:30">
      <c r="B2" s="144"/>
      <c r="C2" s="145" t="s">
        <v>136</v>
      </c>
      <c r="D2" s="146"/>
      <c r="E2" s="146"/>
      <c r="F2" s="146"/>
      <c r="G2" s="146"/>
      <c r="H2" s="146"/>
      <c r="I2" s="146"/>
      <c r="J2" s="166">
        <f>SUM(J3:J113)</f>
        <v>1.0162152669710065</v>
      </c>
      <c r="L2" s="144"/>
      <c r="M2" s="145" t="s">
        <v>128</v>
      </c>
      <c r="N2" s="146"/>
      <c r="O2" s="146"/>
      <c r="P2" s="146"/>
      <c r="Q2" s="146"/>
      <c r="R2" s="146"/>
      <c r="S2" s="146"/>
      <c r="T2" s="166">
        <f>SUM(T3:T113)</f>
        <v>-1797.2420973724213</v>
      </c>
      <c r="V2" s="144"/>
      <c r="W2" s="158" t="s">
        <v>137</v>
      </c>
      <c r="X2" s="159"/>
      <c r="Y2" s="146"/>
      <c r="Z2" s="146"/>
      <c r="AA2" s="146"/>
      <c r="AB2" s="146"/>
      <c r="AC2" s="146"/>
      <c r="AD2" s="153">
        <f>SUM(AD3:AD113)</f>
        <v>152.06226094905807</v>
      </c>
    </row>
    <row r="3" spans="2:30">
      <c r="B3" s="147">
        <v>1</v>
      </c>
      <c r="C3" s="148" t="s">
        <v>828</v>
      </c>
      <c r="D3" s="148" t="s">
        <v>829</v>
      </c>
      <c r="E3" s="148" t="s">
        <v>822</v>
      </c>
      <c r="F3" s="148" t="s">
        <v>947</v>
      </c>
      <c r="G3" s="148" t="s">
        <v>948</v>
      </c>
      <c r="H3" s="148">
        <v>138.59346850505901</v>
      </c>
      <c r="I3" s="148">
        <f>'Cálculo PU'!AA58</f>
        <v>131.65734254887548</v>
      </c>
      <c r="J3" s="165">
        <f>H3-I3</f>
        <v>6.9361259561835311</v>
      </c>
      <c r="L3" s="147">
        <v>27</v>
      </c>
      <c r="M3" s="148" t="s">
        <v>828</v>
      </c>
      <c r="N3" s="148" t="s">
        <v>829</v>
      </c>
      <c r="O3" s="148" t="s">
        <v>822</v>
      </c>
      <c r="P3" s="148" t="s">
        <v>947</v>
      </c>
      <c r="Q3" s="148" t="s">
        <v>949</v>
      </c>
      <c r="R3" s="148">
        <v>138.04670923746099</v>
      </c>
      <c r="S3" s="148">
        <f>'Cálculo PU'!AC58</f>
        <v>122.91583598520886</v>
      </c>
      <c r="T3" s="165">
        <f t="shared" ref="T3:T34" si="0">R3-S3</f>
        <v>15.13087325225213</v>
      </c>
      <c r="V3" s="147">
        <v>26</v>
      </c>
      <c r="W3" s="148" t="s">
        <v>828</v>
      </c>
      <c r="X3" s="148" t="s">
        <v>829</v>
      </c>
      <c r="Y3" s="148" t="s">
        <v>822</v>
      </c>
      <c r="Z3" s="148" t="s">
        <v>947</v>
      </c>
      <c r="AA3" s="148" t="s">
        <v>951</v>
      </c>
      <c r="AB3" s="148">
        <v>1.0039606830950001</v>
      </c>
      <c r="AC3" s="148">
        <f>'Cálculo PU'!AB58</f>
        <v>1.0711178221553042</v>
      </c>
      <c r="AD3" s="154">
        <f>AB3-AC3</f>
        <v>-6.7157139060304072E-2</v>
      </c>
    </row>
    <row r="4" spans="2:30">
      <c r="B4" s="147">
        <v>38</v>
      </c>
      <c r="C4" s="148" t="s">
        <v>828</v>
      </c>
      <c r="D4" s="148" t="s">
        <v>831</v>
      </c>
      <c r="E4" s="148" t="s">
        <v>822</v>
      </c>
      <c r="F4" s="148" t="s">
        <v>947</v>
      </c>
      <c r="G4" s="148" t="s">
        <v>948</v>
      </c>
      <c r="H4" s="148">
        <v>150.71819202389099</v>
      </c>
      <c r="I4" s="148">
        <f>'Cálculo PU'!AA59</f>
        <v>150.71819200542117</v>
      </c>
      <c r="J4" s="165">
        <f t="shared" ref="J4:J67" si="1">H4-I4</f>
        <v>1.8469819451638614E-8</v>
      </c>
      <c r="L4" s="147">
        <v>64</v>
      </c>
      <c r="M4" s="148" t="s">
        <v>828</v>
      </c>
      <c r="N4" s="148" t="s">
        <v>831</v>
      </c>
      <c r="O4" s="148" t="s">
        <v>822</v>
      </c>
      <c r="P4" s="148" t="s">
        <v>947</v>
      </c>
      <c r="Q4" s="148" t="s">
        <v>949</v>
      </c>
      <c r="R4" s="148">
        <v>147.622641618903</v>
      </c>
      <c r="S4" s="148">
        <f>'Cálculo PU'!AC59</f>
        <v>140.3879847089479</v>
      </c>
      <c r="T4" s="165">
        <f t="shared" si="0"/>
        <v>7.2346569099551061</v>
      </c>
      <c r="V4" s="147">
        <v>63</v>
      </c>
      <c r="W4" s="148" t="s">
        <v>828</v>
      </c>
      <c r="X4" s="148" t="s">
        <v>831</v>
      </c>
      <c r="Y4" s="148" t="s">
        <v>822</v>
      </c>
      <c r="Z4" s="148" t="s">
        <v>947</v>
      </c>
      <c r="AA4" s="148" t="s">
        <v>951</v>
      </c>
      <c r="AB4" s="148">
        <v>1.0209693470529999</v>
      </c>
      <c r="AC4" s="148">
        <f>'Cálculo PU'!AB59</f>
        <v>1.0735832722286729</v>
      </c>
      <c r="AD4" s="154">
        <f t="shared" ref="AD4:AD67" si="2">AB4-AC4</f>
        <v>-5.2613925175672982E-2</v>
      </c>
    </row>
    <row r="5" spans="2:30">
      <c r="B5" s="147">
        <v>75</v>
      </c>
      <c r="C5" s="148" t="s">
        <v>828</v>
      </c>
      <c r="D5" s="148" t="s">
        <v>832</v>
      </c>
      <c r="E5" s="148" t="s">
        <v>822</v>
      </c>
      <c r="F5" s="148" t="s">
        <v>947</v>
      </c>
      <c r="G5" s="148" t="s">
        <v>948</v>
      </c>
      <c r="H5" s="148">
        <v>128.69361821814499</v>
      </c>
      <c r="I5" s="148">
        <f>'Cálculo PU'!AA60</f>
        <v>135.47360575933948</v>
      </c>
      <c r="J5" s="165">
        <f t="shared" si="1"/>
        <v>-6.7799875411944868</v>
      </c>
      <c r="L5" s="147">
        <v>101</v>
      </c>
      <c r="M5" s="148" t="s">
        <v>828</v>
      </c>
      <c r="N5" s="148" t="s">
        <v>832</v>
      </c>
      <c r="O5" s="148" t="s">
        <v>822</v>
      </c>
      <c r="P5" s="148" t="s">
        <v>947</v>
      </c>
      <c r="Q5" s="148" t="s">
        <v>949</v>
      </c>
      <c r="R5" s="148">
        <v>124.31852223726401</v>
      </c>
      <c r="S5" s="148">
        <f>'Cálculo PU'!AC60</f>
        <v>125.94956381514866</v>
      </c>
      <c r="T5" s="165">
        <f t="shared" si="0"/>
        <v>-1.631041577884659</v>
      </c>
      <c r="V5" s="147">
        <v>100</v>
      </c>
      <c r="W5" s="148" t="s">
        <v>828</v>
      </c>
      <c r="X5" s="148" t="s">
        <v>832</v>
      </c>
      <c r="Y5" s="148" t="s">
        <v>822</v>
      </c>
      <c r="Z5" s="148" t="s">
        <v>947</v>
      </c>
      <c r="AA5" s="148" t="s">
        <v>951</v>
      </c>
      <c r="AB5" s="148">
        <v>1.035192631815</v>
      </c>
      <c r="AC5" s="148">
        <f>'Cálculo PU'!AB60</f>
        <v>1.0756179033550992</v>
      </c>
      <c r="AD5" s="154">
        <f t="shared" si="2"/>
        <v>-4.0425271540099228E-2</v>
      </c>
    </row>
    <row r="6" spans="2:30">
      <c r="B6" s="147">
        <v>112</v>
      </c>
      <c r="C6" s="148" t="s">
        <v>828</v>
      </c>
      <c r="D6" s="148" t="s">
        <v>833</v>
      </c>
      <c r="E6" s="148" t="s">
        <v>822</v>
      </c>
      <c r="F6" s="148" t="s">
        <v>947</v>
      </c>
      <c r="G6" s="148" t="s">
        <v>948</v>
      </c>
      <c r="H6" s="148">
        <v>133.93516748738099</v>
      </c>
      <c r="I6" s="148">
        <f>'Cálculo PU'!AA61</f>
        <v>133.93516749371776</v>
      </c>
      <c r="J6" s="165">
        <f t="shared" si="1"/>
        <v>-6.3367622260557255E-9</v>
      </c>
      <c r="L6" s="147">
        <v>138</v>
      </c>
      <c r="M6" s="148" t="s">
        <v>828</v>
      </c>
      <c r="N6" s="148" t="s">
        <v>833</v>
      </c>
      <c r="O6" s="148" t="s">
        <v>822</v>
      </c>
      <c r="P6" s="148" t="s">
        <v>947</v>
      </c>
      <c r="Q6" s="148" t="s">
        <v>949</v>
      </c>
      <c r="R6" s="148">
        <v>127.47816629063099</v>
      </c>
      <c r="S6" s="148">
        <f>'Cálculo PU'!AC61</f>
        <v>124.26693357890083</v>
      </c>
      <c r="T6" s="165">
        <f t="shared" si="0"/>
        <v>3.2112327117301618</v>
      </c>
      <c r="V6" s="147">
        <v>137</v>
      </c>
      <c r="W6" s="148" t="s">
        <v>828</v>
      </c>
      <c r="X6" s="148" t="s">
        <v>833</v>
      </c>
      <c r="Y6" s="148" t="s">
        <v>822</v>
      </c>
      <c r="Z6" s="148" t="s">
        <v>947</v>
      </c>
      <c r="AA6" s="148" t="s">
        <v>951</v>
      </c>
      <c r="AB6" s="148">
        <v>1.050651820501</v>
      </c>
      <c r="AC6" s="148">
        <f>'Cálculo PU'!AB61</f>
        <v>1.0778021444351347</v>
      </c>
      <c r="AD6" s="154">
        <f t="shared" si="2"/>
        <v>-2.7150323934134635E-2</v>
      </c>
    </row>
    <row r="7" spans="2:30">
      <c r="B7" s="147">
        <v>149</v>
      </c>
      <c r="C7" s="148" t="s">
        <v>828</v>
      </c>
      <c r="D7" s="148" t="s">
        <v>834</v>
      </c>
      <c r="E7" s="148" t="s">
        <v>822</v>
      </c>
      <c r="F7" s="148" t="s">
        <v>947</v>
      </c>
      <c r="G7" s="148" t="s">
        <v>948</v>
      </c>
      <c r="H7" s="148">
        <v>145.52373322998201</v>
      </c>
      <c r="I7" s="148">
        <f>'Cálculo PU'!AA62</f>
        <v>145.52373321214858</v>
      </c>
      <c r="J7" s="165">
        <f t="shared" si="1"/>
        <v>1.7833428955782438E-8</v>
      </c>
      <c r="L7" s="147">
        <v>175</v>
      </c>
      <c r="M7" s="148" t="s">
        <v>828</v>
      </c>
      <c r="N7" s="148" t="s">
        <v>834</v>
      </c>
      <c r="O7" s="148" t="s">
        <v>822</v>
      </c>
      <c r="P7" s="148" t="s">
        <v>947</v>
      </c>
      <c r="Q7" s="148" t="s">
        <v>949</v>
      </c>
      <c r="R7" s="148">
        <v>136.47005447209699</v>
      </c>
      <c r="S7" s="148">
        <f>'Cálculo PU'!AC62</f>
        <v>134.7453426267289</v>
      </c>
      <c r="T7" s="165">
        <f t="shared" si="0"/>
        <v>1.7247118453680912</v>
      </c>
      <c r="V7" s="147">
        <v>174</v>
      </c>
      <c r="W7" s="148" t="s">
        <v>828</v>
      </c>
      <c r="X7" s="148" t="s">
        <v>834</v>
      </c>
      <c r="Y7" s="148" t="s">
        <v>822</v>
      </c>
      <c r="Z7" s="148" t="s">
        <v>947</v>
      </c>
      <c r="AA7" s="148" t="s">
        <v>951</v>
      </c>
      <c r="AB7" s="148">
        <v>1.066341871064</v>
      </c>
      <c r="AC7" s="148">
        <f>'Cálculo PU'!AB62</f>
        <v>1.0799908210206415</v>
      </c>
      <c r="AD7" s="154">
        <f t="shared" si="2"/>
        <v>-1.3648949956641454E-2</v>
      </c>
    </row>
    <row r="8" spans="2:30">
      <c r="B8" s="147">
        <v>186</v>
      </c>
      <c r="C8" s="148" t="s">
        <v>828</v>
      </c>
      <c r="D8" s="148" t="s">
        <v>835</v>
      </c>
      <c r="E8" s="148" t="s">
        <v>822</v>
      </c>
      <c r="F8" s="148" t="s">
        <v>947</v>
      </c>
      <c r="G8" s="148" t="s">
        <v>948</v>
      </c>
      <c r="H8" s="148">
        <v>130.67385324583199</v>
      </c>
      <c r="I8" s="148">
        <f>'Cálculo PU'!AA63</f>
        <v>130.67385325201511</v>
      </c>
      <c r="J8" s="165">
        <f t="shared" si="1"/>
        <v>-6.1831144648749614E-9</v>
      </c>
      <c r="L8" s="147">
        <v>212</v>
      </c>
      <c r="M8" s="148" t="s">
        <v>828</v>
      </c>
      <c r="N8" s="148" t="s">
        <v>835</v>
      </c>
      <c r="O8" s="148" t="s">
        <v>822</v>
      </c>
      <c r="P8" s="148" t="s">
        <v>947</v>
      </c>
      <c r="Q8" s="148" t="s">
        <v>949</v>
      </c>
      <c r="R8" s="148">
        <v>120.621691232956</v>
      </c>
      <c r="S8" s="148">
        <f>'Cálculo PU'!AC63</f>
        <v>120.73380208705217</v>
      </c>
      <c r="T8" s="165">
        <f t="shared" si="0"/>
        <v>-0.11211085409617283</v>
      </c>
      <c r="V8" s="147">
        <v>211</v>
      </c>
      <c r="W8" s="148" t="s">
        <v>828</v>
      </c>
      <c r="X8" s="148" t="s">
        <v>835</v>
      </c>
      <c r="Y8" s="148" t="s">
        <v>822</v>
      </c>
      <c r="Z8" s="148" t="s">
        <v>947</v>
      </c>
      <c r="AA8" s="148" t="s">
        <v>951</v>
      </c>
      <c r="AB8" s="148">
        <v>1.083336271529</v>
      </c>
      <c r="AC8" s="148">
        <f>'Cálculo PU'!AB63</f>
        <v>1.0823303084400167</v>
      </c>
      <c r="AD8" s="154">
        <f t="shared" si="2"/>
        <v>1.0059630889833748E-3</v>
      </c>
    </row>
    <row r="9" spans="2:30">
      <c r="B9" s="147">
        <v>223</v>
      </c>
      <c r="C9" s="148" t="s">
        <v>828</v>
      </c>
      <c r="D9" s="148" t="s">
        <v>836</v>
      </c>
      <c r="E9" s="148" t="s">
        <v>822</v>
      </c>
      <c r="F9" s="148" t="s">
        <v>947</v>
      </c>
      <c r="G9" s="148" t="s">
        <v>948</v>
      </c>
      <c r="H9" s="148">
        <v>122.59891067098</v>
      </c>
      <c r="I9" s="148">
        <f>'Cálculo PU'!AA64</f>
        <v>122.59891064091549</v>
      </c>
      <c r="J9" s="165">
        <f t="shared" si="1"/>
        <v>3.0064512657190789E-8</v>
      </c>
      <c r="L9" s="147">
        <v>249</v>
      </c>
      <c r="M9" s="148" t="s">
        <v>828</v>
      </c>
      <c r="N9" s="148" t="s">
        <v>836</v>
      </c>
      <c r="O9" s="148" t="s">
        <v>822</v>
      </c>
      <c r="P9" s="148" t="s">
        <v>947</v>
      </c>
      <c r="Q9" s="148" t="s">
        <v>949</v>
      </c>
      <c r="R9" s="148">
        <v>111.668182207884</v>
      </c>
      <c r="S9" s="148">
        <f>'Cálculo PU'!AC64</f>
        <v>113.06648008191343</v>
      </c>
      <c r="T9" s="165">
        <f t="shared" si="0"/>
        <v>-1.3982978740294243</v>
      </c>
      <c r="V9" s="147">
        <v>248</v>
      </c>
      <c r="W9" s="148" t="s">
        <v>828</v>
      </c>
      <c r="X9" s="148" t="s">
        <v>836</v>
      </c>
      <c r="Y9" s="148" t="s">
        <v>822</v>
      </c>
      <c r="Z9" s="148" t="s">
        <v>947</v>
      </c>
      <c r="AA9" s="148" t="s">
        <v>951</v>
      </c>
      <c r="AB9" s="148">
        <v>1.0978857920580001</v>
      </c>
      <c r="AC9" s="148">
        <f>'Cálculo PU'!AB64</f>
        <v>1.0843081924200355</v>
      </c>
      <c r="AD9" s="154">
        <f t="shared" si="2"/>
        <v>1.3577599637964566E-2</v>
      </c>
    </row>
    <row r="10" spans="2:30">
      <c r="B10" s="147">
        <v>260</v>
      </c>
      <c r="C10" s="148" t="s">
        <v>828</v>
      </c>
      <c r="D10" s="148" t="s">
        <v>837</v>
      </c>
      <c r="E10" s="148" t="s">
        <v>822</v>
      </c>
      <c r="F10" s="148" t="s">
        <v>947</v>
      </c>
      <c r="G10" s="148" t="s">
        <v>948</v>
      </c>
      <c r="H10" s="148">
        <v>133.82513665863601</v>
      </c>
      <c r="I10" s="148">
        <f>'Cálculo PU'!AA65</f>
        <v>133.82513664842264</v>
      </c>
      <c r="J10" s="165">
        <f t="shared" si="1"/>
        <v>1.021336970552511E-8</v>
      </c>
      <c r="L10" s="147">
        <v>286</v>
      </c>
      <c r="M10" s="148" t="s">
        <v>828</v>
      </c>
      <c r="N10" s="148" t="s">
        <v>837</v>
      </c>
      <c r="O10" s="148" t="s">
        <v>822</v>
      </c>
      <c r="P10" s="148" t="s">
        <v>947</v>
      </c>
      <c r="Q10" s="148" t="s">
        <v>949</v>
      </c>
      <c r="R10" s="148">
        <v>120.040638649797</v>
      </c>
      <c r="S10" s="148">
        <f>'Cálculo PU'!AC65</f>
        <v>123.16138612548363</v>
      </c>
      <c r="T10" s="165">
        <f t="shared" si="0"/>
        <v>-3.1207474756866276</v>
      </c>
      <c r="V10" s="147">
        <v>285</v>
      </c>
      <c r="W10" s="148" t="s">
        <v>828</v>
      </c>
      <c r="X10" s="148" t="s">
        <v>837</v>
      </c>
      <c r="Y10" s="148" t="s">
        <v>822</v>
      </c>
      <c r="Z10" s="148" t="s">
        <v>947</v>
      </c>
      <c r="AA10" s="148" t="s">
        <v>951</v>
      </c>
      <c r="AB10" s="148">
        <v>1.114831928286</v>
      </c>
      <c r="AC10" s="148">
        <f>'Cálculo PU'!AB65</f>
        <v>1.0865835539726241</v>
      </c>
      <c r="AD10" s="154">
        <f t="shared" si="2"/>
        <v>2.8248374313375901E-2</v>
      </c>
    </row>
    <row r="11" spans="2:30">
      <c r="B11" s="147">
        <v>297</v>
      </c>
      <c r="C11" s="148" t="s">
        <v>828</v>
      </c>
      <c r="D11" s="148" t="s">
        <v>838</v>
      </c>
      <c r="E11" s="148" t="s">
        <v>822</v>
      </c>
      <c r="F11" s="148" t="s">
        <v>947</v>
      </c>
      <c r="G11" s="148" t="s">
        <v>948</v>
      </c>
      <c r="H11" s="148">
        <v>138.48151860318299</v>
      </c>
      <c r="I11" s="148">
        <f>'Cálculo PU'!AA66</f>
        <v>138.48151858621281</v>
      </c>
      <c r="J11" s="165">
        <f t="shared" si="1"/>
        <v>1.6970176375252777E-8</v>
      </c>
      <c r="L11" s="147">
        <v>323</v>
      </c>
      <c r="M11" s="148" t="s">
        <v>828</v>
      </c>
      <c r="N11" s="148" t="s">
        <v>838</v>
      </c>
      <c r="O11" s="148" t="s">
        <v>822</v>
      </c>
      <c r="P11" s="148" t="s">
        <v>947</v>
      </c>
      <c r="Q11" s="148" t="s">
        <v>949</v>
      </c>
      <c r="R11" s="148">
        <v>122.26878529448599</v>
      </c>
      <c r="S11" s="148">
        <f>'Cálculo PU'!AC66</f>
        <v>127.17124825016829</v>
      </c>
      <c r="T11" s="165">
        <f t="shared" si="0"/>
        <v>-4.9024629556822958</v>
      </c>
      <c r="V11" s="147">
        <v>322</v>
      </c>
      <c r="W11" s="148" t="s">
        <v>828</v>
      </c>
      <c r="X11" s="148" t="s">
        <v>838</v>
      </c>
      <c r="Y11" s="148" t="s">
        <v>822</v>
      </c>
      <c r="Z11" s="148" t="s">
        <v>947</v>
      </c>
      <c r="AA11" s="148" t="s">
        <v>951</v>
      </c>
      <c r="AB11" s="148">
        <v>1.132599119797</v>
      </c>
      <c r="AC11" s="148">
        <f>'Cálculo PU'!AB66</f>
        <v>1.0889373226391175</v>
      </c>
      <c r="AD11" s="154">
        <f t="shared" si="2"/>
        <v>4.3661797157882543E-2</v>
      </c>
    </row>
    <row r="12" spans="2:30">
      <c r="B12" s="147">
        <v>334</v>
      </c>
      <c r="C12" s="148" t="s">
        <v>828</v>
      </c>
      <c r="D12" s="148" t="s">
        <v>839</v>
      </c>
      <c r="E12" s="148" t="s">
        <v>822</v>
      </c>
      <c r="F12" s="148" t="s">
        <v>947</v>
      </c>
      <c r="G12" s="148" t="s">
        <v>948</v>
      </c>
      <c r="H12" s="148">
        <v>118.12360661072201</v>
      </c>
      <c r="I12" s="148">
        <f>'Cálculo PU'!AA67</f>
        <v>118.12360658175557</v>
      </c>
      <c r="J12" s="165">
        <f t="shared" si="1"/>
        <v>2.8966439913347131E-8</v>
      </c>
      <c r="L12" s="147">
        <v>360</v>
      </c>
      <c r="M12" s="148" t="s">
        <v>828</v>
      </c>
      <c r="N12" s="148" t="s">
        <v>839</v>
      </c>
      <c r="O12" s="148" t="s">
        <v>822</v>
      </c>
      <c r="P12" s="148" t="s">
        <v>947</v>
      </c>
      <c r="Q12" s="148" t="s">
        <v>949</v>
      </c>
      <c r="R12" s="148">
        <v>102.861300274407</v>
      </c>
      <c r="S12" s="148">
        <f>'Cálculo PU'!AC67</f>
        <v>108.27084567857987</v>
      </c>
      <c r="T12" s="165">
        <f t="shared" si="0"/>
        <v>-5.4095454041728743</v>
      </c>
      <c r="V12" s="147">
        <v>359</v>
      </c>
      <c r="W12" s="148" t="s">
        <v>828</v>
      </c>
      <c r="X12" s="148" t="s">
        <v>839</v>
      </c>
      <c r="Y12" s="148" t="s">
        <v>822</v>
      </c>
      <c r="Z12" s="148" t="s">
        <v>947</v>
      </c>
      <c r="AA12" s="148" t="s">
        <v>951</v>
      </c>
      <c r="AB12" s="148">
        <v>1.1483775365040001</v>
      </c>
      <c r="AC12" s="148">
        <f>'Cálculo PU'!AB67</f>
        <v>1.0910010524201987</v>
      </c>
      <c r="AD12" s="154">
        <f t="shared" si="2"/>
        <v>5.737648408380136E-2</v>
      </c>
    </row>
    <row r="13" spans="2:30">
      <c r="B13" s="147">
        <v>371</v>
      </c>
      <c r="C13" s="148" t="s">
        <v>828</v>
      </c>
      <c r="D13" s="148" t="s">
        <v>840</v>
      </c>
      <c r="E13" s="148" t="s">
        <v>822</v>
      </c>
      <c r="F13" s="148" t="s">
        <v>947</v>
      </c>
      <c r="G13" s="148" t="s">
        <v>948</v>
      </c>
      <c r="H13" s="148">
        <v>141.23330925909099</v>
      </c>
      <c r="I13" s="148">
        <f>'Cálculo PU'!AA68</f>
        <v>141.23330924118824</v>
      </c>
      <c r="J13" s="165">
        <f t="shared" si="1"/>
        <v>1.7902749505083193E-8</v>
      </c>
      <c r="L13" s="147">
        <v>397</v>
      </c>
      <c r="M13" s="148" t="s">
        <v>828</v>
      </c>
      <c r="N13" s="148" t="s">
        <v>840</v>
      </c>
      <c r="O13" s="148" t="s">
        <v>822</v>
      </c>
      <c r="P13" s="148" t="s">
        <v>947</v>
      </c>
      <c r="Q13" s="148" t="s">
        <v>949</v>
      </c>
      <c r="R13" s="148">
        <v>121.11563576246699</v>
      </c>
      <c r="S13" s="148">
        <f>'Cálculo PU'!AC68</f>
        <v>129.1818730636154</v>
      </c>
      <c r="T13" s="165">
        <f t="shared" si="0"/>
        <v>-8.066237301148405</v>
      </c>
      <c r="V13" s="147">
        <v>396</v>
      </c>
      <c r="W13" s="148" t="s">
        <v>828</v>
      </c>
      <c r="X13" s="148" t="s">
        <v>840</v>
      </c>
      <c r="Y13" s="148" t="s">
        <v>822</v>
      </c>
      <c r="Z13" s="148" t="s">
        <v>947</v>
      </c>
      <c r="AA13" s="148" t="s">
        <v>951</v>
      </c>
      <c r="AB13" s="148">
        <v>1.1661030251790001</v>
      </c>
      <c r="AC13" s="148">
        <f>'Cálculo PU'!AB68</f>
        <v>1.0932904585741541</v>
      </c>
      <c r="AD13" s="154">
        <f t="shared" si="2"/>
        <v>7.281256660484603E-2</v>
      </c>
    </row>
    <row r="14" spans="2:30">
      <c r="B14" s="147">
        <v>408</v>
      </c>
      <c r="C14" s="148" t="s">
        <v>828</v>
      </c>
      <c r="D14" s="148" t="s">
        <v>841</v>
      </c>
      <c r="E14" s="148" t="s">
        <v>822</v>
      </c>
      <c r="F14" s="148" t="s">
        <v>947</v>
      </c>
      <c r="G14" s="148" t="s">
        <v>948</v>
      </c>
      <c r="H14" s="148">
        <v>133.45210810687001</v>
      </c>
      <c r="I14" s="148">
        <f>'Cálculo PU'!AA69</f>
        <v>133.45210809051611</v>
      </c>
      <c r="J14" s="165">
        <f t="shared" si="1"/>
        <v>1.6353908449673327E-8</v>
      </c>
      <c r="L14" s="147">
        <v>434</v>
      </c>
      <c r="M14" s="148" t="s">
        <v>828</v>
      </c>
      <c r="N14" s="148" t="s">
        <v>841</v>
      </c>
      <c r="O14" s="148" t="s">
        <v>822</v>
      </c>
      <c r="P14" s="148" t="s">
        <v>947</v>
      </c>
      <c r="Q14" s="148" t="s">
        <v>949</v>
      </c>
      <c r="R14" s="148">
        <v>112.647535589307</v>
      </c>
      <c r="S14" s="148">
        <f>'Cálculo PU'!AC69</f>
        <v>121.80079553341518</v>
      </c>
      <c r="T14" s="165">
        <f t="shared" si="0"/>
        <v>-9.1532599441081857</v>
      </c>
      <c r="V14" s="147">
        <v>433</v>
      </c>
      <c r="W14" s="148" t="s">
        <v>828</v>
      </c>
      <c r="X14" s="148" t="s">
        <v>841</v>
      </c>
      <c r="Y14" s="148" t="s">
        <v>822</v>
      </c>
      <c r="Z14" s="148" t="s">
        <v>947</v>
      </c>
      <c r="AA14" s="148" t="s">
        <v>951</v>
      </c>
      <c r="AB14" s="148">
        <v>1.1846873294539999</v>
      </c>
      <c r="AC14" s="148">
        <f>'Cálculo PU'!AB69</f>
        <v>1.0956587558075881</v>
      </c>
      <c r="AD14" s="154">
        <f t="shared" si="2"/>
        <v>8.9028573646411813E-2</v>
      </c>
    </row>
    <row r="15" spans="2:30">
      <c r="B15" s="147">
        <v>445</v>
      </c>
      <c r="C15" s="148" t="s">
        <v>828</v>
      </c>
      <c r="D15" s="148" t="s">
        <v>842</v>
      </c>
      <c r="E15" s="148" t="s">
        <v>822</v>
      </c>
      <c r="F15" s="148" t="s">
        <v>947</v>
      </c>
      <c r="G15" s="148" t="s">
        <v>948</v>
      </c>
      <c r="H15" s="148">
        <v>125.82697221297499</v>
      </c>
      <c r="I15" s="148">
        <f>'Cálculo PU'!AA70</f>
        <v>125.82697220337226</v>
      </c>
      <c r="J15" s="165">
        <f t="shared" si="1"/>
        <v>9.6027292784128804E-9</v>
      </c>
      <c r="L15" s="147">
        <v>471</v>
      </c>
      <c r="M15" s="148" t="s">
        <v>828</v>
      </c>
      <c r="N15" s="148" t="s">
        <v>842</v>
      </c>
      <c r="O15" s="148" t="s">
        <v>822</v>
      </c>
      <c r="P15" s="148" t="s">
        <v>947</v>
      </c>
      <c r="Q15" s="148" t="s">
        <v>949</v>
      </c>
      <c r="R15" s="148">
        <v>104.700063634465</v>
      </c>
      <c r="S15" s="148">
        <f>'Cálculo PU'!AC70</f>
        <v>114.61640405022531</v>
      </c>
      <c r="T15" s="165">
        <f t="shared" si="0"/>
        <v>-9.9163404157603168</v>
      </c>
      <c r="V15" s="147">
        <v>470</v>
      </c>
      <c r="W15" s="148" t="s">
        <v>828</v>
      </c>
      <c r="X15" s="148" t="s">
        <v>842</v>
      </c>
      <c r="Y15" s="148" t="s">
        <v>822</v>
      </c>
      <c r="Z15" s="148" t="s">
        <v>947</v>
      </c>
      <c r="AA15" s="148" t="s">
        <v>951</v>
      </c>
      <c r="AB15" s="148">
        <v>1.2017850595799999</v>
      </c>
      <c r="AC15" s="148">
        <f>'Cálculo PU'!AB70</f>
        <v>1.0978094562121705</v>
      </c>
      <c r="AD15" s="154">
        <f t="shared" si="2"/>
        <v>0.10397560336782941</v>
      </c>
    </row>
    <row r="16" spans="2:30">
      <c r="B16" s="147">
        <v>482</v>
      </c>
      <c r="C16" s="148" t="s">
        <v>828</v>
      </c>
      <c r="D16" s="148" t="s">
        <v>843</v>
      </c>
      <c r="E16" s="148" t="s">
        <v>822</v>
      </c>
      <c r="F16" s="148" t="s">
        <v>947</v>
      </c>
      <c r="G16" s="148" t="s">
        <v>948</v>
      </c>
      <c r="H16" s="148">
        <v>136.129732012321</v>
      </c>
      <c r="I16" s="148">
        <f>'Cálculo PU'!AA71</f>
        <v>136.1297319950653</v>
      </c>
      <c r="J16" s="165">
        <f t="shared" si="1"/>
        <v>1.7255700868190615E-8</v>
      </c>
      <c r="L16" s="147">
        <v>508</v>
      </c>
      <c r="M16" s="148" t="s">
        <v>828</v>
      </c>
      <c r="N16" s="148" t="s">
        <v>843</v>
      </c>
      <c r="O16" s="148" t="s">
        <v>822</v>
      </c>
      <c r="P16" s="148" t="s">
        <v>947</v>
      </c>
      <c r="Q16" s="148" t="s">
        <v>949</v>
      </c>
      <c r="R16" s="148">
        <v>111.551125261989</v>
      </c>
      <c r="S16" s="148">
        <f>'Cálculo PU'!AC71</f>
        <v>123.74157336962904</v>
      </c>
      <c r="T16" s="165">
        <f t="shared" si="0"/>
        <v>-12.190448107640037</v>
      </c>
      <c r="V16" s="147">
        <v>507</v>
      </c>
      <c r="W16" s="148" t="s">
        <v>828</v>
      </c>
      <c r="X16" s="148" t="s">
        <v>843</v>
      </c>
      <c r="Y16" s="148" t="s">
        <v>822</v>
      </c>
      <c r="Z16" s="148" t="s">
        <v>947</v>
      </c>
      <c r="AA16" s="148" t="s">
        <v>951</v>
      </c>
      <c r="AB16" s="148">
        <v>1.2203349064619999</v>
      </c>
      <c r="AC16" s="148">
        <f>'Cálculo PU'!AB71</f>
        <v>1.1001131494298326</v>
      </c>
      <c r="AD16" s="154">
        <f t="shared" si="2"/>
        <v>0.12022175703216731</v>
      </c>
    </row>
    <row r="17" spans="2:30">
      <c r="B17" s="147">
        <v>519</v>
      </c>
      <c r="C17" s="148" t="s">
        <v>828</v>
      </c>
      <c r="D17" s="148" t="s">
        <v>844</v>
      </c>
      <c r="E17" s="148" t="s">
        <v>822</v>
      </c>
      <c r="F17" s="148" t="s">
        <v>947</v>
      </c>
      <c r="G17" s="148" t="s">
        <v>948</v>
      </c>
      <c r="H17" s="148">
        <v>116.926177727536</v>
      </c>
      <c r="I17" s="148">
        <f>'Cálculo PU'!AA72</f>
        <v>116.92617773306851</v>
      </c>
      <c r="J17" s="165">
        <f t="shared" si="1"/>
        <v>-5.5325131143035833E-9</v>
      </c>
      <c r="L17" s="147">
        <v>545</v>
      </c>
      <c r="M17" s="148" t="s">
        <v>828</v>
      </c>
      <c r="N17" s="148" t="s">
        <v>844</v>
      </c>
      <c r="O17" s="148" t="s">
        <v>822</v>
      </c>
      <c r="P17" s="148" t="s">
        <v>947</v>
      </c>
      <c r="Q17" s="148" t="s">
        <v>949</v>
      </c>
      <c r="R17" s="148">
        <v>94.358382073086105</v>
      </c>
      <c r="S17" s="148">
        <f>'Cálculo PU'!AC72</f>
        <v>106.06302487641665</v>
      </c>
      <c r="T17" s="165">
        <f t="shared" si="0"/>
        <v>-11.704642803330543</v>
      </c>
      <c r="V17" s="147">
        <v>544</v>
      </c>
      <c r="W17" s="148" t="s">
        <v>828</v>
      </c>
      <c r="X17" s="148" t="s">
        <v>844</v>
      </c>
      <c r="Y17" s="148" t="s">
        <v>822</v>
      </c>
      <c r="Z17" s="148" t="s">
        <v>947</v>
      </c>
      <c r="AA17" s="148" t="s">
        <v>951</v>
      </c>
      <c r="AB17" s="148">
        <v>1.239171074775</v>
      </c>
      <c r="AC17" s="148">
        <f>'Cálculo PU'!AB72</f>
        <v>1.1024216768219601</v>
      </c>
      <c r="AD17" s="154">
        <f t="shared" si="2"/>
        <v>0.13674939795303986</v>
      </c>
    </row>
    <row r="18" spans="2:30">
      <c r="B18" s="147">
        <v>556</v>
      </c>
      <c r="C18" s="148" t="s">
        <v>828</v>
      </c>
      <c r="D18" s="148" t="s">
        <v>845</v>
      </c>
      <c r="E18" s="148" t="s">
        <v>822</v>
      </c>
      <c r="F18" s="148" t="s">
        <v>947</v>
      </c>
      <c r="G18" s="148" t="s">
        <v>948</v>
      </c>
      <c r="H18" s="148">
        <v>121.258137605276</v>
      </c>
      <c r="I18" s="148">
        <f>'Cálculo PU'!AA73</f>
        <v>121.25813759602153</v>
      </c>
      <c r="J18" s="165">
        <f t="shared" si="1"/>
        <v>9.2544780727621401E-9</v>
      </c>
      <c r="L18" s="147">
        <v>582</v>
      </c>
      <c r="M18" s="148" t="s">
        <v>828</v>
      </c>
      <c r="N18" s="148" t="s">
        <v>845</v>
      </c>
      <c r="O18" s="148" t="s">
        <v>822</v>
      </c>
      <c r="P18" s="148" t="s">
        <v>947</v>
      </c>
      <c r="Q18" s="148" t="s">
        <v>949</v>
      </c>
      <c r="R18" s="148">
        <v>96.3667900217648</v>
      </c>
      <c r="S18" s="148">
        <f>'Cálculo PU'!AC73</f>
        <v>109.76218936573447</v>
      </c>
      <c r="T18" s="165">
        <f t="shared" si="0"/>
        <v>-13.395399343969672</v>
      </c>
      <c r="V18" s="147">
        <v>581</v>
      </c>
      <c r="W18" s="148" t="s">
        <v>828</v>
      </c>
      <c r="X18" s="148" t="s">
        <v>845</v>
      </c>
      <c r="Y18" s="148" t="s">
        <v>822</v>
      </c>
      <c r="Z18" s="148" t="s">
        <v>947</v>
      </c>
      <c r="AA18" s="148" t="s">
        <v>951</v>
      </c>
      <c r="AB18" s="148">
        <v>1.2582979839620001</v>
      </c>
      <c r="AC18" s="148">
        <f>'Cálculo PU'!AB73</f>
        <v>1.1047350485328042</v>
      </c>
      <c r="AD18" s="154">
        <f t="shared" si="2"/>
        <v>0.15356293542919586</v>
      </c>
    </row>
    <row r="19" spans="2:30">
      <c r="B19" s="147">
        <v>593</v>
      </c>
      <c r="C19" s="148" t="s">
        <v>828</v>
      </c>
      <c r="D19" s="148" t="s">
        <v>846</v>
      </c>
      <c r="E19" s="148" t="s">
        <v>822</v>
      </c>
      <c r="F19" s="148" t="s">
        <v>947</v>
      </c>
      <c r="G19" s="148" t="s">
        <v>948</v>
      </c>
      <c r="H19" s="148">
        <v>125.35072639214199</v>
      </c>
      <c r="I19" s="148">
        <f>'Cálculo PU'!AA74</f>
        <v>125.35072637678114</v>
      </c>
      <c r="J19" s="165">
        <f t="shared" si="1"/>
        <v>1.5360853922175011E-8</v>
      </c>
      <c r="L19" s="147">
        <v>619</v>
      </c>
      <c r="M19" s="148" t="s">
        <v>828</v>
      </c>
      <c r="N19" s="148" t="s">
        <v>846</v>
      </c>
      <c r="O19" s="148" t="s">
        <v>822</v>
      </c>
      <c r="P19" s="148" t="s">
        <v>947</v>
      </c>
      <c r="Q19" s="148" t="s">
        <v>949</v>
      </c>
      <c r="R19" s="148">
        <v>98.056532747458604</v>
      </c>
      <c r="S19" s="148">
        <f>'Cálculo PU'!AC74</f>
        <v>113.22151625438276</v>
      </c>
      <c r="T19" s="165">
        <f t="shared" si="0"/>
        <v>-15.164983506924159</v>
      </c>
      <c r="V19" s="147">
        <v>618</v>
      </c>
      <c r="W19" s="148" t="s">
        <v>828</v>
      </c>
      <c r="X19" s="148" t="s">
        <v>846</v>
      </c>
      <c r="Y19" s="148" t="s">
        <v>822</v>
      </c>
      <c r="Z19" s="148" t="s">
        <v>947</v>
      </c>
      <c r="AA19" s="148" t="s">
        <v>951</v>
      </c>
      <c r="AB19" s="148">
        <v>1.2783516088110001</v>
      </c>
      <c r="AC19" s="148">
        <f>'Cálculo PU'!AB74</f>
        <v>1.1071281371567823</v>
      </c>
      <c r="AD19" s="154">
        <f t="shared" si="2"/>
        <v>0.17122347165421781</v>
      </c>
    </row>
    <row r="20" spans="2:30">
      <c r="B20" s="147">
        <v>630</v>
      </c>
      <c r="C20" s="148" t="s">
        <v>828</v>
      </c>
      <c r="D20" s="148" t="s">
        <v>847</v>
      </c>
      <c r="E20" s="148" t="s">
        <v>822</v>
      </c>
      <c r="F20" s="148" t="s">
        <v>947</v>
      </c>
      <c r="G20" s="148" t="s">
        <v>948</v>
      </c>
      <c r="H20" s="148">
        <v>101.18564903271</v>
      </c>
      <c r="I20" s="148">
        <f>'Cálculo PU'!AA75</f>
        <v>101.18564904706648</v>
      </c>
      <c r="J20" s="165">
        <f t="shared" si="1"/>
        <v>-1.4356473343468679E-8</v>
      </c>
      <c r="L20" s="147">
        <v>656</v>
      </c>
      <c r="M20" s="148" t="s">
        <v>828</v>
      </c>
      <c r="N20" s="148" t="s">
        <v>847</v>
      </c>
      <c r="O20" s="148" t="s">
        <v>822</v>
      </c>
      <c r="P20" s="148" t="s">
        <v>947</v>
      </c>
      <c r="Q20" s="148" t="s">
        <v>949</v>
      </c>
      <c r="R20" s="148">
        <v>78.065677030034806</v>
      </c>
      <c r="S20" s="148">
        <f>'Cálculo PU'!AC75</f>
        <v>91.22182302854884</v>
      </c>
      <c r="T20" s="165">
        <f t="shared" si="0"/>
        <v>-13.156145998514035</v>
      </c>
      <c r="V20" s="147">
        <v>655</v>
      </c>
      <c r="W20" s="148" t="s">
        <v>828</v>
      </c>
      <c r="X20" s="148" t="s">
        <v>847</v>
      </c>
      <c r="Y20" s="148" t="s">
        <v>822</v>
      </c>
      <c r="Z20" s="148" t="s">
        <v>947</v>
      </c>
      <c r="AA20" s="148" t="s">
        <v>951</v>
      </c>
      <c r="AB20" s="148">
        <v>1.2961605263960001</v>
      </c>
      <c r="AC20" s="148">
        <f>'Cálculo PU'!AB75</f>
        <v>1.1092263417647261</v>
      </c>
      <c r="AD20" s="154">
        <f t="shared" si="2"/>
        <v>0.18693418463127398</v>
      </c>
    </row>
    <row r="21" spans="2:30">
      <c r="B21" s="147">
        <v>667</v>
      </c>
      <c r="C21" s="148" t="s">
        <v>828</v>
      </c>
      <c r="D21" s="148" t="s">
        <v>848</v>
      </c>
      <c r="E21" s="148" t="s">
        <v>822</v>
      </c>
      <c r="F21" s="148" t="s">
        <v>947</v>
      </c>
      <c r="G21" s="148" t="s">
        <v>948</v>
      </c>
      <c r="H21" s="148">
        <v>127.55931110652899</v>
      </c>
      <c r="I21" s="148">
        <f>'Cálculo PU'!AA76</f>
        <v>122.0072742070316</v>
      </c>
      <c r="J21" s="165">
        <f t="shared" si="1"/>
        <v>5.552036899497395</v>
      </c>
      <c r="L21" s="147">
        <v>693</v>
      </c>
      <c r="M21" s="148" t="s">
        <v>828</v>
      </c>
      <c r="N21" s="148" t="s">
        <v>848</v>
      </c>
      <c r="O21" s="148" t="s">
        <v>822</v>
      </c>
      <c r="P21" s="148" t="s">
        <v>947</v>
      </c>
      <c r="Q21" s="148" t="s">
        <v>949</v>
      </c>
      <c r="R21" s="148">
        <v>96.917262919667607</v>
      </c>
      <c r="S21" s="148">
        <f>'Cálculo PU'!AC76</f>
        <v>109.76279605760298</v>
      </c>
      <c r="T21" s="165">
        <f t="shared" si="0"/>
        <v>-12.845533137935377</v>
      </c>
      <c r="V21" s="147">
        <v>692</v>
      </c>
      <c r="W21" s="148" t="s">
        <v>828</v>
      </c>
      <c r="X21" s="148" t="s">
        <v>848</v>
      </c>
      <c r="Y21" s="148" t="s">
        <v>822</v>
      </c>
      <c r="Z21" s="148" t="s">
        <v>947</v>
      </c>
      <c r="AA21" s="148" t="s">
        <v>951</v>
      </c>
      <c r="AB21" s="148">
        <v>1.316167081733</v>
      </c>
      <c r="AC21" s="148">
        <f>'Cálculo PU'!AB76</f>
        <v>1.1115539926935059</v>
      </c>
      <c r="AD21" s="154">
        <f t="shared" si="2"/>
        <v>0.20461308903949416</v>
      </c>
    </row>
    <row r="22" spans="2:30">
      <c r="B22" s="147">
        <v>704</v>
      </c>
      <c r="C22" s="148" t="s">
        <v>828</v>
      </c>
      <c r="D22" s="148" t="s">
        <v>849</v>
      </c>
      <c r="E22" s="148" t="s">
        <v>822</v>
      </c>
      <c r="F22" s="148" t="s">
        <v>947</v>
      </c>
      <c r="G22" s="148" t="s">
        <v>948</v>
      </c>
      <c r="H22" s="148">
        <v>103.955425920517</v>
      </c>
      <c r="I22" s="148">
        <f>'Cálculo PU'!AA77</f>
        <v>109.43212711471197</v>
      </c>
      <c r="J22" s="165">
        <f t="shared" si="1"/>
        <v>-5.4767011941949733</v>
      </c>
      <c r="L22" s="147">
        <v>730</v>
      </c>
      <c r="M22" s="148" t="s">
        <v>828</v>
      </c>
      <c r="N22" s="148" t="s">
        <v>849</v>
      </c>
      <c r="O22" s="148" t="s">
        <v>822</v>
      </c>
      <c r="P22" s="148" t="s">
        <v>947</v>
      </c>
      <c r="Q22" s="148" t="s">
        <v>949</v>
      </c>
      <c r="R22" s="148">
        <v>77.744435762538998</v>
      </c>
      <c r="S22" s="148">
        <f>'Cálculo PU'!AC77</f>
        <v>98.236871272298828</v>
      </c>
      <c r="T22" s="165">
        <f t="shared" si="0"/>
        <v>-20.492435509759829</v>
      </c>
      <c r="V22" s="147">
        <v>729</v>
      </c>
      <c r="W22" s="148" t="s">
        <v>828</v>
      </c>
      <c r="X22" s="148" t="s">
        <v>849</v>
      </c>
      <c r="Y22" s="148" t="s">
        <v>822</v>
      </c>
      <c r="Z22" s="148" t="s">
        <v>947</v>
      </c>
      <c r="AA22" s="148" t="s">
        <v>951</v>
      </c>
      <c r="AB22" s="148">
        <v>1.3371429723670001</v>
      </c>
      <c r="AC22" s="148">
        <f>'Cálculo PU'!AB77</f>
        <v>1.1139618525856902</v>
      </c>
      <c r="AD22" s="154">
        <f t="shared" si="2"/>
        <v>0.22318111978130983</v>
      </c>
    </row>
    <row r="23" spans="2:30">
      <c r="B23" s="147">
        <v>741</v>
      </c>
      <c r="C23" s="148" t="s">
        <v>828</v>
      </c>
      <c r="D23" s="148" t="s">
        <v>850</v>
      </c>
      <c r="E23" s="148" t="s">
        <v>822</v>
      </c>
      <c r="F23" s="148" t="s">
        <v>947</v>
      </c>
      <c r="G23" s="148" t="s">
        <v>948</v>
      </c>
      <c r="H23" s="148">
        <v>113.35670967263</v>
      </c>
      <c r="I23" s="148">
        <f>'Cálculo PU'!AA78</f>
        <v>107.95348021324266</v>
      </c>
      <c r="J23" s="165">
        <f t="shared" si="1"/>
        <v>5.4032294593873473</v>
      </c>
      <c r="L23" s="147">
        <v>767</v>
      </c>
      <c r="M23" s="148" t="s">
        <v>828</v>
      </c>
      <c r="N23" s="148" t="s">
        <v>850</v>
      </c>
      <c r="O23" s="148" t="s">
        <v>822</v>
      </c>
      <c r="P23" s="148" t="s">
        <v>947</v>
      </c>
      <c r="Q23" s="148" t="s">
        <v>949</v>
      </c>
      <c r="R23" s="148">
        <v>83.569216075516906</v>
      </c>
      <c r="S23" s="148">
        <f>'Cálculo PU'!AC78</f>
        <v>96.71964087463698</v>
      </c>
      <c r="T23" s="165">
        <f t="shared" si="0"/>
        <v>-13.150424799120074</v>
      </c>
      <c r="V23" s="147">
        <v>766</v>
      </c>
      <c r="W23" s="148" t="s">
        <v>828</v>
      </c>
      <c r="X23" s="148" t="s">
        <v>850</v>
      </c>
      <c r="Y23" s="148" t="s">
        <v>822</v>
      </c>
      <c r="Z23" s="148" t="s">
        <v>947</v>
      </c>
      <c r="AA23" s="148" t="s">
        <v>951</v>
      </c>
      <c r="AB23" s="148">
        <v>1.356440983845</v>
      </c>
      <c r="AC23" s="148">
        <f>'Cálculo PU'!AB78</f>
        <v>1.1161484806707089</v>
      </c>
      <c r="AD23" s="154">
        <f t="shared" si="2"/>
        <v>0.24029250317429107</v>
      </c>
    </row>
    <row r="24" spans="2:30">
      <c r="B24" s="147">
        <v>778</v>
      </c>
      <c r="C24" s="148" t="s">
        <v>828</v>
      </c>
      <c r="D24" s="148" t="s">
        <v>851</v>
      </c>
      <c r="E24" s="148" t="s">
        <v>822</v>
      </c>
      <c r="F24" s="148" t="s">
        <v>947</v>
      </c>
      <c r="G24" s="148" t="s">
        <v>948</v>
      </c>
      <c r="H24" s="148">
        <v>106.49060259915299</v>
      </c>
      <c r="I24" s="148">
        <f>'Cálculo PU'!AA79</f>
        <v>111.82061289270625</v>
      </c>
      <c r="J24" s="165">
        <f t="shared" si="1"/>
        <v>-5.3300102935532578</v>
      </c>
      <c r="L24" s="147">
        <v>804</v>
      </c>
      <c r="M24" s="148" t="s">
        <v>828</v>
      </c>
      <c r="N24" s="148" t="s">
        <v>851</v>
      </c>
      <c r="O24" s="148" t="s">
        <v>822</v>
      </c>
      <c r="P24" s="148" t="s">
        <v>947</v>
      </c>
      <c r="Q24" s="148" t="s">
        <v>949</v>
      </c>
      <c r="R24" s="148">
        <v>77.390441520961005</v>
      </c>
      <c r="S24" s="148">
        <f>'Cálculo PU'!AC79</f>
        <v>99.988083043095045</v>
      </c>
      <c r="T24" s="165">
        <f t="shared" si="0"/>
        <v>-22.59764152213404</v>
      </c>
      <c r="V24" s="147">
        <v>803</v>
      </c>
      <c r="W24" s="148" t="s">
        <v>828</v>
      </c>
      <c r="X24" s="148" t="s">
        <v>851</v>
      </c>
      <c r="Y24" s="148" t="s">
        <v>822</v>
      </c>
      <c r="Z24" s="148" t="s">
        <v>947</v>
      </c>
      <c r="AA24" s="148" t="s">
        <v>951</v>
      </c>
      <c r="AB24" s="148">
        <v>1.3760175094789999</v>
      </c>
      <c r="AC24" s="148">
        <f>'Cálculo PU'!AB79</f>
        <v>1.1183394009515251</v>
      </c>
      <c r="AD24" s="154">
        <f t="shared" si="2"/>
        <v>0.25767810852747486</v>
      </c>
    </row>
    <row r="25" spans="2:30">
      <c r="B25" s="147">
        <v>815</v>
      </c>
      <c r="C25" s="148" t="s">
        <v>828</v>
      </c>
      <c r="D25" s="148" t="s">
        <v>852</v>
      </c>
      <c r="E25" s="148" t="s">
        <v>822</v>
      </c>
      <c r="F25" s="148" t="s">
        <v>947</v>
      </c>
      <c r="G25" s="148" t="s">
        <v>948</v>
      </c>
      <c r="H25" s="148">
        <v>120.830527949462</v>
      </c>
      <c r="I25" s="148">
        <f>'Cálculo PU'!AA80</f>
        <v>120.83052793414632</v>
      </c>
      <c r="J25" s="165">
        <f t="shared" si="1"/>
        <v>1.5315677615035383E-8</v>
      </c>
      <c r="L25" s="147">
        <v>841</v>
      </c>
      <c r="M25" s="148" t="s">
        <v>828</v>
      </c>
      <c r="N25" s="148" t="s">
        <v>852</v>
      </c>
      <c r="O25" s="148" t="s">
        <v>822</v>
      </c>
      <c r="P25" s="148" t="s">
        <v>947</v>
      </c>
      <c r="Q25" s="148" t="s">
        <v>949</v>
      </c>
      <c r="R25" s="148">
        <v>86.391557382631703</v>
      </c>
      <c r="S25" s="148">
        <f>'Cálculo PU'!AC80</f>
        <v>107.80376379242978</v>
      </c>
      <c r="T25" s="165">
        <f t="shared" si="0"/>
        <v>-21.412206409798074</v>
      </c>
      <c r="V25" s="147">
        <v>840</v>
      </c>
      <c r="W25" s="148" t="s">
        <v>828</v>
      </c>
      <c r="X25" s="148" t="s">
        <v>852</v>
      </c>
      <c r="Y25" s="148" t="s">
        <v>822</v>
      </c>
      <c r="Z25" s="148" t="s">
        <v>947</v>
      </c>
      <c r="AA25" s="148" t="s">
        <v>951</v>
      </c>
      <c r="AB25" s="148">
        <v>1.398638149493</v>
      </c>
      <c r="AC25" s="148">
        <f>'Cálculo PU'!AB80</f>
        <v>1.1208377489194057</v>
      </c>
      <c r="AD25" s="154">
        <f t="shared" si="2"/>
        <v>0.27780040057359434</v>
      </c>
    </row>
    <row r="26" spans="2:30">
      <c r="B26" s="147">
        <v>852</v>
      </c>
      <c r="C26" s="148" t="s">
        <v>828</v>
      </c>
      <c r="D26" s="148" t="s">
        <v>853</v>
      </c>
      <c r="E26" s="148" t="s">
        <v>822</v>
      </c>
      <c r="F26" s="148" t="s">
        <v>947</v>
      </c>
      <c r="G26" s="148" t="s">
        <v>948</v>
      </c>
      <c r="H26" s="148">
        <v>108.845332242897</v>
      </c>
      <c r="I26" s="148">
        <f>'Cálculo PU'!AA81</f>
        <v>108.84533223459013</v>
      </c>
      <c r="J26" s="165">
        <f t="shared" si="1"/>
        <v>8.3068698586430401E-9</v>
      </c>
      <c r="L26" s="147">
        <v>878</v>
      </c>
      <c r="M26" s="148" t="s">
        <v>828</v>
      </c>
      <c r="N26" s="148" t="s">
        <v>853</v>
      </c>
      <c r="O26" s="148" t="s">
        <v>822</v>
      </c>
      <c r="P26" s="148" t="s">
        <v>947</v>
      </c>
      <c r="Q26" s="148" t="s">
        <v>949</v>
      </c>
      <c r="R26" s="148">
        <v>76.677296876918902</v>
      </c>
      <c r="S26" s="148">
        <f>'Cálculo PU'!AC81</f>
        <v>96.913892930494455</v>
      </c>
      <c r="T26" s="165">
        <f t="shared" si="0"/>
        <v>-20.236596053575553</v>
      </c>
      <c r="V26" s="147">
        <v>877</v>
      </c>
      <c r="W26" s="148" t="s">
        <v>828</v>
      </c>
      <c r="X26" s="148" t="s">
        <v>853</v>
      </c>
      <c r="Y26" s="148" t="s">
        <v>822</v>
      </c>
      <c r="Z26" s="148" t="s">
        <v>947</v>
      </c>
      <c r="AA26" s="148" t="s">
        <v>951</v>
      </c>
      <c r="AB26" s="148">
        <v>1.419524900801</v>
      </c>
      <c r="AC26" s="148">
        <f>'Cálculo PU'!AB81</f>
        <v>1.1231138172589226</v>
      </c>
      <c r="AD26" s="154">
        <f t="shared" si="2"/>
        <v>0.29641108354207746</v>
      </c>
    </row>
    <row r="27" spans="2:30">
      <c r="B27" s="147">
        <v>889</v>
      </c>
      <c r="C27" s="148" t="s">
        <v>828</v>
      </c>
      <c r="D27" s="148" t="s">
        <v>854</v>
      </c>
      <c r="E27" s="148" t="s">
        <v>822</v>
      </c>
      <c r="F27" s="148" t="s">
        <v>947</v>
      </c>
      <c r="G27" s="148" t="s">
        <v>948</v>
      </c>
      <c r="H27" s="148">
        <v>112.49172174999001</v>
      </c>
      <c r="I27" s="148">
        <f>'Cálculo PU'!AA82</f>
        <v>107.37319911614078</v>
      </c>
      <c r="J27" s="165">
        <f t="shared" si="1"/>
        <v>5.1185226338492242</v>
      </c>
      <c r="L27" s="147">
        <v>915</v>
      </c>
      <c r="M27" s="148" t="s">
        <v>828</v>
      </c>
      <c r="N27" s="148" t="s">
        <v>854</v>
      </c>
      <c r="O27" s="148" t="s">
        <v>822</v>
      </c>
      <c r="P27" s="148" t="s">
        <v>947</v>
      </c>
      <c r="Q27" s="148" t="s">
        <v>949</v>
      </c>
      <c r="R27" s="148">
        <v>78.080017783522393</v>
      </c>
      <c r="S27" s="148">
        <f>'Cálculo PU'!AC82</f>
        <v>95.409386124870451</v>
      </c>
      <c r="T27" s="165">
        <f t="shared" si="0"/>
        <v>-17.329368341348058</v>
      </c>
      <c r="V27" s="147">
        <v>914</v>
      </c>
      <c r="W27" s="148" t="s">
        <v>828</v>
      </c>
      <c r="X27" s="148" t="s">
        <v>854</v>
      </c>
      <c r="Y27" s="148" t="s">
        <v>822</v>
      </c>
      <c r="Z27" s="148" t="s">
        <v>947</v>
      </c>
      <c r="AA27" s="148" t="s">
        <v>951</v>
      </c>
      <c r="AB27" s="148">
        <v>1.440723567224</v>
      </c>
      <c r="AC27" s="148">
        <f>'Cálculo PU'!AB82</f>
        <v>1.1253945075761442</v>
      </c>
      <c r="AD27" s="154">
        <f t="shared" si="2"/>
        <v>0.31532905964785574</v>
      </c>
    </row>
    <row r="28" spans="2:30">
      <c r="B28" s="147">
        <v>926</v>
      </c>
      <c r="C28" s="148" t="s">
        <v>828</v>
      </c>
      <c r="D28" s="148" t="s">
        <v>855</v>
      </c>
      <c r="E28" s="148" t="s">
        <v>822</v>
      </c>
      <c r="F28" s="148" t="s">
        <v>947</v>
      </c>
      <c r="G28" s="148" t="s">
        <v>948</v>
      </c>
      <c r="H28" s="148">
        <v>100.869006820816</v>
      </c>
      <c r="I28" s="148">
        <f>'Cálculo PU'!AA83</f>
        <v>105.91764802983583</v>
      </c>
      <c r="J28" s="165">
        <f t="shared" si="1"/>
        <v>-5.0486412090198343</v>
      </c>
      <c r="L28" s="147">
        <v>952</v>
      </c>
      <c r="M28" s="148" t="s">
        <v>828</v>
      </c>
      <c r="N28" s="148" t="s">
        <v>855</v>
      </c>
      <c r="O28" s="148" t="s">
        <v>822</v>
      </c>
      <c r="P28" s="148" t="s">
        <v>947</v>
      </c>
      <c r="Q28" s="148" t="s">
        <v>949</v>
      </c>
      <c r="R28" s="148">
        <v>68.914444971559902</v>
      </c>
      <c r="S28" s="148">
        <f>'Cálculo PU'!AC83</f>
        <v>93.912582069232329</v>
      </c>
      <c r="T28" s="165">
        <f t="shared" si="0"/>
        <v>-24.998137097672426</v>
      </c>
      <c r="V28" s="147">
        <v>951</v>
      </c>
      <c r="W28" s="148" t="s">
        <v>828</v>
      </c>
      <c r="X28" s="148" t="s">
        <v>855</v>
      </c>
      <c r="Y28" s="148" t="s">
        <v>822</v>
      </c>
      <c r="Z28" s="148" t="s">
        <v>947</v>
      </c>
      <c r="AA28" s="148" t="s">
        <v>951</v>
      </c>
      <c r="AB28" s="148">
        <v>1.4636845274229999</v>
      </c>
      <c r="AC28" s="148">
        <f>'Cálculo PU'!AB83</f>
        <v>1.1278323489365181</v>
      </c>
      <c r="AD28" s="154">
        <f t="shared" si="2"/>
        <v>0.33585217848648186</v>
      </c>
    </row>
    <row r="29" spans="2:30">
      <c r="B29" s="147">
        <v>963</v>
      </c>
      <c r="C29" s="148" t="s">
        <v>828</v>
      </c>
      <c r="D29" s="148" t="s">
        <v>856</v>
      </c>
      <c r="E29" s="148" t="s">
        <v>822</v>
      </c>
      <c r="F29" s="148" t="s">
        <v>947</v>
      </c>
      <c r="G29" s="148" t="s">
        <v>948</v>
      </c>
      <c r="H29" s="148">
        <v>99.500113529956096</v>
      </c>
      <c r="I29" s="148">
        <f>'Cálculo PU'!AA84</f>
        <v>99.500113534663953</v>
      </c>
      <c r="J29" s="165">
        <f t="shared" si="1"/>
        <v>-4.707857215180411E-9</v>
      </c>
      <c r="L29" s="147">
        <v>989</v>
      </c>
      <c r="M29" s="148" t="s">
        <v>828</v>
      </c>
      <c r="N29" s="148" t="s">
        <v>856</v>
      </c>
      <c r="O29" s="148" t="s">
        <v>822</v>
      </c>
      <c r="P29" s="148" t="s">
        <v>947</v>
      </c>
      <c r="Q29" s="148" t="s">
        <v>949</v>
      </c>
      <c r="R29" s="148">
        <v>67.045189939621196</v>
      </c>
      <c r="S29" s="148">
        <f>'Cálculo PU'!AC84</f>
        <v>88.05555180767395</v>
      </c>
      <c r="T29" s="165">
        <f t="shared" si="0"/>
        <v>-21.010361868052755</v>
      </c>
      <c r="V29" s="147">
        <v>988</v>
      </c>
      <c r="W29" s="148" t="s">
        <v>828</v>
      </c>
      <c r="X29" s="148" t="s">
        <v>856</v>
      </c>
      <c r="Y29" s="148" t="s">
        <v>822</v>
      </c>
      <c r="Z29" s="148" t="s">
        <v>947</v>
      </c>
      <c r="AA29" s="148" t="s">
        <v>951</v>
      </c>
      <c r="AB29" s="148">
        <v>1.484075347084</v>
      </c>
      <c r="AC29" s="148">
        <f>'Cálculo PU'!AB84</f>
        <v>1.1299697917058833</v>
      </c>
      <c r="AD29" s="154">
        <f t="shared" si="2"/>
        <v>0.35410555537811672</v>
      </c>
    </row>
    <row r="30" spans="2:30">
      <c r="B30" s="147">
        <v>1000</v>
      </c>
      <c r="C30" s="148" t="s">
        <v>828</v>
      </c>
      <c r="D30" s="148" t="s">
        <v>857</v>
      </c>
      <c r="E30" s="148" t="s">
        <v>822</v>
      </c>
      <c r="F30" s="148" t="s">
        <v>947</v>
      </c>
      <c r="G30" s="148" t="s">
        <v>948</v>
      </c>
      <c r="H30" s="148">
        <v>107.95489132196001</v>
      </c>
      <c r="I30" s="148">
        <f>'Cálculo PU'!AA85</f>
        <v>107.95489130873067</v>
      </c>
      <c r="J30" s="165">
        <f t="shared" si="1"/>
        <v>1.3229339401732432E-8</v>
      </c>
      <c r="L30" s="147">
        <v>1026</v>
      </c>
      <c r="M30" s="148" t="s">
        <v>828</v>
      </c>
      <c r="N30" s="148" t="s">
        <v>857</v>
      </c>
      <c r="O30" s="148" t="s">
        <v>822</v>
      </c>
      <c r="P30" s="148" t="s">
        <v>947</v>
      </c>
      <c r="Q30" s="148" t="s">
        <v>949</v>
      </c>
      <c r="R30" s="148">
        <v>71.530354243715195</v>
      </c>
      <c r="S30" s="148">
        <f>'Cálculo PU'!AC85</f>
        <v>95.318456388300547</v>
      </c>
      <c r="T30" s="165">
        <f t="shared" si="0"/>
        <v>-23.788102144585352</v>
      </c>
      <c r="V30" s="147">
        <v>1025</v>
      </c>
      <c r="W30" s="148" t="s">
        <v>828</v>
      </c>
      <c r="X30" s="148" t="s">
        <v>857</v>
      </c>
      <c r="Y30" s="148" t="s">
        <v>822</v>
      </c>
      <c r="Z30" s="148" t="s">
        <v>947</v>
      </c>
      <c r="AA30" s="148" t="s">
        <v>951</v>
      </c>
      <c r="AB30" s="148">
        <v>1.50921790425</v>
      </c>
      <c r="AC30" s="148">
        <f>'Cálculo PU'!AB85</f>
        <v>1.1325707045543503</v>
      </c>
      <c r="AD30" s="154">
        <f t="shared" si="2"/>
        <v>0.37664719969564975</v>
      </c>
    </row>
    <row r="31" spans="2:30">
      <c r="B31" s="147">
        <v>1037</v>
      </c>
      <c r="C31" s="148" t="s">
        <v>828</v>
      </c>
      <c r="D31" s="148" t="s">
        <v>858</v>
      </c>
      <c r="E31" s="148" t="s">
        <v>822</v>
      </c>
      <c r="F31" s="148" t="s">
        <v>947</v>
      </c>
      <c r="G31" s="148" t="s">
        <v>948</v>
      </c>
      <c r="H31" s="148">
        <v>96.699947550196597</v>
      </c>
      <c r="I31" s="148">
        <f>'Cálculo PU'!AA86</f>
        <v>96.699947554771995</v>
      </c>
      <c r="J31" s="165">
        <f t="shared" si="1"/>
        <v>-4.5753978383800131E-9</v>
      </c>
      <c r="L31" s="147">
        <v>1063</v>
      </c>
      <c r="M31" s="148" t="s">
        <v>828</v>
      </c>
      <c r="N31" s="148" t="s">
        <v>858</v>
      </c>
      <c r="O31" s="148" t="s">
        <v>822</v>
      </c>
      <c r="P31" s="148" t="s">
        <v>947</v>
      </c>
      <c r="Q31" s="148" t="s">
        <v>949</v>
      </c>
      <c r="R31" s="148">
        <v>63.1925412999149</v>
      </c>
      <c r="S31" s="148">
        <f>'Cálculo PU'!AC86</f>
        <v>85.219430661646371</v>
      </c>
      <c r="T31" s="165">
        <f t="shared" si="0"/>
        <v>-22.02688936173147</v>
      </c>
      <c r="V31" s="147">
        <v>1062</v>
      </c>
      <c r="W31" s="148" t="s">
        <v>828</v>
      </c>
      <c r="X31" s="148" t="s">
        <v>858</v>
      </c>
      <c r="Y31" s="148" t="s">
        <v>822</v>
      </c>
      <c r="Z31" s="148" t="s">
        <v>947</v>
      </c>
      <c r="AA31" s="148" t="s">
        <v>951</v>
      </c>
      <c r="AB31" s="148">
        <v>1.5302430565539999</v>
      </c>
      <c r="AC31" s="148">
        <f>'Cálculo PU'!AB86</f>
        <v>1.1347171273498371</v>
      </c>
      <c r="AD31" s="154">
        <f t="shared" si="2"/>
        <v>0.39552592920416285</v>
      </c>
    </row>
    <row r="32" spans="2:30">
      <c r="B32" s="147">
        <v>1074</v>
      </c>
      <c r="C32" s="148" t="s">
        <v>828</v>
      </c>
      <c r="D32" s="148" t="s">
        <v>859</v>
      </c>
      <c r="E32" s="148" t="s">
        <v>822</v>
      </c>
      <c r="F32" s="148" t="s">
        <v>947</v>
      </c>
      <c r="G32" s="148" t="s">
        <v>948</v>
      </c>
      <c r="H32" s="148">
        <v>85.730111902195404</v>
      </c>
      <c r="I32" s="148">
        <f>'Cálculo PU'!AA87</f>
        <v>85.730111914359057</v>
      </c>
      <c r="J32" s="165">
        <f t="shared" si="1"/>
        <v>-1.2163653195784718E-8</v>
      </c>
      <c r="L32" s="147">
        <v>1100</v>
      </c>
      <c r="M32" s="148" t="s">
        <v>828</v>
      </c>
      <c r="N32" s="148" t="s">
        <v>859</v>
      </c>
      <c r="O32" s="148" t="s">
        <v>822</v>
      </c>
      <c r="P32" s="148" t="s">
        <v>947</v>
      </c>
      <c r="Q32" s="148" t="s">
        <v>949</v>
      </c>
      <c r="R32" s="148">
        <v>55.254099340698303</v>
      </c>
      <c r="S32" s="148">
        <f>'Cálculo PU'!AC87</f>
        <v>75.409054279622239</v>
      </c>
      <c r="T32" s="165">
        <f t="shared" si="0"/>
        <v>-20.154954938923936</v>
      </c>
      <c r="V32" s="147">
        <v>1099</v>
      </c>
      <c r="W32" s="148" t="s">
        <v>828</v>
      </c>
      <c r="X32" s="148" t="s">
        <v>859</v>
      </c>
      <c r="Y32" s="148" t="s">
        <v>822</v>
      </c>
      <c r="Z32" s="148" t="s">
        <v>947</v>
      </c>
      <c r="AA32" s="148" t="s">
        <v>951</v>
      </c>
      <c r="AB32" s="148">
        <v>1.551561113567</v>
      </c>
      <c r="AC32" s="148">
        <f>'Cálculo PU'!AB87</f>
        <v>1.1368676179980401</v>
      </c>
      <c r="AD32" s="154">
        <f t="shared" si="2"/>
        <v>0.41469349556895985</v>
      </c>
    </row>
    <row r="33" spans="2:30">
      <c r="B33" s="147">
        <v>1111</v>
      </c>
      <c r="C33" s="148" t="s">
        <v>828</v>
      </c>
      <c r="D33" s="148" t="s">
        <v>860</v>
      </c>
      <c r="E33" s="148" t="s">
        <v>822</v>
      </c>
      <c r="F33" s="148" t="s">
        <v>947</v>
      </c>
      <c r="G33" s="148" t="s">
        <v>948</v>
      </c>
      <c r="H33" s="148">
        <v>107.915153236926</v>
      </c>
      <c r="I33" s="148">
        <f>'Cálculo PU'!AA88</f>
        <v>107.91515322324737</v>
      </c>
      <c r="J33" s="165">
        <f t="shared" si="1"/>
        <v>1.3678629784408258E-8</v>
      </c>
      <c r="L33" s="147">
        <v>1137</v>
      </c>
      <c r="M33" s="148" t="s">
        <v>828</v>
      </c>
      <c r="N33" s="148" t="s">
        <v>860</v>
      </c>
      <c r="O33" s="148" t="s">
        <v>822</v>
      </c>
      <c r="P33" s="148" t="s">
        <v>947</v>
      </c>
      <c r="Q33" s="148" t="s">
        <v>949</v>
      </c>
      <c r="R33" s="148">
        <v>68.461549404872002</v>
      </c>
      <c r="S33" s="148">
        <f>'Cálculo PU'!AC88</f>
        <v>94.718056771072611</v>
      </c>
      <c r="T33" s="165">
        <f t="shared" si="0"/>
        <v>-26.256507366200609</v>
      </c>
      <c r="V33" s="147">
        <v>1136</v>
      </c>
      <c r="W33" s="148" t="s">
        <v>828</v>
      </c>
      <c r="X33" s="148" t="s">
        <v>860</v>
      </c>
      <c r="Y33" s="148" t="s">
        <v>822</v>
      </c>
      <c r="Z33" s="148" t="s">
        <v>947</v>
      </c>
      <c r="AA33" s="148" t="s">
        <v>951</v>
      </c>
      <c r="AB33" s="148">
        <v>1.576288503182</v>
      </c>
      <c r="AC33" s="148">
        <f>'Cálculo PU'!AB88</f>
        <v>1.1393303125302843</v>
      </c>
      <c r="AD33" s="154">
        <f t="shared" si="2"/>
        <v>0.43695819065171571</v>
      </c>
    </row>
    <row r="34" spans="2:30">
      <c r="B34" s="147">
        <v>1148</v>
      </c>
      <c r="C34" s="148" t="s">
        <v>828</v>
      </c>
      <c r="D34" s="148" t="s">
        <v>861</v>
      </c>
      <c r="E34" s="148" t="s">
        <v>822</v>
      </c>
      <c r="F34" s="148" t="s">
        <v>947</v>
      </c>
      <c r="G34" s="148" t="s">
        <v>948</v>
      </c>
      <c r="H34" s="148">
        <v>92.450079835246001</v>
      </c>
      <c r="I34" s="148">
        <f>'Cálculo PU'!AA89</f>
        <v>92.450079839620372</v>
      </c>
      <c r="J34" s="165">
        <f t="shared" si="1"/>
        <v>-4.3743710875787656E-9</v>
      </c>
      <c r="L34" s="147">
        <v>1174</v>
      </c>
      <c r="M34" s="148" t="s">
        <v>828</v>
      </c>
      <c r="N34" s="148" t="s">
        <v>861</v>
      </c>
      <c r="O34" s="148" t="s">
        <v>822</v>
      </c>
      <c r="P34" s="148" t="s">
        <v>947</v>
      </c>
      <c r="Q34" s="148" t="s">
        <v>949</v>
      </c>
      <c r="R34" s="148">
        <v>57.758957920447401</v>
      </c>
      <c r="S34" s="148">
        <f>'Cálculo PU'!AC89</f>
        <v>80.974308879503795</v>
      </c>
      <c r="T34" s="165">
        <f t="shared" si="0"/>
        <v>-23.215350959056394</v>
      </c>
      <c r="V34" s="147">
        <v>1173</v>
      </c>
      <c r="W34" s="148" t="s">
        <v>828</v>
      </c>
      <c r="X34" s="148" t="s">
        <v>861</v>
      </c>
      <c r="Y34" s="148" t="s">
        <v>822</v>
      </c>
      <c r="Z34" s="148" t="s">
        <v>947</v>
      </c>
      <c r="AA34" s="148" t="s">
        <v>951</v>
      </c>
      <c r="AB34" s="148">
        <v>1.6006189024840001</v>
      </c>
      <c r="AC34" s="148">
        <f>'Cálculo PU'!AB89</f>
        <v>1.1417211349984282</v>
      </c>
      <c r="AD34" s="154">
        <f t="shared" si="2"/>
        <v>0.45889776748557187</v>
      </c>
    </row>
    <row r="35" spans="2:30">
      <c r="B35" s="147">
        <v>1185</v>
      </c>
      <c r="C35" s="148" t="s">
        <v>828</v>
      </c>
      <c r="D35" s="148" t="s">
        <v>862</v>
      </c>
      <c r="E35" s="148" t="s">
        <v>822</v>
      </c>
      <c r="F35" s="148" t="s">
        <v>947</v>
      </c>
      <c r="G35" s="148" t="s">
        <v>948</v>
      </c>
      <c r="H35" s="148">
        <v>95.620793021686595</v>
      </c>
      <c r="I35" s="148">
        <f>'Cálculo PU'!AA90</f>
        <v>95.620793014388909</v>
      </c>
      <c r="J35" s="165">
        <f t="shared" si="1"/>
        <v>7.2976860110429698E-9</v>
      </c>
      <c r="L35" s="147">
        <v>1211</v>
      </c>
      <c r="M35" s="148" t="s">
        <v>828</v>
      </c>
      <c r="N35" s="148" t="s">
        <v>862</v>
      </c>
      <c r="O35" s="148" t="s">
        <v>822</v>
      </c>
      <c r="P35" s="148" t="s">
        <v>947</v>
      </c>
      <c r="Q35" s="148" t="s">
        <v>949</v>
      </c>
      <c r="R35" s="148">
        <v>58.860880518399703</v>
      </c>
      <c r="S35" s="148">
        <f>'Cálculo PU'!AC90</f>
        <v>83.581715267587157</v>
      </c>
      <c r="T35" s="165">
        <f t="shared" ref="T35:T66" si="3">R35-S35</f>
        <v>-24.720834749187453</v>
      </c>
      <c r="V35" s="147">
        <v>1210</v>
      </c>
      <c r="W35" s="148" t="s">
        <v>828</v>
      </c>
      <c r="X35" s="148" t="s">
        <v>862</v>
      </c>
      <c r="Y35" s="148" t="s">
        <v>822</v>
      </c>
      <c r="Z35" s="148" t="s">
        <v>947</v>
      </c>
      <c r="AA35" s="148" t="s">
        <v>951</v>
      </c>
      <c r="AB35" s="148">
        <v>1.6245219605879999</v>
      </c>
      <c r="AC35" s="148">
        <f>'Cálculo PU'!AB90</f>
        <v>1.1440396109156004</v>
      </c>
      <c r="AD35" s="154">
        <f t="shared" si="2"/>
        <v>0.48048234967239956</v>
      </c>
    </row>
    <row r="36" spans="2:30">
      <c r="B36" s="147">
        <v>1222</v>
      </c>
      <c r="C36" s="148" t="s">
        <v>828</v>
      </c>
      <c r="D36" s="148" t="s">
        <v>863</v>
      </c>
      <c r="E36" s="148" t="s">
        <v>822</v>
      </c>
      <c r="F36" s="148" t="s">
        <v>947</v>
      </c>
      <c r="G36" s="148" t="s">
        <v>948</v>
      </c>
      <c r="H36" s="148">
        <v>94.190305959149001</v>
      </c>
      <c r="I36" s="148">
        <f>'Cálculo PU'!AA91</f>
        <v>94.190305951960468</v>
      </c>
      <c r="J36" s="165">
        <f t="shared" si="1"/>
        <v>7.1885324359755032E-9</v>
      </c>
      <c r="L36" s="147">
        <v>1248</v>
      </c>
      <c r="M36" s="148" t="s">
        <v>828</v>
      </c>
      <c r="N36" s="148" t="s">
        <v>863</v>
      </c>
      <c r="O36" s="148" t="s">
        <v>822</v>
      </c>
      <c r="P36" s="148" t="s">
        <v>947</v>
      </c>
      <c r="Q36" s="148" t="s">
        <v>949</v>
      </c>
      <c r="R36" s="148">
        <v>57.155438889151299</v>
      </c>
      <c r="S36" s="148">
        <f>'Cálculo PU'!AC91</f>
        <v>82.170038851521213</v>
      </c>
      <c r="T36" s="165">
        <f t="shared" si="3"/>
        <v>-25.014599962369914</v>
      </c>
      <c r="V36" s="147">
        <v>1247</v>
      </c>
      <c r="W36" s="148" t="s">
        <v>828</v>
      </c>
      <c r="X36" s="148" t="s">
        <v>863</v>
      </c>
      <c r="Y36" s="148" t="s">
        <v>822</v>
      </c>
      <c r="Z36" s="148" t="s">
        <v>947</v>
      </c>
      <c r="AA36" s="148" t="s">
        <v>951</v>
      </c>
      <c r="AB36" s="148">
        <v>1.6479675038770001</v>
      </c>
      <c r="AC36" s="148">
        <f>'Cálculo PU'!AB91</f>
        <v>1.1462852795063114</v>
      </c>
      <c r="AD36" s="154">
        <f t="shared" si="2"/>
        <v>0.50168222437068866</v>
      </c>
    </row>
    <row r="37" spans="2:30">
      <c r="B37" s="147">
        <v>1259</v>
      </c>
      <c r="C37" s="148" t="s">
        <v>828</v>
      </c>
      <c r="D37" s="148" t="s">
        <v>864</v>
      </c>
      <c r="E37" s="148" t="s">
        <v>822</v>
      </c>
      <c r="F37" s="148" t="s">
        <v>947</v>
      </c>
      <c r="G37" s="148" t="s">
        <v>948</v>
      </c>
      <c r="H37" s="148">
        <v>97.199103477221897</v>
      </c>
      <c r="I37" s="148">
        <f>'Cálculo PU'!AA92</f>
        <v>97.199103465310785</v>
      </c>
      <c r="J37" s="165">
        <f t="shared" si="1"/>
        <v>1.1911112096640863E-8</v>
      </c>
      <c r="L37" s="147">
        <v>1285</v>
      </c>
      <c r="M37" s="148" t="s">
        <v>828</v>
      </c>
      <c r="N37" s="148" t="s">
        <v>864</v>
      </c>
      <c r="O37" s="148" t="s">
        <v>822</v>
      </c>
      <c r="P37" s="148" t="s">
        <v>947</v>
      </c>
      <c r="Q37" s="148" t="s">
        <v>949</v>
      </c>
      <c r="R37" s="148">
        <v>58.055957748752199</v>
      </c>
      <c r="S37" s="148">
        <f>'Cálculo PU'!AC92</f>
        <v>84.611576718212788</v>
      </c>
      <c r="T37" s="165">
        <f t="shared" si="3"/>
        <v>-26.555618969460589</v>
      </c>
      <c r="V37" s="147">
        <v>1284</v>
      </c>
      <c r="W37" s="148" t="s">
        <v>828</v>
      </c>
      <c r="X37" s="148" t="s">
        <v>864</v>
      </c>
      <c r="Y37" s="148" t="s">
        <v>822</v>
      </c>
      <c r="Z37" s="148" t="s">
        <v>947</v>
      </c>
      <c r="AA37" s="148" t="s">
        <v>951</v>
      </c>
      <c r="AB37" s="148">
        <v>1.6742313320860001</v>
      </c>
      <c r="AC37" s="148">
        <f>'Cálculo PU'!AB92</f>
        <v>1.1487683746754775</v>
      </c>
      <c r="AD37" s="154">
        <f t="shared" si="2"/>
        <v>0.52546295741052251</v>
      </c>
    </row>
    <row r="38" spans="2:30">
      <c r="B38" s="147">
        <v>1296</v>
      </c>
      <c r="C38" s="148" t="s">
        <v>828</v>
      </c>
      <c r="D38" s="148" t="s">
        <v>865</v>
      </c>
      <c r="E38" s="148" t="s">
        <v>822</v>
      </c>
      <c r="F38" s="148" t="s">
        <v>947</v>
      </c>
      <c r="G38" s="148" t="s">
        <v>948</v>
      </c>
      <c r="H38" s="148">
        <v>95.745102088628101</v>
      </c>
      <c r="I38" s="148">
        <f>'Cálculo PU'!AA93</f>
        <v>95.745102076895151</v>
      </c>
      <c r="J38" s="165">
        <f t="shared" si="1"/>
        <v>1.1732950611076376E-8</v>
      </c>
      <c r="L38" s="147">
        <v>1322</v>
      </c>
      <c r="M38" s="148" t="s">
        <v>828</v>
      </c>
      <c r="N38" s="148" t="s">
        <v>865</v>
      </c>
      <c r="O38" s="148" t="s">
        <v>822</v>
      </c>
      <c r="P38" s="148" t="s">
        <v>947</v>
      </c>
      <c r="Q38" s="148" t="s">
        <v>949</v>
      </c>
      <c r="R38" s="148">
        <v>56.318213255119097</v>
      </c>
      <c r="S38" s="148">
        <f>'Cálculo PU'!AC93</f>
        <v>83.171341622051088</v>
      </c>
      <c r="T38" s="165">
        <f t="shared" si="3"/>
        <v>-26.85312836693199</v>
      </c>
      <c r="V38" s="147">
        <v>1321</v>
      </c>
      <c r="W38" s="148" t="s">
        <v>828</v>
      </c>
      <c r="X38" s="148" t="s">
        <v>865</v>
      </c>
      <c r="Y38" s="148" t="s">
        <v>822</v>
      </c>
      <c r="Z38" s="148" t="s">
        <v>947</v>
      </c>
      <c r="AA38" s="148" t="s">
        <v>951</v>
      </c>
      <c r="AB38" s="148">
        <v>1.700073502952</v>
      </c>
      <c r="AC38" s="148">
        <f>'Cálculo PU'!AB93</f>
        <v>1.1511790024018369</v>
      </c>
      <c r="AD38" s="154">
        <f t="shared" si="2"/>
        <v>0.54889450055016309</v>
      </c>
    </row>
    <row r="39" spans="2:30">
      <c r="B39" s="147">
        <v>1333</v>
      </c>
      <c r="C39" s="148" t="s">
        <v>828</v>
      </c>
      <c r="D39" s="148" t="s">
        <v>866</v>
      </c>
      <c r="E39" s="148" t="s">
        <v>822</v>
      </c>
      <c r="F39" s="148" t="s">
        <v>947</v>
      </c>
      <c r="G39" s="148" t="s">
        <v>948</v>
      </c>
      <c r="H39" s="148">
        <v>94.309117047950906</v>
      </c>
      <c r="I39" s="148">
        <f>'Cálculo PU'!AA94</f>
        <v>90.017927059223638</v>
      </c>
      <c r="J39" s="165">
        <f t="shared" si="1"/>
        <v>4.2911899887272682</v>
      </c>
      <c r="L39" s="147">
        <v>1359</v>
      </c>
      <c r="M39" s="148" t="s">
        <v>828</v>
      </c>
      <c r="N39" s="148" t="s">
        <v>866</v>
      </c>
      <c r="O39" s="148" t="s">
        <v>822</v>
      </c>
      <c r="P39" s="148" t="s">
        <v>947</v>
      </c>
      <c r="Q39" s="148" t="s">
        <v>949</v>
      </c>
      <c r="R39" s="148">
        <v>54.603333727346303</v>
      </c>
      <c r="S39" s="148">
        <f>'Cálculo PU'!AC94</f>
        <v>78.027266471414478</v>
      </c>
      <c r="T39" s="165">
        <f t="shared" si="3"/>
        <v>-23.423932744068175</v>
      </c>
      <c r="V39" s="147">
        <v>1358</v>
      </c>
      <c r="W39" s="148" t="s">
        <v>828</v>
      </c>
      <c r="X39" s="148" t="s">
        <v>866</v>
      </c>
      <c r="Y39" s="148" t="s">
        <v>822</v>
      </c>
      <c r="Z39" s="148" t="s">
        <v>947</v>
      </c>
      <c r="AA39" s="148" t="s">
        <v>951</v>
      </c>
      <c r="AB39" s="148">
        <v>1.7271677498460001</v>
      </c>
      <c r="AC39" s="148">
        <f>'Cálculo PU'!AB94</f>
        <v>1.1536726984047554</v>
      </c>
      <c r="AD39" s="154">
        <f t="shared" si="2"/>
        <v>0.57349505144124469</v>
      </c>
    </row>
    <row r="40" spans="2:30">
      <c r="B40" s="147">
        <v>1370</v>
      </c>
      <c r="C40" s="148" t="s">
        <v>828</v>
      </c>
      <c r="D40" s="148" t="s">
        <v>867</v>
      </c>
      <c r="E40" s="148" t="s">
        <v>822</v>
      </c>
      <c r="F40" s="148" t="s">
        <v>947</v>
      </c>
      <c r="G40" s="148" t="s">
        <v>948</v>
      </c>
      <c r="H40" s="148">
        <v>84.4279624657255</v>
      </c>
      <c r="I40" s="148">
        <f>'Cálculo PU'!AA95</f>
        <v>84.427962469720271</v>
      </c>
      <c r="J40" s="165">
        <f t="shared" si="1"/>
        <v>-3.9947707364262897E-9</v>
      </c>
      <c r="L40" s="147">
        <v>1396</v>
      </c>
      <c r="M40" s="148" t="s">
        <v>828</v>
      </c>
      <c r="N40" s="148" t="s">
        <v>867</v>
      </c>
      <c r="O40" s="148" t="s">
        <v>822</v>
      </c>
      <c r="P40" s="148" t="s">
        <v>947</v>
      </c>
      <c r="Q40" s="148" t="s">
        <v>949</v>
      </c>
      <c r="R40" s="148">
        <v>48.163067916288099</v>
      </c>
      <c r="S40" s="148">
        <f>'Cálculo PU'!AC95</f>
        <v>73.033593880294788</v>
      </c>
      <c r="T40" s="165">
        <f t="shared" si="3"/>
        <v>-24.870525964006688</v>
      </c>
      <c r="V40" s="147">
        <v>1395</v>
      </c>
      <c r="W40" s="148" t="s">
        <v>828</v>
      </c>
      <c r="X40" s="148" t="s">
        <v>867</v>
      </c>
      <c r="Y40" s="148" t="s">
        <v>822</v>
      </c>
      <c r="Z40" s="148" t="s">
        <v>947</v>
      </c>
      <c r="AA40" s="148" t="s">
        <v>951</v>
      </c>
      <c r="AB40" s="148">
        <v>1.752960642218</v>
      </c>
      <c r="AC40" s="148">
        <f>'Cálculo PU'!AB95</f>
        <v>1.156015444181774</v>
      </c>
      <c r="AD40" s="154">
        <f t="shared" si="2"/>
        <v>0.59694519803622592</v>
      </c>
    </row>
    <row r="41" spans="2:30">
      <c r="B41" s="147">
        <v>1407</v>
      </c>
      <c r="C41" s="148" t="s">
        <v>828</v>
      </c>
      <c r="D41" s="148" t="s">
        <v>868</v>
      </c>
      <c r="E41" s="148" t="s">
        <v>822</v>
      </c>
      <c r="F41" s="148" t="s">
        <v>947</v>
      </c>
      <c r="G41" s="148" t="s">
        <v>948</v>
      </c>
      <c r="H41" s="148">
        <v>78.974330295022497</v>
      </c>
      <c r="I41" s="148">
        <f>'Cálculo PU'!AA96</f>
        <v>83.134948225328827</v>
      </c>
      <c r="J41" s="165">
        <f t="shared" si="1"/>
        <v>-4.16061793030633</v>
      </c>
      <c r="L41" s="147">
        <v>1433</v>
      </c>
      <c r="M41" s="148" t="s">
        <v>828</v>
      </c>
      <c r="N41" s="148" t="s">
        <v>868</v>
      </c>
      <c r="O41" s="148" t="s">
        <v>822</v>
      </c>
      <c r="P41" s="148" t="s">
        <v>947</v>
      </c>
      <c r="Q41" s="148" t="s">
        <v>949</v>
      </c>
      <c r="R41" s="148">
        <v>44.432967351742199</v>
      </c>
      <c r="S41" s="148">
        <f>'Cálculo PU'!AC96</f>
        <v>71.779050331891924</v>
      </c>
      <c r="T41" s="165">
        <f t="shared" si="3"/>
        <v>-27.346082980149724</v>
      </c>
      <c r="V41" s="147">
        <v>1432</v>
      </c>
      <c r="W41" s="148" t="s">
        <v>828</v>
      </c>
      <c r="X41" s="148" t="s">
        <v>868</v>
      </c>
      <c r="Y41" s="148" t="s">
        <v>822</v>
      </c>
      <c r="Z41" s="148" t="s">
        <v>947</v>
      </c>
      <c r="AA41" s="148" t="s">
        <v>951</v>
      </c>
      <c r="AB41" s="148">
        <v>1.7773814129909999</v>
      </c>
      <c r="AC41" s="148">
        <f>'Cálculo PU'!AB96</f>
        <v>1.1582062989260726</v>
      </c>
      <c r="AD41" s="154">
        <f t="shared" si="2"/>
        <v>0.61917511406492731</v>
      </c>
    </row>
    <row r="42" spans="2:30">
      <c r="B42" s="147">
        <v>1444</v>
      </c>
      <c r="C42" s="148" t="s">
        <v>828</v>
      </c>
      <c r="D42" s="148" t="s">
        <v>869</v>
      </c>
      <c r="E42" s="148" t="s">
        <v>822</v>
      </c>
      <c r="F42" s="148" t="s">
        <v>947</v>
      </c>
      <c r="G42" s="148" t="s">
        <v>948</v>
      </c>
      <c r="H42" s="148">
        <v>94.148241955823494</v>
      </c>
      <c r="I42" s="148">
        <f>'Cálculo PU'!AA97</f>
        <v>94.148241943889673</v>
      </c>
      <c r="J42" s="165">
        <f t="shared" si="1"/>
        <v>1.1933821042475756E-8</v>
      </c>
      <c r="L42" s="147">
        <v>1470</v>
      </c>
      <c r="M42" s="148" t="s">
        <v>828</v>
      </c>
      <c r="N42" s="148" t="s">
        <v>869</v>
      </c>
      <c r="O42" s="148" t="s">
        <v>822</v>
      </c>
      <c r="P42" s="148" t="s">
        <v>947</v>
      </c>
      <c r="Q42" s="148" t="s">
        <v>949</v>
      </c>
      <c r="R42" s="148">
        <v>52.113491479971799</v>
      </c>
      <c r="S42" s="148">
        <f>'Cálculo PU'!AC97</f>
        <v>81.106781708194319</v>
      </c>
      <c r="T42" s="165">
        <f t="shared" si="3"/>
        <v>-28.99329022822252</v>
      </c>
      <c r="V42" s="147">
        <v>1469</v>
      </c>
      <c r="W42" s="148" t="s">
        <v>828</v>
      </c>
      <c r="X42" s="148" t="s">
        <v>869</v>
      </c>
      <c r="Y42" s="148" t="s">
        <v>822</v>
      </c>
      <c r="Z42" s="148" t="s">
        <v>947</v>
      </c>
      <c r="AA42" s="148" t="s">
        <v>951</v>
      </c>
      <c r="AB42" s="148">
        <v>1.8066001582719999</v>
      </c>
      <c r="AC42" s="148">
        <f>'Cálculo PU'!AB97</f>
        <v>1.1607937087507167</v>
      </c>
      <c r="AD42" s="154">
        <f t="shared" si="2"/>
        <v>0.64580644952128319</v>
      </c>
    </row>
    <row r="43" spans="2:30">
      <c r="B43" s="147">
        <v>1481</v>
      </c>
      <c r="C43" s="148" t="s">
        <v>828</v>
      </c>
      <c r="D43" s="148" t="s">
        <v>870</v>
      </c>
      <c r="E43" s="148" t="s">
        <v>822</v>
      </c>
      <c r="F43" s="148" t="s">
        <v>947</v>
      </c>
      <c r="G43" s="148" t="s">
        <v>948</v>
      </c>
      <c r="H43" s="148">
        <v>84.538913662465404</v>
      </c>
      <c r="I43" s="148">
        <f>'Cálculo PU'!AA98</f>
        <v>84.538913656013506</v>
      </c>
      <c r="J43" s="165">
        <f t="shared" si="1"/>
        <v>6.4518985709582921E-9</v>
      </c>
      <c r="L43" s="147">
        <v>1507</v>
      </c>
      <c r="M43" s="148" t="s">
        <v>828</v>
      </c>
      <c r="N43" s="148" t="s">
        <v>870</v>
      </c>
      <c r="O43" s="148" t="s">
        <v>822</v>
      </c>
      <c r="P43" s="148" t="s">
        <v>947</v>
      </c>
      <c r="Q43" s="148" t="s">
        <v>949</v>
      </c>
      <c r="R43" s="148">
        <v>46.128736783882403</v>
      </c>
      <c r="S43" s="148">
        <f>'Cálculo PU'!AC98</f>
        <v>72.685865049168555</v>
      </c>
      <c r="T43" s="165">
        <f t="shared" si="3"/>
        <v>-26.557128265286153</v>
      </c>
      <c r="V43" s="147">
        <v>1506</v>
      </c>
      <c r="W43" s="148" t="s">
        <v>828</v>
      </c>
      <c r="X43" s="148" t="s">
        <v>870</v>
      </c>
      <c r="Y43" s="148" t="s">
        <v>822</v>
      </c>
      <c r="Z43" s="148" t="s">
        <v>947</v>
      </c>
      <c r="AA43" s="148" t="s">
        <v>951</v>
      </c>
      <c r="AB43" s="148">
        <v>1.8326735036890001</v>
      </c>
      <c r="AC43" s="148">
        <f>'Cálculo PU'!AB98</f>
        <v>1.1630722644468348</v>
      </c>
      <c r="AD43" s="154">
        <f t="shared" si="2"/>
        <v>0.6696012392421653</v>
      </c>
    </row>
    <row r="44" spans="2:30">
      <c r="B44" s="147">
        <v>1518</v>
      </c>
      <c r="C44" s="148" t="s">
        <v>828</v>
      </c>
      <c r="D44" s="148" t="s">
        <v>871</v>
      </c>
      <c r="E44" s="148" t="s">
        <v>822</v>
      </c>
      <c r="F44" s="148" t="s">
        <v>947</v>
      </c>
      <c r="G44" s="148" t="s">
        <v>948</v>
      </c>
      <c r="H44" s="148">
        <v>75.200656274138694</v>
      </c>
      <c r="I44" s="148">
        <f>'Cálculo PU'!AA99</f>
        <v>75.200656255697851</v>
      </c>
      <c r="J44" s="165">
        <f t="shared" si="1"/>
        <v>1.8440843518874317E-8</v>
      </c>
      <c r="L44" s="147">
        <v>1544</v>
      </c>
      <c r="M44" s="148" t="s">
        <v>828</v>
      </c>
      <c r="N44" s="148" t="s">
        <v>871</v>
      </c>
      <c r="O44" s="148" t="s">
        <v>822</v>
      </c>
      <c r="P44" s="148" t="s">
        <v>947</v>
      </c>
      <c r="Q44" s="148" t="s">
        <v>949</v>
      </c>
      <c r="R44" s="148">
        <v>40.4495293421149</v>
      </c>
      <c r="S44" s="148">
        <f>'Cálculo PU'!AC99</f>
        <v>64.530239594062579</v>
      </c>
      <c r="T44" s="165">
        <f t="shared" si="3"/>
        <v>-24.080710251947679</v>
      </c>
      <c r="V44" s="147">
        <v>1543</v>
      </c>
      <c r="W44" s="148" t="s">
        <v>828</v>
      </c>
      <c r="X44" s="148" t="s">
        <v>871</v>
      </c>
      <c r="Y44" s="148" t="s">
        <v>822</v>
      </c>
      <c r="Z44" s="148" t="s">
        <v>947</v>
      </c>
      <c r="AA44" s="148" t="s">
        <v>951</v>
      </c>
      <c r="AB44" s="148">
        <v>1.859123146727</v>
      </c>
      <c r="AC44" s="148">
        <f>'Cálculo PU'!AB99</f>
        <v>1.165355292786129</v>
      </c>
      <c r="AD44" s="154">
        <f t="shared" si="2"/>
        <v>0.69376785394087093</v>
      </c>
    </row>
    <row r="45" spans="2:30">
      <c r="B45" s="147">
        <v>1555</v>
      </c>
      <c r="C45" s="148" t="s">
        <v>828</v>
      </c>
      <c r="D45" s="148" t="s">
        <v>872</v>
      </c>
      <c r="E45" s="148" t="s">
        <v>822</v>
      </c>
      <c r="F45" s="148" t="s">
        <v>947</v>
      </c>
      <c r="G45" s="148" t="s">
        <v>948</v>
      </c>
      <c r="H45" s="148">
        <v>85.602932464489996</v>
      </c>
      <c r="I45" s="148">
        <f>'Cálculo PU'!AA100</f>
        <v>85.602932453999884</v>
      </c>
      <c r="J45" s="165">
        <f t="shared" si="1"/>
        <v>1.0490111890248954E-8</v>
      </c>
      <c r="L45" s="147">
        <v>1581</v>
      </c>
      <c r="M45" s="148" t="s">
        <v>828</v>
      </c>
      <c r="N45" s="148" t="s">
        <v>872</v>
      </c>
      <c r="O45" s="148" t="s">
        <v>822</v>
      </c>
      <c r="P45" s="148" t="s">
        <v>947</v>
      </c>
      <c r="Q45" s="148" t="s">
        <v>949</v>
      </c>
      <c r="R45" s="148">
        <v>45.367290161315402</v>
      </c>
      <c r="S45" s="148">
        <f>'Cálculo PU'!AC100</f>
        <v>73.307645042431375</v>
      </c>
      <c r="T45" s="165">
        <f t="shared" si="3"/>
        <v>-27.940354881115972</v>
      </c>
      <c r="V45" s="147">
        <v>1580</v>
      </c>
      <c r="W45" s="148" t="s">
        <v>828</v>
      </c>
      <c r="X45" s="148" t="s">
        <v>872</v>
      </c>
      <c r="Y45" s="148" t="s">
        <v>822</v>
      </c>
      <c r="Z45" s="148" t="s">
        <v>947</v>
      </c>
      <c r="AA45" s="148" t="s">
        <v>951</v>
      </c>
      <c r="AB45" s="148">
        <v>1.8868866128020001</v>
      </c>
      <c r="AC45" s="148">
        <f>'Cálculo PU'!AB100</f>
        <v>1.1677217622316451</v>
      </c>
      <c r="AD45" s="154">
        <f t="shared" si="2"/>
        <v>0.71916485057035495</v>
      </c>
    </row>
    <row r="46" spans="2:30">
      <c r="B46" s="147">
        <v>1592</v>
      </c>
      <c r="C46" s="148" t="s">
        <v>828</v>
      </c>
      <c r="D46" s="148" t="s">
        <v>873</v>
      </c>
      <c r="E46" s="148" t="s">
        <v>822</v>
      </c>
      <c r="F46" s="148" t="s">
        <v>947</v>
      </c>
      <c r="G46" s="148" t="s">
        <v>948</v>
      </c>
      <c r="H46" s="148">
        <v>72.674584916312099</v>
      </c>
      <c r="I46" s="148">
        <f>'Cálculo PU'!AA101</f>
        <v>72.674584898490764</v>
      </c>
      <c r="J46" s="165">
        <f t="shared" si="1"/>
        <v>1.7821335518419801E-8</v>
      </c>
      <c r="L46" s="147">
        <v>1618</v>
      </c>
      <c r="M46" s="148" t="s">
        <v>828</v>
      </c>
      <c r="N46" s="148" t="s">
        <v>873</v>
      </c>
      <c r="O46" s="148" t="s">
        <v>822</v>
      </c>
      <c r="P46" s="148" t="s">
        <v>947</v>
      </c>
      <c r="Q46" s="148" t="s">
        <v>949</v>
      </c>
      <c r="R46" s="148">
        <v>37.930146782467197</v>
      </c>
      <c r="S46" s="148">
        <f>'Cálculo PU'!AC101</f>
        <v>62.105891099451085</v>
      </c>
      <c r="T46" s="165">
        <f t="shared" si="3"/>
        <v>-24.175744316983888</v>
      </c>
      <c r="V46" s="147">
        <v>1617</v>
      </c>
      <c r="W46" s="148" t="s">
        <v>828</v>
      </c>
      <c r="X46" s="148" t="s">
        <v>873</v>
      </c>
      <c r="Y46" s="148" t="s">
        <v>822</v>
      </c>
      <c r="Z46" s="148" t="s">
        <v>947</v>
      </c>
      <c r="AA46" s="148" t="s">
        <v>951</v>
      </c>
      <c r="AB46" s="148">
        <v>1.9160111700360001</v>
      </c>
      <c r="AC46" s="148">
        <f>'Cálculo PU'!AB101</f>
        <v>1.1701721626071813</v>
      </c>
      <c r="AD46" s="154">
        <f t="shared" si="2"/>
        <v>0.74583900742881881</v>
      </c>
    </row>
    <row r="47" spans="2:30">
      <c r="B47" s="147">
        <v>1629</v>
      </c>
      <c r="C47" s="148" t="s">
        <v>828</v>
      </c>
      <c r="D47" s="148" t="s">
        <v>874</v>
      </c>
      <c r="E47" s="148" t="s">
        <v>822</v>
      </c>
      <c r="F47" s="148" t="s">
        <v>947</v>
      </c>
      <c r="G47" s="148" t="s">
        <v>948</v>
      </c>
      <c r="H47" s="148">
        <v>82.710857509399204</v>
      </c>
      <c r="I47" s="148">
        <f>'Cálculo PU'!AA102</f>
        <v>82.710857499263525</v>
      </c>
      <c r="J47" s="165">
        <f t="shared" si="1"/>
        <v>1.0135678962797101E-8</v>
      </c>
      <c r="L47" s="147">
        <v>1655</v>
      </c>
      <c r="M47" s="148" t="s">
        <v>828</v>
      </c>
      <c r="N47" s="148" t="s">
        <v>874</v>
      </c>
      <c r="O47" s="148" t="s">
        <v>822</v>
      </c>
      <c r="P47" s="148" t="s">
        <v>947</v>
      </c>
      <c r="Q47" s="148" t="s">
        <v>949</v>
      </c>
      <c r="R47" s="148">
        <v>42.533080846356</v>
      </c>
      <c r="S47" s="148">
        <f>'Cálculo PU'!AC102</f>
        <v>70.539396531596566</v>
      </c>
      <c r="T47" s="165">
        <f t="shared" si="3"/>
        <v>-28.006315685240565</v>
      </c>
      <c r="V47" s="147">
        <v>1654</v>
      </c>
      <c r="W47" s="148" t="s">
        <v>828</v>
      </c>
      <c r="X47" s="148" t="s">
        <v>874</v>
      </c>
      <c r="Y47" s="148" t="s">
        <v>822</v>
      </c>
      <c r="Z47" s="148" t="s">
        <v>947</v>
      </c>
      <c r="AA47" s="148" t="s">
        <v>951</v>
      </c>
      <c r="AB47" s="148">
        <v>1.9446241810739999</v>
      </c>
      <c r="AC47" s="148">
        <f>'Cálculo PU'!AB102</f>
        <v>1.1725484135977122</v>
      </c>
      <c r="AD47" s="154">
        <f t="shared" si="2"/>
        <v>0.7720757674762877</v>
      </c>
    </row>
    <row r="48" spans="2:30">
      <c r="B48" s="147">
        <v>1666</v>
      </c>
      <c r="C48" s="148" t="s">
        <v>828</v>
      </c>
      <c r="D48" s="148" t="s">
        <v>875</v>
      </c>
      <c r="E48" s="148" t="s">
        <v>822</v>
      </c>
      <c r="F48" s="148" t="s">
        <v>947</v>
      </c>
      <c r="G48" s="148" t="s">
        <v>948</v>
      </c>
      <c r="H48" s="148">
        <v>77.602139969183796</v>
      </c>
      <c r="I48" s="148">
        <f>'Cálculo PU'!AA103</f>
        <v>77.60213996326128</v>
      </c>
      <c r="J48" s="165">
        <f t="shared" si="1"/>
        <v>5.9225158111075871E-9</v>
      </c>
      <c r="L48" s="147">
        <v>1692</v>
      </c>
      <c r="M48" s="148" t="s">
        <v>828</v>
      </c>
      <c r="N48" s="148" t="s">
        <v>875</v>
      </c>
      <c r="O48" s="148" t="s">
        <v>822</v>
      </c>
      <c r="P48" s="148" t="s">
        <v>947</v>
      </c>
      <c r="Q48" s="148" t="s">
        <v>949</v>
      </c>
      <c r="R48" s="148">
        <v>39.318810479927897</v>
      </c>
      <c r="S48" s="148">
        <f>'Cálculo PU'!AC103</f>
        <v>66.04833789890489</v>
      </c>
      <c r="T48" s="165">
        <f t="shared" si="3"/>
        <v>-26.729527418976993</v>
      </c>
      <c r="V48" s="147">
        <v>1691</v>
      </c>
      <c r="W48" s="148" t="s">
        <v>828</v>
      </c>
      <c r="X48" s="148" t="s">
        <v>875</v>
      </c>
      <c r="Y48" s="148" t="s">
        <v>822</v>
      </c>
      <c r="Z48" s="148" t="s">
        <v>947</v>
      </c>
      <c r="AA48" s="148" t="s">
        <v>951</v>
      </c>
      <c r="AB48" s="148">
        <v>1.9736644883700001</v>
      </c>
      <c r="AC48" s="148">
        <f>'Cálculo PU'!AB103</f>
        <v>1.1749294900053489</v>
      </c>
      <c r="AD48" s="154">
        <f t="shared" si="2"/>
        <v>0.79873499836465123</v>
      </c>
    </row>
    <row r="49" spans="2:30">
      <c r="B49" s="147">
        <v>1703</v>
      </c>
      <c r="C49" s="148" t="s">
        <v>828</v>
      </c>
      <c r="D49" s="148" t="s">
        <v>876</v>
      </c>
      <c r="E49" s="148" t="s">
        <v>822</v>
      </c>
      <c r="F49" s="148" t="s">
        <v>947</v>
      </c>
      <c r="G49" s="148" t="s">
        <v>948</v>
      </c>
      <c r="H49" s="148">
        <v>76.264356678390797</v>
      </c>
      <c r="I49" s="148">
        <f>'Cálculo PU'!AA104</f>
        <v>76.264356672570329</v>
      </c>
      <c r="J49" s="165">
        <f t="shared" si="1"/>
        <v>5.8204676633977215E-9</v>
      </c>
      <c r="L49" s="147">
        <v>1729</v>
      </c>
      <c r="M49" s="148" t="s">
        <v>828</v>
      </c>
      <c r="N49" s="148" t="s">
        <v>876</v>
      </c>
      <c r="O49" s="148" t="s">
        <v>822</v>
      </c>
      <c r="P49" s="148" t="s">
        <v>947</v>
      </c>
      <c r="Q49" s="148" t="s">
        <v>949</v>
      </c>
      <c r="R49" s="148">
        <v>38.053626457064098</v>
      </c>
      <c r="S49" s="148">
        <f>'Cálculo PU'!AC104</f>
        <v>64.773806305261729</v>
      </c>
      <c r="T49" s="165">
        <f t="shared" si="3"/>
        <v>-26.720179848197631</v>
      </c>
      <c r="V49" s="147">
        <v>1728</v>
      </c>
      <c r="W49" s="148" t="s">
        <v>828</v>
      </c>
      <c r="X49" s="148" t="s">
        <v>876</v>
      </c>
      <c r="Y49" s="148" t="s">
        <v>822</v>
      </c>
      <c r="Z49" s="148" t="s">
        <v>947</v>
      </c>
      <c r="AA49" s="148" t="s">
        <v>951</v>
      </c>
      <c r="AB49" s="148">
        <v>2.0041284833769999</v>
      </c>
      <c r="AC49" s="148">
        <f>'Cálculo PU'!AB104</f>
        <v>1.1773950154041695</v>
      </c>
      <c r="AD49" s="154">
        <f t="shared" si="2"/>
        <v>0.82673346797283043</v>
      </c>
    </row>
    <row r="50" spans="2:30">
      <c r="B50" s="147">
        <v>1740</v>
      </c>
      <c r="C50" s="148" t="s">
        <v>828</v>
      </c>
      <c r="D50" s="148" t="s">
        <v>877</v>
      </c>
      <c r="E50" s="148" t="s">
        <v>822</v>
      </c>
      <c r="F50" s="148" t="s">
        <v>947</v>
      </c>
      <c r="G50" s="148" t="s">
        <v>948</v>
      </c>
      <c r="H50" s="148">
        <v>82.087472684881703</v>
      </c>
      <c r="I50" s="148">
        <f>'Cálculo PU'!AA105</f>
        <v>82.087472674476643</v>
      </c>
      <c r="J50" s="165">
        <f t="shared" si="1"/>
        <v>1.040505992477847E-8</v>
      </c>
      <c r="L50" s="147">
        <v>1766</v>
      </c>
      <c r="M50" s="148" t="s">
        <v>828</v>
      </c>
      <c r="N50" s="148" t="s">
        <v>877</v>
      </c>
      <c r="O50" s="148" t="s">
        <v>822</v>
      </c>
      <c r="P50" s="148" t="s">
        <v>947</v>
      </c>
      <c r="Q50" s="148" t="s">
        <v>949</v>
      </c>
      <c r="R50" s="148">
        <v>40.316655974115598</v>
      </c>
      <c r="S50" s="148">
        <f>'Cálculo PU'!AC105</f>
        <v>69.568867899583267</v>
      </c>
      <c r="T50" s="165">
        <f t="shared" si="3"/>
        <v>-29.25221192546767</v>
      </c>
      <c r="V50" s="147">
        <v>1765</v>
      </c>
      <c r="W50" s="148" t="s">
        <v>828</v>
      </c>
      <c r="X50" s="148" t="s">
        <v>877</v>
      </c>
      <c r="Y50" s="148" t="s">
        <v>822</v>
      </c>
      <c r="Z50" s="148" t="s">
        <v>947</v>
      </c>
      <c r="AA50" s="148" t="s">
        <v>951</v>
      </c>
      <c r="AB50" s="148">
        <v>2.0360684858779998</v>
      </c>
      <c r="AC50" s="148">
        <f>'Cálculo PU'!AB105</f>
        <v>1.1799455008088231</v>
      </c>
      <c r="AD50" s="154">
        <f t="shared" si="2"/>
        <v>0.85612298506917672</v>
      </c>
    </row>
    <row r="51" spans="2:30">
      <c r="B51" s="147">
        <v>1777</v>
      </c>
      <c r="C51" s="148" t="s">
        <v>828</v>
      </c>
      <c r="D51" s="148" t="s">
        <v>878</v>
      </c>
      <c r="E51" s="148" t="s">
        <v>822</v>
      </c>
      <c r="F51" s="148" t="s">
        <v>947</v>
      </c>
      <c r="G51" s="148" t="s">
        <v>948</v>
      </c>
      <c r="H51" s="148">
        <v>77.161640282465299</v>
      </c>
      <c r="I51" s="148">
        <f>'Cálculo PU'!AA106</f>
        <v>73.650683243968842</v>
      </c>
      <c r="J51" s="165">
        <f t="shared" si="1"/>
        <v>3.510957038496457</v>
      </c>
      <c r="L51" s="147">
        <v>1803</v>
      </c>
      <c r="M51" s="148" t="s">
        <v>828</v>
      </c>
      <c r="N51" s="148" t="s">
        <v>878</v>
      </c>
      <c r="O51" s="148" t="s">
        <v>822</v>
      </c>
      <c r="P51" s="148" t="s">
        <v>947</v>
      </c>
      <c r="Q51" s="148" t="s">
        <v>949</v>
      </c>
      <c r="R51" s="148">
        <v>37.302870077342099</v>
      </c>
      <c r="S51" s="148">
        <f>'Cálculo PU'!AC106</f>
        <v>62.283796301751636</v>
      </c>
      <c r="T51" s="165">
        <f t="shared" si="3"/>
        <v>-24.980926224409536</v>
      </c>
      <c r="V51" s="147">
        <v>1802</v>
      </c>
      <c r="W51" s="148" t="s">
        <v>828</v>
      </c>
      <c r="X51" s="148" t="s">
        <v>878</v>
      </c>
      <c r="Y51" s="148" t="s">
        <v>822</v>
      </c>
      <c r="Z51" s="148" t="s">
        <v>947</v>
      </c>
      <c r="AA51" s="148" t="s">
        <v>951</v>
      </c>
      <c r="AB51" s="148">
        <v>2.0685175194959999</v>
      </c>
      <c r="AC51" s="148">
        <f>'Cálculo PU'!AB106</f>
        <v>1.1825015111016528</v>
      </c>
      <c r="AD51" s="154">
        <f t="shared" si="2"/>
        <v>0.88601600839434713</v>
      </c>
    </row>
    <row r="52" spans="2:30">
      <c r="B52" s="147">
        <v>1814</v>
      </c>
      <c r="C52" s="148" t="s">
        <v>828</v>
      </c>
      <c r="D52" s="148" t="s">
        <v>879</v>
      </c>
      <c r="E52" s="148" t="s">
        <v>822</v>
      </c>
      <c r="F52" s="148" t="s">
        <v>947</v>
      </c>
      <c r="G52" s="148" t="s">
        <v>948</v>
      </c>
      <c r="H52" s="148">
        <v>68.910444651258203</v>
      </c>
      <c r="I52" s="148">
        <f>'Cálculo PU'!AA107</f>
        <v>68.910444654518741</v>
      </c>
      <c r="J52" s="165">
        <f t="shared" si="1"/>
        <v>-3.2605385058559477E-9</v>
      </c>
      <c r="L52" s="147">
        <v>1840</v>
      </c>
      <c r="M52" s="148" t="s">
        <v>828</v>
      </c>
      <c r="N52" s="148" t="s">
        <v>879</v>
      </c>
      <c r="O52" s="148" t="s">
        <v>822</v>
      </c>
      <c r="P52" s="148" t="s">
        <v>947</v>
      </c>
      <c r="Q52" s="148" t="s">
        <v>949</v>
      </c>
      <c r="R52" s="148">
        <v>32.823750551758003</v>
      </c>
      <c r="S52" s="148">
        <f>'Cálculo PU'!AC107</f>
        <v>58.157044363483337</v>
      </c>
      <c r="T52" s="165">
        <f t="shared" si="3"/>
        <v>-25.333293811725333</v>
      </c>
      <c r="V52" s="147">
        <v>1839</v>
      </c>
      <c r="W52" s="148" t="s">
        <v>828</v>
      </c>
      <c r="X52" s="148" t="s">
        <v>879</v>
      </c>
      <c r="Y52" s="148" t="s">
        <v>822</v>
      </c>
      <c r="Z52" s="148" t="s">
        <v>947</v>
      </c>
      <c r="AA52" s="148" t="s">
        <v>951</v>
      </c>
      <c r="AB52" s="148">
        <v>2.0994080046580001</v>
      </c>
      <c r="AC52" s="148">
        <f>'Cálculo PU'!AB107</f>
        <v>1.1849027991145202</v>
      </c>
      <c r="AD52" s="154">
        <f t="shared" si="2"/>
        <v>0.91450520554347992</v>
      </c>
    </row>
    <row r="53" spans="2:30">
      <c r="B53" s="147">
        <v>1851</v>
      </c>
      <c r="C53" s="148" t="s">
        <v>828</v>
      </c>
      <c r="D53" s="148" t="s">
        <v>880</v>
      </c>
      <c r="E53" s="148" t="s">
        <v>822</v>
      </c>
      <c r="F53" s="148" t="s">
        <v>947</v>
      </c>
      <c r="G53" s="148" t="s">
        <v>948</v>
      </c>
      <c r="H53" s="148">
        <v>64.2998996520286</v>
      </c>
      <c r="I53" s="148">
        <f>'Cálculo PU'!AA108</f>
        <v>67.68742208380776</v>
      </c>
      <c r="J53" s="165">
        <f t="shared" si="1"/>
        <v>-3.3875224317791606</v>
      </c>
      <c r="L53" s="147">
        <v>1877</v>
      </c>
      <c r="M53" s="148" t="s">
        <v>828</v>
      </c>
      <c r="N53" s="148" t="s">
        <v>880</v>
      </c>
      <c r="O53" s="148" t="s">
        <v>822</v>
      </c>
      <c r="P53" s="148" t="s">
        <v>947</v>
      </c>
      <c r="Q53" s="148" t="s">
        <v>949</v>
      </c>
      <c r="R53" s="148">
        <v>30.206817904811199</v>
      </c>
      <c r="S53" s="148">
        <f>'Cálculo PU'!AC108</f>
        <v>57.016816139860509</v>
      </c>
      <c r="T53" s="165">
        <f t="shared" si="3"/>
        <v>-26.80999823504931</v>
      </c>
      <c r="V53" s="147">
        <v>1876</v>
      </c>
      <c r="W53" s="148" t="s">
        <v>828</v>
      </c>
      <c r="X53" s="148" t="s">
        <v>880</v>
      </c>
      <c r="Y53" s="148" t="s">
        <v>822</v>
      </c>
      <c r="Z53" s="148" t="s">
        <v>947</v>
      </c>
      <c r="AA53" s="148" t="s">
        <v>951</v>
      </c>
      <c r="AB53" s="148">
        <v>2.128655188198</v>
      </c>
      <c r="AC53" s="148">
        <f>'Cálculo PU'!AB108</f>
        <v>1.1871484005310395</v>
      </c>
      <c r="AD53" s="154">
        <f t="shared" si="2"/>
        <v>0.9415067876669605</v>
      </c>
    </row>
    <row r="54" spans="2:30">
      <c r="B54" s="147">
        <v>1888</v>
      </c>
      <c r="C54" s="148" t="s">
        <v>828</v>
      </c>
      <c r="D54" s="148" t="s">
        <v>881</v>
      </c>
      <c r="E54" s="148" t="s">
        <v>822</v>
      </c>
      <c r="F54" s="148" t="s">
        <v>947</v>
      </c>
      <c r="G54" s="148" t="s">
        <v>948</v>
      </c>
      <c r="H54" s="148">
        <v>73.132279540573407</v>
      </c>
      <c r="I54" s="148">
        <f>'Cálculo PU'!AA109</f>
        <v>73.132279531611459</v>
      </c>
      <c r="J54" s="165">
        <f t="shared" si="1"/>
        <v>8.9619476284497068E-9</v>
      </c>
      <c r="L54" s="147">
        <v>1914</v>
      </c>
      <c r="M54" s="148" t="s">
        <v>828</v>
      </c>
      <c r="N54" s="148" t="s">
        <v>881</v>
      </c>
      <c r="O54" s="148" t="s">
        <v>822</v>
      </c>
      <c r="P54" s="148" t="s">
        <v>947</v>
      </c>
      <c r="Q54" s="148" t="s">
        <v>949</v>
      </c>
      <c r="R54" s="148">
        <v>33.817147476338597</v>
      </c>
      <c r="S54" s="148">
        <f>'Cálculo PU'!AC109</f>
        <v>61.470159938519188</v>
      </c>
      <c r="T54" s="165">
        <f t="shared" si="3"/>
        <v>-27.653012462180591</v>
      </c>
      <c r="V54" s="147">
        <v>1913</v>
      </c>
      <c r="W54" s="148" t="s">
        <v>828</v>
      </c>
      <c r="X54" s="148" t="s">
        <v>881</v>
      </c>
      <c r="Y54" s="148" t="s">
        <v>822</v>
      </c>
      <c r="Z54" s="148" t="s">
        <v>947</v>
      </c>
      <c r="AA54" s="148" t="s">
        <v>951</v>
      </c>
      <c r="AB54" s="148">
        <v>2.1625797856469999</v>
      </c>
      <c r="AC54" s="148">
        <f>'Cálculo PU'!AB109</f>
        <v>1.1897200138206312</v>
      </c>
      <c r="AD54" s="154">
        <f t="shared" si="2"/>
        <v>0.97285977182636874</v>
      </c>
    </row>
    <row r="55" spans="2:30">
      <c r="B55" s="147">
        <v>1925</v>
      </c>
      <c r="C55" s="148" t="s">
        <v>828</v>
      </c>
      <c r="D55" s="148" t="s">
        <v>882</v>
      </c>
      <c r="E55" s="148" t="s">
        <v>822</v>
      </c>
      <c r="F55" s="148" t="s">
        <v>947</v>
      </c>
      <c r="G55" s="148" t="s">
        <v>948</v>
      </c>
      <c r="H55" s="148">
        <v>71.724410028678307</v>
      </c>
      <c r="I55" s="148">
        <f>'Cálculo PU'!AA110</f>
        <v>71.724410019888879</v>
      </c>
      <c r="J55" s="165">
        <f t="shared" si="1"/>
        <v>8.7894278522071545E-9</v>
      </c>
      <c r="L55" s="147">
        <v>1951</v>
      </c>
      <c r="M55" s="148" t="s">
        <v>828</v>
      </c>
      <c r="N55" s="148" t="s">
        <v>882</v>
      </c>
      <c r="O55" s="148" t="s">
        <v>822</v>
      </c>
      <c r="P55" s="148" t="s">
        <v>947</v>
      </c>
      <c r="Q55" s="148" t="s">
        <v>949</v>
      </c>
      <c r="R55" s="148">
        <v>32.678130307831701</v>
      </c>
      <c r="S55" s="148">
        <f>'Cálculo PU'!AC110</f>
        <v>60.16462249787066</v>
      </c>
      <c r="T55" s="165">
        <f t="shared" si="3"/>
        <v>-27.486492190038959</v>
      </c>
      <c r="V55" s="147">
        <v>1950</v>
      </c>
      <c r="W55" s="148" t="s">
        <v>828</v>
      </c>
      <c r="X55" s="148" t="s">
        <v>882</v>
      </c>
      <c r="Y55" s="148" t="s">
        <v>822</v>
      </c>
      <c r="Z55" s="148" t="s">
        <v>947</v>
      </c>
      <c r="AA55" s="148" t="s">
        <v>951</v>
      </c>
      <c r="AB55" s="148">
        <v>2.1948749623379999</v>
      </c>
      <c r="AC55" s="148">
        <f>'Cálculo PU'!AB110</f>
        <v>1.192135960338276</v>
      </c>
      <c r="AD55" s="154">
        <f t="shared" si="2"/>
        <v>1.002739001999724</v>
      </c>
    </row>
    <row r="56" spans="2:30">
      <c r="B56" s="147">
        <v>1962</v>
      </c>
      <c r="C56" s="148" t="s">
        <v>828</v>
      </c>
      <c r="D56" s="148" t="s">
        <v>883</v>
      </c>
      <c r="E56" s="148" t="s">
        <v>822</v>
      </c>
      <c r="F56" s="148" t="s">
        <v>947</v>
      </c>
      <c r="G56" s="148" t="s">
        <v>948</v>
      </c>
      <c r="H56" s="148">
        <v>57.534277017420003</v>
      </c>
      <c r="I56" s="148">
        <f>'Cálculo PU'!AA111</f>
        <v>57.534277025583179</v>
      </c>
      <c r="J56" s="165">
        <f t="shared" si="1"/>
        <v>-8.163176801190275E-9</v>
      </c>
      <c r="L56" s="147">
        <v>1988</v>
      </c>
      <c r="M56" s="148" t="s">
        <v>828</v>
      </c>
      <c r="N56" s="148" t="s">
        <v>883</v>
      </c>
      <c r="O56" s="148" t="s">
        <v>822</v>
      </c>
      <c r="P56" s="148" t="s">
        <v>947</v>
      </c>
      <c r="Q56" s="148" t="s">
        <v>949</v>
      </c>
      <c r="R56" s="148">
        <v>25.852848834829299</v>
      </c>
      <c r="S56" s="148">
        <f>'Cálculo PU'!AC111</f>
        <v>48.17021506734222</v>
      </c>
      <c r="T56" s="165">
        <f t="shared" si="3"/>
        <v>-22.317366232512921</v>
      </c>
      <c r="V56" s="147">
        <v>1987</v>
      </c>
      <c r="W56" s="148" t="s">
        <v>828</v>
      </c>
      <c r="X56" s="148" t="s">
        <v>883</v>
      </c>
      <c r="Y56" s="148" t="s">
        <v>822</v>
      </c>
      <c r="Z56" s="148" t="s">
        <v>947</v>
      </c>
      <c r="AA56" s="148" t="s">
        <v>951</v>
      </c>
      <c r="AB56" s="148">
        <v>2.2254521111000001</v>
      </c>
      <c r="AC56" s="148">
        <f>'Cálculo PU'!AB111</f>
        <v>1.1943952698809825</v>
      </c>
      <c r="AD56" s="154">
        <f t="shared" si="2"/>
        <v>1.0310568412190175</v>
      </c>
    </row>
    <row r="57" spans="2:30">
      <c r="B57" s="147">
        <v>1999</v>
      </c>
      <c r="C57" s="148" t="s">
        <v>828</v>
      </c>
      <c r="D57" s="148" t="s">
        <v>884</v>
      </c>
      <c r="E57" s="148" t="s">
        <v>822</v>
      </c>
      <c r="F57" s="148" t="s">
        <v>947</v>
      </c>
      <c r="G57" s="148" t="s">
        <v>948</v>
      </c>
      <c r="H57" s="148">
        <v>72.064607166801196</v>
      </c>
      <c r="I57" s="148">
        <f>'Cálculo PU'!AA112</f>
        <v>72.064607157666615</v>
      </c>
      <c r="J57" s="165">
        <f t="shared" si="1"/>
        <v>9.1345810915299808E-9</v>
      </c>
      <c r="L57" s="147">
        <v>2025</v>
      </c>
      <c r="M57" s="148" t="s">
        <v>828</v>
      </c>
      <c r="N57" s="148" t="s">
        <v>884</v>
      </c>
      <c r="O57" s="148" t="s">
        <v>822</v>
      </c>
      <c r="P57" s="148" t="s">
        <v>947</v>
      </c>
      <c r="Q57" s="148" t="s">
        <v>949</v>
      </c>
      <c r="R57" s="148">
        <v>31.842545087359401</v>
      </c>
      <c r="S57" s="148">
        <f>'Cálculo PU'!AC112</f>
        <v>60.197084563806307</v>
      </c>
      <c r="T57" s="165">
        <f t="shared" si="3"/>
        <v>-28.354539476446906</v>
      </c>
      <c r="V57" s="147">
        <v>2024</v>
      </c>
      <c r="W57" s="148" t="s">
        <v>828</v>
      </c>
      <c r="X57" s="148" t="s">
        <v>884</v>
      </c>
      <c r="Y57" s="148" t="s">
        <v>822</v>
      </c>
      <c r="Z57" s="148" t="s">
        <v>947</v>
      </c>
      <c r="AA57" s="148" t="s">
        <v>951</v>
      </c>
      <c r="AB57" s="148">
        <v>2.2631547500079998</v>
      </c>
      <c r="AC57" s="148">
        <f>'Cálculo PU'!AB112</f>
        <v>1.1971444743520967</v>
      </c>
      <c r="AD57" s="154">
        <f t="shared" si="2"/>
        <v>1.0660102756559031</v>
      </c>
    </row>
    <row r="58" spans="2:30">
      <c r="B58" s="147">
        <v>2036</v>
      </c>
      <c r="C58" s="148" t="s">
        <v>828</v>
      </c>
      <c r="D58" s="148" t="s">
        <v>885</v>
      </c>
      <c r="E58" s="148" t="s">
        <v>822</v>
      </c>
      <c r="F58" s="148" t="s">
        <v>947</v>
      </c>
      <c r="G58" s="148" t="s">
        <v>948</v>
      </c>
      <c r="H58" s="148">
        <v>55.2771202306904</v>
      </c>
      <c r="I58" s="148">
        <f>'Cálculo PU'!AA113</f>
        <v>55.2771202385333</v>
      </c>
      <c r="J58" s="165">
        <f t="shared" si="1"/>
        <v>-7.8428996630464098E-9</v>
      </c>
      <c r="L58" s="147">
        <v>2062</v>
      </c>
      <c r="M58" s="148" t="s">
        <v>828</v>
      </c>
      <c r="N58" s="148" t="s">
        <v>885</v>
      </c>
      <c r="O58" s="148" t="s">
        <v>822</v>
      </c>
      <c r="P58" s="148" t="s">
        <v>947</v>
      </c>
      <c r="Q58" s="148" t="s">
        <v>949</v>
      </c>
      <c r="R58" s="148">
        <v>24.089217314342999</v>
      </c>
      <c r="S58" s="148">
        <f>'Cálculo PU'!AC113</f>
        <v>46.086800395113769</v>
      </c>
      <c r="T58" s="165">
        <f t="shared" si="3"/>
        <v>-21.99758308077077</v>
      </c>
      <c r="V58" s="147">
        <v>2061</v>
      </c>
      <c r="W58" s="148" t="s">
        <v>828</v>
      </c>
      <c r="X58" s="148" t="s">
        <v>885</v>
      </c>
      <c r="Y58" s="148" t="s">
        <v>822</v>
      </c>
      <c r="Z58" s="148" t="s">
        <v>947</v>
      </c>
      <c r="AA58" s="148" t="s">
        <v>951</v>
      </c>
      <c r="AB58" s="148">
        <v>2.2946831152449998</v>
      </c>
      <c r="AC58" s="148">
        <f>'Cálculo PU'!AB113</f>
        <v>1.1994132759191047</v>
      </c>
      <c r="AD58" s="154">
        <f t="shared" si="2"/>
        <v>1.0952698393258951</v>
      </c>
    </row>
    <row r="59" spans="2:30">
      <c r="B59" s="147">
        <v>2073</v>
      </c>
      <c r="C59" s="148" t="s">
        <v>828</v>
      </c>
      <c r="D59" s="148" t="s">
        <v>886</v>
      </c>
      <c r="E59" s="148" t="s">
        <v>822</v>
      </c>
      <c r="F59" s="148" t="s">
        <v>947</v>
      </c>
      <c r="G59" s="148" t="s">
        <v>948</v>
      </c>
      <c r="H59" s="148">
        <v>66.199847013100793</v>
      </c>
      <c r="I59" s="148">
        <f>'Cálculo PU'!AA114</f>
        <v>66.199847004988413</v>
      </c>
      <c r="J59" s="165">
        <f t="shared" si="1"/>
        <v>8.1123801010107854E-9</v>
      </c>
      <c r="L59" s="147">
        <v>2099</v>
      </c>
      <c r="M59" s="148" t="s">
        <v>828</v>
      </c>
      <c r="N59" s="148" t="s">
        <v>886</v>
      </c>
      <c r="O59" s="148" t="s">
        <v>822</v>
      </c>
      <c r="P59" s="148" t="s">
        <v>947</v>
      </c>
      <c r="Q59" s="148" t="s">
        <v>949</v>
      </c>
      <c r="R59" s="148">
        <v>28.410706418668099</v>
      </c>
      <c r="S59" s="148">
        <f>'Cálculo PU'!AC114</f>
        <v>55.077947247078107</v>
      </c>
      <c r="T59" s="165">
        <f t="shared" si="3"/>
        <v>-26.667240828410009</v>
      </c>
      <c r="V59" s="147">
        <v>2098</v>
      </c>
      <c r="W59" s="148" t="s">
        <v>828</v>
      </c>
      <c r="X59" s="148" t="s">
        <v>886</v>
      </c>
      <c r="Y59" s="148" t="s">
        <v>822</v>
      </c>
      <c r="Z59" s="148" t="s">
        <v>947</v>
      </c>
      <c r="AA59" s="148" t="s">
        <v>951</v>
      </c>
      <c r="AB59" s="148">
        <v>2.3301021114210001</v>
      </c>
      <c r="AC59" s="148">
        <f>'Cálculo PU'!AB114</f>
        <v>1.2019301792061672</v>
      </c>
      <c r="AD59" s="154">
        <f t="shared" si="2"/>
        <v>1.1281719322148329</v>
      </c>
    </row>
    <row r="60" spans="2:30">
      <c r="B60" s="147">
        <v>2110</v>
      </c>
      <c r="C60" s="148" t="s">
        <v>828</v>
      </c>
      <c r="D60" s="148" t="s">
        <v>887</v>
      </c>
      <c r="E60" s="148" t="s">
        <v>822</v>
      </c>
      <c r="F60" s="148" t="s">
        <v>947</v>
      </c>
      <c r="G60" s="148" t="s">
        <v>948</v>
      </c>
      <c r="H60" s="148">
        <v>61.916519843805602</v>
      </c>
      <c r="I60" s="148">
        <f>'Cálculo PU'!AA115</f>
        <v>61.916519839080159</v>
      </c>
      <c r="J60" s="165">
        <f t="shared" si="1"/>
        <v>4.7254431478904735E-9</v>
      </c>
      <c r="L60" s="147">
        <v>2136</v>
      </c>
      <c r="M60" s="148" t="s">
        <v>828</v>
      </c>
      <c r="N60" s="148" t="s">
        <v>887</v>
      </c>
      <c r="O60" s="148" t="s">
        <v>822</v>
      </c>
      <c r="P60" s="148" t="s">
        <v>947</v>
      </c>
      <c r="Q60" s="148" t="s">
        <v>949</v>
      </c>
      <c r="R60" s="148">
        <v>26.168531443538601</v>
      </c>
      <c r="S60" s="148">
        <f>'Cálculo PU'!AC115</f>
        <v>51.406366649052437</v>
      </c>
      <c r="T60" s="165">
        <f t="shared" si="3"/>
        <v>-25.237835205513836</v>
      </c>
      <c r="V60" s="147">
        <v>2135</v>
      </c>
      <c r="W60" s="148" t="s">
        <v>828</v>
      </c>
      <c r="X60" s="148" t="s">
        <v>887</v>
      </c>
      <c r="Y60" s="148" t="s">
        <v>822</v>
      </c>
      <c r="Z60" s="148" t="s">
        <v>947</v>
      </c>
      <c r="AA60" s="148" t="s">
        <v>951</v>
      </c>
      <c r="AB60" s="148">
        <v>2.3660678084820002</v>
      </c>
      <c r="AC60" s="148">
        <f>'Cálculo PU'!AB115</f>
        <v>1.2044523640773872</v>
      </c>
      <c r="AD60" s="154">
        <f t="shared" si="2"/>
        <v>1.161615444404613</v>
      </c>
    </row>
    <row r="61" spans="2:30">
      <c r="B61" s="147">
        <v>2147</v>
      </c>
      <c r="C61" s="148" t="s">
        <v>828</v>
      </c>
      <c r="D61" s="148" t="s">
        <v>888</v>
      </c>
      <c r="E61" s="148" t="s">
        <v>822</v>
      </c>
      <c r="F61" s="148" t="s">
        <v>947</v>
      </c>
      <c r="G61" s="148" t="s">
        <v>948</v>
      </c>
      <c r="H61" s="148">
        <v>60.653608589946401</v>
      </c>
      <c r="I61" s="148">
        <f>'Cálculo PU'!AA116</f>
        <v>60.653608585317357</v>
      </c>
      <c r="J61" s="165">
        <f t="shared" si="1"/>
        <v>4.6290438149299007E-9</v>
      </c>
      <c r="L61" s="147">
        <v>2173</v>
      </c>
      <c r="M61" s="148" t="s">
        <v>828</v>
      </c>
      <c r="N61" s="148" t="s">
        <v>888</v>
      </c>
      <c r="O61" s="148" t="s">
        <v>822</v>
      </c>
      <c r="P61" s="148" t="s">
        <v>947</v>
      </c>
      <c r="Q61" s="148" t="s">
        <v>949</v>
      </c>
      <c r="R61" s="148">
        <v>25.2700674143776</v>
      </c>
      <c r="S61" s="148">
        <f>'Cálculo PU'!AC116</f>
        <v>50.259175793296272</v>
      </c>
      <c r="T61" s="165">
        <f t="shared" si="3"/>
        <v>-24.989108378918672</v>
      </c>
      <c r="V61" s="147">
        <v>2172</v>
      </c>
      <c r="W61" s="148" t="s">
        <v>828</v>
      </c>
      <c r="X61" s="148" t="s">
        <v>888</v>
      </c>
      <c r="Y61" s="148" t="s">
        <v>822</v>
      </c>
      <c r="Z61" s="148" t="s">
        <v>947</v>
      </c>
      <c r="AA61" s="148" t="s">
        <v>951</v>
      </c>
      <c r="AB61" s="148">
        <v>2.4002155433680001</v>
      </c>
      <c r="AC61" s="148">
        <f>'Cálculo PU'!AB116</f>
        <v>1.2068166186164861</v>
      </c>
      <c r="AD61" s="154">
        <f t="shared" si="2"/>
        <v>1.193398924751514</v>
      </c>
    </row>
    <row r="62" spans="2:30">
      <c r="B62" s="147">
        <v>2184</v>
      </c>
      <c r="C62" s="148" t="s">
        <v>828</v>
      </c>
      <c r="D62" s="148" t="s">
        <v>889</v>
      </c>
      <c r="E62" s="148" t="s">
        <v>822</v>
      </c>
      <c r="F62" s="148" t="s">
        <v>947</v>
      </c>
      <c r="G62" s="148" t="s">
        <v>948</v>
      </c>
      <c r="H62" s="148">
        <v>65.068989692515501</v>
      </c>
      <c r="I62" s="148">
        <f>'Cálculo PU'!AA117</f>
        <v>65.068989684267578</v>
      </c>
      <c r="J62" s="165">
        <f t="shared" si="1"/>
        <v>8.2479232332843821E-9</v>
      </c>
      <c r="L62" s="147">
        <v>2210</v>
      </c>
      <c r="M62" s="148" t="s">
        <v>828</v>
      </c>
      <c r="N62" s="148" t="s">
        <v>889</v>
      </c>
      <c r="O62" s="148" t="s">
        <v>822</v>
      </c>
      <c r="P62" s="148" t="s">
        <v>947</v>
      </c>
      <c r="Q62" s="148" t="s">
        <v>949</v>
      </c>
      <c r="R62" s="148">
        <v>26.6580158523712</v>
      </c>
      <c r="S62" s="148">
        <f>'Cálculo PU'!AC117</f>
        <v>53.794056034145804</v>
      </c>
      <c r="T62" s="165">
        <f t="shared" si="3"/>
        <v>-27.136040181774604</v>
      </c>
      <c r="V62" s="147">
        <v>2209</v>
      </c>
      <c r="W62" s="148" t="s">
        <v>828</v>
      </c>
      <c r="X62" s="148" t="s">
        <v>889</v>
      </c>
      <c r="Y62" s="148" t="s">
        <v>822</v>
      </c>
      <c r="Z62" s="148" t="s">
        <v>947</v>
      </c>
      <c r="AA62" s="148" t="s">
        <v>951</v>
      </c>
      <c r="AB62" s="148">
        <v>2.4408789481130002</v>
      </c>
      <c r="AC62" s="148">
        <f>'Cálculo PU'!AB117</f>
        <v>1.2095944139807009</v>
      </c>
      <c r="AD62" s="154">
        <f t="shared" si="2"/>
        <v>1.2312845341322993</v>
      </c>
    </row>
    <row r="63" spans="2:30">
      <c r="B63" s="147">
        <v>2221</v>
      </c>
      <c r="C63" s="148" t="s">
        <v>828</v>
      </c>
      <c r="D63" s="148" t="s">
        <v>890</v>
      </c>
      <c r="E63" s="148" t="s">
        <v>822</v>
      </c>
      <c r="F63" s="148" t="s">
        <v>947</v>
      </c>
      <c r="G63" s="148" t="s">
        <v>948</v>
      </c>
      <c r="H63" s="148">
        <v>58.183686147565098</v>
      </c>
      <c r="I63" s="148">
        <f>'Cálculo PU'!AA118</f>
        <v>55.410318713417084</v>
      </c>
      <c r="J63" s="165">
        <f t="shared" si="1"/>
        <v>2.7733674341480139</v>
      </c>
      <c r="L63" s="147">
        <v>2247</v>
      </c>
      <c r="M63" s="148" t="s">
        <v>828</v>
      </c>
      <c r="N63" s="148" t="s">
        <v>890</v>
      </c>
      <c r="O63" s="148" t="s">
        <v>822</v>
      </c>
      <c r="P63" s="148" t="s">
        <v>947</v>
      </c>
      <c r="Q63" s="148" t="s">
        <v>949</v>
      </c>
      <c r="R63" s="148">
        <v>23.4980559279287</v>
      </c>
      <c r="S63" s="148">
        <f>'Cálculo PU'!AC118</f>
        <v>45.719263112051308</v>
      </c>
      <c r="T63" s="165">
        <f t="shared" si="3"/>
        <v>-22.221207184122608</v>
      </c>
      <c r="V63" s="147">
        <v>2246</v>
      </c>
      <c r="W63" s="148" t="s">
        <v>828</v>
      </c>
      <c r="X63" s="148" t="s">
        <v>890</v>
      </c>
      <c r="Y63" s="148" t="s">
        <v>822</v>
      </c>
      <c r="Z63" s="148" t="s">
        <v>947</v>
      </c>
      <c r="AA63" s="148" t="s">
        <v>951</v>
      </c>
      <c r="AB63" s="148">
        <v>2.476106377737</v>
      </c>
      <c r="AC63" s="148">
        <f>'Cálculo PU'!AB118</f>
        <v>1.2119687619989499</v>
      </c>
      <c r="AD63" s="154">
        <f t="shared" si="2"/>
        <v>1.2641376157380502</v>
      </c>
    </row>
    <row r="64" spans="2:30">
      <c r="B64" s="147">
        <v>2258</v>
      </c>
      <c r="C64" s="148" t="s">
        <v>828</v>
      </c>
      <c r="D64" s="148" t="s">
        <v>891</v>
      </c>
      <c r="E64" s="148" t="s">
        <v>822</v>
      </c>
      <c r="F64" s="148" t="s">
        <v>947</v>
      </c>
      <c r="G64" s="148" t="s">
        <v>948</v>
      </c>
      <c r="H64" s="148">
        <v>56.958163167227902</v>
      </c>
      <c r="I64" s="148">
        <f>'Cálculo PU'!AA119</f>
        <v>56.95816316288095</v>
      </c>
      <c r="J64" s="165">
        <f t="shared" si="1"/>
        <v>4.3469512434057833E-9</v>
      </c>
      <c r="L64" s="147">
        <v>2284</v>
      </c>
      <c r="M64" s="148" t="s">
        <v>828</v>
      </c>
      <c r="N64" s="148" t="s">
        <v>891</v>
      </c>
      <c r="O64" s="148" t="s">
        <v>822</v>
      </c>
      <c r="P64" s="148" t="s">
        <v>947</v>
      </c>
      <c r="Q64" s="148" t="s">
        <v>949</v>
      </c>
      <c r="R64" s="148">
        <v>22.653454751198701</v>
      </c>
      <c r="S64" s="148">
        <f>'Cálculo PU'!AC119</f>
        <v>46.89798255314885</v>
      </c>
      <c r="T64" s="165">
        <f t="shared" si="3"/>
        <v>-24.244527801950149</v>
      </c>
      <c r="V64" s="147">
        <v>2283</v>
      </c>
      <c r="W64" s="148" t="s">
        <v>828</v>
      </c>
      <c r="X64" s="148" t="s">
        <v>891</v>
      </c>
      <c r="Y64" s="148" t="s">
        <v>822</v>
      </c>
      <c r="Z64" s="148" t="s">
        <v>947</v>
      </c>
      <c r="AA64" s="148" t="s">
        <v>951</v>
      </c>
      <c r="AB64" s="148">
        <v>2.514325686426</v>
      </c>
      <c r="AC64" s="148">
        <f>'Cálculo PU'!AB119</f>
        <v>1.2145120122881838</v>
      </c>
      <c r="AD64" s="154">
        <f t="shared" si="2"/>
        <v>1.2998136741378161</v>
      </c>
    </row>
    <row r="65" spans="2:30">
      <c r="B65" s="147">
        <v>2295</v>
      </c>
      <c r="C65" s="148" t="s">
        <v>828</v>
      </c>
      <c r="D65" s="148" t="s">
        <v>892</v>
      </c>
      <c r="E65" s="148" t="s">
        <v>822</v>
      </c>
      <c r="F65" s="148" t="s">
        <v>947</v>
      </c>
      <c r="G65" s="148" t="s">
        <v>948</v>
      </c>
      <c r="H65" s="148">
        <v>50.437408687012102</v>
      </c>
      <c r="I65" s="148">
        <f>'Cálculo PU'!AA120</f>
        <v>53.094611174927323</v>
      </c>
      <c r="J65" s="165">
        <f t="shared" si="1"/>
        <v>-2.657202487915221</v>
      </c>
      <c r="L65" s="147">
        <v>2321</v>
      </c>
      <c r="M65" s="148" t="s">
        <v>828</v>
      </c>
      <c r="N65" s="148" t="s">
        <v>892</v>
      </c>
      <c r="O65" s="148" t="s">
        <v>822</v>
      </c>
      <c r="P65" s="148" t="s">
        <v>947</v>
      </c>
      <c r="Q65" s="148" t="s">
        <v>949</v>
      </c>
      <c r="R65" s="148">
        <v>19.784394569694701</v>
      </c>
      <c r="S65" s="148">
        <f>'Cálculo PU'!AC120</f>
        <v>43.634132270665084</v>
      </c>
      <c r="T65" s="165">
        <f t="shared" si="3"/>
        <v>-23.849737700970383</v>
      </c>
      <c r="V65" s="147">
        <v>2320</v>
      </c>
      <c r="W65" s="148" t="s">
        <v>828</v>
      </c>
      <c r="X65" s="148" t="s">
        <v>892</v>
      </c>
      <c r="Y65" s="148" t="s">
        <v>822</v>
      </c>
      <c r="Z65" s="148" t="s">
        <v>947</v>
      </c>
      <c r="AA65" s="148" t="s">
        <v>951</v>
      </c>
      <c r="AB65" s="148">
        <v>2.5493531535340002</v>
      </c>
      <c r="AC65" s="148">
        <f>'Cálculo PU'!AB120</f>
        <v>1.2168137284265981</v>
      </c>
      <c r="AD65" s="154">
        <f t="shared" si="2"/>
        <v>1.3325394251074021</v>
      </c>
    </row>
    <row r="66" spans="2:30">
      <c r="B66" s="147">
        <v>2332</v>
      </c>
      <c r="C66" s="148" t="s">
        <v>828</v>
      </c>
      <c r="D66" s="148" t="s">
        <v>893</v>
      </c>
      <c r="E66" s="148" t="s">
        <v>822</v>
      </c>
      <c r="F66" s="148" t="s">
        <v>947</v>
      </c>
      <c r="G66" s="148" t="s">
        <v>948</v>
      </c>
      <c r="H66" s="148">
        <v>51.953023939288698</v>
      </c>
      <c r="I66" s="148">
        <f>'Cálculo PU'!AA121</f>
        <v>51.953023941746878</v>
      </c>
      <c r="J66" s="165">
        <f t="shared" si="1"/>
        <v>-2.4581794377809274E-9</v>
      </c>
      <c r="L66" s="147">
        <v>2358</v>
      </c>
      <c r="M66" s="148" t="s">
        <v>828</v>
      </c>
      <c r="N66" s="148" t="s">
        <v>893</v>
      </c>
      <c r="O66" s="148" t="s">
        <v>822</v>
      </c>
      <c r="P66" s="148" t="s">
        <v>947</v>
      </c>
      <c r="Q66" s="148" t="s">
        <v>949</v>
      </c>
      <c r="R66" s="148">
        <v>20.059218463515901</v>
      </c>
      <c r="S66" s="148">
        <f>'Cálculo PU'!AC121</f>
        <v>42.603666286316354</v>
      </c>
      <c r="T66" s="165">
        <f t="shared" si="3"/>
        <v>-22.544447822800453</v>
      </c>
      <c r="V66" s="147">
        <v>2357</v>
      </c>
      <c r="W66" s="148" t="s">
        <v>828</v>
      </c>
      <c r="X66" s="148" t="s">
        <v>893</v>
      </c>
      <c r="Y66" s="148" t="s">
        <v>822</v>
      </c>
      <c r="Z66" s="148" t="s">
        <v>947</v>
      </c>
      <c r="AA66" s="148" t="s">
        <v>951</v>
      </c>
      <c r="AB66" s="148">
        <v>2.5899824578800001</v>
      </c>
      <c r="AC66" s="148">
        <f>'Cálculo PU'!AB121</f>
        <v>1.219449603059946</v>
      </c>
      <c r="AD66" s="154">
        <f t="shared" si="2"/>
        <v>1.3705328548200542</v>
      </c>
    </row>
    <row r="67" spans="2:30">
      <c r="B67" s="147">
        <v>2369</v>
      </c>
      <c r="C67" s="148" t="s">
        <v>828</v>
      </c>
      <c r="D67" s="148" t="s">
        <v>894</v>
      </c>
      <c r="E67" s="148" t="s">
        <v>822</v>
      </c>
      <c r="F67" s="148" t="s">
        <v>947</v>
      </c>
      <c r="G67" s="148" t="s">
        <v>948</v>
      </c>
      <c r="H67" s="148">
        <v>60.878392444768302</v>
      </c>
      <c r="I67" s="148">
        <f>'Cálculo PU'!AA122</f>
        <v>55.799723123139728</v>
      </c>
      <c r="J67" s="165">
        <f t="shared" si="1"/>
        <v>5.0786693216285741</v>
      </c>
      <c r="L67" s="147">
        <v>2395</v>
      </c>
      <c r="M67" s="148" t="s">
        <v>828</v>
      </c>
      <c r="N67" s="148" t="s">
        <v>894</v>
      </c>
      <c r="O67" s="148" t="s">
        <v>822</v>
      </c>
      <c r="P67" s="148" t="s">
        <v>947</v>
      </c>
      <c r="Q67" s="148" t="s">
        <v>949</v>
      </c>
      <c r="R67" s="148">
        <v>23.1137470106815</v>
      </c>
      <c r="S67" s="148">
        <f>'Cálculo PU'!AC122</f>
        <v>45.64686565995504</v>
      </c>
      <c r="T67" s="165">
        <f t="shared" ref="T67:T98" si="4">R67-S67</f>
        <v>-22.53311864927354</v>
      </c>
      <c r="V67" s="147">
        <v>2394</v>
      </c>
      <c r="W67" s="148" t="s">
        <v>828</v>
      </c>
      <c r="X67" s="148" t="s">
        <v>894</v>
      </c>
      <c r="Y67" s="148" t="s">
        <v>822</v>
      </c>
      <c r="Z67" s="148" t="s">
        <v>947</v>
      </c>
      <c r="AA67" s="148" t="s">
        <v>951</v>
      </c>
      <c r="AB67" s="148">
        <v>2.6338608109120001</v>
      </c>
      <c r="AC67" s="148">
        <f>'Cálculo PU'!AB122</f>
        <v>1.2224217877042882</v>
      </c>
      <c r="AD67" s="154">
        <f t="shared" si="2"/>
        <v>1.4114390232077119</v>
      </c>
    </row>
    <row r="68" spans="2:30">
      <c r="B68" s="147">
        <v>2406</v>
      </c>
      <c r="C68" s="148" t="s">
        <v>828</v>
      </c>
      <c r="D68" s="148" t="s">
        <v>895</v>
      </c>
      <c r="E68" s="148" t="s">
        <v>822</v>
      </c>
      <c r="F68" s="148" t="s">
        <v>947</v>
      </c>
      <c r="G68" s="148" t="s">
        <v>948</v>
      </c>
      <c r="H68" s="148">
        <v>42.0820506428173</v>
      </c>
      <c r="I68" s="148">
        <f>'Cálculo PU'!AA123</f>
        <v>47.037490308621749</v>
      </c>
      <c r="J68" s="165">
        <f t="shared" ref="J68:J113" si="5">H68-I68</f>
        <v>-4.9554396658044482</v>
      </c>
      <c r="L68" s="147">
        <v>2432</v>
      </c>
      <c r="M68" s="148" t="s">
        <v>828</v>
      </c>
      <c r="N68" s="148" t="s">
        <v>895</v>
      </c>
      <c r="O68" s="148" t="s">
        <v>822</v>
      </c>
      <c r="P68" s="148" t="s">
        <v>947</v>
      </c>
      <c r="Q68" s="148" t="s">
        <v>949</v>
      </c>
      <c r="R68" s="148">
        <v>15.7811762360347</v>
      </c>
      <c r="S68" s="148">
        <f>'Cálculo PU'!AC123</f>
        <v>38.419137469683115</v>
      </c>
      <c r="T68" s="165">
        <f t="shared" si="4"/>
        <v>-22.637961233648415</v>
      </c>
      <c r="V68" s="147">
        <v>2431</v>
      </c>
      <c r="W68" s="148" t="s">
        <v>828</v>
      </c>
      <c r="X68" s="148" t="s">
        <v>895</v>
      </c>
      <c r="Y68" s="148" t="s">
        <v>822</v>
      </c>
      <c r="Z68" s="148" t="s">
        <v>947</v>
      </c>
      <c r="AA68" s="148" t="s">
        <v>951</v>
      </c>
      <c r="AB68" s="148">
        <v>2.6665978513519999</v>
      </c>
      <c r="AC68" s="148">
        <f>'Cálculo PU'!AB123</f>
        <v>1.2243244748984656</v>
      </c>
      <c r="AD68" s="154">
        <f t="shared" ref="AD68:AD113" si="6">AB68-AC68</f>
        <v>1.4422733764535343</v>
      </c>
    </row>
    <row r="69" spans="2:30">
      <c r="B69" s="147">
        <v>2443</v>
      </c>
      <c r="C69" s="148" t="s">
        <v>828</v>
      </c>
      <c r="D69" s="148" t="s">
        <v>896</v>
      </c>
      <c r="E69" s="148" t="s">
        <v>822</v>
      </c>
      <c r="F69" s="148" t="s">
        <v>947</v>
      </c>
      <c r="G69" s="148" t="s">
        <v>948</v>
      </c>
      <c r="H69" s="148">
        <v>48.306354495397201</v>
      </c>
      <c r="I69" s="148">
        <f>'Cálculo PU'!AA124</f>
        <v>48.306354497682882</v>
      </c>
      <c r="J69" s="165">
        <f t="shared" si="5"/>
        <v>-2.2856809778204479E-9</v>
      </c>
      <c r="L69" s="147">
        <v>2469</v>
      </c>
      <c r="M69" s="148" t="s">
        <v>828</v>
      </c>
      <c r="N69" s="148" t="s">
        <v>896</v>
      </c>
      <c r="O69" s="148" t="s">
        <v>822</v>
      </c>
      <c r="P69" s="148" t="s">
        <v>947</v>
      </c>
      <c r="Q69" s="148" t="s">
        <v>949</v>
      </c>
      <c r="R69" s="148">
        <v>17.839985862531101</v>
      </c>
      <c r="S69" s="148">
        <f>'Cálculo PU'!AC124</f>
        <v>39.372894611101252</v>
      </c>
      <c r="T69" s="165">
        <f t="shared" si="4"/>
        <v>-21.532908748570151</v>
      </c>
      <c r="V69" s="147">
        <v>2468</v>
      </c>
      <c r="W69" s="148" t="s">
        <v>828</v>
      </c>
      <c r="X69" s="148" t="s">
        <v>896</v>
      </c>
      <c r="Y69" s="148" t="s">
        <v>822</v>
      </c>
      <c r="Z69" s="148" t="s">
        <v>947</v>
      </c>
      <c r="AA69" s="148" t="s">
        <v>951</v>
      </c>
      <c r="AB69" s="148">
        <v>2.7077574426140001</v>
      </c>
      <c r="AC69" s="148">
        <f>'Cálculo PU'!AB124</f>
        <v>1.2268936529767569</v>
      </c>
      <c r="AD69" s="154">
        <f t="shared" si="6"/>
        <v>1.4808637896372432</v>
      </c>
    </row>
    <row r="70" spans="2:30">
      <c r="B70" s="147">
        <v>2480</v>
      </c>
      <c r="C70" s="148" t="s">
        <v>828</v>
      </c>
      <c r="D70" s="148" t="s">
        <v>897</v>
      </c>
      <c r="E70" s="148" t="s">
        <v>822</v>
      </c>
      <c r="F70" s="148" t="s">
        <v>947</v>
      </c>
      <c r="G70" s="148" t="s">
        <v>948</v>
      </c>
      <c r="H70" s="148">
        <v>51.831233806795403</v>
      </c>
      <c r="I70" s="148">
        <f>'Cálculo PU'!AA125</f>
        <v>51.831233800443826</v>
      </c>
      <c r="J70" s="165">
        <f t="shared" si="5"/>
        <v>6.3515770420963236E-9</v>
      </c>
      <c r="L70" s="147">
        <v>2506</v>
      </c>
      <c r="M70" s="148" t="s">
        <v>828</v>
      </c>
      <c r="N70" s="148" t="s">
        <v>897</v>
      </c>
      <c r="O70" s="148" t="s">
        <v>822</v>
      </c>
      <c r="P70" s="148" t="s">
        <v>947</v>
      </c>
      <c r="Q70" s="148" t="s">
        <v>949</v>
      </c>
      <c r="R70" s="148">
        <v>18.8507900032645</v>
      </c>
      <c r="S70" s="148">
        <f>'Cálculo PU'!AC125</f>
        <v>42.157440801524849</v>
      </c>
      <c r="T70" s="165">
        <f t="shared" si="4"/>
        <v>-23.30665079826035</v>
      </c>
      <c r="V70" s="147">
        <v>2505</v>
      </c>
      <c r="W70" s="148" t="s">
        <v>828</v>
      </c>
      <c r="X70" s="148" t="s">
        <v>897</v>
      </c>
      <c r="Y70" s="148" t="s">
        <v>822</v>
      </c>
      <c r="Z70" s="148" t="s">
        <v>947</v>
      </c>
      <c r="AA70" s="148" t="s">
        <v>951</v>
      </c>
      <c r="AB70" s="148">
        <v>2.7495523422530002</v>
      </c>
      <c r="AC70" s="148">
        <f>'Cálculo PU'!AB125</f>
        <v>1.2294682223350017</v>
      </c>
      <c r="AD70" s="154">
        <f t="shared" si="6"/>
        <v>1.5200841199179984</v>
      </c>
    </row>
    <row r="71" spans="2:30">
      <c r="B71" s="147">
        <v>2517</v>
      </c>
      <c r="C71" s="148" t="s">
        <v>828</v>
      </c>
      <c r="D71" s="148" t="s">
        <v>898</v>
      </c>
      <c r="E71" s="148" t="s">
        <v>822</v>
      </c>
      <c r="F71" s="148" t="s">
        <v>947</v>
      </c>
      <c r="G71" s="148" t="s">
        <v>948</v>
      </c>
      <c r="H71" s="148">
        <v>48.2459668292489</v>
      </c>
      <c r="I71" s="148">
        <f>'Cálculo PU'!AA126</f>
        <v>48.245966825566818</v>
      </c>
      <c r="J71" s="165">
        <f t="shared" si="5"/>
        <v>3.6820821947003424E-9</v>
      </c>
      <c r="L71" s="147">
        <v>2543</v>
      </c>
      <c r="M71" s="148" t="s">
        <v>828</v>
      </c>
      <c r="N71" s="148" t="s">
        <v>898</v>
      </c>
      <c r="O71" s="148" t="s">
        <v>822</v>
      </c>
      <c r="P71" s="148" t="s">
        <v>947</v>
      </c>
      <c r="Q71" s="148" t="s">
        <v>949</v>
      </c>
      <c r="R71" s="148">
        <v>17.2715852575738</v>
      </c>
      <c r="S71" s="148">
        <f>'Cálculo PU'!AC126</f>
        <v>39.156507615268737</v>
      </c>
      <c r="T71" s="165">
        <f t="shared" si="4"/>
        <v>-21.884922357694936</v>
      </c>
      <c r="V71" s="147">
        <v>2542</v>
      </c>
      <c r="W71" s="148" t="s">
        <v>828</v>
      </c>
      <c r="X71" s="148" t="s">
        <v>898</v>
      </c>
      <c r="Y71" s="148" t="s">
        <v>822</v>
      </c>
      <c r="Z71" s="148" t="s">
        <v>947</v>
      </c>
      <c r="AA71" s="148" t="s">
        <v>951</v>
      </c>
      <c r="AB71" s="148">
        <v>2.7933722417340001</v>
      </c>
      <c r="AC71" s="148">
        <f>'Cálculo PU'!AB126</f>
        <v>1.2321315092654925</v>
      </c>
      <c r="AD71" s="154">
        <f t="shared" si="6"/>
        <v>1.5612407324685076</v>
      </c>
    </row>
    <row r="72" spans="2:30">
      <c r="B72" s="147">
        <v>2554</v>
      </c>
      <c r="C72" s="148" t="s">
        <v>828</v>
      </c>
      <c r="D72" s="148" t="s">
        <v>899</v>
      </c>
      <c r="E72" s="148" t="s">
        <v>822</v>
      </c>
      <c r="F72" s="148" t="s">
        <v>947</v>
      </c>
      <c r="G72" s="148" t="s">
        <v>948</v>
      </c>
      <c r="H72" s="148">
        <v>44.786282031889499</v>
      </c>
      <c r="I72" s="148">
        <f>'Cálculo PU'!AA127</f>
        <v>44.7862820340086</v>
      </c>
      <c r="J72" s="165">
        <f t="shared" si="5"/>
        <v>-2.11910133884885E-9</v>
      </c>
      <c r="L72" s="147">
        <v>2580</v>
      </c>
      <c r="M72" s="148" t="s">
        <v>828</v>
      </c>
      <c r="N72" s="148" t="s">
        <v>899</v>
      </c>
      <c r="O72" s="148" t="s">
        <v>822</v>
      </c>
      <c r="P72" s="148" t="s">
        <v>947</v>
      </c>
      <c r="Q72" s="148" t="s">
        <v>949</v>
      </c>
      <c r="R72" s="148">
        <v>15.8127617908922</v>
      </c>
      <c r="S72" s="148">
        <f>'Cálculo PU'!AC127</f>
        <v>36.279864841824448</v>
      </c>
      <c r="T72" s="165">
        <f t="shared" si="4"/>
        <v>-20.467103050932248</v>
      </c>
      <c r="V72" s="147">
        <v>2579</v>
      </c>
      <c r="W72" s="148" t="s">
        <v>828</v>
      </c>
      <c r="X72" s="148" t="s">
        <v>899</v>
      </c>
      <c r="Y72" s="148" t="s">
        <v>822</v>
      </c>
      <c r="Z72" s="148" t="s">
        <v>947</v>
      </c>
      <c r="AA72" s="148" t="s">
        <v>951</v>
      </c>
      <c r="AB72" s="148">
        <v>2.83228715035</v>
      </c>
      <c r="AC72" s="148">
        <f>'Cálculo PU'!AB127</f>
        <v>1.2344666174824808</v>
      </c>
      <c r="AD72" s="154">
        <f t="shared" si="6"/>
        <v>1.5978205328675192</v>
      </c>
    </row>
    <row r="73" spans="2:30">
      <c r="B73" s="147">
        <v>2591</v>
      </c>
      <c r="C73" s="148" t="s">
        <v>828</v>
      </c>
      <c r="D73" s="148" t="s">
        <v>900</v>
      </c>
      <c r="E73" s="148" t="s">
        <v>822</v>
      </c>
      <c r="F73" s="148" t="s">
        <v>947</v>
      </c>
      <c r="G73" s="148" t="s">
        <v>948</v>
      </c>
      <c r="H73" s="148">
        <v>50.186450603222298</v>
      </c>
      <c r="I73" s="148">
        <f>'Cálculo PU'!AA128</f>
        <v>50.186450596860887</v>
      </c>
      <c r="J73" s="165">
        <f t="shared" si="5"/>
        <v>6.3614109535592434E-9</v>
      </c>
      <c r="L73" s="147">
        <v>2617</v>
      </c>
      <c r="M73" s="148" t="s">
        <v>828</v>
      </c>
      <c r="N73" s="148" t="s">
        <v>900</v>
      </c>
      <c r="O73" s="148" t="s">
        <v>822</v>
      </c>
      <c r="P73" s="148" t="s">
        <v>947</v>
      </c>
      <c r="Q73" s="148" t="s">
        <v>949</v>
      </c>
      <c r="R73" s="148">
        <v>17.450061673611099</v>
      </c>
      <c r="S73" s="148">
        <f>'Cálculo PU'!AC128</f>
        <v>40.569227950336909</v>
      </c>
      <c r="T73" s="165">
        <f t="shared" si="4"/>
        <v>-23.11916627672581</v>
      </c>
      <c r="V73" s="147">
        <v>2616</v>
      </c>
      <c r="W73" s="148" t="s">
        <v>828</v>
      </c>
      <c r="X73" s="148" t="s">
        <v>900</v>
      </c>
      <c r="Y73" s="148" t="s">
        <v>822</v>
      </c>
      <c r="Z73" s="148" t="s">
        <v>947</v>
      </c>
      <c r="AA73" s="148" t="s">
        <v>951</v>
      </c>
      <c r="AB73" s="148">
        <v>2.876004196542</v>
      </c>
      <c r="AC73" s="148">
        <f>'Cálculo PU'!AB128</f>
        <v>1.2370570782933548</v>
      </c>
      <c r="AD73" s="154">
        <f t="shared" si="6"/>
        <v>1.6389471182486453</v>
      </c>
    </row>
    <row r="74" spans="2:30">
      <c r="B74" s="147">
        <v>2628</v>
      </c>
      <c r="C74" s="148" t="s">
        <v>828</v>
      </c>
      <c r="D74" s="148" t="s">
        <v>901</v>
      </c>
      <c r="E74" s="148" t="s">
        <v>822</v>
      </c>
      <c r="F74" s="148" t="s">
        <v>947</v>
      </c>
      <c r="G74" s="148" t="s">
        <v>948</v>
      </c>
      <c r="H74" s="148">
        <v>46.764200716645902</v>
      </c>
      <c r="I74" s="148">
        <f>'Cálculo PU'!AA129</f>
        <v>46.76420071091529</v>
      </c>
      <c r="J74" s="165">
        <f t="shared" si="5"/>
        <v>5.7306124290334992E-9</v>
      </c>
      <c r="L74" s="147">
        <v>2654</v>
      </c>
      <c r="M74" s="148" t="s">
        <v>828</v>
      </c>
      <c r="N74" s="148" t="s">
        <v>901</v>
      </c>
      <c r="O74" s="148" t="s">
        <v>822</v>
      </c>
      <c r="P74" s="148" t="s">
        <v>947</v>
      </c>
      <c r="Q74" s="148" t="s">
        <v>949</v>
      </c>
      <c r="R74" s="148">
        <v>16.0050552950837</v>
      </c>
      <c r="S74" s="148">
        <f>'Cálculo PU'!AC129</f>
        <v>37.721071560797604</v>
      </c>
      <c r="T74" s="165">
        <f t="shared" si="4"/>
        <v>-21.716016265713904</v>
      </c>
      <c r="V74" s="147">
        <v>2653</v>
      </c>
      <c r="W74" s="148" t="s">
        <v>828</v>
      </c>
      <c r="X74" s="148" t="s">
        <v>901</v>
      </c>
      <c r="Y74" s="148" t="s">
        <v>822</v>
      </c>
      <c r="Z74" s="148" t="s">
        <v>947</v>
      </c>
      <c r="AA74" s="148" t="s">
        <v>951</v>
      </c>
      <c r="AB74" s="148">
        <v>2.9218393722770002</v>
      </c>
      <c r="AC74" s="148">
        <f>'Cálculo PU'!AB129</f>
        <v>1.2397368042830454</v>
      </c>
      <c r="AD74" s="154">
        <f t="shared" si="6"/>
        <v>1.6821025679939547</v>
      </c>
    </row>
    <row r="75" spans="2:30">
      <c r="B75" s="147">
        <v>2665</v>
      </c>
      <c r="C75" s="148" t="s">
        <v>828</v>
      </c>
      <c r="D75" s="148" t="s">
        <v>902</v>
      </c>
      <c r="E75" s="148" t="s">
        <v>822</v>
      </c>
      <c r="F75" s="148" t="s">
        <v>947</v>
      </c>
      <c r="G75" s="148" t="s">
        <v>948</v>
      </c>
      <c r="H75" s="148">
        <v>43.464082604303101</v>
      </c>
      <c r="I75" s="148">
        <f>'Cálculo PU'!AA130</f>
        <v>43.464082600985982</v>
      </c>
      <c r="J75" s="165">
        <f t="shared" si="5"/>
        <v>3.3171190239045245E-9</v>
      </c>
      <c r="L75" s="147">
        <v>2691</v>
      </c>
      <c r="M75" s="148" t="s">
        <v>828</v>
      </c>
      <c r="N75" s="148" t="s">
        <v>902</v>
      </c>
      <c r="O75" s="148" t="s">
        <v>822</v>
      </c>
      <c r="P75" s="148" t="s">
        <v>947</v>
      </c>
      <c r="Q75" s="148" t="s">
        <v>949</v>
      </c>
      <c r="R75" s="148">
        <v>14.663955141260001</v>
      </c>
      <c r="S75" s="148">
        <f>'Cálculo PU'!AC130</f>
        <v>34.990437231151333</v>
      </c>
      <c r="T75" s="165">
        <f t="shared" si="4"/>
        <v>-20.326482089891332</v>
      </c>
      <c r="V75" s="147">
        <v>2690</v>
      </c>
      <c r="W75" s="148" t="s">
        <v>828</v>
      </c>
      <c r="X75" s="148" t="s">
        <v>902</v>
      </c>
      <c r="Y75" s="148" t="s">
        <v>822</v>
      </c>
      <c r="Z75" s="148" t="s">
        <v>947</v>
      </c>
      <c r="AA75" s="148" t="s">
        <v>951</v>
      </c>
      <c r="AB75" s="148">
        <v>2.9640081537079999</v>
      </c>
      <c r="AC75" s="148">
        <f>'Cálculo PU'!AB130</f>
        <v>1.2421703196749632</v>
      </c>
      <c r="AD75" s="154">
        <f t="shared" si="6"/>
        <v>1.7218378340330367</v>
      </c>
    </row>
    <row r="76" spans="2:30">
      <c r="B76" s="147">
        <v>2702</v>
      </c>
      <c r="C76" s="148" t="s">
        <v>828</v>
      </c>
      <c r="D76" s="148" t="s">
        <v>903</v>
      </c>
      <c r="E76" s="148" t="s">
        <v>822</v>
      </c>
      <c r="F76" s="148" t="s">
        <v>947</v>
      </c>
      <c r="G76" s="148" t="s">
        <v>948</v>
      </c>
      <c r="H76" s="148">
        <v>46.333571506400503</v>
      </c>
      <c r="I76" s="148">
        <f>'Cálculo PU'!AA131</f>
        <v>46.333571500527455</v>
      </c>
      <c r="J76" s="165">
        <f t="shared" si="5"/>
        <v>5.8730478258439689E-9</v>
      </c>
      <c r="L76" s="147">
        <v>2728</v>
      </c>
      <c r="M76" s="148" t="s">
        <v>828</v>
      </c>
      <c r="N76" s="148" t="s">
        <v>903</v>
      </c>
      <c r="O76" s="148" t="s">
        <v>822</v>
      </c>
      <c r="P76" s="148" t="s">
        <v>947</v>
      </c>
      <c r="Q76" s="148" t="s">
        <v>949</v>
      </c>
      <c r="R76" s="148">
        <v>15.394449049396901</v>
      </c>
      <c r="S76" s="148">
        <f>'Cálculo PU'!AC131</f>
        <v>37.222388829446295</v>
      </c>
      <c r="T76" s="165">
        <f t="shared" si="4"/>
        <v>-21.827939780049395</v>
      </c>
      <c r="V76" s="147">
        <v>2727</v>
      </c>
      <c r="W76" s="148" t="s">
        <v>828</v>
      </c>
      <c r="X76" s="148" t="s">
        <v>903</v>
      </c>
      <c r="Y76" s="148" t="s">
        <v>822</v>
      </c>
      <c r="Z76" s="148" t="s">
        <v>947</v>
      </c>
      <c r="AA76" s="148" t="s">
        <v>951</v>
      </c>
      <c r="AB76" s="148">
        <v>3.0097583458639998</v>
      </c>
      <c r="AC76" s="148">
        <f>'Cálculo PU'!AB131</f>
        <v>1.2447769462843659</v>
      </c>
      <c r="AD76" s="154">
        <f t="shared" si="6"/>
        <v>1.764981399579634</v>
      </c>
    </row>
    <row r="77" spans="2:30">
      <c r="B77" s="147">
        <v>2739</v>
      </c>
      <c r="C77" s="148" t="s">
        <v>828</v>
      </c>
      <c r="D77" s="148" t="s">
        <v>904</v>
      </c>
      <c r="E77" s="148" t="s">
        <v>822</v>
      </c>
      <c r="F77" s="148" t="s">
        <v>947</v>
      </c>
      <c r="G77" s="148" t="s">
        <v>948</v>
      </c>
      <c r="H77" s="148">
        <v>39.197393492975202</v>
      </c>
      <c r="I77" s="148">
        <f>'Cálculo PU'!AA132</f>
        <v>39.197393494829818</v>
      </c>
      <c r="J77" s="165">
        <f t="shared" si="5"/>
        <v>-1.8546160163168679E-9</v>
      </c>
      <c r="L77" s="147">
        <v>2765</v>
      </c>
      <c r="M77" s="148" t="s">
        <v>828</v>
      </c>
      <c r="N77" s="148" t="s">
        <v>904</v>
      </c>
      <c r="O77" s="148" t="s">
        <v>822</v>
      </c>
      <c r="P77" s="148" t="s">
        <v>947</v>
      </c>
      <c r="Q77" s="148" t="s">
        <v>949</v>
      </c>
      <c r="R77" s="148">
        <v>12.825471145324199</v>
      </c>
      <c r="S77" s="148">
        <f>'Cálculo PU'!AC132</f>
        <v>31.423551234811143</v>
      </c>
      <c r="T77" s="165">
        <f t="shared" si="4"/>
        <v>-18.598080089486942</v>
      </c>
      <c r="V77" s="147">
        <v>2764</v>
      </c>
      <c r="W77" s="148" t="s">
        <v>828</v>
      </c>
      <c r="X77" s="148" t="s">
        <v>904</v>
      </c>
      <c r="Y77" s="148" t="s">
        <v>822</v>
      </c>
      <c r="Z77" s="148" t="s">
        <v>947</v>
      </c>
      <c r="AA77" s="148" t="s">
        <v>951</v>
      </c>
      <c r="AB77" s="148">
        <v>3.056214703447</v>
      </c>
      <c r="AC77" s="148">
        <f>'Cálculo PU'!AB132</f>
        <v>1.2473890427574201</v>
      </c>
      <c r="AD77" s="154">
        <f t="shared" si="6"/>
        <v>1.8088256606895798</v>
      </c>
    </row>
    <row r="78" spans="2:30">
      <c r="B78" s="147">
        <v>2776</v>
      </c>
      <c r="C78" s="148" t="s">
        <v>828</v>
      </c>
      <c r="D78" s="148" t="s">
        <v>905</v>
      </c>
      <c r="E78" s="148" t="s">
        <v>822</v>
      </c>
      <c r="F78" s="148" t="s">
        <v>947</v>
      </c>
      <c r="G78" s="148" t="s">
        <v>948</v>
      </c>
      <c r="H78" s="148">
        <v>40.0177688477808</v>
      </c>
      <c r="I78" s="148">
        <f>'Cálculo PU'!AA133</f>
        <v>40.017768844726696</v>
      </c>
      <c r="J78" s="165">
        <f t="shared" si="5"/>
        <v>3.0541045248355658E-9</v>
      </c>
      <c r="L78" s="147">
        <v>2802</v>
      </c>
      <c r="M78" s="148" t="s">
        <v>828</v>
      </c>
      <c r="N78" s="148" t="s">
        <v>905</v>
      </c>
      <c r="O78" s="148" t="s">
        <v>822</v>
      </c>
      <c r="P78" s="148" t="s">
        <v>947</v>
      </c>
      <c r="Q78" s="148" t="s">
        <v>949</v>
      </c>
      <c r="R78" s="148">
        <v>12.8948643286788</v>
      </c>
      <c r="S78" s="148">
        <f>'Cálculo PU'!AC133</f>
        <v>32.014045514738072</v>
      </c>
      <c r="T78" s="165">
        <f t="shared" si="4"/>
        <v>-19.119181186059272</v>
      </c>
      <c r="V78" s="147">
        <v>2801</v>
      </c>
      <c r="W78" s="148" t="s">
        <v>828</v>
      </c>
      <c r="X78" s="148" t="s">
        <v>905</v>
      </c>
      <c r="Y78" s="148" t="s">
        <v>822</v>
      </c>
      <c r="Z78" s="148" t="s">
        <v>947</v>
      </c>
      <c r="AA78" s="148" t="s">
        <v>951</v>
      </c>
      <c r="AB78" s="148">
        <v>3.1033881262929999</v>
      </c>
      <c r="AC78" s="148">
        <f>'Cálculo PU'!AB133</f>
        <v>1.2500066205723364</v>
      </c>
      <c r="AD78" s="154">
        <f t="shared" si="6"/>
        <v>1.8533815057206635</v>
      </c>
    </row>
    <row r="79" spans="2:30">
      <c r="B79" s="147">
        <v>2813</v>
      </c>
      <c r="C79" s="148" t="s">
        <v>828</v>
      </c>
      <c r="D79" s="148" t="s">
        <v>906</v>
      </c>
      <c r="E79" s="148" t="s">
        <v>822</v>
      </c>
      <c r="F79" s="148" t="s">
        <v>947</v>
      </c>
      <c r="G79" s="148" t="s">
        <v>948</v>
      </c>
      <c r="H79" s="148">
        <v>40.636434232142399</v>
      </c>
      <c r="I79" s="148">
        <f>'Cálculo PU'!AA134</f>
        <v>40.636434227162646</v>
      </c>
      <c r="J79" s="165">
        <f t="shared" si="5"/>
        <v>4.9797534984463709E-9</v>
      </c>
      <c r="L79" s="147">
        <v>2839</v>
      </c>
      <c r="M79" s="148" t="s">
        <v>828</v>
      </c>
      <c r="N79" s="148" t="s">
        <v>906</v>
      </c>
      <c r="O79" s="148" t="s">
        <v>822</v>
      </c>
      <c r="P79" s="148" t="s">
        <v>947</v>
      </c>
      <c r="Q79" s="148" t="s">
        <v>949</v>
      </c>
      <c r="R79" s="148">
        <v>12.888805700576601</v>
      </c>
      <c r="S79" s="148">
        <f>'Cálculo PU'!AC134</f>
        <v>32.438706134589488</v>
      </c>
      <c r="T79" s="165">
        <f t="shared" si="4"/>
        <v>-19.549900434012887</v>
      </c>
      <c r="V79" s="147">
        <v>2838</v>
      </c>
      <c r="W79" s="148" t="s">
        <v>828</v>
      </c>
      <c r="X79" s="148" t="s">
        <v>906</v>
      </c>
      <c r="Y79" s="148" t="s">
        <v>822</v>
      </c>
      <c r="Z79" s="148" t="s">
        <v>947</v>
      </c>
      <c r="AA79" s="148" t="s">
        <v>951</v>
      </c>
      <c r="AB79" s="148">
        <v>3.1528471431859999</v>
      </c>
      <c r="AC79" s="148">
        <f>'Cálculo PU'!AB134</f>
        <v>1.2527143979960378</v>
      </c>
      <c r="AD79" s="154">
        <f t="shared" si="6"/>
        <v>1.9001327451899621</v>
      </c>
    </row>
    <row r="80" spans="2:30">
      <c r="B80" s="147">
        <v>2850</v>
      </c>
      <c r="C80" s="148" t="s">
        <v>828</v>
      </c>
      <c r="D80" s="148" t="s">
        <v>907</v>
      </c>
      <c r="E80" s="148" t="s">
        <v>822</v>
      </c>
      <c r="F80" s="148" t="s">
        <v>947</v>
      </c>
      <c r="G80" s="148" t="s">
        <v>948</v>
      </c>
      <c r="H80" s="148">
        <v>35.784002458464002</v>
      </c>
      <c r="I80" s="148">
        <f>'Cálculo PU'!AA135</f>
        <v>35.784002460157126</v>
      </c>
      <c r="J80" s="165">
        <f t="shared" si="5"/>
        <v>-1.6931238633333123E-9</v>
      </c>
      <c r="L80" s="147">
        <v>2876</v>
      </c>
      <c r="M80" s="148" t="s">
        <v>828</v>
      </c>
      <c r="N80" s="148" t="s">
        <v>907</v>
      </c>
      <c r="O80" s="148" t="s">
        <v>822</v>
      </c>
      <c r="P80" s="148" t="s">
        <v>947</v>
      </c>
      <c r="Q80" s="148" t="s">
        <v>949</v>
      </c>
      <c r="R80" s="148">
        <v>11.182743255835801</v>
      </c>
      <c r="S80" s="148">
        <f>'Cálculo PU'!AC135</f>
        <v>28.507282861194469</v>
      </c>
      <c r="T80" s="165">
        <f t="shared" si="4"/>
        <v>-17.324539605358666</v>
      </c>
      <c r="V80" s="147">
        <v>2875</v>
      </c>
      <c r="W80" s="148" t="s">
        <v>828</v>
      </c>
      <c r="X80" s="148" t="s">
        <v>907</v>
      </c>
      <c r="Y80" s="148" t="s">
        <v>822</v>
      </c>
      <c r="Z80" s="148" t="s">
        <v>947</v>
      </c>
      <c r="AA80" s="148" t="s">
        <v>951</v>
      </c>
      <c r="AB80" s="148">
        <v>3.1999306109250001</v>
      </c>
      <c r="AC80" s="148">
        <f>'Cálculo PU'!AB135</f>
        <v>1.2552582662610785</v>
      </c>
      <c r="AD80" s="154">
        <f t="shared" si="6"/>
        <v>1.9446723446639216</v>
      </c>
    </row>
    <row r="81" spans="2:30">
      <c r="B81" s="147">
        <v>2887</v>
      </c>
      <c r="C81" s="148" t="s">
        <v>828</v>
      </c>
      <c r="D81" s="148" t="s">
        <v>908</v>
      </c>
      <c r="E81" s="148" t="s">
        <v>822</v>
      </c>
      <c r="F81" s="148" t="s">
        <v>947</v>
      </c>
      <c r="G81" s="148" t="s">
        <v>948</v>
      </c>
      <c r="H81" s="148">
        <v>32.9008348896228</v>
      </c>
      <c r="I81" s="148">
        <f>'Cálculo PU'!AA136</f>
        <v>32.900834881554786</v>
      </c>
      <c r="J81" s="165">
        <f t="shared" si="5"/>
        <v>8.0680138125899248E-9</v>
      </c>
      <c r="L81" s="147">
        <v>2913</v>
      </c>
      <c r="M81" s="148" t="s">
        <v>828</v>
      </c>
      <c r="N81" s="148" t="s">
        <v>908</v>
      </c>
      <c r="O81" s="148" t="s">
        <v>822</v>
      </c>
      <c r="P81" s="148" t="s">
        <v>947</v>
      </c>
      <c r="Q81" s="148" t="s">
        <v>949</v>
      </c>
      <c r="R81" s="148">
        <v>10.1454771504834</v>
      </c>
      <c r="S81" s="148">
        <f>'Cálculo PU'!AC136</f>
        <v>26.162600502261075</v>
      </c>
      <c r="T81" s="165">
        <f t="shared" si="4"/>
        <v>-16.017123351777677</v>
      </c>
      <c r="V81" s="147">
        <v>2912</v>
      </c>
      <c r="W81" s="148" t="s">
        <v>828</v>
      </c>
      <c r="X81" s="148" t="s">
        <v>908</v>
      </c>
      <c r="Y81" s="148" t="s">
        <v>822</v>
      </c>
      <c r="Z81" s="148" t="s">
        <v>947</v>
      </c>
      <c r="AA81" s="148" t="s">
        <v>951</v>
      </c>
      <c r="AB81" s="148">
        <v>3.2429066077050002</v>
      </c>
      <c r="AC81" s="148">
        <f>'Cálculo PU'!AB136</f>
        <v>1.257552164155523</v>
      </c>
      <c r="AD81" s="154">
        <f t="shared" si="6"/>
        <v>1.9853544435494772</v>
      </c>
    </row>
    <row r="82" spans="2:30">
      <c r="B82" s="147">
        <v>2924</v>
      </c>
      <c r="C82" s="148" t="s">
        <v>828</v>
      </c>
      <c r="D82" s="148" t="s">
        <v>909</v>
      </c>
      <c r="E82" s="148" t="s">
        <v>822</v>
      </c>
      <c r="F82" s="148" t="s">
        <v>947</v>
      </c>
      <c r="G82" s="148" t="s">
        <v>948</v>
      </c>
      <c r="H82" s="148">
        <v>33.492059210501097</v>
      </c>
      <c r="I82" s="148">
        <f>'Cálculo PU'!AA137</f>
        <v>33.492059212085771</v>
      </c>
      <c r="J82" s="165">
        <f t="shared" si="5"/>
        <v>-1.5846737255742482E-9</v>
      </c>
      <c r="L82" s="147">
        <v>2950</v>
      </c>
      <c r="M82" s="148" t="s">
        <v>828</v>
      </c>
      <c r="N82" s="148" t="s">
        <v>909</v>
      </c>
      <c r="O82" s="148" t="s">
        <v>822</v>
      </c>
      <c r="P82" s="148" t="s">
        <v>947</v>
      </c>
      <c r="Q82" s="148" t="s">
        <v>949</v>
      </c>
      <c r="R82" s="148">
        <v>10.170801427154601</v>
      </c>
      <c r="S82" s="148">
        <f>'Cálculo PU'!AC137</f>
        <v>26.576969194002466</v>
      </c>
      <c r="T82" s="165">
        <f t="shared" si="4"/>
        <v>-16.406167766847865</v>
      </c>
      <c r="V82" s="147">
        <v>2949</v>
      </c>
      <c r="W82" s="148" t="s">
        <v>828</v>
      </c>
      <c r="X82" s="148" t="s">
        <v>909</v>
      </c>
      <c r="Y82" s="148" t="s">
        <v>822</v>
      </c>
      <c r="Z82" s="148" t="s">
        <v>947</v>
      </c>
      <c r="AA82" s="148" t="s">
        <v>951</v>
      </c>
      <c r="AB82" s="148">
        <v>3.2929616658410001</v>
      </c>
      <c r="AC82" s="148">
        <f>'Cálculo PU'!AB137</f>
        <v>1.2601910687259181</v>
      </c>
      <c r="AD82" s="154">
        <f t="shared" si="6"/>
        <v>2.032770597115082</v>
      </c>
    </row>
    <row r="83" spans="2:30">
      <c r="B83" s="147">
        <v>2961</v>
      </c>
      <c r="C83" s="148" t="s">
        <v>828</v>
      </c>
      <c r="D83" s="148" t="s">
        <v>910</v>
      </c>
      <c r="E83" s="148" t="s">
        <v>822</v>
      </c>
      <c r="F83" s="148" t="s">
        <v>947</v>
      </c>
      <c r="G83" s="148" t="s">
        <v>948</v>
      </c>
      <c r="H83" s="148">
        <v>33.9850047140215</v>
      </c>
      <c r="I83" s="148">
        <f>'Cálculo PU'!AA138</f>
        <v>33.985004711427813</v>
      </c>
      <c r="J83" s="165">
        <f t="shared" si="5"/>
        <v>2.5936870429177361E-9</v>
      </c>
      <c r="L83" s="147">
        <v>2987</v>
      </c>
      <c r="M83" s="148" t="s">
        <v>828</v>
      </c>
      <c r="N83" s="148" t="s">
        <v>910</v>
      </c>
      <c r="O83" s="148" t="s">
        <v>822</v>
      </c>
      <c r="P83" s="148" t="s">
        <v>947</v>
      </c>
      <c r="Q83" s="148" t="s">
        <v>949</v>
      </c>
      <c r="R83" s="148">
        <v>10.1636201621558</v>
      </c>
      <c r="S83" s="148">
        <f>'Cálculo PU'!AC138</f>
        <v>26.911663805986997</v>
      </c>
      <c r="T83" s="165">
        <f t="shared" si="4"/>
        <v>-16.748043643831195</v>
      </c>
      <c r="V83" s="147">
        <v>2986</v>
      </c>
      <c r="W83" s="148" t="s">
        <v>828</v>
      </c>
      <c r="X83" s="148" t="s">
        <v>910</v>
      </c>
      <c r="Y83" s="148" t="s">
        <v>822</v>
      </c>
      <c r="Z83" s="148" t="s">
        <v>947</v>
      </c>
      <c r="AA83" s="148" t="s">
        <v>951</v>
      </c>
      <c r="AB83" s="148">
        <v>3.3437893360639999</v>
      </c>
      <c r="AC83" s="148">
        <f>'Cálculo PU'!AB138</f>
        <v>1.2628355108935041</v>
      </c>
      <c r="AD83" s="154">
        <f t="shared" si="6"/>
        <v>2.0809538251704955</v>
      </c>
    </row>
    <row r="84" spans="2:30">
      <c r="B84" s="147">
        <v>2998</v>
      </c>
      <c r="C84" s="148" t="s">
        <v>828</v>
      </c>
      <c r="D84" s="148" t="s">
        <v>911</v>
      </c>
      <c r="E84" s="148" t="s">
        <v>822</v>
      </c>
      <c r="F84" s="148" t="s">
        <v>947</v>
      </c>
      <c r="G84" s="148" t="s">
        <v>948</v>
      </c>
      <c r="H84" s="148">
        <v>31.2535384347971</v>
      </c>
      <c r="I84" s="148">
        <f>'Cálculo PU'!AA139</f>
        <v>31.253538436275871</v>
      </c>
      <c r="J84" s="165">
        <f t="shared" si="5"/>
        <v>-1.4787708835228841E-9</v>
      </c>
      <c r="L84" s="147">
        <v>3024</v>
      </c>
      <c r="M84" s="148" t="s">
        <v>828</v>
      </c>
      <c r="N84" s="148" t="s">
        <v>911</v>
      </c>
      <c r="O84" s="148" t="s">
        <v>822</v>
      </c>
      <c r="P84" s="148" t="s">
        <v>947</v>
      </c>
      <c r="Q84" s="148" t="s">
        <v>949</v>
      </c>
      <c r="R84" s="148">
        <v>9.2137670652326999</v>
      </c>
      <c r="S84" s="148">
        <f>'Cálculo PU'!AC139</f>
        <v>24.700216200267729</v>
      </c>
      <c r="T84" s="165">
        <f t="shared" si="4"/>
        <v>-15.486449135035029</v>
      </c>
      <c r="V84" s="147">
        <v>3023</v>
      </c>
      <c r="W84" s="148" t="s">
        <v>828</v>
      </c>
      <c r="X84" s="148" t="s">
        <v>911</v>
      </c>
      <c r="Y84" s="148" t="s">
        <v>822</v>
      </c>
      <c r="Z84" s="148" t="s">
        <v>947</v>
      </c>
      <c r="AA84" s="148" t="s">
        <v>951</v>
      </c>
      <c r="AB84" s="148">
        <v>3.392047814268</v>
      </c>
      <c r="AC84" s="148">
        <f>'Cálculo PU'!AB139</f>
        <v>1.2653143674077278</v>
      </c>
      <c r="AD84" s="154">
        <f t="shared" si="6"/>
        <v>2.1267334468602721</v>
      </c>
    </row>
    <row r="85" spans="2:30">
      <c r="B85" s="147">
        <v>3035</v>
      </c>
      <c r="C85" s="148" t="s">
        <v>828</v>
      </c>
      <c r="D85" s="148" t="s">
        <v>912</v>
      </c>
      <c r="E85" s="148" t="s">
        <v>822</v>
      </c>
      <c r="F85" s="148" t="s">
        <v>947</v>
      </c>
      <c r="G85" s="148" t="s">
        <v>948</v>
      </c>
      <c r="H85" s="148">
        <v>34.677894239965298</v>
      </c>
      <c r="I85" s="148">
        <f>'Cálculo PU'!AA140</f>
        <v>34.677894235569653</v>
      </c>
      <c r="J85" s="165">
        <f t="shared" si="5"/>
        <v>4.395644737087423E-9</v>
      </c>
      <c r="L85" s="147">
        <v>3061</v>
      </c>
      <c r="M85" s="148" t="s">
        <v>828</v>
      </c>
      <c r="N85" s="148" t="s">
        <v>912</v>
      </c>
      <c r="O85" s="148" t="s">
        <v>822</v>
      </c>
      <c r="P85" s="148" t="s">
        <v>947</v>
      </c>
      <c r="Q85" s="148" t="s">
        <v>949</v>
      </c>
      <c r="R85" s="148">
        <v>10.067891322823099</v>
      </c>
      <c r="S85" s="148">
        <f>'Cálculo PU'!AC140</f>
        <v>27.34915357183943</v>
      </c>
      <c r="T85" s="165">
        <f t="shared" si="4"/>
        <v>-17.281262249016329</v>
      </c>
      <c r="V85" s="147">
        <v>3060</v>
      </c>
      <c r="W85" s="148" t="s">
        <v>828</v>
      </c>
      <c r="X85" s="148" t="s">
        <v>912</v>
      </c>
      <c r="Y85" s="148" t="s">
        <v>822</v>
      </c>
      <c r="Z85" s="148" t="s">
        <v>947</v>
      </c>
      <c r="AA85" s="148" t="s">
        <v>951</v>
      </c>
      <c r="AB85" s="148">
        <v>3.444404903473</v>
      </c>
      <c r="AC85" s="148">
        <f>'Cálculo PU'!AB140</f>
        <v>1.267969560537932</v>
      </c>
      <c r="AD85" s="154">
        <f t="shared" si="6"/>
        <v>2.176435342935068</v>
      </c>
    </row>
    <row r="86" spans="2:30">
      <c r="B86" s="147">
        <v>3072</v>
      </c>
      <c r="C86" s="148" t="s">
        <v>828</v>
      </c>
      <c r="D86" s="148" t="s">
        <v>913</v>
      </c>
      <c r="E86" s="148" t="s">
        <v>822</v>
      </c>
      <c r="F86" s="148" t="s">
        <v>947</v>
      </c>
      <c r="G86" s="148" t="s">
        <v>948</v>
      </c>
      <c r="H86" s="148">
        <v>30.524145081745701</v>
      </c>
      <c r="I86" s="148">
        <f>'Cálculo PU'!AA141</f>
        <v>30.52414507941619</v>
      </c>
      <c r="J86" s="165">
        <f t="shared" si="5"/>
        <v>2.3295108064758097E-9</v>
      </c>
      <c r="L86" s="147">
        <v>3098</v>
      </c>
      <c r="M86" s="148" t="s">
        <v>828</v>
      </c>
      <c r="N86" s="148" t="s">
        <v>913</v>
      </c>
      <c r="O86" s="148" t="s">
        <v>822</v>
      </c>
      <c r="P86" s="148" t="s">
        <v>947</v>
      </c>
      <c r="Q86" s="148" t="s">
        <v>949</v>
      </c>
      <c r="R86" s="148">
        <v>8.72724316727078</v>
      </c>
      <c r="S86" s="148">
        <f>'Cálculo PU'!AC141</f>
        <v>24.02283690868347</v>
      </c>
      <c r="T86" s="165">
        <f t="shared" si="4"/>
        <v>-15.29559374141269</v>
      </c>
      <c r="V86" s="147">
        <v>3097</v>
      </c>
      <c r="W86" s="148" t="s">
        <v>828</v>
      </c>
      <c r="X86" s="148" t="s">
        <v>913</v>
      </c>
      <c r="Y86" s="148" t="s">
        <v>822</v>
      </c>
      <c r="Z86" s="148" t="s">
        <v>947</v>
      </c>
      <c r="AA86" s="148" t="s">
        <v>951</v>
      </c>
      <c r="AB86" s="148">
        <v>3.4975701371789998</v>
      </c>
      <c r="AC86" s="148">
        <f>'Cálculo PU'!AB141</f>
        <v>1.2706303254459805</v>
      </c>
      <c r="AD86" s="154">
        <f t="shared" si="6"/>
        <v>2.2269398117330192</v>
      </c>
    </row>
    <row r="87" spans="2:30">
      <c r="B87" s="147">
        <v>3109</v>
      </c>
      <c r="C87" s="148" t="s">
        <v>828</v>
      </c>
      <c r="D87" s="148" t="s">
        <v>914</v>
      </c>
      <c r="E87" s="148" t="s">
        <v>822</v>
      </c>
      <c r="F87" s="148" t="s">
        <v>947</v>
      </c>
      <c r="G87" s="148" t="s">
        <v>948</v>
      </c>
      <c r="H87" s="148">
        <v>30.796298902211198</v>
      </c>
      <c r="I87" s="148">
        <f>'Cálculo PU'!AA142</f>
        <v>30.796298898437374</v>
      </c>
      <c r="J87" s="165">
        <f t="shared" si="5"/>
        <v>3.7738239200280077E-9</v>
      </c>
      <c r="L87" s="147">
        <v>3135</v>
      </c>
      <c r="M87" s="148" t="s">
        <v>828</v>
      </c>
      <c r="N87" s="148" t="s">
        <v>914</v>
      </c>
      <c r="O87" s="148" t="s">
        <v>822</v>
      </c>
      <c r="P87" s="148" t="s">
        <v>947</v>
      </c>
      <c r="Q87" s="148" t="s">
        <v>949</v>
      </c>
      <c r="R87" s="148">
        <v>8.6754986935923508</v>
      </c>
      <c r="S87" s="148">
        <f>'Cálculo PU'!AC142</f>
        <v>24.187906930332591</v>
      </c>
      <c r="T87" s="165">
        <f t="shared" si="4"/>
        <v>-15.51240823674024</v>
      </c>
      <c r="V87" s="147">
        <v>3134</v>
      </c>
      <c r="W87" s="148" t="s">
        <v>828</v>
      </c>
      <c r="X87" s="148" t="s">
        <v>914</v>
      </c>
      <c r="Y87" s="148" t="s">
        <v>822</v>
      </c>
      <c r="Z87" s="148" t="s">
        <v>947</v>
      </c>
      <c r="AA87" s="148" t="s">
        <v>951</v>
      </c>
      <c r="AB87" s="148">
        <v>3.5498015722090002</v>
      </c>
      <c r="AC87" s="148">
        <f>'Cálculo PU'!AB142</f>
        <v>1.2732105753151215</v>
      </c>
      <c r="AD87" s="154">
        <f t="shared" si="6"/>
        <v>2.2765909968938787</v>
      </c>
    </row>
    <row r="88" spans="2:30">
      <c r="B88" s="147">
        <v>3146</v>
      </c>
      <c r="C88" s="148" t="s">
        <v>828</v>
      </c>
      <c r="D88" s="148" t="s">
        <v>915</v>
      </c>
      <c r="E88" s="148" t="s">
        <v>822</v>
      </c>
      <c r="F88" s="148" t="s">
        <v>947</v>
      </c>
      <c r="G88" s="148" t="s">
        <v>948</v>
      </c>
      <c r="H88" s="148">
        <v>30.978156071323301</v>
      </c>
      <c r="I88" s="148">
        <f>'Cálculo PU'!AA143</f>
        <v>30.978156067396611</v>
      </c>
      <c r="J88" s="165">
        <f t="shared" si="5"/>
        <v>3.9266900841994357E-9</v>
      </c>
      <c r="L88" s="147">
        <v>3172</v>
      </c>
      <c r="M88" s="148" t="s">
        <v>828</v>
      </c>
      <c r="N88" s="148" t="s">
        <v>915</v>
      </c>
      <c r="O88" s="148" t="s">
        <v>822</v>
      </c>
      <c r="P88" s="148" t="s">
        <v>947</v>
      </c>
      <c r="Q88" s="148" t="s">
        <v>949</v>
      </c>
      <c r="R88" s="148">
        <v>8.5855886390015694</v>
      </c>
      <c r="S88" s="148">
        <f>'Cálculo PU'!AC143</f>
        <v>24.276507232578894</v>
      </c>
      <c r="T88" s="165">
        <f t="shared" si="4"/>
        <v>-15.690918593577324</v>
      </c>
      <c r="V88" s="147">
        <v>3171</v>
      </c>
      <c r="W88" s="148" t="s">
        <v>828</v>
      </c>
      <c r="X88" s="148" t="s">
        <v>915</v>
      </c>
      <c r="Y88" s="148" t="s">
        <v>822</v>
      </c>
      <c r="Z88" s="148" t="s">
        <v>947</v>
      </c>
      <c r="AA88" s="148" t="s">
        <v>951</v>
      </c>
      <c r="AB88" s="148">
        <v>3.6081575036800002</v>
      </c>
      <c r="AC88" s="148">
        <f>'Cálculo PU'!AB143</f>
        <v>1.2760549024047476</v>
      </c>
      <c r="AD88" s="154">
        <f t="shared" si="6"/>
        <v>2.3321026012752526</v>
      </c>
    </row>
    <row r="89" spans="2:30">
      <c r="B89" s="147">
        <v>3183</v>
      </c>
      <c r="C89" s="148" t="s">
        <v>828</v>
      </c>
      <c r="D89" s="148" t="s">
        <v>916</v>
      </c>
      <c r="E89" s="148" t="s">
        <v>822</v>
      </c>
      <c r="F89" s="148" t="s">
        <v>947</v>
      </c>
      <c r="G89" s="148" t="s">
        <v>948</v>
      </c>
      <c r="H89" s="148">
        <v>25.888490390090201</v>
      </c>
      <c r="I89" s="148">
        <f>'Cálculo PU'!AA144</f>
        <v>25.888490391315127</v>
      </c>
      <c r="J89" s="165">
        <f t="shared" si="5"/>
        <v>-1.2249259384589095E-9</v>
      </c>
      <c r="L89" s="147">
        <v>3209</v>
      </c>
      <c r="M89" s="148" t="s">
        <v>828</v>
      </c>
      <c r="N89" s="148" t="s">
        <v>916</v>
      </c>
      <c r="O89" s="148" t="s">
        <v>822</v>
      </c>
      <c r="P89" s="148" t="s">
        <v>947</v>
      </c>
      <c r="Q89" s="148" t="s">
        <v>949</v>
      </c>
      <c r="R89" s="148">
        <v>7.0764064645920204</v>
      </c>
      <c r="S89" s="148">
        <f>'Cálculo PU'!AC144</f>
        <v>20.249536175530238</v>
      </c>
      <c r="T89" s="165">
        <f t="shared" si="4"/>
        <v>-13.173129710938218</v>
      </c>
      <c r="V89" s="147">
        <v>3208</v>
      </c>
      <c r="W89" s="148" t="s">
        <v>828</v>
      </c>
      <c r="X89" s="148" t="s">
        <v>916</v>
      </c>
      <c r="Y89" s="148" t="s">
        <v>822</v>
      </c>
      <c r="Z89" s="148" t="s">
        <v>947</v>
      </c>
      <c r="AA89" s="148" t="s">
        <v>951</v>
      </c>
      <c r="AB89" s="148">
        <v>3.6584233140969999</v>
      </c>
      <c r="AC89" s="148">
        <f>'Cálculo PU'!AB144</f>
        <v>1.2784732532589593</v>
      </c>
      <c r="AD89" s="154">
        <f t="shared" si="6"/>
        <v>2.3799500608380404</v>
      </c>
    </row>
    <row r="90" spans="2:30">
      <c r="B90" s="147">
        <v>3220</v>
      </c>
      <c r="C90" s="148" t="s">
        <v>828</v>
      </c>
      <c r="D90" s="148" t="s">
        <v>917</v>
      </c>
      <c r="E90" s="148" t="s">
        <v>822</v>
      </c>
      <c r="F90" s="148" t="s">
        <v>947</v>
      </c>
      <c r="G90" s="148" t="s">
        <v>948</v>
      </c>
      <c r="H90" s="148">
        <v>27.333520855274099</v>
      </c>
      <c r="I90" s="148">
        <f>'Cálculo PU'!AA145</f>
        <v>27.333520851924604</v>
      </c>
      <c r="J90" s="165">
        <f t="shared" si="5"/>
        <v>3.3494949036594335E-9</v>
      </c>
      <c r="L90" s="147">
        <v>3246</v>
      </c>
      <c r="M90" s="148" t="s">
        <v>828</v>
      </c>
      <c r="N90" s="148" t="s">
        <v>917</v>
      </c>
      <c r="O90" s="148" t="s">
        <v>822</v>
      </c>
      <c r="P90" s="148" t="s">
        <v>947</v>
      </c>
      <c r="Q90" s="148" t="s">
        <v>949</v>
      </c>
      <c r="R90" s="148">
        <v>7.3541892149334203</v>
      </c>
      <c r="S90" s="148">
        <f>'Cálculo PU'!AC145</f>
        <v>21.333601315388993</v>
      </c>
      <c r="T90" s="165">
        <f t="shared" si="4"/>
        <v>-13.979412100455573</v>
      </c>
      <c r="V90" s="147">
        <v>3245</v>
      </c>
      <c r="W90" s="148" t="s">
        <v>828</v>
      </c>
      <c r="X90" s="148" t="s">
        <v>917</v>
      </c>
      <c r="Y90" s="148" t="s">
        <v>822</v>
      </c>
      <c r="Z90" s="148" t="s">
        <v>947</v>
      </c>
      <c r="AA90" s="148" t="s">
        <v>951</v>
      </c>
      <c r="AB90" s="148">
        <v>3.7167279840680001</v>
      </c>
      <c r="AC90" s="148">
        <f>'Cálculo PU'!AB145</f>
        <v>1.2812426954003104</v>
      </c>
      <c r="AD90" s="154">
        <f t="shared" si="6"/>
        <v>2.4354852886676897</v>
      </c>
    </row>
    <row r="91" spans="2:30">
      <c r="B91" s="147">
        <v>3257</v>
      </c>
      <c r="C91" s="148" t="s">
        <v>828</v>
      </c>
      <c r="D91" s="148" t="s">
        <v>918</v>
      </c>
      <c r="E91" s="148" t="s">
        <v>822</v>
      </c>
      <c r="F91" s="148" t="s">
        <v>947</v>
      </c>
      <c r="G91" s="148" t="s">
        <v>948</v>
      </c>
      <c r="H91" s="148">
        <v>24.917802967061998</v>
      </c>
      <c r="I91" s="148">
        <f>'Cálculo PU'!AA146</f>
        <v>24.917802965160302</v>
      </c>
      <c r="J91" s="165">
        <f t="shared" si="5"/>
        <v>1.9016965779883321E-9</v>
      </c>
      <c r="L91" s="147">
        <v>3283</v>
      </c>
      <c r="M91" s="148" t="s">
        <v>828</v>
      </c>
      <c r="N91" s="148" t="s">
        <v>918</v>
      </c>
      <c r="O91" s="148" t="s">
        <v>822</v>
      </c>
      <c r="P91" s="148" t="s">
        <v>947</v>
      </c>
      <c r="Q91" s="148" t="s">
        <v>949</v>
      </c>
      <c r="R91" s="148">
        <v>6.6023225332421296</v>
      </c>
      <c r="S91" s="148">
        <f>'Cálculo PU'!AC146</f>
        <v>19.407426789789852</v>
      </c>
      <c r="T91" s="165">
        <f t="shared" si="4"/>
        <v>-12.805104256547722</v>
      </c>
      <c r="V91" s="147">
        <v>3282</v>
      </c>
      <c r="W91" s="148" t="s">
        <v>828</v>
      </c>
      <c r="X91" s="148" t="s">
        <v>918</v>
      </c>
      <c r="Y91" s="148" t="s">
        <v>822</v>
      </c>
      <c r="Z91" s="148" t="s">
        <v>947</v>
      </c>
      <c r="AA91" s="148" t="s">
        <v>951</v>
      </c>
      <c r="AB91" s="148">
        <v>3.774096591253</v>
      </c>
      <c r="AC91" s="148">
        <f>'Cálculo PU'!AB146</f>
        <v>1.2839313132573262</v>
      </c>
      <c r="AD91" s="154">
        <f t="shared" si="6"/>
        <v>2.4901652779956738</v>
      </c>
    </row>
    <row r="92" spans="2:30">
      <c r="B92" s="147">
        <v>3294</v>
      </c>
      <c r="C92" s="148" t="s">
        <v>828</v>
      </c>
      <c r="D92" s="148" t="s">
        <v>919</v>
      </c>
      <c r="E92" s="148" t="s">
        <v>822</v>
      </c>
      <c r="F92" s="148" t="s">
        <v>947</v>
      </c>
      <c r="G92" s="148" t="s">
        <v>948</v>
      </c>
      <c r="H92" s="148">
        <v>20.359044787950801</v>
      </c>
      <c r="I92" s="148">
        <f>'Cálculo PU'!AA147</f>
        <v>20.359044790839466</v>
      </c>
      <c r="J92" s="165">
        <f t="shared" si="5"/>
        <v>-2.8886653069548629E-9</v>
      </c>
      <c r="L92" s="147">
        <v>3320</v>
      </c>
      <c r="M92" s="148" t="s">
        <v>828</v>
      </c>
      <c r="N92" s="148" t="s">
        <v>919</v>
      </c>
      <c r="O92" s="148" t="s">
        <v>822</v>
      </c>
      <c r="P92" s="148" t="s">
        <v>947</v>
      </c>
      <c r="Q92" s="148" t="s">
        <v>949</v>
      </c>
      <c r="R92" s="148">
        <v>5.3202975016108898</v>
      </c>
      <c r="S92" s="148">
        <f>'Cálculo PU'!AC147</f>
        <v>15.826807522822634</v>
      </c>
      <c r="T92" s="165">
        <f t="shared" si="4"/>
        <v>-10.506510021211744</v>
      </c>
      <c r="V92" s="147">
        <v>3319</v>
      </c>
      <c r="W92" s="148" t="s">
        <v>828</v>
      </c>
      <c r="X92" s="148" t="s">
        <v>919</v>
      </c>
      <c r="Y92" s="148" t="s">
        <v>822</v>
      </c>
      <c r="Z92" s="148" t="s">
        <v>947</v>
      </c>
      <c r="AA92" s="148" t="s">
        <v>951</v>
      </c>
      <c r="AB92" s="148">
        <v>3.826674125232</v>
      </c>
      <c r="AC92" s="148">
        <f>'Cálculo PU'!AB147</f>
        <v>1.2863645913101072</v>
      </c>
      <c r="AD92" s="154">
        <f t="shared" si="6"/>
        <v>2.5403095339218931</v>
      </c>
    </row>
    <row r="93" spans="2:30">
      <c r="B93" s="147">
        <v>3331</v>
      </c>
      <c r="C93" s="148" t="s">
        <v>828</v>
      </c>
      <c r="D93" s="148" t="s">
        <v>920</v>
      </c>
      <c r="E93" s="148" t="s">
        <v>822</v>
      </c>
      <c r="F93" s="148" t="s">
        <v>947</v>
      </c>
      <c r="G93" s="148" t="s">
        <v>948</v>
      </c>
      <c r="H93" s="148">
        <v>23.674285488011201</v>
      </c>
      <c r="I93" s="148">
        <f>'Cálculo PU'!AA148</f>
        <v>23.674285485110133</v>
      </c>
      <c r="J93" s="165">
        <f t="shared" si="5"/>
        <v>2.9010678304075554E-9</v>
      </c>
      <c r="L93" s="147">
        <v>3357</v>
      </c>
      <c r="M93" s="148" t="s">
        <v>828</v>
      </c>
      <c r="N93" s="148" t="s">
        <v>920</v>
      </c>
      <c r="O93" s="148" t="s">
        <v>822</v>
      </c>
      <c r="P93" s="148" t="s">
        <v>947</v>
      </c>
      <c r="Q93" s="148" t="s">
        <v>949</v>
      </c>
      <c r="R93" s="148">
        <v>6.0926070298778496</v>
      </c>
      <c r="S93" s="148">
        <f>'Cálculo PU'!AC148</f>
        <v>18.365485554951647</v>
      </c>
      <c r="T93" s="165">
        <f t="shared" si="4"/>
        <v>-12.272878525073796</v>
      </c>
      <c r="V93" s="147">
        <v>3356</v>
      </c>
      <c r="W93" s="148" t="s">
        <v>828</v>
      </c>
      <c r="X93" s="148" t="s">
        <v>920</v>
      </c>
      <c r="Y93" s="148" t="s">
        <v>822</v>
      </c>
      <c r="Z93" s="148" t="s">
        <v>947</v>
      </c>
      <c r="AA93" s="148" t="s">
        <v>951</v>
      </c>
      <c r="AB93" s="148">
        <v>3.8857397780479999</v>
      </c>
      <c r="AC93" s="148">
        <f>'Cálculo PU'!AB148</f>
        <v>1.2890639571861002</v>
      </c>
      <c r="AD93" s="154">
        <f t="shared" si="6"/>
        <v>2.5966758208618996</v>
      </c>
    </row>
    <row r="94" spans="2:30">
      <c r="B94" s="147">
        <v>3368</v>
      </c>
      <c r="C94" s="148" t="s">
        <v>828</v>
      </c>
      <c r="D94" s="148" t="s">
        <v>921</v>
      </c>
      <c r="E94" s="148" t="s">
        <v>822</v>
      </c>
      <c r="F94" s="148" t="s">
        <v>947</v>
      </c>
      <c r="G94" s="148" t="s">
        <v>948</v>
      </c>
      <c r="H94" s="148">
        <v>20.438051817781901</v>
      </c>
      <c r="I94" s="148">
        <f>'Cálculo PU'!AA149</f>
        <v>20.438051818748939</v>
      </c>
      <c r="J94" s="165">
        <f t="shared" si="5"/>
        <v>-9.6703800522845995E-10</v>
      </c>
      <c r="L94" s="147">
        <v>3394</v>
      </c>
      <c r="M94" s="148" t="s">
        <v>828</v>
      </c>
      <c r="N94" s="148" t="s">
        <v>921</v>
      </c>
      <c r="O94" s="148" t="s">
        <v>822</v>
      </c>
      <c r="P94" s="148" t="s">
        <v>947</v>
      </c>
      <c r="Q94" s="148" t="s">
        <v>949</v>
      </c>
      <c r="R94" s="148">
        <v>5.1772479061725498</v>
      </c>
      <c r="S94" s="148">
        <f>'Cálculo PU'!AC149</f>
        <v>15.820684676590155</v>
      </c>
      <c r="T94" s="165">
        <f t="shared" si="4"/>
        <v>-10.643436770417605</v>
      </c>
      <c r="V94" s="147">
        <v>3393</v>
      </c>
      <c r="W94" s="148" t="s">
        <v>828</v>
      </c>
      <c r="X94" s="148" t="s">
        <v>921</v>
      </c>
      <c r="Y94" s="148" t="s">
        <v>822</v>
      </c>
      <c r="Z94" s="148" t="s">
        <v>947</v>
      </c>
      <c r="AA94" s="148" t="s">
        <v>951</v>
      </c>
      <c r="AB94" s="148">
        <v>3.9476672139679998</v>
      </c>
      <c r="AC94" s="148">
        <f>'Cálculo PU'!AB149</f>
        <v>1.2918563410211377</v>
      </c>
      <c r="AD94" s="154">
        <f t="shared" si="6"/>
        <v>2.6558108729468621</v>
      </c>
    </row>
    <row r="95" spans="2:30">
      <c r="B95" s="147">
        <v>3405</v>
      </c>
      <c r="C95" s="148" t="s">
        <v>828</v>
      </c>
      <c r="D95" s="148" t="s">
        <v>922</v>
      </c>
      <c r="E95" s="148" t="s">
        <v>822</v>
      </c>
      <c r="F95" s="148" t="s">
        <v>947</v>
      </c>
      <c r="G95" s="148" t="s">
        <v>948</v>
      </c>
      <c r="H95" s="148">
        <v>19.363173797430001</v>
      </c>
      <c r="I95" s="148">
        <f>'Cálculo PU'!AA150</f>
        <v>19.363173798346164</v>
      </c>
      <c r="J95" s="165">
        <f t="shared" si="5"/>
        <v>-9.1616314534803678E-10</v>
      </c>
      <c r="L95" s="147">
        <v>3431</v>
      </c>
      <c r="M95" s="148" t="s">
        <v>828</v>
      </c>
      <c r="N95" s="148" t="s">
        <v>922</v>
      </c>
      <c r="O95" s="148" t="s">
        <v>822</v>
      </c>
      <c r="P95" s="148" t="s">
        <v>947</v>
      </c>
      <c r="Q95" s="148" t="s">
        <v>949</v>
      </c>
      <c r="R95" s="148">
        <v>4.8351834010536701</v>
      </c>
      <c r="S95" s="148">
        <f>'Cálculo PU'!AC150</f>
        <v>14.959279224924819</v>
      </c>
      <c r="T95" s="165">
        <f t="shared" si="4"/>
        <v>-10.124095823871148</v>
      </c>
      <c r="V95" s="147">
        <v>3430</v>
      </c>
      <c r="W95" s="148" t="s">
        <v>828</v>
      </c>
      <c r="X95" s="148" t="s">
        <v>922</v>
      </c>
      <c r="Y95" s="148" t="s">
        <v>822</v>
      </c>
      <c r="Z95" s="148" t="s">
        <v>947</v>
      </c>
      <c r="AA95" s="148" t="s">
        <v>951</v>
      </c>
      <c r="AB95" s="148">
        <v>4.0046410221400004</v>
      </c>
      <c r="AC95" s="148">
        <f>'Cálculo PU'!AB150</f>
        <v>1.2943921633659778</v>
      </c>
      <c r="AD95" s="154">
        <f t="shared" si="6"/>
        <v>2.7102488587740226</v>
      </c>
    </row>
    <row r="96" spans="2:30">
      <c r="B96" s="147">
        <v>3442</v>
      </c>
      <c r="C96" s="148" t="s">
        <v>828</v>
      </c>
      <c r="D96" s="148" t="s">
        <v>923</v>
      </c>
      <c r="E96" s="148" t="s">
        <v>822</v>
      </c>
      <c r="F96" s="148" t="s">
        <v>947</v>
      </c>
      <c r="G96" s="148" t="s">
        <v>948</v>
      </c>
      <c r="H96" s="148">
        <v>19.215067471009299</v>
      </c>
      <c r="I96" s="148">
        <f>'Cálculo PU'!AA151</f>
        <v>19.21506746954288</v>
      </c>
      <c r="J96" s="165">
        <f t="shared" si="5"/>
        <v>1.4664180980616948E-9</v>
      </c>
      <c r="L96" s="147">
        <v>3468</v>
      </c>
      <c r="M96" s="148" t="s">
        <v>828</v>
      </c>
      <c r="N96" s="148" t="s">
        <v>923</v>
      </c>
      <c r="O96" s="148" t="s">
        <v>822</v>
      </c>
      <c r="P96" s="148" t="s">
        <v>947</v>
      </c>
      <c r="Q96" s="148" t="s">
        <v>949</v>
      </c>
      <c r="R96" s="148">
        <v>4.7299360055745403</v>
      </c>
      <c r="S96" s="148">
        <f>'Cálculo PU'!AC151</f>
        <v>14.815775381255994</v>
      </c>
      <c r="T96" s="165">
        <f t="shared" si="4"/>
        <v>-10.085839375681454</v>
      </c>
      <c r="V96" s="147">
        <v>3467</v>
      </c>
      <c r="W96" s="148" t="s">
        <v>828</v>
      </c>
      <c r="X96" s="148" t="s">
        <v>923</v>
      </c>
      <c r="Y96" s="148" t="s">
        <v>822</v>
      </c>
      <c r="Z96" s="148" t="s">
        <v>947</v>
      </c>
      <c r="AA96" s="148" t="s">
        <v>951</v>
      </c>
      <c r="AB96" s="148">
        <v>4.0624370918260002</v>
      </c>
      <c r="AC96" s="148">
        <f>'Cálculo PU'!AB151</f>
        <v>1.2969329633501734</v>
      </c>
      <c r="AD96" s="154">
        <f t="shared" si="6"/>
        <v>2.7655041284758268</v>
      </c>
    </row>
    <row r="97" spans="2:30">
      <c r="B97" s="147">
        <v>3479</v>
      </c>
      <c r="C97" s="148" t="s">
        <v>828</v>
      </c>
      <c r="D97" s="148" t="s">
        <v>924</v>
      </c>
      <c r="E97" s="148" t="s">
        <v>822</v>
      </c>
      <c r="F97" s="148" t="s">
        <v>947</v>
      </c>
      <c r="G97" s="148" t="s">
        <v>948</v>
      </c>
      <c r="H97" s="148">
        <v>19.838357710957901</v>
      </c>
      <c r="I97" s="148">
        <f>'Cálculo PU'!AA152</f>
        <v>19.838357708443297</v>
      </c>
      <c r="J97" s="165">
        <f t="shared" si="5"/>
        <v>2.514603636427637E-9</v>
      </c>
      <c r="L97" s="147">
        <v>3505</v>
      </c>
      <c r="M97" s="148" t="s">
        <v>828</v>
      </c>
      <c r="N97" s="148" t="s">
        <v>924</v>
      </c>
      <c r="O97" s="148" t="s">
        <v>822</v>
      </c>
      <c r="P97" s="148" t="s">
        <v>947</v>
      </c>
      <c r="Q97" s="148" t="s">
        <v>949</v>
      </c>
      <c r="R97" s="148">
        <v>4.8043834062641801</v>
      </c>
      <c r="S97" s="148">
        <f>'Cálculo PU'!AC152</f>
        <v>15.262267640193331</v>
      </c>
      <c r="T97" s="165">
        <f t="shared" si="4"/>
        <v>-10.45788423392915</v>
      </c>
      <c r="V97" s="147">
        <v>3504</v>
      </c>
      <c r="W97" s="148" t="s">
        <v>828</v>
      </c>
      <c r="X97" s="148" t="s">
        <v>924</v>
      </c>
      <c r="Y97" s="148" t="s">
        <v>822</v>
      </c>
      <c r="Z97" s="148" t="s">
        <v>947</v>
      </c>
      <c r="AA97" s="148" t="s">
        <v>951</v>
      </c>
      <c r="AB97" s="148">
        <v>4.1292203459639998</v>
      </c>
      <c r="AC97" s="148">
        <f>'Cálculo PU'!AB152</f>
        <v>1.2998302857826178</v>
      </c>
      <c r="AD97" s="154">
        <f t="shared" si="6"/>
        <v>2.8293900601813817</v>
      </c>
    </row>
    <row r="98" spans="2:30">
      <c r="B98" s="147">
        <v>3516</v>
      </c>
      <c r="C98" s="148" t="s">
        <v>828</v>
      </c>
      <c r="D98" s="148" t="s">
        <v>925</v>
      </c>
      <c r="E98" s="148" t="s">
        <v>822</v>
      </c>
      <c r="F98" s="148" t="s">
        <v>947</v>
      </c>
      <c r="G98" s="148" t="s">
        <v>948</v>
      </c>
      <c r="H98" s="148">
        <v>17.024418802161499</v>
      </c>
      <c r="I98" s="148">
        <f>'Cálculo PU'!AA153</f>
        <v>17.024418800862232</v>
      </c>
      <c r="J98" s="165">
        <f t="shared" si="5"/>
        <v>1.29926647218781E-9</v>
      </c>
      <c r="L98" s="147">
        <v>3542</v>
      </c>
      <c r="M98" s="148" t="s">
        <v>828</v>
      </c>
      <c r="N98" s="148" t="s">
        <v>925</v>
      </c>
      <c r="O98" s="148" t="s">
        <v>822</v>
      </c>
      <c r="P98" s="148" t="s">
        <v>947</v>
      </c>
      <c r="Q98" s="148" t="s">
        <v>949</v>
      </c>
      <c r="R98" s="148">
        <v>4.0622494695248301</v>
      </c>
      <c r="S98" s="148">
        <f>'Cálculo PU'!AC153</f>
        <v>13.070873803135195</v>
      </c>
      <c r="T98" s="165">
        <f t="shared" si="4"/>
        <v>-9.0086243336103635</v>
      </c>
      <c r="V98" s="147">
        <v>3541</v>
      </c>
      <c r="W98" s="148" t="s">
        <v>828</v>
      </c>
      <c r="X98" s="148" t="s">
        <v>925</v>
      </c>
      <c r="Y98" s="148" t="s">
        <v>822</v>
      </c>
      <c r="Z98" s="148" t="s">
        <v>947</v>
      </c>
      <c r="AA98" s="148" t="s">
        <v>951</v>
      </c>
      <c r="AB98" s="148">
        <v>4.1908846145169996</v>
      </c>
      <c r="AC98" s="148">
        <f>'Cálculo PU'!AB153</f>
        <v>1.3024698315715308</v>
      </c>
      <c r="AD98" s="154">
        <f t="shared" si="6"/>
        <v>2.8884147829454685</v>
      </c>
    </row>
    <row r="99" spans="2:30">
      <c r="B99" s="147">
        <v>3553</v>
      </c>
      <c r="C99" s="148" t="s">
        <v>828</v>
      </c>
      <c r="D99" s="148" t="s">
        <v>926</v>
      </c>
      <c r="E99" s="148" t="s">
        <v>822</v>
      </c>
      <c r="F99" s="148" t="s">
        <v>947</v>
      </c>
      <c r="G99" s="148" t="s">
        <v>948</v>
      </c>
      <c r="H99" s="148">
        <v>16.705356799821399</v>
      </c>
      <c r="I99" s="148">
        <f>'Cálculo PU'!AA154</f>
        <v>15.945240894791127</v>
      </c>
      <c r="J99" s="165">
        <f t="shared" si="5"/>
        <v>0.76011590503027193</v>
      </c>
      <c r="L99" s="147">
        <v>3579</v>
      </c>
      <c r="M99" s="148" t="s">
        <v>828</v>
      </c>
      <c r="N99" s="148" t="s">
        <v>926</v>
      </c>
      <c r="O99" s="148" t="s">
        <v>822</v>
      </c>
      <c r="P99" s="148" t="s">
        <v>947</v>
      </c>
      <c r="Q99" s="148" t="s">
        <v>949</v>
      </c>
      <c r="R99" s="148">
        <v>3.92746575456917</v>
      </c>
      <c r="S99" s="148">
        <f>'Cálculo PU'!AC154</f>
        <v>12.217501218314775</v>
      </c>
      <c r="T99" s="165">
        <f t="shared" ref="T99:T113" si="7">R99-S99</f>
        <v>-8.2900354637456051</v>
      </c>
      <c r="V99" s="147">
        <v>3578</v>
      </c>
      <c r="W99" s="148" t="s">
        <v>828</v>
      </c>
      <c r="X99" s="148" t="s">
        <v>926</v>
      </c>
      <c r="Y99" s="148" t="s">
        <v>822</v>
      </c>
      <c r="Z99" s="148" t="s">
        <v>947</v>
      </c>
      <c r="AA99" s="148" t="s">
        <v>951</v>
      </c>
      <c r="AB99" s="148">
        <v>4.2534697547359999</v>
      </c>
      <c r="AC99" s="148">
        <f>'Cálculo PU'!AB154</f>
        <v>1.3051147374463319</v>
      </c>
      <c r="AD99" s="154">
        <f t="shared" si="6"/>
        <v>2.9483550172896678</v>
      </c>
    </row>
    <row r="100" spans="2:30">
      <c r="B100" s="147">
        <v>3590</v>
      </c>
      <c r="C100" s="148" t="s">
        <v>828</v>
      </c>
      <c r="D100" s="148" t="s">
        <v>927</v>
      </c>
      <c r="E100" s="148" t="s">
        <v>822</v>
      </c>
      <c r="F100" s="148" t="s">
        <v>947</v>
      </c>
      <c r="G100" s="148" t="s">
        <v>948</v>
      </c>
      <c r="H100" s="148">
        <v>14.168231475640701</v>
      </c>
      <c r="I100" s="148">
        <f>'Cálculo PU'!AA155</f>
        <v>14.877372167527604</v>
      </c>
      <c r="J100" s="165">
        <f t="shared" si="5"/>
        <v>-0.70914069188690299</v>
      </c>
      <c r="L100" s="147">
        <v>3616</v>
      </c>
      <c r="M100" s="148" t="s">
        <v>828</v>
      </c>
      <c r="N100" s="148" t="s">
        <v>927</v>
      </c>
      <c r="O100" s="148" t="s">
        <v>822</v>
      </c>
      <c r="P100" s="148" t="s">
        <v>947</v>
      </c>
      <c r="Q100" s="148" t="s">
        <v>949</v>
      </c>
      <c r="R100" s="148">
        <v>3.2787286304154302</v>
      </c>
      <c r="S100" s="148">
        <f>'Cálculo PU'!AC155</f>
        <v>11.374643073890065</v>
      </c>
      <c r="T100" s="165">
        <f t="shared" si="7"/>
        <v>-8.0959144434746335</v>
      </c>
      <c r="V100" s="147">
        <v>3615</v>
      </c>
      <c r="W100" s="148" t="s">
        <v>828</v>
      </c>
      <c r="X100" s="148" t="s">
        <v>927</v>
      </c>
      <c r="Y100" s="148" t="s">
        <v>822</v>
      </c>
      <c r="Z100" s="148" t="s">
        <v>947</v>
      </c>
      <c r="AA100" s="148" t="s">
        <v>951</v>
      </c>
      <c r="AB100" s="148">
        <v>4.3212577412500002</v>
      </c>
      <c r="AC100" s="148">
        <f>'Cálculo PU'!AB155</f>
        <v>1.3079418906495521</v>
      </c>
      <c r="AD100" s="154">
        <f t="shared" si="6"/>
        <v>3.0133158506004483</v>
      </c>
    </row>
    <row r="101" spans="2:30">
      <c r="B101" s="147">
        <v>3627</v>
      </c>
      <c r="C101" s="148" t="s">
        <v>828</v>
      </c>
      <c r="D101" s="148" t="s">
        <v>928</v>
      </c>
      <c r="E101" s="148" t="s">
        <v>822</v>
      </c>
      <c r="F101" s="148" t="s">
        <v>947</v>
      </c>
      <c r="G101" s="148" t="s">
        <v>948</v>
      </c>
      <c r="H101" s="148">
        <v>13.161890332024299</v>
      </c>
      <c r="I101" s="148">
        <f>'Cálculo PU'!AA156</f>
        <v>13.161890332647078</v>
      </c>
      <c r="J101" s="165">
        <f t="shared" si="5"/>
        <v>-6.2277827339585201E-10</v>
      </c>
      <c r="L101" s="147">
        <v>3653</v>
      </c>
      <c r="M101" s="148" t="s">
        <v>828</v>
      </c>
      <c r="N101" s="148" t="s">
        <v>928</v>
      </c>
      <c r="O101" s="148" t="s">
        <v>822</v>
      </c>
      <c r="P101" s="148" t="s">
        <v>947</v>
      </c>
      <c r="Q101" s="148" t="s">
        <v>949</v>
      </c>
      <c r="R101" s="148">
        <v>3.00399792544638</v>
      </c>
      <c r="S101" s="148">
        <f>'Cálculo PU'!AC156</f>
        <v>10.04401914872996</v>
      </c>
      <c r="T101" s="165">
        <f t="shared" si="7"/>
        <v>-7.0400212232835804</v>
      </c>
      <c r="V101" s="147">
        <v>3652</v>
      </c>
      <c r="W101" s="148" t="s">
        <v>828</v>
      </c>
      <c r="X101" s="148" t="s">
        <v>928</v>
      </c>
      <c r="Y101" s="148" t="s">
        <v>822</v>
      </c>
      <c r="Z101" s="148" t="s">
        <v>947</v>
      </c>
      <c r="AA101" s="148" t="s">
        <v>951</v>
      </c>
      <c r="AB101" s="148">
        <v>4.3814578633799997</v>
      </c>
      <c r="AC101" s="148">
        <f>'Cálculo PU'!AB156</f>
        <v>1.3104206730142847</v>
      </c>
      <c r="AD101" s="154">
        <f t="shared" si="6"/>
        <v>3.0710371903657148</v>
      </c>
    </row>
    <row r="102" spans="2:30">
      <c r="B102" s="147">
        <v>3664</v>
      </c>
      <c r="C102" s="148" t="s">
        <v>828</v>
      </c>
      <c r="D102" s="148" t="s">
        <v>929</v>
      </c>
      <c r="E102" s="148" t="s">
        <v>822</v>
      </c>
      <c r="F102" s="148" t="s">
        <v>947</v>
      </c>
      <c r="G102" s="148" t="s">
        <v>948</v>
      </c>
      <c r="H102" s="148">
        <v>13.381909150711699</v>
      </c>
      <c r="I102" s="148">
        <f>'Cálculo PU'!AA157</f>
        <v>13.38190914907188</v>
      </c>
      <c r="J102" s="165">
        <f t="shared" si="5"/>
        <v>1.6398189472965896E-9</v>
      </c>
      <c r="L102" s="147">
        <v>3690</v>
      </c>
      <c r="M102" s="148" t="s">
        <v>828</v>
      </c>
      <c r="N102" s="148" t="s">
        <v>929</v>
      </c>
      <c r="O102" s="148" t="s">
        <v>822</v>
      </c>
      <c r="P102" s="148" t="s">
        <v>947</v>
      </c>
      <c r="Q102" s="148" t="s">
        <v>949</v>
      </c>
      <c r="R102" s="148">
        <v>3.0033326663594599</v>
      </c>
      <c r="S102" s="148">
        <f>'Cálculo PU'!AC157</f>
        <v>10.188467178783762</v>
      </c>
      <c r="T102" s="165">
        <f t="shared" si="7"/>
        <v>-7.1851345124243018</v>
      </c>
      <c r="V102" s="147">
        <v>3689</v>
      </c>
      <c r="W102" s="148" t="s">
        <v>828</v>
      </c>
      <c r="X102" s="148" t="s">
        <v>929</v>
      </c>
      <c r="Y102" s="148" t="s">
        <v>822</v>
      </c>
      <c r="Z102" s="148" t="s">
        <v>947</v>
      </c>
      <c r="AA102" s="148" t="s">
        <v>951</v>
      </c>
      <c r="AB102" s="148">
        <v>4.4556866112779998</v>
      </c>
      <c r="AC102" s="148">
        <f>'Cálculo PU'!AB157</f>
        <v>1.3134369394581817</v>
      </c>
      <c r="AD102" s="154">
        <f t="shared" si="6"/>
        <v>3.1422496718198181</v>
      </c>
    </row>
    <row r="103" spans="2:30">
      <c r="B103" s="147">
        <v>3701</v>
      </c>
      <c r="C103" s="148" t="s">
        <v>828</v>
      </c>
      <c r="D103" s="148" t="s">
        <v>930</v>
      </c>
      <c r="E103" s="148" t="s">
        <v>822</v>
      </c>
      <c r="F103" s="148" t="s">
        <v>947</v>
      </c>
      <c r="G103" s="148" t="s">
        <v>948</v>
      </c>
      <c r="H103" s="148">
        <v>11.0938047446915</v>
      </c>
      <c r="I103" s="148">
        <f>'Cálculo PU'!AA158</f>
        <v>11.093804745216412</v>
      </c>
      <c r="J103" s="165">
        <f t="shared" si="5"/>
        <v>-5.2491166968593461E-10</v>
      </c>
      <c r="L103" s="147">
        <v>3727</v>
      </c>
      <c r="M103" s="148" t="s">
        <v>828</v>
      </c>
      <c r="N103" s="148" t="s">
        <v>930</v>
      </c>
      <c r="O103" s="148" t="s">
        <v>822</v>
      </c>
      <c r="P103" s="148" t="s">
        <v>947</v>
      </c>
      <c r="Q103" s="148" t="s">
        <v>949</v>
      </c>
      <c r="R103" s="148">
        <v>2.4531733343075399</v>
      </c>
      <c r="S103" s="148">
        <f>'Cálculo PU'!AC158</f>
        <v>8.4292759286485541</v>
      </c>
      <c r="T103" s="165">
        <f t="shared" si="7"/>
        <v>-5.9761025943410147</v>
      </c>
      <c r="V103" s="147">
        <v>3726</v>
      </c>
      <c r="W103" s="148" t="s">
        <v>828</v>
      </c>
      <c r="X103" s="148" t="s">
        <v>930</v>
      </c>
      <c r="Y103" s="148" t="s">
        <v>822</v>
      </c>
      <c r="Z103" s="148" t="s">
        <v>947</v>
      </c>
      <c r="AA103" s="148" t="s">
        <v>951</v>
      </c>
      <c r="AB103" s="148">
        <v>4.5222262078039996</v>
      </c>
      <c r="AC103" s="148">
        <f>'Cálculo PU'!AB158</f>
        <v>1.3161041160738292</v>
      </c>
      <c r="AD103" s="154">
        <f t="shared" si="6"/>
        <v>3.2061220917301707</v>
      </c>
    </row>
    <row r="104" spans="2:30">
      <c r="B104" s="147">
        <v>3738</v>
      </c>
      <c r="C104" s="148" t="s">
        <v>828</v>
      </c>
      <c r="D104" s="148" t="s">
        <v>931</v>
      </c>
      <c r="E104" s="148" t="s">
        <v>822</v>
      </c>
      <c r="F104" s="148" t="s">
        <v>947</v>
      </c>
      <c r="G104" s="148" t="s">
        <v>948</v>
      </c>
      <c r="H104" s="148">
        <v>9.0275706857024804</v>
      </c>
      <c r="I104" s="148">
        <f>'Cálculo PU'!AA159</f>
        <v>9.0275706869833758</v>
      </c>
      <c r="J104" s="165">
        <f t="shared" si="5"/>
        <v>-1.2808953897547326E-9</v>
      </c>
      <c r="L104" s="147">
        <v>3764</v>
      </c>
      <c r="M104" s="148" t="s">
        <v>828</v>
      </c>
      <c r="N104" s="148" t="s">
        <v>931</v>
      </c>
      <c r="O104" s="148" t="s">
        <v>822</v>
      </c>
      <c r="P104" s="148" t="s">
        <v>947</v>
      </c>
      <c r="Q104" s="148" t="s">
        <v>949</v>
      </c>
      <c r="R104" s="148">
        <v>1.9707853378345399</v>
      </c>
      <c r="S104" s="148">
        <f>'Cálculo PU'!AC159</f>
        <v>6.847264411701798</v>
      </c>
      <c r="T104" s="165">
        <f t="shared" si="7"/>
        <v>-4.8764790738672579</v>
      </c>
      <c r="V104" s="147">
        <v>3763</v>
      </c>
      <c r="W104" s="148" t="s">
        <v>828</v>
      </c>
      <c r="X104" s="148" t="s">
        <v>931</v>
      </c>
      <c r="Y104" s="148" t="s">
        <v>822</v>
      </c>
      <c r="Z104" s="148" t="s">
        <v>947</v>
      </c>
      <c r="AA104" s="148" t="s">
        <v>951</v>
      </c>
      <c r="AB104" s="148">
        <v>4.5806971020100002</v>
      </c>
      <c r="AC104" s="148">
        <f>'Cálculo PU'!AB159</f>
        <v>1.3184200498458174</v>
      </c>
      <c r="AD104" s="154">
        <f t="shared" si="6"/>
        <v>3.2622770521641828</v>
      </c>
    </row>
    <row r="105" spans="2:30">
      <c r="B105" s="147">
        <v>3775</v>
      </c>
      <c r="C105" s="148" t="s">
        <v>828</v>
      </c>
      <c r="D105" s="148" t="s">
        <v>932</v>
      </c>
      <c r="E105" s="148" t="s">
        <v>822</v>
      </c>
      <c r="F105" s="148" t="s">
        <v>947</v>
      </c>
      <c r="G105" s="148" t="s">
        <v>948</v>
      </c>
      <c r="H105" s="148">
        <v>9.8755282649781897</v>
      </c>
      <c r="I105" s="148">
        <f>'Cálculo PU'!AA160</f>
        <v>9.8755282637680644</v>
      </c>
      <c r="J105" s="165">
        <f t="shared" si="5"/>
        <v>1.2101253332730266E-9</v>
      </c>
      <c r="L105" s="147">
        <v>3801</v>
      </c>
      <c r="M105" s="148" t="s">
        <v>828</v>
      </c>
      <c r="N105" s="148" t="s">
        <v>932</v>
      </c>
      <c r="O105" s="148" t="s">
        <v>822</v>
      </c>
      <c r="P105" s="148" t="s">
        <v>947</v>
      </c>
      <c r="Q105" s="148" t="s">
        <v>949</v>
      </c>
      <c r="R105" s="148">
        <v>2.12312971113476</v>
      </c>
      <c r="S105" s="148">
        <f>'Cálculo PU'!AC160</f>
        <v>7.4747410004084056</v>
      </c>
      <c r="T105" s="165">
        <f t="shared" si="7"/>
        <v>-5.3516112892736452</v>
      </c>
      <c r="V105" s="147">
        <v>3800</v>
      </c>
      <c r="W105" s="148" t="s">
        <v>828</v>
      </c>
      <c r="X105" s="148" t="s">
        <v>932</v>
      </c>
      <c r="Y105" s="148" t="s">
        <v>822</v>
      </c>
      <c r="Z105" s="148" t="s">
        <v>947</v>
      </c>
      <c r="AA105" s="148" t="s">
        <v>951</v>
      </c>
      <c r="AB105" s="148">
        <v>4.6514012842390002</v>
      </c>
      <c r="AC105" s="148">
        <f>'Cálculo PU'!AB160</f>
        <v>1.3211866823517342</v>
      </c>
      <c r="AD105" s="154">
        <f t="shared" si="6"/>
        <v>3.330214601887266</v>
      </c>
    </row>
    <row r="106" spans="2:30">
      <c r="B106" s="147">
        <v>3812</v>
      </c>
      <c r="C106" s="148" t="s">
        <v>828</v>
      </c>
      <c r="D106" s="148" t="s">
        <v>933</v>
      </c>
      <c r="E106" s="148" t="s">
        <v>822</v>
      </c>
      <c r="F106" s="148" t="s">
        <v>947</v>
      </c>
      <c r="G106" s="148" t="s">
        <v>948</v>
      </c>
      <c r="H106" s="148">
        <v>8.3351738581872592</v>
      </c>
      <c r="I106" s="148">
        <f>'Cálculo PU'!AA161</f>
        <v>8.3351738575511778</v>
      </c>
      <c r="J106" s="165">
        <f t="shared" si="5"/>
        <v>6.3608140976612049E-10</v>
      </c>
      <c r="L106" s="147">
        <v>3838</v>
      </c>
      <c r="M106" s="148" t="s">
        <v>828</v>
      </c>
      <c r="N106" s="148" t="s">
        <v>933</v>
      </c>
      <c r="O106" s="148" t="s">
        <v>822</v>
      </c>
      <c r="P106" s="148" t="s">
        <v>947</v>
      </c>
      <c r="Q106" s="148" t="s">
        <v>949</v>
      </c>
      <c r="R106" s="148">
        <v>1.76385968044279</v>
      </c>
      <c r="S106" s="148">
        <f>'Cálculo PU'!AC161</f>
        <v>6.2952172132817932</v>
      </c>
      <c r="T106" s="165">
        <f t="shared" si="7"/>
        <v>-4.531357532839003</v>
      </c>
      <c r="V106" s="147">
        <v>3837</v>
      </c>
      <c r="W106" s="148" t="s">
        <v>828</v>
      </c>
      <c r="X106" s="148" t="s">
        <v>933</v>
      </c>
      <c r="Y106" s="148" t="s">
        <v>822</v>
      </c>
      <c r="Z106" s="148" t="s">
        <v>947</v>
      </c>
      <c r="AA106" s="148" t="s">
        <v>951</v>
      </c>
      <c r="AB106" s="148">
        <v>4.7255311466130001</v>
      </c>
      <c r="AC106" s="148">
        <f>'Cálculo PU'!AB161</f>
        <v>1.3240486507702129</v>
      </c>
      <c r="AD106" s="154">
        <f t="shared" si="6"/>
        <v>3.4014824958427869</v>
      </c>
    </row>
    <row r="107" spans="2:30">
      <c r="B107" s="147">
        <v>3849</v>
      </c>
      <c r="C107" s="148" t="s">
        <v>828</v>
      </c>
      <c r="D107" s="148" t="s">
        <v>934</v>
      </c>
      <c r="E107" s="148" t="s">
        <v>822</v>
      </c>
      <c r="F107" s="148" t="s">
        <v>947</v>
      </c>
      <c r="G107" s="148" t="s">
        <v>948</v>
      </c>
      <c r="H107" s="148">
        <v>6.9090600893865899</v>
      </c>
      <c r="I107" s="148">
        <f>'Cálculo PU'!AA162</f>
        <v>6.9090600897135417</v>
      </c>
      <c r="J107" s="165">
        <f t="shared" si="5"/>
        <v>-3.269517989679116E-10</v>
      </c>
      <c r="L107" s="147">
        <v>3875</v>
      </c>
      <c r="M107" s="148" t="s">
        <v>828</v>
      </c>
      <c r="N107" s="148" t="s">
        <v>934</v>
      </c>
      <c r="O107" s="148" t="s">
        <v>822</v>
      </c>
      <c r="P107" s="148" t="s">
        <v>947</v>
      </c>
      <c r="Q107" s="148" t="s">
        <v>949</v>
      </c>
      <c r="R107" s="148">
        <v>1.44126978727663</v>
      </c>
      <c r="S107" s="148">
        <f>'Cálculo PU'!AC162</f>
        <v>5.207908833259026</v>
      </c>
      <c r="T107" s="165">
        <f t="shared" si="7"/>
        <v>-3.7666390459823962</v>
      </c>
      <c r="V107" s="147">
        <v>3874</v>
      </c>
      <c r="W107" s="148" t="s">
        <v>828</v>
      </c>
      <c r="X107" s="148" t="s">
        <v>934</v>
      </c>
      <c r="Y107" s="148" t="s">
        <v>822</v>
      </c>
      <c r="Z107" s="148" t="s">
        <v>947</v>
      </c>
      <c r="AA107" s="148" t="s">
        <v>951</v>
      </c>
      <c r="AB107" s="148">
        <v>4.7937312988720002</v>
      </c>
      <c r="AC107" s="148">
        <f>'Cálculo PU'!AB162</f>
        <v>1.3266476643351612</v>
      </c>
      <c r="AD107" s="154">
        <f t="shared" si="6"/>
        <v>3.4670836345368388</v>
      </c>
    </row>
    <row r="108" spans="2:30">
      <c r="B108" s="147">
        <v>3886</v>
      </c>
      <c r="C108" s="148" t="s">
        <v>828</v>
      </c>
      <c r="D108" s="148" t="s">
        <v>935</v>
      </c>
      <c r="E108" s="148" t="s">
        <v>822</v>
      </c>
      <c r="F108" s="148" t="s">
        <v>947</v>
      </c>
      <c r="G108" s="148" t="s">
        <v>948</v>
      </c>
      <c r="H108" s="148">
        <v>6.4792337672008902</v>
      </c>
      <c r="I108" s="148">
        <f>'Cálculo PU'!AA163</f>
        <v>6.4792337664069581</v>
      </c>
      <c r="J108" s="165">
        <f t="shared" si="5"/>
        <v>7.9393203122890554E-10</v>
      </c>
      <c r="L108" s="147">
        <v>3912</v>
      </c>
      <c r="M108" s="148" t="s">
        <v>828</v>
      </c>
      <c r="N108" s="148" t="s">
        <v>935</v>
      </c>
      <c r="O108" s="148" t="s">
        <v>822</v>
      </c>
      <c r="P108" s="148" t="s">
        <v>947</v>
      </c>
      <c r="Q108" s="148" t="s">
        <v>949</v>
      </c>
      <c r="R108" s="148">
        <v>1.33171814476015</v>
      </c>
      <c r="S108" s="148">
        <f>'Cálculo PU'!AC163</f>
        <v>4.8740169088896916</v>
      </c>
      <c r="T108" s="165">
        <f t="shared" si="7"/>
        <v>-3.5422987641295416</v>
      </c>
      <c r="V108" s="147">
        <v>3911</v>
      </c>
      <c r="W108" s="148" t="s">
        <v>828</v>
      </c>
      <c r="X108" s="148" t="s">
        <v>935</v>
      </c>
      <c r="Y108" s="148" t="s">
        <v>822</v>
      </c>
      <c r="Z108" s="148" t="s">
        <v>947</v>
      </c>
      <c r="AA108" s="148" t="s">
        <v>951</v>
      </c>
      <c r="AB108" s="148">
        <v>4.8653191312999997</v>
      </c>
      <c r="AC108" s="148">
        <f>'Cálculo PU'!AB163</f>
        <v>1.3293416677708936</v>
      </c>
      <c r="AD108" s="154">
        <f t="shared" si="6"/>
        <v>3.5359774635291061</v>
      </c>
    </row>
    <row r="109" spans="2:30">
      <c r="B109" s="147">
        <v>3923</v>
      </c>
      <c r="C109" s="148" t="s">
        <v>828</v>
      </c>
      <c r="D109" s="148" t="s">
        <v>936</v>
      </c>
      <c r="E109" s="148" t="s">
        <v>822</v>
      </c>
      <c r="F109" s="148" t="s">
        <v>947</v>
      </c>
      <c r="G109" s="148" t="s">
        <v>948</v>
      </c>
      <c r="H109" s="148">
        <v>5.3712329604605999</v>
      </c>
      <c r="I109" s="148">
        <f>'Cálculo PU'!AA164</f>
        <v>5.3712329598024517</v>
      </c>
      <c r="J109" s="165">
        <f t="shared" si="5"/>
        <v>6.581482026035701E-10</v>
      </c>
      <c r="L109" s="147">
        <v>3949</v>
      </c>
      <c r="M109" s="148" t="s">
        <v>828</v>
      </c>
      <c r="N109" s="148" t="s">
        <v>936</v>
      </c>
      <c r="O109" s="148" t="s">
        <v>822</v>
      </c>
      <c r="P109" s="148" t="s">
        <v>947</v>
      </c>
      <c r="Q109" s="148" t="s">
        <v>949</v>
      </c>
      <c r="R109" s="148">
        <v>1.08666539004839</v>
      </c>
      <c r="S109" s="148">
        <f>'Cálculo PU'!AC164</f>
        <v>4.0317873264261133</v>
      </c>
      <c r="T109" s="165">
        <f t="shared" si="7"/>
        <v>-2.9451219363777232</v>
      </c>
      <c r="V109" s="147">
        <v>3948</v>
      </c>
      <c r="W109" s="148" t="s">
        <v>828</v>
      </c>
      <c r="X109" s="148" t="s">
        <v>936</v>
      </c>
      <c r="Y109" s="148" t="s">
        <v>822</v>
      </c>
      <c r="Z109" s="148" t="s">
        <v>947</v>
      </c>
      <c r="AA109" s="148" t="s">
        <v>951</v>
      </c>
      <c r="AB109" s="148">
        <v>4.9428582244820003</v>
      </c>
      <c r="AC109" s="148">
        <f>'Cálculo PU'!AB164</f>
        <v>1.3322213016041349</v>
      </c>
      <c r="AD109" s="154">
        <f t="shared" si="6"/>
        <v>3.6106369228778652</v>
      </c>
    </row>
    <row r="110" spans="2:30">
      <c r="B110" s="147">
        <v>3960</v>
      </c>
      <c r="C110" s="148" t="s">
        <v>828</v>
      </c>
      <c r="D110" s="148" t="s">
        <v>937</v>
      </c>
      <c r="E110" s="148" t="s">
        <v>822</v>
      </c>
      <c r="F110" s="148" t="s">
        <v>947</v>
      </c>
      <c r="G110" s="148" t="s">
        <v>948</v>
      </c>
      <c r="H110" s="148">
        <v>4.2751254512344596</v>
      </c>
      <c r="I110" s="148">
        <f>'Cálculo PU'!AA165</f>
        <v>4.2751254507106422</v>
      </c>
      <c r="J110" s="165">
        <f t="shared" si="5"/>
        <v>5.2381743387286406E-10</v>
      </c>
      <c r="L110" s="147">
        <v>3986</v>
      </c>
      <c r="M110" s="148" t="s">
        <v>828</v>
      </c>
      <c r="N110" s="148" t="s">
        <v>937</v>
      </c>
      <c r="O110" s="148" t="s">
        <v>822</v>
      </c>
      <c r="P110" s="148" t="s">
        <v>947</v>
      </c>
      <c r="Q110" s="148" t="s">
        <v>949</v>
      </c>
      <c r="R110" s="148">
        <v>0.85176242239990296</v>
      </c>
      <c r="S110" s="148">
        <f>'Cálculo PU'!AC165</f>
        <v>3.2023006344071772</v>
      </c>
      <c r="T110" s="165">
        <f t="shared" si="7"/>
        <v>-2.3505382120072742</v>
      </c>
      <c r="V110" s="147">
        <v>3985</v>
      </c>
      <c r="W110" s="148" t="s">
        <v>828</v>
      </c>
      <c r="X110" s="148" t="s">
        <v>937</v>
      </c>
      <c r="Y110" s="148" t="s">
        <v>822</v>
      </c>
      <c r="Z110" s="148" t="s">
        <v>947</v>
      </c>
      <c r="AA110" s="148" t="s">
        <v>951</v>
      </c>
      <c r="AB110" s="148">
        <v>5.0191524523810003</v>
      </c>
      <c r="AC110" s="148">
        <f>'Cálculo PU'!AB165</f>
        <v>1.3350168952834969</v>
      </c>
      <c r="AD110" s="154">
        <f t="shared" si="6"/>
        <v>3.6841355570975036</v>
      </c>
    </row>
    <row r="111" spans="2:30">
      <c r="B111" s="147">
        <v>3997</v>
      </c>
      <c r="C111" s="148" t="s">
        <v>828</v>
      </c>
      <c r="D111" s="148" t="s">
        <v>938</v>
      </c>
      <c r="E111" s="148" t="s">
        <v>822</v>
      </c>
      <c r="F111" s="148" t="s">
        <v>947</v>
      </c>
      <c r="G111" s="148" t="s">
        <v>948</v>
      </c>
      <c r="H111" s="148">
        <v>3.19075698141756</v>
      </c>
      <c r="I111" s="148">
        <f>'Cálculo PU'!AA166</f>
        <v>3.0455733041263011</v>
      </c>
      <c r="J111" s="165">
        <f t="shared" si="5"/>
        <v>0.14518367729125892</v>
      </c>
      <c r="L111" s="147">
        <v>4023</v>
      </c>
      <c r="M111" s="148" t="s">
        <v>828</v>
      </c>
      <c r="N111" s="148" t="s">
        <v>938</v>
      </c>
      <c r="O111" s="148" t="s">
        <v>822</v>
      </c>
      <c r="P111" s="148" t="s">
        <v>947</v>
      </c>
      <c r="Q111" s="148" t="s">
        <v>949</v>
      </c>
      <c r="R111" s="148">
        <v>0.62574374837931501</v>
      </c>
      <c r="S111" s="148">
        <f>'Cálculo PU'!AC166</f>
        <v>2.2763683534350356</v>
      </c>
      <c r="T111" s="165">
        <f t="shared" si="7"/>
        <v>-1.6506246050557207</v>
      </c>
      <c r="V111" s="147">
        <v>4022</v>
      </c>
      <c r="W111" s="148" t="s">
        <v>828</v>
      </c>
      <c r="X111" s="148" t="s">
        <v>938</v>
      </c>
      <c r="Y111" s="148" t="s">
        <v>822</v>
      </c>
      <c r="Z111" s="148" t="s">
        <v>947</v>
      </c>
      <c r="AA111" s="148" t="s">
        <v>951</v>
      </c>
      <c r="AB111" s="148">
        <v>5.0991432030789996</v>
      </c>
      <c r="AC111" s="148">
        <f>'Cálculo PU'!AB166</f>
        <v>1.3379088228539713</v>
      </c>
      <c r="AD111" s="154">
        <f t="shared" si="6"/>
        <v>3.7612343802250283</v>
      </c>
    </row>
    <row r="112" spans="2:30">
      <c r="B112" s="147">
        <v>4034</v>
      </c>
      <c r="C112" s="148" t="s">
        <v>828</v>
      </c>
      <c r="D112" s="148" t="s">
        <v>939</v>
      </c>
      <c r="E112" s="148" t="s">
        <v>822</v>
      </c>
      <c r="F112" s="148" t="s">
        <v>947</v>
      </c>
      <c r="G112" s="148" t="s">
        <v>948</v>
      </c>
      <c r="H112" s="148">
        <v>1.92437445056805</v>
      </c>
      <c r="I112" s="148">
        <f>'Cálculo PU'!AA167</f>
        <v>1.9243744506591918</v>
      </c>
      <c r="J112" s="165">
        <f t="shared" si="5"/>
        <v>-9.1141760805157901E-11</v>
      </c>
      <c r="L112" s="147">
        <v>4060</v>
      </c>
      <c r="M112" s="148" t="s">
        <v>828</v>
      </c>
      <c r="N112" s="148" t="s">
        <v>939</v>
      </c>
      <c r="O112" s="148" t="s">
        <v>822</v>
      </c>
      <c r="P112" s="148" t="s">
        <v>947</v>
      </c>
      <c r="Q112" s="148" t="s">
        <v>949</v>
      </c>
      <c r="R112" s="148">
        <v>0.371838820088295</v>
      </c>
      <c r="S112" s="148">
        <f>'Cálculo PU'!AC167</f>
        <v>1.4354300824231945</v>
      </c>
      <c r="T112" s="165">
        <f t="shared" si="7"/>
        <v>-1.0635912623348995</v>
      </c>
      <c r="V112" s="147">
        <v>4059</v>
      </c>
      <c r="W112" s="148" t="s">
        <v>828</v>
      </c>
      <c r="X112" s="148" t="s">
        <v>939</v>
      </c>
      <c r="Y112" s="148" t="s">
        <v>822</v>
      </c>
      <c r="Z112" s="148" t="s">
        <v>947</v>
      </c>
      <c r="AA112" s="148" t="s">
        <v>951</v>
      </c>
      <c r="AB112" s="148">
        <v>5.1752919453409998</v>
      </c>
      <c r="AC112" s="148">
        <f>'Cálculo PU'!AB167</f>
        <v>1.3406256941547408</v>
      </c>
      <c r="AD112" s="154">
        <f t="shared" si="6"/>
        <v>3.8346662511862588</v>
      </c>
    </row>
    <row r="113" spans="2:30" ht="15.75" thickBot="1">
      <c r="B113" s="149">
        <v>4071</v>
      </c>
      <c r="C113" s="150" t="s">
        <v>828</v>
      </c>
      <c r="D113" s="150" t="s">
        <v>940</v>
      </c>
      <c r="E113" s="150" t="s">
        <v>822</v>
      </c>
      <c r="F113" s="150" t="s">
        <v>947</v>
      </c>
      <c r="G113" s="150" t="s">
        <v>948</v>
      </c>
      <c r="H113" s="150">
        <v>0.90958903966603299</v>
      </c>
      <c r="I113" s="150">
        <f>'Cálculo PU'!AA168</f>
        <v>0.95750907208055236</v>
      </c>
      <c r="J113" s="170">
        <f t="shared" si="5"/>
        <v>-4.7920032414519365E-2</v>
      </c>
      <c r="L113" s="149">
        <v>4097</v>
      </c>
      <c r="M113" s="150" t="s">
        <v>828</v>
      </c>
      <c r="N113" s="150" t="s">
        <v>940</v>
      </c>
      <c r="O113" s="150" t="s">
        <v>822</v>
      </c>
      <c r="P113" s="150" t="s">
        <v>947</v>
      </c>
      <c r="Q113" s="150" t="s">
        <v>949</v>
      </c>
      <c r="R113" s="150">
        <v>0.17334123870604401</v>
      </c>
      <c r="S113" s="150">
        <f>'Cálculo PU'!AC168</f>
        <v>0.71287448759250738</v>
      </c>
      <c r="T113" s="170">
        <f t="shared" si="7"/>
        <v>-0.53953324888646337</v>
      </c>
      <c r="V113" s="149">
        <v>4096</v>
      </c>
      <c r="W113" s="150" t="s">
        <v>828</v>
      </c>
      <c r="X113" s="150" t="s">
        <v>940</v>
      </c>
      <c r="Y113" s="150" t="s">
        <v>822</v>
      </c>
      <c r="Z113" s="150" t="s">
        <v>947</v>
      </c>
      <c r="AA113" s="150" t="s">
        <v>951</v>
      </c>
      <c r="AB113" s="150">
        <v>5.2473897524669999</v>
      </c>
      <c r="AC113" s="150">
        <f>'Cálculo PU'!AB168</f>
        <v>1.3431664181365441</v>
      </c>
      <c r="AD113" s="155">
        <f t="shared" si="6"/>
        <v>3.9042233343304558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AB3008"/>
  <sheetViews>
    <sheetView topLeftCell="S1" workbookViewId="0">
      <selection activeCell="AA22" sqref="AA22"/>
    </sheetView>
  </sheetViews>
  <sheetFormatPr defaultRowHeight="21" customHeight="1"/>
  <cols>
    <col min="8" max="8" width="17.28515625" customWidth="1"/>
    <col min="9" max="9" width="16.140625" customWidth="1"/>
    <col min="12" max="12" width="10.7109375" bestFit="1" customWidth="1"/>
    <col min="13" max="13" width="17.28515625" customWidth="1"/>
    <col min="15" max="16" width="16.140625" customWidth="1"/>
    <col min="17" max="17" width="10.7109375" bestFit="1" customWidth="1"/>
    <col min="21" max="21" width="9.140625" style="196"/>
    <col min="24" max="24" width="17.42578125" customWidth="1"/>
    <col min="25" max="25" width="14.7109375" bestFit="1" customWidth="1"/>
    <col min="26" max="26" width="16.140625" customWidth="1"/>
    <col min="27" max="27" width="10.140625" bestFit="1" customWidth="1"/>
    <col min="28" max="28" width="17.28515625" bestFit="1" customWidth="1"/>
  </cols>
  <sheetData>
    <row r="3" spans="8:27" ht="21" customHeight="1">
      <c r="H3" s="195"/>
      <c r="I3" s="195"/>
      <c r="J3" s="195"/>
      <c r="K3" s="195"/>
      <c r="L3" s="195"/>
      <c r="M3" s="195"/>
      <c r="O3" s="195"/>
      <c r="P3" s="187"/>
      <c r="X3" s="190"/>
    </row>
    <row r="4" spans="8:27" ht="21" customHeight="1">
      <c r="H4" s="195"/>
      <c r="I4" s="195"/>
      <c r="O4" s="195"/>
      <c r="P4" s="187"/>
      <c r="X4" s="190"/>
    </row>
    <row r="5" spans="8:27" ht="21" customHeight="1">
      <c r="Q5" s="187"/>
      <c r="X5" s="191"/>
    </row>
    <row r="6" spans="8:27" ht="21" customHeight="1">
      <c r="L6" s="187"/>
      <c r="Q6" s="187"/>
      <c r="X6" s="191"/>
      <c r="Y6" s="188"/>
      <c r="Z6" s="192"/>
      <c r="AA6" s="193"/>
    </row>
    <row r="7" spans="8:27" ht="21" customHeight="1">
      <c r="L7" s="187"/>
      <c r="Q7" s="187"/>
      <c r="X7" s="191"/>
      <c r="Y7" s="188"/>
      <c r="Z7" s="192"/>
      <c r="AA7" s="193"/>
    </row>
    <row r="8" spans="8:27" ht="21" customHeight="1">
      <c r="L8" s="187"/>
      <c r="Q8" s="187"/>
      <c r="X8" s="191"/>
      <c r="Y8" s="188"/>
      <c r="Z8" s="192"/>
      <c r="AA8" s="193"/>
    </row>
    <row r="9" spans="8:27" ht="21" customHeight="1">
      <c r="L9" s="187"/>
      <c r="Q9" s="187"/>
      <c r="X9" s="191"/>
      <c r="Y9" s="188"/>
      <c r="Z9" s="192"/>
      <c r="AA9" s="193"/>
    </row>
    <row r="10" spans="8:27" ht="21" customHeight="1">
      <c r="L10" s="187"/>
      <c r="Q10" s="187"/>
      <c r="X10" s="191"/>
      <c r="Y10" s="188"/>
      <c r="Z10" s="192"/>
      <c r="AA10" s="193"/>
    </row>
    <row r="11" spans="8:27" ht="21" customHeight="1">
      <c r="L11" s="187"/>
      <c r="Q11" s="187"/>
      <c r="X11" s="191"/>
      <c r="Y11" s="188"/>
      <c r="Z11" s="192"/>
      <c r="AA11" s="193"/>
    </row>
    <row r="12" spans="8:27" ht="21" customHeight="1">
      <c r="L12" s="187"/>
      <c r="Q12" s="187"/>
      <c r="X12" s="191"/>
      <c r="Y12" s="188"/>
      <c r="Z12" s="192"/>
      <c r="AA12" s="193"/>
    </row>
    <row r="13" spans="8:27" ht="21" customHeight="1">
      <c r="L13" s="187"/>
      <c r="Q13" s="187"/>
      <c r="X13" s="191"/>
      <c r="Y13" s="188"/>
      <c r="Z13" s="192"/>
      <c r="AA13" s="193"/>
    </row>
    <row r="14" spans="8:27" ht="21" customHeight="1">
      <c r="L14" s="187"/>
      <c r="Q14" s="187"/>
      <c r="X14" s="191"/>
      <c r="Y14" s="188"/>
      <c r="Z14" s="192"/>
      <c r="AA14" s="193"/>
    </row>
    <row r="15" spans="8:27" ht="21" customHeight="1">
      <c r="L15" s="187"/>
      <c r="Q15" s="187"/>
      <c r="X15" s="191"/>
      <c r="Y15" s="188"/>
      <c r="Z15" s="192"/>
      <c r="AA15" s="193"/>
    </row>
    <row r="16" spans="8:27" ht="21" customHeight="1">
      <c r="L16" s="187"/>
      <c r="Q16" s="187"/>
      <c r="X16" s="191"/>
      <c r="Y16" s="188"/>
      <c r="Z16" s="192"/>
      <c r="AA16" s="193"/>
    </row>
    <row r="17" spans="12:27" ht="21" customHeight="1">
      <c r="L17" s="187"/>
      <c r="Q17" s="187"/>
      <c r="X17" s="191"/>
      <c r="Y17" s="188"/>
      <c r="Z17" s="192"/>
      <c r="AA17" s="193"/>
    </row>
    <row r="18" spans="12:27" ht="21" customHeight="1">
      <c r="L18" s="187"/>
      <c r="Q18" s="187"/>
      <c r="X18" s="191"/>
      <c r="Y18" s="188"/>
      <c r="Z18" s="192"/>
      <c r="AA18" s="193"/>
    </row>
    <row r="19" spans="12:27" ht="21" customHeight="1">
      <c r="L19" s="187"/>
      <c r="Q19" s="187"/>
      <c r="X19" s="191"/>
      <c r="Y19" s="188"/>
      <c r="Z19" s="192"/>
      <c r="AA19" s="193"/>
    </row>
    <row r="20" spans="12:27" ht="21" customHeight="1">
      <c r="L20" s="187"/>
      <c r="Q20" s="187"/>
      <c r="X20" s="191"/>
      <c r="Y20" s="188"/>
      <c r="Z20" s="192"/>
      <c r="AA20" s="193"/>
    </row>
    <row r="21" spans="12:27" ht="21" customHeight="1">
      <c r="L21" s="187"/>
      <c r="Q21" s="187"/>
      <c r="X21" s="191"/>
      <c r="Y21" s="188"/>
      <c r="Z21" s="192"/>
      <c r="AA21" s="193"/>
    </row>
    <row r="22" spans="12:27" ht="21" customHeight="1">
      <c r="L22" s="187"/>
      <c r="Q22" s="187"/>
      <c r="X22" s="191"/>
      <c r="Y22" s="188"/>
      <c r="Z22" s="192"/>
      <c r="AA22" s="193"/>
    </row>
    <row r="23" spans="12:27" ht="21" customHeight="1">
      <c r="L23" s="187"/>
      <c r="Q23" s="187"/>
      <c r="X23" s="191"/>
      <c r="Y23" s="188"/>
      <c r="Z23" s="192"/>
      <c r="AA23" s="193"/>
    </row>
    <row r="24" spans="12:27" ht="21" customHeight="1">
      <c r="L24" s="187"/>
      <c r="Q24" s="187"/>
      <c r="X24" s="191"/>
      <c r="Y24" s="188"/>
      <c r="Z24" s="192"/>
      <c r="AA24" s="193"/>
    </row>
    <row r="25" spans="12:27" ht="21" customHeight="1">
      <c r="L25" s="187"/>
      <c r="Q25" s="187"/>
      <c r="X25" s="191"/>
      <c r="Y25" s="188"/>
      <c r="Z25" s="192"/>
      <c r="AA25" s="193"/>
    </row>
    <row r="26" spans="12:27" ht="21" customHeight="1">
      <c r="L26" s="187"/>
      <c r="Q26" s="187"/>
      <c r="X26" s="191"/>
      <c r="Y26" s="188"/>
      <c r="Z26" s="192"/>
      <c r="AA26" s="193"/>
    </row>
    <row r="27" spans="12:27" ht="21" customHeight="1">
      <c r="L27" s="187"/>
      <c r="Q27" s="187"/>
      <c r="X27" s="191"/>
      <c r="Y27" s="188"/>
      <c r="Z27" s="192"/>
      <c r="AA27" s="193"/>
    </row>
    <row r="28" spans="12:27" ht="21" customHeight="1">
      <c r="L28" s="187"/>
      <c r="Q28" s="187"/>
      <c r="X28" s="191"/>
      <c r="Y28" s="188"/>
      <c r="Z28" s="192"/>
      <c r="AA28" s="193"/>
    </row>
    <row r="29" spans="12:27" ht="21" customHeight="1">
      <c r="L29" s="187"/>
      <c r="Q29" s="187"/>
      <c r="X29" s="191"/>
      <c r="Y29" s="188"/>
      <c r="Z29" s="192"/>
      <c r="AA29" s="193"/>
    </row>
    <row r="30" spans="12:27" ht="21" customHeight="1">
      <c r="L30" s="187"/>
      <c r="Q30" s="187"/>
      <c r="X30" s="191"/>
      <c r="Y30" s="188"/>
      <c r="Z30" s="192"/>
      <c r="AA30" s="193"/>
    </row>
    <row r="31" spans="12:27" ht="21" customHeight="1">
      <c r="L31" s="187"/>
      <c r="Q31" s="187"/>
      <c r="X31" s="191"/>
      <c r="Y31" s="188"/>
      <c r="Z31" s="192"/>
      <c r="AA31" s="193"/>
    </row>
    <row r="32" spans="12:27" ht="21" customHeight="1">
      <c r="L32" s="187"/>
      <c r="Q32" s="187"/>
      <c r="X32" s="191"/>
      <c r="Y32" s="188"/>
      <c r="Z32" s="192"/>
      <c r="AA32" s="193"/>
    </row>
    <row r="33" spans="12:27" ht="21" customHeight="1">
      <c r="L33" s="187"/>
      <c r="Q33" s="187"/>
      <c r="X33" s="191"/>
      <c r="Y33" s="188"/>
      <c r="Z33" s="192"/>
      <c r="AA33" s="193"/>
    </row>
    <row r="34" spans="12:27" ht="21" customHeight="1">
      <c r="L34" s="187"/>
      <c r="Q34" s="187"/>
      <c r="X34" s="191"/>
      <c r="Y34" s="188"/>
      <c r="Z34" s="192"/>
      <c r="AA34" s="193"/>
    </row>
    <row r="35" spans="12:27" ht="21" customHeight="1">
      <c r="L35" s="187"/>
      <c r="Q35" s="187"/>
      <c r="X35" s="191"/>
      <c r="Y35" s="188"/>
      <c r="Z35" s="192"/>
      <c r="AA35" s="193"/>
    </row>
    <row r="36" spans="12:27" ht="21" customHeight="1">
      <c r="L36" s="187"/>
      <c r="Q36" s="187"/>
      <c r="X36" s="191"/>
      <c r="Y36" s="188"/>
      <c r="Z36" s="192"/>
      <c r="AA36" s="193"/>
    </row>
    <row r="37" spans="12:27" ht="21" customHeight="1">
      <c r="L37" s="187"/>
      <c r="Q37" s="187"/>
      <c r="X37" s="191"/>
      <c r="Y37" s="188"/>
      <c r="Z37" s="192"/>
      <c r="AA37" s="193"/>
    </row>
    <row r="38" spans="12:27" ht="21" customHeight="1">
      <c r="L38" s="187"/>
      <c r="Q38" s="187"/>
      <c r="X38" s="191"/>
      <c r="Y38" s="188"/>
      <c r="Z38" s="192"/>
      <c r="AA38" s="193"/>
    </row>
    <row r="39" spans="12:27" ht="21" customHeight="1">
      <c r="L39" s="187"/>
      <c r="Q39" s="187"/>
      <c r="X39" s="191"/>
      <c r="Y39" s="188"/>
      <c r="Z39" s="192"/>
      <c r="AA39" s="193"/>
    </row>
    <row r="40" spans="12:27" ht="21" customHeight="1">
      <c r="L40" s="187"/>
      <c r="Q40" s="187"/>
      <c r="X40" s="191"/>
      <c r="Y40" s="189"/>
      <c r="Z40" s="192"/>
      <c r="AA40" s="194"/>
    </row>
    <row r="41" spans="12:27" ht="21" customHeight="1">
      <c r="L41" s="187"/>
      <c r="Q41" s="187"/>
      <c r="X41" s="191"/>
      <c r="Y41" s="188"/>
      <c r="Z41" s="192"/>
      <c r="AA41" s="193"/>
    </row>
    <row r="42" spans="12:27" ht="21" customHeight="1">
      <c r="L42" s="187"/>
      <c r="Q42" s="187"/>
      <c r="X42" s="191"/>
      <c r="Y42" s="188"/>
      <c r="Z42" s="192"/>
      <c r="AA42" s="193"/>
    </row>
    <row r="43" spans="12:27" ht="21" customHeight="1">
      <c r="L43" s="187"/>
      <c r="Q43" s="187"/>
      <c r="X43" s="191"/>
      <c r="Y43" s="188"/>
      <c r="Z43" s="192"/>
      <c r="AA43" s="193"/>
    </row>
    <row r="44" spans="12:27" ht="21" customHeight="1">
      <c r="L44" s="187"/>
      <c r="Q44" s="187"/>
      <c r="X44" s="191"/>
      <c r="Y44" s="188"/>
      <c r="Z44" s="192"/>
      <c r="AA44" s="193"/>
    </row>
    <row r="45" spans="12:27" ht="21" customHeight="1">
      <c r="L45" s="187"/>
      <c r="Q45" s="187"/>
      <c r="X45" s="191"/>
      <c r="Y45" s="188"/>
      <c r="Z45" s="192"/>
      <c r="AA45" s="193"/>
    </row>
    <row r="46" spans="12:27" ht="21" customHeight="1">
      <c r="L46" s="187"/>
      <c r="Q46" s="187"/>
      <c r="X46" s="191"/>
      <c r="Y46" s="188"/>
      <c r="Z46" s="192"/>
      <c r="AA46" s="193"/>
    </row>
    <row r="47" spans="12:27" ht="21" customHeight="1">
      <c r="L47" s="187"/>
      <c r="Q47" s="187"/>
      <c r="X47" s="191"/>
      <c r="Y47" s="188"/>
      <c r="Z47" s="192"/>
      <c r="AA47" s="193"/>
    </row>
    <row r="48" spans="12:27" ht="21" customHeight="1">
      <c r="L48" s="187"/>
      <c r="Q48" s="187"/>
      <c r="X48" s="191"/>
      <c r="Y48" s="188"/>
      <c r="Z48" s="192"/>
      <c r="AA48" s="193"/>
    </row>
    <row r="49" spans="12:27" ht="21" customHeight="1">
      <c r="L49" s="187"/>
      <c r="Q49" s="187"/>
      <c r="X49" s="191"/>
      <c r="Y49" s="188"/>
      <c r="Z49" s="192"/>
      <c r="AA49" s="193"/>
    </row>
    <row r="50" spans="12:27" ht="21" customHeight="1">
      <c r="L50" s="187"/>
      <c r="Q50" s="187"/>
      <c r="X50" s="191"/>
      <c r="Y50" s="188"/>
      <c r="Z50" s="192"/>
      <c r="AA50" s="193"/>
    </row>
    <row r="51" spans="12:27" ht="21" customHeight="1">
      <c r="L51" s="187"/>
      <c r="Q51" s="187"/>
      <c r="X51" s="191"/>
      <c r="Y51" s="188"/>
      <c r="Z51" s="192"/>
      <c r="AA51" s="193"/>
    </row>
    <row r="52" spans="12:27" ht="21" customHeight="1">
      <c r="L52" s="187"/>
      <c r="Q52" s="187"/>
      <c r="X52" s="191"/>
      <c r="Y52" s="188"/>
      <c r="Z52" s="192"/>
      <c r="AA52" s="193"/>
    </row>
    <row r="53" spans="12:27" ht="21" customHeight="1">
      <c r="L53" s="187"/>
      <c r="Q53" s="187"/>
      <c r="X53" s="191"/>
      <c r="Y53" s="188"/>
      <c r="Z53" s="192"/>
      <c r="AA53" s="193"/>
    </row>
    <row r="54" spans="12:27" ht="21" customHeight="1">
      <c r="L54" s="187"/>
      <c r="Q54" s="187"/>
      <c r="X54" s="191"/>
      <c r="Y54" s="188"/>
      <c r="Z54" s="192"/>
      <c r="AA54" s="193"/>
    </row>
    <row r="55" spans="12:27" ht="21" customHeight="1">
      <c r="L55" s="187"/>
      <c r="Q55" s="187"/>
      <c r="X55" s="191"/>
      <c r="Y55" s="188"/>
      <c r="Z55" s="192"/>
      <c r="AA55" s="193"/>
    </row>
    <row r="56" spans="12:27" ht="21" customHeight="1">
      <c r="L56" s="187"/>
      <c r="Q56" s="187"/>
      <c r="X56" s="191"/>
      <c r="Y56" s="188"/>
      <c r="Z56" s="192"/>
      <c r="AA56" s="193"/>
    </row>
    <row r="57" spans="12:27" ht="21" customHeight="1">
      <c r="L57" s="187"/>
      <c r="Q57" s="187"/>
      <c r="X57" s="191"/>
      <c r="Y57" s="188"/>
      <c r="Z57" s="192"/>
      <c r="AA57" s="193"/>
    </row>
    <row r="58" spans="12:27" ht="21" customHeight="1">
      <c r="L58" s="187"/>
      <c r="Q58" s="187"/>
      <c r="X58" s="191"/>
      <c r="Y58" s="188"/>
      <c r="Z58" s="192"/>
      <c r="AA58" s="193"/>
    </row>
    <row r="59" spans="12:27" ht="21" customHeight="1">
      <c r="L59" s="187"/>
      <c r="Q59" s="187"/>
      <c r="X59" s="191"/>
      <c r="Y59" s="188"/>
      <c r="Z59" s="192"/>
      <c r="AA59" s="193"/>
    </row>
    <row r="60" spans="12:27" ht="21" customHeight="1">
      <c r="L60" s="187"/>
      <c r="Q60" s="187"/>
      <c r="X60" s="191"/>
      <c r="Y60" s="188"/>
      <c r="Z60" s="192"/>
      <c r="AA60" s="193"/>
    </row>
    <row r="61" spans="12:27" ht="21" customHeight="1">
      <c r="L61" s="187"/>
      <c r="Q61" s="187"/>
      <c r="X61" s="191"/>
      <c r="Y61" s="188"/>
      <c r="Z61" s="192"/>
      <c r="AA61" s="193"/>
    </row>
    <row r="62" spans="12:27" ht="21" customHeight="1">
      <c r="L62" s="187"/>
      <c r="Q62" s="187"/>
      <c r="X62" s="191"/>
      <c r="Y62" s="188"/>
      <c r="Z62" s="192"/>
      <c r="AA62" s="193"/>
    </row>
    <row r="63" spans="12:27" ht="21" customHeight="1">
      <c r="L63" s="187"/>
      <c r="Q63" s="187"/>
      <c r="X63" s="191"/>
      <c r="Y63" s="188"/>
      <c r="Z63" s="192"/>
      <c r="AA63" s="193"/>
    </row>
    <row r="64" spans="12:27" ht="21" customHeight="1">
      <c r="L64" s="187"/>
      <c r="Q64" s="187"/>
      <c r="X64" s="191"/>
      <c r="Y64" s="188"/>
      <c r="Z64" s="192"/>
      <c r="AA64" s="193"/>
    </row>
    <row r="65" spans="12:27" ht="21" customHeight="1">
      <c r="L65" s="187"/>
      <c r="Q65" s="187"/>
      <c r="X65" s="191"/>
      <c r="Y65" s="188"/>
      <c r="Z65" s="192"/>
      <c r="AA65" s="193"/>
    </row>
    <row r="66" spans="12:27" ht="21" customHeight="1">
      <c r="L66" s="187"/>
      <c r="Q66" s="187"/>
      <c r="X66" s="191"/>
      <c r="Y66" s="188"/>
      <c r="Z66" s="192"/>
      <c r="AA66" s="193"/>
    </row>
    <row r="67" spans="12:27" ht="21" customHeight="1">
      <c r="L67" s="187"/>
      <c r="Q67" s="187"/>
      <c r="X67" s="191"/>
      <c r="Y67" s="188"/>
      <c r="Z67" s="192"/>
      <c r="AA67" s="193"/>
    </row>
    <row r="68" spans="12:27" ht="21" customHeight="1">
      <c r="L68" s="187"/>
      <c r="Q68" s="187"/>
      <c r="X68" s="191"/>
      <c r="Y68" s="188"/>
      <c r="Z68" s="192"/>
      <c r="AA68" s="193"/>
    </row>
    <row r="69" spans="12:27" ht="21" customHeight="1">
      <c r="L69" s="187"/>
      <c r="Q69" s="187"/>
      <c r="X69" s="191"/>
      <c r="Y69" s="188"/>
      <c r="Z69" s="192"/>
      <c r="AA69" s="193"/>
    </row>
    <row r="70" spans="12:27" ht="21" customHeight="1">
      <c r="L70" s="187"/>
      <c r="Q70" s="187"/>
      <c r="X70" s="191"/>
      <c r="Y70" s="188"/>
      <c r="Z70" s="192"/>
      <c r="AA70" s="193"/>
    </row>
    <row r="71" spans="12:27" ht="21" customHeight="1">
      <c r="L71" s="187"/>
      <c r="Q71" s="187"/>
      <c r="X71" s="191"/>
      <c r="Y71" s="188"/>
      <c r="Z71" s="192"/>
      <c r="AA71" s="193"/>
    </row>
    <row r="72" spans="12:27" ht="21" customHeight="1">
      <c r="L72" s="187"/>
      <c r="Q72" s="187"/>
      <c r="X72" s="191"/>
      <c r="Y72" s="188"/>
      <c r="Z72" s="192"/>
      <c r="AA72" s="193"/>
    </row>
    <row r="73" spans="12:27" ht="21" customHeight="1">
      <c r="L73" s="187"/>
      <c r="Q73" s="187"/>
      <c r="X73" s="191"/>
      <c r="Y73" s="188"/>
      <c r="Z73" s="192"/>
      <c r="AA73" s="193"/>
    </row>
    <row r="74" spans="12:27" ht="21" customHeight="1">
      <c r="L74" s="187"/>
      <c r="Q74" s="187"/>
      <c r="X74" s="191"/>
      <c r="Y74" s="188"/>
      <c r="Z74" s="192"/>
      <c r="AA74" s="193"/>
    </row>
    <row r="75" spans="12:27" ht="21" customHeight="1">
      <c r="L75" s="187"/>
      <c r="Q75" s="187"/>
      <c r="X75" s="191"/>
      <c r="Y75" s="188"/>
      <c r="Z75" s="192"/>
      <c r="AA75" s="193"/>
    </row>
    <row r="76" spans="12:27" ht="21" customHeight="1">
      <c r="L76" s="187"/>
      <c r="Q76" s="187"/>
      <c r="X76" s="191"/>
      <c r="Y76" s="188"/>
      <c r="Z76" s="192"/>
      <c r="AA76" s="193"/>
    </row>
    <row r="77" spans="12:27" ht="21" customHeight="1">
      <c r="L77" s="187"/>
      <c r="Q77" s="187"/>
      <c r="X77" s="191"/>
      <c r="Y77" s="188"/>
      <c r="Z77" s="192"/>
      <c r="AA77" s="193"/>
    </row>
    <row r="78" spans="12:27" ht="21" customHeight="1">
      <c r="L78" s="187"/>
      <c r="Q78" s="187"/>
      <c r="X78" s="191"/>
      <c r="Y78" s="188"/>
      <c r="Z78" s="192"/>
      <c r="AA78" s="193"/>
    </row>
    <row r="79" spans="12:27" ht="21" customHeight="1">
      <c r="L79" s="187"/>
      <c r="Q79" s="187"/>
      <c r="X79" s="191"/>
      <c r="Y79" s="188"/>
      <c r="Z79" s="192"/>
      <c r="AA79" s="193"/>
    </row>
    <row r="80" spans="12:27" ht="21" customHeight="1">
      <c r="L80" s="187"/>
      <c r="Q80" s="187"/>
      <c r="X80" s="191"/>
      <c r="Y80" s="188"/>
      <c r="Z80" s="192"/>
      <c r="AA80" s="193"/>
    </row>
    <row r="81" spans="12:27" ht="21" customHeight="1">
      <c r="L81" s="187"/>
      <c r="Q81" s="187"/>
      <c r="X81" s="191"/>
      <c r="Y81" s="188"/>
      <c r="Z81" s="192"/>
      <c r="AA81" s="193"/>
    </row>
    <row r="82" spans="12:27" ht="21" customHeight="1">
      <c r="L82" s="187"/>
      <c r="Q82" s="187"/>
      <c r="X82" s="191"/>
      <c r="Y82" s="188"/>
      <c r="Z82" s="192"/>
      <c r="AA82" s="193"/>
    </row>
    <row r="83" spans="12:27" ht="21" customHeight="1">
      <c r="L83" s="187"/>
      <c r="Q83" s="187"/>
      <c r="X83" s="191"/>
      <c r="Y83" s="188"/>
      <c r="Z83" s="192"/>
      <c r="AA83" s="193"/>
    </row>
    <row r="84" spans="12:27" ht="21" customHeight="1">
      <c r="L84" s="187"/>
      <c r="Q84" s="187"/>
      <c r="X84" s="191"/>
      <c r="Y84" s="188"/>
      <c r="Z84" s="192"/>
      <c r="AA84" s="193"/>
    </row>
    <row r="85" spans="12:27" ht="21" customHeight="1">
      <c r="L85" s="187"/>
      <c r="Q85" s="187"/>
      <c r="X85" s="191"/>
      <c r="Y85" s="188"/>
      <c r="Z85" s="192"/>
      <c r="AA85" s="193"/>
    </row>
    <row r="86" spans="12:27" ht="21" customHeight="1">
      <c r="L86" s="187"/>
      <c r="Q86" s="187"/>
      <c r="X86" s="191"/>
      <c r="Y86" s="188"/>
      <c r="Z86" s="192"/>
      <c r="AA86" s="193"/>
    </row>
    <row r="87" spans="12:27" ht="21" customHeight="1">
      <c r="L87" s="187"/>
      <c r="Q87" s="187"/>
      <c r="X87" s="191"/>
      <c r="Y87" s="188"/>
      <c r="Z87" s="192"/>
      <c r="AA87" s="193"/>
    </row>
    <row r="88" spans="12:27" ht="21" customHeight="1">
      <c r="L88" s="187"/>
      <c r="Q88" s="187"/>
      <c r="X88" s="191"/>
      <c r="Y88" s="188"/>
      <c r="Z88" s="192"/>
      <c r="AA88" s="193"/>
    </row>
    <row r="89" spans="12:27" ht="21" customHeight="1">
      <c r="L89" s="187"/>
      <c r="Q89" s="187"/>
      <c r="X89" s="191"/>
      <c r="Y89" s="188"/>
      <c r="Z89" s="192"/>
      <c r="AA89" s="193"/>
    </row>
    <row r="90" spans="12:27" ht="21" customHeight="1">
      <c r="L90" s="187"/>
      <c r="Q90" s="187"/>
      <c r="X90" s="191"/>
      <c r="Y90" s="188"/>
      <c r="Z90" s="192"/>
      <c r="AA90" s="193"/>
    </row>
    <row r="91" spans="12:27" ht="21" customHeight="1">
      <c r="L91" s="187"/>
      <c r="Q91" s="187"/>
      <c r="X91" s="191"/>
      <c r="Y91" s="188"/>
      <c r="Z91" s="192"/>
      <c r="AA91" s="193"/>
    </row>
    <row r="92" spans="12:27" ht="21" customHeight="1">
      <c r="L92" s="187"/>
      <c r="Q92" s="187"/>
      <c r="X92" s="191"/>
      <c r="Y92" s="188"/>
      <c r="Z92" s="192"/>
      <c r="AA92" s="193"/>
    </row>
    <row r="93" spans="12:27" ht="21" customHeight="1">
      <c r="L93" s="187"/>
      <c r="Q93" s="187"/>
      <c r="X93" s="191"/>
      <c r="Y93" s="188"/>
      <c r="Z93" s="192"/>
      <c r="AA93" s="193"/>
    </row>
    <row r="94" spans="12:27" ht="21" customHeight="1">
      <c r="L94" s="187"/>
      <c r="Q94" s="187"/>
      <c r="X94" s="191"/>
      <c r="Y94" s="188"/>
      <c r="Z94" s="192"/>
      <c r="AA94" s="193"/>
    </row>
    <row r="95" spans="12:27" ht="21" customHeight="1">
      <c r="L95" s="187"/>
      <c r="Q95" s="187"/>
      <c r="X95" s="191"/>
      <c r="Y95" s="188"/>
      <c r="Z95" s="192"/>
      <c r="AA95" s="193"/>
    </row>
    <row r="96" spans="12:27" ht="21" customHeight="1">
      <c r="L96" s="187"/>
      <c r="Q96" s="187"/>
      <c r="X96" s="191"/>
      <c r="Y96" s="188"/>
      <c r="Z96" s="192"/>
      <c r="AA96" s="193"/>
    </row>
    <row r="97" spans="12:27" ht="21" customHeight="1">
      <c r="L97" s="187"/>
      <c r="Q97" s="187"/>
      <c r="X97" s="191"/>
      <c r="Y97" s="188"/>
      <c r="Z97" s="192"/>
      <c r="AA97" s="193"/>
    </row>
    <row r="98" spans="12:27" ht="21" customHeight="1">
      <c r="L98" s="187"/>
      <c r="Q98" s="187"/>
      <c r="X98" s="191"/>
      <c r="Y98" s="188"/>
      <c r="Z98" s="192"/>
      <c r="AA98" s="193"/>
    </row>
    <row r="99" spans="12:27" ht="21" customHeight="1">
      <c r="L99" s="187"/>
      <c r="Q99" s="187"/>
      <c r="X99" s="191"/>
      <c r="Y99" s="188"/>
      <c r="Z99" s="192"/>
      <c r="AA99" s="193"/>
    </row>
    <row r="100" spans="12:27" ht="21" customHeight="1">
      <c r="L100" s="187"/>
      <c r="Q100" s="187"/>
      <c r="X100" s="191"/>
      <c r="Y100" s="188"/>
      <c r="Z100" s="192"/>
      <c r="AA100" s="193"/>
    </row>
    <row r="101" spans="12:27" ht="21" customHeight="1">
      <c r="L101" s="187"/>
      <c r="Q101" s="187"/>
      <c r="X101" s="191"/>
      <c r="Y101" s="188"/>
      <c r="Z101" s="192"/>
      <c r="AA101" s="193"/>
    </row>
    <row r="102" spans="12:27" ht="21" customHeight="1">
      <c r="L102" s="187"/>
      <c r="Q102" s="187"/>
      <c r="X102" s="191"/>
      <c r="Y102" s="188"/>
      <c r="Z102" s="192"/>
      <c r="AA102" s="193"/>
    </row>
    <row r="103" spans="12:27" ht="21" customHeight="1">
      <c r="L103" s="187"/>
      <c r="Q103" s="187"/>
      <c r="X103" s="191"/>
      <c r="Y103" s="188"/>
      <c r="Z103" s="192"/>
      <c r="AA103" s="193"/>
    </row>
    <row r="104" spans="12:27" ht="21" customHeight="1">
      <c r="L104" s="187"/>
      <c r="Q104" s="187"/>
      <c r="X104" s="191"/>
      <c r="Y104" s="188"/>
      <c r="Z104" s="192"/>
      <c r="AA104" s="193"/>
    </row>
    <row r="105" spans="12:27" ht="21" customHeight="1">
      <c r="L105" s="187"/>
      <c r="Q105" s="187"/>
      <c r="X105" s="191"/>
      <c r="Y105" s="188"/>
      <c r="Z105" s="192"/>
      <c r="AA105" s="193"/>
    </row>
    <row r="106" spans="12:27" ht="21" customHeight="1">
      <c r="L106" s="187"/>
      <c r="Q106" s="187"/>
      <c r="X106" s="191"/>
      <c r="Y106" s="188"/>
      <c r="Z106" s="192"/>
      <c r="AA106" s="193"/>
    </row>
    <row r="107" spans="12:27" ht="21" customHeight="1">
      <c r="L107" s="187"/>
      <c r="Q107" s="187"/>
      <c r="X107" s="191"/>
      <c r="Y107" s="188"/>
      <c r="Z107" s="192"/>
      <c r="AA107" s="193"/>
    </row>
    <row r="108" spans="12:27" ht="21" customHeight="1">
      <c r="L108" s="187"/>
      <c r="Q108" s="187"/>
      <c r="X108" s="191"/>
      <c r="Y108" s="188"/>
      <c r="Z108" s="192"/>
      <c r="AA108" s="193"/>
    </row>
    <row r="109" spans="12:27" ht="21" customHeight="1">
      <c r="L109" s="187"/>
      <c r="Q109" s="187"/>
      <c r="X109" s="191"/>
      <c r="Y109" s="188"/>
      <c r="Z109" s="192"/>
      <c r="AA109" s="193"/>
    </row>
    <row r="110" spans="12:27" ht="21" customHeight="1">
      <c r="L110" s="187"/>
      <c r="Q110" s="187"/>
      <c r="X110" s="191"/>
      <c r="Y110" s="188"/>
      <c r="Z110" s="192"/>
      <c r="AA110" s="193"/>
    </row>
    <row r="111" spans="12:27" ht="21" customHeight="1">
      <c r="L111" s="187"/>
      <c r="Q111" s="187"/>
      <c r="X111" s="191"/>
      <c r="Y111" s="188"/>
      <c r="Z111" s="192"/>
      <c r="AA111" s="193"/>
    </row>
    <row r="112" spans="12:27" ht="21" customHeight="1">
      <c r="L112" s="187"/>
      <c r="Q112" s="187"/>
      <c r="X112" s="191"/>
      <c r="Y112" s="188"/>
      <c r="Z112" s="192"/>
      <c r="AA112" s="193"/>
    </row>
    <row r="113" spans="12:27" ht="21" customHeight="1">
      <c r="L113" s="187"/>
      <c r="Q113" s="187"/>
      <c r="X113" s="191"/>
      <c r="Y113" s="188"/>
      <c r="Z113" s="192"/>
      <c r="AA113" s="193"/>
    </row>
    <row r="114" spans="12:27" ht="21" customHeight="1">
      <c r="L114" s="187"/>
      <c r="Q114" s="187"/>
      <c r="X114" s="191"/>
      <c r="Y114" s="188"/>
      <c r="Z114" s="192"/>
      <c r="AA114" s="193"/>
    </row>
    <row r="115" spans="12:27" ht="21" customHeight="1">
      <c r="L115" s="187"/>
      <c r="Q115" s="187"/>
      <c r="X115" s="191"/>
      <c r="Y115" s="188"/>
      <c r="Z115" s="192"/>
      <c r="AA115" s="193"/>
    </row>
    <row r="116" spans="12:27" ht="21" customHeight="1">
      <c r="L116" s="187"/>
      <c r="Q116" s="187"/>
      <c r="X116" s="191"/>
      <c r="Y116" s="188"/>
      <c r="Z116" s="192"/>
      <c r="AA116" s="193"/>
    </row>
    <row r="117" spans="12:27" ht="21" customHeight="1">
      <c r="L117" s="187"/>
      <c r="Q117" s="187"/>
      <c r="X117" s="191"/>
      <c r="Y117" s="188"/>
      <c r="Z117" s="192"/>
      <c r="AA117" s="193"/>
    </row>
    <row r="118" spans="12:27" ht="21" customHeight="1">
      <c r="L118" s="187"/>
      <c r="Q118" s="187"/>
      <c r="X118" s="191"/>
      <c r="Y118" s="188"/>
      <c r="Z118" s="192"/>
      <c r="AA118" s="193"/>
    </row>
    <row r="119" spans="12:27" ht="21" customHeight="1">
      <c r="L119" s="187"/>
      <c r="Q119" s="187"/>
      <c r="X119" s="191"/>
      <c r="Y119" s="188"/>
      <c r="Z119" s="192"/>
      <c r="AA119" s="193"/>
    </row>
    <row r="120" spans="12:27" ht="21" customHeight="1">
      <c r="L120" s="187"/>
      <c r="Q120" s="187"/>
      <c r="X120" s="191"/>
      <c r="Y120" s="188"/>
      <c r="Z120" s="192"/>
      <c r="AA120" s="193"/>
    </row>
    <row r="121" spans="12:27" ht="21" customHeight="1">
      <c r="L121" s="187"/>
      <c r="Q121" s="187"/>
      <c r="X121" s="191"/>
      <c r="Y121" s="188"/>
      <c r="Z121" s="192"/>
      <c r="AA121" s="193"/>
    </row>
    <row r="122" spans="12:27" ht="21" customHeight="1">
      <c r="L122" s="187"/>
      <c r="Q122" s="187"/>
      <c r="X122" s="191"/>
      <c r="Y122" s="188"/>
      <c r="Z122" s="192"/>
      <c r="AA122" s="193"/>
    </row>
    <row r="123" spans="12:27" ht="21" customHeight="1">
      <c r="L123" s="187"/>
      <c r="Q123" s="187"/>
      <c r="X123" s="191"/>
      <c r="Y123" s="188"/>
      <c r="Z123" s="192"/>
      <c r="AA123" s="193"/>
    </row>
    <row r="124" spans="12:27" ht="21" customHeight="1">
      <c r="L124" s="187"/>
      <c r="Q124" s="187"/>
      <c r="X124" s="191"/>
      <c r="Y124" s="188"/>
      <c r="Z124" s="192"/>
      <c r="AA124" s="193"/>
    </row>
    <row r="125" spans="12:27" ht="21" customHeight="1">
      <c r="L125" s="187"/>
      <c r="Q125" s="187"/>
      <c r="X125" s="191"/>
      <c r="Y125" s="188"/>
      <c r="Z125" s="192"/>
      <c r="AA125" s="193"/>
    </row>
    <row r="126" spans="12:27" ht="21" customHeight="1">
      <c r="L126" s="187"/>
      <c r="Q126" s="187"/>
      <c r="X126" s="191"/>
      <c r="Y126" s="188"/>
      <c r="Z126" s="192"/>
      <c r="AA126" s="193"/>
    </row>
    <row r="127" spans="12:27" ht="21" customHeight="1">
      <c r="L127" s="187"/>
      <c r="Q127" s="187"/>
      <c r="X127" s="191"/>
      <c r="Y127" s="188"/>
      <c r="Z127" s="192"/>
      <c r="AA127" s="193"/>
    </row>
    <row r="128" spans="12:27" ht="21" customHeight="1">
      <c r="L128" s="187"/>
      <c r="Q128" s="187"/>
      <c r="X128" s="191"/>
      <c r="Y128" s="188"/>
      <c r="Z128" s="192"/>
      <c r="AA128" s="193"/>
    </row>
    <row r="129" spans="12:27" ht="21" customHeight="1">
      <c r="L129" s="187"/>
      <c r="Q129" s="187"/>
      <c r="X129" s="191"/>
      <c r="Y129" s="188"/>
      <c r="Z129" s="192"/>
      <c r="AA129" s="193"/>
    </row>
    <row r="130" spans="12:27" ht="21" customHeight="1">
      <c r="L130" s="187"/>
      <c r="Q130" s="187"/>
      <c r="X130" s="191"/>
      <c r="Y130" s="188"/>
      <c r="Z130" s="192"/>
      <c r="AA130" s="193"/>
    </row>
    <row r="131" spans="12:27" ht="21" customHeight="1">
      <c r="L131" s="187"/>
      <c r="Q131" s="187"/>
      <c r="X131" s="191"/>
      <c r="Y131" s="188"/>
      <c r="Z131" s="192"/>
      <c r="AA131" s="193"/>
    </row>
    <row r="132" spans="12:27" ht="21" customHeight="1">
      <c r="L132" s="187"/>
      <c r="Q132" s="187"/>
      <c r="X132" s="191"/>
      <c r="Y132" s="188"/>
      <c r="Z132" s="192"/>
      <c r="AA132" s="193"/>
    </row>
    <row r="133" spans="12:27" ht="21" customHeight="1">
      <c r="L133" s="187"/>
      <c r="Q133" s="187"/>
      <c r="X133" s="191"/>
      <c r="Y133" s="188"/>
      <c r="Z133" s="192"/>
      <c r="AA133" s="193"/>
    </row>
    <row r="134" spans="12:27" ht="21" customHeight="1">
      <c r="L134" s="187"/>
      <c r="Q134" s="187"/>
      <c r="X134" s="191"/>
      <c r="Y134" s="188"/>
      <c r="Z134" s="192"/>
      <c r="AA134" s="193"/>
    </row>
    <row r="135" spans="12:27" ht="21" customHeight="1">
      <c r="L135" s="187"/>
      <c r="Q135" s="187"/>
      <c r="X135" s="191"/>
      <c r="Y135" s="188"/>
      <c r="Z135" s="192"/>
      <c r="AA135" s="193"/>
    </row>
    <row r="136" spans="12:27" ht="21" customHeight="1">
      <c r="L136" s="187"/>
      <c r="Q136" s="187"/>
      <c r="X136" s="191"/>
      <c r="Y136" s="188"/>
      <c r="Z136" s="192"/>
      <c r="AA136" s="193"/>
    </row>
    <row r="137" spans="12:27" ht="21" customHeight="1">
      <c r="L137" s="187"/>
      <c r="Q137" s="187"/>
      <c r="X137" s="191"/>
      <c r="Y137" s="188"/>
      <c r="Z137" s="192"/>
      <c r="AA137" s="193"/>
    </row>
    <row r="138" spans="12:27" ht="21" customHeight="1">
      <c r="L138" s="187"/>
      <c r="Q138" s="187"/>
      <c r="X138" s="191"/>
      <c r="Y138" s="188"/>
      <c r="Z138" s="192"/>
      <c r="AA138" s="193"/>
    </row>
    <row r="139" spans="12:27" ht="21" customHeight="1">
      <c r="L139" s="187"/>
      <c r="Q139" s="187"/>
      <c r="X139" s="191"/>
      <c r="Y139" s="188"/>
      <c r="Z139" s="192"/>
      <c r="AA139" s="193"/>
    </row>
    <row r="140" spans="12:27" ht="21" customHeight="1">
      <c r="L140" s="187"/>
      <c r="Q140" s="187"/>
      <c r="X140" s="191"/>
      <c r="Y140" s="188"/>
      <c r="Z140" s="192"/>
      <c r="AA140" s="193"/>
    </row>
    <row r="141" spans="12:27" ht="21" customHeight="1">
      <c r="L141" s="187"/>
      <c r="Q141" s="187"/>
      <c r="X141" s="191"/>
      <c r="Y141" s="188"/>
      <c r="Z141" s="192"/>
      <c r="AA141" s="193"/>
    </row>
    <row r="142" spans="12:27" ht="21" customHeight="1">
      <c r="L142" s="187"/>
      <c r="Q142" s="187"/>
      <c r="X142" s="191"/>
      <c r="Y142" s="188"/>
      <c r="Z142" s="192"/>
      <c r="AA142" s="193"/>
    </row>
    <row r="143" spans="12:27" ht="21" customHeight="1">
      <c r="L143" s="187"/>
      <c r="Q143" s="187"/>
      <c r="X143" s="191"/>
      <c r="Y143" s="188"/>
      <c r="Z143" s="192"/>
      <c r="AA143" s="193"/>
    </row>
    <row r="144" spans="12:27" ht="21" customHeight="1">
      <c r="L144" s="187"/>
      <c r="Q144" s="187"/>
      <c r="X144" s="191"/>
      <c r="Y144" s="188"/>
      <c r="Z144" s="192"/>
      <c r="AA144" s="193"/>
    </row>
    <row r="145" spans="12:28" ht="21" customHeight="1">
      <c r="L145" s="187"/>
      <c r="Q145" s="187"/>
      <c r="X145" s="191"/>
      <c r="Y145" s="188"/>
      <c r="Z145" s="192"/>
      <c r="AA145" s="193"/>
    </row>
    <row r="146" spans="12:28" ht="21" customHeight="1">
      <c r="L146" s="187"/>
      <c r="Q146" s="187"/>
      <c r="X146" s="191"/>
      <c r="Y146" s="188"/>
      <c r="Z146" s="192"/>
      <c r="AA146" s="193"/>
    </row>
    <row r="147" spans="12:28" ht="21" customHeight="1">
      <c r="L147" s="187"/>
      <c r="Q147" s="187"/>
      <c r="X147" s="191"/>
      <c r="Y147" s="188"/>
      <c r="Z147" s="192"/>
      <c r="AA147" s="193"/>
    </row>
    <row r="148" spans="12:28" ht="21" customHeight="1">
      <c r="L148" s="187"/>
      <c r="Q148" s="187"/>
      <c r="X148" s="191"/>
      <c r="Y148" s="188"/>
      <c r="Z148" s="192"/>
      <c r="AA148" s="193"/>
    </row>
    <row r="149" spans="12:28" ht="21" customHeight="1">
      <c r="L149" s="187"/>
      <c r="X149" s="191"/>
      <c r="Y149" s="188"/>
      <c r="Z149" s="192"/>
      <c r="AA149" s="193"/>
    </row>
    <row r="150" spans="12:28" ht="21" customHeight="1">
      <c r="L150" s="187"/>
      <c r="AB150" s="143"/>
    </row>
    <row r="151" spans="12:28" ht="21" customHeight="1">
      <c r="L151" s="187"/>
    </row>
    <row r="152" spans="12:28" ht="21" customHeight="1">
      <c r="L152" s="187"/>
    </row>
    <row r="153" spans="12:28" ht="21" customHeight="1">
      <c r="L153" s="187"/>
    </row>
    <row r="154" spans="12:28" ht="21" customHeight="1">
      <c r="L154" s="187"/>
    </row>
    <row r="155" spans="12:28" ht="21" customHeight="1">
      <c r="L155" s="187"/>
    </row>
    <row r="156" spans="12:28" ht="21" customHeight="1">
      <c r="L156" s="187"/>
    </row>
    <row r="157" spans="12:28" ht="21" customHeight="1">
      <c r="L157" s="187"/>
    </row>
    <row r="158" spans="12:28" ht="21" customHeight="1">
      <c r="L158" s="187"/>
    </row>
    <row r="159" spans="12:28" ht="21" customHeight="1">
      <c r="L159" s="187"/>
    </row>
    <row r="160" spans="12:28" ht="21" customHeight="1">
      <c r="L160" s="187"/>
    </row>
    <row r="161" spans="12:12" ht="21" customHeight="1">
      <c r="L161" s="187"/>
    </row>
    <row r="162" spans="12:12" ht="21" customHeight="1">
      <c r="L162" s="187"/>
    </row>
    <row r="163" spans="12:12" ht="21" customHeight="1">
      <c r="L163" s="187"/>
    </row>
    <row r="164" spans="12:12" ht="21" customHeight="1">
      <c r="L164" s="187"/>
    </row>
    <row r="165" spans="12:12" ht="21" customHeight="1">
      <c r="L165" s="187"/>
    </row>
    <row r="166" spans="12:12" ht="21" customHeight="1">
      <c r="L166" s="187"/>
    </row>
    <row r="167" spans="12:12" ht="21" customHeight="1">
      <c r="L167" s="187"/>
    </row>
    <row r="168" spans="12:12" ht="21" customHeight="1">
      <c r="L168" s="187"/>
    </row>
    <row r="169" spans="12:12" ht="21" customHeight="1">
      <c r="L169" s="187"/>
    </row>
    <row r="170" spans="12:12" ht="21" customHeight="1">
      <c r="L170" s="187"/>
    </row>
    <row r="171" spans="12:12" ht="21" customHeight="1">
      <c r="L171" s="187"/>
    </row>
    <row r="172" spans="12:12" ht="21" customHeight="1">
      <c r="L172" s="187"/>
    </row>
    <row r="173" spans="12:12" ht="21" customHeight="1">
      <c r="L173" s="187"/>
    </row>
    <row r="174" spans="12:12" ht="21" customHeight="1">
      <c r="L174" s="187"/>
    </row>
    <row r="175" spans="12:12" ht="21" customHeight="1">
      <c r="L175" s="187"/>
    </row>
    <row r="176" spans="12:12" ht="21" customHeight="1">
      <c r="L176" s="187"/>
    </row>
    <row r="177" spans="12:12" ht="21" customHeight="1">
      <c r="L177" s="187"/>
    </row>
    <row r="178" spans="12:12" ht="21" customHeight="1">
      <c r="L178" s="187"/>
    </row>
    <row r="179" spans="12:12" ht="21" customHeight="1">
      <c r="L179" s="187"/>
    </row>
    <row r="180" spans="12:12" ht="21" customHeight="1">
      <c r="L180" s="187"/>
    </row>
    <row r="181" spans="12:12" ht="21" customHeight="1">
      <c r="L181" s="187"/>
    </row>
    <row r="182" spans="12:12" ht="21" customHeight="1">
      <c r="L182" s="187"/>
    </row>
    <row r="183" spans="12:12" ht="21" customHeight="1">
      <c r="L183" s="187"/>
    </row>
    <row r="184" spans="12:12" ht="21" customHeight="1">
      <c r="L184" s="187"/>
    </row>
    <row r="185" spans="12:12" ht="21" customHeight="1">
      <c r="L185" s="187"/>
    </row>
    <row r="186" spans="12:12" ht="21" customHeight="1">
      <c r="L186" s="187"/>
    </row>
    <row r="187" spans="12:12" ht="21" customHeight="1">
      <c r="L187" s="187"/>
    </row>
    <row r="188" spans="12:12" ht="21" customHeight="1">
      <c r="L188" s="187"/>
    </row>
    <row r="189" spans="12:12" ht="21" customHeight="1">
      <c r="L189" s="187"/>
    </row>
    <row r="190" spans="12:12" ht="21" customHeight="1">
      <c r="L190" s="187"/>
    </row>
    <row r="191" spans="12:12" ht="21" customHeight="1">
      <c r="L191" s="187"/>
    </row>
    <row r="192" spans="12:12" ht="21" customHeight="1">
      <c r="L192" s="187"/>
    </row>
    <row r="193" spans="12:12" ht="21" customHeight="1">
      <c r="L193" s="187"/>
    </row>
    <row r="194" spans="12:12" ht="21" customHeight="1">
      <c r="L194" s="187"/>
    </row>
    <row r="195" spans="12:12" ht="21" customHeight="1">
      <c r="L195" s="187"/>
    </row>
    <row r="196" spans="12:12" ht="21" customHeight="1">
      <c r="L196" s="187"/>
    </row>
    <row r="197" spans="12:12" ht="21" customHeight="1">
      <c r="L197" s="187"/>
    </row>
    <row r="198" spans="12:12" ht="21" customHeight="1">
      <c r="L198" s="187"/>
    </row>
    <row r="199" spans="12:12" ht="21" customHeight="1">
      <c r="L199" s="187"/>
    </row>
    <row r="200" spans="12:12" ht="21" customHeight="1">
      <c r="L200" s="187"/>
    </row>
    <row r="201" spans="12:12" ht="21" customHeight="1">
      <c r="L201" s="187"/>
    </row>
    <row r="202" spans="12:12" ht="21" customHeight="1">
      <c r="L202" s="187"/>
    </row>
    <row r="203" spans="12:12" ht="21" customHeight="1">
      <c r="L203" s="187"/>
    </row>
    <row r="204" spans="12:12" ht="21" customHeight="1">
      <c r="L204" s="187"/>
    </row>
    <row r="205" spans="12:12" ht="21" customHeight="1">
      <c r="L205" s="187"/>
    </row>
    <row r="206" spans="12:12" ht="21" customHeight="1">
      <c r="L206" s="187"/>
    </row>
    <row r="207" spans="12:12" ht="21" customHeight="1">
      <c r="L207" s="187"/>
    </row>
    <row r="208" spans="12:12" ht="21" customHeight="1">
      <c r="L208" s="187"/>
    </row>
    <row r="209" spans="12:12" ht="21" customHeight="1">
      <c r="L209" s="187"/>
    </row>
    <row r="210" spans="12:12" ht="21" customHeight="1">
      <c r="L210" s="187"/>
    </row>
    <row r="211" spans="12:12" ht="21" customHeight="1">
      <c r="L211" s="187"/>
    </row>
    <row r="212" spans="12:12" ht="21" customHeight="1">
      <c r="L212" s="187"/>
    </row>
    <row r="213" spans="12:12" ht="21" customHeight="1">
      <c r="L213" s="187"/>
    </row>
    <row r="214" spans="12:12" ht="21" customHeight="1">
      <c r="L214" s="187"/>
    </row>
    <row r="215" spans="12:12" ht="21" customHeight="1">
      <c r="L215" s="187"/>
    </row>
    <row r="216" spans="12:12" ht="21" customHeight="1">
      <c r="L216" s="187"/>
    </row>
    <row r="217" spans="12:12" ht="21" customHeight="1">
      <c r="L217" s="187"/>
    </row>
    <row r="218" spans="12:12" ht="21" customHeight="1">
      <c r="L218" s="187"/>
    </row>
    <row r="219" spans="12:12" ht="21" customHeight="1">
      <c r="L219" s="187"/>
    </row>
    <row r="220" spans="12:12" ht="21" customHeight="1">
      <c r="L220" s="187"/>
    </row>
    <row r="221" spans="12:12" ht="21" customHeight="1">
      <c r="L221" s="187"/>
    </row>
    <row r="222" spans="12:12" ht="21" customHeight="1">
      <c r="L222" s="187"/>
    </row>
    <row r="223" spans="12:12" ht="21" customHeight="1">
      <c r="L223" s="187"/>
    </row>
    <row r="224" spans="12:12" ht="21" customHeight="1">
      <c r="L224" s="187"/>
    </row>
    <row r="225" spans="12:12" ht="21" customHeight="1">
      <c r="L225" s="187"/>
    </row>
    <row r="226" spans="12:12" ht="21" customHeight="1">
      <c r="L226" s="187"/>
    </row>
    <row r="227" spans="12:12" ht="21" customHeight="1">
      <c r="L227" s="187"/>
    </row>
    <row r="228" spans="12:12" ht="21" customHeight="1">
      <c r="L228" s="187"/>
    </row>
    <row r="229" spans="12:12" ht="21" customHeight="1">
      <c r="L229" s="187"/>
    </row>
    <row r="230" spans="12:12" ht="21" customHeight="1">
      <c r="L230" s="187"/>
    </row>
    <row r="231" spans="12:12" ht="21" customHeight="1">
      <c r="L231" s="187"/>
    </row>
    <row r="232" spans="12:12" ht="21" customHeight="1">
      <c r="L232" s="187"/>
    </row>
    <row r="233" spans="12:12" ht="21" customHeight="1">
      <c r="L233" s="187"/>
    </row>
    <row r="234" spans="12:12" ht="21" customHeight="1">
      <c r="L234" s="187"/>
    </row>
    <row r="235" spans="12:12" ht="21" customHeight="1">
      <c r="L235" s="187"/>
    </row>
    <row r="236" spans="12:12" ht="21" customHeight="1">
      <c r="L236" s="187"/>
    </row>
    <row r="237" spans="12:12" ht="21" customHeight="1">
      <c r="L237" s="187"/>
    </row>
    <row r="238" spans="12:12" ht="21" customHeight="1">
      <c r="L238" s="187"/>
    </row>
    <row r="239" spans="12:12" ht="21" customHeight="1">
      <c r="L239" s="187"/>
    </row>
    <row r="240" spans="12:12" ht="21" customHeight="1">
      <c r="L240" s="187"/>
    </row>
    <row r="241" spans="12:12" ht="21" customHeight="1">
      <c r="L241" s="187"/>
    </row>
    <row r="242" spans="12:12" ht="21" customHeight="1">
      <c r="L242" s="187"/>
    </row>
    <row r="243" spans="12:12" ht="21" customHeight="1">
      <c r="L243" s="187"/>
    </row>
    <row r="244" spans="12:12" ht="21" customHeight="1">
      <c r="L244" s="187"/>
    </row>
    <row r="245" spans="12:12" ht="21" customHeight="1">
      <c r="L245" s="187"/>
    </row>
    <row r="246" spans="12:12" ht="21" customHeight="1">
      <c r="L246" s="187"/>
    </row>
    <row r="247" spans="12:12" ht="21" customHeight="1">
      <c r="L247" s="187"/>
    </row>
    <row r="248" spans="12:12" ht="21" customHeight="1">
      <c r="L248" s="187"/>
    </row>
    <row r="249" spans="12:12" ht="21" customHeight="1">
      <c r="L249" s="187"/>
    </row>
    <row r="250" spans="12:12" ht="21" customHeight="1">
      <c r="L250" s="187"/>
    </row>
    <row r="251" spans="12:12" ht="21" customHeight="1">
      <c r="L251" s="187"/>
    </row>
    <row r="252" spans="12:12" ht="21" customHeight="1">
      <c r="L252" s="187"/>
    </row>
    <row r="253" spans="12:12" ht="21" customHeight="1">
      <c r="L253" s="187"/>
    </row>
    <row r="254" spans="12:12" ht="21" customHeight="1">
      <c r="L254" s="187"/>
    </row>
    <row r="255" spans="12:12" ht="21" customHeight="1">
      <c r="L255" s="187"/>
    </row>
    <row r="256" spans="12:12" ht="21" customHeight="1">
      <c r="L256" s="187"/>
    </row>
    <row r="257" spans="12:12" ht="21" customHeight="1">
      <c r="L257" s="187"/>
    </row>
    <row r="258" spans="12:12" ht="21" customHeight="1">
      <c r="L258" s="187"/>
    </row>
    <row r="259" spans="12:12" ht="21" customHeight="1">
      <c r="L259" s="187"/>
    </row>
    <row r="260" spans="12:12" ht="21" customHeight="1">
      <c r="L260" s="187"/>
    </row>
    <row r="261" spans="12:12" ht="21" customHeight="1">
      <c r="L261" s="187"/>
    </row>
    <row r="262" spans="12:12" ht="21" customHeight="1">
      <c r="L262" s="187"/>
    </row>
    <row r="263" spans="12:12" ht="21" customHeight="1">
      <c r="L263" s="187"/>
    </row>
    <row r="264" spans="12:12" ht="21" customHeight="1">
      <c r="L264" s="187"/>
    </row>
    <row r="265" spans="12:12" ht="21" customHeight="1">
      <c r="L265" s="187"/>
    </row>
    <row r="266" spans="12:12" ht="21" customHeight="1">
      <c r="L266" s="187"/>
    </row>
    <row r="267" spans="12:12" ht="21" customHeight="1">
      <c r="L267" s="187"/>
    </row>
    <row r="268" spans="12:12" ht="21" customHeight="1">
      <c r="L268" s="187"/>
    </row>
    <row r="269" spans="12:12" ht="21" customHeight="1">
      <c r="L269" s="187"/>
    </row>
    <row r="270" spans="12:12" ht="21" customHeight="1">
      <c r="L270" s="187"/>
    </row>
    <row r="271" spans="12:12" ht="21" customHeight="1">
      <c r="L271" s="187"/>
    </row>
    <row r="272" spans="12:12" ht="21" customHeight="1">
      <c r="L272" s="187"/>
    </row>
    <row r="273" spans="12:12" ht="21" customHeight="1">
      <c r="L273" s="187"/>
    </row>
    <row r="274" spans="12:12" ht="21" customHeight="1">
      <c r="L274" s="187"/>
    </row>
    <row r="275" spans="12:12" ht="21" customHeight="1">
      <c r="L275" s="187"/>
    </row>
    <row r="276" spans="12:12" ht="21" customHeight="1">
      <c r="L276" s="187"/>
    </row>
    <row r="277" spans="12:12" ht="21" customHeight="1">
      <c r="L277" s="187"/>
    </row>
    <row r="278" spans="12:12" ht="21" customHeight="1">
      <c r="L278" s="187"/>
    </row>
    <row r="279" spans="12:12" ht="21" customHeight="1">
      <c r="L279" s="187"/>
    </row>
    <row r="280" spans="12:12" ht="21" customHeight="1">
      <c r="L280" s="187"/>
    </row>
    <row r="281" spans="12:12" ht="21" customHeight="1">
      <c r="L281" s="187"/>
    </row>
    <row r="282" spans="12:12" ht="21" customHeight="1">
      <c r="L282" s="187"/>
    </row>
    <row r="283" spans="12:12" ht="21" customHeight="1">
      <c r="L283" s="187"/>
    </row>
    <row r="284" spans="12:12" ht="21" customHeight="1">
      <c r="L284" s="187"/>
    </row>
    <row r="285" spans="12:12" ht="21" customHeight="1">
      <c r="L285" s="187"/>
    </row>
    <row r="286" spans="12:12" ht="21" customHeight="1">
      <c r="L286" s="187"/>
    </row>
    <row r="287" spans="12:12" ht="21" customHeight="1">
      <c r="L287" s="187"/>
    </row>
    <row r="288" spans="12:12" ht="21" customHeight="1">
      <c r="L288" s="187"/>
    </row>
    <row r="289" spans="12:12" ht="21" customHeight="1">
      <c r="L289" s="187"/>
    </row>
    <row r="290" spans="12:12" ht="21" customHeight="1">
      <c r="L290" s="187"/>
    </row>
    <row r="291" spans="12:12" ht="21" customHeight="1">
      <c r="L291" s="187"/>
    </row>
    <row r="292" spans="12:12" ht="21" customHeight="1">
      <c r="L292" s="187"/>
    </row>
    <row r="293" spans="12:12" ht="21" customHeight="1">
      <c r="L293" s="187"/>
    </row>
    <row r="294" spans="12:12" ht="21" customHeight="1">
      <c r="L294" s="187"/>
    </row>
    <row r="295" spans="12:12" ht="21" customHeight="1">
      <c r="L295" s="187"/>
    </row>
    <row r="296" spans="12:12" ht="21" customHeight="1">
      <c r="L296" s="187"/>
    </row>
    <row r="297" spans="12:12" ht="21" customHeight="1">
      <c r="L297" s="187"/>
    </row>
    <row r="298" spans="12:12" ht="21" customHeight="1">
      <c r="L298" s="187"/>
    </row>
    <row r="299" spans="12:12" ht="21" customHeight="1">
      <c r="L299" s="187"/>
    </row>
    <row r="300" spans="12:12" ht="21" customHeight="1">
      <c r="L300" s="187"/>
    </row>
    <row r="301" spans="12:12" ht="21" customHeight="1">
      <c r="L301" s="187"/>
    </row>
    <row r="302" spans="12:12" ht="21" customHeight="1">
      <c r="L302" s="187"/>
    </row>
    <row r="303" spans="12:12" ht="21" customHeight="1">
      <c r="L303" s="187"/>
    </row>
    <row r="304" spans="12:12" ht="21" customHeight="1">
      <c r="L304" s="187"/>
    </row>
    <row r="305" spans="12:12" ht="21" customHeight="1">
      <c r="L305" s="187"/>
    </row>
    <row r="306" spans="12:12" ht="21" customHeight="1">
      <c r="L306" s="187"/>
    </row>
    <row r="307" spans="12:12" ht="21" customHeight="1">
      <c r="L307" s="187"/>
    </row>
    <row r="308" spans="12:12" ht="21" customHeight="1">
      <c r="L308" s="187"/>
    </row>
    <row r="309" spans="12:12" ht="21" customHeight="1">
      <c r="L309" s="187"/>
    </row>
    <row r="310" spans="12:12" ht="21" customHeight="1">
      <c r="L310" s="187"/>
    </row>
    <row r="311" spans="12:12" ht="21" customHeight="1">
      <c r="L311" s="187"/>
    </row>
    <row r="312" spans="12:12" ht="21" customHeight="1">
      <c r="L312" s="187"/>
    </row>
    <row r="313" spans="12:12" ht="21" customHeight="1">
      <c r="L313" s="187"/>
    </row>
    <row r="314" spans="12:12" ht="21" customHeight="1">
      <c r="L314" s="187"/>
    </row>
    <row r="315" spans="12:12" ht="21" customHeight="1">
      <c r="L315" s="187"/>
    </row>
    <row r="316" spans="12:12" ht="21" customHeight="1">
      <c r="L316" s="187"/>
    </row>
    <row r="317" spans="12:12" ht="21" customHeight="1">
      <c r="L317" s="187"/>
    </row>
    <row r="318" spans="12:12" ht="21" customHeight="1">
      <c r="L318" s="187"/>
    </row>
    <row r="319" spans="12:12" ht="21" customHeight="1">
      <c r="L319" s="187"/>
    </row>
    <row r="320" spans="12:12" ht="21" customHeight="1">
      <c r="L320" s="187"/>
    </row>
    <row r="321" spans="12:12" ht="21" customHeight="1">
      <c r="L321" s="187"/>
    </row>
    <row r="322" spans="12:12" ht="21" customHeight="1">
      <c r="L322" s="187"/>
    </row>
    <row r="323" spans="12:12" ht="21" customHeight="1">
      <c r="L323" s="187"/>
    </row>
    <row r="324" spans="12:12" ht="21" customHeight="1">
      <c r="L324" s="187"/>
    </row>
    <row r="325" spans="12:12" ht="21" customHeight="1">
      <c r="L325" s="187"/>
    </row>
    <row r="326" spans="12:12" ht="21" customHeight="1">
      <c r="L326" s="187"/>
    </row>
    <row r="327" spans="12:12" ht="21" customHeight="1">
      <c r="L327" s="187"/>
    </row>
    <row r="328" spans="12:12" ht="21" customHeight="1">
      <c r="L328" s="187"/>
    </row>
    <row r="329" spans="12:12" ht="21" customHeight="1">
      <c r="L329" s="187"/>
    </row>
    <row r="330" spans="12:12" ht="21" customHeight="1">
      <c r="L330" s="187"/>
    </row>
    <row r="331" spans="12:12" ht="21" customHeight="1">
      <c r="L331" s="187"/>
    </row>
    <row r="332" spans="12:12" ht="21" customHeight="1">
      <c r="L332" s="187"/>
    </row>
    <row r="333" spans="12:12" ht="21" customHeight="1">
      <c r="L333" s="187"/>
    </row>
    <row r="334" spans="12:12" ht="21" customHeight="1">
      <c r="L334" s="187"/>
    </row>
    <row r="335" spans="12:12" ht="21" customHeight="1">
      <c r="L335" s="187"/>
    </row>
    <row r="336" spans="12:12" ht="21" customHeight="1">
      <c r="L336" s="187"/>
    </row>
    <row r="337" spans="12:12" ht="21" customHeight="1">
      <c r="L337" s="187"/>
    </row>
    <row r="338" spans="12:12" ht="21" customHeight="1">
      <c r="L338" s="187"/>
    </row>
    <row r="339" spans="12:12" ht="21" customHeight="1">
      <c r="L339" s="187"/>
    </row>
    <row r="340" spans="12:12" ht="21" customHeight="1">
      <c r="L340" s="187"/>
    </row>
    <row r="341" spans="12:12" ht="21" customHeight="1">
      <c r="L341" s="187"/>
    </row>
    <row r="342" spans="12:12" ht="21" customHeight="1">
      <c r="L342" s="187"/>
    </row>
    <row r="343" spans="12:12" ht="21" customHeight="1">
      <c r="L343" s="187"/>
    </row>
    <row r="344" spans="12:12" ht="21" customHeight="1">
      <c r="L344" s="187"/>
    </row>
    <row r="345" spans="12:12" ht="21" customHeight="1">
      <c r="L345" s="187"/>
    </row>
    <row r="346" spans="12:12" ht="21" customHeight="1">
      <c r="L346" s="187"/>
    </row>
    <row r="347" spans="12:12" ht="21" customHeight="1">
      <c r="L347" s="187"/>
    </row>
    <row r="348" spans="12:12" ht="21" customHeight="1">
      <c r="L348" s="187"/>
    </row>
    <row r="349" spans="12:12" ht="21" customHeight="1">
      <c r="L349" s="187"/>
    </row>
    <row r="350" spans="12:12" ht="21" customHeight="1">
      <c r="L350" s="187"/>
    </row>
    <row r="351" spans="12:12" ht="21" customHeight="1">
      <c r="L351" s="187"/>
    </row>
    <row r="352" spans="12:12" ht="21" customHeight="1">
      <c r="L352" s="187"/>
    </row>
    <row r="353" spans="12:12" ht="21" customHeight="1">
      <c r="L353" s="187"/>
    </row>
    <row r="354" spans="12:12" ht="21" customHeight="1">
      <c r="L354" s="187"/>
    </row>
    <row r="355" spans="12:12" ht="21" customHeight="1">
      <c r="L355" s="187"/>
    </row>
    <row r="356" spans="12:12" ht="21" customHeight="1">
      <c r="L356" s="187"/>
    </row>
    <row r="357" spans="12:12" ht="21" customHeight="1">
      <c r="L357" s="187"/>
    </row>
    <row r="358" spans="12:12" ht="21" customHeight="1">
      <c r="L358" s="187"/>
    </row>
    <row r="359" spans="12:12" ht="21" customHeight="1">
      <c r="L359" s="187"/>
    </row>
    <row r="360" spans="12:12" ht="21" customHeight="1">
      <c r="L360" s="187"/>
    </row>
    <row r="361" spans="12:12" ht="21" customHeight="1">
      <c r="L361" s="187"/>
    </row>
    <row r="362" spans="12:12" ht="21" customHeight="1">
      <c r="L362" s="187"/>
    </row>
    <row r="363" spans="12:12" ht="21" customHeight="1">
      <c r="L363" s="187"/>
    </row>
    <row r="364" spans="12:12" ht="21" customHeight="1">
      <c r="L364" s="187"/>
    </row>
    <row r="365" spans="12:12" ht="21" customHeight="1">
      <c r="L365" s="187"/>
    </row>
    <row r="366" spans="12:12" ht="21" customHeight="1">
      <c r="L366" s="187"/>
    </row>
    <row r="367" spans="12:12" ht="21" customHeight="1">
      <c r="L367" s="187"/>
    </row>
    <row r="368" spans="12:12" ht="21" customHeight="1">
      <c r="L368" s="187"/>
    </row>
    <row r="369" spans="12:12" ht="21" customHeight="1">
      <c r="L369" s="187"/>
    </row>
    <row r="370" spans="12:12" ht="21" customHeight="1">
      <c r="L370" s="187"/>
    </row>
    <row r="371" spans="12:12" ht="21" customHeight="1">
      <c r="L371" s="187"/>
    </row>
    <row r="372" spans="12:12" ht="21" customHeight="1">
      <c r="L372" s="187"/>
    </row>
    <row r="373" spans="12:12" ht="21" customHeight="1">
      <c r="L373" s="187"/>
    </row>
    <row r="374" spans="12:12" ht="21" customHeight="1">
      <c r="L374" s="187"/>
    </row>
    <row r="375" spans="12:12" ht="21" customHeight="1">
      <c r="L375" s="187"/>
    </row>
    <row r="376" spans="12:12" ht="21" customHeight="1">
      <c r="L376" s="187"/>
    </row>
    <row r="377" spans="12:12" ht="21" customHeight="1">
      <c r="L377" s="187"/>
    </row>
    <row r="378" spans="12:12" ht="21" customHeight="1">
      <c r="L378" s="187"/>
    </row>
    <row r="379" spans="12:12" ht="21" customHeight="1">
      <c r="L379" s="187"/>
    </row>
    <row r="380" spans="12:12" ht="21" customHeight="1">
      <c r="L380" s="187"/>
    </row>
    <row r="381" spans="12:12" ht="21" customHeight="1">
      <c r="L381" s="187"/>
    </row>
    <row r="382" spans="12:12" ht="21" customHeight="1">
      <c r="L382" s="187"/>
    </row>
    <row r="383" spans="12:12" ht="21" customHeight="1">
      <c r="L383" s="187"/>
    </row>
    <row r="384" spans="12:12" ht="21" customHeight="1">
      <c r="L384" s="187"/>
    </row>
    <row r="385" spans="12:12" ht="21" customHeight="1">
      <c r="L385" s="187"/>
    </row>
    <row r="386" spans="12:12" ht="21" customHeight="1">
      <c r="L386" s="187"/>
    </row>
    <row r="387" spans="12:12" ht="21" customHeight="1">
      <c r="L387" s="187"/>
    </row>
    <row r="388" spans="12:12" ht="21" customHeight="1">
      <c r="L388" s="187"/>
    </row>
    <row r="389" spans="12:12" ht="21" customHeight="1">
      <c r="L389" s="187"/>
    </row>
    <row r="390" spans="12:12" ht="21" customHeight="1">
      <c r="L390" s="187"/>
    </row>
    <row r="391" spans="12:12" ht="21" customHeight="1">
      <c r="L391" s="187"/>
    </row>
    <row r="392" spans="12:12" ht="21" customHeight="1">
      <c r="L392" s="187"/>
    </row>
    <row r="393" spans="12:12" ht="21" customHeight="1">
      <c r="L393" s="187"/>
    </row>
    <row r="394" spans="12:12" ht="21" customHeight="1">
      <c r="L394" s="187"/>
    </row>
    <row r="395" spans="12:12" ht="21" customHeight="1">
      <c r="L395" s="187"/>
    </row>
    <row r="396" spans="12:12" ht="21" customHeight="1">
      <c r="L396" s="187"/>
    </row>
    <row r="397" spans="12:12" ht="21" customHeight="1">
      <c r="L397" s="187"/>
    </row>
    <row r="398" spans="12:12" ht="21" customHeight="1">
      <c r="L398" s="187"/>
    </row>
    <row r="399" spans="12:12" ht="21" customHeight="1">
      <c r="L399" s="187"/>
    </row>
    <row r="400" spans="12:12" ht="21" customHeight="1">
      <c r="L400" s="187"/>
    </row>
    <row r="401" spans="12:12" ht="21" customHeight="1">
      <c r="L401" s="187"/>
    </row>
    <row r="402" spans="12:12" ht="21" customHeight="1">
      <c r="L402" s="187"/>
    </row>
    <row r="403" spans="12:12" ht="21" customHeight="1">
      <c r="L403" s="187"/>
    </row>
    <row r="404" spans="12:12" ht="21" customHeight="1">
      <c r="L404" s="187"/>
    </row>
    <row r="405" spans="12:12" ht="21" customHeight="1">
      <c r="L405" s="187"/>
    </row>
    <row r="406" spans="12:12" ht="21" customHeight="1">
      <c r="L406" s="187"/>
    </row>
    <row r="407" spans="12:12" ht="21" customHeight="1">
      <c r="L407" s="187"/>
    </row>
    <row r="408" spans="12:12" ht="21" customHeight="1">
      <c r="L408" s="187"/>
    </row>
    <row r="409" spans="12:12" ht="21" customHeight="1">
      <c r="L409" s="187"/>
    </row>
    <row r="410" spans="12:12" ht="21" customHeight="1">
      <c r="L410" s="187"/>
    </row>
    <row r="411" spans="12:12" ht="21" customHeight="1">
      <c r="L411" s="187"/>
    </row>
    <row r="412" spans="12:12" ht="21" customHeight="1">
      <c r="L412" s="187"/>
    </row>
    <row r="413" spans="12:12" ht="21" customHeight="1">
      <c r="L413" s="187"/>
    </row>
    <row r="414" spans="12:12" ht="21" customHeight="1">
      <c r="L414" s="187"/>
    </row>
    <row r="415" spans="12:12" ht="21" customHeight="1">
      <c r="L415" s="187"/>
    </row>
    <row r="416" spans="12:12" ht="21" customHeight="1">
      <c r="L416" s="187"/>
    </row>
    <row r="417" spans="12:12" ht="21" customHeight="1">
      <c r="L417" s="187"/>
    </row>
    <row r="418" spans="12:12" ht="21" customHeight="1">
      <c r="L418" s="187"/>
    </row>
    <row r="419" spans="12:12" ht="21" customHeight="1">
      <c r="L419" s="187"/>
    </row>
    <row r="420" spans="12:12" ht="21" customHeight="1">
      <c r="L420" s="187"/>
    </row>
    <row r="421" spans="12:12" ht="21" customHeight="1">
      <c r="L421" s="187"/>
    </row>
    <row r="422" spans="12:12" ht="21" customHeight="1">
      <c r="L422" s="187"/>
    </row>
    <row r="423" spans="12:12" ht="21" customHeight="1">
      <c r="L423" s="187"/>
    </row>
    <row r="424" spans="12:12" ht="21" customHeight="1">
      <c r="L424" s="187"/>
    </row>
    <row r="425" spans="12:12" ht="21" customHeight="1">
      <c r="L425" s="187"/>
    </row>
    <row r="426" spans="12:12" ht="21" customHeight="1">
      <c r="L426" s="187"/>
    </row>
    <row r="427" spans="12:12" ht="21" customHeight="1">
      <c r="L427" s="187"/>
    </row>
    <row r="428" spans="12:12" ht="21" customHeight="1">
      <c r="L428" s="187"/>
    </row>
    <row r="429" spans="12:12" ht="21" customHeight="1">
      <c r="L429" s="187"/>
    </row>
    <row r="430" spans="12:12" ht="21" customHeight="1">
      <c r="L430" s="187"/>
    </row>
    <row r="431" spans="12:12" ht="21" customHeight="1">
      <c r="L431" s="187"/>
    </row>
    <row r="432" spans="12:12" ht="21" customHeight="1">
      <c r="L432" s="187"/>
    </row>
    <row r="433" spans="12:12" ht="21" customHeight="1">
      <c r="L433" s="187"/>
    </row>
    <row r="434" spans="12:12" ht="21" customHeight="1">
      <c r="L434" s="187"/>
    </row>
    <row r="435" spans="12:12" ht="21" customHeight="1">
      <c r="L435" s="187"/>
    </row>
    <row r="436" spans="12:12" ht="21" customHeight="1">
      <c r="L436" s="187"/>
    </row>
    <row r="437" spans="12:12" ht="21" customHeight="1">
      <c r="L437" s="187"/>
    </row>
    <row r="438" spans="12:12" ht="21" customHeight="1">
      <c r="L438" s="187"/>
    </row>
    <row r="439" spans="12:12" ht="21" customHeight="1">
      <c r="L439" s="187"/>
    </row>
    <row r="440" spans="12:12" ht="21" customHeight="1">
      <c r="L440" s="187"/>
    </row>
    <row r="441" spans="12:12" ht="21" customHeight="1">
      <c r="L441" s="187"/>
    </row>
    <row r="442" spans="12:12" ht="21" customHeight="1">
      <c r="L442" s="187"/>
    </row>
    <row r="443" spans="12:12" ht="21" customHeight="1">
      <c r="L443" s="187"/>
    </row>
    <row r="444" spans="12:12" ht="21" customHeight="1">
      <c r="L444" s="187"/>
    </row>
    <row r="445" spans="12:12" ht="21" customHeight="1">
      <c r="L445" s="187"/>
    </row>
    <row r="446" spans="12:12" ht="21" customHeight="1">
      <c r="L446" s="187"/>
    </row>
    <row r="447" spans="12:12" ht="21" customHeight="1">
      <c r="L447" s="187"/>
    </row>
    <row r="448" spans="12:12" ht="21" customHeight="1">
      <c r="L448" s="187"/>
    </row>
    <row r="449" spans="12:12" ht="21" customHeight="1">
      <c r="L449" s="187"/>
    </row>
    <row r="450" spans="12:12" ht="21" customHeight="1">
      <c r="L450" s="187"/>
    </row>
    <row r="451" spans="12:12" ht="21" customHeight="1">
      <c r="L451" s="187"/>
    </row>
    <row r="452" spans="12:12" ht="21" customHeight="1">
      <c r="L452" s="187"/>
    </row>
    <row r="453" spans="12:12" ht="21" customHeight="1">
      <c r="L453" s="187"/>
    </row>
    <row r="454" spans="12:12" ht="21" customHeight="1">
      <c r="L454" s="187"/>
    </row>
    <row r="455" spans="12:12" ht="21" customHeight="1">
      <c r="L455" s="187"/>
    </row>
    <row r="456" spans="12:12" ht="21" customHeight="1">
      <c r="L456" s="187"/>
    </row>
    <row r="457" spans="12:12" ht="21" customHeight="1">
      <c r="L457" s="187"/>
    </row>
    <row r="458" spans="12:12" ht="21" customHeight="1">
      <c r="L458" s="187"/>
    </row>
    <row r="459" spans="12:12" ht="21" customHeight="1">
      <c r="L459" s="187"/>
    </row>
    <row r="460" spans="12:12" ht="21" customHeight="1">
      <c r="L460" s="187"/>
    </row>
    <row r="461" spans="12:12" ht="21" customHeight="1">
      <c r="L461" s="187"/>
    </row>
    <row r="462" spans="12:12" ht="21" customHeight="1">
      <c r="L462" s="187"/>
    </row>
    <row r="463" spans="12:12" ht="21" customHeight="1">
      <c r="L463" s="187"/>
    </row>
    <row r="464" spans="12:12" ht="21" customHeight="1">
      <c r="L464" s="187"/>
    </row>
    <row r="465" spans="12:12" ht="21" customHeight="1">
      <c r="L465" s="187"/>
    </row>
    <row r="466" spans="12:12" ht="21" customHeight="1">
      <c r="L466" s="187"/>
    </row>
    <row r="467" spans="12:12" ht="21" customHeight="1">
      <c r="L467" s="187"/>
    </row>
    <row r="468" spans="12:12" ht="21" customHeight="1">
      <c r="L468" s="187"/>
    </row>
    <row r="469" spans="12:12" ht="21" customHeight="1">
      <c r="L469" s="187"/>
    </row>
    <row r="470" spans="12:12" ht="21" customHeight="1">
      <c r="L470" s="187"/>
    </row>
    <row r="471" spans="12:12" ht="21" customHeight="1">
      <c r="L471" s="187"/>
    </row>
    <row r="472" spans="12:12" ht="21" customHeight="1">
      <c r="L472" s="187"/>
    </row>
    <row r="473" spans="12:12" ht="21" customHeight="1">
      <c r="L473" s="187"/>
    </row>
    <row r="474" spans="12:12" ht="21" customHeight="1">
      <c r="L474" s="187"/>
    </row>
    <row r="475" spans="12:12" ht="21" customHeight="1">
      <c r="L475" s="187"/>
    </row>
    <row r="476" spans="12:12" ht="21" customHeight="1">
      <c r="L476" s="187"/>
    </row>
    <row r="477" spans="12:12" ht="21" customHeight="1">
      <c r="L477" s="187"/>
    </row>
    <row r="478" spans="12:12" ht="21" customHeight="1">
      <c r="L478" s="187"/>
    </row>
    <row r="479" spans="12:12" ht="21" customHeight="1">
      <c r="L479" s="187"/>
    </row>
    <row r="480" spans="12:12" ht="21" customHeight="1">
      <c r="L480" s="187"/>
    </row>
    <row r="481" spans="12:12" ht="21" customHeight="1">
      <c r="L481" s="187"/>
    </row>
    <row r="482" spans="12:12" ht="21" customHeight="1">
      <c r="L482" s="187"/>
    </row>
    <row r="483" spans="12:12" ht="21" customHeight="1">
      <c r="L483" s="187"/>
    </row>
    <row r="484" spans="12:12" ht="21" customHeight="1">
      <c r="L484" s="187"/>
    </row>
    <row r="485" spans="12:12" ht="21" customHeight="1">
      <c r="L485" s="187"/>
    </row>
    <row r="486" spans="12:12" ht="21" customHeight="1">
      <c r="L486" s="187"/>
    </row>
    <row r="487" spans="12:12" ht="21" customHeight="1">
      <c r="L487" s="187"/>
    </row>
    <row r="488" spans="12:12" ht="21" customHeight="1">
      <c r="L488" s="187"/>
    </row>
    <row r="489" spans="12:12" ht="21" customHeight="1">
      <c r="L489" s="187"/>
    </row>
    <row r="490" spans="12:12" ht="21" customHeight="1">
      <c r="L490" s="187"/>
    </row>
    <row r="491" spans="12:12" ht="21" customHeight="1">
      <c r="L491" s="187"/>
    </row>
    <row r="492" spans="12:12" ht="21" customHeight="1">
      <c r="L492" s="187"/>
    </row>
    <row r="493" spans="12:12" ht="21" customHeight="1">
      <c r="L493" s="187"/>
    </row>
    <row r="494" spans="12:12" ht="21" customHeight="1">
      <c r="L494" s="187"/>
    </row>
    <row r="495" spans="12:12" ht="21" customHeight="1">
      <c r="L495" s="187"/>
    </row>
    <row r="496" spans="12:12" ht="21" customHeight="1">
      <c r="L496" s="187"/>
    </row>
    <row r="497" spans="12:12" ht="21" customHeight="1">
      <c r="L497" s="187"/>
    </row>
    <row r="498" spans="12:12" ht="21" customHeight="1">
      <c r="L498" s="187"/>
    </row>
    <row r="499" spans="12:12" ht="21" customHeight="1">
      <c r="L499" s="187"/>
    </row>
    <row r="500" spans="12:12" ht="21" customHeight="1">
      <c r="L500" s="187"/>
    </row>
    <row r="501" spans="12:12" ht="21" customHeight="1">
      <c r="L501" s="187"/>
    </row>
    <row r="502" spans="12:12" ht="21" customHeight="1">
      <c r="L502" s="187"/>
    </row>
    <row r="503" spans="12:12" ht="21" customHeight="1">
      <c r="L503" s="187"/>
    </row>
    <row r="504" spans="12:12" ht="21" customHeight="1">
      <c r="L504" s="187"/>
    </row>
    <row r="505" spans="12:12" ht="21" customHeight="1">
      <c r="L505" s="187"/>
    </row>
    <row r="506" spans="12:12" ht="21" customHeight="1">
      <c r="L506" s="187"/>
    </row>
    <row r="507" spans="12:12" ht="21" customHeight="1">
      <c r="L507" s="187"/>
    </row>
    <row r="508" spans="12:12" ht="21" customHeight="1">
      <c r="L508" s="187"/>
    </row>
    <row r="509" spans="12:12" ht="21" customHeight="1">
      <c r="L509" s="187"/>
    </row>
    <row r="510" spans="12:12" ht="21" customHeight="1">
      <c r="L510" s="187"/>
    </row>
    <row r="511" spans="12:12" ht="21" customHeight="1">
      <c r="L511" s="187"/>
    </row>
    <row r="512" spans="12:12" ht="21" customHeight="1">
      <c r="L512" s="187"/>
    </row>
    <row r="513" spans="12:12" ht="21" customHeight="1">
      <c r="L513" s="187"/>
    </row>
    <row r="514" spans="12:12" ht="21" customHeight="1">
      <c r="L514" s="187"/>
    </row>
    <row r="515" spans="12:12" ht="21" customHeight="1">
      <c r="L515" s="187"/>
    </row>
    <row r="516" spans="12:12" ht="21" customHeight="1">
      <c r="L516" s="187"/>
    </row>
    <row r="517" spans="12:12" ht="21" customHeight="1">
      <c r="L517" s="187"/>
    </row>
    <row r="518" spans="12:12" ht="21" customHeight="1">
      <c r="L518" s="187"/>
    </row>
    <row r="519" spans="12:12" ht="21" customHeight="1">
      <c r="L519" s="187"/>
    </row>
    <row r="520" spans="12:12" ht="21" customHeight="1">
      <c r="L520" s="187"/>
    </row>
    <row r="521" spans="12:12" ht="21" customHeight="1">
      <c r="L521" s="187"/>
    </row>
    <row r="522" spans="12:12" ht="21" customHeight="1">
      <c r="L522" s="187"/>
    </row>
    <row r="523" spans="12:12" ht="21" customHeight="1">
      <c r="L523" s="187"/>
    </row>
    <row r="524" spans="12:12" ht="21" customHeight="1">
      <c r="L524" s="187"/>
    </row>
    <row r="525" spans="12:12" ht="21" customHeight="1">
      <c r="L525" s="187"/>
    </row>
    <row r="526" spans="12:12" ht="21" customHeight="1">
      <c r="L526" s="187"/>
    </row>
    <row r="527" spans="12:12" ht="21" customHeight="1">
      <c r="L527" s="187"/>
    </row>
    <row r="528" spans="12:12" ht="21" customHeight="1">
      <c r="L528" s="187"/>
    </row>
    <row r="529" spans="12:12" ht="21" customHeight="1">
      <c r="L529" s="187"/>
    </row>
    <row r="530" spans="12:12" ht="21" customHeight="1">
      <c r="L530" s="187"/>
    </row>
    <row r="531" spans="12:12" ht="21" customHeight="1">
      <c r="L531" s="187"/>
    </row>
    <row r="532" spans="12:12" ht="21" customHeight="1">
      <c r="L532" s="187"/>
    </row>
    <row r="533" spans="12:12" ht="21" customHeight="1">
      <c r="L533" s="187"/>
    </row>
    <row r="534" spans="12:12" ht="21" customHeight="1">
      <c r="L534" s="187"/>
    </row>
    <row r="535" spans="12:12" ht="21" customHeight="1">
      <c r="L535" s="187"/>
    </row>
    <row r="536" spans="12:12" ht="21" customHeight="1">
      <c r="L536" s="187"/>
    </row>
    <row r="537" spans="12:12" ht="21" customHeight="1">
      <c r="L537" s="187"/>
    </row>
    <row r="538" spans="12:12" ht="21" customHeight="1">
      <c r="L538" s="187"/>
    </row>
    <row r="539" spans="12:12" ht="21" customHeight="1">
      <c r="L539" s="187"/>
    </row>
    <row r="540" spans="12:12" ht="21" customHeight="1">
      <c r="L540" s="187"/>
    </row>
    <row r="541" spans="12:12" ht="21" customHeight="1">
      <c r="L541" s="187"/>
    </row>
    <row r="542" spans="12:12" ht="21" customHeight="1">
      <c r="L542" s="187"/>
    </row>
    <row r="543" spans="12:12" ht="21" customHeight="1">
      <c r="L543" s="187"/>
    </row>
    <row r="544" spans="12:12" ht="21" customHeight="1">
      <c r="L544" s="187"/>
    </row>
    <row r="545" spans="12:12" ht="21" customHeight="1">
      <c r="L545" s="187"/>
    </row>
    <row r="546" spans="12:12" ht="21" customHeight="1">
      <c r="L546" s="187"/>
    </row>
    <row r="547" spans="12:12" ht="21" customHeight="1">
      <c r="L547" s="187"/>
    </row>
    <row r="548" spans="12:12" ht="21" customHeight="1">
      <c r="L548" s="187"/>
    </row>
    <row r="549" spans="12:12" ht="21" customHeight="1">
      <c r="L549" s="187"/>
    </row>
    <row r="550" spans="12:12" ht="21" customHeight="1">
      <c r="L550" s="187"/>
    </row>
    <row r="551" spans="12:12" ht="21" customHeight="1">
      <c r="L551" s="187"/>
    </row>
    <row r="552" spans="12:12" ht="21" customHeight="1">
      <c r="L552" s="187"/>
    </row>
    <row r="553" spans="12:12" ht="21" customHeight="1">
      <c r="L553" s="187"/>
    </row>
    <row r="554" spans="12:12" ht="21" customHeight="1">
      <c r="L554" s="187"/>
    </row>
    <row r="555" spans="12:12" ht="21" customHeight="1">
      <c r="L555" s="187"/>
    </row>
    <row r="556" spans="12:12" ht="21" customHeight="1">
      <c r="L556" s="187"/>
    </row>
    <row r="557" spans="12:12" ht="21" customHeight="1">
      <c r="L557" s="187"/>
    </row>
    <row r="558" spans="12:12" ht="21" customHeight="1">
      <c r="L558" s="187"/>
    </row>
    <row r="559" spans="12:12" ht="21" customHeight="1">
      <c r="L559" s="187"/>
    </row>
    <row r="560" spans="12:12" ht="21" customHeight="1">
      <c r="L560" s="187"/>
    </row>
    <row r="561" spans="12:12" ht="21" customHeight="1">
      <c r="L561" s="187"/>
    </row>
    <row r="562" spans="12:12" ht="21" customHeight="1">
      <c r="L562" s="187"/>
    </row>
    <row r="563" spans="12:12" ht="21" customHeight="1">
      <c r="L563" s="187"/>
    </row>
    <row r="564" spans="12:12" ht="21" customHeight="1">
      <c r="L564" s="187"/>
    </row>
    <row r="565" spans="12:12" ht="21" customHeight="1">
      <c r="L565" s="187"/>
    </row>
    <row r="566" spans="12:12" ht="21" customHeight="1">
      <c r="L566" s="187"/>
    </row>
    <row r="567" spans="12:12" ht="21" customHeight="1">
      <c r="L567" s="187"/>
    </row>
    <row r="568" spans="12:12" ht="21" customHeight="1">
      <c r="L568" s="187"/>
    </row>
    <row r="569" spans="12:12" ht="21" customHeight="1">
      <c r="L569" s="187"/>
    </row>
    <row r="570" spans="12:12" ht="21" customHeight="1">
      <c r="L570" s="187"/>
    </row>
    <row r="571" spans="12:12" ht="21" customHeight="1">
      <c r="L571" s="187"/>
    </row>
    <row r="572" spans="12:12" ht="21" customHeight="1">
      <c r="L572" s="187"/>
    </row>
    <row r="573" spans="12:12" ht="21" customHeight="1">
      <c r="L573" s="187"/>
    </row>
    <row r="574" spans="12:12" ht="21" customHeight="1">
      <c r="L574" s="187"/>
    </row>
    <row r="575" spans="12:12" ht="21" customHeight="1">
      <c r="L575" s="187"/>
    </row>
    <row r="576" spans="12:12" ht="21" customHeight="1">
      <c r="L576" s="187"/>
    </row>
    <row r="577" spans="12:12" ht="21" customHeight="1">
      <c r="L577" s="187"/>
    </row>
    <row r="578" spans="12:12" ht="21" customHeight="1">
      <c r="L578" s="187"/>
    </row>
    <row r="579" spans="12:12" ht="21" customHeight="1">
      <c r="L579" s="187"/>
    </row>
    <row r="580" spans="12:12" ht="21" customHeight="1">
      <c r="L580" s="187"/>
    </row>
    <row r="581" spans="12:12" ht="21" customHeight="1">
      <c r="L581" s="187"/>
    </row>
    <row r="582" spans="12:12" ht="21" customHeight="1">
      <c r="L582" s="187"/>
    </row>
    <row r="583" spans="12:12" ht="21" customHeight="1">
      <c r="L583" s="187"/>
    </row>
    <row r="584" spans="12:12" ht="21" customHeight="1">
      <c r="L584" s="187"/>
    </row>
    <row r="585" spans="12:12" ht="21" customHeight="1">
      <c r="L585" s="187"/>
    </row>
    <row r="586" spans="12:12" ht="21" customHeight="1">
      <c r="L586" s="187"/>
    </row>
    <row r="587" spans="12:12" ht="21" customHeight="1">
      <c r="L587" s="187"/>
    </row>
    <row r="588" spans="12:12" ht="21" customHeight="1">
      <c r="L588" s="187"/>
    </row>
    <row r="589" spans="12:12" ht="21" customHeight="1">
      <c r="L589" s="187"/>
    </row>
    <row r="590" spans="12:12" ht="21" customHeight="1">
      <c r="L590" s="187"/>
    </row>
    <row r="591" spans="12:12" ht="21" customHeight="1">
      <c r="L591" s="187"/>
    </row>
    <row r="592" spans="12:12" ht="21" customHeight="1">
      <c r="L592" s="187"/>
    </row>
    <row r="593" spans="12:12" ht="21" customHeight="1">
      <c r="L593" s="187"/>
    </row>
    <row r="594" spans="12:12" ht="21" customHeight="1">
      <c r="L594" s="187"/>
    </row>
    <row r="595" spans="12:12" ht="21" customHeight="1">
      <c r="L595" s="187"/>
    </row>
    <row r="596" spans="12:12" ht="21" customHeight="1">
      <c r="L596" s="187"/>
    </row>
    <row r="597" spans="12:12" ht="21" customHeight="1">
      <c r="L597" s="187"/>
    </row>
    <row r="598" spans="12:12" ht="21" customHeight="1">
      <c r="L598" s="187"/>
    </row>
    <row r="599" spans="12:12" ht="21" customHeight="1">
      <c r="L599" s="187"/>
    </row>
    <row r="600" spans="12:12" ht="21" customHeight="1">
      <c r="L600" s="187"/>
    </row>
    <row r="601" spans="12:12" ht="21" customHeight="1">
      <c r="L601" s="187"/>
    </row>
    <row r="602" spans="12:12" ht="21" customHeight="1">
      <c r="L602" s="187"/>
    </row>
    <row r="603" spans="12:12" ht="21" customHeight="1">
      <c r="L603" s="187"/>
    </row>
    <row r="604" spans="12:12" ht="21" customHeight="1">
      <c r="L604" s="187"/>
    </row>
    <row r="605" spans="12:12" ht="21" customHeight="1">
      <c r="L605" s="187"/>
    </row>
    <row r="606" spans="12:12" ht="21" customHeight="1">
      <c r="L606" s="187"/>
    </row>
    <row r="607" spans="12:12" ht="21" customHeight="1">
      <c r="L607" s="187"/>
    </row>
    <row r="608" spans="12:12" ht="21" customHeight="1">
      <c r="L608" s="187"/>
    </row>
    <row r="609" spans="12:12" ht="21" customHeight="1">
      <c r="L609" s="187"/>
    </row>
    <row r="610" spans="12:12" ht="21" customHeight="1">
      <c r="L610" s="187"/>
    </row>
    <row r="611" spans="12:12" ht="21" customHeight="1">
      <c r="L611" s="187"/>
    </row>
    <row r="612" spans="12:12" ht="21" customHeight="1">
      <c r="L612" s="187"/>
    </row>
    <row r="613" spans="12:12" ht="21" customHeight="1">
      <c r="L613" s="187"/>
    </row>
    <row r="614" spans="12:12" ht="21" customHeight="1">
      <c r="L614" s="187"/>
    </row>
    <row r="615" spans="12:12" ht="21" customHeight="1">
      <c r="L615" s="187"/>
    </row>
    <row r="616" spans="12:12" ht="21" customHeight="1">
      <c r="L616" s="187"/>
    </row>
    <row r="617" spans="12:12" ht="21" customHeight="1">
      <c r="L617" s="187"/>
    </row>
    <row r="618" spans="12:12" ht="21" customHeight="1">
      <c r="L618" s="187"/>
    </row>
    <row r="619" spans="12:12" ht="21" customHeight="1">
      <c r="L619" s="187"/>
    </row>
    <row r="620" spans="12:12" ht="21" customHeight="1">
      <c r="L620" s="187"/>
    </row>
    <row r="621" spans="12:12" ht="21" customHeight="1">
      <c r="L621" s="187"/>
    </row>
    <row r="622" spans="12:12" ht="21" customHeight="1">
      <c r="L622" s="187"/>
    </row>
    <row r="623" spans="12:12" ht="21" customHeight="1">
      <c r="L623" s="187"/>
    </row>
    <row r="624" spans="12:12" ht="21" customHeight="1">
      <c r="L624" s="187"/>
    </row>
    <row r="625" spans="12:12" ht="21" customHeight="1">
      <c r="L625" s="187"/>
    </row>
    <row r="626" spans="12:12" ht="21" customHeight="1">
      <c r="L626" s="187"/>
    </row>
    <row r="627" spans="12:12" ht="21" customHeight="1">
      <c r="L627" s="187"/>
    </row>
    <row r="628" spans="12:12" ht="21" customHeight="1">
      <c r="L628" s="187"/>
    </row>
    <row r="629" spans="12:12" ht="21" customHeight="1">
      <c r="L629" s="187"/>
    </row>
    <row r="630" spans="12:12" ht="21" customHeight="1">
      <c r="L630" s="187"/>
    </row>
    <row r="631" spans="12:12" ht="21" customHeight="1">
      <c r="L631" s="187"/>
    </row>
    <row r="632" spans="12:12" ht="21" customHeight="1">
      <c r="L632" s="187"/>
    </row>
    <row r="633" spans="12:12" ht="21" customHeight="1">
      <c r="L633" s="187"/>
    </row>
    <row r="634" spans="12:12" ht="21" customHeight="1">
      <c r="L634" s="187"/>
    </row>
    <row r="635" spans="12:12" ht="21" customHeight="1">
      <c r="L635" s="187"/>
    </row>
    <row r="636" spans="12:12" ht="21" customHeight="1">
      <c r="L636" s="187"/>
    </row>
    <row r="637" spans="12:12" ht="21" customHeight="1">
      <c r="L637" s="187"/>
    </row>
    <row r="638" spans="12:12" ht="21" customHeight="1">
      <c r="L638" s="187"/>
    </row>
    <row r="639" spans="12:12" ht="21" customHeight="1">
      <c r="L639" s="187"/>
    </row>
    <row r="640" spans="12:12" ht="21" customHeight="1">
      <c r="L640" s="187"/>
    </row>
    <row r="641" spans="12:12" ht="21" customHeight="1">
      <c r="L641" s="187"/>
    </row>
    <row r="642" spans="12:12" ht="21" customHeight="1">
      <c r="L642" s="187"/>
    </row>
    <row r="643" spans="12:12" ht="21" customHeight="1">
      <c r="L643" s="187"/>
    </row>
    <row r="644" spans="12:12" ht="21" customHeight="1">
      <c r="L644" s="187"/>
    </row>
    <row r="645" spans="12:12" ht="21" customHeight="1">
      <c r="L645" s="187"/>
    </row>
    <row r="646" spans="12:12" ht="21" customHeight="1">
      <c r="L646" s="187"/>
    </row>
    <row r="647" spans="12:12" ht="21" customHeight="1">
      <c r="L647" s="187"/>
    </row>
    <row r="648" spans="12:12" ht="21" customHeight="1">
      <c r="L648" s="187"/>
    </row>
    <row r="649" spans="12:12" ht="21" customHeight="1">
      <c r="L649" s="187"/>
    </row>
    <row r="650" spans="12:12" ht="21" customHeight="1">
      <c r="L650" s="187"/>
    </row>
    <row r="651" spans="12:12" ht="21" customHeight="1">
      <c r="L651" s="187"/>
    </row>
    <row r="652" spans="12:12" ht="21" customHeight="1">
      <c r="L652" s="187"/>
    </row>
    <row r="653" spans="12:12" ht="21" customHeight="1">
      <c r="L653" s="187"/>
    </row>
    <row r="654" spans="12:12" ht="21" customHeight="1">
      <c r="L654" s="187"/>
    </row>
    <row r="655" spans="12:12" ht="21" customHeight="1">
      <c r="L655" s="187"/>
    </row>
    <row r="656" spans="12:12" ht="21" customHeight="1">
      <c r="L656" s="187"/>
    </row>
    <row r="657" spans="12:12" ht="21" customHeight="1">
      <c r="L657" s="187"/>
    </row>
    <row r="658" spans="12:12" ht="21" customHeight="1">
      <c r="L658" s="187"/>
    </row>
    <row r="659" spans="12:12" ht="21" customHeight="1">
      <c r="L659" s="187"/>
    </row>
    <row r="660" spans="12:12" ht="21" customHeight="1">
      <c r="L660" s="187"/>
    </row>
    <row r="661" spans="12:12" ht="21" customHeight="1">
      <c r="L661" s="187"/>
    </row>
    <row r="662" spans="12:12" ht="21" customHeight="1">
      <c r="L662" s="187"/>
    </row>
    <row r="663" spans="12:12" ht="21" customHeight="1">
      <c r="L663" s="187"/>
    </row>
    <row r="664" spans="12:12" ht="21" customHeight="1">
      <c r="L664" s="187"/>
    </row>
    <row r="665" spans="12:12" ht="21" customHeight="1">
      <c r="L665" s="187"/>
    </row>
    <row r="666" spans="12:12" ht="21" customHeight="1">
      <c r="L666" s="187"/>
    </row>
    <row r="667" spans="12:12" ht="21" customHeight="1">
      <c r="L667" s="187"/>
    </row>
    <row r="668" spans="12:12" ht="21" customHeight="1">
      <c r="L668" s="187"/>
    </row>
    <row r="669" spans="12:12" ht="21" customHeight="1">
      <c r="L669" s="187"/>
    </row>
    <row r="670" spans="12:12" ht="21" customHeight="1">
      <c r="L670" s="187"/>
    </row>
    <row r="671" spans="12:12" ht="21" customHeight="1">
      <c r="L671" s="187"/>
    </row>
    <row r="672" spans="12:12" ht="21" customHeight="1">
      <c r="L672" s="187"/>
    </row>
    <row r="673" spans="12:12" ht="21" customHeight="1">
      <c r="L673" s="187"/>
    </row>
    <row r="674" spans="12:12" ht="21" customHeight="1">
      <c r="L674" s="187"/>
    </row>
    <row r="675" spans="12:12" ht="21" customHeight="1">
      <c r="L675" s="187"/>
    </row>
    <row r="676" spans="12:12" ht="21" customHeight="1">
      <c r="L676" s="187"/>
    </row>
    <row r="677" spans="12:12" ht="21" customHeight="1">
      <c r="L677" s="187"/>
    </row>
    <row r="678" spans="12:12" ht="21" customHeight="1">
      <c r="L678" s="187"/>
    </row>
    <row r="679" spans="12:12" ht="21" customHeight="1">
      <c r="L679" s="187"/>
    </row>
    <row r="680" spans="12:12" ht="21" customHeight="1">
      <c r="L680" s="187"/>
    </row>
    <row r="681" spans="12:12" ht="21" customHeight="1">
      <c r="L681" s="187"/>
    </row>
    <row r="682" spans="12:12" ht="21" customHeight="1">
      <c r="L682" s="187"/>
    </row>
    <row r="683" spans="12:12" ht="21" customHeight="1">
      <c r="L683" s="187"/>
    </row>
    <row r="684" spans="12:12" ht="21" customHeight="1">
      <c r="L684" s="187"/>
    </row>
    <row r="685" spans="12:12" ht="21" customHeight="1">
      <c r="L685" s="187"/>
    </row>
    <row r="686" spans="12:12" ht="21" customHeight="1">
      <c r="L686" s="187"/>
    </row>
    <row r="687" spans="12:12" ht="21" customHeight="1">
      <c r="L687" s="187"/>
    </row>
    <row r="688" spans="12:12" ht="21" customHeight="1">
      <c r="L688" s="187"/>
    </row>
    <row r="689" spans="12:12" ht="21" customHeight="1">
      <c r="L689" s="187"/>
    </row>
    <row r="690" spans="12:12" ht="21" customHeight="1">
      <c r="L690" s="187"/>
    </row>
    <row r="691" spans="12:12" ht="21" customHeight="1">
      <c r="L691" s="187"/>
    </row>
    <row r="692" spans="12:12" ht="21" customHeight="1">
      <c r="L692" s="187"/>
    </row>
    <row r="693" spans="12:12" ht="21" customHeight="1">
      <c r="L693" s="187"/>
    </row>
    <row r="694" spans="12:12" ht="21" customHeight="1">
      <c r="L694" s="187"/>
    </row>
    <row r="695" spans="12:12" ht="21" customHeight="1">
      <c r="L695" s="187"/>
    </row>
    <row r="696" spans="12:12" ht="21" customHeight="1">
      <c r="L696" s="187"/>
    </row>
    <row r="697" spans="12:12" ht="21" customHeight="1">
      <c r="L697" s="187"/>
    </row>
    <row r="698" spans="12:12" ht="21" customHeight="1">
      <c r="L698" s="187"/>
    </row>
    <row r="699" spans="12:12" ht="21" customHeight="1">
      <c r="L699" s="187"/>
    </row>
    <row r="700" spans="12:12" ht="21" customHeight="1">
      <c r="L700" s="187"/>
    </row>
    <row r="701" spans="12:12" ht="21" customHeight="1">
      <c r="L701" s="187"/>
    </row>
    <row r="702" spans="12:12" ht="21" customHeight="1">
      <c r="L702" s="187"/>
    </row>
    <row r="703" spans="12:12" ht="21" customHeight="1">
      <c r="L703" s="187"/>
    </row>
    <row r="704" spans="12:12" ht="21" customHeight="1">
      <c r="L704" s="187"/>
    </row>
    <row r="705" spans="12:12" ht="21" customHeight="1">
      <c r="L705" s="187"/>
    </row>
    <row r="706" spans="12:12" ht="21" customHeight="1">
      <c r="L706" s="187"/>
    </row>
    <row r="707" spans="12:12" ht="21" customHeight="1">
      <c r="L707" s="187"/>
    </row>
    <row r="708" spans="12:12" ht="21" customHeight="1">
      <c r="L708" s="187"/>
    </row>
    <row r="709" spans="12:12" ht="21" customHeight="1">
      <c r="L709" s="187"/>
    </row>
    <row r="710" spans="12:12" ht="21" customHeight="1">
      <c r="L710" s="187"/>
    </row>
    <row r="711" spans="12:12" ht="21" customHeight="1">
      <c r="L711" s="187"/>
    </row>
    <row r="712" spans="12:12" ht="21" customHeight="1">
      <c r="L712" s="187"/>
    </row>
    <row r="713" spans="12:12" ht="21" customHeight="1">
      <c r="L713" s="187"/>
    </row>
    <row r="714" spans="12:12" ht="21" customHeight="1">
      <c r="L714" s="187"/>
    </row>
    <row r="715" spans="12:12" ht="21" customHeight="1">
      <c r="L715" s="187"/>
    </row>
    <row r="716" spans="12:12" ht="21" customHeight="1">
      <c r="L716" s="187"/>
    </row>
    <row r="717" spans="12:12" ht="21" customHeight="1">
      <c r="L717" s="187"/>
    </row>
    <row r="718" spans="12:12" ht="21" customHeight="1">
      <c r="L718" s="187"/>
    </row>
    <row r="719" spans="12:12" ht="21" customHeight="1">
      <c r="L719" s="187"/>
    </row>
    <row r="720" spans="12:12" ht="21" customHeight="1">
      <c r="L720" s="187"/>
    </row>
    <row r="721" spans="12:12" ht="21" customHeight="1">
      <c r="L721" s="187"/>
    </row>
    <row r="722" spans="12:12" ht="21" customHeight="1">
      <c r="L722" s="187"/>
    </row>
    <row r="723" spans="12:12" ht="21" customHeight="1">
      <c r="L723" s="187"/>
    </row>
    <row r="724" spans="12:12" ht="21" customHeight="1">
      <c r="L724" s="187"/>
    </row>
    <row r="725" spans="12:12" ht="21" customHeight="1">
      <c r="L725" s="187"/>
    </row>
    <row r="726" spans="12:12" ht="21" customHeight="1">
      <c r="L726" s="187"/>
    </row>
    <row r="727" spans="12:12" ht="21" customHeight="1">
      <c r="L727" s="187"/>
    </row>
    <row r="728" spans="12:12" ht="21" customHeight="1">
      <c r="L728" s="187"/>
    </row>
    <row r="729" spans="12:12" ht="21" customHeight="1">
      <c r="L729" s="187"/>
    </row>
    <row r="730" spans="12:12" ht="21" customHeight="1">
      <c r="L730" s="187"/>
    </row>
    <row r="731" spans="12:12" ht="21" customHeight="1">
      <c r="L731" s="187"/>
    </row>
    <row r="732" spans="12:12" ht="21" customHeight="1">
      <c r="L732" s="187"/>
    </row>
    <row r="733" spans="12:12" ht="21" customHeight="1">
      <c r="L733" s="187"/>
    </row>
    <row r="734" spans="12:12" ht="21" customHeight="1">
      <c r="L734" s="187"/>
    </row>
    <row r="735" spans="12:12" ht="21" customHeight="1">
      <c r="L735" s="187"/>
    </row>
    <row r="736" spans="12:12" ht="21" customHeight="1">
      <c r="L736" s="187"/>
    </row>
    <row r="737" spans="12:12" ht="21" customHeight="1">
      <c r="L737" s="187"/>
    </row>
    <row r="738" spans="12:12" ht="21" customHeight="1">
      <c r="L738" s="187"/>
    </row>
    <row r="739" spans="12:12" ht="21" customHeight="1">
      <c r="L739" s="187"/>
    </row>
    <row r="740" spans="12:12" ht="21" customHeight="1">
      <c r="L740" s="187"/>
    </row>
    <row r="741" spans="12:12" ht="21" customHeight="1">
      <c r="L741" s="187"/>
    </row>
    <row r="742" spans="12:12" ht="21" customHeight="1">
      <c r="L742" s="187"/>
    </row>
    <row r="743" spans="12:12" ht="21" customHeight="1">
      <c r="L743" s="187"/>
    </row>
    <row r="744" spans="12:12" ht="21" customHeight="1">
      <c r="L744" s="187"/>
    </row>
    <row r="745" spans="12:12" ht="21" customHeight="1">
      <c r="L745" s="187"/>
    </row>
    <row r="746" spans="12:12" ht="21" customHeight="1">
      <c r="L746" s="187"/>
    </row>
    <row r="747" spans="12:12" ht="21" customHeight="1">
      <c r="L747" s="187"/>
    </row>
    <row r="748" spans="12:12" ht="21" customHeight="1">
      <c r="L748" s="187"/>
    </row>
    <row r="749" spans="12:12" ht="21" customHeight="1">
      <c r="L749" s="187"/>
    </row>
    <row r="750" spans="12:12" ht="21" customHeight="1">
      <c r="L750" s="187"/>
    </row>
    <row r="751" spans="12:12" ht="21" customHeight="1">
      <c r="L751" s="187"/>
    </row>
    <row r="752" spans="12:12" ht="21" customHeight="1">
      <c r="L752" s="187"/>
    </row>
    <row r="753" spans="12:12" ht="21" customHeight="1">
      <c r="L753" s="187"/>
    </row>
    <row r="754" spans="12:12" ht="21" customHeight="1">
      <c r="L754" s="187"/>
    </row>
    <row r="755" spans="12:12" ht="21" customHeight="1">
      <c r="L755" s="187"/>
    </row>
    <row r="756" spans="12:12" ht="21" customHeight="1">
      <c r="L756" s="187"/>
    </row>
    <row r="757" spans="12:12" ht="21" customHeight="1">
      <c r="L757" s="187"/>
    </row>
    <row r="758" spans="12:12" ht="21" customHeight="1">
      <c r="L758" s="187"/>
    </row>
    <row r="759" spans="12:12" ht="21" customHeight="1">
      <c r="L759" s="187"/>
    </row>
    <row r="760" spans="12:12" ht="21" customHeight="1">
      <c r="L760" s="187"/>
    </row>
    <row r="761" spans="12:12" ht="21" customHeight="1">
      <c r="L761" s="187"/>
    </row>
    <row r="762" spans="12:12" ht="21" customHeight="1">
      <c r="L762" s="187"/>
    </row>
    <row r="763" spans="12:12" ht="21" customHeight="1">
      <c r="L763" s="187"/>
    </row>
    <row r="764" spans="12:12" ht="21" customHeight="1">
      <c r="L764" s="187"/>
    </row>
    <row r="765" spans="12:12" ht="21" customHeight="1">
      <c r="L765" s="187"/>
    </row>
    <row r="766" spans="12:12" ht="21" customHeight="1">
      <c r="L766" s="187"/>
    </row>
    <row r="767" spans="12:12" ht="21" customHeight="1">
      <c r="L767" s="187"/>
    </row>
    <row r="768" spans="12:12" ht="21" customHeight="1">
      <c r="L768" s="187"/>
    </row>
    <row r="769" spans="12:12" ht="21" customHeight="1">
      <c r="L769" s="187"/>
    </row>
    <row r="770" spans="12:12" ht="21" customHeight="1">
      <c r="L770" s="187"/>
    </row>
    <row r="771" spans="12:12" ht="21" customHeight="1">
      <c r="L771" s="187"/>
    </row>
    <row r="772" spans="12:12" ht="21" customHeight="1">
      <c r="L772" s="187"/>
    </row>
    <row r="773" spans="12:12" ht="21" customHeight="1">
      <c r="L773" s="187"/>
    </row>
    <row r="774" spans="12:12" ht="21" customHeight="1">
      <c r="L774" s="187"/>
    </row>
    <row r="775" spans="12:12" ht="21" customHeight="1">
      <c r="L775" s="187"/>
    </row>
    <row r="776" spans="12:12" ht="21" customHeight="1">
      <c r="L776" s="187"/>
    </row>
    <row r="777" spans="12:12" ht="21" customHeight="1">
      <c r="L777" s="187"/>
    </row>
    <row r="778" spans="12:12" ht="21" customHeight="1">
      <c r="L778" s="187"/>
    </row>
    <row r="779" spans="12:12" ht="21" customHeight="1">
      <c r="L779" s="187"/>
    </row>
    <row r="780" spans="12:12" ht="21" customHeight="1">
      <c r="L780" s="187"/>
    </row>
    <row r="781" spans="12:12" ht="21" customHeight="1">
      <c r="L781" s="187"/>
    </row>
    <row r="782" spans="12:12" ht="21" customHeight="1">
      <c r="L782" s="187"/>
    </row>
    <row r="783" spans="12:12" ht="21" customHeight="1">
      <c r="L783" s="187"/>
    </row>
    <row r="784" spans="12:12" ht="21" customHeight="1">
      <c r="L784" s="187"/>
    </row>
    <row r="785" spans="12:12" ht="21" customHeight="1">
      <c r="L785" s="187"/>
    </row>
    <row r="786" spans="12:12" ht="21" customHeight="1">
      <c r="L786" s="187"/>
    </row>
    <row r="787" spans="12:12" ht="21" customHeight="1">
      <c r="L787" s="187"/>
    </row>
    <row r="788" spans="12:12" ht="21" customHeight="1">
      <c r="L788" s="187"/>
    </row>
    <row r="789" spans="12:12" ht="21" customHeight="1">
      <c r="L789" s="187"/>
    </row>
    <row r="790" spans="12:12" ht="21" customHeight="1">
      <c r="L790" s="187"/>
    </row>
    <row r="791" spans="12:12" ht="21" customHeight="1">
      <c r="L791" s="187"/>
    </row>
    <row r="792" spans="12:12" ht="21" customHeight="1">
      <c r="L792" s="187"/>
    </row>
    <row r="793" spans="12:12" ht="21" customHeight="1">
      <c r="L793" s="187"/>
    </row>
    <row r="794" spans="12:12" ht="21" customHeight="1">
      <c r="L794" s="187"/>
    </row>
    <row r="795" spans="12:12" ht="21" customHeight="1">
      <c r="L795" s="187"/>
    </row>
    <row r="796" spans="12:12" ht="21" customHeight="1">
      <c r="L796" s="187"/>
    </row>
    <row r="797" spans="12:12" ht="21" customHeight="1">
      <c r="L797" s="187"/>
    </row>
    <row r="798" spans="12:12" ht="21" customHeight="1">
      <c r="L798" s="187"/>
    </row>
    <row r="799" spans="12:12" ht="21" customHeight="1">
      <c r="L799" s="187"/>
    </row>
    <row r="800" spans="12:12" ht="21" customHeight="1">
      <c r="L800" s="187"/>
    </row>
    <row r="801" spans="12:12" ht="21" customHeight="1">
      <c r="L801" s="187"/>
    </row>
    <row r="802" spans="12:12" ht="21" customHeight="1">
      <c r="L802" s="187"/>
    </row>
    <row r="803" spans="12:12" ht="21" customHeight="1">
      <c r="L803" s="187"/>
    </row>
    <row r="804" spans="12:12" ht="21" customHeight="1">
      <c r="L804" s="187"/>
    </row>
    <row r="805" spans="12:12" ht="21" customHeight="1">
      <c r="L805" s="187"/>
    </row>
    <row r="806" spans="12:12" ht="21" customHeight="1">
      <c r="L806" s="187"/>
    </row>
    <row r="807" spans="12:12" ht="21" customHeight="1">
      <c r="L807" s="187"/>
    </row>
    <row r="808" spans="12:12" ht="21" customHeight="1">
      <c r="L808" s="187"/>
    </row>
    <row r="809" spans="12:12" ht="21" customHeight="1">
      <c r="L809" s="187"/>
    </row>
    <row r="810" spans="12:12" ht="21" customHeight="1">
      <c r="L810" s="187"/>
    </row>
    <row r="811" spans="12:12" ht="21" customHeight="1">
      <c r="L811" s="187"/>
    </row>
    <row r="812" spans="12:12" ht="21" customHeight="1">
      <c r="L812" s="187"/>
    </row>
    <row r="813" spans="12:12" ht="21" customHeight="1">
      <c r="L813" s="187"/>
    </row>
    <row r="814" spans="12:12" ht="21" customHeight="1">
      <c r="L814" s="187"/>
    </row>
    <row r="815" spans="12:12" ht="21" customHeight="1">
      <c r="L815" s="187"/>
    </row>
    <row r="816" spans="12:12" ht="21" customHeight="1">
      <c r="L816" s="187"/>
    </row>
    <row r="817" spans="12:12" ht="21" customHeight="1">
      <c r="L817" s="187"/>
    </row>
    <row r="818" spans="12:12" ht="21" customHeight="1">
      <c r="L818" s="187"/>
    </row>
    <row r="819" spans="12:12" ht="21" customHeight="1">
      <c r="L819" s="187"/>
    </row>
    <row r="820" spans="12:12" ht="21" customHeight="1">
      <c r="L820" s="187"/>
    </row>
    <row r="821" spans="12:12" ht="21" customHeight="1">
      <c r="L821" s="187"/>
    </row>
    <row r="822" spans="12:12" ht="21" customHeight="1">
      <c r="L822" s="187"/>
    </row>
    <row r="823" spans="12:12" ht="21" customHeight="1">
      <c r="L823" s="187"/>
    </row>
    <row r="824" spans="12:12" ht="21" customHeight="1">
      <c r="L824" s="187"/>
    </row>
    <row r="825" spans="12:12" ht="21" customHeight="1">
      <c r="L825" s="187"/>
    </row>
    <row r="826" spans="12:12" ht="21" customHeight="1">
      <c r="L826" s="187"/>
    </row>
    <row r="827" spans="12:12" ht="21" customHeight="1">
      <c r="L827" s="187"/>
    </row>
    <row r="828" spans="12:12" ht="21" customHeight="1">
      <c r="L828" s="187"/>
    </row>
    <row r="829" spans="12:12" ht="21" customHeight="1">
      <c r="L829" s="187"/>
    </row>
    <row r="830" spans="12:12" ht="21" customHeight="1">
      <c r="L830" s="187"/>
    </row>
    <row r="831" spans="12:12" ht="21" customHeight="1">
      <c r="L831" s="187"/>
    </row>
    <row r="832" spans="12:12" ht="21" customHeight="1">
      <c r="L832" s="187"/>
    </row>
    <row r="833" spans="12:12" ht="21" customHeight="1">
      <c r="L833" s="187"/>
    </row>
    <row r="834" spans="12:12" ht="21" customHeight="1">
      <c r="L834" s="187"/>
    </row>
    <row r="835" spans="12:12" ht="21" customHeight="1">
      <c r="L835" s="187"/>
    </row>
    <row r="836" spans="12:12" ht="21" customHeight="1">
      <c r="L836" s="187"/>
    </row>
    <row r="837" spans="12:12" ht="21" customHeight="1">
      <c r="L837" s="187"/>
    </row>
    <row r="838" spans="12:12" ht="21" customHeight="1">
      <c r="L838" s="187"/>
    </row>
    <row r="839" spans="12:12" ht="21" customHeight="1">
      <c r="L839" s="187"/>
    </row>
    <row r="840" spans="12:12" ht="21" customHeight="1">
      <c r="L840" s="187"/>
    </row>
    <row r="841" spans="12:12" ht="21" customHeight="1">
      <c r="L841" s="187"/>
    </row>
    <row r="842" spans="12:12" ht="21" customHeight="1">
      <c r="L842" s="187"/>
    </row>
    <row r="843" spans="12:12" ht="21" customHeight="1">
      <c r="L843" s="187"/>
    </row>
    <row r="844" spans="12:12" ht="21" customHeight="1">
      <c r="L844" s="187"/>
    </row>
    <row r="845" spans="12:12" ht="21" customHeight="1">
      <c r="L845" s="187"/>
    </row>
    <row r="846" spans="12:12" ht="21" customHeight="1">
      <c r="L846" s="187"/>
    </row>
    <row r="847" spans="12:12" ht="21" customHeight="1">
      <c r="L847" s="187"/>
    </row>
    <row r="848" spans="12:12" ht="21" customHeight="1">
      <c r="L848" s="187"/>
    </row>
    <row r="849" spans="12:12" ht="21" customHeight="1">
      <c r="L849" s="187"/>
    </row>
    <row r="850" spans="12:12" ht="21" customHeight="1">
      <c r="L850" s="187"/>
    </row>
    <row r="851" spans="12:12" ht="21" customHeight="1">
      <c r="L851" s="187"/>
    </row>
    <row r="852" spans="12:12" ht="21" customHeight="1">
      <c r="L852" s="187"/>
    </row>
    <row r="853" spans="12:12" ht="21" customHeight="1">
      <c r="L853" s="187"/>
    </row>
    <row r="854" spans="12:12" ht="21" customHeight="1">
      <c r="L854" s="187"/>
    </row>
    <row r="855" spans="12:12" ht="21" customHeight="1">
      <c r="L855" s="187"/>
    </row>
    <row r="856" spans="12:12" ht="21" customHeight="1">
      <c r="L856" s="187"/>
    </row>
    <row r="857" spans="12:12" ht="21" customHeight="1">
      <c r="L857" s="187"/>
    </row>
    <row r="858" spans="12:12" ht="21" customHeight="1">
      <c r="L858" s="187"/>
    </row>
    <row r="859" spans="12:12" ht="21" customHeight="1">
      <c r="L859" s="187"/>
    </row>
    <row r="860" spans="12:12" ht="21" customHeight="1">
      <c r="L860" s="187"/>
    </row>
    <row r="861" spans="12:12" ht="21" customHeight="1">
      <c r="L861" s="187"/>
    </row>
    <row r="862" spans="12:12" ht="21" customHeight="1">
      <c r="L862" s="187"/>
    </row>
    <row r="863" spans="12:12" ht="21" customHeight="1">
      <c r="L863" s="187"/>
    </row>
    <row r="864" spans="12:12" ht="21" customHeight="1">
      <c r="L864" s="187"/>
    </row>
    <row r="865" spans="12:12" ht="21" customHeight="1">
      <c r="L865" s="187"/>
    </row>
    <row r="866" spans="12:12" ht="21" customHeight="1">
      <c r="L866" s="187"/>
    </row>
    <row r="867" spans="12:12" ht="21" customHeight="1">
      <c r="L867" s="187"/>
    </row>
    <row r="868" spans="12:12" ht="21" customHeight="1">
      <c r="L868" s="187"/>
    </row>
    <row r="869" spans="12:12" ht="21" customHeight="1">
      <c r="L869" s="187"/>
    </row>
    <row r="870" spans="12:12" ht="21" customHeight="1">
      <c r="L870" s="187"/>
    </row>
    <row r="871" spans="12:12" ht="21" customHeight="1">
      <c r="L871" s="187"/>
    </row>
    <row r="872" spans="12:12" ht="21" customHeight="1">
      <c r="L872" s="187"/>
    </row>
    <row r="873" spans="12:12" ht="21" customHeight="1">
      <c r="L873" s="187"/>
    </row>
    <row r="874" spans="12:12" ht="21" customHeight="1">
      <c r="L874" s="187"/>
    </row>
    <row r="875" spans="12:12" ht="21" customHeight="1">
      <c r="L875" s="187"/>
    </row>
    <row r="876" spans="12:12" ht="21" customHeight="1">
      <c r="L876" s="187"/>
    </row>
    <row r="877" spans="12:12" ht="21" customHeight="1">
      <c r="L877" s="187"/>
    </row>
    <row r="878" spans="12:12" ht="21" customHeight="1">
      <c r="L878" s="187"/>
    </row>
    <row r="879" spans="12:12" ht="21" customHeight="1">
      <c r="L879" s="187"/>
    </row>
    <row r="880" spans="12:12" ht="21" customHeight="1">
      <c r="L880" s="187"/>
    </row>
    <row r="881" spans="12:12" ht="21" customHeight="1">
      <c r="L881" s="187"/>
    </row>
    <row r="882" spans="12:12" ht="21" customHeight="1">
      <c r="L882" s="187"/>
    </row>
    <row r="883" spans="12:12" ht="21" customHeight="1">
      <c r="L883" s="187"/>
    </row>
    <row r="884" spans="12:12" ht="21" customHeight="1">
      <c r="L884" s="187"/>
    </row>
    <row r="885" spans="12:12" ht="21" customHeight="1">
      <c r="L885" s="187"/>
    </row>
    <row r="886" spans="12:12" ht="21" customHeight="1">
      <c r="L886" s="187"/>
    </row>
    <row r="887" spans="12:12" ht="21" customHeight="1">
      <c r="L887" s="187"/>
    </row>
    <row r="888" spans="12:12" ht="21" customHeight="1">
      <c r="L888" s="187"/>
    </row>
    <row r="889" spans="12:12" ht="21" customHeight="1">
      <c r="L889" s="187"/>
    </row>
    <row r="890" spans="12:12" ht="21" customHeight="1">
      <c r="L890" s="187"/>
    </row>
    <row r="891" spans="12:12" ht="21" customHeight="1">
      <c r="L891" s="187"/>
    </row>
    <row r="892" spans="12:12" ht="21" customHeight="1">
      <c r="L892" s="187"/>
    </row>
    <row r="893" spans="12:12" ht="21" customHeight="1">
      <c r="L893" s="187"/>
    </row>
    <row r="894" spans="12:12" ht="21" customHeight="1">
      <c r="L894" s="187"/>
    </row>
    <row r="895" spans="12:12" ht="21" customHeight="1">
      <c r="L895" s="187"/>
    </row>
    <row r="896" spans="12:12" ht="21" customHeight="1">
      <c r="L896" s="187"/>
    </row>
    <row r="897" spans="12:12" ht="21" customHeight="1">
      <c r="L897" s="187"/>
    </row>
    <row r="898" spans="12:12" ht="21" customHeight="1">
      <c r="L898" s="187"/>
    </row>
    <row r="899" spans="12:12" ht="21" customHeight="1">
      <c r="L899" s="187"/>
    </row>
    <row r="900" spans="12:12" ht="21" customHeight="1">
      <c r="L900" s="187"/>
    </row>
    <row r="901" spans="12:12" ht="21" customHeight="1">
      <c r="L901" s="187"/>
    </row>
    <row r="902" spans="12:12" ht="21" customHeight="1">
      <c r="L902" s="187"/>
    </row>
    <row r="903" spans="12:12" ht="21" customHeight="1">
      <c r="L903" s="187"/>
    </row>
    <row r="904" spans="12:12" ht="21" customHeight="1">
      <c r="L904" s="187"/>
    </row>
    <row r="905" spans="12:12" ht="21" customHeight="1">
      <c r="L905" s="187"/>
    </row>
    <row r="906" spans="12:12" ht="21" customHeight="1">
      <c r="L906" s="187"/>
    </row>
    <row r="907" spans="12:12" ht="21" customHeight="1">
      <c r="L907" s="187"/>
    </row>
    <row r="908" spans="12:12" ht="21" customHeight="1">
      <c r="L908" s="187"/>
    </row>
    <row r="909" spans="12:12" ht="21" customHeight="1">
      <c r="L909" s="187"/>
    </row>
    <row r="910" spans="12:12" ht="21" customHeight="1">
      <c r="L910" s="187"/>
    </row>
    <row r="911" spans="12:12" ht="21" customHeight="1">
      <c r="L911" s="187"/>
    </row>
    <row r="912" spans="12:12" ht="21" customHeight="1">
      <c r="L912" s="187"/>
    </row>
    <row r="913" spans="12:12" ht="21" customHeight="1">
      <c r="L913" s="187"/>
    </row>
    <row r="914" spans="12:12" ht="21" customHeight="1">
      <c r="L914" s="187"/>
    </row>
    <row r="915" spans="12:12" ht="21" customHeight="1">
      <c r="L915" s="187"/>
    </row>
    <row r="916" spans="12:12" ht="21" customHeight="1">
      <c r="L916" s="187"/>
    </row>
    <row r="917" spans="12:12" ht="21" customHeight="1">
      <c r="L917" s="187"/>
    </row>
    <row r="918" spans="12:12" ht="21" customHeight="1">
      <c r="L918" s="187"/>
    </row>
    <row r="919" spans="12:12" ht="21" customHeight="1">
      <c r="L919" s="187"/>
    </row>
    <row r="920" spans="12:12" ht="21" customHeight="1">
      <c r="L920" s="187"/>
    </row>
    <row r="921" spans="12:12" ht="21" customHeight="1">
      <c r="L921" s="187"/>
    </row>
    <row r="922" spans="12:12" ht="21" customHeight="1">
      <c r="L922" s="187"/>
    </row>
    <row r="923" spans="12:12" ht="21" customHeight="1">
      <c r="L923" s="187"/>
    </row>
    <row r="924" spans="12:12" ht="21" customHeight="1">
      <c r="L924" s="187"/>
    </row>
    <row r="925" spans="12:12" ht="21" customHeight="1">
      <c r="L925" s="187"/>
    </row>
    <row r="926" spans="12:12" ht="21" customHeight="1">
      <c r="L926" s="187"/>
    </row>
    <row r="927" spans="12:12" ht="21" customHeight="1">
      <c r="L927" s="187"/>
    </row>
    <row r="928" spans="12:12" ht="21" customHeight="1">
      <c r="L928" s="187"/>
    </row>
    <row r="929" spans="12:12" ht="21" customHeight="1">
      <c r="L929" s="187"/>
    </row>
    <row r="930" spans="12:12" ht="21" customHeight="1">
      <c r="L930" s="187"/>
    </row>
    <row r="931" spans="12:12" ht="21" customHeight="1">
      <c r="L931" s="187"/>
    </row>
    <row r="932" spans="12:12" ht="21" customHeight="1">
      <c r="L932" s="187"/>
    </row>
    <row r="933" spans="12:12" ht="21" customHeight="1">
      <c r="L933" s="187"/>
    </row>
    <row r="934" spans="12:12" ht="21" customHeight="1">
      <c r="L934" s="187"/>
    </row>
    <row r="935" spans="12:12" ht="21" customHeight="1">
      <c r="L935" s="187"/>
    </row>
    <row r="936" spans="12:12" ht="21" customHeight="1">
      <c r="L936" s="187"/>
    </row>
    <row r="937" spans="12:12" ht="21" customHeight="1">
      <c r="L937" s="187"/>
    </row>
    <row r="938" spans="12:12" ht="21" customHeight="1">
      <c r="L938" s="187"/>
    </row>
    <row r="939" spans="12:12" ht="21" customHeight="1">
      <c r="L939" s="187"/>
    </row>
    <row r="940" spans="12:12" ht="21" customHeight="1">
      <c r="L940" s="187"/>
    </row>
    <row r="941" spans="12:12" ht="21" customHeight="1">
      <c r="L941" s="187"/>
    </row>
    <row r="942" spans="12:12" ht="21" customHeight="1">
      <c r="L942" s="187"/>
    </row>
    <row r="943" spans="12:12" ht="21" customHeight="1">
      <c r="L943" s="187"/>
    </row>
    <row r="944" spans="12:12" ht="21" customHeight="1">
      <c r="L944" s="187"/>
    </row>
    <row r="945" spans="12:12" ht="21" customHeight="1">
      <c r="L945" s="187"/>
    </row>
    <row r="946" spans="12:12" ht="21" customHeight="1">
      <c r="L946" s="187"/>
    </row>
    <row r="947" spans="12:12" ht="21" customHeight="1">
      <c r="L947" s="187"/>
    </row>
    <row r="948" spans="12:12" ht="21" customHeight="1">
      <c r="L948" s="187"/>
    </row>
    <row r="949" spans="12:12" ht="21" customHeight="1">
      <c r="L949" s="187"/>
    </row>
    <row r="950" spans="12:12" ht="21" customHeight="1">
      <c r="L950" s="187"/>
    </row>
    <row r="951" spans="12:12" ht="21" customHeight="1">
      <c r="L951" s="187"/>
    </row>
    <row r="952" spans="12:12" ht="21" customHeight="1">
      <c r="L952" s="187"/>
    </row>
    <row r="953" spans="12:12" ht="21" customHeight="1">
      <c r="L953" s="187"/>
    </row>
    <row r="954" spans="12:12" ht="21" customHeight="1">
      <c r="L954" s="187"/>
    </row>
    <row r="955" spans="12:12" ht="21" customHeight="1">
      <c r="L955" s="187"/>
    </row>
    <row r="956" spans="12:12" ht="21" customHeight="1">
      <c r="L956" s="187"/>
    </row>
    <row r="957" spans="12:12" ht="21" customHeight="1">
      <c r="L957" s="187"/>
    </row>
    <row r="958" spans="12:12" ht="21" customHeight="1">
      <c r="L958" s="187"/>
    </row>
    <row r="959" spans="12:12" ht="21" customHeight="1">
      <c r="L959" s="187"/>
    </row>
    <row r="960" spans="12:12" ht="21" customHeight="1">
      <c r="L960" s="187"/>
    </row>
    <row r="961" spans="12:12" ht="21" customHeight="1">
      <c r="L961" s="187"/>
    </row>
    <row r="962" spans="12:12" ht="21" customHeight="1">
      <c r="L962" s="187"/>
    </row>
    <row r="963" spans="12:12" ht="21" customHeight="1">
      <c r="L963" s="187"/>
    </row>
    <row r="964" spans="12:12" ht="21" customHeight="1">
      <c r="L964" s="187"/>
    </row>
    <row r="965" spans="12:12" ht="21" customHeight="1">
      <c r="L965" s="187"/>
    </row>
    <row r="966" spans="12:12" ht="21" customHeight="1">
      <c r="L966" s="187"/>
    </row>
    <row r="967" spans="12:12" ht="21" customHeight="1">
      <c r="L967" s="187"/>
    </row>
    <row r="968" spans="12:12" ht="21" customHeight="1">
      <c r="L968" s="187"/>
    </row>
    <row r="969" spans="12:12" ht="21" customHeight="1">
      <c r="L969" s="187"/>
    </row>
    <row r="970" spans="12:12" ht="21" customHeight="1">
      <c r="L970" s="187"/>
    </row>
    <row r="971" spans="12:12" ht="21" customHeight="1">
      <c r="L971" s="187"/>
    </row>
    <row r="972" spans="12:12" ht="21" customHeight="1">
      <c r="L972" s="187"/>
    </row>
    <row r="973" spans="12:12" ht="21" customHeight="1">
      <c r="L973" s="187"/>
    </row>
    <row r="974" spans="12:12" ht="21" customHeight="1">
      <c r="L974" s="187"/>
    </row>
    <row r="975" spans="12:12" ht="21" customHeight="1">
      <c r="L975" s="187"/>
    </row>
    <row r="976" spans="12:12" ht="21" customHeight="1">
      <c r="L976" s="187"/>
    </row>
    <row r="977" spans="12:12" ht="21" customHeight="1">
      <c r="L977" s="187"/>
    </row>
    <row r="978" spans="12:12" ht="21" customHeight="1">
      <c r="L978" s="187"/>
    </row>
    <row r="979" spans="12:12" ht="21" customHeight="1">
      <c r="L979" s="187"/>
    </row>
    <row r="980" spans="12:12" ht="21" customHeight="1">
      <c r="L980" s="187"/>
    </row>
    <row r="981" spans="12:12" ht="21" customHeight="1">
      <c r="L981" s="187"/>
    </row>
    <row r="982" spans="12:12" ht="21" customHeight="1">
      <c r="L982" s="187"/>
    </row>
    <row r="983" spans="12:12" ht="21" customHeight="1">
      <c r="L983" s="187"/>
    </row>
    <row r="984" spans="12:12" ht="21" customHeight="1">
      <c r="L984" s="187"/>
    </row>
    <row r="985" spans="12:12" ht="21" customHeight="1">
      <c r="L985" s="187"/>
    </row>
    <row r="986" spans="12:12" ht="21" customHeight="1">
      <c r="L986" s="187"/>
    </row>
    <row r="987" spans="12:12" ht="21" customHeight="1">
      <c r="L987" s="187"/>
    </row>
    <row r="988" spans="12:12" ht="21" customHeight="1">
      <c r="L988" s="187"/>
    </row>
    <row r="989" spans="12:12" ht="21" customHeight="1">
      <c r="L989" s="187"/>
    </row>
    <row r="990" spans="12:12" ht="21" customHeight="1">
      <c r="L990" s="187"/>
    </row>
    <row r="991" spans="12:12" ht="21" customHeight="1">
      <c r="L991" s="187"/>
    </row>
    <row r="992" spans="12:12" ht="21" customHeight="1">
      <c r="L992" s="187"/>
    </row>
    <row r="993" spans="12:12" ht="21" customHeight="1">
      <c r="L993" s="187"/>
    </row>
    <row r="994" spans="12:12" ht="21" customHeight="1">
      <c r="L994" s="187"/>
    </row>
    <row r="995" spans="12:12" ht="21" customHeight="1">
      <c r="L995" s="187"/>
    </row>
    <row r="996" spans="12:12" ht="21" customHeight="1">
      <c r="L996" s="187"/>
    </row>
    <row r="997" spans="12:12" ht="21" customHeight="1">
      <c r="L997" s="187"/>
    </row>
    <row r="998" spans="12:12" ht="21" customHeight="1">
      <c r="L998" s="187"/>
    </row>
    <row r="999" spans="12:12" ht="21" customHeight="1">
      <c r="L999" s="187"/>
    </row>
    <row r="1000" spans="12:12" ht="21" customHeight="1">
      <c r="L1000" s="187"/>
    </row>
    <row r="1001" spans="12:12" ht="21" customHeight="1">
      <c r="L1001" s="187"/>
    </row>
    <row r="1002" spans="12:12" ht="21" customHeight="1">
      <c r="L1002" s="187"/>
    </row>
    <row r="1003" spans="12:12" ht="21" customHeight="1">
      <c r="L1003" s="187"/>
    </row>
    <row r="1004" spans="12:12" ht="21" customHeight="1">
      <c r="L1004" s="187"/>
    </row>
    <row r="1005" spans="12:12" ht="21" customHeight="1">
      <c r="L1005" s="187"/>
    </row>
    <row r="1006" spans="12:12" ht="21" customHeight="1">
      <c r="L1006" s="187"/>
    </row>
    <row r="1007" spans="12:12" ht="21" customHeight="1">
      <c r="L1007" s="187"/>
    </row>
    <row r="1008" spans="12:12" ht="21" customHeight="1">
      <c r="L1008" s="187"/>
    </row>
    <row r="1009" spans="12:12" ht="21" customHeight="1">
      <c r="L1009" s="187"/>
    </row>
    <row r="1010" spans="12:12" ht="21" customHeight="1">
      <c r="L1010" s="187"/>
    </row>
    <row r="1011" spans="12:12" ht="21" customHeight="1">
      <c r="L1011" s="187"/>
    </row>
    <row r="1012" spans="12:12" ht="21" customHeight="1">
      <c r="L1012" s="187"/>
    </row>
    <row r="1013" spans="12:12" ht="21" customHeight="1">
      <c r="L1013" s="187"/>
    </row>
    <row r="1014" spans="12:12" ht="21" customHeight="1">
      <c r="L1014" s="187"/>
    </row>
    <row r="1015" spans="12:12" ht="21" customHeight="1">
      <c r="L1015" s="187"/>
    </row>
    <row r="1016" spans="12:12" ht="21" customHeight="1">
      <c r="L1016" s="187"/>
    </row>
    <row r="1017" spans="12:12" ht="21" customHeight="1">
      <c r="L1017" s="187"/>
    </row>
    <row r="1018" spans="12:12" ht="21" customHeight="1">
      <c r="L1018" s="187"/>
    </row>
    <row r="1019" spans="12:12" ht="21" customHeight="1">
      <c r="L1019" s="187"/>
    </row>
    <row r="1020" spans="12:12" ht="21" customHeight="1">
      <c r="L1020" s="187"/>
    </row>
    <row r="1021" spans="12:12" ht="21" customHeight="1">
      <c r="L1021" s="187"/>
    </row>
    <row r="1022" spans="12:12" ht="21" customHeight="1">
      <c r="L1022" s="187"/>
    </row>
    <row r="1023" spans="12:12" ht="21" customHeight="1">
      <c r="L1023" s="187"/>
    </row>
    <row r="1024" spans="12:12" ht="21" customHeight="1">
      <c r="L1024" s="187"/>
    </row>
    <row r="1025" spans="12:12" ht="21" customHeight="1">
      <c r="L1025" s="187"/>
    </row>
    <row r="1026" spans="12:12" ht="21" customHeight="1">
      <c r="L1026" s="187"/>
    </row>
    <row r="1027" spans="12:12" ht="21" customHeight="1">
      <c r="L1027" s="187"/>
    </row>
    <row r="1028" spans="12:12" ht="21" customHeight="1">
      <c r="L1028" s="187"/>
    </row>
    <row r="1029" spans="12:12" ht="21" customHeight="1">
      <c r="L1029" s="187"/>
    </row>
    <row r="1030" spans="12:12" ht="21" customHeight="1">
      <c r="L1030" s="187"/>
    </row>
    <row r="1031" spans="12:12" ht="21" customHeight="1">
      <c r="L1031" s="187"/>
    </row>
    <row r="1032" spans="12:12" ht="21" customHeight="1">
      <c r="L1032" s="187"/>
    </row>
    <row r="1033" spans="12:12" ht="21" customHeight="1">
      <c r="L1033" s="187"/>
    </row>
    <row r="1034" spans="12:12" ht="21" customHeight="1">
      <c r="L1034" s="187"/>
    </row>
    <row r="1035" spans="12:12" ht="21" customHeight="1">
      <c r="L1035" s="187"/>
    </row>
    <row r="1036" spans="12:12" ht="21" customHeight="1">
      <c r="L1036" s="187"/>
    </row>
    <row r="1037" spans="12:12" ht="21" customHeight="1">
      <c r="L1037" s="187"/>
    </row>
    <row r="1038" spans="12:12" ht="21" customHeight="1">
      <c r="L1038" s="187"/>
    </row>
    <row r="1039" spans="12:12" ht="21" customHeight="1">
      <c r="L1039" s="187"/>
    </row>
    <row r="1040" spans="12:12" ht="21" customHeight="1">
      <c r="L1040" s="187"/>
    </row>
    <row r="1041" spans="12:12" ht="21" customHeight="1">
      <c r="L1041" s="187"/>
    </row>
    <row r="1042" spans="12:12" ht="21" customHeight="1">
      <c r="L1042" s="187"/>
    </row>
    <row r="1043" spans="12:12" ht="21" customHeight="1">
      <c r="L1043" s="187"/>
    </row>
    <row r="1044" spans="12:12" ht="21" customHeight="1">
      <c r="L1044" s="187"/>
    </row>
    <row r="1045" spans="12:12" ht="21" customHeight="1">
      <c r="L1045" s="187"/>
    </row>
    <row r="1046" spans="12:12" ht="21" customHeight="1">
      <c r="L1046" s="187"/>
    </row>
    <row r="1047" spans="12:12" ht="21" customHeight="1">
      <c r="L1047" s="187"/>
    </row>
    <row r="1048" spans="12:12" ht="21" customHeight="1">
      <c r="L1048" s="187"/>
    </row>
    <row r="1049" spans="12:12" ht="21" customHeight="1">
      <c r="L1049" s="187"/>
    </row>
    <row r="1050" spans="12:12" ht="21" customHeight="1">
      <c r="L1050" s="187"/>
    </row>
    <row r="1051" spans="12:12" ht="21" customHeight="1">
      <c r="L1051" s="187"/>
    </row>
    <row r="1052" spans="12:12" ht="21" customHeight="1">
      <c r="L1052" s="187"/>
    </row>
    <row r="1053" spans="12:12" ht="21" customHeight="1">
      <c r="L1053" s="187"/>
    </row>
    <row r="1054" spans="12:12" ht="21" customHeight="1">
      <c r="L1054" s="187"/>
    </row>
    <row r="1055" spans="12:12" ht="21" customHeight="1">
      <c r="L1055" s="187"/>
    </row>
    <row r="1056" spans="12:12" ht="21" customHeight="1">
      <c r="L1056" s="187"/>
    </row>
    <row r="1057" spans="12:12" ht="21" customHeight="1">
      <c r="L1057" s="187"/>
    </row>
    <row r="1058" spans="12:12" ht="21" customHeight="1">
      <c r="L1058" s="187"/>
    </row>
    <row r="1059" spans="12:12" ht="21" customHeight="1">
      <c r="L1059" s="187"/>
    </row>
    <row r="1060" spans="12:12" ht="21" customHeight="1">
      <c r="L1060" s="187"/>
    </row>
    <row r="1061" spans="12:12" ht="21" customHeight="1">
      <c r="L1061" s="187"/>
    </row>
    <row r="1062" spans="12:12" ht="21" customHeight="1">
      <c r="L1062" s="187"/>
    </row>
    <row r="1063" spans="12:12" ht="21" customHeight="1">
      <c r="L1063" s="187"/>
    </row>
    <row r="1064" spans="12:12" ht="21" customHeight="1">
      <c r="L1064" s="187"/>
    </row>
    <row r="1065" spans="12:12" ht="21" customHeight="1">
      <c r="L1065" s="187"/>
    </row>
    <row r="1066" spans="12:12" ht="21" customHeight="1">
      <c r="L1066" s="187"/>
    </row>
    <row r="1067" spans="12:12" ht="21" customHeight="1">
      <c r="L1067" s="187"/>
    </row>
    <row r="1068" spans="12:12" ht="21" customHeight="1">
      <c r="L1068" s="187"/>
    </row>
    <row r="1069" spans="12:12" ht="21" customHeight="1">
      <c r="L1069" s="187"/>
    </row>
    <row r="1070" spans="12:12" ht="21" customHeight="1">
      <c r="L1070" s="187"/>
    </row>
    <row r="1071" spans="12:12" ht="21" customHeight="1">
      <c r="L1071" s="187"/>
    </row>
    <row r="1072" spans="12:12" ht="21" customHeight="1">
      <c r="L1072" s="187"/>
    </row>
    <row r="1073" spans="12:12" ht="21" customHeight="1">
      <c r="L1073" s="187"/>
    </row>
    <row r="1074" spans="12:12" ht="21" customHeight="1">
      <c r="L1074" s="187"/>
    </row>
    <row r="1075" spans="12:12" ht="21" customHeight="1">
      <c r="L1075" s="187"/>
    </row>
    <row r="1076" spans="12:12" ht="21" customHeight="1">
      <c r="L1076" s="187"/>
    </row>
    <row r="1077" spans="12:12" ht="21" customHeight="1">
      <c r="L1077" s="187"/>
    </row>
    <row r="1078" spans="12:12" ht="21" customHeight="1">
      <c r="L1078" s="187"/>
    </row>
    <row r="1079" spans="12:12" ht="21" customHeight="1">
      <c r="L1079" s="187"/>
    </row>
    <row r="1080" spans="12:12" ht="21" customHeight="1">
      <c r="L1080" s="187"/>
    </row>
    <row r="1081" spans="12:12" ht="21" customHeight="1">
      <c r="L1081" s="187"/>
    </row>
    <row r="1082" spans="12:12" ht="21" customHeight="1">
      <c r="L1082" s="187"/>
    </row>
    <row r="1083" spans="12:12" ht="21" customHeight="1">
      <c r="L1083" s="187"/>
    </row>
    <row r="1084" spans="12:12" ht="21" customHeight="1">
      <c r="L1084" s="187"/>
    </row>
    <row r="1085" spans="12:12" ht="21" customHeight="1">
      <c r="L1085" s="187"/>
    </row>
    <row r="1086" spans="12:12" ht="21" customHeight="1">
      <c r="L1086" s="187"/>
    </row>
    <row r="1087" spans="12:12" ht="21" customHeight="1">
      <c r="L1087" s="187"/>
    </row>
    <row r="1088" spans="12:12" ht="21" customHeight="1">
      <c r="L1088" s="187"/>
    </row>
    <row r="1089" spans="12:12" ht="21" customHeight="1">
      <c r="L1089" s="187"/>
    </row>
    <row r="1090" spans="12:12" ht="21" customHeight="1">
      <c r="L1090" s="187"/>
    </row>
    <row r="1091" spans="12:12" ht="21" customHeight="1">
      <c r="L1091" s="187"/>
    </row>
    <row r="1092" spans="12:12" ht="21" customHeight="1">
      <c r="L1092" s="187"/>
    </row>
    <row r="1093" spans="12:12" ht="21" customHeight="1">
      <c r="L1093" s="187"/>
    </row>
    <row r="1094" spans="12:12" ht="21" customHeight="1">
      <c r="L1094" s="187"/>
    </row>
    <row r="1095" spans="12:12" ht="21" customHeight="1">
      <c r="L1095" s="187"/>
    </row>
    <row r="1096" spans="12:12" ht="21" customHeight="1">
      <c r="L1096" s="187"/>
    </row>
    <row r="1097" spans="12:12" ht="21" customHeight="1">
      <c r="L1097" s="187"/>
    </row>
    <row r="1098" spans="12:12" ht="21" customHeight="1">
      <c r="L1098" s="187"/>
    </row>
    <row r="1099" spans="12:12" ht="21" customHeight="1">
      <c r="L1099" s="187"/>
    </row>
    <row r="1100" spans="12:12" ht="21" customHeight="1">
      <c r="L1100" s="187"/>
    </row>
    <row r="1101" spans="12:12" ht="21" customHeight="1">
      <c r="L1101" s="187"/>
    </row>
    <row r="1102" spans="12:12" ht="21" customHeight="1">
      <c r="L1102" s="187"/>
    </row>
    <row r="1103" spans="12:12" ht="21" customHeight="1">
      <c r="L1103" s="187"/>
    </row>
    <row r="1104" spans="12:12" ht="21" customHeight="1">
      <c r="L1104" s="187"/>
    </row>
    <row r="1105" spans="12:12" ht="21" customHeight="1">
      <c r="L1105" s="187"/>
    </row>
    <row r="1106" spans="12:12" ht="21" customHeight="1">
      <c r="L1106" s="187"/>
    </row>
    <row r="1107" spans="12:12" ht="21" customHeight="1">
      <c r="L1107" s="187"/>
    </row>
    <row r="1108" spans="12:12" ht="21" customHeight="1">
      <c r="L1108" s="187"/>
    </row>
    <row r="1109" spans="12:12" ht="21" customHeight="1">
      <c r="L1109" s="187"/>
    </row>
    <row r="1110" spans="12:12" ht="21" customHeight="1">
      <c r="L1110" s="187"/>
    </row>
    <row r="1111" spans="12:12" ht="21" customHeight="1">
      <c r="L1111" s="187"/>
    </row>
    <row r="1112" spans="12:12" ht="21" customHeight="1">
      <c r="L1112" s="187"/>
    </row>
    <row r="1113" spans="12:12" ht="21" customHeight="1">
      <c r="L1113" s="187"/>
    </row>
    <row r="1114" spans="12:12" ht="21" customHeight="1">
      <c r="L1114" s="187"/>
    </row>
    <row r="1115" spans="12:12" ht="21" customHeight="1">
      <c r="L1115" s="187"/>
    </row>
    <row r="1116" spans="12:12" ht="21" customHeight="1">
      <c r="L1116" s="187"/>
    </row>
    <row r="1117" spans="12:12" ht="21" customHeight="1">
      <c r="L1117" s="187"/>
    </row>
    <row r="1118" spans="12:12" ht="21" customHeight="1">
      <c r="L1118" s="187"/>
    </row>
    <row r="1119" spans="12:12" ht="21" customHeight="1">
      <c r="L1119" s="187"/>
    </row>
    <row r="1120" spans="12:12" ht="21" customHeight="1">
      <c r="L1120" s="187"/>
    </row>
    <row r="1121" spans="12:12" ht="21" customHeight="1">
      <c r="L1121" s="187"/>
    </row>
    <row r="1122" spans="12:12" ht="21" customHeight="1">
      <c r="L1122" s="187"/>
    </row>
    <row r="1123" spans="12:12" ht="21" customHeight="1">
      <c r="L1123" s="187"/>
    </row>
    <row r="1124" spans="12:12" ht="21" customHeight="1">
      <c r="L1124" s="187"/>
    </row>
    <row r="1125" spans="12:12" ht="21" customHeight="1">
      <c r="L1125" s="187"/>
    </row>
    <row r="1126" spans="12:12" ht="21" customHeight="1">
      <c r="L1126" s="187"/>
    </row>
    <row r="1127" spans="12:12" ht="21" customHeight="1">
      <c r="L1127" s="187"/>
    </row>
    <row r="1128" spans="12:12" ht="21" customHeight="1">
      <c r="L1128" s="187"/>
    </row>
    <row r="1129" spans="12:12" ht="21" customHeight="1">
      <c r="L1129" s="187"/>
    </row>
    <row r="1130" spans="12:12" ht="21" customHeight="1">
      <c r="L1130" s="187"/>
    </row>
    <row r="1131" spans="12:12" ht="21" customHeight="1">
      <c r="L1131" s="187"/>
    </row>
    <row r="1132" spans="12:12" ht="21" customHeight="1">
      <c r="L1132" s="187"/>
    </row>
    <row r="1133" spans="12:12" ht="21" customHeight="1">
      <c r="L1133" s="187"/>
    </row>
    <row r="1134" spans="12:12" ht="21" customHeight="1">
      <c r="L1134" s="187"/>
    </row>
    <row r="1135" spans="12:12" ht="21" customHeight="1">
      <c r="L1135" s="187"/>
    </row>
    <row r="1136" spans="12:12" ht="21" customHeight="1">
      <c r="L1136" s="187"/>
    </row>
    <row r="1137" spans="12:12" ht="21" customHeight="1">
      <c r="L1137" s="187"/>
    </row>
    <row r="1138" spans="12:12" ht="21" customHeight="1">
      <c r="L1138" s="187"/>
    </row>
    <row r="1139" spans="12:12" ht="21" customHeight="1">
      <c r="L1139" s="187"/>
    </row>
    <row r="1140" spans="12:12" ht="21" customHeight="1">
      <c r="L1140" s="187"/>
    </row>
    <row r="1141" spans="12:12" ht="21" customHeight="1">
      <c r="L1141" s="187"/>
    </row>
    <row r="1142" spans="12:12" ht="21" customHeight="1">
      <c r="L1142" s="187"/>
    </row>
    <row r="1143" spans="12:12" ht="21" customHeight="1">
      <c r="L1143" s="187"/>
    </row>
    <row r="1144" spans="12:12" ht="21" customHeight="1">
      <c r="L1144" s="187"/>
    </row>
    <row r="1145" spans="12:12" ht="21" customHeight="1">
      <c r="L1145" s="187"/>
    </row>
    <row r="1146" spans="12:12" ht="21" customHeight="1">
      <c r="L1146" s="187"/>
    </row>
    <row r="1147" spans="12:12" ht="21" customHeight="1">
      <c r="L1147" s="187"/>
    </row>
    <row r="1148" spans="12:12" ht="21" customHeight="1">
      <c r="L1148" s="187"/>
    </row>
    <row r="1149" spans="12:12" ht="21" customHeight="1">
      <c r="L1149" s="187"/>
    </row>
    <row r="1150" spans="12:12" ht="21" customHeight="1">
      <c r="L1150" s="187"/>
    </row>
    <row r="1151" spans="12:12" ht="21" customHeight="1">
      <c r="L1151" s="187"/>
    </row>
    <row r="1152" spans="12:12" ht="21" customHeight="1">
      <c r="L1152" s="187"/>
    </row>
    <row r="1153" spans="12:12" ht="21" customHeight="1">
      <c r="L1153" s="187"/>
    </row>
    <row r="1154" spans="12:12" ht="21" customHeight="1">
      <c r="L1154" s="187"/>
    </row>
    <row r="1155" spans="12:12" ht="21" customHeight="1">
      <c r="L1155" s="187"/>
    </row>
    <row r="1156" spans="12:12" ht="21" customHeight="1">
      <c r="L1156" s="187"/>
    </row>
    <row r="1157" spans="12:12" ht="21" customHeight="1">
      <c r="L1157" s="187"/>
    </row>
    <row r="1158" spans="12:12" ht="21" customHeight="1">
      <c r="L1158" s="187"/>
    </row>
    <row r="1159" spans="12:12" ht="21" customHeight="1">
      <c r="L1159" s="187"/>
    </row>
    <row r="1160" spans="12:12" ht="21" customHeight="1">
      <c r="L1160" s="187"/>
    </row>
    <row r="1161" spans="12:12" ht="21" customHeight="1">
      <c r="L1161" s="187"/>
    </row>
    <row r="1162" spans="12:12" ht="21" customHeight="1">
      <c r="L1162" s="187"/>
    </row>
    <row r="1163" spans="12:12" ht="21" customHeight="1">
      <c r="L1163" s="187"/>
    </row>
    <row r="1164" spans="12:12" ht="21" customHeight="1">
      <c r="L1164" s="187"/>
    </row>
    <row r="1165" spans="12:12" ht="21" customHeight="1">
      <c r="L1165" s="187"/>
    </row>
    <row r="1166" spans="12:12" ht="21" customHeight="1">
      <c r="L1166" s="187"/>
    </row>
    <row r="1167" spans="12:12" ht="21" customHeight="1">
      <c r="L1167" s="187"/>
    </row>
    <row r="1168" spans="12:12" ht="21" customHeight="1">
      <c r="L1168" s="187"/>
    </row>
    <row r="1169" spans="12:12" ht="21" customHeight="1">
      <c r="L1169" s="187"/>
    </row>
    <row r="1170" spans="12:12" ht="21" customHeight="1">
      <c r="L1170" s="187"/>
    </row>
    <row r="1171" spans="12:12" ht="21" customHeight="1">
      <c r="L1171" s="187"/>
    </row>
    <row r="1172" spans="12:12" ht="21" customHeight="1">
      <c r="L1172" s="187"/>
    </row>
    <row r="1173" spans="12:12" ht="21" customHeight="1">
      <c r="L1173" s="187"/>
    </row>
    <row r="1174" spans="12:12" ht="21" customHeight="1">
      <c r="L1174" s="187"/>
    </row>
    <row r="1175" spans="12:12" ht="21" customHeight="1">
      <c r="L1175" s="187"/>
    </row>
    <row r="1176" spans="12:12" ht="21" customHeight="1">
      <c r="L1176" s="187"/>
    </row>
    <row r="1177" spans="12:12" ht="21" customHeight="1">
      <c r="L1177" s="187"/>
    </row>
    <row r="1178" spans="12:12" ht="21" customHeight="1">
      <c r="L1178" s="187"/>
    </row>
    <row r="1179" spans="12:12" ht="21" customHeight="1">
      <c r="L1179" s="187"/>
    </row>
    <row r="1180" spans="12:12" ht="21" customHeight="1">
      <c r="L1180" s="187"/>
    </row>
    <row r="1181" spans="12:12" ht="21" customHeight="1">
      <c r="L1181" s="187"/>
    </row>
    <row r="1182" spans="12:12" ht="21" customHeight="1">
      <c r="L1182" s="187"/>
    </row>
    <row r="1183" spans="12:12" ht="21" customHeight="1">
      <c r="L1183" s="187"/>
    </row>
    <row r="1184" spans="12:12" ht="21" customHeight="1">
      <c r="L1184" s="187"/>
    </row>
    <row r="1185" spans="12:12" ht="21" customHeight="1">
      <c r="L1185" s="187"/>
    </row>
    <row r="1186" spans="12:12" ht="21" customHeight="1">
      <c r="L1186" s="187"/>
    </row>
    <row r="1187" spans="12:12" ht="21" customHeight="1">
      <c r="L1187" s="187"/>
    </row>
    <row r="1188" spans="12:12" ht="21" customHeight="1">
      <c r="L1188" s="187"/>
    </row>
    <row r="1189" spans="12:12" ht="21" customHeight="1">
      <c r="L1189" s="187"/>
    </row>
    <row r="1190" spans="12:12" ht="21" customHeight="1">
      <c r="L1190" s="187"/>
    </row>
    <row r="1191" spans="12:12" ht="21" customHeight="1">
      <c r="L1191" s="187"/>
    </row>
    <row r="1192" spans="12:12" ht="21" customHeight="1">
      <c r="L1192" s="187"/>
    </row>
    <row r="1193" spans="12:12" ht="21" customHeight="1">
      <c r="L1193" s="187"/>
    </row>
    <row r="1194" spans="12:12" ht="21" customHeight="1">
      <c r="L1194" s="187"/>
    </row>
    <row r="1195" spans="12:12" ht="21" customHeight="1">
      <c r="L1195" s="187"/>
    </row>
    <row r="1196" spans="12:12" ht="21" customHeight="1">
      <c r="L1196" s="187"/>
    </row>
    <row r="1197" spans="12:12" ht="21" customHeight="1">
      <c r="L1197" s="187"/>
    </row>
    <row r="1198" spans="12:12" ht="21" customHeight="1">
      <c r="L1198" s="187"/>
    </row>
    <row r="1199" spans="12:12" ht="21" customHeight="1">
      <c r="L1199" s="187"/>
    </row>
    <row r="1200" spans="12:12" ht="21" customHeight="1">
      <c r="L1200" s="187"/>
    </row>
    <row r="1201" spans="12:12" ht="21" customHeight="1">
      <c r="L1201" s="187"/>
    </row>
    <row r="1202" spans="12:12" ht="21" customHeight="1">
      <c r="L1202" s="187"/>
    </row>
    <row r="1203" spans="12:12" ht="21" customHeight="1">
      <c r="L1203" s="187"/>
    </row>
    <row r="1204" spans="12:12" ht="21" customHeight="1">
      <c r="L1204" s="187"/>
    </row>
    <row r="1205" spans="12:12" ht="21" customHeight="1">
      <c r="L1205" s="187"/>
    </row>
    <row r="1206" spans="12:12" ht="21" customHeight="1">
      <c r="L1206" s="187"/>
    </row>
    <row r="1207" spans="12:12" ht="21" customHeight="1">
      <c r="L1207" s="187"/>
    </row>
    <row r="1208" spans="12:12" ht="21" customHeight="1">
      <c r="L1208" s="187"/>
    </row>
    <row r="1209" spans="12:12" ht="21" customHeight="1">
      <c r="L1209" s="187"/>
    </row>
    <row r="1210" spans="12:12" ht="21" customHeight="1">
      <c r="L1210" s="187"/>
    </row>
    <row r="1211" spans="12:12" ht="21" customHeight="1">
      <c r="L1211" s="187"/>
    </row>
    <row r="1212" spans="12:12" ht="21" customHeight="1">
      <c r="L1212" s="187"/>
    </row>
    <row r="1213" spans="12:12" ht="21" customHeight="1">
      <c r="L1213" s="187"/>
    </row>
    <row r="1214" spans="12:12" ht="21" customHeight="1">
      <c r="L1214" s="187"/>
    </row>
    <row r="1215" spans="12:12" ht="21" customHeight="1">
      <c r="L1215" s="187"/>
    </row>
    <row r="1216" spans="12:12" ht="21" customHeight="1">
      <c r="L1216" s="187"/>
    </row>
    <row r="1217" spans="12:12" ht="21" customHeight="1">
      <c r="L1217" s="187"/>
    </row>
    <row r="1218" spans="12:12" ht="21" customHeight="1">
      <c r="L1218" s="187"/>
    </row>
    <row r="1219" spans="12:12" ht="21" customHeight="1">
      <c r="L1219" s="187"/>
    </row>
    <row r="1220" spans="12:12" ht="21" customHeight="1">
      <c r="L1220" s="187"/>
    </row>
    <row r="1221" spans="12:12" ht="21" customHeight="1">
      <c r="L1221" s="187"/>
    </row>
    <row r="1222" spans="12:12" ht="21" customHeight="1">
      <c r="L1222" s="187"/>
    </row>
    <row r="1223" spans="12:12" ht="21" customHeight="1">
      <c r="L1223" s="187"/>
    </row>
    <row r="1224" spans="12:12" ht="21" customHeight="1">
      <c r="L1224" s="187"/>
    </row>
    <row r="1225" spans="12:12" ht="21" customHeight="1">
      <c r="L1225" s="187"/>
    </row>
    <row r="1226" spans="12:12" ht="21" customHeight="1">
      <c r="L1226" s="187"/>
    </row>
    <row r="1227" spans="12:12" ht="21" customHeight="1">
      <c r="L1227" s="187"/>
    </row>
    <row r="1228" spans="12:12" ht="21" customHeight="1">
      <c r="L1228" s="187"/>
    </row>
    <row r="1229" spans="12:12" ht="21" customHeight="1">
      <c r="L1229" s="187"/>
    </row>
    <row r="1230" spans="12:12" ht="21" customHeight="1">
      <c r="L1230" s="187"/>
    </row>
    <row r="1231" spans="12:12" ht="21" customHeight="1">
      <c r="L1231" s="187"/>
    </row>
    <row r="1232" spans="12:12" ht="21" customHeight="1">
      <c r="L1232" s="187"/>
    </row>
    <row r="1233" spans="12:12" ht="21" customHeight="1">
      <c r="L1233" s="187"/>
    </row>
    <row r="1234" spans="12:12" ht="21" customHeight="1">
      <c r="L1234" s="187"/>
    </row>
    <row r="1235" spans="12:12" ht="21" customHeight="1">
      <c r="L1235" s="187"/>
    </row>
    <row r="1236" spans="12:12" ht="21" customHeight="1">
      <c r="L1236" s="187"/>
    </row>
    <row r="1237" spans="12:12" ht="21" customHeight="1">
      <c r="L1237" s="187"/>
    </row>
    <row r="1238" spans="12:12" ht="21" customHeight="1">
      <c r="L1238" s="187"/>
    </row>
    <row r="1239" spans="12:12" ht="21" customHeight="1">
      <c r="L1239" s="187"/>
    </row>
    <row r="1240" spans="12:12" ht="21" customHeight="1">
      <c r="L1240" s="187"/>
    </row>
    <row r="1241" spans="12:12" ht="21" customHeight="1">
      <c r="L1241" s="187"/>
    </row>
    <row r="1242" spans="12:12" ht="21" customHeight="1">
      <c r="L1242" s="187"/>
    </row>
    <row r="1243" spans="12:12" ht="21" customHeight="1">
      <c r="L1243" s="187"/>
    </row>
    <row r="1244" spans="12:12" ht="21" customHeight="1">
      <c r="L1244" s="187"/>
    </row>
    <row r="1245" spans="12:12" ht="21" customHeight="1">
      <c r="L1245" s="187"/>
    </row>
    <row r="1246" spans="12:12" ht="21" customHeight="1">
      <c r="L1246" s="187"/>
    </row>
    <row r="1247" spans="12:12" ht="21" customHeight="1">
      <c r="L1247" s="187"/>
    </row>
    <row r="1248" spans="12:12" ht="21" customHeight="1">
      <c r="L1248" s="187"/>
    </row>
    <row r="1249" spans="12:12" ht="21" customHeight="1">
      <c r="L1249" s="187"/>
    </row>
    <row r="1250" spans="12:12" ht="21" customHeight="1">
      <c r="L1250" s="187"/>
    </row>
    <row r="1251" spans="12:12" ht="21" customHeight="1">
      <c r="L1251" s="187"/>
    </row>
    <row r="1252" spans="12:12" ht="21" customHeight="1">
      <c r="L1252" s="187"/>
    </row>
    <row r="1253" spans="12:12" ht="21" customHeight="1">
      <c r="L1253" s="187"/>
    </row>
    <row r="1254" spans="12:12" ht="21" customHeight="1">
      <c r="L1254" s="187"/>
    </row>
    <row r="1255" spans="12:12" ht="21" customHeight="1">
      <c r="L1255" s="187"/>
    </row>
    <row r="1256" spans="12:12" ht="21" customHeight="1">
      <c r="L1256" s="187"/>
    </row>
    <row r="1257" spans="12:12" ht="21" customHeight="1">
      <c r="L1257" s="187"/>
    </row>
    <row r="1258" spans="12:12" ht="21" customHeight="1">
      <c r="L1258" s="187"/>
    </row>
    <row r="1259" spans="12:12" ht="21" customHeight="1">
      <c r="L1259" s="187"/>
    </row>
    <row r="1260" spans="12:12" ht="21" customHeight="1">
      <c r="L1260" s="187"/>
    </row>
    <row r="1261" spans="12:12" ht="21" customHeight="1">
      <c r="L1261" s="187"/>
    </row>
    <row r="1262" spans="12:12" ht="21" customHeight="1">
      <c r="L1262" s="187"/>
    </row>
    <row r="1263" spans="12:12" ht="21" customHeight="1">
      <c r="L1263" s="187"/>
    </row>
    <row r="1264" spans="12:12" ht="21" customHeight="1">
      <c r="L1264" s="187"/>
    </row>
    <row r="1265" spans="12:12" ht="21" customHeight="1">
      <c r="L1265" s="187"/>
    </row>
    <row r="1266" spans="12:12" ht="21" customHeight="1">
      <c r="L1266" s="187"/>
    </row>
    <row r="1267" spans="12:12" ht="21" customHeight="1">
      <c r="L1267" s="187"/>
    </row>
    <row r="1268" spans="12:12" ht="21" customHeight="1">
      <c r="L1268" s="187"/>
    </row>
    <row r="1269" spans="12:12" ht="21" customHeight="1">
      <c r="L1269" s="187"/>
    </row>
    <row r="1270" spans="12:12" ht="21" customHeight="1">
      <c r="L1270" s="187"/>
    </row>
    <row r="1271" spans="12:12" ht="21" customHeight="1">
      <c r="L1271" s="187"/>
    </row>
    <row r="1272" spans="12:12" ht="21" customHeight="1">
      <c r="L1272" s="187"/>
    </row>
    <row r="1273" spans="12:12" ht="21" customHeight="1">
      <c r="L1273" s="187"/>
    </row>
    <row r="1274" spans="12:12" ht="21" customHeight="1">
      <c r="L1274" s="187"/>
    </row>
    <row r="1275" spans="12:12" ht="21" customHeight="1">
      <c r="L1275" s="187"/>
    </row>
    <row r="1276" spans="12:12" ht="21" customHeight="1">
      <c r="L1276" s="187"/>
    </row>
    <row r="1277" spans="12:12" ht="21" customHeight="1">
      <c r="L1277" s="187"/>
    </row>
    <row r="1278" spans="12:12" ht="21" customHeight="1">
      <c r="L1278" s="187"/>
    </row>
    <row r="1279" spans="12:12" ht="21" customHeight="1">
      <c r="L1279" s="187"/>
    </row>
    <row r="1280" spans="12:12" ht="21" customHeight="1">
      <c r="L1280" s="187"/>
    </row>
    <row r="1281" spans="12:12" ht="21" customHeight="1">
      <c r="L1281" s="187"/>
    </row>
    <row r="1282" spans="12:12" ht="21" customHeight="1">
      <c r="L1282" s="187"/>
    </row>
    <row r="1283" spans="12:12" ht="21" customHeight="1">
      <c r="L1283" s="187"/>
    </row>
    <row r="1284" spans="12:12" ht="21" customHeight="1">
      <c r="L1284" s="187"/>
    </row>
    <row r="1285" spans="12:12" ht="21" customHeight="1">
      <c r="L1285" s="187"/>
    </row>
    <row r="1286" spans="12:12" ht="21" customHeight="1">
      <c r="L1286" s="187"/>
    </row>
    <row r="1287" spans="12:12" ht="21" customHeight="1">
      <c r="L1287" s="187"/>
    </row>
    <row r="1288" spans="12:12" ht="21" customHeight="1">
      <c r="L1288" s="187"/>
    </row>
    <row r="1289" spans="12:12" ht="21" customHeight="1">
      <c r="L1289" s="187"/>
    </row>
    <row r="1290" spans="12:12" ht="21" customHeight="1">
      <c r="L1290" s="187"/>
    </row>
    <row r="1291" spans="12:12" ht="21" customHeight="1">
      <c r="L1291" s="187"/>
    </row>
    <row r="1292" spans="12:12" ht="21" customHeight="1">
      <c r="L1292" s="187"/>
    </row>
    <row r="1293" spans="12:12" ht="21" customHeight="1">
      <c r="L1293" s="187"/>
    </row>
    <row r="1294" spans="12:12" ht="21" customHeight="1">
      <c r="L1294" s="187"/>
    </row>
    <row r="1295" spans="12:12" ht="21" customHeight="1">
      <c r="L1295" s="187"/>
    </row>
    <row r="1296" spans="12:12" ht="21" customHeight="1">
      <c r="L1296" s="187"/>
    </row>
    <row r="1297" spans="12:12" ht="21" customHeight="1">
      <c r="L1297" s="187"/>
    </row>
    <row r="1298" spans="12:12" ht="21" customHeight="1">
      <c r="L1298" s="187"/>
    </row>
    <row r="1299" spans="12:12" ht="21" customHeight="1">
      <c r="L1299" s="187"/>
    </row>
    <row r="1300" spans="12:12" ht="21" customHeight="1">
      <c r="L1300" s="187"/>
    </row>
    <row r="1301" spans="12:12" ht="21" customHeight="1">
      <c r="L1301" s="187"/>
    </row>
    <row r="1302" spans="12:12" ht="21" customHeight="1">
      <c r="L1302" s="187"/>
    </row>
    <row r="1303" spans="12:12" ht="21" customHeight="1">
      <c r="L1303" s="187"/>
    </row>
    <row r="1304" spans="12:12" ht="21" customHeight="1">
      <c r="L1304" s="187"/>
    </row>
    <row r="1305" spans="12:12" ht="21" customHeight="1">
      <c r="L1305" s="187"/>
    </row>
    <row r="1306" spans="12:12" ht="21" customHeight="1">
      <c r="L1306" s="187"/>
    </row>
    <row r="1307" spans="12:12" ht="21" customHeight="1">
      <c r="L1307" s="187"/>
    </row>
    <row r="1308" spans="12:12" ht="21" customHeight="1">
      <c r="L1308" s="187"/>
    </row>
    <row r="1309" spans="12:12" ht="21" customHeight="1">
      <c r="L1309" s="187"/>
    </row>
    <row r="1310" spans="12:12" ht="21" customHeight="1">
      <c r="L1310" s="187"/>
    </row>
    <row r="1311" spans="12:12" ht="21" customHeight="1">
      <c r="L1311" s="187"/>
    </row>
    <row r="1312" spans="12:12" ht="21" customHeight="1">
      <c r="L1312" s="187"/>
    </row>
    <row r="1313" spans="12:12" ht="21" customHeight="1">
      <c r="L1313" s="187"/>
    </row>
    <row r="1314" spans="12:12" ht="21" customHeight="1">
      <c r="L1314" s="187"/>
    </row>
    <row r="1315" spans="12:12" ht="21" customHeight="1">
      <c r="L1315" s="187"/>
    </row>
    <row r="1316" spans="12:12" ht="21" customHeight="1">
      <c r="L1316" s="187"/>
    </row>
    <row r="1317" spans="12:12" ht="21" customHeight="1">
      <c r="L1317" s="187"/>
    </row>
    <row r="1318" spans="12:12" ht="21" customHeight="1">
      <c r="L1318" s="187"/>
    </row>
    <row r="1319" spans="12:12" ht="21" customHeight="1">
      <c r="L1319" s="187"/>
    </row>
    <row r="1320" spans="12:12" ht="21" customHeight="1">
      <c r="L1320" s="187"/>
    </row>
    <row r="1321" spans="12:12" ht="21" customHeight="1">
      <c r="L1321" s="187"/>
    </row>
    <row r="1322" spans="12:12" ht="21" customHeight="1">
      <c r="L1322" s="187"/>
    </row>
    <row r="1323" spans="12:12" ht="21" customHeight="1">
      <c r="L1323" s="187"/>
    </row>
    <row r="1324" spans="12:12" ht="21" customHeight="1">
      <c r="L1324" s="187"/>
    </row>
    <row r="1325" spans="12:12" ht="21" customHeight="1">
      <c r="L1325" s="187"/>
    </row>
    <row r="1326" spans="12:12" ht="21" customHeight="1">
      <c r="L1326" s="187"/>
    </row>
    <row r="1327" spans="12:12" ht="21" customHeight="1">
      <c r="L1327" s="187"/>
    </row>
    <row r="1328" spans="12:12" ht="21" customHeight="1">
      <c r="L1328" s="187"/>
    </row>
    <row r="1329" spans="12:12" ht="21" customHeight="1">
      <c r="L1329" s="187"/>
    </row>
    <row r="1330" spans="12:12" ht="21" customHeight="1">
      <c r="L1330" s="187"/>
    </row>
    <row r="1331" spans="12:12" ht="21" customHeight="1">
      <c r="L1331" s="187"/>
    </row>
    <row r="1332" spans="12:12" ht="21" customHeight="1">
      <c r="L1332" s="187"/>
    </row>
    <row r="1333" spans="12:12" ht="21" customHeight="1">
      <c r="L1333" s="187"/>
    </row>
    <row r="1334" spans="12:12" ht="21" customHeight="1">
      <c r="L1334" s="187"/>
    </row>
    <row r="1335" spans="12:12" ht="21" customHeight="1">
      <c r="L1335" s="187"/>
    </row>
    <row r="1336" spans="12:12" ht="21" customHeight="1">
      <c r="L1336" s="187"/>
    </row>
    <row r="1337" spans="12:12" ht="21" customHeight="1">
      <c r="L1337" s="187"/>
    </row>
    <row r="1338" spans="12:12" ht="21" customHeight="1">
      <c r="L1338" s="187"/>
    </row>
    <row r="1339" spans="12:12" ht="21" customHeight="1">
      <c r="L1339" s="187"/>
    </row>
    <row r="1340" spans="12:12" ht="21" customHeight="1">
      <c r="L1340" s="187"/>
    </row>
    <row r="1341" spans="12:12" ht="21" customHeight="1">
      <c r="L1341" s="187"/>
    </row>
    <row r="1342" spans="12:12" ht="21" customHeight="1">
      <c r="L1342" s="187"/>
    </row>
    <row r="1343" spans="12:12" ht="21" customHeight="1">
      <c r="L1343" s="187"/>
    </row>
    <row r="1344" spans="12:12" ht="21" customHeight="1">
      <c r="L1344" s="187"/>
    </row>
    <row r="1345" spans="12:12" ht="21" customHeight="1">
      <c r="L1345" s="187"/>
    </row>
    <row r="1346" spans="12:12" ht="21" customHeight="1">
      <c r="L1346" s="187"/>
    </row>
    <row r="1347" spans="12:12" ht="21" customHeight="1">
      <c r="L1347" s="187"/>
    </row>
    <row r="1348" spans="12:12" ht="21" customHeight="1">
      <c r="L1348" s="187"/>
    </row>
    <row r="1349" spans="12:12" ht="21" customHeight="1">
      <c r="L1349" s="187"/>
    </row>
    <row r="1350" spans="12:12" ht="21" customHeight="1">
      <c r="L1350" s="187"/>
    </row>
    <row r="1351" spans="12:12" ht="21" customHeight="1">
      <c r="L1351" s="187"/>
    </row>
    <row r="1352" spans="12:12" ht="21" customHeight="1">
      <c r="L1352" s="187"/>
    </row>
    <row r="1353" spans="12:12" ht="21" customHeight="1">
      <c r="L1353" s="187"/>
    </row>
    <row r="1354" spans="12:12" ht="21" customHeight="1">
      <c r="L1354" s="187"/>
    </row>
    <row r="1355" spans="12:12" ht="21" customHeight="1">
      <c r="L1355" s="187"/>
    </row>
    <row r="1356" spans="12:12" ht="21" customHeight="1">
      <c r="L1356" s="187"/>
    </row>
    <row r="1357" spans="12:12" ht="21" customHeight="1">
      <c r="L1357" s="187"/>
    </row>
    <row r="1358" spans="12:12" ht="21" customHeight="1">
      <c r="L1358" s="187"/>
    </row>
    <row r="1359" spans="12:12" ht="21" customHeight="1">
      <c r="L1359" s="187"/>
    </row>
    <row r="1360" spans="12:12" ht="21" customHeight="1">
      <c r="L1360" s="187"/>
    </row>
    <row r="1361" spans="12:12" ht="21" customHeight="1">
      <c r="L1361" s="187"/>
    </row>
    <row r="1362" spans="12:12" ht="21" customHeight="1">
      <c r="L1362" s="187"/>
    </row>
    <row r="1363" spans="12:12" ht="21" customHeight="1">
      <c r="L1363" s="187"/>
    </row>
    <row r="1364" spans="12:12" ht="21" customHeight="1">
      <c r="L1364" s="187"/>
    </row>
    <row r="1365" spans="12:12" ht="21" customHeight="1">
      <c r="L1365" s="187"/>
    </row>
    <row r="1366" spans="12:12" ht="21" customHeight="1">
      <c r="L1366" s="187"/>
    </row>
    <row r="1367" spans="12:12" ht="21" customHeight="1">
      <c r="L1367" s="187"/>
    </row>
    <row r="1368" spans="12:12" ht="21" customHeight="1">
      <c r="L1368" s="187"/>
    </row>
    <row r="1369" spans="12:12" ht="21" customHeight="1">
      <c r="L1369" s="187"/>
    </row>
    <row r="1370" spans="12:12" ht="21" customHeight="1">
      <c r="L1370" s="187"/>
    </row>
    <row r="1371" spans="12:12" ht="21" customHeight="1">
      <c r="L1371" s="187"/>
    </row>
    <row r="1372" spans="12:12" ht="21" customHeight="1">
      <c r="L1372" s="187"/>
    </row>
    <row r="1373" spans="12:12" ht="21" customHeight="1">
      <c r="L1373" s="187"/>
    </row>
    <row r="1374" spans="12:12" ht="21" customHeight="1">
      <c r="L1374" s="187"/>
    </row>
    <row r="1375" spans="12:12" ht="21" customHeight="1">
      <c r="L1375" s="187"/>
    </row>
    <row r="1376" spans="12:12" ht="21" customHeight="1">
      <c r="L1376" s="187"/>
    </row>
    <row r="1377" spans="12:12" ht="21" customHeight="1">
      <c r="L1377" s="187"/>
    </row>
    <row r="1378" spans="12:12" ht="21" customHeight="1">
      <c r="L1378" s="187"/>
    </row>
    <row r="1379" spans="12:12" ht="21" customHeight="1">
      <c r="L1379" s="187"/>
    </row>
    <row r="1380" spans="12:12" ht="21" customHeight="1">
      <c r="L1380" s="187"/>
    </row>
    <row r="1381" spans="12:12" ht="21" customHeight="1">
      <c r="L1381" s="187"/>
    </row>
    <row r="1382" spans="12:12" ht="21" customHeight="1">
      <c r="L1382" s="187"/>
    </row>
    <row r="1383" spans="12:12" ht="21" customHeight="1">
      <c r="L1383" s="187"/>
    </row>
    <row r="1384" spans="12:12" ht="21" customHeight="1">
      <c r="L1384" s="187"/>
    </row>
    <row r="1385" spans="12:12" ht="21" customHeight="1">
      <c r="L1385" s="187"/>
    </row>
    <row r="1386" spans="12:12" ht="21" customHeight="1">
      <c r="L1386" s="187"/>
    </row>
    <row r="1387" spans="12:12" ht="21" customHeight="1">
      <c r="L1387" s="187"/>
    </row>
    <row r="1388" spans="12:12" ht="21" customHeight="1">
      <c r="L1388" s="187"/>
    </row>
    <row r="1389" spans="12:12" ht="21" customHeight="1">
      <c r="L1389" s="187"/>
    </row>
    <row r="1390" spans="12:12" ht="21" customHeight="1">
      <c r="L1390" s="187"/>
    </row>
    <row r="1391" spans="12:12" ht="21" customHeight="1">
      <c r="L1391" s="187"/>
    </row>
    <row r="1392" spans="12:12" ht="21" customHeight="1">
      <c r="L1392" s="187"/>
    </row>
    <row r="1393" spans="12:12" ht="21" customHeight="1">
      <c r="L1393" s="187"/>
    </row>
    <row r="1394" spans="12:12" ht="21" customHeight="1">
      <c r="L1394" s="187"/>
    </row>
    <row r="1395" spans="12:12" ht="21" customHeight="1">
      <c r="L1395" s="187"/>
    </row>
    <row r="1396" spans="12:12" ht="21" customHeight="1">
      <c r="L1396" s="187"/>
    </row>
    <row r="1397" spans="12:12" ht="21" customHeight="1">
      <c r="L1397" s="187"/>
    </row>
    <row r="1398" spans="12:12" ht="21" customHeight="1">
      <c r="L1398" s="187"/>
    </row>
    <row r="1399" spans="12:12" ht="21" customHeight="1">
      <c r="L1399" s="187"/>
    </row>
    <row r="1400" spans="12:12" ht="21" customHeight="1">
      <c r="L1400" s="187"/>
    </row>
    <row r="1401" spans="12:12" ht="21" customHeight="1">
      <c r="L1401" s="187"/>
    </row>
    <row r="1402" spans="12:12" ht="21" customHeight="1">
      <c r="L1402" s="187"/>
    </row>
    <row r="1403" spans="12:12" ht="21" customHeight="1">
      <c r="L1403" s="187"/>
    </row>
    <row r="1404" spans="12:12" ht="21" customHeight="1">
      <c r="L1404" s="187"/>
    </row>
    <row r="1405" spans="12:12" ht="21" customHeight="1">
      <c r="L1405" s="187"/>
    </row>
    <row r="1406" spans="12:12" ht="21" customHeight="1">
      <c r="L1406" s="187"/>
    </row>
    <row r="1407" spans="12:12" ht="21" customHeight="1">
      <c r="L1407" s="187"/>
    </row>
    <row r="1408" spans="12:12" ht="21" customHeight="1">
      <c r="L1408" s="187"/>
    </row>
    <row r="1409" spans="12:12" ht="21" customHeight="1">
      <c r="L1409" s="187"/>
    </row>
    <row r="1410" spans="12:12" ht="21" customHeight="1">
      <c r="L1410" s="187"/>
    </row>
    <row r="1411" spans="12:12" ht="21" customHeight="1">
      <c r="L1411" s="187"/>
    </row>
    <row r="1412" spans="12:12" ht="21" customHeight="1">
      <c r="L1412" s="187"/>
    </row>
    <row r="1413" spans="12:12" ht="21" customHeight="1">
      <c r="L1413" s="187"/>
    </row>
    <row r="1414" spans="12:12" ht="21" customHeight="1">
      <c r="L1414" s="187"/>
    </row>
    <row r="1415" spans="12:12" ht="21" customHeight="1">
      <c r="L1415" s="187"/>
    </row>
    <row r="1416" spans="12:12" ht="21" customHeight="1">
      <c r="L1416" s="187"/>
    </row>
    <row r="1417" spans="12:12" ht="21" customHeight="1">
      <c r="L1417" s="187"/>
    </row>
    <row r="1418" spans="12:12" ht="21" customHeight="1">
      <c r="L1418" s="187"/>
    </row>
    <row r="1419" spans="12:12" ht="21" customHeight="1">
      <c r="L1419" s="187"/>
    </row>
    <row r="1420" spans="12:12" ht="21" customHeight="1">
      <c r="L1420" s="187"/>
    </row>
    <row r="1421" spans="12:12" ht="21" customHeight="1">
      <c r="L1421" s="187"/>
    </row>
    <row r="1422" spans="12:12" ht="21" customHeight="1">
      <c r="L1422" s="187"/>
    </row>
    <row r="1423" spans="12:12" ht="21" customHeight="1">
      <c r="L1423" s="187"/>
    </row>
    <row r="1424" spans="12:12" ht="21" customHeight="1">
      <c r="L1424" s="187"/>
    </row>
    <row r="1425" spans="12:12" ht="21" customHeight="1">
      <c r="L1425" s="187"/>
    </row>
    <row r="1426" spans="12:12" ht="21" customHeight="1">
      <c r="L1426" s="187"/>
    </row>
    <row r="1427" spans="12:12" ht="21" customHeight="1">
      <c r="L1427" s="187"/>
    </row>
    <row r="1428" spans="12:12" ht="21" customHeight="1">
      <c r="L1428" s="187"/>
    </row>
    <row r="1429" spans="12:12" ht="21" customHeight="1">
      <c r="L1429" s="187"/>
    </row>
    <row r="1430" spans="12:12" ht="21" customHeight="1">
      <c r="L1430" s="187"/>
    </row>
    <row r="1431" spans="12:12" ht="21" customHeight="1">
      <c r="L1431" s="187"/>
    </row>
    <row r="1432" spans="12:12" ht="21" customHeight="1">
      <c r="L1432" s="187"/>
    </row>
    <row r="1433" spans="12:12" ht="21" customHeight="1">
      <c r="L1433" s="187"/>
    </row>
    <row r="1434" spans="12:12" ht="21" customHeight="1">
      <c r="L1434" s="187"/>
    </row>
    <row r="1435" spans="12:12" ht="21" customHeight="1">
      <c r="L1435" s="187"/>
    </row>
    <row r="1436" spans="12:12" ht="21" customHeight="1">
      <c r="L1436" s="187"/>
    </row>
    <row r="1437" spans="12:12" ht="21" customHeight="1">
      <c r="L1437" s="187"/>
    </row>
    <row r="1438" spans="12:12" ht="21" customHeight="1">
      <c r="L1438" s="187"/>
    </row>
    <row r="1439" spans="12:12" ht="21" customHeight="1">
      <c r="L1439" s="187"/>
    </row>
    <row r="1440" spans="12:12" ht="21" customHeight="1">
      <c r="L1440" s="187"/>
    </row>
    <row r="1441" spans="12:12" ht="21" customHeight="1">
      <c r="L1441" s="187"/>
    </row>
    <row r="1442" spans="12:12" ht="21" customHeight="1">
      <c r="L1442" s="187"/>
    </row>
    <row r="1443" spans="12:12" ht="21" customHeight="1">
      <c r="L1443" s="187"/>
    </row>
    <row r="1444" spans="12:12" ht="21" customHeight="1">
      <c r="L1444" s="187"/>
    </row>
    <row r="1445" spans="12:12" ht="21" customHeight="1">
      <c r="L1445" s="187"/>
    </row>
    <row r="1446" spans="12:12" ht="21" customHeight="1">
      <c r="L1446" s="187"/>
    </row>
    <row r="1447" spans="12:12" ht="21" customHeight="1">
      <c r="L1447" s="187"/>
    </row>
    <row r="1448" spans="12:12" ht="21" customHeight="1">
      <c r="L1448" s="187"/>
    </row>
    <row r="1449" spans="12:12" ht="21" customHeight="1">
      <c r="L1449" s="187"/>
    </row>
    <row r="1450" spans="12:12" ht="21" customHeight="1">
      <c r="L1450" s="187"/>
    </row>
    <row r="1451" spans="12:12" ht="21" customHeight="1">
      <c r="L1451" s="187"/>
    </row>
    <row r="1452" spans="12:12" ht="21" customHeight="1">
      <c r="L1452" s="187"/>
    </row>
    <row r="1453" spans="12:12" ht="21" customHeight="1">
      <c r="L1453" s="187"/>
    </row>
    <row r="1454" spans="12:12" ht="21" customHeight="1">
      <c r="L1454" s="187"/>
    </row>
    <row r="1455" spans="12:12" ht="21" customHeight="1">
      <c r="L1455" s="187"/>
    </row>
    <row r="1456" spans="12:12" ht="21" customHeight="1">
      <c r="L1456" s="187"/>
    </row>
    <row r="1457" spans="12:12" ht="21" customHeight="1">
      <c r="L1457" s="187"/>
    </row>
    <row r="1458" spans="12:12" ht="21" customHeight="1">
      <c r="L1458" s="187"/>
    </row>
    <row r="1459" spans="12:12" ht="21" customHeight="1">
      <c r="L1459" s="187"/>
    </row>
    <row r="1460" spans="12:12" ht="21" customHeight="1">
      <c r="L1460" s="187"/>
    </row>
    <row r="1461" spans="12:12" ht="21" customHeight="1">
      <c r="L1461" s="187"/>
    </row>
    <row r="1462" spans="12:12" ht="21" customHeight="1">
      <c r="L1462" s="187"/>
    </row>
    <row r="1463" spans="12:12" ht="21" customHeight="1">
      <c r="L1463" s="187"/>
    </row>
    <row r="1464" spans="12:12" ht="21" customHeight="1">
      <c r="L1464" s="187"/>
    </row>
    <row r="1465" spans="12:12" ht="21" customHeight="1">
      <c r="L1465" s="187"/>
    </row>
    <row r="1466" spans="12:12" ht="21" customHeight="1">
      <c r="L1466" s="187"/>
    </row>
    <row r="1467" spans="12:12" ht="21" customHeight="1">
      <c r="L1467" s="187"/>
    </row>
    <row r="1468" spans="12:12" ht="21" customHeight="1">
      <c r="L1468" s="187"/>
    </row>
    <row r="1469" spans="12:12" ht="21" customHeight="1">
      <c r="L1469" s="187"/>
    </row>
    <row r="1470" spans="12:12" ht="21" customHeight="1">
      <c r="L1470" s="187"/>
    </row>
    <row r="1471" spans="12:12" ht="21" customHeight="1">
      <c r="L1471" s="187"/>
    </row>
    <row r="1472" spans="12:12" ht="21" customHeight="1">
      <c r="L1472" s="187"/>
    </row>
    <row r="1473" spans="12:12" ht="21" customHeight="1">
      <c r="L1473" s="187"/>
    </row>
    <row r="1474" spans="12:12" ht="21" customHeight="1">
      <c r="L1474" s="187"/>
    </row>
    <row r="1475" spans="12:12" ht="21" customHeight="1">
      <c r="L1475" s="187"/>
    </row>
    <row r="1476" spans="12:12" ht="21" customHeight="1">
      <c r="L1476" s="187"/>
    </row>
    <row r="1477" spans="12:12" ht="21" customHeight="1">
      <c r="L1477" s="187"/>
    </row>
    <row r="1478" spans="12:12" ht="21" customHeight="1">
      <c r="L1478" s="187"/>
    </row>
    <row r="1479" spans="12:12" ht="21" customHeight="1">
      <c r="L1479" s="187"/>
    </row>
    <row r="1480" spans="12:12" ht="21" customHeight="1">
      <c r="L1480" s="187"/>
    </row>
    <row r="1481" spans="12:12" ht="21" customHeight="1">
      <c r="L1481" s="187"/>
    </row>
    <row r="1482" spans="12:12" ht="21" customHeight="1">
      <c r="L1482" s="187"/>
    </row>
    <row r="1483" spans="12:12" ht="21" customHeight="1">
      <c r="L1483" s="187"/>
    </row>
    <row r="1484" spans="12:12" ht="21" customHeight="1">
      <c r="L1484" s="187"/>
    </row>
    <row r="1485" spans="12:12" ht="21" customHeight="1">
      <c r="L1485" s="187"/>
    </row>
    <row r="1486" spans="12:12" ht="21" customHeight="1">
      <c r="L1486" s="187"/>
    </row>
    <row r="1487" spans="12:12" ht="21" customHeight="1">
      <c r="L1487" s="187"/>
    </row>
    <row r="1488" spans="12:12" ht="21" customHeight="1">
      <c r="L1488" s="187"/>
    </row>
    <row r="1489" spans="12:12" ht="21" customHeight="1">
      <c r="L1489" s="187"/>
    </row>
    <row r="1490" spans="12:12" ht="21" customHeight="1">
      <c r="L1490" s="187"/>
    </row>
    <row r="1491" spans="12:12" ht="21" customHeight="1">
      <c r="L1491" s="187"/>
    </row>
    <row r="1492" spans="12:12" ht="21" customHeight="1">
      <c r="L1492" s="187"/>
    </row>
    <row r="1493" spans="12:12" ht="21" customHeight="1">
      <c r="L1493" s="187"/>
    </row>
    <row r="1494" spans="12:12" ht="21" customHeight="1">
      <c r="L1494" s="187"/>
    </row>
    <row r="1495" spans="12:12" ht="21" customHeight="1">
      <c r="L1495" s="187"/>
    </row>
    <row r="1496" spans="12:12" ht="21" customHeight="1">
      <c r="L1496" s="187"/>
    </row>
    <row r="1497" spans="12:12" ht="21" customHeight="1">
      <c r="L1497" s="187"/>
    </row>
    <row r="1498" spans="12:12" ht="21" customHeight="1">
      <c r="L1498" s="187"/>
    </row>
    <row r="1499" spans="12:12" ht="21" customHeight="1">
      <c r="L1499" s="187"/>
    </row>
    <row r="1500" spans="12:12" ht="21" customHeight="1">
      <c r="L1500" s="187"/>
    </row>
    <row r="1501" spans="12:12" ht="21" customHeight="1">
      <c r="L1501" s="187"/>
    </row>
    <row r="1502" spans="12:12" ht="21" customHeight="1">
      <c r="L1502" s="187"/>
    </row>
    <row r="1503" spans="12:12" ht="21" customHeight="1">
      <c r="L1503" s="187"/>
    </row>
    <row r="1504" spans="12:12" ht="21" customHeight="1">
      <c r="L1504" s="187"/>
    </row>
    <row r="1505" spans="12:12" ht="21" customHeight="1">
      <c r="L1505" s="187"/>
    </row>
    <row r="1506" spans="12:12" ht="21" customHeight="1">
      <c r="L1506" s="187"/>
    </row>
    <row r="1507" spans="12:12" ht="21" customHeight="1">
      <c r="L1507" s="187"/>
    </row>
    <row r="1508" spans="12:12" ht="21" customHeight="1">
      <c r="L1508" s="187"/>
    </row>
    <row r="1509" spans="12:12" ht="21" customHeight="1">
      <c r="L1509" s="187"/>
    </row>
    <row r="1510" spans="12:12" ht="21" customHeight="1">
      <c r="L1510" s="187"/>
    </row>
    <row r="1511" spans="12:12" ht="21" customHeight="1">
      <c r="L1511" s="187"/>
    </row>
    <row r="1512" spans="12:12" ht="21" customHeight="1">
      <c r="L1512" s="187"/>
    </row>
    <row r="1513" spans="12:12" ht="21" customHeight="1">
      <c r="L1513" s="187"/>
    </row>
    <row r="1514" spans="12:12" ht="21" customHeight="1">
      <c r="L1514" s="187"/>
    </row>
    <row r="1515" spans="12:12" ht="21" customHeight="1">
      <c r="L1515" s="187"/>
    </row>
    <row r="1516" spans="12:12" ht="21" customHeight="1">
      <c r="L1516" s="187"/>
    </row>
    <row r="1517" spans="12:12" ht="21" customHeight="1">
      <c r="L1517" s="187"/>
    </row>
    <row r="1518" spans="12:12" ht="21" customHeight="1">
      <c r="L1518" s="187"/>
    </row>
    <row r="1519" spans="12:12" ht="21" customHeight="1">
      <c r="L1519" s="187"/>
    </row>
    <row r="1520" spans="12:12" ht="21" customHeight="1">
      <c r="L1520" s="187"/>
    </row>
    <row r="1521" spans="12:12" ht="21" customHeight="1">
      <c r="L1521" s="187"/>
    </row>
    <row r="1522" spans="12:12" ht="21" customHeight="1">
      <c r="L1522" s="187"/>
    </row>
    <row r="1523" spans="12:12" ht="21" customHeight="1">
      <c r="L1523" s="187"/>
    </row>
    <row r="1524" spans="12:12" ht="21" customHeight="1">
      <c r="L1524" s="187"/>
    </row>
    <row r="1525" spans="12:12" ht="21" customHeight="1">
      <c r="L1525" s="187"/>
    </row>
    <row r="1526" spans="12:12" ht="21" customHeight="1">
      <c r="L1526" s="187"/>
    </row>
    <row r="1527" spans="12:12" ht="21" customHeight="1">
      <c r="L1527" s="187"/>
    </row>
    <row r="1528" spans="12:12" ht="21" customHeight="1">
      <c r="L1528" s="187"/>
    </row>
    <row r="1529" spans="12:12" ht="21" customHeight="1">
      <c r="L1529" s="187"/>
    </row>
    <row r="1530" spans="12:12" ht="21" customHeight="1">
      <c r="L1530" s="187"/>
    </row>
    <row r="1531" spans="12:12" ht="21" customHeight="1">
      <c r="L1531" s="187"/>
    </row>
    <row r="1532" spans="12:12" ht="21" customHeight="1">
      <c r="L1532" s="187"/>
    </row>
    <row r="1533" spans="12:12" ht="21" customHeight="1">
      <c r="L1533" s="187"/>
    </row>
    <row r="1534" spans="12:12" ht="21" customHeight="1">
      <c r="L1534" s="187"/>
    </row>
    <row r="1535" spans="12:12" ht="21" customHeight="1">
      <c r="L1535" s="187"/>
    </row>
    <row r="1536" spans="12:12" ht="21" customHeight="1">
      <c r="L1536" s="187"/>
    </row>
    <row r="1537" spans="12:12" ht="21" customHeight="1">
      <c r="L1537" s="187"/>
    </row>
    <row r="1538" spans="12:12" ht="21" customHeight="1">
      <c r="L1538" s="187"/>
    </row>
    <row r="1539" spans="12:12" ht="21" customHeight="1">
      <c r="L1539" s="187"/>
    </row>
    <row r="1540" spans="12:12" ht="21" customHeight="1">
      <c r="L1540" s="187"/>
    </row>
    <row r="1541" spans="12:12" ht="21" customHeight="1">
      <c r="L1541" s="187"/>
    </row>
    <row r="1542" spans="12:12" ht="21" customHeight="1">
      <c r="L1542" s="187"/>
    </row>
    <row r="1543" spans="12:12" ht="21" customHeight="1">
      <c r="L1543" s="187"/>
    </row>
    <row r="1544" spans="12:12" ht="21" customHeight="1">
      <c r="L1544" s="187"/>
    </row>
    <row r="1545" spans="12:12" ht="21" customHeight="1">
      <c r="L1545" s="187"/>
    </row>
    <row r="1546" spans="12:12" ht="21" customHeight="1">
      <c r="L1546" s="187"/>
    </row>
    <row r="1547" spans="12:12" ht="21" customHeight="1">
      <c r="L1547" s="187"/>
    </row>
    <row r="1548" spans="12:12" ht="21" customHeight="1">
      <c r="L1548" s="187"/>
    </row>
    <row r="1549" spans="12:12" ht="21" customHeight="1">
      <c r="L1549" s="187"/>
    </row>
    <row r="1550" spans="12:12" ht="21" customHeight="1">
      <c r="L1550" s="187"/>
    </row>
    <row r="1551" spans="12:12" ht="21" customHeight="1">
      <c r="L1551" s="187"/>
    </row>
    <row r="1552" spans="12:12" ht="21" customHeight="1">
      <c r="L1552" s="187"/>
    </row>
    <row r="1553" spans="12:12" ht="21" customHeight="1">
      <c r="L1553" s="187"/>
    </row>
    <row r="1554" spans="12:12" ht="21" customHeight="1">
      <c r="L1554" s="187"/>
    </row>
    <row r="1555" spans="12:12" ht="21" customHeight="1">
      <c r="L1555" s="187"/>
    </row>
    <row r="1556" spans="12:12" ht="21" customHeight="1">
      <c r="L1556" s="187"/>
    </row>
    <row r="1557" spans="12:12" ht="21" customHeight="1">
      <c r="L1557" s="187"/>
    </row>
    <row r="1558" spans="12:12" ht="21" customHeight="1">
      <c r="L1558" s="187"/>
    </row>
    <row r="1559" spans="12:12" ht="21" customHeight="1">
      <c r="L1559" s="187"/>
    </row>
    <row r="1560" spans="12:12" ht="21" customHeight="1">
      <c r="L1560" s="187"/>
    </row>
    <row r="1561" spans="12:12" ht="21" customHeight="1">
      <c r="L1561" s="187"/>
    </row>
    <row r="1562" spans="12:12" ht="21" customHeight="1">
      <c r="L1562" s="187"/>
    </row>
    <row r="1563" spans="12:12" ht="21" customHeight="1">
      <c r="L1563" s="187"/>
    </row>
    <row r="1564" spans="12:12" ht="21" customHeight="1">
      <c r="L1564" s="187"/>
    </row>
    <row r="1565" spans="12:12" ht="21" customHeight="1">
      <c r="L1565" s="187"/>
    </row>
    <row r="1566" spans="12:12" ht="21" customHeight="1">
      <c r="L1566" s="187"/>
    </row>
    <row r="1567" spans="12:12" ht="21" customHeight="1">
      <c r="L1567" s="187"/>
    </row>
    <row r="1568" spans="12:12" ht="21" customHeight="1">
      <c r="L1568" s="187"/>
    </row>
    <row r="1569" spans="12:12" ht="21" customHeight="1">
      <c r="L1569" s="187"/>
    </row>
    <row r="1570" spans="12:12" ht="21" customHeight="1">
      <c r="L1570" s="187"/>
    </row>
    <row r="1571" spans="12:12" ht="21" customHeight="1">
      <c r="L1571" s="187"/>
    </row>
    <row r="1572" spans="12:12" ht="21" customHeight="1">
      <c r="L1572" s="187"/>
    </row>
    <row r="1573" spans="12:12" ht="21" customHeight="1">
      <c r="L1573" s="187"/>
    </row>
    <row r="1574" spans="12:12" ht="21" customHeight="1">
      <c r="L1574" s="187"/>
    </row>
    <row r="1575" spans="12:12" ht="21" customHeight="1">
      <c r="L1575" s="187"/>
    </row>
    <row r="1576" spans="12:12" ht="21" customHeight="1">
      <c r="L1576" s="187"/>
    </row>
    <row r="1577" spans="12:12" ht="21" customHeight="1">
      <c r="L1577" s="187"/>
    </row>
    <row r="1578" spans="12:12" ht="21" customHeight="1">
      <c r="L1578" s="187"/>
    </row>
    <row r="1579" spans="12:12" ht="21" customHeight="1">
      <c r="L1579" s="187"/>
    </row>
    <row r="1580" spans="12:12" ht="21" customHeight="1">
      <c r="L1580" s="187"/>
    </row>
    <row r="1581" spans="12:12" ht="21" customHeight="1">
      <c r="L1581" s="187"/>
    </row>
    <row r="1582" spans="12:12" ht="21" customHeight="1">
      <c r="L1582" s="187"/>
    </row>
    <row r="1583" spans="12:12" ht="21" customHeight="1">
      <c r="L1583" s="187"/>
    </row>
    <row r="1584" spans="12:12" ht="21" customHeight="1">
      <c r="L1584" s="187"/>
    </row>
    <row r="1585" spans="12:12" ht="21" customHeight="1">
      <c r="L1585" s="187"/>
    </row>
    <row r="1586" spans="12:12" ht="21" customHeight="1">
      <c r="L1586" s="187"/>
    </row>
    <row r="1587" spans="12:12" ht="21" customHeight="1">
      <c r="L1587" s="187"/>
    </row>
    <row r="1588" spans="12:12" ht="21" customHeight="1">
      <c r="L1588" s="187"/>
    </row>
    <row r="1589" spans="12:12" ht="21" customHeight="1">
      <c r="L1589" s="187"/>
    </row>
    <row r="1590" spans="12:12" ht="21" customHeight="1">
      <c r="L1590" s="187"/>
    </row>
    <row r="1591" spans="12:12" ht="21" customHeight="1">
      <c r="L1591" s="187"/>
    </row>
    <row r="1592" spans="12:12" ht="21" customHeight="1">
      <c r="L1592" s="187"/>
    </row>
    <row r="1593" spans="12:12" ht="21" customHeight="1">
      <c r="L1593" s="187"/>
    </row>
    <row r="1594" spans="12:12" ht="21" customHeight="1">
      <c r="L1594" s="187"/>
    </row>
    <row r="1595" spans="12:12" ht="21" customHeight="1">
      <c r="L1595" s="187"/>
    </row>
    <row r="1596" spans="12:12" ht="21" customHeight="1">
      <c r="L1596" s="187"/>
    </row>
    <row r="1597" spans="12:12" ht="21" customHeight="1">
      <c r="L1597" s="187"/>
    </row>
    <row r="1598" spans="12:12" ht="21" customHeight="1">
      <c r="L1598" s="187"/>
    </row>
    <row r="1599" spans="12:12" ht="21" customHeight="1">
      <c r="L1599" s="187"/>
    </row>
    <row r="1600" spans="12:12" ht="21" customHeight="1">
      <c r="L1600" s="187"/>
    </row>
    <row r="1601" spans="12:12" ht="21" customHeight="1">
      <c r="L1601" s="187"/>
    </row>
    <row r="1602" spans="12:12" ht="21" customHeight="1">
      <c r="L1602" s="187"/>
    </row>
    <row r="1603" spans="12:12" ht="21" customHeight="1">
      <c r="L1603" s="187"/>
    </row>
    <row r="1604" spans="12:12" ht="21" customHeight="1">
      <c r="L1604" s="187"/>
    </row>
    <row r="1605" spans="12:12" ht="21" customHeight="1">
      <c r="L1605" s="187"/>
    </row>
    <row r="1606" spans="12:12" ht="21" customHeight="1">
      <c r="L1606" s="187"/>
    </row>
    <row r="1607" spans="12:12" ht="21" customHeight="1">
      <c r="L1607" s="187"/>
    </row>
    <row r="1608" spans="12:12" ht="21" customHeight="1">
      <c r="L1608" s="187"/>
    </row>
    <row r="1609" spans="12:12" ht="21" customHeight="1">
      <c r="L1609" s="187"/>
    </row>
    <row r="1610" spans="12:12" ht="21" customHeight="1">
      <c r="L1610" s="187"/>
    </row>
    <row r="1611" spans="12:12" ht="21" customHeight="1">
      <c r="L1611" s="187"/>
    </row>
    <row r="1612" spans="12:12" ht="21" customHeight="1">
      <c r="L1612" s="187"/>
    </row>
    <row r="1613" spans="12:12" ht="21" customHeight="1">
      <c r="L1613" s="187"/>
    </row>
    <row r="1614" spans="12:12" ht="21" customHeight="1">
      <c r="L1614" s="187"/>
    </row>
    <row r="1615" spans="12:12" ht="21" customHeight="1">
      <c r="L1615" s="187"/>
    </row>
    <row r="1616" spans="12:12" ht="21" customHeight="1">
      <c r="L1616" s="187"/>
    </row>
    <row r="1617" spans="12:12" ht="21" customHeight="1">
      <c r="L1617" s="187"/>
    </row>
    <row r="1618" spans="12:12" ht="21" customHeight="1">
      <c r="L1618" s="187"/>
    </row>
    <row r="1619" spans="12:12" ht="21" customHeight="1">
      <c r="L1619" s="187"/>
    </row>
    <row r="1620" spans="12:12" ht="21" customHeight="1">
      <c r="L1620" s="187"/>
    </row>
    <row r="1621" spans="12:12" ht="21" customHeight="1">
      <c r="L1621" s="187"/>
    </row>
    <row r="1622" spans="12:12" ht="21" customHeight="1">
      <c r="L1622" s="187"/>
    </row>
    <row r="1623" spans="12:12" ht="21" customHeight="1">
      <c r="L1623" s="187"/>
    </row>
    <row r="1624" spans="12:12" ht="21" customHeight="1">
      <c r="L1624" s="187"/>
    </row>
    <row r="1625" spans="12:12" ht="21" customHeight="1">
      <c r="L1625" s="187"/>
    </row>
    <row r="1626" spans="12:12" ht="21" customHeight="1">
      <c r="L1626" s="187"/>
    </row>
    <row r="1627" spans="12:12" ht="21" customHeight="1">
      <c r="L1627" s="187"/>
    </row>
    <row r="1628" spans="12:12" ht="21" customHeight="1">
      <c r="L1628" s="187"/>
    </row>
    <row r="1629" spans="12:12" ht="21" customHeight="1">
      <c r="L1629" s="187"/>
    </row>
    <row r="1630" spans="12:12" ht="21" customHeight="1">
      <c r="L1630" s="187"/>
    </row>
    <row r="1631" spans="12:12" ht="21" customHeight="1">
      <c r="L1631" s="187"/>
    </row>
    <row r="1632" spans="12:12" ht="21" customHeight="1">
      <c r="L1632" s="187"/>
    </row>
    <row r="1633" spans="12:12" ht="21" customHeight="1">
      <c r="L1633" s="187"/>
    </row>
    <row r="1634" spans="12:12" ht="21" customHeight="1">
      <c r="L1634" s="187"/>
    </row>
    <row r="1635" spans="12:12" ht="21" customHeight="1">
      <c r="L1635" s="187"/>
    </row>
    <row r="1636" spans="12:12" ht="21" customHeight="1">
      <c r="L1636" s="187"/>
    </row>
    <row r="1637" spans="12:12" ht="21" customHeight="1">
      <c r="L1637" s="187"/>
    </row>
    <row r="1638" spans="12:12" ht="21" customHeight="1">
      <c r="L1638" s="187"/>
    </row>
    <row r="1639" spans="12:12" ht="21" customHeight="1">
      <c r="L1639" s="187"/>
    </row>
    <row r="1640" spans="12:12" ht="21" customHeight="1">
      <c r="L1640" s="187"/>
    </row>
    <row r="1641" spans="12:12" ht="21" customHeight="1">
      <c r="L1641" s="187"/>
    </row>
    <row r="1642" spans="12:12" ht="21" customHeight="1">
      <c r="L1642" s="187"/>
    </row>
    <row r="1643" spans="12:12" ht="21" customHeight="1">
      <c r="L1643" s="187"/>
    </row>
    <row r="1644" spans="12:12" ht="21" customHeight="1">
      <c r="L1644" s="187"/>
    </row>
    <row r="1645" spans="12:12" ht="21" customHeight="1">
      <c r="L1645" s="187"/>
    </row>
    <row r="1646" spans="12:12" ht="21" customHeight="1">
      <c r="L1646" s="187"/>
    </row>
    <row r="1647" spans="12:12" ht="21" customHeight="1">
      <c r="L1647" s="187"/>
    </row>
    <row r="1648" spans="12:12" ht="21" customHeight="1">
      <c r="L1648" s="187"/>
    </row>
    <row r="1649" spans="12:12" ht="21" customHeight="1">
      <c r="L1649" s="187"/>
    </row>
    <row r="1650" spans="12:12" ht="21" customHeight="1">
      <c r="L1650" s="187"/>
    </row>
    <row r="1651" spans="12:12" ht="21" customHeight="1">
      <c r="L1651" s="187"/>
    </row>
    <row r="1652" spans="12:12" ht="21" customHeight="1">
      <c r="L1652" s="187"/>
    </row>
    <row r="1653" spans="12:12" ht="21" customHeight="1">
      <c r="L1653" s="187"/>
    </row>
    <row r="1654" spans="12:12" ht="21" customHeight="1">
      <c r="L1654" s="187"/>
    </row>
    <row r="1655" spans="12:12" ht="21" customHeight="1">
      <c r="L1655" s="187"/>
    </row>
    <row r="1656" spans="12:12" ht="21" customHeight="1">
      <c r="L1656" s="187"/>
    </row>
    <row r="1657" spans="12:12" ht="21" customHeight="1">
      <c r="L1657" s="187"/>
    </row>
    <row r="1658" spans="12:12" ht="21" customHeight="1">
      <c r="L1658" s="187"/>
    </row>
    <row r="1659" spans="12:12" ht="21" customHeight="1">
      <c r="L1659" s="187"/>
    </row>
    <row r="1660" spans="12:12" ht="21" customHeight="1">
      <c r="L1660" s="187"/>
    </row>
    <row r="1661" spans="12:12" ht="21" customHeight="1">
      <c r="L1661" s="187"/>
    </row>
    <row r="1662" spans="12:12" ht="21" customHeight="1">
      <c r="L1662" s="187"/>
    </row>
    <row r="1663" spans="12:12" ht="21" customHeight="1">
      <c r="L1663" s="187"/>
    </row>
    <row r="1664" spans="12:12" ht="21" customHeight="1">
      <c r="L1664" s="187"/>
    </row>
    <row r="1665" spans="12:12" ht="21" customHeight="1">
      <c r="L1665" s="187"/>
    </row>
    <row r="1666" spans="12:12" ht="21" customHeight="1">
      <c r="L1666" s="187"/>
    </row>
    <row r="1667" spans="12:12" ht="21" customHeight="1">
      <c r="L1667" s="187"/>
    </row>
    <row r="1668" spans="12:12" ht="21" customHeight="1">
      <c r="L1668" s="187"/>
    </row>
    <row r="1669" spans="12:12" ht="21" customHeight="1">
      <c r="L1669" s="187"/>
    </row>
    <row r="1670" spans="12:12" ht="21" customHeight="1">
      <c r="L1670" s="187"/>
    </row>
    <row r="1671" spans="12:12" ht="21" customHeight="1">
      <c r="L1671" s="187"/>
    </row>
    <row r="1672" spans="12:12" ht="21" customHeight="1">
      <c r="L1672" s="187"/>
    </row>
    <row r="1673" spans="12:12" ht="21" customHeight="1">
      <c r="L1673" s="187"/>
    </row>
    <row r="1674" spans="12:12" ht="21" customHeight="1">
      <c r="L1674" s="187"/>
    </row>
    <row r="1675" spans="12:12" ht="21" customHeight="1">
      <c r="L1675" s="187"/>
    </row>
    <row r="1676" spans="12:12" ht="21" customHeight="1">
      <c r="L1676" s="187"/>
    </row>
    <row r="1677" spans="12:12" ht="21" customHeight="1">
      <c r="L1677" s="187"/>
    </row>
    <row r="1678" spans="12:12" ht="21" customHeight="1">
      <c r="L1678" s="187"/>
    </row>
    <row r="1679" spans="12:12" ht="21" customHeight="1">
      <c r="L1679" s="187"/>
    </row>
    <row r="1680" spans="12:12" ht="21" customHeight="1">
      <c r="L1680" s="187"/>
    </row>
    <row r="1681" spans="12:12" ht="21" customHeight="1">
      <c r="L1681" s="187"/>
    </row>
    <row r="1682" spans="12:12" ht="21" customHeight="1">
      <c r="L1682" s="187"/>
    </row>
    <row r="1683" spans="12:12" ht="21" customHeight="1">
      <c r="L1683" s="187"/>
    </row>
    <row r="1684" spans="12:12" ht="21" customHeight="1">
      <c r="L1684" s="187"/>
    </row>
    <row r="1685" spans="12:12" ht="21" customHeight="1">
      <c r="L1685" s="187"/>
    </row>
    <row r="1686" spans="12:12" ht="21" customHeight="1">
      <c r="L1686" s="187"/>
    </row>
    <row r="1687" spans="12:12" ht="21" customHeight="1">
      <c r="L1687" s="187"/>
    </row>
    <row r="1688" spans="12:12" ht="21" customHeight="1">
      <c r="L1688" s="187"/>
    </row>
    <row r="1689" spans="12:12" ht="21" customHeight="1">
      <c r="L1689" s="187"/>
    </row>
    <row r="1690" spans="12:12" ht="21" customHeight="1">
      <c r="L1690" s="187"/>
    </row>
    <row r="1691" spans="12:12" ht="21" customHeight="1">
      <c r="L1691" s="187"/>
    </row>
    <row r="1692" spans="12:12" ht="21" customHeight="1">
      <c r="L1692" s="187"/>
    </row>
    <row r="1693" spans="12:12" ht="21" customHeight="1">
      <c r="L1693" s="187"/>
    </row>
    <row r="1694" spans="12:12" ht="21" customHeight="1">
      <c r="L1694" s="187"/>
    </row>
    <row r="1695" spans="12:12" ht="21" customHeight="1">
      <c r="L1695" s="187"/>
    </row>
    <row r="1696" spans="12:12" ht="21" customHeight="1">
      <c r="L1696" s="187"/>
    </row>
    <row r="1697" spans="12:12" ht="21" customHeight="1">
      <c r="L1697" s="187"/>
    </row>
    <row r="1698" spans="12:12" ht="21" customHeight="1">
      <c r="L1698" s="187"/>
    </row>
    <row r="1699" spans="12:12" ht="21" customHeight="1">
      <c r="L1699" s="187"/>
    </row>
    <row r="1700" spans="12:12" ht="21" customHeight="1">
      <c r="L1700" s="187"/>
    </row>
    <row r="1701" spans="12:12" ht="21" customHeight="1">
      <c r="L1701" s="187"/>
    </row>
    <row r="1702" spans="12:12" ht="21" customHeight="1">
      <c r="L1702" s="187"/>
    </row>
    <row r="1703" spans="12:12" ht="21" customHeight="1">
      <c r="L1703" s="187"/>
    </row>
    <row r="1704" spans="12:12" ht="21" customHeight="1">
      <c r="L1704" s="187"/>
    </row>
    <row r="1705" spans="12:12" ht="21" customHeight="1">
      <c r="L1705" s="187"/>
    </row>
    <row r="1706" spans="12:12" ht="21" customHeight="1">
      <c r="L1706" s="187"/>
    </row>
    <row r="1707" spans="12:12" ht="21" customHeight="1">
      <c r="L1707" s="187"/>
    </row>
    <row r="1708" spans="12:12" ht="21" customHeight="1">
      <c r="L1708" s="187"/>
    </row>
    <row r="1709" spans="12:12" ht="21" customHeight="1">
      <c r="L1709" s="187"/>
    </row>
    <row r="1710" spans="12:12" ht="21" customHeight="1">
      <c r="L1710" s="187"/>
    </row>
    <row r="1711" spans="12:12" ht="21" customHeight="1">
      <c r="L1711" s="187"/>
    </row>
    <row r="1712" spans="12:12" ht="21" customHeight="1">
      <c r="L1712" s="187"/>
    </row>
    <row r="1713" spans="12:12" ht="21" customHeight="1">
      <c r="L1713" s="187"/>
    </row>
    <row r="1714" spans="12:12" ht="21" customHeight="1">
      <c r="L1714" s="187"/>
    </row>
    <row r="1715" spans="12:12" ht="21" customHeight="1">
      <c r="L1715" s="187"/>
    </row>
    <row r="1716" spans="12:12" ht="21" customHeight="1">
      <c r="L1716" s="187"/>
    </row>
    <row r="1717" spans="12:12" ht="21" customHeight="1">
      <c r="L1717" s="187"/>
    </row>
    <row r="1718" spans="12:12" ht="21" customHeight="1">
      <c r="L1718" s="187"/>
    </row>
    <row r="1719" spans="12:12" ht="21" customHeight="1">
      <c r="L1719" s="187"/>
    </row>
    <row r="1720" spans="12:12" ht="21" customHeight="1">
      <c r="L1720" s="187"/>
    </row>
    <row r="1721" spans="12:12" ht="21" customHeight="1">
      <c r="L1721" s="187"/>
    </row>
    <row r="1722" spans="12:12" ht="21" customHeight="1">
      <c r="L1722" s="187"/>
    </row>
    <row r="1723" spans="12:12" ht="21" customHeight="1">
      <c r="L1723" s="187"/>
    </row>
    <row r="1724" spans="12:12" ht="21" customHeight="1">
      <c r="L1724" s="187"/>
    </row>
    <row r="1725" spans="12:12" ht="21" customHeight="1">
      <c r="L1725" s="187"/>
    </row>
    <row r="1726" spans="12:12" ht="21" customHeight="1">
      <c r="L1726" s="187"/>
    </row>
    <row r="1727" spans="12:12" ht="21" customHeight="1">
      <c r="L1727" s="187"/>
    </row>
    <row r="1728" spans="12:12" ht="21" customHeight="1">
      <c r="L1728" s="187"/>
    </row>
    <row r="1729" spans="12:12" ht="21" customHeight="1">
      <c r="L1729" s="187"/>
    </row>
    <row r="1730" spans="12:12" ht="21" customHeight="1">
      <c r="L1730" s="187"/>
    </row>
    <row r="1731" spans="12:12" ht="21" customHeight="1">
      <c r="L1731" s="187"/>
    </row>
    <row r="1732" spans="12:12" ht="21" customHeight="1">
      <c r="L1732" s="187"/>
    </row>
    <row r="1733" spans="12:12" ht="21" customHeight="1">
      <c r="L1733" s="187"/>
    </row>
    <row r="1734" spans="12:12" ht="21" customHeight="1">
      <c r="L1734" s="187"/>
    </row>
    <row r="1735" spans="12:12" ht="21" customHeight="1">
      <c r="L1735" s="187"/>
    </row>
    <row r="1736" spans="12:12" ht="21" customHeight="1">
      <c r="L1736" s="187"/>
    </row>
    <row r="1737" spans="12:12" ht="21" customHeight="1">
      <c r="L1737" s="187"/>
    </row>
    <row r="1738" spans="12:12" ht="21" customHeight="1">
      <c r="L1738" s="187"/>
    </row>
    <row r="1739" spans="12:12" ht="21" customHeight="1">
      <c r="L1739" s="187"/>
    </row>
    <row r="1740" spans="12:12" ht="21" customHeight="1">
      <c r="L1740" s="187"/>
    </row>
    <row r="1741" spans="12:12" ht="21" customHeight="1">
      <c r="L1741" s="187"/>
    </row>
    <row r="1742" spans="12:12" ht="21" customHeight="1">
      <c r="L1742" s="187"/>
    </row>
    <row r="1743" spans="12:12" ht="21" customHeight="1">
      <c r="L1743" s="187"/>
    </row>
    <row r="1744" spans="12:12" ht="21" customHeight="1">
      <c r="L1744" s="187"/>
    </row>
    <row r="1745" spans="12:12" ht="21" customHeight="1">
      <c r="L1745" s="187"/>
    </row>
    <row r="1746" spans="12:12" ht="21" customHeight="1">
      <c r="L1746" s="187"/>
    </row>
    <row r="1747" spans="12:12" ht="21" customHeight="1">
      <c r="L1747" s="187"/>
    </row>
    <row r="1748" spans="12:12" ht="21" customHeight="1">
      <c r="L1748" s="187"/>
    </row>
    <row r="1749" spans="12:12" ht="21" customHeight="1">
      <c r="L1749" s="187"/>
    </row>
    <row r="1750" spans="12:12" ht="21" customHeight="1">
      <c r="L1750" s="187"/>
    </row>
    <row r="1751" spans="12:12" ht="21" customHeight="1">
      <c r="L1751" s="187"/>
    </row>
    <row r="1752" spans="12:12" ht="21" customHeight="1">
      <c r="L1752" s="187"/>
    </row>
    <row r="1753" spans="12:12" ht="21" customHeight="1">
      <c r="L1753" s="187"/>
    </row>
    <row r="1754" spans="12:12" ht="21" customHeight="1">
      <c r="L1754" s="187"/>
    </row>
    <row r="1755" spans="12:12" ht="21" customHeight="1">
      <c r="L1755" s="187"/>
    </row>
    <row r="1756" spans="12:12" ht="21" customHeight="1">
      <c r="L1756" s="187"/>
    </row>
    <row r="1757" spans="12:12" ht="21" customHeight="1">
      <c r="L1757" s="187"/>
    </row>
    <row r="1758" spans="12:12" ht="21" customHeight="1">
      <c r="L1758" s="187"/>
    </row>
    <row r="1759" spans="12:12" ht="21" customHeight="1">
      <c r="L1759" s="187"/>
    </row>
    <row r="1760" spans="12:12" ht="21" customHeight="1">
      <c r="L1760" s="187"/>
    </row>
    <row r="1761" spans="12:12" ht="21" customHeight="1">
      <c r="L1761" s="187"/>
    </row>
    <row r="1762" spans="12:12" ht="21" customHeight="1">
      <c r="L1762" s="187"/>
    </row>
    <row r="1763" spans="12:12" ht="21" customHeight="1">
      <c r="L1763" s="187"/>
    </row>
    <row r="1764" spans="12:12" ht="21" customHeight="1">
      <c r="L1764" s="187"/>
    </row>
    <row r="1765" spans="12:12" ht="21" customHeight="1">
      <c r="L1765" s="187"/>
    </row>
    <row r="1766" spans="12:12" ht="21" customHeight="1">
      <c r="L1766" s="187"/>
    </row>
    <row r="1767" spans="12:12" ht="21" customHeight="1">
      <c r="L1767" s="187"/>
    </row>
    <row r="1768" spans="12:12" ht="21" customHeight="1">
      <c r="L1768" s="187"/>
    </row>
    <row r="1769" spans="12:12" ht="21" customHeight="1">
      <c r="L1769" s="187"/>
    </row>
    <row r="1770" spans="12:12" ht="21" customHeight="1">
      <c r="L1770" s="187"/>
    </row>
    <row r="1771" spans="12:12" ht="21" customHeight="1">
      <c r="L1771" s="187"/>
    </row>
    <row r="1772" spans="12:12" ht="21" customHeight="1">
      <c r="L1772" s="187"/>
    </row>
    <row r="1773" spans="12:12" ht="21" customHeight="1">
      <c r="L1773" s="187"/>
    </row>
    <row r="1774" spans="12:12" ht="21" customHeight="1">
      <c r="L1774" s="187"/>
    </row>
    <row r="1775" spans="12:12" ht="21" customHeight="1">
      <c r="L1775" s="187"/>
    </row>
    <row r="1776" spans="12:12" ht="21" customHeight="1">
      <c r="L1776" s="187"/>
    </row>
    <row r="1777" spans="12:12" ht="21" customHeight="1">
      <c r="L1777" s="187"/>
    </row>
    <row r="1778" spans="12:12" ht="21" customHeight="1">
      <c r="L1778" s="187"/>
    </row>
    <row r="1779" spans="12:12" ht="21" customHeight="1">
      <c r="L1779" s="187"/>
    </row>
    <row r="1780" spans="12:12" ht="21" customHeight="1">
      <c r="L1780" s="187"/>
    </row>
    <row r="1781" spans="12:12" ht="21" customHeight="1">
      <c r="L1781" s="187"/>
    </row>
    <row r="1782" spans="12:12" ht="21" customHeight="1">
      <c r="L1782" s="187"/>
    </row>
    <row r="1783" spans="12:12" ht="21" customHeight="1">
      <c r="L1783" s="187"/>
    </row>
    <row r="1784" spans="12:12" ht="21" customHeight="1">
      <c r="L1784" s="187"/>
    </row>
    <row r="1785" spans="12:12" ht="21" customHeight="1">
      <c r="L1785" s="187"/>
    </row>
    <row r="1786" spans="12:12" ht="21" customHeight="1">
      <c r="L1786" s="187"/>
    </row>
    <row r="1787" spans="12:12" ht="21" customHeight="1">
      <c r="L1787" s="187"/>
    </row>
    <row r="1788" spans="12:12" ht="21" customHeight="1">
      <c r="L1788" s="187"/>
    </row>
    <row r="1789" spans="12:12" ht="21" customHeight="1">
      <c r="L1789" s="187"/>
    </row>
    <row r="1790" spans="12:12" ht="21" customHeight="1">
      <c r="L1790" s="187"/>
    </row>
    <row r="1791" spans="12:12" ht="21" customHeight="1">
      <c r="L1791" s="187"/>
    </row>
    <row r="1792" spans="12:12" ht="21" customHeight="1">
      <c r="L1792" s="187"/>
    </row>
    <row r="1793" spans="12:12" ht="21" customHeight="1">
      <c r="L1793" s="187"/>
    </row>
    <row r="1794" spans="12:12" ht="21" customHeight="1">
      <c r="L1794" s="187"/>
    </row>
    <row r="1795" spans="12:12" ht="21" customHeight="1">
      <c r="L1795" s="187"/>
    </row>
    <row r="1796" spans="12:12" ht="21" customHeight="1">
      <c r="L1796" s="187"/>
    </row>
    <row r="1797" spans="12:12" ht="21" customHeight="1">
      <c r="L1797" s="187"/>
    </row>
    <row r="1798" spans="12:12" ht="21" customHeight="1">
      <c r="L1798" s="187"/>
    </row>
    <row r="1799" spans="12:12" ht="21" customHeight="1">
      <c r="L1799" s="187"/>
    </row>
    <row r="1800" spans="12:12" ht="21" customHeight="1">
      <c r="L1800" s="187"/>
    </row>
    <row r="1801" spans="12:12" ht="21" customHeight="1">
      <c r="L1801" s="187"/>
    </row>
    <row r="1802" spans="12:12" ht="21" customHeight="1">
      <c r="L1802" s="187"/>
    </row>
    <row r="1803" spans="12:12" ht="21" customHeight="1">
      <c r="L1803" s="187"/>
    </row>
    <row r="1804" spans="12:12" ht="21" customHeight="1">
      <c r="L1804" s="187"/>
    </row>
    <row r="1805" spans="12:12" ht="21" customHeight="1">
      <c r="L1805" s="187"/>
    </row>
    <row r="1806" spans="12:12" ht="21" customHeight="1">
      <c r="L1806" s="187"/>
    </row>
    <row r="1807" spans="12:12" ht="21" customHeight="1">
      <c r="L1807" s="187"/>
    </row>
    <row r="1808" spans="12:12" ht="21" customHeight="1">
      <c r="L1808" s="187"/>
    </row>
    <row r="1809" spans="12:12" ht="21" customHeight="1">
      <c r="L1809" s="187"/>
    </row>
    <row r="1810" spans="12:12" ht="21" customHeight="1">
      <c r="L1810" s="187"/>
    </row>
    <row r="1811" spans="12:12" ht="21" customHeight="1">
      <c r="L1811" s="187"/>
    </row>
    <row r="1812" spans="12:12" ht="21" customHeight="1">
      <c r="L1812" s="187"/>
    </row>
    <row r="1813" spans="12:12" ht="21" customHeight="1">
      <c r="L1813" s="187"/>
    </row>
    <row r="1814" spans="12:12" ht="21" customHeight="1">
      <c r="L1814" s="187"/>
    </row>
    <row r="1815" spans="12:12" ht="21" customHeight="1">
      <c r="L1815" s="187"/>
    </row>
    <row r="1816" spans="12:12" ht="21" customHeight="1">
      <c r="L1816" s="187"/>
    </row>
    <row r="1817" spans="12:12" ht="21" customHeight="1">
      <c r="L1817" s="187"/>
    </row>
    <row r="1818" spans="12:12" ht="21" customHeight="1">
      <c r="L1818" s="187"/>
    </row>
    <row r="1819" spans="12:12" ht="21" customHeight="1">
      <c r="L1819" s="187"/>
    </row>
    <row r="1820" spans="12:12" ht="21" customHeight="1">
      <c r="L1820" s="187"/>
    </row>
    <row r="1821" spans="12:12" ht="21" customHeight="1">
      <c r="L1821" s="187"/>
    </row>
    <row r="1822" spans="12:12" ht="21" customHeight="1">
      <c r="L1822" s="187"/>
    </row>
    <row r="1823" spans="12:12" ht="21" customHeight="1">
      <c r="L1823" s="187"/>
    </row>
    <row r="1824" spans="12:12" ht="21" customHeight="1">
      <c r="L1824" s="187"/>
    </row>
    <row r="1825" spans="12:12" ht="21" customHeight="1">
      <c r="L1825" s="187"/>
    </row>
    <row r="1826" spans="12:12" ht="21" customHeight="1">
      <c r="L1826" s="187"/>
    </row>
    <row r="1827" spans="12:12" ht="21" customHeight="1">
      <c r="L1827" s="187"/>
    </row>
    <row r="1828" spans="12:12" ht="21" customHeight="1">
      <c r="L1828" s="187"/>
    </row>
    <row r="1829" spans="12:12" ht="21" customHeight="1">
      <c r="L1829" s="187"/>
    </row>
    <row r="1830" spans="12:12" ht="21" customHeight="1">
      <c r="L1830" s="187"/>
    </row>
    <row r="1831" spans="12:12" ht="21" customHeight="1">
      <c r="L1831" s="187"/>
    </row>
    <row r="1832" spans="12:12" ht="21" customHeight="1">
      <c r="L1832" s="187"/>
    </row>
    <row r="1833" spans="12:12" ht="21" customHeight="1">
      <c r="L1833" s="187"/>
    </row>
    <row r="1834" spans="12:12" ht="21" customHeight="1">
      <c r="L1834" s="187"/>
    </row>
    <row r="1835" spans="12:12" ht="21" customHeight="1">
      <c r="L1835" s="187"/>
    </row>
    <row r="1836" spans="12:12" ht="21" customHeight="1">
      <c r="L1836" s="187"/>
    </row>
    <row r="1837" spans="12:12" ht="21" customHeight="1">
      <c r="L1837" s="187"/>
    </row>
    <row r="1838" spans="12:12" ht="21" customHeight="1">
      <c r="L1838" s="187"/>
    </row>
    <row r="1839" spans="12:12" ht="21" customHeight="1">
      <c r="L1839" s="187"/>
    </row>
    <row r="1840" spans="12:12" ht="21" customHeight="1">
      <c r="L1840" s="187"/>
    </row>
    <row r="1841" spans="12:12" ht="21" customHeight="1">
      <c r="L1841" s="187"/>
    </row>
    <row r="1842" spans="12:12" ht="21" customHeight="1">
      <c r="L1842" s="187"/>
    </row>
    <row r="1843" spans="12:12" ht="21" customHeight="1">
      <c r="L1843" s="187"/>
    </row>
    <row r="1844" spans="12:12" ht="21" customHeight="1">
      <c r="L1844" s="187"/>
    </row>
    <row r="1845" spans="12:12" ht="21" customHeight="1">
      <c r="L1845" s="187"/>
    </row>
    <row r="1846" spans="12:12" ht="21" customHeight="1">
      <c r="L1846" s="187"/>
    </row>
    <row r="1847" spans="12:12" ht="21" customHeight="1">
      <c r="L1847" s="187"/>
    </row>
    <row r="1848" spans="12:12" ht="21" customHeight="1">
      <c r="L1848" s="187"/>
    </row>
    <row r="1849" spans="12:12" ht="21" customHeight="1">
      <c r="L1849" s="187"/>
    </row>
    <row r="1850" spans="12:12" ht="21" customHeight="1">
      <c r="L1850" s="187"/>
    </row>
    <row r="1851" spans="12:12" ht="21" customHeight="1">
      <c r="L1851" s="187"/>
    </row>
    <row r="1852" spans="12:12" ht="21" customHeight="1">
      <c r="L1852" s="187"/>
    </row>
    <row r="1853" spans="12:12" ht="21" customHeight="1">
      <c r="L1853" s="187"/>
    </row>
    <row r="1854" spans="12:12" ht="21" customHeight="1">
      <c r="L1854" s="187"/>
    </row>
    <row r="1855" spans="12:12" ht="21" customHeight="1">
      <c r="L1855" s="187"/>
    </row>
    <row r="1856" spans="12:12" ht="21" customHeight="1">
      <c r="L1856" s="187"/>
    </row>
    <row r="1857" spans="12:12" ht="21" customHeight="1">
      <c r="L1857" s="187"/>
    </row>
    <row r="1858" spans="12:12" ht="21" customHeight="1">
      <c r="L1858" s="187"/>
    </row>
    <row r="1859" spans="12:12" ht="21" customHeight="1">
      <c r="L1859" s="187"/>
    </row>
    <row r="1860" spans="12:12" ht="21" customHeight="1">
      <c r="L1860" s="187"/>
    </row>
    <row r="1861" spans="12:12" ht="21" customHeight="1">
      <c r="L1861" s="187"/>
    </row>
    <row r="1862" spans="12:12" ht="21" customHeight="1">
      <c r="L1862" s="187"/>
    </row>
    <row r="1863" spans="12:12" ht="21" customHeight="1">
      <c r="L1863" s="187"/>
    </row>
    <row r="1864" spans="12:12" ht="21" customHeight="1">
      <c r="L1864" s="187"/>
    </row>
    <row r="1865" spans="12:12" ht="21" customHeight="1">
      <c r="L1865" s="187"/>
    </row>
    <row r="1866" spans="12:12" ht="21" customHeight="1">
      <c r="L1866" s="187"/>
    </row>
    <row r="1867" spans="12:12" ht="21" customHeight="1">
      <c r="L1867" s="187"/>
    </row>
    <row r="1868" spans="12:12" ht="21" customHeight="1">
      <c r="L1868" s="187"/>
    </row>
    <row r="1869" spans="12:12" ht="21" customHeight="1">
      <c r="L1869" s="187"/>
    </row>
    <row r="1870" spans="12:12" ht="21" customHeight="1">
      <c r="L1870" s="187"/>
    </row>
    <row r="1871" spans="12:12" ht="21" customHeight="1">
      <c r="L1871" s="187"/>
    </row>
    <row r="1872" spans="12:12" ht="21" customHeight="1">
      <c r="L1872" s="187"/>
    </row>
    <row r="1873" spans="12:12" ht="21" customHeight="1">
      <c r="L1873" s="187"/>
    </row>
    <row r="1874" spans="12:12" ht="21" customHeight="1">
      <c r="L1874" s="187"/>
    </row>
    <row r="1875" spans="12:12" ht="21" customHeight="1">
      <c r="L1875" s="187"/>
    </row>
    <row r="1876" spans="12:12" ht="21" customHeight="1">
      <c r="L1876" s="187"/>
    </row>
    <row r="1877" spans="12:12" ht="21" customHeight="1">
      <c r="L1877" s="187"/>
    </row>
    <row r="1878" spans="12:12" ht="21" customHeight="1">
      <c r="L1878" s="187"/>
    </row>
    <row r="1879" spans="12:12" ht="21" customHeight="1">
      <c r="L1879" s="187"/>
    </row>
    <row r="1880" spans="12:12" ht="21" customHeight="1">
      <c r="L1880" s="187"/>
    </row>
    <row r="1881" spans="12:12" ht="21" customHeight="1">
      <c r="L1881" s="187"/>
    </row>
    <row r="1882" spans="12:12" ht="21" customHeight="1">
      <c r="L1882" s="187"/>
    </row>
    <row r="1883" spans="12:12" ht="21" customHeight="1">
      <c r="L1883" s="187"/>
    </row>
    <row r="1884" spans="12:12" ht="21" customHeight="1">
      <c r="L1884" s="187"/>
    </row>
    <row r="1885" spans="12:12" ht="21" customHeight="1">
      <c r="L1885" s="187"/>
    </row>
    <row r="1886" spans="12:12" ht="21" customHeight="1">
      <c r="L1886" s="187"/>
    </row>
    <row r="1887" spans="12:12" ht="21" customHeight="1">
      <c r="L1887" s="187"/>
    </row>
    <row r="1888" spans="12:12" ht="21" customHeight="1">
      <c r="L1888" s="187"/>
    </row>
    <row r="1889" spans="12:12" ht="21" customHeight="1">
      <c r="L1889" s="187"/>
    </row>
    <row r="1890" spans="12:12" ht="21" customHeight="1">
      <c r="L1890" s="187"/>
    </row>
    <row r="1891" spans="12:12" ht="21" customHeight="1">
      <c r="L1891" s="187"/>
    </row>
    <row r="1892" spans="12:12" ht="21" customHeight="1">
      <c r="L1892" s="187"/>
    </row>
    <row r="1893" spans="12:12" ht="21" customHeight="1">
      <c r="L1893" s="187"/>
    </row>
    <row r="1894" spans="12:12" ht="21" customHeight="1">
      <c r="L1894" s="187"/>
    </row>
    <row r="1895" spans="12:12" ht="21" customHeight="1">
      <c r="L1895" s="187"/>
    </row>
    <row r="1896" spans="12:12" ht="21" customHeight="1">
      <c r="L1896" s="187"/>
    </row>
    <row r="1897" spans="12:12" ht="21" customHeight="1">
      <c r="L1897" s="187"/>
    </row>
    <row r="1898" spans="12:12" ht="21" customHeight="1">
      <c r="L1898" s="187"/>
    </row>
    <row r="1899" spans="12:12" ht="21" customHeight="1">
      <c r="L1899" s="187"/>
    </row>
    <row r="1900" spans="12:12" ht="21" customHeight="1">
      <c r="L1900" s="187"/>
    </row>
    <row r="1901" spans="12:12" ht="21" customHeight="1">
      <c r="L1901" s="187"/>
    </row>
    <row r="1902" spans="12:12" ht="21" customHeight="1">
      <c r="L1902" s="187"/>
    </row>
    <row r="1903" spans="12:12" ht="21" customHeight="1">
      <c r="L1903" s="187"/>
    </row>
    <row r="1904" spans="12:12" ht="21" customHeight="1">
      <c r="L1904" s="187"/>
    </row>
    <row r="1905" spans="12:12" ht="21" customHeight="1">
      <c r="L1905" s="187"/>
    </row>
    <row r="1906" spans="12:12" ht="21" customHeight="1">
      <c r="L1906" s="187"/>
    </row>
    <row r="1907" spans="12:12" ht="21" customHeight="1">
      <c r="L1907" s="187"/>
    </row>
    <row r="1908" spans="12:12" ht="21" customHeight="1">
      <c r="L1908" s="187"/>
    </row>
    <row r="1909" spans="12:12" ht="21" customHeight="1">
      <c r="L1909" s="187"/>
    </row>
    <row r="1910" spans="12:12" ht="21" customHeight="1">
      <c r="L1910" s="187"/>
    </row>
    <row r="1911" spans="12:12" ht="21" customHeight="1">
      <c r="L1911" s="187"/>
    </row>
    <row r="1912" spans="12:12" ht="21" customHeight="1">
      <c r="L1912" s="187"/>
    </row>
    <row r="1913" spans="12:12" ht="21" customHeight="1">
      <c r="L1913" s="187"/>
    </row>
    <row r="1914" spans="12:12" ht="21" customHeight="1">
      <c r="L1914" s="187"/>
    </row>
    <row r="1915" spans="12:12" ht="21" customHeight="1">
      <c r="L1915" s="187"/>
    </row>
    <row r="1916" spans="12:12" ht="21" customHeight="1">
      <c r="L1916" s="187"/>
    </row>
    <row r="1917" spans="12:12" ht="21" customHeight="1">
      <c r="L1917" s="187"/>
    </row>
    <row r="1918" spans="12:12" ht="21" customHeight="1">
      <c r="L1918" s="187"/>
    </row>
    <row r="1919" spans="12:12" ht="21" customHeight="1">
      <c r="L1919" s="187"/>
    </row>
    <row r="1920" spans="12:12" ht="21" customHeight="1">
      <c r="L1920" s="187"/>
    </row>
    <row r="1921" spans="12:12" ht="21" customHeight="1">
      <c r="L1921" s="187"/>
    </row>
    <row r="1922" spans="12:12" ht="21" customHeight="1">
      <c r="L1922" s="187"/>
    </row>
    <row r="1923" spans="12:12" ht="21" customHeight="1">
      <c r="L1923" s="187"/>
    </row>
    <row r="1924" spans="12:12" ht="21" customHeight="1">
      <c r="L1924" s="187"/>
    </row>
    <row r="1925" spans="12:12" ht="21" customHeight="1">
      <c r="L1925" s="187"/>
    </row>
    <row r="1926" spans="12:12" ht="21" customHeight="1">
      <c r="L1926" s="187"/>
    </row>
    <row r="1927" spans="12:12" ht="21" customHeight="1">
      <c r="L1927" s="187"/>
    </row>
    <row r="1928" spans="12:12" ht="21" customHeight="1">
      <c r="L1928" s="187"/>
    </row>
    <row r="1929" spans="12:12" ht="21" customHeight="1">
      <c r="L1929" s="187"/>
    </row>
    <row r="1930" spans="12:12" ht="21" customHeight="1">
      <c r="L1930" s="187"/>
    </row>
    <row r="1931" spans="12:12" ht="21" customHeight="1">
      <c r="L1931" s="187"/>
    </row>
    <row r="1932" spans="12:12" ht="21" customHeight="1">
      <c r="L1932" s="187"/>
    </row>
    <row r="1933" spans="12:12" ht="21" customHeight="1">
      <c r="L1933" s="187"/>
    </row>
    <row r="1934" spans="12:12" ht="21" customHeight="1">
      <c r="L1934" s="187"/>
    </row>
    <row r="1935" spans="12:12" ht="21" customHeight="1">
      <c r="L1935" s="187"/>
    </row>
    <row r="1936" spans="12:12" ht="21" customHeight="1">
      <c r="L1936" s="187"/>
    </row>
    <row r="1937" spans="12:12" ht="21" customHeight="1">
      <c r="L1937" s="187"/>
    </row>
    <row r="1938" spans="12:12" ht="21" customHeight="1">
      <c r="L1938" s="187"/>
    </row>
    <row r="1939" spans="12:12" ht="21" customHeight="1">
      <c r="L1939" s="187"/>
    </row>
    <row r="1940" spans="12:12" ht="21" customHeight="1">
      <c r="L1940" s="187"/>
    </row>
    <row r="1941" spans="12:12" ht="21" customHeight="1">
      <c r="L1941" s="187"/>
    </row>
    <row r="1942" spans="12:12" ht="21" customHeight="1">
      <c r="L1942" s="187"/>
    </row>
    <row r="1943" spans="12:12" ht="21" customHeight="1">
      <c r="L1943" s="187"/>
    </row>
    <row r="1944" spans="12:12" ht="21" customHeight="1">
      <c r="L1944" s="187"/>
    </row>
    <row r="1945" spans="12:12" ht="21" customHeight="1">
      <c r="L1945" s="187"/>
    </row>
    <row r="1946" spans="12:12" ht="21" customHeight="1">
      <c r="L1946" s="187"/>
    </row>
    <row r="1947" spans="12:12" ht="21" customHeight="1">
      <c r="L1947" s="187"/>
    </row>
    <row r="1948" spans="12:12" ht="21" customHeight="1">
      <c r="L1948" s="187"/>
    </row>
    <row r="1949" spans="12:12" ht="21" customHeight="1">
      <c r="L1949" s="187"/>
    </row>
    <row r="1950" spans="12:12" ht="21" customHeight="1">
      <c r="L1950" s="187"/>
    </row>
    <row r="1951" spans="12:12" ht="21" customHeight="1">
      <c r="L1951" s="187"/>
    </row>
    <row r="1952" spans="12:12" ht="21" customHeight="1">
      <c r="L1952" s="187"/>
    </row>
    <row r="1953" spans="12:12" ht="21" customHeight="1">
      <c r="L1953" s="187"/>
    </row>
    <row r="1954" spans="12:12" ht="21" customHeight="1">
      <c r="L1954" s="187"/>
    </row>
    <row r="1955" spans="12:12" ht="21" customHeight="1">
      <c r="L1955" s="187"/>
    </row>
    <row r="1956" spans="12:12" ht="21" customHeight="1">
      <c r="L1956" s="187"/>
    </row>
    <row r="1957" spans="12:12" ht="21" customHeight="1">
      <c r="L1957" s="187"/>
    </row>
    <row r="1958" spans="12:12" ht="21" customHeight="1">
      <c r="L1958" s="187"/>
    </row>
    <row r="1959" spans="12:12" ht="21" customHeight="1">
      <c r="L1959" s="187"/>
    </row>
    <row r="1960" spans="12:12" ht="21" customHeight="1">
      <c r="L1960" s="187"/>
    </row>
    <row r="1961" spans="12:12" ht="21" customHeight="1">
      <c r="L1961" s="187"/>
    </row>
    <row r="1962" spans="12:12" ht="21" customHeight="1">
      <c r="L1962" s="187"/>
    </row>
    <row r="1963" spans="12:12" ht="21" customHeight="1">
      <c r="L1963" s="187"/>
    </row>
    <row r="1964" spans="12:12" ht="21" customHeight="1">
      <c r="L1964" s="187"/>
    </row>
    <row r="1965" spans="12:12" ht="21" customHeight="1">
      <c r="L1965" s="187"/>
    </row>
    <row r="1966" spans="12:12" ht="21" customHeight="1">
      <c r="L1966" s="187"/>
    </row>
    <row r="1967" spans="12:12" ht="21" customHeight="1">
      <c r="L1967" s="187"/>
    </row>
    <row r="1968" spans="12:12" ht="21" customHeight="1">
      <c r="L1968" s="187"/>
    </row>
    <row r="1969" spans="12:12" ht="21" customHeight="1">
      <c r="L1969" s="187"/>
    </row>
    <row r="1970" spans="12:12" ht="21" customHeight="1">
      <c r="L1970" s="187"/>
    </row>
    <row r="1971" spans="12:12" ht="21" customHeight="1">
      <c r="L1971" s="187"/>
    </row>
    <row r="1972" spans="12:12" ht="21" customHeight="1">
      <c r="L1972" s="187"/>
    </row>
    <row r="1973" spans="12:12" ht="21" customHeight="1">
      <c r="L1973" s="187"/>
    </row>
    <row r="1974" spans="12:12" ht="21" customHeight="1">
      <c r="L1974" s="187"/>
    </row>
    <row r="1975" spans="12:12" ht="21" customHeight="1">
      <c r="L1975" s="187"/>
    </row>
    <row r="1976" spans="12:12" ht="21" customHeight="1">
      <c r="L1976" s="187"/>
    </row>
    <row r="1977" spans="12:12" ht="21" customHeight="1">
      <c r="L1977" s="187"/>
    </row>
    <row r="1978" spans="12:12" ht="21" customHeight="1">
      <c r="L1978" s="187"/>
    </row>
    <row r="1979" spans="12:12" ht="21" customHeight="1">
      <c r="L1979" s="187"/>
    </row>
    <row r="1980" spans="12:12" ht="21" customHeight="1">
      <c r="L1980" s="187"/>
    </row>
    <row r="1981" spans="12:12" ht="21" customHeight="1">
      <c r="L1981" s="187"/>
    </row>
    <row r="1982" spans="12:12" ht="21" customHeight="1">
      <c r="L1982" s="187"/>
    </row>
    <row r="1983" spans="12:12" ht="21" customHeight="1">
      <c r="L1983" s="187"/>
    </row>
    <row r="1984" spans="12:12" ht="21" customHeight="1">
      <c r="L1984" s="187"/>
    </row>
    <row r="1985" spans="12:12" ht="21" customHeight="1">
      <c r="L1985" s="187"/>
    </row>
    <row r="1986" spans="12:12" ht="21" customHeight="1">
      <c r="L1986" s="187"/>
    </row>
    <row r="1987" spans="12:12" ht="21" customHeight="1">
      <c r="L1987" s="187"/>
    </row>
    <row r="1988" spans="12:12" ht="21" customHeight="1">
      <c r="L1988" s="187"/>
    </row>
    <row r="1989" spans="12:12" ht="21" customHeight="1">
      <c r="L1989" s="187"/>
    </row>
    <row r="1990" spans="12:12" ht="21" customHeight="1">
      <c r="L1990" s="187"/>
    </row>
    <row r="1991" spans="12:12" ht="21" customHeight="1">
      <c r="L1991" s="187"/>
    </row>
    <row r="1992" spans="12:12" ht="21" customHeight="1">
      <c r="L1992" s="187"/>
    </row>
    <row r="1993" spans="12:12" ht="21" customHeight="1">
      <c r="L1993" s="187"/>
    </row>
    <row r="1994" spans="12:12" ht="21" customHeight="1">
      <c r="L1994" s="187"/>
    </row>
    <row r="1995" spans="12:12" ht="21" customHeight="1">
      <c r="L1995" s="187"/>
    </row>
    <row r="1996" spans="12:12" ht="21" customHeight="1">
      <c r="L1996" s="187"/>
    </row>
    <row r="1997" spans="12:12" ht="21" customHeight="1">
      <c r="L1997" s="187"/>
    </row>
    <row r="1998" spans="12:12" ht="21" customHeight="1">
      <c r="L1998" s="187"/>
    </row>
    <row r="1999" spans="12:12" ht="21" customHeight="1">
      <c r="L1999" s="187"/>
    </row>
    <row r="2000" spans="12:12" ht="21" customHeight="1">
      <c r="L2000" s="187"/>
    </row>
    <row r="2001" spans="12:12" ht="21" customHeight="1">
      <c r="L2001" s="187"/>
    </row>
    <row r="2002" spans="12:12" ht="21" customHeight="1">
      <c r="L2002" s="187"/>
    </row>
    <row r="2003" spans="12:12" ht="21" customHeight="1">
      <c r="L2003" s="187"/>
    </row>
    <row r="2004" spans="12:12" ht="21" customHeight="1">
      <c r="L2004" s="187"/>
    </row>
    <row r="2005" spans="12:12" ht="21" customHeight="1">
      <c r="L2005" s="187"/>
    </row>
    <row r="2006" spans="12:12" ht="21" customHeight="1">
      <c r="L2006" s="187"/>
    </row>
    <row r="2007" spans="12:12" ht="21" customHeight="1">
      <c r="L2007" s="187"/>
    </row>
    <row r="2008" spans="12:12" ht="21" customHeight="1">
      <c r="L2008" s="187"/>
    </row>
    <row r="2009" spans="12:12" ht="21" customHeight="1">
      <c r="L2009" s="187"/>
    </row>
    <row r="2010" spans="12:12" ht="21" customHeight="1">
      <c r="L2010" s="187"/>
    </row>
    <row r="2011" spans="12:12" ht="21" customHeight="1">
      <c r="L2011" s="187"/>
    </row>
    <row r="2012" spans="12:12" ht="21" customHeight="1">
      <c r="L2012" s="187"/>
    </row>
    <row r="2013" spans="12:12" ht="21" customHeight="1">
      <c r="L2013" s="187"/>
    </row>
    <row r="2014" spans="12:12" ht="21" customHeight="1">
      <c r="L2014" s="187"/>
    </row>
    <row r="2015" spans="12:12" ht="21" customHeight="1">
      <c r="L2015" s="187"/>
    </row>
    <row r="2016" spans="12:12" ht="21" customHeight="1">
      <c r="L2016" s="187"/>
    </row>
    <row r="2017" spans="12:12" ht="21" customHeight="1">
      <c r="L2017" s="187"/>
    </row>
    <row r="2018" spans="12:12" ht="21" customHeight="1">
      <c r="L2018" s="187"/>
    </row>
    <row r="2019" spans="12:12" ht="21" customHeight="1">
      <c r="L2019" s="187"/>
    </row>
    <row r="2020" spans="12:12" ht="21" customHeight="1">
      <c r="L2020" s="187"/>
    </row>
    <row r="2021" spans="12:12" ht="21" customHeight="1">
      <c r="L2021" s="187"/>
    </row>
    <row r="2022" spans="12:12" ht="21" customHeight="1">
      <c r="L2022" s="187"/>
    </row>
    <row r="2023" spans="12:12" ht="21" customHeight="1">
      <c r="L2023" s="187"/>
    </row>
    <row r="2024" spans="12:12" ht="21" customHeight="1">
      <c r="L2024" s="187"/>
    </row>
    <row r="2025" spans="12:12" ht="21" customHeight="1">
      <c r="L2025" s="187"/>
    </row>
    <row r="2026" spans="12:12" ht="21" customHeight="1">
      <c r="L2026" s="187"/>
    </row>
    <row r="2027" spans="12:12" ht="21" customHeight="1">
      <c r="L2027" s="187"/>
    </row>
    <row r="2028" spans="12:12" ht="21" customHeight="1">
      <c r="L2028" s="187"/>
    </row>
    <row r="2029" spans="12:12" ht="21" customHeight="1">
      <c r="L2029" s="187"/>
    </row>
    <row r="2030" spans="12:12" ht="21" customHeight="1">
      <c r="L2030" s="187"/>
    </row>
    <row r="2031" spans="12:12" ht="21" customHeight="1">
      <c r="L2031" s="187"/>
    </row>
    <row r="2032" spans="12:12" ht="21" customHeight="1">
      <c r="L2032" s="187"/>
    </row>
    <row r="2033" spans="12:12" ht="21" customHeight="1">
      <c r="L2033" s="187"/>
    </row>
    <row r="2034" spans="12:12" ht="21" customHeight="1">
      <c r="L2034" s="187"/>
    </row>
    <row r="2035" spans="12:12" ht="21" customHeight="1">
      <c r="L2035" s="187"/>
    </row>
    <row r="2036" spans="12:12" ht="21" customHeight="1">
      <c r="L2036" s="187"/>
    </row>
    <row r="2037" spans="12:12" ht="21" customHeight="1">
      <c r="L2037" s="187"/>
    </row>
    <row r="2038" spans="12:12" ht="21" customHeight="1">
      <c r="L2038" s="187"/>
    </row>
    <row r="2039" spans="12:12" ht="21" customHeight="1">
      <c r="L2039" s="187"/>
    </row>
    <row r="2040" spans="12:12" ht="21" customHeight="1">
      <c r="L2040" s="187"/>
    </row>
    <row r="2041" spans="12:12" ht="21" customHeight="1">
      <c r="L2041" s="187"/>
    </row>
    <row r="2042" spans="12:12" ht="21" customHeight="1">
      <c r="L2042" s="187"/>
    </row>
    <row r="2043" spans="12:12" ht="21" customHeight="1">
      <c r="L2043" s="187"/>
    </row>
    <row r="2044" spans="12:12" ht="21" customHeight="1">
      <c r="L2044" s="187"/>
    </row>
    <row r="2045" spans="12:12" ht="21" customHeight="1">
      <c r="L2045" s="187"/>
    </row>
    <row r="2046" spans="12:12" ht="21" customHeight="1">
      <c r="L2046" s="187"/>
    </row>
    <row r="2047" spans="12:12" ht="21" customHeight="1">
      <c r="L2047" s="187"/>
    </row>
    <row r="2048" spans="12:12" ht="21" customHeight="1">
      <c r="L2048" s="187"/>
    </row>
    <row r="2049" spans="12:12" ht="21" customHeight="1">
      <c r="L2049" s="187"/>
    </row>
    <row r="2050" spans="12:12" ht="21" customHeight="1">
      <c r="L2050" s="187"/>
    </row>
    <row r="2051" spans="12:12" ht="21" customHeight="1">
      <c r="L2051" s="187"/>
    </row>
    <row r="2052" spans="12:12" ht="21" customHeight="1">
      <c r="L2052" s="187"/>
    </row>
    <row r="2053" spans="12:12" ht="21" customHeight="1">
      <c r="L2053" s="187"/>
    </row>
    <row r="2054" spans="12:12" ht="21" customHeight="1">
      <c r="L2054" s="187"/>
    </row>
    <row r="2055" spans="12:12" ht="21" customHeight="1">
      <c r="L2055" s="187"/>
    </row>
    <row r="2056" spans="12:12" ht="21" customHeight="1">
      <c r="L2056" s="187"/>
    </row>
    <row r="2057" spans="12:12" ht="21" customHeight="1">
      <c r="L2057" s="187"/>
    </row>
    <row r="2058" spans="12:12" ht="21" customHeight="1">
      <c r="L2058" s="187"/>
    </row>
    <row r="2059" spans="12:12" ht="21" customHeight="1">
      <c r="L2059" s="187"/>
    </row>
    <row r="2060" spans="12:12" ht="21" customHeight="1">
      <c r="L2060" s="187"/>
    </row>
    <row r="2061" spans="12:12" ht="21" customHeight="1">
      <c r="L2061" s="187"/>
    </row>
    <row r="2062" spans="12:12" ht="21" customHeight="1">
      <c r="L2062" s="187"/>
    </row>
    <row r="2063" spans="12:12" ht="21" customHeight="1">
      <c r="L2063" s="187"/>
    </row>
    <row r="2064" spans="12:12" ht="21" customHeight="1">
      <c r="L2064" s="187"/>
    </row>
    <row r="2065" spans="12:12" ht="21" customHeight="1">
      <c r="L2065" s="187"/>
    </row>
    <row r="2066" spans="12:12" ht="21" customHeight="1">
      <c r="L2066" s="187"/>
    </row>
    <row r="2067" spans="12:12" ht="21" customHeight="1">
      <c r="L2067" s="187"/>
    </row>
    <row r="2068" spans="12:12" ht="21" customHeight="1">
      <c r="L2068" s="187"/>
    </row>
    <row r="2069" spans="12:12" ht="21" customHeight="1">
      <c r="L2069" s="187"/>
    </row>
    <row r="2070" spans="12:12" ht="21" customHeight="1">
      <c r="L2070" s="187"/>
    </row>
    <row r="2071" spans="12:12" ht="21" customHeight="1">
      <c r="L2071" s="187"/>
    </row>
    <row r="2072" spans="12:12" ht="21" customHeight="1">
      <c r="L2072" s="187"/>
    </row>
    <row r="2073" spans="12:12" ht="21" customHeight="1">
      <c r="L2073" s="187"/>
    </row>
    <row r="2074" spans="12:12" ht="21" customHeight="1">
      <c r="L2074" s="187"/>
    </row>
    <row r="2075" spans="12:12" ht="21" customHeight="1">
      <c r="L2075" s="187"/>
    </row>
    <row r="2076" spans="12:12" ht="21" customHeight="1">
      <c r="L2076" s="187"/>
    </row>
    <row r="2077" spans="12:12" ht="21" customHeight="1">
      <c r="L2077" s="187"/>
    </row>
    <row r="2078" spans="12:12" ht="21" customHeight="1">
      <c r="L2078" s="187"/>
    </row>
    <row r="2079" spans="12:12" ht="21" customHeight="1">
      <c r="L2079" s="187"/>
    </row>
    <row r="2080" spans="12:12" ht="21" customHeight="1">
      <c r="L2080" s="187"/>
    </row>
    <row r="2081" spans="12:12" ht="21" customHeight="1">
      <c r="L2081" s="187"/>
    </row>
    <row r="2082" spans="12:12" ht="21" customHeight="1">
      <c r="L2082" s="187"/>
    </row>
    <row r="2083" spans="12:12" ht="21" customHeight="1">
      <c r="L2083" s="187"/>
    </row>
    <row r="2084" spans="12:12" ht="21" customHeight="1">
      <c r="L2084" s="187"/>
    </row>
    <row r="2085" spans="12:12" ht="21" customHeight="1">
      <c r="L2085" s="187"/>
    </row>
    <row r="2086" spans="12:12" ht="21" customHeight="1">
      <c r="L2086" s="187"/>
    </row>
    <row r="2087" spans="12:12" ht="21" customHeight="1">
      <c r="L2087" s="187"/>
    </row>
    <row r="2088" spans="12:12" ht="21" customHeight="1">
      <c r="L2088" s="187"/>
    </row>
    <row r="2089" spans="12:12" ht="21" customHeight="1">
      <c r="L2089" s="187"/>
    </row>
    <row r="2090" spans="12:12" ht="21" customHeight="1">
      <c r="L2090" s="187"/>
    </row>
    <row r="2091" spans="12:12" ht="21" customHeight="1">
      <c r="L2091" s="187"/>
    </row>
    <row r="2092" spans="12:12" ht="21" customHeight="1">
      <c r="L2092" s="187"/>
    </row>
    <row r="2093" spans="12:12" ht="21" customHeight="1">
      <c r="L2093" s="187"/>
    </row>
    <row r="2094" spans="12:12" ht="21" customHeight="1">
      <c r="L2094" s="187"/>
    </row>
    <row r="2095" spans="12:12" ht="21" customHeight="1">
      <c r="L2095" s="187"/>
    </row>
    <row r="2096" spans="12:12" ht="21" customHeight="1">
      <c r="L2096" s="187"/>
    </row>
    <row r="2097" spans="12:12" ht="21" customHeight="1">
      <c r="L2097" s="187"/>
    </row>
    <row r="2098" spans="12:12" ht="21" customHeight="1">
      <c r="L2098" s="187"/>
    </row>
    <row r="2099" spans="12:12" ht="21" customHeight="1">
      <c r="L2099" s="187"/>
    </row>
    <row r="2100" spans="12:12" ht="21" customHeight="1">
      <c r="L2100" s="187"/>
    </row>
    <row r="2101" spans="12:12" ht="21" customHeight="1">
      <c r="L2101" s="187"/>
    </row>
    <row r="2102" spans="12:12" ht="21" customHeight="1">
      <c r="L2102" s="187"/>
    </row>
    <row r="2103" spans="12:12" ht="21" customHeight="1">
      <c r="L2103" s="187"/>
    </row>
    <row r="2104" spans="12:12" ht="21" customHeight="1">
      <c r="L2104" s="187"/>
    </row>
    <row r="2105" spans="12:12" ht="21" customHeight="1">
      <c r="L2105" s="187"/>
    </row>
    <row r="2106" spans="12:12" ht="21" customHeight="1">
      <c r="L2106" s="187"/>
    </row>
    <row r="2107" spans="12:12" ht="21" customHeight="1">
      <c r="L2107" s="187"/>
    </row>
    <row r="2108" spans="12:12" ht="21" customHeight="1">
      <c r="L2108" s="187"/>
    </row>
    <row r="2109" spans="12:12" ht="21" customHeight="1">
      <c r="L2109" s="187"/>
    </row>
    <row r="2110" spans="12:12" ht="21" customHeight="1">
      <c r="L2110" s="187"/>
    </row>
    <row r="2111" spans="12:12" ht="21" customHeight="1">
      <c r="L2111" s="187"/>
    </row>
    <row r="2112" spans="12:12" ht="21" customHeight="1">
      <c r="L2112" s="187"/>
    </row>
    <row r="2113" spans="12:12" ht="21" customHeight="1">
      <c r="L2113" s="187"/>
    </row>
    <row r="2114" spans="12:12" ht="21" customHeight="1">
      <c r="L2114" s="187"/>
    </row>
    <row r="2115" spans="12:12" ht="21" customHeight="1">
      <c r="L2115" s="187"/>
    </row>
    <row r="2116" spans="12:12" ht="21" customHeight="1">
      <c r="L2116" s="187"/>
    </row>
    <row r="2117" spans="12:12" ht="21" customHeight="1">
      <c r="L2117" s="187"/>
    </row>
    <row r="2118" spans="12:12" ht="21" customHeight="1">
      <c r="L2118" s="187"/>
    </row>
    <row r="2119" spans="12:12" ht="21" customHeight="1">
      <c r="L2119" s="187"/>
    </row>
    <row r="2120" spans="12:12" ht="21" customHeight="1">
      <c r="L2120" s="187"/>
    </row>
    <row r="2121" spans="12:12" ht="21" customHeight="1">
      <c r="L2121" s="187"/>
    </row>
    <row r="2122" spans="12:12" ht="21" customHeight="1">
      <c r="L2122" s="187"/>
    </row>
    <row r="2123" spans="12:12" ht="21" customHeight="1">
      <c r="L2123" s="187"/>
    </row>
    <row r="2124" spans="12:12" ht="21" customHeight="1">
      <c r="L2124" s="187"/>
    </row>
    <row r="2125" spans="12:12" ht="21" customHeight="1">
      <c r="L2125" s="187"/>
    </row>
    <row r="2126" spans="12:12" ht="21" customHeight="1">
      <c r="L2126" s="187"/>
    </row>
    <row r="2127" spans="12:12" ht="21" customHeight="1">
      <c r="L2127" s="187"/>
    </row>
    <row r="2128" spans="12:12" ht="21" customHeight="1">
      <c r="L2128" s="187"/>
    </row>
    <row r="2129" spans="12:12" ht="21" customHeight="1">
      <c r="L2129" s="187"/>
    </row>
    <row r="2130" spans="12:12" ht="21" customHeight="1">
      <c r="L2130" s="187"/>
    </row>
    <row r="2131" spans="12:12" ht="21" customHeight="1">
      <c r="L2131" s="187"/>
    </row>
    <row r="2132" spans="12:12" ht="21" customHeight="1">
      <c r="L2132" s="187"/>
    </row>
    <row r="2133" spans="12:12" ht="21" customHeight="1">
      <c r="L2133" s="187"/>
    </row>
    <row r="2134" spans="12:12" ht="21" customHeight="1">
      <c r="L2134" s="187"/>
    </row>
    <row r="2135" spans="12:12" ht="21" customHeight="1">
      <c r="L2135" s="187"/>
    </row>
    <row r="2136" spans="12:12" ht="21" customHeight="1">
      <c r="L2136" s="187"/>
    </row>
    <row r="2137" spans="12:12" ht="21" customHeight="1">
      <c r="L2137" s="187"/>
    </row>
    <row r="2138" spans="12:12" ht="21" customHeight="1">
      <c r="L2138" s="187"/>
    </row>
    <row r="2139" spans="12:12" ht="21" customHeight="1">
      <c r="L2139" s="187"/>
    </row>
    <row r="2140" spans="12:12" ht="21" customHeight="1">
      <c r="L2140" s="187"/>
    </row>
    <row r="2141" spans="12:12" ht="21" customHeight="1">
      <c r="L2141" s="187"/>
    </row>
    <row r="2142" spans="12:12" ht="21" customHeight="1">
      <c r="L2142" s="187"/>
    </row>
    <row r="2143" spans="12:12" ht="21" customHeight="1">
      <c r="L2143" s="187"/>
    </row>
    <row r="2144" spans="12:12" ht="21" customHeight="1">
      <c r="L2144" s="187"/>
    </row>
    <row r="2145" spans="12:12" ht="21" customHeight="1">
      <c r="L2145" s="187"/>
    </row>
    <row r="2146" spans="12:12" ht="21" customHeight="1">
      <c r="L2146" s="187"/>
    </row>
    <row r="2147" spans="12:12" ht="21" customHeight="1">
      <c r="L2147" s="187"/>
    </row>
    <row r="2148" spans="12:12" ht="21" customHeight="1">
      <c r="L2148" s="187"/>
    </row>
    <row r="2149" spans="12:12" ht="21" customHeight="1">
      <c r="L2149" s="187"/>
    </row>
    <row r="2150" spans="12:12" ht="21" customHeight="1">
      <c r="L2150" s="187"/>
    </row>
    <row r="2151" spans="12:12" ht="21" customHeight="1">
      <c r="L2151" s="187"/>
    </row>
    <row r="2152" spans="12:12" ht="21" customHeight="1">
      <c r="L2152" s="187"/>
    </row>
    <row r="2153" spans="12:12" ht="21" customHeight="1">
      <c r="L2153" s="187"/>
    </row>
    <row r="2154" spans="12:12" ht="21" customHeight="1">
      <c r="L2154" s="187"/>
    </row>
    <row r="2155" spans="12:12" ht="21" customHeight="1">
      <c r="L2155" s="187"/>
    </row>
    <row r="2156" spans="12:12" ht="21" customHeight="1">
      <c r="L2156" s="187"/>
    </row>
    <row r="2157" spans="12:12" ht="21" customHeight="1">
      <c r="L2157" s="187"/>
    </row>
    <row r="2158" spans="12:12" ht="21" customHeight="1">
      <c r="L2158" s="187"/>
    </row>
    <row r="2159" spans="12:12" ht="21" customHeight="1">
      <c r="L2159" s="187"/>
    </row>
    <row r="2160" spans="12:12" ht="21" customHeight="1">
      <c r="L2160" s="187"/>
    </row>
    <row r="2161" spans="12:12" ht="21" customHeight="1">
      <c r="L2161" s="187"/>
    </row>
    <row r="2162" spans="12:12" ht="21" customHeight="1">
      <c r="L2162" s="187"/>
    </row>
    <row r="2163" spans="12:12" ht="21" customHeight="1">
      <c r="L2163" s="187"/>
    </row>
    <row r="2164" spans="12:12" ht="21" customHeight="1">
      <c r="L2164" s="187"/>
    </row>
    <row r="2165" spans="12:12" ht="21" customHeight="1">
      <c r="L2165" s="187"/>
    </row>
    <row r="2166" spans="12:12" ht="21" customHeight="1">
      <c r="L2166" s="187"/>
    </row>
    <row r="2167" spans="12:12" ht="21" customHeight="1">
      <c r="L2167" s="187"/>
    </row>
    <row r="2168" spans="12:12" ht="21" customHeight="1">
      <c r="L2168" s="187"/>
    </row>
    <row r="2169" spans="12:12" ht="21" customHeight="1">
      <c r="L2169" s="187"/>
    </row>
    <row r="2170" spans="12:12" ht="21" customHeight="1">
      <c r="L2170" s="187"/>
    </row>
    <row r="2171" spans="12:12" ht="21" customHeight="1">
      <c r="L2171" s="187"/>
    </row>
    <row r="2172" spans="12:12" ht="21" customHeight="1">
      <c r="L2172" s="187"/>
    </row>
    <row r="2173" spans="12:12" ht="21" customHeight="1">
      <c r="L2173" s="187"/>
    </row>
    <row r="2174" spans="12:12" ht="21" customHeight="1">
      <c r="L2174" s="187"/>
    </row>
    <row r="2175" spans="12:12" ht="21" customHeight="1">
      <c r="L2175" s="187"/>
    </row>
    <row r="2176" spans="12:12" ht="21" customHeight="1">
      <c r="L2176" s="187"/>
    </row>
    <row r="2177" spans="12:12" ht="21" customHeight="1">
      <c r="L2177" s="187"/>
    </row>
    <row r="2178" spans="12:12" ht="21" customHeight="1">
      <c r="L2178" s="187"/>
    </row>
    <row r="2179" spans="12:12" ht="21" customHeight="1">
      <c r="L2179" s="187"/>
    </row>
    <row r="2180" spans="12:12" ht="21" customHeight="1">
      <c r="L2180" s="187"/>
    </row>
    <row r="2181" spans="12:12" ht="21" customHeight="1">
      <c r="L2181" s="187"/>
    </row>
    <row r="2182" spans="12:12" ht="21" customHeight="1">
      <c r="L2182" s="187"/>
    </row>
    <row r="2183" spans="12:12" ht="21" customHeight="1">
      <c r="L2183" s="187"/>
    </row>
    <row r="2184" spans="12:12" ht="21" customHeight="1">
      <c r="L2184" s="187"/>
    </row>
    <row r="2185" spans="12:12" ht="21" customHeight="1">
      <c r="L2185" s="187"/>
    </row>
    <row r="2186" spans="12:12" ht="21" customHeight="1">
      <c r="L2186" s="187"/>
    </row>
    <row r="2187" spans="12:12" ht="21" customHeight="1">
      <c r="L2187" s="187"/>
    </row>
    <row r="2188" spans="12:12" ht="21" customHeight="1">
      <c r="L2188" s="187"/>
    </row>
    <row r="2189" spans="12:12" ht="21" customHeight="1">
      <c r="L2189" s="187"/>
    </row>
    <row r="2190" spans="12:12" ht="21" customHeight="1">
      <c r="L2190" s="187"/>
    </row>
    <row r="2191" spans="12:12" ht="21" customHeight="1">
      <c r="L2191" s="187"/>
    </row>
    <row r="2192" spans="12:12" ht="21" customHeight="1">
      <c r="L2192" s="187"/>
    </row>
    <row r="2193" spans="12:12" ht="21" customHeight="1">
      <c r="L2193" s="187"/>
    </row>
    <row r="2194" spans="12:12" ht="21" customHeight="1">
      <c r="L2194" s="187"/>
    </row>
    <row r="2195" spans="12:12" ht="21" customHeight="1">
      <c r="L2195" s="187"/>
    </row>
    <row r="2196" spans="12:12" ht="21" customHeight="1">
      <c r="L2196" s="187"/>
    </row>
    <row r="2197" spans="12:12" ht="21" customHeight="1">
      <c r="L2197" s="187"/>
    </row>
    <row r="2198" spans="12:12" ht="21" customHeight="1">
      <c r="L2198" s="187"/>
    </row>
    <row r="2199" spans="12:12" ht="21" customHeight="1">
      <c r="L2199" s="187"/>
    </row>
    <row r="2200" spans="12:12" ht="21" customHeight="1">
      <c r="L2200" s="187"/>
    </row>
    <row r="2201" spans="12:12" ht="21" customHeight="1">
      <c r="L2201" s="187"/>
    </row>
    <row r="2202" spans="12:12" ht="21" customHeight="1">
      <c r="L2202" s="187"/>
    </row>
    <row r="2203" spans="12:12" ht="21" customHeight="1">
      <c r="L2203" s="187"/>
    </row>
    <row r="2204" spans="12:12" ht="21" customHeight="1">
      <c r="L2204" s="187"/>
    </row>
    <row r="2205" spans="12:12" ht="21" customHeight="1">
      <c r="L2205" s="187"/>
    </row>
    <row r="2206" spans="12:12" ht="21" customHeight="1">
      <c r="L2206" s="187"/>
    </row>
    <row r="2207" spans="12:12" ht="21" customHeight="1">
      <c r="L2207" s="187"/>
    </row>
    <row r="2208" spans="12:12" ht="21" customHeight="1">
      <c r="L2208" s="187"/>
    </row>
    <row r="2209" spans="12:12" ht="21" customHeight="1">
      <c r="L2209" s="187"/>
    </row>
    <row r="2210" spans="12:12" ht="21" customHeight="1">
      <c r="L2210" s="187"/>
    </row>
    <row r="2211" spans="12:12" ht="21" customHeight="1">
      <c r="L2211" s="187"/>
    </row>
    <row r="2212" spans="12:12" ht="21" customHeight="1">
      <c r="L2212" s="187"/>
    </row>
    <row r="2213" spans="12:12" ht="21" customHeight="1">
      <c r="L2213" s="187"/>
    </row>
    <row r="2214" spans="12:12" ht="21" customHeight="1">
      <c r="L2214" s="187"/>
    </row>
    <row r="2215" spans="12:12" ht="21" customHeight="1">
      <c r="L2215" s="187"/>
    </row>
    <row r="2216" spans="12:12" ht="21" customHeight="1">
      <c r="L2216" s="187"/>
    </row>
    <row r="2217" spans="12:12" ht="21" customHeight="1">
      <c r="L2217" s="187"/>
    </row>
    <row r="2218" spans="12:12" ht="21" customHeight="1">
      <c r="L2218" s="187"/>
    </row>
    <row r="2219" spans="12:12" ht="21" customHeight="1">
      <c r="L2219" s="187"/>
    </row>
    <row r="2220" spans="12:12" ht="21" customHeight="1">
      <c r="L2220" s="187"/>
    </row>
    <row r="2221" spans="12:12" ht="21" customHeight="1">
      <c r="L2221" s="187"/>
    </row>
    <row r="2222" spans="12:12" ht="21" customHeight="1">
      <c r="L2222" s="187"/>
    </row>
    <row r="2223" spans="12:12" ht="21" customHeight="1">
      <c r="L2223" s="187"/>
    </row>
    <row r="2224" spans="12:12" ht="21" customHeight="1">
      <c r="L2224" s="187"/>
    </row>
    <row r="2225" spans="12:12" ht="21" customHeight="1">
      <c r="L2225" s="187"/>
    </row>
    <row r="2226" spans="12:12" ht="21" customHeight="1">
      <c r="L2226" s="187"/>
    </row>
    <row r="2227" spans="12:12" ht="21" customHeight="1">
      <c r="L2227" s="187"/>
    </row>
    <row r="2228" spans="12:12" ht="21" customHeight="1">
      <c r="L2228" s="187"/>
    </row>
    <row r="2229" spans="12:12" ht="21" customHeight="1">
      <c r="L2229" s="187"/>
    </row>
    <row r="2230" spans="12:12" ht="21" customHeight="1">
      <c r="L2230" s="187"/>
    </row>
    <row r="2231" spans="12:12" ht="21" customHeight="1">
      <c r="L2231" s="187"/>
    </row>
    <row r="2232" spans="12:12" ht="21" customHeight="1">
      <c r="L2232" s="187"/>
    </row>
    <row r="2233" spans="12:12" ht="21" customHeight="1">
      <c r="L2233" s="187"/>
    </row>
    <row r="2234" spans="12:12" ht="21" customHeight="1">
      <c r="L2234" s="187"/>
    </row>
    <row r="2235" spans="12:12" ht="21" customHeight="1">
      <c r="L2235" s="187"/>
    </row>
    <row r="2236" spans="12:12" ht="21" customHeight="1">
      <c r="L2236" s="187"/>
    </row>
    <row r="2237" spans="12:12" ht="21" customHeight="1">
      <c r="L2237" s="187"/>
    </row>
    <row r="2238" spans="12:12" ht="21" customHeight="1">
      <c r="L2238" s="187"/>
    </row>
    <row r="2239" spans="12:12" ht="21" customHeight="1">
      <c r="L2239" s="187"/>
    </row>
    <row r="2240" spans="12:12" ht="21" customHeight="1">
      <c r="L2240" s="187"/>
    </row>
    <row r="2241" spans="12:12" ht="21" customHeight="1">
      <c r="L2241" s="187"/>
    </row>
    <row r="2242" spans="12:12" ht="21" customHeight="1">
      <c r="L2242" s="187"/>
    </row>
    <row r="2243" spans="12:12" ht="21" customHeight="1">
      <c r="L2243" s="187"/>
    </row>
    <row r="2244" spans="12:12" ht="21" customHeight="1">
      <c r="L2244" s="187"/>
    </row>
    <row r="2245" spans="12:12" ht="21" customHeight="1">
      <c r="L2245" s="187"/>
    </row>
    <row r="2246" spans="12:12" ht="21" customHeight="1">
      <c r="L2246" s="187"/>
    </row>
    <row r="2247" spans="12:12" ht="21" customHeight="1">
      <c r="L2247" s="187"/>
    </row>
    <row r="2248" spans="12:12" ht="21" customHeight="1">
      <c r="L2248" s="187"/>
    </row>
    <row r="2249" spans="12:12" ht="21" customHeight="1">
      <c r="L2249" s="187"/>
    </row>
    <row r="2250" spans="12:12" ht="21" customHeight="1">
      <c r="L2250" s="187"/>
    </row>
    <row r="2251" spans="12:12" ht="21" customHeight="1">
      <c r="L2251" s="187"/>
    </row>
    <row r="2252" spans="12:12" ht="21" customHeight="1">
      <c r="L2252" s="187"/>
    </row>
    <row r="2253" spans="12:12" ht="21" customHeight="1">
      <c r="L2253" s="187"/>
    </row>
    <row r="2254" spans="12:12" ht="21" customHeight="1">
      <c r="L2254" s="187"/>
    </row>
    <row r="2255" spans="12:12" ht="21" customHeight="1">
      <c r="L2255" s="187"/>
    </row>
    <row r="2256" spans="12:12" ht="21" customHeight="1">
      <c r="L2256" s="187"/>
    </row>
    <row r="2257" spans="12:12" ht="21" customHeight="1">
      <c r="L2257" s="187"/>
    </row>
    <row r="2258" spans="12:12" ht="21" customHeight="1">
      <c r="L2258" s="187"/>
    </row>
    <row r="2259" spans="12:12" ht="21" customHeight="1">
      <c r="L2259" s="187"/>
    </row>
    <row r="2260" spans="12:12" ht="21" customHeight="1">
      <c r="L2260" s="187"/>
    </row>
    <row r="2261" spans="12:12" ht="21" customHeight="1">
      <c r="L2261" s="187"/>
    </row>
    <row r="2262" spans="12:12" ht="21" customHeight="1">
      <c r="L2262" s="187"/>
    </row>
    <row r="2263" spans="12:12" ht="21" customHeight="1">
      <c r="L2263" s="187"/>
    </row>
    <row r="2264" spans="12:12" ht="21" customHeight="1">
      <c r="L2264" s="187"/>
    </row>
    <row r="2265" spans="12:12" ht="21" customHeight="1">
      <c r="L2265" s="187"/>
    </row>
    <row r="2266" spans="12:12" ht="21" customHeight="1">
      <c r="L2266" s="187"/>
    </row>
    <row r="2267" spans="12:12" ht="21" customHeight="1">
      <c r="L2267" s="187"/>
    </row>
    <row r="2268" spans="12:12" ht="21" customHeight="1">
      <c r="L2268" s="187"/>
    </row>
    <row r="2269" spans="12:12" ht="21" customHeight="1">
      <c r="L2269" s="187"/>
    </row>
    <row r="2270" spans="12:12" ht="21" customHeight="1">
      <c r="L2270" s="187"/>
    </row>
    <row r="2271" spans="12:12" ht="21" customHeight="1">
      <c r="L2271" s="187"/>
    </row>
    <row r="2272" spans="12:12" ht="21" customHeight="1">
      <c r="L2272" s="187"/>
    </row>
    <row r="2273" spans="12:12" ht="21" customHeight="1">
      <c r="L2273" s="187"/>
    </row>
    <row r="2274" spans="12:12" ht="21" customHeight="1">
      <c r="L2274" s="187"/>
    </row>
    <row r="2275" spans="12:12" ht="21" customHeight="1">
      <c r="L2275" s="187"/>
    </row>
    <row r="2276" spans="12:12" ht="21" customHeight="1">
      <c r="L2276" s="187"/>
    </row>
    <row r="2277" spans="12:12" ht="21" customHeight="1">
      <c r="L2277" s="187"/>
    </row>
    <row r="2278" spans="12:12" ht="21" customHeight="1">
      <c r="L2278" s="187"/>
    </row>
    <row r="2279" spans="12:12" ht="21" customHeight="1">
      <c r="L2279" s="187"/>
    </row>
    <row r="2280" spans="12:12" ht="21" customHeight="1">
      <c r="L2280" s="187"/>
    </row>
    <row r="2281" spans="12:12" ht="21" customHeight="1">
      <c r="L2281" s="187"/>
    </row>
    <row r="2282" spans="12:12" ht="21" customHeight="1">
      <c r="L2282" s="187"/>
    </row>
    <row r="2283" spans="12:12" ht="21" customHeight="1">
      <c r="L2283" s="187"/>
    </row>
    <row r="2284" spans="12:12" ht="21" customHeight="1">
      <c r="L2284" s="187"/>
    </row>
    <row r="2285" spans="12:12" ht="21" customHeight="1">
      <c r="L2285" s="187"/>
    </row>
    <row r="2286" spans="12:12" ht="21" customHeight="1">
      <c r="L2286" s="187"/>
    </row>
    <row r="2287" spans="12:12" ht="21" customHeight="1">
      <c r="L2287" s="187"/>
    </row>
    <row r="2288" spans="12:12" ht="21" customHeight="1">
      <c r="L2288" s="187"/>
    </row>
    <row r="2289" spans="12:12" ht="21" customHeight="1">
      <c r="L2289" s="187"/>
    </row>
    <row r="2290" spans="12:12" ht="21" customHeight="1">
      <c r="L2290" s="187"/>
    </row>
    <row r="2291" spans="12:12" ht="21" customHeight="1">
      <c r="L2291" s="187"/>
    </row>
    <row r="2292" spans="12:12" ht="21" customHeight="1">
      <c r="L2292" s="187"/>
    </row>
    <row r="2293" spans="12:12" ht="21" customHeight="1">
      <c r="L2293" s="187"/>
    </row>
    <row r="2294" spans="12:12" ht="21" customHeight="1">
      <c r="L2294" s="187"/>
    </row>
    <row r="2295" spans="12:12" ht="21" customHeight="1">
      <c r="L2295" s="187"/>
    </row>
    <row r="2296" spans="12:12" ht="21" customHeight="1">
      <c r="L2296" s="187"/>
    </row>
    <row r="2297" spans="12:12" ht="21" customHeight="1">
      <c r="L2297" s="187"/>
    </row>
    <row r="2298" spans="12:12" ht="21" customHeight="1">
      <c r="L2298" s="187"/>
    </row>
    <row r="2299" spans="12:12" ht="21" customHeight="1">
      <c r="L2299" s="187"/>
    </row>
    <row r="2300" spans="12:12" ht="21" customHeight="1">
      <c r="L2300" s="187"/>
    </row>
    <row r="2301" spans="12:12" ht="21" customHeight="1">
      <c r="L2301" s="187"/>
    </row>
    <row r="2302" spans="12:12" ht="21" customHeight="1">
      <c r="L2302" s="187"/>
    </row>
    <row r="2303" spans="12:12" ht="21" customHeight="1">
      <c r="L2303" s="187"/>
    </row>
    <row r="2304" spans="12:12" ht="21" customHeight="1">
      <c r="L2304" s="187"/>
    </row>
    <row r="2305" spans="12:12" ht="21" customHeight="1">
      <c r="L2305" s="187"/>
    </row>
    <row r="2306" spans="12:12" ht="21" customHeight="1">
      <c r="L2306" s="187"/>
    </row>
    <row r="2307" spans="12:12" ht="21" customHeight="1">
      <c r="L2307" s="187"/>
    </row>
    <row r="2308" spans="12:12" ht="21" customHeight="1">
      <c r="L2308" s="187"/>
    </row>
    <row r="2309" spans="12:12" ht="21" customHeight="1">
      <c r="L2309" s="187"/>
    </row>
    <row r="2310" spans="12:12" ht="21" customHeight="1">
      <c r="L2310" s="187"/>
    </row>
    <row r="2311" spans="12:12" ht="21" customHeight="1">
      <c r="L2311" s="187"/>
    </row>
    <row r="2312" spans="12:12" ht="21" customHeight="1">
      <c r="L2312" s="187"/>
    </row>
    <row r="2313" spans="12:12" ht="21" customHeight="1">
      <c r="L2313" s="187"/>
    </row>
    <row r="2314" spans="12:12" ht="21" customHeight="1">
      <c r="L2314" s="187"/>
    </row>
    <row r="2315" spans="12:12" ht="21" customHeight="1">
      <c r="L2315" s="187"/>
    </row>
    <row r="2316" spans="12:12" ht="21" customHeight="1">
      <c r="L2316" s="187"/>
    </row>
    <row r="2317" spans="12:12" ht="21" customHeight="1">
      <c r="L2317" s="187"/>
    </row>
    <row r="2318" spans="12:12" ht="21" customHeight="1">
      <c r="L2318" s="187"/>
    </row>
    <row r="2319" spans="12:12" ht="21" customHeight="1">
      <c r="L2319" s="187"/>
    </row>
    <row r="2320" spans="12:12" ht="21" customHeight="1">
      <c r="L2320" s="187"/>
    </row>
    <row r="2321" spans="12:12" ht="21" customHeight="1">
      <c r="L2321" s="187"/>
    </row>
    <row r="2322" spans="12:12" ht="21" customHeight="1">
      <c r="L2322" s="187"/>
    </row>
    <row r="2323" spans="12:12" ht="21" customHeight="1">
      <c r="L2323" s="187"/>
    </row>
    <row r="2324" spans="12:12" ht="21" customHeight="1">
      <c r="L2324" s="187"/>
    </row>
    <row r="2325" spans="12:12" ht="21" customHeight="1">
      <c r="L2325" s="187"/>
    </row>
    <row r="2326" spans="12:12" ht="21" customHeight="1">
      <c r="L2326" s="187"/>
    </row>
    <row r="2327" spans="12:12" ht="21" customHeight="1">
      <c r="L2327" s="187"/>
    </row>
    <row r="2328" spans="12:12" ht="21" customHeight="1">
      <c r="L2328" s="187"/>
    </row>
    <row r="2329" spans="12:12" ht="21" customHeight="1">
      <c r="L2329" s="187"/>
    </row>
    <row r="2330" spans="12:12" ht="21" customHeight="1">
      <c r="L2330" s="187"/>
    </row>
    <row r="2331" spans="12:12" ht="21" customHeight="1">
      <c r="L2331" s="187"/>
    </row>
    <row r="2332" spans="12:12" ht="21" customHeight="1">
      <c r="L2332" s="187"/>
    </row>
    <row r="2333" spans="12:12" ht="21" customHeight="1">
      <c r="L2333" s="187"/>
    </row>
    <row r="2334" spans="12:12" ht="21" customHeight="1">
      <c r="L2334" s="187"/>
    </row>
    <row r="2335" spans="12:12" ht="21" customHeight="1">
      <c r="L2335" s="187"/>
    </row>
    <row r="2336" spans="12:12" ht="21" customHeight="1">
      <c r="L2336" s="187"/>
    </row>
    <row r="2337" spans="12:12" ht="21" customHeight="1">
      <c r="L2337" s="187"/>
    </row>
    <row r="2338" spans="12:12" ht="21" customHeight="1">
      <c r="L2338" s="187"/>
    </row>
    <row r="2339" spans="12:12" ht="21" customHeight="1">
      <c r="L2339" s="187"/>
    </row>
    <row r="2340" spans="12:12" ht="21" customHeight="1">
      <c r="L2340" s="187"/>
    </row>
    <row r="2341" spans="12:12" ht="21" customHeight="1">
      <c r="L2341" s="187"/>
    </row>
    <row r="2342" spans="12:12" ht="21" customHeight="1">
      <c r="L2342" s="187"/>
    </row>
    <row r="2343" spans="12:12" ht="21" customHeight="1">
      <c r="L2343" s="187"/>
    </row>
    <row r="2344" spans="12:12" ht="21" customHeight="1">
      <c r="L2344" s="187"/>
    </row>
    <row r="2345" spans="12:12" ht="21" customHeight="1">
      <c r="L2345" s="187"/>
    </row>
    <row r="2346" spans="12:12" ht="21" customHeight="1">
      <c r="L2346" s="187"/>
    </row>
    <row r="2347" spans="12:12" ht="21" customHeight="1">
      <c r="L2347" s="187"/>
    </row>
    <row r="2348" spans="12:12" ht="21" customHeight="1">
      <c r="L2348" s="187"/>
    </row>
    <row r="2349" spans="12:12" ht="21" customHeight="1">
      <c r="L2349" s="187"/>
    </row>
    <row r="2350" spans="12:12" ht="21" customHeight="1">
      <c r="L2350" s="187"/>
    </row>
    <row r="2351" spans="12:12" ht="21" customHeight="1">
      <c r="L2351" s="187"/>
    </row>
    <row r="2352" spans="12:12" ht="21" customHeight="1">
      <c r="L2352" s="187"/>
    </row>
    <row r="2353" spans="12:12" ht="21" customHeight="1">
      <c r="L2353" s="187"/>
    </row>
    <row r="2354" spans="12:12" ht="21" customHeight="1">
      <c r="L2354" s="187"/>
    </row>
    <row r="2355" spans="12:12" ht="21" customHeight="1">
      <c r="L2355" s="187"/>
    </row>
    <row r="2356" spans="12:12" ht="21" customHeight="1">
      <c r="L2356" s="187"/>
    </row>
    <row r="2357" spans="12:12" ht="21" customHeight="1">
      <c r="L2357" s="187"/>
    </row>
    <row r="2358" spans="12:12" ht="21" customHeight="1">
      <c r="L2358" s="187"/>
    </row>
    <row r="2359" spans="12:12" ht="21" customHeight="1">
      <c r="L2359" s="187"/>
    </row>
    <row r="2360" spans="12:12" ht="21" customHeight="1">
      <c r="L2360" s="187"/>
    </row>
    <row r="2361" spans="12:12" ht="21" customHeight="1">
      <c r="L2361" s="187"/>
    </row>
    <row r="2362" spans="12:12" ht="21" customHeight="1">
      <c r="L2362" s="187"/>
    </row>
    <row r="2363" spans="12:12" ht="21" customHeight="1">
      <c r="L2363" s="187"/>
    </row>
    <row r="2364" spans="12:12" ht="21" customHeight="1">
      <c r="L2364" s="187"/>
    </row>
    <row r="2365" spans="12:12" ht="21" customHeight="1">
      <c r="L2365" s="187"/>
    </row>
    <row r="2366" spans="12:12" ht="21" customHeight="1">
      <c r="L2366" s="187"/>
    </row>
    <row r="2367" spans="12:12" ht="21" customHeight="1">
      <c r="L2367" s="187"/>
    </row>
    <row r="2368" spans="12:12" ht="21" customHeight="1">
      <c r="L2368" s="187"/>
    </row>
    <row r="2369" spans="12:12" ht="21" customHeight="1">
      <c r="L2369" s="187"/>
    </row>
    <row r="2370" spans="12:12" ht="21" customHeight="1">
      <c r="L2370" s="187"/>
    </row>
    <row r="2371" spans="12:12" ht="21" customHeight="1">
      <c r="L2371" s="187"/>
    </row>
    <row r="2372" spans="12:12" ht="21" customHeight="1">
      <c r="L2372" s="187"/>
    </row>
    <row r="2373" spans="12:12" ht="21" customHeight="1">
      <c r="L2373" s="187"/>
    </row>
    <row r="2374" spans="12:12" ht="21" customHeight="1">
      <c r="L2374" s="187"/>
    </row>
    <row r="2375" spans="12:12" ht="21" customHeight="1">
      <c r="L2375" s="187"/>
    </row>
    <row r="2376" spans="12:12" ht="21" customHeight="1">
      <c r="L2376" s="187"/>
    </row>
    <row r="2377" spans="12:12" ht="21" customHeight="1">
      <c r="L2377" s="187"/>
    </row>
    <row r="2378" spans="12:12" ht="21" customHeight="1">
      <c r="L2378" s="187"/>
    </row>
    <row r="2379" spans="12:12" ht="21" customHeight="1">
      <c r="L2379" s="187"/>
    </row>
    <row r="2380" spans="12:12" ht="21" customHeight="1">
      <c r="L2380" s="187"/>
    </row>
    <row r="2381" spans="12:12" ht="21" customHeight="1">
      <c r="L2381" s="187"/>
    </row>
    <row r="2382" spans="12:12" ht="21" customHeight="1">
      <c r="L2382" s="187"/>
    </row>
    <row r="2383" spans="12:12" ht="21" customHeight="1">
      <c r="L2383" s="187"/>
    </row>
    <row r="2384" spans="12:12" ht="21" customHeight="1">
      <c r="L2384" s="187"/>
    </row>
    <row r="2385" spans="12:12" ht="21" customHeight="1">
      <c r="L2385" s="187"/>
    </row>
    <row r="2386" spans="12:12" ht="21" customHeight="1">
      <c r="L2386" s="187"/>
    </row>
    <row r="2387" spans="12:12" ht="21" customHeight="1">
      <c r="L2387" s="187"/>
    </row>
    <row r="2388" spans="12:12" ht="21" customHeight="1">
      <c r="L2388" s="187"/>
    </row>
    <row r="2389" spans="12:12" ht="21" customHeight="1">
      <c r="L2389" s="187"/>
    </row>
    <row r="2390" spans="12:12" ht="21" customHeight="1">
      <c r="L2390" s="187"/>
    </row>
    <row r="2391" spans="12:12" ht="21" customHeight="1">
      <c r="L2391" s="187"/>
    </row>
    <row r="2392" spans="12:12" ht="21" customHeight="1">
      <c r="L2392" s="187"/>
    </row>
    <row r="2393" spans="12:12" ht="21" customHeight="1">
      <c r="L2393" s="187"/>
    </row>
    <row r="2394" spans="12:12" ht="21" customHeight="1">
      <c r="L2394" s="187"/>
    </row>
    <row r="2395" spans="12:12" ht="21" customHeight="1">
      <c r="L2395" s="187"/>
    </row>
    <row r="2396" spans="12:12" ht="21" customHeight="1">
      <c r="L2396" s="187"/>
    </row>
    <row r="2397" spans="12:12" ht="21" customHeight="1">
      <c r="L2397" s="187"/>
    </row>
    <row r="2398" spans="12:12" ht="21" customHeight="1">
      <c r="L2398" s="187"/>
    </row>
    <row r="2399" spans="12:12" ht="21" customHeight="1">
      <c r="L2399" s="187"/>
    </row>
    <row r="2400" spans="12:12" ht="21" customHeight="1">
      <c r="L2400" s="187"/>
    </row>
    <row r="2401" spans="12:12" ht="21" customHeight="1">
      <c r="L2401" s="187"/>
    </row>
    <row r="2402" spans="12:12" ht="21" customHeight="1">
      <c r="L2402" s="187"/>
    </row>
    <row r="2403" spans="12:12" ht="21" customHeight="1">
      <c r="L2403" s="187"/>
    </row>
    <row r="2404" spans="12:12" ht="21" customHeight="1">
      <c r="L2404" s="187"/>
    </row>
    <row r="2405" spans="12:12" ht="21" customHeight="1">
      <c r="L2405" s="187"/>
    </row>
    <row r="2406" spans="12:12" ht="21" customHeight="1">
      <c r="L2406" s="187"/>
    </row>
    <row r="2407" spans="12:12" ht="21" customHeight="1">
      <c r="L2407" s="187"/>
    </row>
    <row r="2408" spans="12:12" ht="21" customHeight="1">
      <c r="L2408" s="187"/>
    </row>
    <row r="2409" spans="12:12" ht="21" customHeight="1">
      <c r="L2409" s="187"/>
    </row>
    <row r="2410" spans="12:12" ht="21" customHeight="1">
      <c r="L2410" s="187"/>
    </row>
    <row r="2411" spans="12:12" ht="21" customHeight="1">
      <c r="L2411" s="187"/>
    </row>
    <row r="2412" spans="12:12" ht="21" customHeight="1">
      <c r="L2412" s="187"/>
    </row>
    <row r="2413" spans="12:12" ht="21" customHeight="1">
      <c r="L2413" s="187"/>
    </row>
    <row r="2414" spans="12:12" ht="21" customHeight="1">
      <c r="L2414" s="187"/>
    </row>
    <row r="2415" spans="12:12" ht="21" customHeight="1">
      <c r="L2415" s="187"/>
    </row>
    <row r="2416" spans="12:12" ht="21" customHeight="1">
      <c r="L2416" s="187"/>
    </row>
    <row r="2417" spans="12:12" ht="21" customHeight="1">
      <c r="L2417" s="187"/>
    </row>
    <row r="2418" spans="12:12" ht="21" customHeight="1">
      <c r="L2418" s="187"/>
    </row>
    <row r="2419" spans="12:12" ht="21" customHeight="1">
      <c r="L2419" s="187"/>
    </row>
    <row r="2420" spans="12:12" ht="21" customHeight="1">
      <c r="L2420" s="187"/>
    </row>
    <row r="2421" spans="12:12" ht="21" customHeight="1">
      <c r="L2421" s="187"/>
    </row>
    <row r="2422" spans="12:12" ht="21" customHeight="1">
      <c r="L2422" s="187"/>
    </row>
    <row r="2423" spans="12:12" ht="21" customHeight="1">
      <c r="L2423" s="187"/>
    </row>
    <row r="2424" spans="12:12" ht="21" customHeight="1">
      <c r="L2424" s="187"/>
    </row>
    <row r="2425" spans="12:12" ht="21" customHeight="1">
      <c r="L2425" s="187"/>
    </row>
    <row r="2426" spans="12:12" ht="21" customHeight="1">
      <c r="L2426" s="187"/>
    </row>
    <row r="2427" spans="12:12" ht="21" customHeight="1">
      <c r="L2427" s="187"/>
    </row>
    <row r="2428" spans="12:12" ht="21" customHeight="1">
      <c r="L2428" s="187"/>
    </row>
    <row r="2429" spans="12:12" ht="21" customHeight="1">
      <c r="L2429" s="187"/>
    </row>
    <row r="2430" spans="12:12" ht="21" customHeight="1">
      <c r="L2430" s="187"/>
    </row>
    <row r="2431" spans="12:12" ht="21" customHeight="1">
      <c r="L2431" s="187"/>
    </row>
    <row r="2432" spans="12:12" ht="21" customHeight="1">
      <c r="L2432" s="187"/>
    </row>
    <row r="2433" spans="12:12" ht="21" customHeight="1">
      <c r="L2433" s="187"/>
    </row>
    <row r="2434" spans="12:12" ht="21" customHeight="1">
      <c r="L2434" s="187"/>
    </row>
    <row r="2435" spans="12:12" ht="21" customHeight="1">
      <c r="L2435" s="187"/>
    </row>
    <row r="2436" spans="12:12" ht="21" customHeight="1">
      <c r="L2436" s="187"/>
    </row>
    <row r="2437" spans="12:12" ht="21" customHeight="1">
      <c r="L2437" s="187"/>
    </row>
    <row r="2438" spans="12:12" ht="21" customHeight="1">
      <c r="L2438" s="187"/>
    </row>
    <row r="2439" spans="12:12" ht="21" customHeight="1">
      <c r="L2439" s="187"/>
    </row>
    <row r="2440" spans="12:12" ht="21" customHeight="1">
      <c r="L2440" s="187"/>
    </row>
    <row r="2441" spans="12:12" ht="21" customHeight="1">
      <c r="L2441" s="187"/>
    </row>
    <row r="2442" spans="12:12" ht="21" customHeight="1">
      <c r="L2442" s="187"/>
    </row>
    <row r="2443" spans="12:12" ht="21" customHeight="1">
      <c r="L2443" s="187"/>
    </row>
    <row r="2444" spans="12:12" ht="21" customHeight="1">
      <c r="L2444" s="187"/>
    </row>
    <row r="2445" spans="12:12" ht="21" customHeight="1">
      <c r="L2445" s="187"/>
    </row>
    <row r="2446" spans="12:12" ht="21" customHeight="1">
      <c r="L2446" s="187"/>
    </row>
    <row r="2447" spans="12:12" ht="21" customHeight="1">
      <c r="L2447" s="187"/>
    </row>
    <row r="2448" spans="12:12" ht="21" customHeight="1">
      <c r="L2448" s="187"/>
    </row>
    <row r="2449" spans="12:12" ht="21" customHeight="1">
      <c r="L2449" s="187"/>
    </row>
    <row r="2450" spans="12:12" ht="21" customHeight="1">
      <c r="L2450" s="187"/>
    </row>
    <row r="2451" spans="12:12" ht="21" customHeight="1">
      <c r="L2451" s="187"/>
    </row>
    <row r="2452" spans="12:12" ht="21" customHeight="1">
      <c r="L2452" s="187"/>
    </row>
    <row r="2453" spans="12:12" ht="21" customHeight="1">
      <c r="L2453" s="187"/>
    </row>
    <row r="2454" spans="12:12" ht="21" customHeight="1">
      <c r="L2454" s="187"/>
    </row>
    <row r="2455" spans="12:12" ht="21" customHeight="1">
      <c r="L2455" s="187"/>
    </row>
    <row r="2456" spans="12:12" ht="21" customHeight="1">
      <c r="L2456" s="187"/>
    </row>
    <row r="2457" spans="12:12" ht="21" customHeight="1">
      <c r="L2457" s="187"/>
    </row>
    <row r="2458" spans="12:12" ht="21" customHeight="1">
      <c r="L2458" s="187"/>
    </row>
    <row r="2459" spans="12:12" ht="21" customHeight="1">
      <c r="L2459" s="187"/>
    </row>
    <row r="2460" spans="12:12" ht="21" customHeight="1">
      <c r="L2460" s="187"/>
    </row>
    <row r="2461" spans="12:12" ht="21" customHeight="1">
      <c r="L2461" s="187"/>
    </row>
    <row r="2462" spans="12:12" ht="21" customHeight="1">
      <c r="L2462" s="187"/>
    </row>
    <row r="2463" spans="12:12" ht="21" customHeight="1">
      <c r="L2463" s="187"/>
    </row>
    <row r="2464" spans="12:12" ht="21" customHeight="1">
      <c r="L2464" s="187"/>
    </row>
    <row r="2465" spans="12:12" ht="21" customHeight="1">
      <c r="L2465" s="187"/>
    </row>
    <row r="2466" spans="12:12" ht="21" customHeight="1">
      <c r="L2466" s="187"/>
    </row>
    <row r="2467" spans="12:12" ht="21" customHeight="1">
      <c r="L2467" s="187"/>
    </row>
    <row r="2468" spans="12:12" ht="21" customHeight="1">
      <c r="L2468" s="187"/>
    </row>
    <row r="2469" spans="12:12" ht="21" customHeight="1">
      <c r="L2469" s="187"/>
    </row>
    <row r="2470" spans="12:12" ht="21" customHeight="1">
      <c r="L2470" s="187"/>
    </row>
    <row r="2471" spans="12:12" ht="21" customHeight="1">
      <c r="L2471" s="187"/>
    </row>
    <row r="2472" spans="12:12" ht="21" customHeight="1">
      <c r="L2472" s="187"/>
    </row>
    <row r="2473" spans="12:12" ht="21" customHeight="1">
      <c r="L2473" s="187"/>
    </row>
    <row r="2474" spans="12:12" ht="21" customHeight="1">
      <c r="L2474" s="187"/>
    </row>
    <row r="2475" spans="12:12" ht="21" customHeight="1">
      <c r="L2475" s="187"/>
    </row>
    <row r="2476" spans="12:12" ht="21" customHeight="1">
      <c r="L2476" s="187"/>
    </row>
    <row r="2477" spans="12:12" ht="21" customHeight="1">
      <c r="L2477" s="187"/>
    </row>
    <row r="2478" spans="12:12" ht="21" customHeight="1">
      <c r="L2478" s="187"/>
    </row>
    <row r="2479" spans="12:12" ht="21" customHeight="1">
      <c r="L2479" s="187"/>
    </row>
    <row r="2480" spans="12:12" ht="21" customHeight="1">
      <c r="L2480" s="187"/>
    </row>
    <row r="2481" spans="12:12" ht="21" customHeight="1">
      <c r="L2481" s="187"/>
    </row>
    <row r="2482" spans="12:12" ht="21" customHeight="1">
      <c r="L2482" s="187"/>
    </row>
    <row r="2483" spans="12:12" ht="21" customHeight="1">
      <c r="L2483" s="187"/>
    </row>
    <row r="2484" spans="12:12" ht="21" customHeight="1">
      <c r="L2484" s="187"/>
    </row>
    <row r="2485" spans="12:12" ht="21" customHeight="1">
      <c r="L2485" s="187"/>
    </row>
    <row r="2486" spans="12:12" ht="21" customHeight="1">
      <c r="L2486" s="187"/>
    </row>
    <row r="2487" spans="12:12" ht="21" customHeight="1">
      <c r="L2487" s="187"/>
    </row>
    <row r="2488" spans="12:12" ht="21" customHeight="1">
      <c r="L2488" s="187"/>
    </row>
    <row r="2489" spans="12:12" ht="21" customHeight="1">
      <c r="L2489" s="187"/>
    </row>
    <row r="2490" spans="12:12" ht="21" customHeight="1">
      <c r="L2490" s="187"/>
    </row>
    <row r="2491" spans="12:12" ht="21" customHeight="1">
      <c r="L2491" s="187"/>
    </row>
    <row r="2492" spans="12:12" ht="21" customHeight="1">
      <c r="L2492" s="187"/>
    </row>
    <row r="2493" spans="12:12" ht="21" customHeight="1">
      <c r="L2493" s="187"/>
    </row>
    <row r="2494" spans="12:12" ht="21" customHeight="1">
      <c r="L2494" s="187"/>
    </row>
    <row r="2495" spans="12:12" ht="21" customHeight="1">
      <c r="L2495" s="187"/>
    </row>
    <row r="2496" spans="12:12" ht="21" customHeight="1">
      <c r="L2496" s="187"/>
    </row>
    <row r="2497" spans="12:12" ht="21" customHeight="1">
      <c r="L2497" s="187"/>
    </row>
    <row r="2498" spans="12:12" ht="21" customHeight="1">
      <c r="L2498" s="187"/>
    </row>
    <row r="2499" spans="12:12" ht="21" customHeight="1">
      <c r="L2499" s="187"/>
    </row>
    <row r="2500" spans="12:12" ht="21" customHeight="1">
      <c r="L2500" s="187"/>
    </row>
    <row r="2501" spans="12:12" ht="21" customHeight="1">
      <c r="L2501" s="187"/>
    </row>
    <row r="2502" spans="12:12" ht="21" customHeight="1">
      <c r="L2502" s="187"/>
    </row>
    <row r="2503" spans="12:12" ht="21" customHeight="1">
      <c r="L2503" s="187"/>
    </row>
    <row r="2504" spans="12:12" ht="21" customHeight="1">
      <c r="L2504" s="187"/>
    </row>
    <row r="2505" spans="12:12" ht="21" customHeight="1">
      <c r="L2505" s="187"/>
    </row>
    <row r="2506" spans="12:12" ht="21" customHeight="1">
      <c r="L2506" s="187"/>
    </row>
    <row r="2507" spans="12:12" ht="21" customHeight="1">
      <c r="L2507" s="187"/>
    </row>
    <row r="2508" spans="12:12" ht="21" customHeight="1">
      <c r="L2508" s="187"/>
    </row>
    <row r="2509" spans="12:12" ht="21" customHeight="1">
      <c r="L2509" s="187"/>
    </row>
    <row r="2510" spans="12:12" ht="21" customHeight="1">
      <c r="L2510" s="187"/>
    </row>
    <row r="2511" spans="12:12" ht="21" customHeight="1">
      <c r="L2511" s="187"/>
    </row>
    <row r="2512" spans="12:12" ht="21" customHeight="1">
      <c r="L2512" s="187"/>
    </row>
    <row r="2513" spans="12:12" ht="21" customHeight="1">
      <c r="L2513" s="187"/>
    </row>
    <row r="2514" spans="12:12" ht="21" customHeight="1">
      <c r="L2514" s="187"/>
    </row>
    <row r="2515" spans="12:12" ht="21" customHeight="1">
      <c r="L2515" s="187"/>
    </row>
    <row r="2516" spans="12:12" ht="21" customHeight="1">
      <c r="L2516" s="187"/>
    </row>
    <row r="2517" spans="12:12" ht="21" customHeight="1">
      <c r="L2517" s="187"/>
    </row>
    <row r="2518" spans="12:12" ht="21" customHeight="1">
      <c r="L2518" s="187"/>
    </row>
    <row r="2519" spans="12:12" ht="21" customHeight="1">
      <c r="L2519" s="187"/>
    </row>
    <row r="2520" spans="12:12" ht="21" customHeight="1">
      <c r="L2520" s="187"/>
    </row>
    <row r="2521" spans="12:12" ht="21" customHeight="1">
      <c r="L2521" s="187"/>
    </row>
    <row r="2522" spans="12:12" ht="21" customHeight="1">
      <c r="L2522" s="187"/>
    </row>
    <row r="2523" spans="12:12" ht="21" customHeight="1">
      <c r="L2523" s="187"/>
    </row>
    <row r="2524" spans="12:12" ht="21" customHeight="1">
      <c r="L2524" s="187"/>
    </row>
    <row r="2525" spans="12:12" ht="21" customHeight="1">
      <c r="L2525" s="187"/>
    </row>
    <row r="2526" spans="12:12" ht="21" customHeight="1">
      <c r="L2526" s="187"/>
    </row>
    <row r="2527" spans="12:12" ht="21" customHeight="1">
      <c r="L2527" s="187"/>
    </row>
    <row r="2528" spans="12:12" ht="21" customHeight="1">
      <c r="L2528" s="187"/>
    </row>
    <row r="2529" spans="12:12" ht="21" customHeight="1">
      <c r="L2529" s="187"/>
    </row>
    <row r="2530" spans="12:12" ht="21" customHeight="1">
      <c r="L2530" s="187"/>
    </row>
    <row r="2531" spans="12:12" ht="21" customHeight="1">
      <c r="L2531" s="187"/>
    </row>
    <row r="2532" spans="12:12" ht="21" customHeight="1">
      <c r="L2532" s="187"/>
    </row>
    <row r="2533" spans="12:12" ht="21" customHeight="1">
      <c r="L2533" s="187"/>
    </row>
    <row r="2534" spans="12:12" ht="21" customHeight="1">
      <c r="L2534" s="187"/>
    </row>
    <row r="2535" spans="12:12" ht="21" customHeight="1">
      <c r="L2535" s="187"/>
    </row>
    <row r="2536" spans="12:12" ht="21" customHeight="1">
      <c r="L2536" s="187"/>
    </row>
    <row r="2537" spans="12:12" ht="21" customHeight="1">
      <c r="L2537" s="187"/>
    </row>
    <row r="2538" spans="12:12" ht="21" customHeight="1">
      <c r="L2538" s="187"/>
    </row>
    <row r="2539" spans="12:12" ht="21" customHeight="1">
      <c r="L2539" s="187"/>
    </row>
    <row r="2540" spans="12:12" ht="21" customHeight="1">
      <c r="L2540" s="187"/>
    </row>
    <row r="2541" spans="12:12" ht="21" customHeight="1">
      <c r="L2541" s="187"/>
    </row>
    <row r="2542" spans="12:12" ht="21" customHeight="1">
      <c r="L2542" s="187"/>
    </row>
    <row r="2543" spans="12:12" ht="21" customHeight="1">
      <c r="L2543" s="187"/>
    </row>
    <row r="2544" spans="12:12" ht="21" customHeight="1">
      <c r="L2544" s="187"/>
    </row>
    <row r="2545" spans="12:12" ht="21" customHeight="1">
      <c r="L2545" s="187"/>
    </row>
    <row r="2546" spans="12:12" ht="21" customHeight="1">
      <c r="L2546" s="187"/>
    </row>
    <row r="2547" spans="12:12" ht="21" customHeight="1">
      <c r="L2547" s="187"/>
    </row>
    <row r="2548" spans="12:12" ht="21" customHeight="1">
      <c r="L2548" s="187"/>
    </row>
    <row r="2549" spans="12:12" ht="21" customHeight="1">
      <c r="L2549" s="187"/>
    </row>
    <row r="2550" spans="12:12" ht="21" customHeight="1">
      <c r="L2550" s="187"/>
    </row>
    <row r="2551" spans="12:12" ht="21" customHeight="1">
      <c r="L2551" s="187"/>
    </row>
    <row r="2552" spans="12:12" ht="21" customHeight="1">
      <c r="L2552" s="187"/>
    </row>
    <row r="2553" spans="12:12" ht="21" customHeight="1">
      <c r="L2553" s="187"/>
    </row>
    <row r="2554" spans="12:12" ht="21" customHeight="1">
      <c r="L2554" s="187"/>
    </row>
    <row r="2555" spans="12:12" ht="21" customHeight="1">
      <c r="L2555" s="187"/>
    </row>
    <row r="2556" spans="12:12" ht="21" customHeight="1">
      <c r="L2556" s="187"/>
    </row>
    <row r="2557" spans="12:12" ht="21" customHeight="1">
      <c r="L2557" s="187"/>
    </row>
    <row r="2558" spans="12:12" ht="21" customHeight="1">
      <c r="L2558" s="187"/>
    </row>
    <row r="2559" spans="12:12" ht="21" customHeight="1">
      <c r="L2559" s="187"/>
    </row>
    <row r="2560" spans="12:12" ht="21" customHeight="1">
      <c r="L2560" s="187"/>
    </row>
    <row r="2561" spans="12:12" ht="21" customHeight="1">
      <c r="L2561" s="187"/>
    </row>
    <row r="2562" spans="12:12" ht="21" customHeight="1">
      <c r="L2562" s="187"/>
    </row>
    <row r="2563" spans="12:12" ht="21" customHeight="1">
      <c r="L2563" s="187"/>
    </row>
    <row r="2564" spans="12:12" ht="21" customHeight="1">
      <c r="L2564" s="187"/>
    </row>
    <row r="2565" spans="12:12" ht="21" customHeight="1">
      <c r="L2565" s="187"/>
    </row>
    <row r="2566" spans="12:12" ht="21" customHeight="1">
      <c r="L2566" s="187"/>
    </row>
    <row r="2567" spans="12:12" ht="21" customHeight="1">
      <c r="L2567" s="187"/>
    </row>
    <row r="2568" spans="12:12" ht="21" customHeight="1">
      <c r="L2568" s="187"/>
    </row>
    <row r="2569" spans="12:12" ht="21" customHeight="1">
      <c r="L2569" s="187"/>
    </row>
    <row r="2570" spans="12:12" ht="21" customHeight="1">
      <c r="L2570" s="187"/>
    </row>
    <row r="2571" spans="12:12" ht="21" customHeight="1">
      <c r="L2571" s="187"/>
    </row>
    <row r="2572" spans="12:12" ht="21" customHeight="1">
      <c r="L2572" s="187"/>
    </row>
    <row r="2573" spans="12:12" ht="21" customHeight="1">
      <c r="L2573" s="187"/>
    </row>
    <row r="2574" spans="12:12" ht="21" customHeight="1">
      <c r="L2574" s="187"/>
    </row>
    <row r="2575" spans="12:12" ht="21" customHeight="1">
      <c r="L2575" s="187"/>
    </row>
    <row r="2576" spans="12:12" ht="21" customHeight="1">
      <c r="L2576" s="187"/>
    </row>
    <row r="2577" spans="12:12" ht="21" customHeight="1">
      <c r="L2577" s="187"/>
    </row>
    <row r="2578" spans="12:12" ht="21" customHeight="1">
      <c r="L2578" s="187"/>
    </row>
    <row r="2579" spans="12:12" ht="21" customHeight="1">
      <c r="L2579" s="187"/>
    </row>
    <row r="2580" spans="12:12" ht="21" customHeight="1">
      <c r="L2580" s="187"/>
    </row>
    <row r="2581" spans="12:12" ht="21" customHeight="1">
      <c r="L2581" s="187"/>
    </row>
    <row r="2582" spans="12:12" ht="21" customHeight="1">
      <c r="L2582" s="187"/>
    </row>
    <row r="2583" spans="12:12" ht="21" customHeight="1">
      <c r="L2583" s="187"/>
    </row>
    <row r="2584" spans="12:12" ht="21" customHeight="1">
      <c r="L2584" s="187"/>
    </row>
    <row r="2585" spans="12:12" ht="21" customHeight="1">
      <c r="L2585" s="187"/>
    </row>
    <row r="2586" spans="12:12" ht="21" customHeight="1">
      <c r="L2586" s="187"/>
    </row>
    <row r="2587" spans="12:12" ht="21" customHeight="1">
      <c r="L2587" s="187"/>
    </row>
    <row r="2588" spans="12:12" ht="21" customHeight="1">
      <c r="L2588" s="187"/>
    </row>
    <row r="2589" spans="12:12" ht="21" customHeight="1">
      <c r="L2589" s="187"/>
    </row>
    <row r="2590" spans="12:12" ht="21" customHeight="1">
      <c r="L2590" s="187"/>
    </row>
    <row r="2591" spans="12:12" ht="21" customHeight="1">
      <c r="L2591" s="187"/>
    </row>
    <row r="2592" spans="12:12" ht="21" customHeight="1">
      <c r="L2592" s="187"/>
    </row>
    <row r="2593" spans="12:12" ht="21" customHeight="1">
      <c r="L2593" s="187"/>
    </row>
    <row r="2594" spans="12:12" ht="21" customHeight="1">
      <c r="L2594" s="187"/>
    </row>
    <row r="2595" spans="12:12" ht="21" customHeight="1">
      <c r="L2595" s="187"/>
    </row>
    <row r="2596" spans="12:12" ht="21" customHeight="1">
      <c r="L2596" s="187"/>
    </row>
    <row r="2597" spans="12:12" ht="21" customHeight="1">
      <c r="L2597" s="187"/>
    </row>
    <row r="2598" spans="12:12" ht="21" customHeight="1">
      <c r="L2598" s="187"/>
    </row>
    <row r="2599" spans="12:12" ht="21" customHeight="1">
      <c r="L2599" s="187"/>
    </row>
    <row r="2600" spans="12:12" ht="21" customHeight="1">
      <c r="L2600" s="187"/>
    </row>
    <row r="2601" spans="12:12" ht="21" customHeight="1">
      <c r="L2601" s="187"/>
    </row>
    <row r="2602" spans="12:12" ht="21" customHeight="1">
      <c r="L2602" s="187"/>
    </row>
    <row r="2603" spans="12:12" ht="21" customHeight="1">
      <c r="L2603" s="187"/>
    </row>
    <row r="2604" spans="12:12" ht="21" customHeight="1">
      <c r="L2604" s="187"/>
    </row>
    <row r="2605" spans="12:12" ht="21" customHeight="1">
      <c r="L2605" s="187"/>
    </row>
    <row r="2606" spans="12:12" ht="21" customHeight="1">
      <c r="L2606" s="187"/>
    </row>
    <row r="2607" spans="12:12" ht="21" customHeight="1">
      <c r="L2607" s="187"/>
    </row>
    <row r="2608" spans="12:12" ht="21" customHeight="1">
      <c r="L2608" s="187"/>
    </row>
    <row r="2609" spans="12:12" ht="21" customHeight="1">
      <c r="L2609" s="187"/>
    </row>
    <row r="2610" spans="12:12" ht="21" customHeight="1">
      <c r="L2610" s="187"/>
    </row>
    <row r="2611" spans="12:12" ht="21" customHeight="1">
      <c r="L2611" s="187"/>
    </row>
    <row r="2612" spans="12:12" ht="21" customHeight="1">
      <c r="L2612" s="187"/>
    </row>
    <row r="2613" spans="12:12" ht="21" customHeight="1">
      <c r="L2613" s="187"/>
    </row>
    <row r="2614" spans="12:12" ht="21" customHeight="1">
      <c r="L2614" s="187"/>
    </row>
    <row r="2615" spans="12:12" ht="21" customHeight="1">
      <c r="L2615" s="187"/>
    </row>
    <row r="2616" spans="12:12" ht="21" customHeight="1">
      <c r="L2616" s="187"/>
    </row>
    <row r="2617" spans="12:12" ht="21" customHeight="1">
      <c r="L2617" s="187"/>
    </row>
    <row r="2618" spans="12:12" ht="21" customHeight="1">
      <c r="L2618" s="187"/>
    </row>
    <row r="2619" spans="12:12" ht="21" customHeight="1">
      <c r="L2619" s="187"/>
    </row>
    <row r="2620" spans="12:12" ht="21" customHeight="1">
      <c r="L2620" s="187"/>
    </row>
    <row r="2621" spans="12:12" ht="21" customHeight="1">
      <c r="L2621" s="187"/>
    </row>
    <row r="2622" spans="12:12" ht="21" customHeight="1">
      <c r="L2622" s="187"/>
    </row>
    <row r="2623" spans="12:12" ht="21" customHeight="1">
      <c r="L2623" s="187"/>
    </row>
    <row r="2624" spans="12:12" ht="21" customHeight="1">
      <c r="L2624" s="187"/>
    </row>
    <row r="2625" spans="12:12" ht="21" customHeight="1">
      <c r="L2625" s="187"/>
    </row>
    <row r="2626" spans="12:12" ht="21" customHeight="1">
      <c r="L2626" s="187"/>
    </row>
    <row r="2627" spans="12:12" ht="21" customHeight="1">
      <c r="L2627" s="187"/>
    </row>
    <row r="2628" spans="12:12" ht="21" customHeight="1">
      <c r="L2628" s="187"/>
    </row>
    <row r="2629" spans="12:12" ht="21" customHeight="1">
      <c r="L2629" s="187"/>
    </row>
    <row r="2630" spans="12:12" ht="21" customHeight="1">
      <c r="L2630" s="187"/>
    </row>
    <row r="2631" spans="12:12" ht="21" customHeight="1">
      <c r="L2631" s="187"/>
    </row>
    <row r="2632" spans="12:12" ht="21" customHeight="1">
      <c r="L2632" s="187"/>
    </row>
    <row r="2633" spans="12:12" ht="21" customHeight="1">
      <c r="L2633" s="187"/>
    </row>
    <row r="2634" spans="12:12" ht="21" customHeight="1">
      <c r="L2634" s="187"/>
    </row>
    <row r="2635" spans="12:12" ht="21" customHeight="1">
      <c r="L2635" s="187"/>
    </row>
    <row r="2636" spans="12:12" ht="21" customHeight="1">
      <c r="L2636" s="187"/>
    </row>
    <row r="2637" spans="12:12" ht="21" customHeight="1">
      <c r="L2637" s="187"/>
    </row>
    <row r="2638" spans="12:12" ht="21" customHeight="1">
      <c r="L2638" s="187"/>
    </row>
    <row r="2639" spans="12:12" ht="21" customHeight="1">
      <c r="L2639" s="187"/>
    </row>
    <row r="2640" spans="12:12" ht="21" customHeight="1">
      <c r="L2640" s="187"/>
    </row>
    <row r="2641" spans="12:12" ht="21" customHeight="1">
      <c r="L2641" s="187"/>
    </row>
    <row r="2642" spans="12:12" ht="21" customHeight="1">
      <c r="L2642" s="187"/>
    </row>
    <row r="2643" spans="12:12" ht="21" customHeight="1">
      <c r="L2643" s="187"/>
    </row>
    <row r="2644" spans="12:12" ht="21" customHeight="1">
      <c r="L2644" s="187"/>
    </row>
    <row r="2645" spans="12:12" ht="21" customHeight="1">
      <c r="L2645" s="187"/>
    </row>
    <row r="2646" spans="12:12" ht="21" customHeight="1">
      <c r="L2646" s="187"/>
    </row>
    <row r="2647" spans="12:12" ht="21" customHeight="1">
      <c r="L2647" s="187"/>
    </row>
    <row r="2648" spans="12:12" ht="21" customHeight="1">
      <c r="L2648" s="187"/>
    </row>
    <row r="2649" spans="12:12" ht="21" customHeight="1">
      <c r="L2649" s="187"/>
    </row>
    <row r="2650" spans="12:12" ht="21" customHeight="1">
      <c r="L2650" s="187"/>
    </row>
    <row r="2651" spans="12:12" ht="21" customHeight="1">
      <c r="L2651" s="187"/>
    </row>
    <row r="2652" spans="12:12" ht="21" customHeight="1">
      <c r="L2652" s="187"/>
    </row>
    <row r="2653" spans="12:12" ht="21" customHeight="1">
      <c r="L2653" s="187"/>
    </row>
    <row r="2654" spans="12:12" ht="21" customHeight="1">
      <c r="L2654" s="187"/>
    </row>
    <row r="2655" spans="12:12" ht="21" customHeight="1">
      <c r="L2655" s="187"/>
    </row>
    <row r="2656" spans="12:12" ht="21" customHeight="1">
      <c r="L2656" s="187"/>
    </row>
    <row r="2657" spans="12:12" ht="21" customHeight="1">
      <c r="L2657" s="187"/>
    </row>
    <row r="2658" spans="12:12" ht="21" customHeight="1">
      <c r="L2658" s="187"/>
    </row>
    <row r="2659" spans="12:12" ht="21" customHeight="1">
      <c r="L2659" s="187"/>
    </row>
    <row r="2660" spans="12:12" ht="21" customHeight="1">
      <c r="L2660" s="187"/>
    </row>
    <row r="2661" spans="12:12" ht="21" customHeight="1">
      <c r="L2661" s="187"/>
    </row>
    <row r="2662" spans="12:12" ht="21" customHeight="1">
      <c r="L2662" s="187"/>
    </row>
    <row r="2663" spans="12:12" ht="21" customHeight="1">
      <c r="L2663" s="187"/>
    </row>
    <row r="2664" spans="12:12" ht="21" customHeight="1">
      <c r="L2664" s="187"/>
    </row>
    <row r="2665" spans="12:12" ht="21" customHeight="1">
      <c r="L2665" s="187"/>
    </row>
    <row r="2666" spans="12:12" ht="21" customHeight="1">
      <c r="L2666" s="187"/>
    </row>
    <row r="2667" spans="12:12" ht="21" customHeight="1">
      <c r="L2667" s="187"/>
    </row>
    <row r="2668" spans="12:12" ht="21" customHeight="1">
      <c r="L2668" s="187"/>
    </row>
    <row r="2669" spans="12:12" ht="21" customHeight="1">
      <c r="L2669" s="187"/>
    </row>
    <row r="2670" spans="12:12" ht="21" customHeight="1">
      <c r="L2670" s="187"/>
    </row>
    <row r="2671" spans="12:12" ht="21" customHeight="1">
      <c r="L2671" s="187"/>
    </row>
    <row r="2672" spans="12:12" ht="21" customHeight="1">
      <c r="L2672" s="187"/>
    </row>
    <row r="2673" spans="12:12" ht="21" customHeight="1">
      <c r="L2673" s="187"/>
    </row>
    <row r="2674" spans="12:12" ht="21" customHeight="1">
      <c r="L2674" s="187"/>
    </row>
    <row r="2675" spans="12:12" ht="21" customHeight="1">
      <c r="L2675" s="187"/>
    </row>
    <row r="2676" spans="12:12" ht="21" customHeight="1">
      <c r="L2676" s="187"/>
    </row>
    <row r="2677" spans="12:12" ht="21" customHeight="1">
      <c r="L2677" s="187"/>
    </row>
    <row r="2678" spans="12:12" ht="21" customHeight="1">
      <c r="L2678" s="187"/>
    </row>
    <row r="2679" spans="12:12" ht="21" customHeight="1">
      <c r="L2679" s="187"/>
    </row>
    <row r="2680" spans="12:12" ht="21" customHeight="1">
      <c r="L2680" s="187"/>
    </row>
    <row r="2681" spans="12:12" ht="21" customHeight="1">
      <c r="L2681" s="187"/>
    </row>
    <row r="2682" spans="12:12" ht="21" customHeight="1">
      <c r="L2682" s="187"/>
    </row>
    <row r="2683" spans="12:12" ht="21" customHeight="1">
      <c r="L2683" s="187"/>
    </row>
    <row r="2684" spans="12:12" ht="21" customHeight="1">
      <c r="L2684" s="187"/>
    </row>
    <row r="2685" spans="12:12" ht="21" customHeight="1">
      <c r="L2685" s="187"/>
    </row>
    <row r="2686" spans="12:12" ht="21" customHeight="1">
      <c r="L2686" s="187"/>
    </row>
    <row r="2687" spans="12:12" ht="21" customHeight="1">
      <c r="L2687" s="187"/>
    </row>
    <row r="2688" spans="12:12" ht="21" customHeight="1">
      <c r="L2688" s="187"/>
    </row>
    <row r="2689" spans="12:12" ht="21" customHeight="1">
      <c r="L2689" s="187"/>
    </row>
    <row r="2690" spans="12:12" ht="21" customHeight="1">
      <c r="L2690" s="187"/>
    </row>
    <row r="2691" spans="12:12" ht="21" customHeight="1">
      <c r="L2691" s="187"/>
    </row>
    <row r="2692" spans="12:12" ht="21" customHeight="1">
      <c r="L2692" s="187"/>
    </row>
    <row r="2693" spans="12:12" ht="21" customHeight="1">
      <c r="L2693" s="187"/>
    </row>
    <row r="2694" spans="12:12" ht="21" customHeight="1">
      <c r="L2694" s="187"/>
    </row>
    <row r="2695" spans="12:12" ht="21" customHeight="1">
      <c r="L2695" s="187"/>
    </row>
    <row r="2696" spans="12:12" ht="21" customHeight="1">
      <c r="L2696" s="187"/>
    </row>
    <row r="2697" spans="12:12" ht="21" customHeight="1">
      <c r="L2697" s="187"/>
    </row>
    <row r="2698" spans="12:12" ht="21" customHeight="1">
      <c r="L2698" s="187"/>
    </row>
    <row r="2699" spans="12:12" ht="21" customHeight="1">
      <c r="L2699" s="187"/>
    </row>
    <row r="2700" spans="12:12" ht="21" customHeight="1">
      <c r="L2700" s="187"/>
    </row>
    <row r="2701" spans="12:12" ht="21" customHeight="1">
      <c r="L2701" s="187"/>
    </row>
    <row r="2702" spans="12:12" ht="21" customHeight="1">
      <c r="L2702" s="187"/>
    </row>
    <row r="2703" spans="12:12" ht="21" customHeight="1">
      <c r="L2703" s="187"/>
    </row>
    <row r="2704" spans="12:12" ht="21" customHeight="1">
      <c r="L2704" s="187"/>
    </row>
    <row r="2705" spans="12:12" ht="21" customHeight="1">
      <c r="L2705" s="187"/>
    </row>
    <row r="2706" spans="12:12" ht="21" customHeight="1">
      <c r="L2706" s="187"/>
    </row>
    <row r="2707" spans="12:12" ht="21" customHeight="1">
      <c r="L2707" s="187"/>
    </row>
    <row r="2708" spans="12:12" ht="21" customHeight="1">
      <c r="L2708" s="187"/>
    </row>
    <row r="2709" spans="12:12" ht="21" customHeight="1">
      <c r="L2709" s="187"/>
    </row>
    <row r="2710" spans="12:12" ht="21" customHeight="1">
      <c r="L2710" s="187"/>
    </row>
    <row r="2711" spans="12:12" ht="21" customHeight="1">
      <c r="L2711" s="187"/>
    </row>
    <row r="2712" spans="12:12" ht="21" customHeight="1">
      <c r="L2712" s="187"/>
    </row>
    <row r="2713" spans="12:12" ht="21" customHeight="1">
      <c r="L2713" s="187"/>
    </row>
    <row r="2714" spans="12:12" ht="21" customHeight="1">
      <c r="L2714" s="187"/>
    </row>
    <row r="2715" spans="12:12" ht="21" customHeight="1">
      <c r="L2715" s="187"/>
    </row>
    <row r="2716" spans="12:12" ht="21" customHeight="1">
      <c r="L2716" s="187"/>
    </row>
    <row r="2717" spans="12:12" ht="21" customHeight="1">
      <c r="L2717" s="187"/>
    </row>
    <row r="2718" spans="12:12" ht="21" customHeight="1">
      <c r="L2718" s="187"/>
    </row>
    <row r="2719" spans="12:12" ht="21" customHeight="1">
      <c r="L2719" s="187"/>
    </row>
    <row r="2720" spans="12:12" ht="21" customHeight="1">
      <c r="L2720" s="187"/>
    </row>
    <row r="2721" spans="12:12" ht="21" customHeight="1">
      <c r="L2721" s="187"/>
    </row>
    <row r="2722" spans="12:12" ht="21" customHeight="1">
      <c r="L2722" s="187"/>
    </row>
    <row r="2723" spans="12:12" ht="21" customHeight="1">
      <c r="L2723" s="187"/>
    </row>
    <row r="2724" spans="12:12" ht="21" customHeight="1">
      <c r="L2724" s="187"/>
    </row>
    <row r="2725" spans="12:12" ht="21" customHeight="1">
      <c r="L2725" s="187"/>
    </row>
    <row r="2726" spans="12:12" ht="21" customHeight="1">
      <c r="L2726" s="187"/>
    </row>
    <row r="2727" spans="12:12" ht="21" customHeight="1">
      <c r="L2727" s="187"/>
    </row>
    <row r="2728" spans="12:12" ht="21" customHeight="1">
      <c r="L2728" s="187"/>
    </row>
    <row r="2729" spans="12:12" ht="21" customHeight="1">
      <c r="L2729" s="187"/>
    </row>
    <row r="2730" spans="12:12" ht="21" customHeight="1">
      <c r="L2730" s="187"/>
    </row>
    <row r="2731" spans="12:12" ht="21" customHeight="1">
      <c r="L2731" s="187"/>
    </row>
    <row r="2732" spans="12:12" ht="21" customHeight="1">
      <c r="L2732" s="187"/>
    </row>
    <row r="2733" spans="12:12" ht="21" customHeight="1">
      <c r="L2733" s="187"/>
    </row>
    <row r="2734" spans="12:12" ht="21" customHeight="1">
      <c r="L2734" s="187"/>
    </row>
    <row r="2735" spans="12:12" ht="21" customHeight="1">
      <c r="L2735" s="187"/>
    </row>
    <row r="2736" spans="12:12" ht="21" customHeight="1">
      <c r="L2736" s="187"/>
    </row>
    <row r="2737" spans="12:12" ht="21" customHeight="1">
      <c r="L2737" s="187"/>
    </row>
    <row r="2738" spans="12:12" ht="21" customHeight="1">
      <c r="L2738" s="187"/>
    </row>
    <row r="2739" spans="12:12" ht="21" customHeight="1">
      <c r="L2739" s="187"/>
    </row>
    <row r="2740" spans="12:12" ht="21" customHeight="1">
      <c r="L2740" s="187"/>
    </row>
    <row r="2741" spans="12:12" ht="21" customHeight="1">
      <c r="L2741" s="187"/>
    </row>
    <row r="2742" spans="12:12" ht="21" customHeight="1">
      <c r="L2742" s="187"/>
    </row>
    <row r="2743" spans="12:12" ht="21" customHeight="1">
      <c r="L2743" s="187"/>
    </row>
    <row r="2744" spans="12:12" ht="21" customHeight="1">
      <c r="L2744" s="187"/>
    </row>
    <row r="2745" spans="12:12" ht="21" customHeight="1">
      <c r="L2745" s="187"/>
    </row>
    <row r="2746" spans="12:12" ht="21" customHeight="1">
      <c r="L2746" s="187"/>
    </row>
    <row r="2747" spans="12:12" ht="21" customHeight="1">
      <c r="L2747" s="187"/>
    </row>
    <row r="2748" spans="12:12" ht="21" customHeight="1">
      <c r="L2748" s="187"/>
    </row>
    <row r="2749" spans="12:12" ht="21" customHeight="1">
      <c r="L2749" s="187"/>
    </row>
    <row r="2750" spans="12:12" ht="21" customHeight="1">
      <c r="L2750" s="187"/>
    </row>
    <row r="2751" spans="12:12" ht="21" customHeight="1">
      <c r="L2751" s="187"/>
    </row>
    <row r="2752" spans="12:12" ht="21" customHeight="1">
      <c r="L2752" s="187"/>
    </row>
    <row r="2753" spans="12:12" ht="21" customHeight="1">
      <c r="L2753" s="187"/>
    </row>
    <row r="2754" spans="12:12" ht="21" customHeight="1">
      <c r="L2754" s="187"/>
    </row>
    <row r="2755" spans="12:12" ht="21" customHeight="1">
      <c r="L2755" s="187"/>
    </row>
    <row r="2756" spans="12:12" ht="21" customHeight="1">
      <c r="L2756" s="187"/>
    </row>
    <row r="2757" spans="12:12" ht="21" customHeight="1">
      <c r="L2757" s="187"/>
    </row>
    <row r="2758" spans="12:12" ht="21" customHeight="1">
      <c r="L2758" s="187"/>
    </row>
    <row r="2759" spans="12:12" ht="21" customHeight="1">
      <c r="L2759" s="187"/>
    </row>
    <row r="2760" spans="12:12" ht="21" customHeight="1">
      <c r="L2760" s="187"/>
    </row>
    <row r="2761" spans="12:12" ht="21" customHeight="1">
      <c r="L2761" s="187"/>
    </row>
    <row r="2762" spans="12:12" ht="21" customHeight="1">
      <c r="L2762" s="187"/>
    </row>
    <row r="2763" spans="12:12" ht="21" customHeight="1">
      <c r="L2763" s="187"/>
    </row>
    <row r="2764" spans="12:12" ht="21" customHeight="1">
      <c r="L2764" s="187"/>
    </row>
    <row r="2765" spans="12:12" ht="21" customHeight="1">
      <c r="L2765" s="187"/>
    </row>
    <row r="2766" spans="12:12" ht="21" customHeight="1">
      <c r="L2766" s="187"/>
    </row>
    <row r="2767" spans="12:12" ht="21" customHeight="1">
      <c r="L2767" s="187"/>
    </row>
    <row r="2768" spans="12:12" ht="21" customHeight="1">
      <c r="L2768" s="187"/>
    </row>
    <row r="2769" spans="12:12" ht="21" customHeight="1">
      <c r="L2769" s="187"/>
    </row>
    <row r="2770" spans="12:12" ht="21" customHeight="1">
      <c r="L2770" s="187"/>
    </row>
    <row r="2771" spans="12:12" ht="21" customHeight="1">
      <c r="L2771" s="187"/>
    </row>
    <row r="2772" spans="12:12" ht="21" customHeight="1">
      <c r="L2772" s="187"/>
    </row>
    <row r="2773" spans="12:12" ht="21" customHeight="1">
      <c r="L2773" s="187"/>
    </row>
    <row r="2774" spans="12:12" ht="21" customHeight="1">
      <c r="L2774" s="187"/>
    </row>
    <row r="2775" spans="12:12" ht="21" customHeight="1">
      <c r="L2775" s="187"/>
    </row>
    <row r="2776" spans="12:12" ht="21" customHeight="1">
      <c r="L2776" s="187"/>
    </row>
    <row r="2777" spans="12:12" ht="21" customHeight="1">
      <c r="L2777" s="187"/>
    </row>
    <row r="2778" spans="12:12" ht="21" customHeight="1">
      <c r="L2778" s="187"/>
    </row>
    <row r="2779" spans="12:12" ht="21" customHeight="1">
      <c r="L2779" s="187"/>
    </row>
    <row r="2780" spans="12:12" ht="21" customHeight="1">
      <c r="L2780" s="187"/>
    </row>
    <row r="2781" spans="12:12" ht="21" customHeight="1">
      <c r="L2781" s="187"/>
    </row>
    <row r="2782" spans="12:12" ht="21" customHeight="1">
      <c r="L2782" s="187"/>
    </row>
    <row r="2783" spans="12:12" ht="21" customHeight="1">
      <c r="L2783" s="187"/>
    </row>
    <row r="2784" spans="12:12" ht="21" customHeight="1">
      <c r="L2784" s="187"/>
    </row>
    <row r="2785" spans="12:12" ht="21" customHeight="1">
      <c r="L2785" s="187"/>
    </row>
    <row r="2786" spans="12:12" ht="21" customHeight="1">
      <c r="L2786" s="187"/>
    </row>
    <row r="2787" spans="12:12" ht="21" customHeight="1">
      <c r="L2787" s="187"/>
    </row>
    <row r="2788" spans="12:12" ht="21" customHeight="1">
      <c r="L2788" s="187"/>
    </row>
    <row r="2789" spans="12:12" ht="21" customHeight="1">
      <c r="L2789" s="187"/>
    </row>
    <row r="2790" spans="12:12" ht="21" customHeight="1">
      <c r="L2790" s="187"/>
    </row>
    <row r="2791" spans="12:12" ht="21" customHeight="1">
      <c r="L2791" s="187"/>
    </row>
    <row r="2792" spans="12:12" ht="21" customHeight="1">
      <c r="L2792" s="187"/>
    </row>
    <row r="2793" spans="12:12" ht="21" customHeight="1">
      <c r="L2793" s="187"/>
    </row>
    <row r="2794" spans="12:12" ht="21" customHeight="1">
      <c r="L2794" s="187"/>
    </row>
    <row r="2795" spans="12:12" ht="21" customHeight="1">
      <c r="L2795" s="187"/>
    </row>
    <row r="2796" spans="12:12" ht="21" customHeight="1">
      <c r="L2796" s="187"/>
    </row>
    <row r="2797" spans="12:12" ht="21" customHeight="1">
      <c r="L2797" s="187"/>
    </row>
    <row r="2798" spans="12:12" ht="21" customHeight="1">
      <c r="L2798" s="187"/>
    </row>
    <row r="2799" spans="12:12" ht="21" customHeight="1">
      <c r="L2799" s="187"/>
    </row>
    <row r="2800" spans="12:12" ht="21" customHeight="1">
      <c r="L2800" s="187"/>
    </row>
    <row r="2801" spans="12:12" ht="21" customHeight="1">
      <c r="L2801" s="187"/>
    </row>
    <row r="2802" spans="12:12" ht="21" customHeight="1">
      <c r="L2802" s="187"/>
    </row>
    <row r="2803" spans="12:12" ht="21" customHeight="1">
      <c r="L2803" s="187"/>
    </row>
    <row r="2804" spans="12:12" ht="21" customHeight="1">
      <c r="L2804" s="187"/>
    </row>
    <row r="2805" spans="12:12" ht="21" customHeight="1">
      <c r="L2805" s="187"/>
    </row>
    <row r="2806" spans="12:12" ht="21" customHeight="1">
      <c r="L2806" s="187"/>
    </row>
    <row r="2807" spans="12:12" ht="21" customHeight="1">
      <c r="L2807" s="187"/>
    </row>
    <row r="2808" spans="12:12" ht="21" customHeight="1">
      <c r="L2808" s="187"/>
    </row>
    <row r="2809" spans="12:12" ht="21" customHeight="1">
      <c r="L2809" s="187"/>
    </row>
    <row r="2810" spans="12:12" ht="21" customHeight="1">
      <c r="L2810" s="187"/>
    </row>
    <row r="2811" spans="12:12" ht="21" customHeight="1">
      <c r="L2811" s="187"/>
    </row>
    <row r="2812" spans="12:12" ht="21" customHeight="1">
      <c r="L2812" s="187"/>
    </row>
    <row r="2813" spans="12:12" ht="21" customHeight="1">
      <c r="L2813" s="187"/>
    </row>
    <row r="2814" spans="12:12" ht="21" customHeight="1">
      <c r="L2814" s="187"/>
    </row>
    <row r="2815" spans="12:12" ht="21" customHeight="1">
      <c r="L2815" s="187"/>
    </row>
    <row r="2816" spans="12:12" ht="21" customHeight="1">
      <c r="L2816" s="187"/>
    </row>
    <row r="2817" spans="12:12" ht="21" customHeight="1">
      <c r="L2817" s="187"/>
    </row>
    <row r="2818" spans="12:12" ht="21" customHeight="1">
      <c r="L2818" s="187"/>
    </row>
    <row r="2819" spans="12:12" ht="21" customHeight="1">
      <c r="L2819" s="187"/>
    </row>
    <row r="2820" spans="12:12" ht="21" customHeight="1">
      <c r="L2820" s="187"/>
    </row>
    <row r="2821" spans="12:12" ht="21" customHeight="1">
      <c r="L2821" s="187"/>
    </row>
    <row r="2822" spans="12:12" ht="21" customHeight="1">
      <c r="L2822" s="187"/>
    </row>
    <row r="2823" spans="12:12" ht="21" customHeight="1">
      <c r="L2823" s="187"/>
    </row>
    <row r="2824" spans="12:12" ht="21" customHeight="1">
      <c r="L2824" s="187"/>
    </row>
    <row r="2825" spans="12:12" ht="21" customHeight="1">
      <c r="L2825" s="187"/>
    </row>
    <row r="2826" spans="12:12" ht="21" customHeight="1">
      <c r="L2826" s="187"/>
    </row>
    <row r="2827" spans="12:12" ht="21" customHeight="1">
      <c r="L2827" s="187"/>
    </row>
    <row r="2828" spans="12:12" ht="21" customHeight="1">
      <c r="L2828" s="187"/>
    </row>
    <row r="2829" spans="12:12" ht="21" customHeight="1">
      <c r="L2829" s="187"/>
    </row>
    <row r="2830" spans="12:12" ht="21" customHeight="1">
      <c r="L2830" s="187"/>
    </row>
    <row r="2831" spans="12:12" ht="21" customHeight="1">
      <c r="L2831" s="187"/>
    </row>
    <row r="2832" spans="12:12" ht="21" customHeight="1">
      <c r="L2832" s="187"/>
    </row>
    <row r="2833" spans="12:12" ht="21" customHeight="1">
      <c r="L2833" s="187"/>
    </row>
    <row r="2834" spans="12:12" ht="21" customHeight="1">
      <c r="L2834" s="187"/>
    </row>
    <row r="2835" spans="12:12" ht="21" customHeight="1">
      <c r="L2835" s="187"/>
    </row>
    <row r="2836" spans="12:12" ht="21" customHeight="1">
      <c r="L2836" s="187"/>
    </row>
    <row r="2837" spans="12:12" ht="21" customHeight="1">
      <c r="L2837" s="187"/>
    </row>
    <row r="2838" spans="12:12" ht="21" customHeight="1">
      <c r="L2838" s="187"/>
    </row>
    <row r="2839" spans="12:12" ht="21" customHeight="1">
      <c r="L2839" s="187"/>
    </row>
    <row r="2840" spans="12:12" ht="21" customHeight="1">
      <c r="L2840" s="187"/>
    </row>
    <row r="2841" spans="12:12" ht="21" customHeight="1">
      <c r="L2841" s="187"/>
    </row>
    <row r="2842" spans="12:12" ht="21" customHeight="1">
      <c r="L2842" s="187"/>
    </row>
    <row r="2843" spans="12:12" ht="21" customHeight="1">
      <c r="L2843" s="187"/>
    </row>
    <row r="2844" spans="12:12" ht="21" customHeight="1">
      <c r="L2844" s="187"/>
    </row>
    <row r="2845" spans="12:12" ht="21" customHeight="1">
      <c r="L2845" s="187"/>
    </row>
    <row r="2846" spans="12:12" ht="21" customHeight="1">
      <c r="L2846" s="187"/>
    </row>
    <row r="2847" spans="12:12" ht="21" customHeight="1">
      <c r="L2847" s="187"/>
    </row>
    <row r="2848" spans="12:12" ht="21" customHeight="1">
      <c r="L2848" s="187"/>
    </row>
    <row r="2849" spans="12:12" ht="21" customHeight="1">
      <c r="L2849" s="187"/>
    </row>
    <row r="2850" spans="12:12" ht="21" customHeight="1">
      <c r="L2850" s="187"/>
    </row>
    <row r="2851" spans="12:12" ht="21" customHeight="1">
      <c r="L2851" s="187"/>
    </row>
    <row r="2852" spans="12:12" ht="21" customHeight="1">
      <c r="L2852" s="187"/>
    </row>
    <row r="2853" spans="12:12" ht="21" customHeight="1">
      <c r="L2853" s="187"/>
    </row>
    <row r="2854" spans="12:12" ht="21" customHeight="1">
      <c r="L2854" s="187"/>
    </row>
    <row r="2855" spans="12:12" ht="21" customHeight="1">
      <c r="L2855" s="187"/>
    </row>
    <row r="2856" spans="12:12" ht="21" customHeight="1">
      <c r="L2856" s="187"/>
    </row>
    <row r="2857" spans="12:12" ht="21" customHeight="1">
      <c r="L2857" s="187"/>
    </row>
    <row r="2858" spans="12:12" ht="21" customHeight="1">
      <c r="L2858" s="187"/>
    </row>
    <row r="2859" spans="12:12" ht="21" customHeight="1">
      <c r="L2859" s="187"/>
    </row>
    <row r="2860" spans="12:12" ht="21" customHeight="1">
      <c r="L2860" s="187"/>
    </row>
    <row r="2861" spans="12:12" ht="21" customHeight="1">
      <c r="L2861" s="187"/>
    </row>
    <row r="2862" spans="12:12" ht="21" customHeight="1">
      <c r="L2862" s="187"/>
    </row>
    <row r="2863" spans="12:12" ht="21" customHeight="1">
      <c r="L2863" s="187"/>
    </row>
    <row r="2864" spans="12:12" ht="21" customHeight="1">
      <c r="L2864" s="187"/>
    </row>
    <row r="2865" spans="12:12" ht="21" customHeight="1">
      <c r="L2865" s="187"/>
    </row>
    <row r="2866" spans="12:12" ht="21" customHeight="1">
      <c r="L2866" s="187"/>
    </row>
    <row r="2867" spans="12:12" ht="21" customHeight="1">
      <c r="L2867" s="187"/>
    </row>
    <row r="2868" spans="12:12" ht="21" customHeight="1">
      <c r="L2868" s="187"/>
    </row>
    <row r="2869" spans="12:12" ht="21" customHeight="1">
      <c r="L2869" s="187"/>
    </row>
    <row r="2870" spans="12:12" ht="21" customHeight="1">
      <c r="L2870" s="187"/>
    </row>
    <row r="2871" spans="12:12" ht="21" customHeight="1">
      <c r="L2871" s="187"/>
    </row>
    <row r="2872" spans="12:12" ht="21" customHeight="1">
      <c r="L2872" s="187"/>
    </row>
    <row r="2873" spans="12:12" ht="21" customHeight="1">
      <c r="L2873" s="187"/>
    </row>
    <row r="2874" spans="12:12" ht="21" customHeight="1">
      <c r="L2874" s="187"/>
    </row>
    <row r="2875" spans="12:12" ht="21" customHeight="1">
      <c r="L2875" s="187"/>
    </row>
    <row r="2876" spans="12:12" ht="21" customHeight="1">
      <c r="L2876" s="187"/>
    </row>
    <row r="2877" spans="12:12" ht="21" customHeight="1">
      <c r="L2877" s="187"/>
    </row>
    <row r="2878" spans="12:12" ht="21" customHeight="1">
      <c r="L2878" s="187"/>
    </row>
    <row r="2879" spans="12:12" ht="21" customHeight="1">
      <c r="L2879" s="187"/>
    </row>
    <row r="2880" spans="12:12" ht="21" customHeight="1">
      <c r="L2880" s="187"/>
    </row>
    <row r="2881" spans="12:12" ht="21" customHeight="1">
      <c r="L2881" s="187"/>
    </row>
    <row r="2882" spans="12:12" ht="21" customHeight="1">
      <c r="L2882" s="187"/>
    </row>
    <row r="2883" spans="12:12" ht="21" customHeight="1">
      <c r="L2883" s="187"/>
    </row>
    <row r="2884" spans="12:12" ht="21" customHeight="1">
      <c r="L2884" s="187"/>
    </row>
    <row r="2885" spans="12:12" ht="21" customHeight="1">
      <c r="L2885" s="187"/>
    </row>
    <row r="2886" spans="12:12" ht="21" customHeight="1">
      <c r="L2886" s="187"/>
    </row>
    <row r="2887" spans="12:12" ht="21" customHeight="1">
      <c r="L2887" s="187"/>
    </row>
    <row r="2888" spans="12:12" ht="21" customHeight="1">
      <c r="L2888" s="187"/>
    </row>
    <row r="2889" spans="12:12" ht="21" customHeight="1">
      <c r="L2889" s="187"/>
    </row>
    <row r="2890" spans="12:12" ht="21" customHeight="1">
      <c r="L2890" s="187"/>
    </row>
    <row r="2891" spans="12:12" ht="21" customHeight="1">
      <c r="L2891" s="187"/>
    </row>
    <row r="2892" spans="12:12" ht="21" customHeight="1">
      <c r="L2892" s="187"/>
    </row>
    <row r="2893" spans="12:12" ht="21" customHeight="1">
      <c r="L2893" s="187"/>
    </row>
    <row r="2894" spans="12:12" ht="21" customHeight="1">
      <c r="L2894" s="187"/>
    </row>
    <row r="2895" spans="12:12" ht="21" customHeight="1">
      <c r="L2895" s="187"/>
    </row>
    <row r="2896" spans="12:12" ht="21" customHeight="1">
      <c r="L2896" s="187"/>
    </row>
    <row r="2897" spans="12:12" ht="21" customHeight="1">
      <c r="L2897" s="187"/>
    </row>
    <row r="2898" spans="12:12" ht="21" customHeight="1">
      <c r="L2898" s="187"/>
    </row>
    <row r="2899" spans="12:12" ht="21" customHeight="1">
      <c r="L2899" s="187"/>
    </row>
    <row r="2900" spans="12:12" ht="21" customHeight="1">
      <c r="L2900" s="187"/>
    </row>
    <row r="2901" spans="12:12" ht="21" customHeight="1">
      <c r="L2901" s="187"/>
    </row>
    <row r="2902" spans="12:12" ht="21" customHeight="1">
      <c r="L2902" s="187"/>
    </row>
    <row r="2903" spans="12:12" ht="21" customHeight="1">
      <c r="L2903" s="187"/>
    </row>
    <row r="2904" spans="12:12" ht="21" customHeight="1">
      <c r="L2904" s="187"/>
    </row>
    <row r="2905" spans="12:12" ht="21" customHeight="1">
      <c r="L2905" s="187"/>
    </row>
    <row r="2906" spans="12:12" ht="21" customHeight="1">
      <c r="L2906" s="187"/>
    </row>
    <row r="2907" spans="12:12" ht="21" customHeight="1">
      <c r="L2907" s="187"/>
    </row>
    <row r="2908" spans="12:12" ht="21" customHeight="1">
      <c r="L2908" s="187"/>
    </row>
    <row r="2909" spans="12:12" ht="21" customHeight="1">
      <c r="L2909" s="187"/>
    </row>
    <row r="2910" spans="12:12" ht="21" customHeight="1">
      <c r="L2910" s="187"/>
    </row>
    <row r="2911" spans="12:12" ht="21" customHeight="1">
      <c r="L2911" s="187"/>
    </row>
    <row r="2912" spans="12:12" ht="21" customHeight="1">
      <c r="L2912" s="187"/>
    </row>
    <row r="2913" spans="12:12" ht="21" customHeight="1">
      <c r="L2913" s="187"/>
    </row>
    <row r="2914" spans="12:12" ht="21" customHeight="1">
      <c r="L2914" s="187"/>
    </row>
    <row r="2915" spans="12:12" ht="21" customHeight="1">
      <c r="L2915" s="187"/>
    </row>
    <row r="2916" spans="12:12" ht="21" customHeight="1">
      <c r="L2916" s="187"/>
    </row>
    <row r="2917" spans="12:12" ht="21" customHeight="1">
      <c r="L2917" s="187"/>
    </row>
    <row r="2918" spans="12:12" ht="21" customHeight="1">
      <c r="L2918" s="187"/>
    </row>
    <row r="2919" spans="12:12" ht="21" customHeight="1">
      <c r="L2919" s="187"/>
    </row>
    <row r="2920" spans="12:12" ht="21" customHeight="1">
      <c r="L2920" s="187"/>
    </row>
    <row r="2921" spans="12:12" ht="21" customHeight="1">
      <c r="L2921" s="187"/>
    </row>
    <row r="2922" spans="12:12" ht="21" customHeight="1">
      <c r="L2922" s="187"/>
    </row>
    <row r="2923" spans="12:12" ht="21" customHeight="1">
      <c r="L2923" s="187"/>
    </row>
    <row r="2924" spans="12:12" ht="21" customHeight="1">
      <c r="L2924" s="187"/>
    </row>
    <row r="2925" spans="12:12" ht="21" customHeight="1">
      <c r="L2925" s="187"/>
    </row>
    <row r="2926" spans="12:12" ht="21" customHeight="1">
      <c r="L2926" s="187"/>
    </row>
    <row r="2927" spans="12:12" ht="21" customHeight="1">
      <c r="L2927" s="187"/>
    </row>
    <row r="2928" spans="12:12" ht="21" customHeight="1">
      <c r="L2928" s="187"/>
    </row>
    <row r="2929" spans="12:12" ht="21" customHeight="1">
      <c r="L2929" s="187"/>
    </row>
    <row r="2930" spans="12:12" ht="21" customHeight="1">
      <c r="L2930" s="187"/>
    </row>
    <row r="2931" spans="12:12" ht="21" customHeight="1">
      <c r="L2931" s="187"/>
    </row>
    <row r="2932" spans="12:12" ht="21" customHeight="1">
      <c r="L2932" s="187"/>
    </row>
    <row r="2933" spans="12:12" ht="21" customHeight="1">
      <c r="L2933" s="187"/>
    </row>
    <row r="2934" spans="12:12" ht="21" customHeight="1">
      <c r="L2934" s="187"/>
    </row>
    <row r="2935" spans="12:12" ht="21" customHeight="1">
      <c r="L2935" s="187"/>
    </row>
    <row r="2936" spans="12:12" ht="21" customHeight="1">
      <c r="L2936" s="187"/>
    </row>
    <row r="2937" spans="12:12" ht="21" customHeight="1">
      <c r="L2937" s="187"/>
    </row>
    <row r="2938" spans="12:12" ht="21" customHeight="1">
      <c r="L2938" s="187"/>
    </row>
    <row r="2939" spans="12:12" ht="21" customHeight="1">
      <c r="L2939" s="187"/>
    </row>
    <row r="2940" spans="12:12" ht="21" customHeight="1">
      <c r="L2940" s="187"/>
    </row>
    <row r="2941" spans="12:12" ht="21" customHeight="1">
      <c r="L2941" s="187"/>
    </row>
    <row r="2942" spans="12:12" ht="21" customHeight="1">
      <c r="L2942" s="187"/>
    </row>
    <row r="2943" spans="12:12" ht="21" customHeight="1">
      <c r="L2943" s="187"/>
    </row>
    <row r="2944" spans="12:12" ht="21" customHeight="1">
      <c r="L2944" s="187"/>
    </row>
    <row r="2945" spans="12:12" ht="21" customHeight="1">
      <c r="L2945" s="187"/>
    </row>
    <row r="2946" spans="12:12" ht="21" customHeight="1">
      <c r="L2946" s="187"/>
    </row>
    <row r="2947" spans="12:12" ht="21" customHeight="1">
      <c r="L2947" s="187"/>
    </row>
    <row r="2948" spans="12:12" ht="21" customHeight="1">
      <c r="L2948" s="187"/>
    </row>
    <row r="2949" spans="12:12" ht="21" customHeight="1">
      <c r="L2949" s="187"/>
    </row>
    <row r="2950" spans="12:12" ht="21" customHeight="1">
      <c r="L2950" s="187"/>
    </row>
    <row r="2951" spans="12:12" ht="21" customHeight="1">
      <c r="L2951" s="187"/>
    </row>
    <row r="2952" spans="12:12" ht="21" customHeight="1">
      <c r="L2952" s="187"/>
    </row>
    <row r="2953" spans="12:12" ht="21" customHeight="1">
      <c r="L2953" s="187"/>
    </row>
    <row r="2954" spans="12:12" ht="21" customHeight="1">
      <c r="L2954" s="187"/>
    </row>
    <row r="2955" spans="12:12" ht="21" customHeight="1">
      <c r="L2955" s="187"/>
    </row>
    <row r="2956" spans="12:12" ht="21" customHeight="1">
      <c r="L2956" s="187"/>
    </row>
    <row r="2957" spans="12:12" ht="21" customHeight="1">
      <c r="L2957" s="187"/>
    </row>
    <row r="2958" spans="12:12" ht="21" customHeight="1">
      <c r="L2958" s="187"/>
    </row>
    <row r="2959" spans="12:12" ht="21" customHeight="1">
      <c r="L2959" s="187"/>
    </row>
    <row r="2960" spans="12:12" ht="21" customHeight="1">
      <c r="L2960" s="187"/>
    </row>
    <row r="2961" spans="12:12" ht="21" customHeight="1">
      <c r="L2961" s="187"/>
    </row>
    <row r="2962" spans="12:12" ht="21" customHeight="1">
      <c r="L2962" s="187"/>
    </row>
    <row r="2963" spans="12:12" ht="21" customHeight="1">
      <c r="L2963" s="187"/>
    </row>
    <row r="2964" spans="12:12" ht="21" customHeight="1">
      <c r="L2964" s="187"/>
    </row>
    <row r="2965" spans="12:12" ht="21" customHeight="1">
      <c r="L2965" s="187"/>
    </row>
    <row r="2966" spans="12:12" ht="21" customHeight="1">
      <c r="L2966" s="187"/>
    </row>
    <row r="2967" spans="12:12" ht="21" customHeight="1">
      <c r="L2967" s="187"/>
    </row>
    <row r="2968" spans="12:12" ht="21" customHeight="1">
      <c r="L2968" s="187"/>
    </row>
    <row r="2969" spans="12:12" ht="21" customHeight="1">
      <c r="L2969" s="187"/>
    </row>
    <row r="2970" spans="12:12" ht="21" customHeight="1">
      <c r="L2970" s="187"/>
    </row>
    <row r="2971" spans="12:12" ht="21" customHeight="1">
      <c r="L2971" s="187"/>
    </row>
    <row r="2972" spans="12:12" ht="21" customHeight="1">
      <c r="L2972" s="187"/>
    </row>
    <row r="2973" spans="12:12" ht="21" customHeight="1">
      <c r="L2973" s="187"/>
    </row>
    <row r="2974" spans="12:12" ht="21" customHeight="1">
      <c r="L2974" s="187"/>
    </row>
    <row r="2975" spans="12:12" ht="21" customHeight="1">
      <c r="L2975" s="187"/>
    </row>
    <row r="2976" spans="12:12" ht="21" customHeight="1">
      <c r="L2976" s="187"/>
    </row>
    <row r="2977" spans="12:12" ht="21" customHeight="1">
      <c r="L2977" s="187"/>
    </row>
    <row r="2978" spans="12:12" ht="21" customHeight="1">
      <c r="L2978" s="187"/>
    </row>
    <row r="2979" spans="12:12" ht="21" customHeight="1">
      <c r="L2979" s="187"/>
    </row>
    <row r="2980" spans="12:12" ht="21" customHeight="1">
      <c r="L2980" s="187"/>
    </row>
    <row r="2981" spans="12:12" ht="21" customHeight="1">
      <c r="L2981" s="187"/>
    </row>
    <row r="2982" spans="12:12" ht="21" customHeight="1">
      <c r="L2982" s="187"/>
    </row>
    <row r="2983" spans="12:12" ht="21" customHeight="1">
      <c r="L2983" s="187"/>
    </row>
    <row r="2984" spans="12:12" ht="21" customHeight="1">
      <c r="L2984" s="187"/>
    </row>
    <row r="2985" spans="12:12" ht="21" customHeight="1">
      <c r="L2985" s="187"/>
    </row>
    <row r="2986" spans="12:12" ht="21" customHeight="1">
      <c r="L2986" s="187"/>
    </row>
    <row r="2987" spans="12:12" ht="21" customHeight="1">
      <c r="L2987" s="187"/>
    </row>
    <row r="2988" spans="12:12" ht="21" customHeight="1">
      <c r="L2988" s="187"/>
    </row>
    <row r="2989" spans="12:12" ht="21" customHeight="1">
      <c r="L2989" s="187"/>
    </row>
    <row r="2990" spans="12:12" ht="21" customHeight="1">
      <c r="L2990" s="187"/>
    </row>
    <row r="2991" spans="12:12" ht="21" customHeight="1">
      <c r="L2991" s="187"/>
    </row>
    <row r="2992" spans="12:12" ht="21" customHeight="1">
      <c r="L2992" s="187"/>
    </row>
    <row r="2993" spans="12:12" ht="21" customHeight="1">
      <c r="L2993" s="187"/>
    </row>
    <row r="2994" spans="12:12" ht="21" customHeight="1">
      <c r="L2994" s="187"/>
    </row>
    <row r="2995" spans="12:12" ht="21" customHeight="1">
      <c r="L2995" s="187"/>
    </row>
    <row r="2996" spans="12:12" ht="21" customHeight="1">
      <c r="L2996" s="187"/>
    </row>
    <row r="2997" spans="12:12" ht="21" customHeight="1">
      <c r="L2997" s="187"/>
    </row>
    <row r="2998" spans="12:12" ht="21" customHeight="1">
      <c r="L2998" s="187"/>
    </row>
    <row r="2999" spans="12:12" ht="21" customHeight="1">
      <c r="L2999" s="187"/>
    </row>
    <row r="3000" spans="12:12" ht="21" customHeight="1">
      <c r="L3000" s="187"/>
    </row>
    <row r="3001" spans="12:12" ht="21" customHeight="1">
      <c r="L3001" s="187"/>
    </row>
    <row r="3002" spans="12:12" ht="21" customHeight="1">
      <c r="L3002" s="187"/>
    </row>
    <row r="3003" spans="12:12" ht="21" customHeight="1">
      <c r="L3003" s="187"/>
    </row>
    <row r="3004" spans="12:12" ht="21" customHeight="1">
      <c r="L3004" s="187"/>
    </row>
    <row r="3005" spans="12:12" ht="21" customHeight="1">
      <c r="L3005" s="187"/>
    </row>
    <row r="3006" spans="12:12" ht="21" customHeight="1">
      <c r="L3006" s="187"/>
    </row>
    <row r="3007" spans="12:12" ht="21" customHeight="1">
      <c r="L3007" s="187"/>
    </row>
    <row r="3008" spans="12:12" ht="21" customHeight="1">
      <c r="L3008" s="18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D149"/>
  <sheetViews>
    <sheetView zoomScale="70" zoomScaleNormal="70" workbookViewId="0">
      <selection activeCell="AA6" sqref="AA6"/>
    </sheetView>
  </sheetViews>
  <sheetFormatPr defaultRowHeight="15"/>
  <cols>
    <col min="2" max="2" width="38.5703125" customWidth="1"/>
    <col min="3" max="3" width="14.85546875" bestFit="1" customWidth="1"/>
    <col min="4" max="4" width="11.7109375" bestFit="1" customWidth="1"/>
    <col min="5" max="5" width="8.7109375" bestFit="1" customWidth="1"/>
    <col min="6" max="6" width="11.42578125" bestFit="1" customWidth="1"/>
    <col min="7" max="7" width="8.85546875" bestFit="1" customWidth="1"/>
    <col min="8" max="8" width="18.7109375" bestFit="1" customWidth="1"/>
    <col min="9" max="9" width="20" customWidth="1"/>
    <col min="10" max="10" width="27.85546875" bestFit="1" customWidth="1"/>
    <col min="11" max="11" width="20.140625" style="161" customWidth="1"/>
    <col min="12" max="12" width="16.42578125" bestFit="1" customWidth="1"/>
    <col min="15" max="15" width="20.5703125" style="161" bestFit="1" customWidth="1"/>
    <col min="17" max="18" width="17.140625" style="143" bestFit="1" customWidth="1"/>
    <col min="19" max="19" width="19.5703125" style="143" bestFit="1" customWidth="1"/>
    <col min="20" max="20" width="18.28515625" style="143" bestFit="1" customWidth="1"/>
    <col min="21" max="22" width="18.28515625" style="143" customWidth="1"/>
    <col min="23" max="23" width="20.140625" style="143" customWidth="1"/>
    <col min="24" max="24" width="17.42578125" style="143" bestFit="1" customWidth="1"/>
    <col min="25" max="25" width="17.42578125" bestFit="1" customWidth="1"/>
    <col min="26" max="26" width="17.85546875" bestFit="1" customWidth="1"/>
    <col min="27" max="27" width="19.140625" bestFit="1" customWidth="1"/>
    <col min="28" max="28" width="14.42578125" customWidth="1"/>
    <col min="30" max="30" width="17.42578125" bestFit="1" customWidth="1"/>
  </cols>
  <sheetData>
    <row r="1" spans="2:30">
      <c r="B1" s="197" t="s">
        <v>1690</v>
      </c>
      <c r="H1" s="197"/>
      <c r="L1" t="s">
        <v>1686</v>
      </c>
    </row>
    <row r="2" spans="2:30">
      <c r="L2" t="s">
        <v>1687</v>
      </c>
    </row>
    <row r="4" spans="2:30" ht="59.25" customHeight="1">
      <c r="B4" t="s">
        <v>1685</v>
      </c>
      <c r="C4" t="s">
        <v>92</v>
      </c>
      <c r="D4" t="s">
        <v>1696</v>
      </c>
      <c r="E4" t="s">
        <v>27</v>
      </c>
      <c r="F4" t="s">
        <v>1695</v>
      </c>
      <c r="G4" t="s">
        <v>1694</v>
      </c>
      <c r="H4" t="s">
        <v>93</v>
      </c>
      <c r="I4" s="199" t="s">
        <v>1688</v>
      </c>
      <c r="J4" t="s">
        <v>1689</v>
      </c>
      <c r="K4" s="161" t="s">
        <v>1691</v>
      </c>
      <c r="L4" t="s">
        <v>1692</v>
      </c>
      <c r="O4" s="161" t="s">
        <v>1693</v>
      </c>
      <c r="Q4" s="143" t="s">
        <v>91</v>
      </c>
      <c r="R4" s="143" t="s">
        <v>232</v>
      </c>
      <c r="S4" s="143" t="s">
        <v>90</v>
      </c>
      <c r="T4" s="143" t="s">
        <v>1699</v>
      </c>
      <c r="U4" s="143" t="s">
        <v>1700</v>
      </c>
      <c r="W4" s="143" t="s">
        <v>1698</v>
      </c>
      <c r="X4" s="143" t="s">
        <v>1697</v>
      </c>
      <c r="AA4" t="s">
        <v>89</v>
      </c>
    </row>
    <row r="5" spans="2:30" ht="59.25" customHeight="1">
      <c r="I5" s="199"/>
      <c r="T5" s="143" t="s">
        <v>107</v>
      </c>
      <c r="U5" s="143" t="s">
        <v>105</v>
      </c>
      <c r="V5" s="143" t="s">
        <v>1701</v>
      </c>
    </row>
    <row r="6" spans="2:30">
      <c r="B6">
        <v>2304.3965002156701</v>
      </c>
      <c r="C6">
        <v>14.271121239999999</v>
      </c>
      <c r="D6">
        <v>252</v>
      </c>
      <c r="E6">
        <v>100</v>
      </c>
      <c r="F6">
        <v>100</v>
      </c>
      <c r="G6">
        <v>1</v>
      </c>
      <c r="H6">
        <v>13</v>
      </c>
      <c r="I6">
        <f>C6/F6+G6</f>
        <v>1.1427112124000001</v>
      </c>
      <c r="J6">
        <f>G6/D6</f>
        <v>3.968253968253968E-3</v>
      </c>
      <c r="K6" s="161">
        <f>POWER(I6,J6)</f>
        <v>1.000529519889525</v>
      </c>
      <c r="L6" s="198">
        <f>K6-G6</f>
        <v>5.2951988952498752E-4</v>
      </c>
      <c r="M6">
        <f>E6/F6</f>
        <v>1</v>
      </c>
      <c r="N6">
        <f>POWER((L6*M6)+1,H6)</f>
        <v>1.0069056716057516</v>
      </c>
      <c r="O6" s="161">
        <f>B6/N6</f>
        <v>2288.5922338095083</v>
      </c>
      <c r="Q6" s="143">
        <v>1.01058859</v>
      </c>
      <c r="R6" s="143">
        <v>1.01058859</v>
      </c>
      <c r="S6" s="143">
        <v>100000</v>
      </c>
      <c r="T6" s="143">
        <v>1007.6</v>
      </c>
      <c r="U6" s="143">
        <v>237.93750021566601</v>
      </c>
      <c r="V6" s="143">
        <f>W6-U6</f>
        <v>1058.859000000004</v>
      </c>
      <c r="W6" s="143">
        <v>1296.79650021567</v>
      </c>
      <c r="X6" s="143">
        <v>2304.3965002156701</v>
      </c>
      <c r="Y6" s="143"/>
      <c r="Z6" s="200">
        <f>W6+(T6*(Q6-G6))</f>
        <v>1307.46556349967</v>
      </c>
      <c r="AA6" s="200">
        <v>1.0023544447520001</v>
      </c>
      <c r="AB6" s="200">
        <f>AA6-G6</f>
        <v>2.3544447520000844E-3</v>
      </c>
      <c r="AC6">
        <f>AB6*S6</f>
        <v>235.44447520000844</v>
      </c>
      <c r="AD6" s="200">
        <f>AC6*Q6</f>
        <v>237.93750021566649</v>
      </c>
    </row>
    <row r="7" spans="2:30">
      <c r="B7">
        <v>2296.5966858450402</v>
      </c>
      <c r="C7">
        <v>14.408799999999999</v>
      </c>
      <c r="D7">
        <v>252</v>
      </c>
      <c r="E7">
        <v>100</v>
      </c>
      <c r="F7">
        <v>100</v>
      </c>
      <c r="G7">
        <v>1</v>
      </c>
      <c r="H7">
        <v>33</v>
      </c>
      <c r="I7">
        <f t="shared" ref="I7:I70" si="0">C7/F7+G7</f>
        <v>1.144088</v>
      </c>
      <c r="J7">
        <f t="shared" ref="J7:J70" si="1">G7/D7</f>
        <v>3.968253968253968E-3</v>
      </c>
      <c r="K7" s="161">
        <f t="shared" ref="K7:K70" si="2">POWER(I7,J7)</f>
        <v>1.0005343006761802</v>
      </c>
      <c r="L7" s="198">
        <f t="shared" ref="L7:L70" si="3">K7-G7</f>
        <v>5.3430067618021049E-4</v>
      </c>
      <c r="M7">
        <f t="shared" ref="M7:M70" si="4">E7/F7</f>
        <v>1</v>
      </c>
      <c r="N7">
        <f t="shared" ref="N7:N70" si="5">POWER((L7*M7)+1,H7)</f>
        <v>1.0177834898347322</v>
      </c>
      <c r="O7" s="161">
        <f t="shared" ref="O7:O70" si="6">B7/N7</f>
        <v>2256.4687959498751</v>
      </c>
      <c r="Q7" s="143">
        <v>1.0107509699999999</v>
      </c>
      <c r="R7" s="143">
        <v>1.0107509699999999</v>
      </c>
      <c r="S7" s="143">
        <v>98992.4</v>
      </c>
      <c r="T7" s="143">
        <v>996.75447499999996</v>
      </c>
      <c r="U7" s="143">
        <v>235.577888217045</v>
      </c>
      <c r="V7" s="143">
        <f t="shared" ref="V7:V70" si="7">W7-U7</f>
        <v>1064.2643226279949</v>
      </c>
      <c r="W7" s="143">
        <v>1299.84221084504</v>
      </c>
      <c r="X7" s="143">
        <v>2296.5966858450402</v>
      </c>
      <c r="Y7" s="143"/>
      <c r="AA7" s="200">
        <v>1.0023544447520001</v>
      </c>
      <c r="AB7" s="200">
        <f t="shared" ref="AB7:AB70" si="8">AA7-G7</f>
        <v>2.3544447520000844E-3</v>
      </c>
      <c r="AC7">
        <f t="shared" ref="AC7:AC70" si="9">AB7*S7</f>
        <v>233.07213666789315</v>
      </c>
      <c r="AD7" s="200">
        <f t="shared" ref="AD7:AD70" si="10">AC7*Q7</f>
        <v>235.57788821704554</v>
      </c>
    </row>
    <row r="8" spans="2:30">
      <c r="B8">
        <v>2240.5658412452299</v>
      </c>
      <c r="C8">
        <v>14.592700000000001</v>
      </c>
      <c r="D8">
        <v>252</v>
      </c>
      <c r="E8">
        <v>100</v>
      </c>
      <c r="F8">
        <v>100</v>
      </c>
      <c r="G8">
        <v>1</v>
      </c>
      <c r="H8">
        <v>52</v>
      </c>
      <c r="I8">
        <f t="shared" si="0"/>
        <v>1.1459269999999999</v>
      </c>
      <c r="J8">
        <f t="shared" si="1"/>
        <v>3.968253968253968E-3</v>
      </c>
      <c r="K8" s="161">
        <f t="shared" si="2"/>
        <v>1.0005406775278671</v>
      </c>
      <c r="L8" s="198">
        <f t="shared" si="3"/>
        <v>5.406775278671283E-4</v>
      </c>
      <c r="M8">
        <f t="shared" si="4"/>
        <v>1</v>
      </c>
      <c r="N8">
        <f t="shared" si="5"/>
        <v>1.0285063802576753</v>
      </c>
      <c r="O8" s="161">
        <f t="shared" si="6"/>
        <v>2178.4656704646723</v>
      </c>
      <c r="Q8" s="143">
        <v>1.0104201900000001</v>
      </c>
      <c r="R8" s="143">
        <v>1.0104201900000001</v>
      </c>
      <c r="S8" s="143">
        <v>97995.645525</v>
      </c>
      <c r="T8" s="143">
        <v>996.02774099999999</v>
      </c>
      <c r="U8" s="143">
        <v>223.40485470207699</v>
      </c>
      <c r="V8" s="143">
        <f t="shared" si="7"/>
        <v>1021.133245543153</v>
      </c>
      <c r="W8" s="143">
        <v>1244.53810024523</v>
      </c>
      <c r="X8" s="143">
        <v>2240.5658412452299</v>
      </c>
      <c r="Y8" s="143"/>
      <c r="AA8" s="200">
        <v>1.0022562323019999</v>
      </c>
      <c r="AB8" s="200">
        <f t="shared" si="8"/>
        <v>2.2562323019998942E-3</v>
      </c>
      <c r="AC8">
        <f t="shared" si="9"/>
        <v>221.10094088883639</v>
      </c>
      <c r="AD8" s="200">
        <f t="shared" si="10"/>
        <v>223.40485470207685</v>
      </c>
    </row>
    <row r="9" spans="2:30">
      <c r="B9">
        <v>2415.5471314993601</v>
      </c>
      <c r="C9">
        <v>14.805999999999999</v>
      </c>
      <c r="D9">
        <v>252</v>
      </c>
      <c r="E9">
        <v>100</v>
      </c>
      <c r="F9">
        <v>100</v>
      </c>
      <c r="G9">
        <v>1</v>
      </c>
      <c r="H9">
        <v>74</v>
      </c>
      <c r="I9">
        <f t="shared" si="0"/>
        <v>1.1480600000000001</v>
      </c>
      <c r="J9">
        <f t="shared" si="1"/>
        <v>3.968253968253968E-3</v>
      </c>
      <c r="K9" s="161">
        <f t="shared" si="2"/>
        <v>1.0005480610883253</v>
      </c>
      <c r="L9" s="198">
        <f t="shared" si="3"/>
        <v>5.4806108832528011E-4</v>
      </c>
      <c r="M9">
        <f t="shared" si="4"/>
        <v>1</v>
      </c>
      <c r="N9">
        <f t="shared" si="5"/>
        <v>1.0413785985366206</v>
      </c>
      <c r="O9" s="161">
        <f t="shared" si="6"/>
        <v>2319.5667117547509</v>
      </c>
      <c r="Q9" s="143">
        <v>1.0124769199999999</v>
      </c>
      <c r="R9" s="143">
        <v>1.0124769199999999</v>
      </c>
      <c r="S9" s="143">
        <v>96999.617784000002</v>
      </c>
      <c r="T9" s="143">
        <v>954.76723700000002</v>
      </c>
      <c r="U9" s="143">
        <v>250.52342337782599</v>
      </c>
      <c r="V9" s="143">
        <f t="shared" si="7"/>
        <v>1210.2564711215339</v>
      </c>
      <c r="W9" s="143">
        <v>1460.7798944993599</v>
      </c>
      <c r="X9" s="143">
        <v>2415.5471314993601</v>
      </c>
      <c r="Y9" s="143"/>
      <c r="AA9" s="200">
        <v>1.002550898525</v>
      </c>
      <c r="AB9" s="200">
        <f t="shared" si="8"/>
        <v>2.5508985250000116E-3</v>
      </c>
      <c r="AC9">
        <f t="shared" si="9"/>
        <v>247.43618193077049</v>
      </c>
      <c r="AD9" s="200">
        <f t="shared" si="10"/>
        <v>250.52342337782613</v>
      </c>
    </row>
    <row r="10" spans="2:30">
      <c r="B10">
        <v>2291.7678964156098</v>
      </c>
      <c r="C10">
        <v>14.962899999999999</v>
      </c>
      <c r="D10">
        <v>252</v>
      </c>
      <c r="E10">
        <v>100</v>
      </c>
      <c r="F10">
        <v>100</v>
      </c>
      <c r="G10">
        <v>1</v>
      </c>
      <c r="H10">
        <v>94</v>
      </c>
      <c r="I10">
        <f t="shared" si="0"/>
        <v>1.149629</v>
      </c>
      <c r="J10">
        <f t="shared" si="1"/>
        <v>3.968253968253968E-3</v>
      </c>
      <c r="K10" s="161">
        <f t="shared" si="2"/>
        <v>1.0005534835982106</v>
      </c>
      <c r="L10" s="198">
        <f t="shared" si="3"/>
        <v>5.5348359821061344E-4</v>
      </c>
      <c r="M10">
        <f t="shared" si="4"/>
        <v>1</v>
      </c>
      <c r="N10">
        <f t="shared" si="5"/>
        <v>1.0533895053470612</v>
      </c>
      <c r="O10" s="161">
        <f t="shared" si="6"/>
        <v>2175.6129947967715</v>
      </c>
      <c r="Q10" s="143">
        <v>1.01145901</v>
      </c>
      <c r="R10" s="143">
        <v>1.01145901</v>
      </c>
      <c r="S10" s="143">
        <v>96044.850546999995</v>
      </c>
      <c r="T10" s="143">
        <v>962.46544700000004</v>
      </c>
      <c r="U10" s="143">
        <v>228.72354654903299</v>
      </c>
      <c r="V10" s="143">
        <f t="shared" si="7"/>
        <v>1100.578902866587</v>
      </c>
      <c r="W10" s="143">
        <v>1329.30244941562</v>
      </c>
      <c r="X10" s="143">
        <v>2291.7678964156198</v>
      </c>
      <c r="Y10" s="143"/>
      <c r="AA10" s="200">
        <v>1.0023544447520001</v>
      </c>
      <c r="AB10" s="200">
        <f t="shared" si="8"/>
        <v>2.3544447520000844E-3</v>
      </c>
      <c r="AC10">
        <f t="shared" si="9"/>
        <v>226.13229432701658</v>
      </c>
      <c r="AD10" s="200">
        <f t="shared" si="10"/>
        <v>228.72354654903282</v>
      </c>
    </row>
    <row r="11" spans="2:30">
      <c r="B11">
        <v>2340.7773003502798</v>
      </c>
      <c r="C11">
        <v>15.119300000000001</v>
      </c>
      <c r="D11">
        <v>252</v>
      </c>
      <c r="E11">
        <v>100</v>
      </c>
      <c r="F11">
        <v>100</v>
      </c>
      <c r="G11">
        <v>1</v>
      </c>
      <c r="H11">
        <v>115</v>
      </c>
      <c r="I11">
        <f t="shared" si="0"/>
        <v>1.1511930000000001</v>
      </c>
      <c r="J11">
        <f t="shared" si="1"/>
        <v>3.968253968253968E-3</v>
      </c>
      <c r="K11" s="161">
        <f t="shared" si="2"/>
        <v>1.0005588814968971</v>
      </c>
      <c r="L11" s="198">
        <f t="shared" si="3"/>
        <v>5.588814968970901E-4</v>
      </c>
      <c r="M11">
        <f t="shared" si="4"/>
        <v>1</v>
      </c>
      <c r="N11">
        <f t="shared" si="5"/>
        <v>1.0663626008447475</v>
      </c>
      <c r="O11" s="161">
        <f t="shared" si="6"/>
        <v>2195.1044593049032</v>
      </c>
      <c r="Q11" s="143">
        <v>1.01224172</v>
      </c>
      <c r="R11" s="143">
        <v>1.01224172</v>
      </c>
      <c r="S11" s="143">
        <v>95082.3851</v>
      </c>
      <c r="T11" s="143">
        <v>940.74511800000005</v>
      </c>
      <c r="U11" s="143">
        <v>236.06024702390599</v>
      </c>
      <c r="V11" s="143">
        <f t="shared" si="7"/>
        <v>1163.971935326374</v>
      </c>
      <c r="W11" s="143">
        <v>1400.03218235028</v>
      </c>
      <c r="X11" s="143">
        <v>2340.7773003502798</v>
      </c>
      <c r="Y11" s="143"/>
      <c r="AA11" s="200">
        <v>1.0024526668260001</v>
      </c>
      <c r="AB11" s="200">
        <f t="shared" si="8"/>
        <v>2.4526668260000939E-3</v>
      </c>
      <c r="AC11">
        <f t="shared" si="9"/>
        <v>233.20541167173562</v>
      </c>
      <c r="AD11" s="200">
        <f t="shared" si="10"/>
        <v>236.06024702390573</v>
      </c>
    </row>
    <row r="12" spans="2:30">
      <c r="B12">
        <v>2379.7989424879001</v>
      </c>
      <c r="C12">
        <v>15.2698</v>
      </c>
      <c r="D12">
        <v>252</v>
      </c>
      <c r="E12">
        <v>100</v>
      </c>
      <c r="F12">
        <v>100</v>
      </c>
      <c r="G12">
        <v>1</v>
      </c>
      <c r="H12">
        <v>137</v>
      </c>
      <c r="I12">
        <f t="shared" si="0"/>
        <v>1.152698</v>
      </c>
      <c r="J12">
        <f t="shared" si="1"/>
        <v>3.968253968253968E-3</v>
      </c>
      <c r="K12" s="161">
        <f t="shared" si="2"/>
        <v>1.000564068874535</v>
      </c>
      <c r="L12" s="198">
        <f t="shared" si="3"/>
        <v>5.6406887453497312E-4</v>
      </c>
      <c r="M12">
        <f t="shared" si="4"/>
        <v>1</v>
      </c>
      <c r="N12">
        <f t="shared" si="5"/>
        <v>1.0803182234802982</v>
      </c>
      <c r="O12" s="161">
        <f t="shared" si="6"/>
        <v>2202.8684611292229</v>
      </c>
      <c r="Q12" s="143">
        <v>1.0129370200000001</v>
      </c>
      <c r="R12" s="143">
        <v>1.0129370200000001</v>
      </c>
      <c r="S12" s="143">
        <v>94141.639981999993</v>
      </c>
      <c r="T12" s="143">
        <v>918.63412200000005</v>
      </c>
      <c r="U12" s="143">
        <v>243.25254120796001</v>
      </c>
      <c r="V12" s="143">
        <f t="shared" si="7"/>
        <v>1217.9122792799399</v>
      </c>
      <c r="W12" s="143">
        <v>1461.1648204879</v>
      </c>
      <c r="X12" s="143">
        <v>2379.7989424879001</v>
      </c>
      <c r="Y12" s="143"/>
      <c r="AA12" s="200">
        <v>1.002550898525</v>
      </c>
      <c r="AB12" s="200">
        <f t="shared" si="8"/>
        <v>2.5508985250000116E-3</v>
      </c>
      <c r="AC12">
        <f t="shared" si="9"/>
        <v>240.14577057116591</v>
      </c>
      <c r="AD12" s="200">
        <f t="shared" si="10"/>
        <v>243.25254120796052</v>
      </c>
    </row>
    <row r="13" spans="2:30">
      <c r="B13">
        <v>2330.7469853819698</v>
      </c>
      <c r="C13">
        <v>15.4056</v>
      </c>
      <c r="D13">
        <v>252</v>
      </c>
      <c r="E13">
        <v>100</v>
      </c>
      <c r="F13">
        <v>100</v>
      </c>
      <c r="G13">
        <v>1</v>
      </c>
      <c r="H13">
        <v>158</v>
      </c>
      <c r="I13">
        <f t="shared" si="0"/>
        <v>1.154056</v>
      </c>
      <c r="J13">
        <f t="shared" si="1"/>
        <v>3.968253968253968E-3</v>
      </c>
      <c r="K13" s="161">
        <f t="shared" si="2"/>
        <v>1.000568743791594</v>
      </c>
      <c r="L13" s="198">
        <f t="shared" si="3"/>
        <v>5.6874379159399524E-4</v>
      </c>
      <c r="M13">
        <f t="shared" si="4"/>
        <v>1</v>
      </c>
      <c r="N13">
        <f t="shared" si="5"/>
        <v>1.0939948261214349</v>
      </c>
      <c r="O13" s="161">
        <f t="shared" si="6"/>
        <v>2130.4917808845776</v>
      </c>
      <c r="Q13" s="143">
        <v>1.0126990300000001</v>
      </c>
      <c r="R13" s="143">
        <v>1.0126990300000001</v>
      </c>
      <c r="S13" s="143">
        <v>93223.005860000005</v>
      </c>
      <c r="T13" s="143">
        <v>915.35669399999995</v>
      </c>
      <c r="U13" s="143">
        <v>231.548543275649</v>
      </c>
      <c r="V13" s="143">
        <f t="shared" si="7"/>
        <v>1183.8417481063209</v>
      </c>
      <c r="W13" s="143">
        <v>1415.39029138197</v>
      </c>
      <c r="X13" s="143">
        <v>2330.7469853819698</v>
      </c>
      <c r="Y13" s="143"/>
      <c r="AA13" s="200">
        <v>1.0024526668260001</v>
      </c>
      <c r="AB13" s="200">
        <f t="shared" si="8"/>
        <v>2.4526668260000939E-3</v>
      </c>
      <c r="AC13">
        <f t="shared" si="9"/>
        <v>228.64497389283437</v>
      </c>
      <c r="AD13" s="200">
        <f t="shared" si="10"/>
        <v>231.54854327564871</v>
      </c>
    </row>
    <row r="14" spans="2:30">
      <c r="B14">
        <v>2416.26265952219</v>
      </c>
      <c r="C14">
        <v>15.546200000000001</v>
      </c>
      <c r="D14">
        <v>252</v>
      </c>
      <c r="E14">
        <v>100</v>
      </c>
      <c r="F14">
        <v>100</v>
      </c>
      <c r="G14">
        <v>1</v>
      </c>
      <c r="H14">
        <v>181</v>
      </c>
      <c r="I14">
        <f t="shared" si="0"/>
        <v>1.155462</v>
      </c>
      <c r="J14">
        <f t="shared" si="1"/>
        <v>3.968253968253968E-3</v>
      </c>
      <c r="K14" s="161">
        <f t="shared" si="2"/>
        <v>1.0005735781791021</v>
      </c>
      <c r="L14" s="198">
        <f t="shared" si="3"/>
        <v>5.7357817910208553E-4</v>
      </c>
      <c r="M14">
        <f t="shared" si="4"/>
        <v>1</v>
      </c>
      <c r="N14">
        <f t="shared" si="5"/>
        <v>1.1093651203346906</v>
      </c>
      <c r="O14" s="161">
        <f t="shared" si="6"/>
        <v>2178.0589773664547</v>
      </c>
      <c r="Q14" s="143">
        <v>1.0139181799999999</v>
      </c>
      <c r="R14" s="143">
        <v>1.0139181799999999</v>
      </c>
      <c r="S14" s="143">
        <v>92307.649166000003</v>
      </c>
      <c r="T14" s="143">
        <v>883.56881699999997</v>
      </c>
      <c r="U14" s="143">
        <v>247.93936605296301</v>
      </c>
      <c r="V14" s="143">
        <f t="shared" si="7"/>
        <v>1284.754476469227</v>
      </c>
      <c r="W14" s="143">
        <v>1532.6938425221899</v>
      </c>
      <c r="X14" s="143">
        <v>2416.26265952219</v>
      </c>
      <c r="Y14" s="143"/>
      <c r="AA14" s="200">
        <v>1.0026491398490001</v>
      </c>
      <c r="AB14" s="200">
        <f t="shared" si="8"/>
        <v>2.6491398490000595E-3</v>
      </c>
      <c r="AC14">
        <f t="shared" si="9"/>
        <v>244.53587177316771</v>
      </c>
      <c r="AD14" s="200">
        <f t="shared" si="10"/>
        <v>247.93936605296355</v>
      </c>
    </row>
    <row r="15" spans="2:30">
      <c r="B15">
        <v>2340.3796650193199</v>
      </c>
      <c r="C15">
        <v>15.672599999999999</v>
      </c>
      <c r="D15">
        <v>252</v>
      </c>
      <c r="E15">
        <v>100</v>
      </c>
      <c r="F15">
        <v>100</v>
      </c>
      <c r="G15">
        <v>1</v>
      </c>
      <c r="H15">
        <v>202</v>
      </c>
      <c r="I15">
        <f t="shared" si="0"/>
        <v>1.1567259999999999</v>
      </c>
      <c r="J15">
        <f t="shared" si="1"/>
        <v>3.968253968253968E-3</v>
      </c>
      <c r="K15" s="161">
        <f t="shared" si="2"/>
        <v>1.0005779193152022</v>
      </c>
      <c r="L15" s="198">
        <f t="shared" si="3"/>
        <v>5.779193152022355E-4</v>
      </c>
      <c r="M15">
        <f t="shared" si="4"/>
        <v>1</v>
      </c>
      <c r="N15">
        <f t="shared" si="5"/>
        <v>1.1237889664752883</v>
      </c>
      <c r="O15" s="161">
        <f t="shared" si="6"/>
        <v>2082.5793230198828</v>
      </c>
      <c r="Q15" s="143">
        <v>1.0133826699999999</v>
      </c>
      <c r="R15" s="143">
        <v>1.0133826699999999</v>
      </c>
      <c r="S15" s="143">
        <v>91424.080348999996</v>
      </c>
      <c r="T15" s="143">
        <v>889.64772500000004</v>
      </c>
      <c r="U15" s="143">
        <v>227.23364265517199</v>
      </c>
      <c r="V15" s="143">
        <f t="shared" si="7"/>
        <v>1223.4982973641481</v>
      </c>
      <c r="W15" s="143">
        <v>1450.7319400193201</v>
      </c>
      <c r="X15" s="143">
        <v>2340.3796650193199</v>
      </c>
      <c r="Y15" s="143"/>
      <c r="AA15" s="200">
        <v>1.0024526668260001</v>
      </c>
      <c r="AB15" s="200">
        <f t="shared" si="8"/>
        <v>2.4526668260000939E-3</v>
      </c>
      <c r="AC15">
        <f t="shared" si="9"/>
        <v>224.23280896955939</v>
      </c>
      <c r="AD15" s="200">
        <f t="shared" si="10"/>
        <v>227.23364265517202</v>
      </c>
    </row>
    <row r="16" spans="2:30">
      <c r="B16">
        <v>2209.7566980052002</v>
      </c>
      <c r="C16">
        <v>15.7506</v>
      </c>
      <c r="D16">
        <v>252</v>
      </c>
      <c r="E16">
        <v>100</v>
      </c>
      <c r="F16">
        <v>100</v>
      </c>
      <c r="G16">
        <v>1</v>
      </c>
      <c r="H16">
        <v>222</v>
      </c>
      <c r="I16">
        <f t="shared" si="0"/>
        <v>1.1575059999999999</v>
      </c>
      <c r="J16">
        <f t="shared" si="1"/>
        <v>3.968253968253968E-3</v>
      </c>
      <c r="K16" s="161">
        <f t="shared" si="2"/>
        <v>1.0005805958239988</v>
      </c>
      <c r="L16" s="198">
        <f t="shared" si="3"/>
        <v>5.805958239988307E-4</v>
      </c>
      <c r="M16">
        <f t="shared" si="4"/>
        <v>1</v>
      </c>
      <c r="N16">
        <f t="shared" si="5"/>
        <v>1.1375250234593399</v>
      </c>
      <c r="O16" s="161">
        <f t="shared" si="6"/>
        <v>1942.600516413331</v>
      </c>
      <c r="Q16" s="143">
        <v>1.0123268700000001</v>
      </c>
      <c r="R16" s="143">
        <v>1.0123268700000001</v>
      </c>
      <c r="S16" s="143">
        <v>90534.432623999994</v>
      </c>
      <c r="T16" s="143">
        <v>886.96583599999997</v>
      </c>
      <c r="U16" s="143">
        <v>206.78468052538801</v>
      </c>
      <c r="V16" s="143">
        <f t="shared" si="7"/>
        <v>1116.0061814798121</v>
      </c>
      <c r="W16" s="143">
        <v>1322.7908620052001</v>
      </c>
      <c r="X16" s="143">
        <v>2209.7566980052002</v>
      </c>
      <c r="Y16" s="143"/>
      <c r="AA16" s="200">
        <v>1.0022562323019999</v>
      </c>
      <c r="AB16" s="200">
        <f t="shared" si="8"/>
        <v>2.2562323019998942E-3</v>
      </c>
      <c r="AC16">
        <f t="shared" si="9"/>
        <v>204.26671132950182</v>
      </c>
      <c r="AD16" s="200">
        <f t="shared" si="10"/>
        <v>206.78468052538813</v>
      </c>
    </row>
    <row r="17" spans="2:30">
      <c r="B17">
        <v>2119.2834939806899</v>
      </c>
      <c r="C17">
        <v>15.8056</v>
      </c>
      <c r="D17">
        <v>252</v>
      </c>
      <c r="E17">
        <v>100</v>
      </c>
      <c r="F17">
        <v>100</v>
      </c>
      <c r="G17">
        <v>1</v>
      </c>
      <c r="H17">
        <v>242</v>
      </c>
      <c r="I17">
        <f t="shared" si="0"/>
        <v>1.158056</v>
      </c>
      <c r="J17">
        <f t="shared" si="1"/>
        <v>3.968253968253968E-3</v>
      </c>
      <c r="K17" s="161">
        <f t="shared" si="2"/>
        <v>1.0005824820261002</v>
      </c>
      <c r="L17" s="198">
        <f t="shared" si="3"/>
        <v>5.8248202610022837E-4</v>
      </c>
      <c r="M17">
        <f t="shared" si="4"/>
        <v>1</v>
      </c>
      <c r="N17">
        <f t="shared" si="5"/>
        <v>1.1513320918193612</v>
      </c>
      <c r="O17" s="161">
        <f t="shared" si="6"/>
        <v>1840.7230277336835</v>
      </c>
      <c r="Q17" s="143">
        <v>1.01159081</v>
      </c>
      <c r="R17" s="143">
        <v>1.01159081</v>
      </c>
      <c r="S17" s="143">
        <v>89647.466788000005</v>
      </c>
      <c r="T17" s="143">
        <v>875.58680800000002</v>
      </c>
      <c r="U17" s="143">
        <v>204.60993145967899</v>
      </c>
      <c r="V17" s="143">
        <f t="shared" si="7"/>
        <v>1039.086754521011</v>
      </c>
      <c r="W17" s="143">
        <v>1243.6966859806901</v>
      </c>
      <c r="X17" s="143">
        <v>2119.2834939806899</v>
      </c>
      <c r="Y17" s="143"/>
      <c r="AA17" s="200">
        <v>1.0022562323019999</v>
      </c>
      <c r="AB17" s="200">
        <f t="shared" si="8"/>
        <v>2.2562323019998942E-3</v>
      </c>
      <c r="AC17">
        <f t="shared" si="9"/>
        <v>202.2655103595483</v>
      </c>
      <c r="AD17" s="200">
        <f t="shared" si="10"/>
        <v>204.60993145967885</v>
      </c>
    </row>
    <row r="18" spans="2:30">
      <c r="B18">
        <v>2336.6227069149199</v>
      </c>
      <c r="C18">
        <v>15.8864</v>
      </c>
      <c r="D18">
        <v>252</v>
      </c>
      <c r="E18">
        <v>100</v>
      </c>
      <c r="F18">
        <v>100</v>
      </c>
      <c r="G18">
        <v>1</v>
      </c>
      <c r="H18">
        <v>264</v>
      </c>
      <c r="I18">
        <f t="shared" si="0"/>
        <v>1.1588639999999999</v>
      </c>
      <c r="J18">
        <f t="shared" si="1"/>
        <v>3.968253968253968E-3</v>
      </c>
      <c r="K18" s="161">
        <f t="shared" si="2"/>
        <v>1.0005852514108153</v>
      </c>
      <c r="L18" s="198">
        <f t="shared" si="3"/>
        <v>5.8525141081533505E-4</v>
      </c>
      <c r="M18">
        <f t="shared" si="4"/>
        <v>1</v>
      </c>
      <c r="N18">
        <f t="shared" si="5"/>
        <v>1.1670289702562231</v>
      </c>
      <c r="O18" s="161">
        <f t="shared" si="6"/>
        <v>2002.1976887188248</v>
      </c>
      <c r="Q18" s="143">
        <v>1.0132758900000001</v>
      </c>
      <c r="R18" s="143">
        <v>1.0132758900000001</v>
      </c>
      <c r="S18" s="143">
        <v>88771.879979999998</v>
      </c>
      <c r="T18" s="143">
        <v>928.64263600000004</v>
      </c>
      <c r="U18" s="143">
        <v>229.45435720723199</v>
      </c>
      <c r="V18" s="143">
        <f t="shared" si="7"/>
        <v>1178.5257137076878</v>
      </c>
      <c r="W18" s="143">
        <v>1407.9800709149199</v>
      </c>
      <c r="X18" s="143">
        <v>2336.6227069149199</v>
      </c>
      <c r="Y18" s="143"/>
      <c r="AA18" s="200">
        <v>1.002550898525</v>
      </c>
      <c r="AB18" s="200">
        <f t="shared" si="8"/>
        <v>2.5508985250000116E-3</v>
      </c>
      <c r="AC18">
        <f t="shared" si="9"/>
        <v>226.44805770246006</v>
      </c>
      <c r="AD18" s="200">
        <f t="shared" si="10"/>
        <v>229.4543572072316</v>
      </c>
    </row>
    <row r="19" spans="2:30">
      <c r="B19">
        <v>2371.1306100245602</v>
      </c>
      <c r="C19">
        <v>15.9948</v>
      </c>
      <c r="D19">
        <v>252</v>
      </c>
      <c r="E19">
        <v>100</v>
      </c>
      <c r="F19">
        <v>100</v>
      </c>
      <c r="G19">
        <v>1</v>
      </c>
      <c r="H19">
        <v>286</v>
      </c>
      <c r="I19">
        <f t="shared" si="0"/>
        <v>1.159948</v>
      </c>
      <c r="J19">
        <f t="shared" si="1"/>
        <v>3.968253968253968E-3</v>
      </c>
      <c r="K19" s="161">
        <f t="shared" si="2"/>
        <v>1.000588963754127</v>
      </c>
      <c r="L19" s="198">
        <f t="shared" si="3"/>
        <v>5.8896375412698099E-4</v>
      </c>
      <c r="M19">
        <f t="shared" si="4"/>
        <v>1</v>
      </c>
      <c r="N19">
        <f t="shared" si="5"/>
        <v>1.1834028381401598</v>
      </c>
      <c r="O19" s="161">
        <f t="shared" si="6"/>
        <v>2003.6546589249674</v>
      </c>
      <c r="Q19" s="143">
        <v>1.01398418</v>
      </c>
      <c r="R19" s="143">
        <v>1.01398418</v>
      </c>
      <c r="S19" s="143">
        <v>87843.237343999994</v>
      </c>
      <c r="T19" s="143">
        <v>915.50221899999997</v>
      </c>
      <c r="U19" s="143">
        <v>227.21274822334399</v>
      </c>
      <c r="V19" s="143">
        <f t="shared" si="7"/>
        <v>1228.4156428012159</v>
      </c>
      <c r="W19" s="143">
        <v>1455.62839102456</v>
      </c>
      <c r="X19" s="143">
        <v>2371.1306100245602</v>
      </c>
      <c r="Y19" s="143"/>
      <c r="AA19" s="200">
        <v>1.002550898525</v>
      </c>
      <c r="AB19" s="200">
        <f t="shared" si="8"/>
        <v>2.5508985250000116E-3</v>
      </c>
      <c r="AC19">
        <f t="shared" si="9"/>
        <v>224.07918457203553</v>
      </c>
      <c r="AD19" s="200">
        <f t="shared" si="10"/>
        <v>227.21274822334411</v>
      </c>
    </row>
    <row r="20" spans="2:30">
      <c r="B20">
        <v>2122.6411963074102</v>
      </c>
      <c r="C20">
        <v>16.071999999999999</v>
      </c>
      <c r="D20">
        <v>252</v>
      </c>
      <c r="E20">
        <v>100</v>
      </c>
      <c r="F20">
        <v>100</v>
      </c>
      <c r="G20">
        <v>1</v>
      </c>
      <c r="H20">
        <v>304</v>
      </c>
      <c r="I20">
        <f t="shared" si="0"/>
        <v>1.16072</v>
      </c>
      <c r="J20">
        <f t="shared" si="1"/>
        <v>3.968253968253968E-3</v>
      </c>
      <c r="K20" s="161">
        <f t="shared" si="2"/>
        <v>1.0005916054939268</v>
      </c>
      <c r="L20" s="198">
        <f t="shared" si="3"/>
        <v>5.9160549392678341E-4</v>
      </c>
      <c r="M20">
        <f t="shared" si="4"/>
        <v>1</v>
      </c>
      <c r="N20">
        <f t="shared" si="5"/>
        <v>1.1969718289335205</v>
      </c>
      <c r="O20" s="161">
        <f t="shared" si="6"/>
        <v>1773.3426510117984</v>
      </c>
      <c r="Q20" s="143">
        <v>1.0114307600000001</v>
      </c>
      <c r="R20" s="143">
        <v>1.0114307600000001</v>
      </c>
      <c r="S20" s="143">
        <v>86927.735125000007</v>
      </c>
      <c r="T20" s="143">
        <v>939.25417800000002</v>
      </c>
      <c r="U20" s="143">
        <v>189.736940749957</v>
      </c>
      <c r="V20" s="143">
        <f t="shared" si="7"/>
        <v>993.65007755745296</v>
      </c>
      <c r="W20" s="143">
        <v>1183.38701830741</v>
      </c>
      <c r="X20" s="143">
        <v>2122.6411963074102</v>
      </c>
      <c r="Y20" s="143"/>
      <c r="AA20" s="200">
        <v>1.0021580294750001</v>
      </c>
      <c r="AB20" s="200">
        <f t="shared" si="8"/>
        <v>2.1580294750001006E-3</v>
      </c>
      <c r="AC20">
        <f t="shared" si="9"/>
        <v>187.59261459475155</v>
      </c>
      <c r="AD20" s="200">
        <f t="shared" si="10"/>
        <v>189.73694074995666</v>
      </c>
    </row>
    <row r="21" spans="2:30">
      <c r="B21">
        <v>2426.7623283724001</v>
      </c>
      <c r="C21">
        <v>16.1586</v>
      </c>
      <c r="D21">
        <v>252</v>
      </c>
      <c r="E21">
        <v>100</v>
      </c>
      <c r="F21">
        <v>100</v>
      </c>
      <c r="G21">
        <v>1</v>
      </c>
      <c r="H21">
        <v>327</v>
      </c>
      <c r="I21">
        <f t="shared" si="0"/>
        <v>1.161586</v>
      </c>
      <c r="J21">
        <f t="shared" si="1"/>
        <v>3.968253968253968E-3</v>
      </c>
      <c r="K21" s="161">
        <f t="shared" si="2"/>
        <v>1.0005945668144773</v>
      </c>
      <c r="L21" s="198">
        <f t="shared" si="3"/>
        <v>5.945668144773375E-4</v>
      </c>
      <c r="M21">
        <f t="shared" si="4"/>
        <v>1</v>
      </c>
      <c r="N21">
        <f t="shared" si="5"/>
        <v>1.2145402041842688</v>
      </c>
      <c r="O21" s="161">
        <f t="shared" si="6"/>
        <v>1998.0913929500634</v>
      </c>
      <c r="Q21" s="143">
        <v>1.01526038</v>
      </c>
      <c r="R21" s="143">
        <v>1.01526038</v>
      </c>
      <c r="S21" s="143">
        <v>85988.480947000004</v>
      </c>
      <c r="T21" s="143">
        <v>883.27367600000002</v>
      </c>
      <c r="U21" s="143">
        <v>231.27175749842201</v>
      </c>
      <c r="V21" s="143">
        <f t="shared" si="7"/>
        <v>1312.2168948739782</v>
      </c>
      <c r="W21" s="143">
        <v>1543.4886523724001</v>
      </c>
      <c r="X21" s="143">
        <v>2426.7623283724001</v>
      </c>
      <c r="Y21" s="143"/>
      <c r="AA21" s="200">
        <v>1.0026491398490001</v>
      </c>
      <c r="AB21" s="200">
        <f t="shared" si="8"/>
        <v>2.6491398490000595E-3</v>
      </c>
      <c r="AC21">
        <f t="shared" si="9"/>
        <v>227.79551143168007</v>
      </c>
      <c r="AD21" s="200">
        <f t="shared" si="10"/>
        <v>231.27175749842183</v>
      </c>
    </row>
    <row r="22" spans="2:30">
      <c r="B22">
        <v>2010.3376230623701</v>
      </c>
      <c r="C22">
        <v>16.218299999999999</v>
      </c>
      <c r="D22">
        <v>252</v>
      </c>
      <c r="E22">
        <v>100</v>
      </c>
      <c r="F22">
        <v>100</v>
      </c>
      <c r="G22">
        <v>1</v>
      </c>
      <c r="H22">
        <v>345</v>
      </c>
      <c r="I22">
        <f t="shared" si="0"/>
        <v>1.162183</v>
      </c>
      <c r="J22">
        <f t="shared" si="1"/>
        <v>3.968253968253968E-3</v>
      </c>
      <c r="K22" s="161">
        <f t="shared" si="2"/>
        <v>1.000596606998889</v>
      </c>
      <c r="L22" s="198">
        <f t="shared" si="3"/>
        <v>5.9660699888897106E-4</v>
      </c>
      <c r="M22">
        <f t="shared" si="4"/>
        <v>1</v>
      </c>
      <c r="N22">
        <f t="shared" si="5"/>
        <v>1.2284682147095338</v>
      </c>
      <c r="O22" s="161">
        <f t="shared" si="6"/>
        <v>1636.4588021007169</v>
      </c>
      <c r="Q22" s="143">
        <v>1.0107907300000001</v>
      </c>
      <c r="R22" s="143">
        <v>1.0107907300000001</v>
      </c>
      <c r="S22" s="143">
        <v>85105.207271000007</v>
      </c>
      <c r="T22" s="143">
        <v>914.79587200000003</v>
      </c>
      <c r="U22" s="143">
        <v>177.19443780697</v>
      </c>
      <c r="V22" s="143">
        <f t="shared" si="7"/>
        <v>918.34731325539997</v>
      </c>
      <c r="W22" s="143">
        <v>1095.5417510623699</v>
      </c>
      <c r="X22" s="143">
        <v>2010.3376230623701</v>
      </c>
      <c r="Y22" s="143"/>
      <c r="AA22" s="200">
        <v>1.0020598362699999</v>
      </c>
      <c r="AB22" s="200">
        <f t="shared" si="8"/>
        <v>2.0598362699999484E-3</v>
      </c>
      <c r="AC22">
        <f t="shared" si="9"/>
        <v>175.30279270266914</v>
      </c>
      <c r="AD22" s="200">
        <f t="shared" si="10"/>
        <v>177.19443780696963</v>
      </c>
    </row>
    <row r="23" spans="2:30">
      <c r="B23">
        <v>2264.2301311742299</v>
      </c>
      <c r="C23">
        <v>16.2834</v>
      </c>
      <c r="D23">
        <v>252</v>
      </c>
      <c r="E23">
        <v>100</v>
      </c>
      <c r="F23">
        <v>100</v>
      </c>
      <c r="G23">
        <v>1</v>
      </c>
      <c r="H23">
        <v>367</v>
      </c>
      <c r="I23">
        <f t="shared" si="0"/>
        <v>1.1628339999999999</v>
      </c>
      <c r="J23">
        <f t="shared" si="1"/>
        <v>3.968253968253968E-3</v>
      </c>
      <c r="K23" s="161">
        <f t="shared" si="2"/>
        <v>1.000598830533175</v>
      </c>
      <c r="L23" s="198">
        <f t="shared" si="3"/>
        <v>5.9883053317499879E-4</v>
      </c>
      <c r="M23">
        <f t="shared" si="4"/>
        <v>1</v>
      </c>
      <c r="N23">
        <f t="shared" si="5"/>
        <v>1.2457092285397309</v>
      </c>
      <c r="O23" s="161">
        <f t="shared" si="6"/>
        <v>1817.623309918358</v>
      </c>
      <c r="Q23" s="143">
        <v>1.0139865800000001</v>
      </c>
      <c r="R23" s="143">
        <v>1.0139865800000001</v>
      </c>
      <c r="S23" s="143">
        <v>84190.411399000004</v>
      </c>
      <c r="T23" s="143">
        <v>868.92923599999995</v>
      </c>
      <c r="U23" s="143">
        <v>217.764970909195</v>
      </c>
      <c r="V23" s="143">
        <f t="shared" si="7"/>
        <v>1177.535924265035</v>
      </c>
      <c r="W23" s="143">
        <v>1395.3008951742299</v>
      </c>
      <c r="X23" s="143">
        <v>2264.2301311742299</v>
      </c>
      <c r="Y23" s="143"/>
      <c r="AA23" s="200">
        <v>1.002550898525</v>
      </c>
      <c r="AB23" s="200">
        <f t="shared" si="8"/>
        <v>2.5508985250000116E-3</v>
      </c>
      <c r="AC23">
        <f t="shared" si="9"/>
        <v>214.76119625685328</v>
      </c>
      <c r="AD23" s="200">
        <f t="shared" si="10"/>
        <v>217.76497090919548</v>
      </c>
    </row>
    <row r="24" spans="2:30">
      <c r="B24">
        <v>2180.4481387023602</v>
      </c>
      <c r="C24">
        <v>16.336500000000001</v>
      </c>
      <c r="D24">
        <v>252</v>
      </c>
      <c r="E24">
        <v>100</v>
      </c>
      <c r="F24">
        <v>100</v>
      </c>
      <c r="G24">
        <v>1</v>
      </c>
      <c r="H24">
        <v>388</v>
      </c>
      <c r="I24">
        <f t="shared" si="0"/>
        <v>1.163365</v>
      </c>
      <c r="J24">
        <f t="shared" si="1"/>
        <v>3.968253968253968E-3</v>
      </c>
      <c r="K24" s="161">
        <f t="shared" si="2"/>
        <v>1.0006006432814611</v>
      </c>
      <c r="L24" s="198">
        <f t="shared" si="3"/>
        <v>6.0064328146114399E-4</v>
      </c>
      <c r="M24">
        <f t="shared" si="4"/>
        <v>1</v>
      </c>
      <c r="N24">
        <f t="shared" si="5"/>
        <v>1.2623557666255774</v>
      </c>
      <c r="O24" s="161">
        <f t="shared" si="6"/>
        <v>1727.2849670033588</v>
      </c>
      <c r="Q24" s="143">
        <v>1.0133008100000001</v>
      </c>
      <c r="R24" s="143">
        <v>1.0133008100000001</v>
      </c>
      <c r="S24" s="143">
        <v>83321.482162999993</v>
      </c>
      <c r="T24" s="143">
        <v>865.12694899999997</v>
      </c>
      <c r="U24" s="143">
        <v>207.0779865339</v>
      </c>
      <c r="V24" s="143">
        <f t="shared" si="7"/>
        <v>1108.24320316846</v>
      </c>
      <c r="W24" s="143">
        <v>1315.32118970236</v>
      </c>
      <c r="X24" s="143">
        <v>2180.4481387023602</v>
      </c>
      <c r="Y24" s="143"/>
      <c r="AA24" s="200">
        <v>1.0024526668260001</v>
      </c>
      <c r="AB24" s="200">
        <f t="shared" si="8"/>
        <v>2.4526668260000939E-3</v>
      </c>
      <c r="AC24">
        <f t="shared" si="9"/>
        <v>204.35983519434862</v>
      </c>
      <c r="AD24" s="200">
        <f t="shared" si="10"/>
        <v>207.07798653389997</v>
      </c>
    </row>
    <row r="25" spans="2:30">
      <c r="B25">
        <v>2143.3878041355601</v>
      </c>
      <c r="C25">
        <v>16.381499999999999</v>
      </c>
      <c r="D25">
        <v>252</v>
      </c>
      <c r="E25">
        <v>100</v>
      </c>
      <c r="F25">
        <v>100</v>
      </c>
      <c r="G25">
        <v>1</v>
      </c>
      <c r="H25">
        <v>409</v>
      </c>
      <c r="I25">
        <f t="shared" si="0"/>
        <v>1.163815</v>
      </c>
      <c r="J25">
        <f t="shared" si="1"/>
        <v>3.968253968253968E-3</v>
      </c>
      <c r="K25" s="161">
        <f t="shared" si="2"/>
        <v>1.0006021788638022</v>
      </c>
      <c r="L25" s="198">
        <f t="shared" si="3"/>
        <v>6.021788638022052E-4</v>
      </c>
      <c r="M25">
        <f t="shared" si="4"/>
        <v>1</v>
      </c>
      <c r="N25">
        <f t="shared" si="5"/>
        <v>1.2791771624544097</v>
      </c>
      <c r="O25" s="161">
        <f t="shared" si="6"/>
        <v>1675.5988670271083</v>
      </c>
      <c r="Q25" s="143">
        <v>1.01315428</v>
      </c>
      <c r="R25" s="143">
        <v>1.01315428</v>
      </c>
      <c r="S25" s="143">
        <v>82456.355213999996</v>
      </c>
      <c r="T25" s="143">
        <v>853.83555799999999</v>
      </c>
      <c r="U25" s="143">
        <v>204.89826187115199</v>
      </c>
      <c r="V25" s="143">
        <f t="shared" si="7"/>
        <v>1084.6539842644079</v>
      </c>
      <c r="W25" s="143">
        <v>1289.5522461355599</v>
      </c>
      <c r="X25" s="143">
        <v>2143.3878041355601</v>
      </c>
      <c r="Y25" s="143"/>
      <c r="AA25" s="200">
        <v>1.0024526668260001</v>
      </c>
      <c r="AB25" s="200">
        <f t="shared" si="8"/>
        <v>2.4526668260000939E-3</v>
      </c>
      <c r="AC25">
        <f t="shared" si="9"/>
        <v>202.23796702625765</v>
      </c>
      <c r="AD25" s="200">
        <f t="shared" si="10"/>
        <v>204.89826187115179</v>
      </c>
    </row>
    <row r="26" spans="2:30">
      <c r="B26">
        <v>2221.16998912603</v>
      </c>
      <c r="C26">
        <v>16.425699999999999</v>
      </c>
      <c r="D26">
        <v>252</v>
      </c>
      <c r="E26">
        <v>100</v>
      </c>
      <c r="F26">
        <v>100</v>
      </c>
      <c r="G26">
        <v>1</v>
      </c>
      <c r="H26">
        <v>432</v>
      </c>
      <c r="I26">
        <f t="shared" si="0"/>
        <v>1.1642570000000001</v>
      </c>
      <c r="J26">
        <f t="shared" si="1"/>
        <v>3.968253968253968E-3</v>
      </c>
      <c r="K26" s="161">
        <f t="shared" si="2"/>
        <v>1.0006036865712957</v>
      </c>
      <c r="L26" s="198">
        <f t="shared" si="3"/>
        <v>6.0368657129572512E-4</v>
      </c>
      <c r="M26">
        <f t="shared" si="4"/>
        <v>1</v>
      </c>
      <c r="N26">
        <f t="shared" si="5"/>
        <v>1.2978563111627435</v>
      </c>
      <c r="O26" s="161">
        <f t="shared" si="6"/>
        <v>1711.4144069893948</v>
      </c>
      <c r="Q26" s="143">
        <v>1.0144160499999999</v>
      </c>
      <c r="R26" s="143">
        <v>1.0144160499999999</v>
      </c>
      <c r="S26" s="143">
        <v>81602.519656000004</v>
      </c>
      <c r="T26" s="143">
        <v>825.49108799999999</v>
      </c>
      <c r="U26" s="143">
        <v>219.29289763916299</v>
      </c>
      <c r="V26" s="143">
        <f t="shared" si="7"/>
        <v>1176.3860034868671</v>
      </c>
      <c r="W26" s="143">
        <v>1395.67890112603</v>
      </c>
      <c r="X26" s="143">
        <v>2221.16998912603</v>
      </c>
      <c r="Y26" s="143"/>
      <c r="AA26" s="200">
        <v>1.0026491398490001</v>
      </c>
      <c r="AB26" s="200">
        <f t="shared" si="8"/>
        <v>2.6491398490000595E-3</v>
      </c>
      <c r="AC26">
        <f t="shared" si="9"/>
        <v>216.17648659952025</v>
      </c>
      <c r="AD26" s="200">
        <f t="shared" si="10"/>
        <v>219.29289763916324</v>
      </c>
    </row>
    <row r="27" spans="2:30">
      <c r="B27">
        <v>2094.1569454627902</v>
      </c>
      <c r="C27">
        <v>16.454999999999998</v>
      </c>
      <c r="D27">
        <v>252</v>
      </c>
      <c r="E27">
        <v>100</v>
      </c>
      <c r="F27">
        <v>100</v>
      </c>
      <c r="G27">
        <v>1</v>
      </c>
      <c r="H27">
        <v>452</v>
      </c>
      <c r="I27">
        <f t="shared" si="0"/>
        <v>1.16455</v>
      </c>
      <c r="J27">
        <f t="shared" si="1"/>
        <v>3.968253968253968E-3</v>
      </c>
      <c r="K27" s="161">
        <f t="shared" si="2"/>
        <v>1.0006046857102584</v>
      </c>
      <c r="L27" s="198">
        <f t="shared" si="3"/>
        <v>6.0468571025840134E-4</v>
      </c>
      <c r="M27">
        <f t="shared" si="4"/>
        <v>1</v>
      </c>
      <c r="N27">
        <f t="shared" si="5"/>
        <v>1.3142094926662824</v>
      </c>
      <c r="O27" s="161">
        <f t="shared" si="6"/>
        <v>1593.4726975789392</v>
      </c>
      <c r="Q27" s="143">
        <v>1.0131537399999999</v>
      </c>
      <c r="R27" s="143">
        <v>1.0131537399999999</v>
      </c>
      <c r="S27" s="143">
        <v>80777.028567999994</v>
      </c>
      <c r="T27" s="143">
        <v>838.95021799999995</v>
      </c>
      <c r="U27" s="143">
        <v>192.68669570675101</v>
      </c>
      <c r="V27" s="143">
        <f t="shared" si="7"/>
        <v>1062.5200317560391</v>
      </c>
      <c r="W27" s="143">
        <v>1255.20672746279</v>
      </c>
      <c r="X27" s="143">
        <v>2094.1569454627902</v>
      </c>
      <c r="Y27" s="143"/>
      <c r="AA27" s="200">
        <v>1.0023544447520001</v>
      </c>
      <c r="AB27" s="200">
        <f t="shared" si="8"/>
        <v>2.3544447520000844E-3</v>
      </c>
      <c r="AC27">
        <f t="shared" si="9"/>
        <v>190.18505099408847</v>
      </c>
      <c r="AD27" s="200">
        <f t="shared" si="10"/>
        <v>192.68669570675144</v>
      </c>
    </row>
    <row r="28" spans="2:30">
      <c r="B28">
        <v>2062.3057996504799</v>
      </c>
      <c r="C28">
        <v>16.476400000000002</v>
      </c>
      <c r="D28">
        <v>252</v>
      </c>
      <c r="E28">
        <v>100</v>
      </c>
      <c r="F28">
        <v>100</v>
      </c>
      <c r="G28">
        <v>1</v>
      </c>
      <c r="H28">
        <v>473</v>
      </c>
      <c r="I28">
        <f t="shared" si="0"/>
        <v>1.1647639999999999</v>
      </c>
      <c r="J28">
        <f t="shared" si="1"/>
        <v>3.968253968253968E-3</v>
      </c>
      <c r="K28" s="161">
        <f t="shared" si="2"/>
        <v>1.0006054152985959</v>
      </c>
      <c r="L28" s="198">
        <f t="shared" si="3"/>
        <v>6.054152985959238E-4</v>
      </c>
      <c r="M28">
        <f t="shared" si="4"/>
        <v>1</v>
      </c>
      <c r="N28">
        <f t="shared" si="5"/>
        <v>1.3314582729582922</v>
      </c>
      <c r="O28" s="161">
        <f t="shared" si="6"/>
        <v>1548.9075711463031</v>
      </c>
      <c r="Q28" s="143">
        <v>1.01315238</v>
      </c>
      <c r="R28" s="143">
        <v>1.01315238</v>
      </c>
      <c r="S28" s="143">
        <v>79938.078349999996</v>
      </c>
      <c r="T28" s="143">
        <v>820.24462100000005</v>
      </c>
      <c r="U28" s="143">
        <v>190.68519572151499</v>
      </c>
      <c r="V28" s="143">
        <f t="shared" si="7"/>
        <v>1051.3759829289652</v>
      </c>
      <c r="W28" s="143">
        <v>1242.0611786504801</v>
      </c>
      <c r="X28" s="143">
        <v>2062.3057996504799</v>
      </c>
      <c r="Y28" s="143"/>
      <c r="AA28" s="200">
        <v>1.0023544447520001</v>
      </c>
      <c r="AB28" s="200">
        <f t="shared" si="8"/>
        <v>2.3544447520000844E-3</v>
      </c>
      <c r="AC28">
        <f t="shared" si="9"/>
        <v>188.20978905612907</v>
      </c>
      <c r="AD28" s="200">
        <f t="shared" si="10"/>
        <v>190.6851957215151</v>
      </c>
    </row>
    <row r="29" spans="2:30">
      <c r="B29">
        <v>1939.6072571705699</v>
      </c>
      <c r="C29">
        <v>16.495100000000001</v>
      </c>
      <c r="D29">
        <v>252</v>
      </c>
      <c r="E29">
        <v>100</v>
      </c>
      <c r="F29">
        <v>100</v>
      </c>
      <c r="G29">
        <v>1</v>
      </c>
      <c r="H29">
        <v>493</v>
      </c>
      <c r="I29">
        <f t="shared" si="0"/>
        <v>1.1649510000000001</v>
      </c>
      <c r="J29">
        <f t="shared" si="1"/>
        <v>3.968253968253968E-3</v>
      </c>
      <c r="K29" s="161">
        <f t="shared" si="2"/>
        <v>1.0006060527267677</v>
      </c>
      <c r="L29" s="198">
        <f t="shared" si="3"/>
        <v>6.0605272676772515E-4</v>
      </c>
      <c r="M29">
        <f t="shared" si="4"/>
        <v>1</v>
      </c>
      <c r="N29">
        <f t="shared" si="5"/>
        <v>1.3480963570597149</v>
      </c>
      <c r="O29" s="161">
        <f t="shared" si="6"/>
        <v>1438.7749414299869</v>
      </c>
      <c r="Q29" s="143">
        <v>1.01189236</v>
      </c>
      <c r="R29" s="143">
        <v>1.01189236</v>
      </c>
      <c r="S29" s="143">
        <v>79117.833729000005</v>
      </c>
      <c r="T29" s="143">
        <v>818.07839999999999</v>
      </c>
      <c r="U29" s="143">
        <v>180.63109604515699</v>
      </c>
      <c r="V29" s="143">
        <f t="shared" si="7"/>
        <v>940.89776112541313</v>
      </c>
      <c r="W29" s="143">
        <v>1121.5288571705701</v>
      </c>
      <c r="X29" s="143">
        <v>1939.6072571705699</v>
      </c>
      <c r="Y29" s="143"/>
      <c r="AA29" s="200">
        <v>1.0022562323019999</v>
      </c>
      <c r="AB29" s="200">
        <f t="shared" si="8"/>
        <v>2.2562323019998942E-3</v>
      </c>
      <c r="AC29">
        <f t="shared" si="9"/>
        <v>178.50821212362655</v>
      </c>
      <c r="AD29" s="200">
        <f t="shared" si="10"/>
        <v>180.63109604515708</v>
      </c>
    </row>
    <row r="30" spans="2:30">
      <c r="B30">
        <v>2070.9638990460498</v>
      </c>
      <c r="C30">
        <v>16.518799999999999</v>
      </c>
      <c r="D30">
        <v>252</v>
      </c>
      <c r="E30">
        <v>100</v>
      </c>
      <c r="F30">
        <v>100</v>
      </c>
      <c r="G30">
        <v>1</v>
      </c>
      <c r="H30">
        <v>513</v>
      </c>
      <c r="I30">
        <f t="shared" si="0"/>
        <v>1.1651880000000001</v>
      </c>
      <c r="J30">
        <f t="shared" si="1"/>
        <v>3.968253968253968E-3</v>
      </c>
      <c r="K30" s="161">
        <f t="shared" si="2"/>
        <v>1.0006068604438625</v>
      </c>
      <c r="L30" s="198">
        <f t="shared" si="3"/>
        <v>6.0686044386248916E-4</v>
      </c>
      <c r="M30">
        <f t="shared" si="4"/>
        <v>1</v>
      </c>
      <c r="N30">
        <f t="shared" si="5"/>
        <v>1.3650963089900718</v>
      </c>
      <c r="O30" s="161">
        <f t="shared" si="6"/>
        <v>1517.0826302930921</v>
      </c>
      <c r="Q30" s="143">
        <v>1.0125591599999999</v>
      </c>
      <c r="R30" s="143">
        <v>1.0125591599999999</v>
      </c>
      <c r="S30" s="143">
        <v>78299.755329000007</v>
      </c>
      <c r="T30" s="143">
        <v>900.91698399999996</v>
      </c>
      <c r="U30" s="143">
        <v>186.66775990829501</v>
      </c>
      <c r="V30" s="143">
        <f t="shared" si="7"/>
        <v>983.37915513775488</v>
      </c>
      <c r="W30" s="143">
        <v>1170.0469150460499</v>
      </c>
      <c r="X30" s="143">
        <v>2070.9638990460498</v>
      </c>
      <c r="Y30" s="143"/>
      <c r="AA30" s="200">
        <v>1.0023544447520001</v>
      </c>
      <c r="AB30" s="200">
        <f t="shared" si="8"/>
        <v>2.3544447520000844E-3</v>
      </c>
      <c r="AC30">
        <f t="shared" si="9"/>
        <v>184.35244801725472</v>
      </c>
      <c r="AD30" s="200">
        <f t="shared" si="10"/>
        <v>186.6677599082951</v>
      </c>
    </row>
    <row r="31" spans="2:30">
      <c r="B31">
        <v>2252.3906974523602</v>
      </c>
      <c r="C31">
        <v>16.551200000000001</v>
      </c>
      <c r="D31">
        <v>252</v>
      </c>
      <c r="E31">
        <v>100</v>
      </c>
      <c r="F31">
        <v>100</v>
      </c>
      <c r="G31">
        <v>1</v>
      </c>
      <c r="H31">
        <v>535</v>
      </c>
      <c r="I31">
        <f t="shared" si="0"/>
        <v>1.1655120000000001</v>
      </c>
      <c r="J31">
        <f t="shared" si="1"/>
        <v>3.968253968253968E-3</v>
      </c>
      <c r="K31" s="161">
        <f t="shared" si="2"/>
        <v>1.0006079643999726</v>
      </c>
      <c r="L31" s="198">
        <f t="shared" si="3"/>
        <v>6.0796439997257146E-4</v>
      </c>
      <c r="M31">
        <f t="shared" si="4"/>
        <v>1</v>
      </c>
      <c r="N31">
        <f t="shared" si="5"/>
        <v>1.3842550439118535</v>
      </c>
      <c r="O31" s="161">
        <f t="shared" si="6"/>
        <v>1627.1500742285089</v>
      </c>
      <c r="Q31" s="143">
        <v>1.01522336</v>
      </c>
      <c r="R31" s="143">
        <v>1.01522336</v>
      </c>
      <c r="S31" s="143">
        <v>77398.838344999996</v>
      </c>
      <c r="T31" s="143">
        <v>873.678087</v>
      </c>
      <c r="U31" s="143">
        <v>200.44223074462201</v>
      </c>
      <c r="V31" s="143">
        <f t="shared" si="7"/>
        <v>1178.2703797077379</v>
      </c>
      <c r="W31" s="143">
        <v>1378.71261045236</v>
      </c>
      <c r="X31" s="143">
        <v>2252.3906974523602</v>
      </c>
      <c r="Y31" s="143"/>
      <c r="AA31" s="200">
        <v>1.002550898525</v>
      </c>
      <c r="AB31" s="200">
        <f t="shared" si="8"/>
        <v>2.5508985250000116E-3</v>
      </c>
      <c r="AC31">
        <f t="shared" si="9"/>
        <v>197.43658257097482</v>
      </c>
      <c r="AD31" s="200">
        <f t="shared" si="10"/>
        <v>200.44223074462249</v>
      </c>
    </row>
    <row r="32" spans="2:30">
      <c r="B32">
        <v>1820.7509814028899</v>
      </c>
      <c r="C32">
        <v>16.575800000000001</v>
      </c>
      <c r="D32">
        <v>252</v>
      </c>
      <c r="E32">
        <v>100</v>
      </c>
      <c r="F32">
        <v>100</v>
      </c>
      <c r="G32">
        <v>1</v>
      </c>
      <c r="H32">
        <v>553</v>
      </c>
      <c r="I32">
        <f t="shared" si="0"/>
        <v>1.1657580000000001</v>
      </c>
      <c r="J32">
        <f t="shared" si="1"/>
        <v>3.968253968253968E-3</v>
      </c>
      <c r="K32" s="161">
        <f t="shared" si="2"/>
        <v>1.000608802384743</v>
      </c>
      <c r="L32" s="198">
        <f t="shared" si="3"/>
        <v>6.0880238474303461E-4</v>
      </c>
      <c r="M32">
        <f t="shared" si="4"/>
        <v>1</v>
      </c>
      <c r="N32">
        <f t="shared" si="5"/>
        <v>1.4001302643865881</v>
      </c>
      <c r="O32" s="161">
        <f t="shared" si="6"/>
        <v>1300.4154168473606</v>
      </c>
      <c r="Q32" s="143">
        <v>1.0101233300000001</v>
      </c>
      <c r="R32" s="143">
        <v>1.0101233300000001</v>
      </c>
      <c r="S32" s="143">
        <v>76525.160258000004</v>
      </c>
      <c r="T32" s="143">
        <v>894.42607299999997</v>
      </c>
      <c r="U32" s="143">
        <v>151.635457808262</v>
      </c>
      <c r="V32" s="143">
        <f t="shared" si="7"/>
        <v>774.68945059462703</v>
      </c>
      <c r="W32" s="143">
        <v>926.32490840288904</v>
      </c>
      <c r="X32" s="143">
        <v>1820.7509814028899</v>
      </c>
      <c r="Y32" s="143"/>
      <c r="AA32" s="200">
        <v>1.001961652686</v>
      </c>
      <c r="AB32" s="200">
        <f t="shared" si="8"/>
        <v>1.961652686000015E-3</v>
      </c>
      <c r="AC32">
        <f t="shared" si="9"/>
        <v>150.11578616668731</v>
      </c>
      <c r="AD32" s="200">
        <f t="shared" si="10"/>
        <v>151.63545780826215</v>
      </c>
    </row>
    <row r="33" spans="2:30">
      <c r="B33">
        <v>2055.2755245159301</v>
      </c>
      <c r="C33">
        <v>16.602699999999999</v>
      </c>
      <c r="D33">
        <v>252</v>
      </c>
      <c r="E33">
        <v>100</v>
      </c>
      <c r="F33">
        <v>100</v>
      </c>
      <c r="G33">
        <v>1</v>
      </c>
      <c r="H33">
        <v>574</v>
      </c>
      <c r="I33">
        <f t="shared" si="0"/>
        <v>1.1660269999999999</v>
      </c>
      <c r="J33">
        <f t="shared" si="1"/>
        <v>3.968253968253968E-3</v>
      </c>
      <c r="K33" s="161">
        <f t="shared" si="2"/>
        <v>1.0006097185161047</v>
      </c>
      <c r="L33" s="198">
        <f t="shared" si="3"/>
        <v>6.0971851610469585E-4</v>
      </c>
      <c r="M33">
        <f t="shared" si="4"/>
        <v>1</v>
      </c>
      <c r="N33">
        <f t="shared" si="5"/>
        <v>1.4188856037690003</v>
      </c>
      <c r="O33" s="161">
        <f t="shared" si="6"/>
        <v>1448.5139034862859</v>
      </c>
      <c r="Q33" s="143">
        <v>1.01330783</v>
      </c>
      <c r="R33" s="143">
        <v>1.01330783</v>
      </c>
      <c r="S33" s="143">
        <v>75630.734184999994</v>
      </c>
      <c r="T33" s="143">
        <v>860.82901600000002</v>
      </c>
      <c r="U33" s="143">
        <v>187.96555520676301</v>
      </c>
      <c r="V33" s="143">
        <f t="shared" si="7"/>
        <v>1006.4809533091669</v>
      </c>
      <c r="W33" s="143">
        <v>1194.44650851593</v>
      </c>
      <c r="X33" s="143">
        <v>2055.2755245159301</v>
      </c>
      <c r="Y33" s="143"/>
      <c r="AA33" s="200">
        <v>1.0024526668260001</v>
      </c>
      <c r="AB33" s="200">
        <f t="shared" si="8"/>
        <v>2.4526668260000939E-3</v>
      </c>
      <c r="AC33">
        <f t="shared" si="9"/>
        <v>185.49699276158074</v>
      </c>
      <c r="AD33" s="200">
        <f t="shared" si="10"/>
        <v>187.9655552067631</v>
      </c>
    </row>
    <row r="34" spans="2:30">
      <c r="B34">
        <v>2030.60829223217</v>
      </c>
      <c r="C34">
        <v>16.6279</v>
      </c>
      <c r="D34">
        <v>252</v>
      </c>
      <c r="E34">
        <v>100</v>
      </c>
      <c r="F34">
        <v>100</v>
      </c>
      <c r="G34">
        <v>1</v>
      </c>
      <c r="H34">
        <v>595</v>
      </c>
      <c r="I34">
        <f t="shared" si="0"/>
        <v>1.1662790000000001</v>
      </c>
      <c r="J34">
        <f t="shared" si="1"/>
        <v>3.968253968253968E-3</v>
      </c>
      <c r="K34" s="161">
        <f t="shared" si="2"/>
        <v>1.0006105765597331</v>
      </c>
      <c r="L34" s="198">
        <f t="shared" si="3"/>
        <v>6.1057655973306701E-4</v>
      </c>
      <c r="M34">
        <f t="shared" si="4"/>
        <v>1</v>
      </c>
      <c r="N34">
        <f t="shared" si="5"/>
        <v>1.4378978046207638</v>
      </c>
      <c r="O34" s="161">
        <f t="shared" si="6"/>
        <v>1412.2062678631949</v>
      </c>
      <c r="Q34" s="143">
        <v>1.01330779</v>
      </c>
      <c r="R34" s="143">
        <v>1.01330779</v>
      </c>
      <c r="S34" s="143">
        <v>74769.905169000005</v>
      </c>
      <c r="T34" s="143">
        <v>849.75997199999995</v>
      </c>
      <c r="U34" s="143">
        <v>185.82612392319999</v>
      </c>
      <c r="V34" s="143">
        <f t="shared" si="7"/>
        <v>995.02219630897002</v>
      </c>
      <c r="W34" s="143">
        <v>1180.84832023217</v>
      </c>
      <c r="X34" s="143">
        <v>2030.60829223217</v>
      </c>
      <c r="Y34" s="143"/>
      <c r="AA34" s="200">
        <v>1.0024526668260001</v>
      </c>
      <c r="AB34" s="200">
        <f t="shared" si="8"/>
        <v>2.4526668260000939E-3</v>
      </c>
      <c r="AC34">
        <f t="shared" si="9"/>
        <v>183.38566599117925</v>
      </c>
      <c r="AD34" s="200">
        <f t="shared" si="10"/>
        <v>185.82612392320002</v>
      </c>
    </row>
    <row r="35" spans="2:30">
      <c r="B35">
        <v>2006.2737860766099</v>
      </c>
      <c r="C35">
        <v>16.651399999999999</v>
      </c>
      <c r="D35">
        <v>252</v>
      </c>
      <c r="E35">
        <v>100</v>
      </c>
      <c r="F35">
        <v>100</v>
      </c>
      <c r="G35">
        <v>1</v>
      </c>
      <c r="H35">
        <v>616</v>
      </c>
      <c r="I35">
        <f t="shared" si="0"/>
        <v>1.1665140000000001</v>
      </c>
      <c r="J35">
        <f t="shared" si="1"/>
        <v>3.968253968253968E-3</v>
      </c>
      <c r="K35" s="161">
        <f t="shared" si="2"/>
        <v>1.0006113765530849</v>
      </c>
      <c r="L35" s="198">
        <f t="shared" si="3"/>
        <v>6.113765530848525E-4</v>
      </c>
      <c r="M35">
        <f t="shared" si="4"/>
        <v>1</v>
      </c>
      <c r="N35">
        <f t="shared" si="5"/>
        <v>1.4571651628625002</v>
      </c>
      <c r="O35" s="161">
        <f t="shared" si="6"/>
        <v>1376.8334827161416</v>
      </c>
      <c r="Q35" s="143">
        <v>1.01330779</v>
      </c>
      <c r="R35" s="143">
        <v>1.01330779</v>
      </c>
      <c r="S35" s="143">
        <v>73920.145197000005</v>
      </c>
      <c r="T35" s="143">
        <v>838.84580700000004</v>
      </c>
      <c r="U35" s="143">
        <v>183.714210025423</v>
      </c>
      <c r="V35" s="143">
        <f t="shared" si="7"/>
        <v>983.713769051187</v>
      </c>
      <c r="W35" s="143">
        <v>1167.42797907661</v>
      </c>
      <c r="X35" s="143">
        <v>2006.2737860766099</v>
      </c>
      <c r="Y35" s="143"/>
      <c r="AA35" s="200">
        <v>1.0024526668260001</v>
      </c>
      <c r="AB35" s="200">
        <f t="shared" si="8"/>
        <v>2.4526668260000939E-3</v>
      </c>
      <c r="AC35">
        <f t="shared" si="9"/>
        <v>181.3014878977921</v>
      </c>
      <c r="AD35" s="200">
        <f t="shared" si="10"/>
        <v>183.71421002542345</v>
      </c>
    </row>
    <row r="36" spans="2:30">
      <c r="B36">
        <v>1981.3858154648501</v>
      </c>
      <c r="C36">
        <v>16.662500000000001</v>
      </c>
      <c r="D36">
        <v>252</v>
      </c>
      <c r="E36">
        <v>100</v>
      </c>
      <c r="F36">
        <v>100</v>
      </c>
      <c r="G36">
        <v>1</v>
      </c>
      <c r="H36">
        <v>637</v>
      </c>
      <c r="I36">
        <f t="shared" si="0"/>
        <v>1.166625</v>
      </c>
      <c r="J36">
        <f t="shared" si="1"/>
        <v>3.968253968253968E-3</v>
      </c>
      <c r="K36" s="161">
        <f t="shared" si="2"/>
        <v>1.0006117543664692</v>
      </c>
      <c r="L36" s="198">
        <f t="shared" si="3"/>
        <v>6.1175436646920822E-4</v>
      </c>
      <c r="M36">
        <f t="shared" si="4"/>
        <v>1</v>
      </c>
      <c r="N36">
        <f t="shared" si="5"/>
        <v>1.4763434421675292</v>
      </c>
      <c r="O36" s="161">
        <f t="shared" si="6"/>
        <v>1342.0900305933087</v>
      </c>
      <c r="Q36" s="143">
        <v>1.0132958000000001</v>
      </c>
      <c r="R36" s="143">
        <v>1.0132958000000001</v>
      </c>
      <c r="S36" s="143">
        <v>73081.29939</v>
      </c>
      <c r="T36" s="143">
        <v>828.084203</v>
      </c>
      <c r="U36" s="143">
        <v>181.62727203528101</v>
      </c>
      <c r="V36" s="143">
        <f t="shared" si="7"/>
        <v>971.67434042956893</v>
      </c>
      <c r="W36" s="143">
        <v>1153.30161246485</v>
      </c>
      <c r="X36" s="143">
        <v>1981.3858154648501</v>
      </c>
      <c r="Y36" s="143"/>
      <c r="AA36" s="200">
        <v>1.0024526668260001</v>
      </c>
      <c r="AB36" s="200">
        <f t="shared" si="8"/>
        <v>2.4526668260000939E-3</v>
      </c>
      <c r="AC36">
        <f t="shared" si="9"/>
        <v>179.24407861483391</v>
      </c>
      <c r="AD36" s="200">
        <f t="shared" si="10"/>
        <v>181.62727203528104</v>
      </c>
    </row>
    <row r="37" spans="2:30">
      <c r="B37">
        <v>2000.7961822121599</v>
      </c>
      <c r="C37">
        <v>16.658799999999999</v>
      </c>
      <c r="D37">
        <v>252</v>
      </c>
      <c r="E37">
        <v>100</v>
      </c>
      <c r="F37">
        <v>100</v>
      </c>
      <c r="G37">
        <v>1</v>
      </c>
      <c r="H37">
        <v>659</v>
      </c>
      <c r="I37">
        <f t="shared" si="0"/>
        <v>1.166588</v>
      </c>
      <c r="J37">
        <f t="shared" si="1"/>
        <v>3.968253968253968E-3</v>
      </c>
      <c r="K37" s="161">
        <f t="shared" si="2"/>
        <v>1.0006116284326529</v>
      </c>
      <c r="L37" s="198">
        <f t="shared" si="3"/>
        <v>6.116284326529442E-4</v>
      </c>
      <c r="M37">
        <f t="shared" si="4"/>
        <v>1</v>
      </c>
      <c r="N37">
        <f t="shared" si="5"/>
        <v>1.496217003605024</v>
      </c>
      <c r="O37" s="161">
        <f t="shared" si="6"/>
        <v>1337.2366290393638</v>
      </c>
      <c r="Q37" s="143">
        <v>1.0138931099999999</v>
      </c>
      <c r="R37" s="143">
        <v>1.0138931099999999</v>
      </c>
      <c r="S37" s="143">
        <v>72253.215186999994</v>
      </c>
      <c r="T37" s="143">
        <v>810.10304799999994</v>
      </c>
      <c r="U37" s="143">
        <v>186.87126776550801</v>
      </c>
      <c r="V37" s="143">
        <f t="shared" si="7"/>
        <v>1003.8218664466519</v>
      </c>
      <c r="W37" s="143">
        <v>1190.69313421216</v>
      </c>
      <c r="X37" s="143">
        <v>2000.7961822121599</v>
      </c>
      <c r="Y37" s="143"/>
      <c r="AA37" s="200">
        <v>1.002550898525</v>
      </c>
      <c r="AB37" s="200">
        <f t="shared" si="8"/>
        <v>2.5508985250000116E-3</v>
      </c>
      <c r="AC37">
        <f t="shared" si="9"/>
        <v>184.31062004702673</v>
      </c>
      <c r="AD37" s="200">
        <f t="shared" si="10"/>
        <v>186.87126776550826</v>
      </c>
    </row>
    <row r="38" spans="2:30">
      <c r="B38">
        <v>2021.7550325520001</v>
      </c>
      <c r="C38">
        <v>16.655200000000001</v>
      </c>
      <c r="D38">
        <v>252</v>
      </c>
      <c r="E38">
        <v>100</v>
      </c>
      <c r="F38">
        <v>100</v>
      </c>
      <c r="G38">
        <v>1</v>
      </c>
      <c r="H38">
        <v>682</v>
      </c>
      <c r="I38">
        <f t="shared" si="0"/>
        <v>1.166552</v>
      </c>
      <c r="J38">
        <f t="shared" si="1"/>
        <v>3.968253968253968E-3</v>
      </c>
      <c r="K38" s="161">
        <f t="shared" si="2"/>
        <v>1.0006115058986347</v>
      </c>
      <c r="L38" s="198">
        <f t="shared" si="3"/>
        <v>6.1150589863467886E-4</v>
      </c>
      <c r="M38">
        <f t="shared" si="4"/>
        <v>1</v>
      </c>
      <c r="N38">
        <f t="shared" si="5"/>
        <v>1.5172804602183256</v>
      </c>
      <c r="O38" s="161">
        <f t="shared" si="6"/>
        <v>1332.486040360056</v>
      </c>
      <c r="Q38" s="143">
        <v>1.01452918</v>
      </c>
      <c r="R38" s="143">
        <v>1.01452918</v>
      </c>
      <c r="S38" s="143">
        <v>71443.112139000004</v>
      </c>
      <c r="T38" s="143">
        <v>791.73256800000001</v>
      </c>
      <c r="U38" s="143">
        <v>192.01262852427999</v>
      </c>
      <c r="V38" s="143">
        <f t="shared" si="7"/>
        <v>1038.00983602772</v>
      </c>
      <c r="W38" s="143">
        <v>1230.022464552</v>
      </c>
      <c r="X38" s="143">
        <v>2021.7550325520001</v>
      </c>
      <c r="Y38" s="143"/>
      <c r="AA38" s="200">
        <v>1.0026491398490001</v>
      </c>
      <c r="AB38" s="200">
        <f t="shared" si="8"/>
        <v>2.6491398490000595E-3</v>
      </c>
      <c r="AC38">
        <f t="shared" si="9"/>
        <v>189.26279530400478</v>
      </c>
      <c r="AD38" s="200">
        <f t="shared" si="10"/>
        <v>192.01262852427982</v>
      </c>
    </row>
    <row r="39" spans="2:30">
      <c r="B39">
        <v>1863.8518393152699</v>
      </c>
      <c r="C39">
        <v>16.653600000000001</v>
      </c>
      <c r="D39">
        <v>252</v>
      </c>
      <c r="E39">
        <v>100</v>
      </c>
      <c r="F39">
        <v>100</v>
      </c>
      <c r="G39">
        <v>1</v>
      </c>
      <c r="H39">
        <v>701</v>
      </c>
      <c r="I39">
        <f t="shared" si="0"/>
        <v>1.166536</v>
      </c>
      <c r="J39">
        <f t="shared" si="1"/>
        <v>3.968253968253968E-3</v>
      </c>
      <c r="K39" s="161">
        <f t="shared" si="2"/>
        <v>1.0006114514378621</v>
      </c>
      <c r="L39" s="198">
        <f t="shared" si="3"/>
        <v>6.1145143786212053E-4</v>
      </c>
      <c r="M39">
        <f t="shared" si="4"/>
        <v>1</v>
      </c>
      <c r="N39">
        <f t="shared" si="5"/>
        <v>1.5349479457436876</v>
      </c>
      <c r="O39" s="161">
        <f t="shared" si="6"/>
        <v>1214.2769039716375</v>
      </c>
      <c r="Q39" s="143">
        <v>1.01262126</v>
      </c>
      <c r="R39" s="143">
        <v>1.01262126</v>
      </c>
      <c r="S39" s="143">
        <v>70651.379570999998</v>
      </c>
      <c r="T39" s="143">
        <v>810.72457999999995</v>
      </c>
      <c r="U39" s="143">
        <v>161.417828390995</v>
      </c>
      <c r="V39" s="143">
        <f t="shared" si="7"/>
        <v>891.70943092427501</v>
      </c>
      <c r="W39" s="143">
        <v>1053.1272593152701</v>
      </c>
      <c r="X39" s="143">
        <v>1863.8518393152699</v>
      </c>
      <c r="Y39" s="143"/>
      <c r="AA39" s="200">
        <v>1.0022562323019999</v>
      </c>
      <c r="AB39" s="200">
        <f t="shared" si="8"/>
        <v>2.2562323019998942E-3</v>
      </c>
      <c r="AC39">
        <f t="shared" si="9"/>
        <v>159.40592476894562</v>
      </c>
      <c r="AD39" s="200">
        <f t="shared" si="10"/>
        <v>161.41782839099491</v>
      </c>
    </row>
    <row r="40" spans="2:30">
      <c r="B40">
        <v>1923.44822437995</v>
      </c>
      <c r="C40">
        <v>16.653500000000001</v>
      </c>
      <c r="D40">
        <v>252</v>
      </c>
      <c r="E40">
        <v>100</v>
      </c>
      <c r="F40">
        <v>100</v>
      </c>
      <c r="G40">
        <v>1</v>
      </c>
      <c r="H40">
        <v>723</v>
      </c>
      <c r="I40">
        <f t="shared" si="0"/>
        <v>1.1665350000000001</v>
      </c>
      <c r="J40">
        <f t="shared" si="1"/>
        <v>3.968253968253968E-3</v>
      </c>
      <c r="K40" s="161">
        <f t="shared" si="2"/>
        <v>1.0006114480340391</v>
      </c>
      <c r="L40" s="198">
        <f t="shared" si="3"/>
        <v>6.1144803403911929E-4</v>
      </c>
      <c r="M40">
        <f t="shared" si="4"/>
        <v>1</v>
      </c>
      <c r="N40">
        <f t="shared" si="5"/>
        <v>1.5557252414878382</v>
      </c>
      <c r="O40" s="161">
        <f t="shared" si="6"/>
        <v>1236.3675622698229</v>
      </c>
      <c r="Q40" s="143">
        <v>1.0138897899999999</v>
      </c>
      <c r="R40" s="143">
        <v>1.0138897899999999</v>
      </c>
      <c r="S40" s="143">
        <v>69840.654991000003</v>
      </c>
      <c r="T40" s="143">
        <v>779.70107199999995</v>
      </c>
      <c r="U40" s="143">
        <v>173.675121092513</v>
      </c>
      <c r="V40" s="143">
        <f t="shared" si="7"/>
        <v>970.07203128743697</v>
      </c>
      <c r="W40" s="143">
        <v>1143.74715237995</v>
      </c>
      <c r="X40" s="143">
        <v>1923.44822437995</v>
      </c>
      <c r="Y40" s="143"/>
      <c r="AA40" s="200">
        <v>1.0024526668260001</v>
      </c>
      <c r="AB40" s="200">
        <f t="shared" si="8"/>
        <v>2.4526668260000939E-3</v>
      </c>
      <c r="AC40">
        <f t="shared" si="9"/>
        <v>171.29585760254361</v>
      </c>
      <c r="AD40" s="200">
        <f t="shared" si="10"/>
        <v>173.67512109251282</v>
      </c>
    </row>
    <row r="41" spans="2:30">
      <c r="B41">
        <v>1769.5972995955899</v>
      </c>
      <c r="C41">
        <v>16.653400000000001</v>
      </c>
      <c r="D41">
        <v>252</v>
      </c>
      <c r="E41">
        <v>100</v>
      </c>
      <c r="F41">
        <v>100</v>
      </c>
      <c r="G41">
        <v>1</v>
      </c>
      <c r="H41">
        <v>743</v>
      </c>
      <c r="I41">
        <f t="shared" si="0"/>
        <v>1.166534</v>
      </c>
      <c r="J41">
        <f t="shared" si="1"/>
        <v>3.968253968253968E-3</v>
      </c>
      <c r="K41" s="161">
        <f t="shared" si="2"/>
        <v>1.0006114446302132</v>
      </c>
      <c r="L41" s="198">
        <f t="shared" si="3"/>
        <v>6.1144463021323148E-4</v>
      </c>
      <c r="M41">
        <f t="shared" si="4"/>
        <v>1</v>
      </c>
      <c r="N41">
        <f t="shared" si="5"/>
        <v>1.5748570813548477</v>
      </c>
      <c r="O41" s="161">
        <f t="shared" si="6"/>
        <v>1123.6558037845614</v>
      </c>
      <c r="Q41" s="143">
        <v>1.01198443</v>
      </c>
      <c r="R41" s="143">
        <v>1.01198443</v>
      </c>
      <c r="S41" s="143">
        <v>69060.953919000007</v>
      </c>
      <c r="T41" s="143">
        <v>784.25619200000006</v>
      </c>
      <c r="U41" s="143">
        <v>157.68493962010999</v>
      </c>
      <c r="V41" s="143">
        <f t="shared" si="7"/>
        <v>827.6561679754841</v>
      </c>
      <c r="W41" s="143">
        <v>985.34110759559405</v>
      </c>
      <c r="X41" s="143">
        <v>1769.5972995955899</v>
      </c>
      <c r="Y41" s="143"/>
      <c r="AA41" s="200">
        <v>1.0022562323019999</v>
      </c>
      <c r="AB41" s="200">
        <f t="shared" si="8"/>
        <v>2.2562323019998942E-3</v>
      </c>
      <c r="AC41">
        <f t="shared" si="9"/>
        <v>155.81755503897401</v>
      </c>
      <c r="AD41" s="200">
        <f t="shared" si="10"/>
        <v>157.68493962010976</v>
      </c>
    </row>
    <row r="42" spans="2:30">
      <c r="B42">
        <v>1860.4625334447201</v>
      </c>
      <c r="C42">
        <v>16.655100000000001</v>
      </c>
      <c r="D42">
        <v>252</v>
      </c>
      <c r="E42">
        <v>100</v>
      </c>
      <c r="F42">
        <v>100</v>
      </c>
      <c r="G42">
        <v>1</v>
      </c>
      <c r="H42">
        <v>763</v>
      </c>
      <c r="I42">
        <f t="shared" si="0"/>
        <v>1.1665510000000001</v>
      </c>
      <c r="J42">
        <f t="shared" si="1"/>
        <v>3.968253968253968E-3</v>
      </c>
      <c r="K42" s="161">
        <f t="shared" si="2"/>
        <v>1.0006115024948581</v>
      </c>
      <c r="L42" s="198">
        <f t="shared" si="3"/>
        <v>6.1150249485808494E-4</v>
      </c>
      <c r="M42">
        <f t="shared" si="4"/>
        <v>1</v>
      </c>
      <c r="N42">
        <f t="shared" si="5"/>
        <v>1.5942984646227452</v>
      </c>
      <c r="O42" s="161">
        <f t="shared" si="6"/>
        <v>1166.9474535214813</v>
      </c>
      <c r="Q42" s="143">
        <v>1.01251695</v>
      </c>
      <c r="R42" s="143">
        <v>1.01251695</v>
      </c>
      <c r="S42" s="143">
        <v>68276.697727000006</v>
      </c>
      <c r="T42" s="143">
        <v>843.08066299999996</v>
      </c>
      <c r="U42" s="143">
        <v>162.765858830751</v>
      </c>
      <c r="V42" s="143">
        <f t="shared" si="7"/>
        <v>854.61601161396902</v>
      </c>
      <c r="W42" s="143">
        <v>1017.38187044472</v>
      </c>
      <c r="X42" s="143">
        <v>1860.4625334447201</v>
      </c>
      <c r="Y42" s="143"/>
      <c r="AA42" s="200">
        <v>1.0023544447520001</v>
      </c>
      <c r="AB42" s="200">
        <f t="shared" si="8"/>
        <v>2.3544447520000844E-3</v>
      </c>
      <c r="AC42">
        <f t="shared" si="9"/>
        <v>160.75371264723125</v>
      </c>
      <c r="AD42" s="200">
        <f t="shared" si="10"/>
        <v>162.765858830751</v>
      </c>
    </row>
    <row r="43" spans="2:30">
      <c r="B43">
        <v>1900.06365076769</v>
      </c>
      <c r="C43">
        <v>16.658999999999999</v>
      </c>
      <c r="D43">
        <v>252</v>
      </c>
      <c r="E43">
        <v>100</v>
      </c>
      <c r="F43">
        <v>100</v>
      </c>
      <c r="G43">
        <v>1</v>
      </c>
      <c r="H43">
        <v>785</v>
      </c>
      <c r="I43">
        <f t="shared" si="0"/>
        <v>1.16659</v>
      </c>
      <c r="J43">
        <f t="shared" si="1"/>
        <v>3.968253968253968E-3</v>
      </c>
      <c r="K43" s="161">
        <f t="shared" si="2"/>
        <v>1.0006116352399879</v>
      </c>
      <c r="L43" s="198">
        <f t="shared" si="3"/>
        <v>6.1163523998786218E-4</v>
      </c>
      <c r="M43">
        <f t="shared" si="4"/>
        <v>1</v>
      </c>
      <c r="N43">
        <f t="shared" si="5"/>
        <v>1.616053215436605</v>
      </c>
      <c r="O43" s="161">
        <f t="shared" si="6"/>
        <v>1175.7432444787128</v>
      </c>
      <c r="Q43" s="143">
        <v>1.01343962</v>
      </c>
      <c r="R43" s="143">
        <v>1.01343962</v>
      </c>
      <c r="S43" s="143">
        <v>67433.617064000005</v>
      </c>
      <c r="T43" s="143">
        <v>819.45331399999998</v>
      </c>
      <c r="U43" s="143">
        <v>174.32814820201901</v>
      </c>
      <c r="V43" s="143">
        <f t="shared" si="7"/>
        <v>906.28218856567082</v>
      </c>
      <c r="W43" s="143">
        <v>1080.6103367676899</v>
      </c>
      <c r="X43" s="143">
        <v>1900.06365076769</v>
      </c>
      <c r="Y43" s="143"/>
      <c r="AA43" s="200">
        <v>1.002550898525</v>
      </c>
      <c r="AB43" s="200">
        <f t="shared" si="8"/>
        <v>2.5508985250000116E-3</v>
      </c>
      <c r="AC43">
        <f t="shared" si="9"/>
        <v>172.01631430397322</v>
      </c>
      <c r="AD43" s="200">
        <f t="shared" si="10"/>
        <v>174.32814820201918</v>
      </c>
    </row>
    <row r="44" spans="2:30">
      <c r="B44">
        <v>1795.9580554351701</v>
      </c>
      <c r="C44">
        <v>16.662500000000001</v>
      </c>
      <c r="D44">
        <v>252</v>
      </c>
      <c r="E44">
        <v>100</v>
      </c>
      <c r="F44">
        <v>100</v>
      </c>
      <c r="G44">
        <v>1</v>
      </c>
      <c r="H44">
        <v>805</v>
      </c>
      <c r="I44">
        <f t="shared" si="0"/>
        <v>1.166625</v>
      </c>
      <c r="J44">
        <f t="shared" si="1"/>
        <v>3.968253968253968E-3</v>
      </c>
      <c r="K44" s="161">
        <f t="shared" si="2"/>
        <v>1.0006117543664692</v>
      </c>
      <c r="L44" s="198">
        <f t="shared" si="3"/>
        <v>6.1175436646920822E-4</v>
      </c>
      <c r="M44">
        <f t="shared" si="4"/>
        <v>1</v>
      </c>
      <c r="N44">
        <f t="shared" si="5"/>
        <v>1.6360939995091806</v>
      </c>
      <c r="O44" s="161">
        <f t="shared" si="6"/>
        <v>1097.7108014416947</v>
      </c>
      <c r="Q44" s="143">
        <v>1.01221041</v>
      </c>
      <c r="R44" s="143">
        <v>1.01221041</v>
      </c>
      <c r="S44" s="143">
        <v>66614.163750000007</v>
      </c>
      <c r="T44" s="143">
        <v>823.817363</v>
      </c>
      <c r="U44" s="143">
        <v>158.75444124053601</v>
      </c>
      <c r="V44" s="143">
        <f t="shared" si="7"/>
        <v>813.38625119463791</v>
      </c>
      <c r="W44" s="143">
        <v>972.14069243517395</v>
      </c>
      <c r="X44" s="143">
        <v>1795.9580554351701</v>
      </c>
      <c r="Y44" s="143"/>
      <c r="AA44" s="200">
        <v>1.0023544447520001</v>
      </c>
      <c r="AB44" s="200">
        <f t="shared" si="8"/>
        <v>2.3544447520000844E-3</v>
      </c>
      <c r="AC44">
        <f t="shared" si="9"/>
        <v>156.83936825006177</v>
      </c>
      <c r="AD44" s="200">
        <f t="shared" si="10"/>
        <v>158.75444124053601</v>
      </c>
    </row>
    <row r="45" spans="2:30">
      <c r="B45">
        <v>1734.71049371449</v>
      </c>
      <c r="C45">
        <v>16.665500000000002</v>
      </c>
      <c r="D45">
        <v>252</v>
      </c>
      <c r="E45">
        <v>100</v>
      </c>
      <c r="F45">
        <v>100</v>
      </c>
      <c r="G45">
        <v>1</v>
      </c>
      <c r="H45">
        <v>824</v>
      </c>
      <c r="I45">
        <f t="shared" si="0"/>
        <v>1.166655</v>
      </c>
      <c r="J45">
        <f t="shared" si="1"/>
        <v>3.968253968253968E-3</v>
      </c>
      <c r="K45" s="161">
        <f t="shared" si="2"/>
        <v>1.0006118564720485</v>
      </c>
      <c r="L45" s="198">
        <f t="shared" si="3"/>
        <v>6.1185647204853311E-4</v>
      </c>
      <c r="M45">
        <f t="shared" si="4"/>
        <v>1</v>
      </c>
      <c r="N45">
        <f t="shared" si="5"/>
        <v>1.6553551138216778</v>
      </c>
      <c r="O45" s="161">
        <f t="shared" si="6"/>
        <v>1047.9385838302733</v>
      </c>
      <c r="Q45" s="143">
        <v>1.01159785</v>
      </c>
      <c r="R45" s="143">
        <v>1.01159785</v>
      </c>
      <c r="S45" s="143">
        <v>65790.346386999998</v>
      </c>
      <c r="T45" s="143">
        <v>821.52405499999998</v>
      </c>
      <c r="U45" s="143">
        <v>150.15986987002199</v>
      </c>
      <c r="V45" s="143">
        <f t="shared" si="7"/>
        <v>763.02656884447003</v>
      </c>
      <c r="W45" s="143">
        <v>913.18643871449206</v>
      </c>
      <c r="X45" s="143">
        <v>1734.71049371449</v>
      </c>
      <c r="Y45" s="143"/>
      <c r="AA45" s="200">
        <v>1.0022562323019999</v>
      </c>
      <c r="AB45" s="200">
        <f t="shared" si="8"/>
        <v>2.2562323019998942E-3</v>
      </c>
      <c r="AC45">
        <f t="shared" si="9"/>
        <v>148.43830467811142</v>
      </c>
      <c r="AD45" s="200">
        <f t="shared" si="10"/>
        <v>150.15986987002245</v>
      </c>
    </row>
    <row r="46" spans="2:30">
      <c r="B46">
        <v>1793.47910189154</v>
      </c>
      <c r="C46">
        <v>16.668500000000002</v>
      </c>
      <c r="D46">
        <v>252</v>
      </c>
      <c r="E46">
        <v>100</v>
      </c>
      <c r="F46">
        <v>100</v>
      </c>
      <c r="G46">
        <v>1</v>
      </c>
      <c r="H46">
        <v>845</v>
      </c>
      <c r="I46">
        <f t="shared" si="0"/>
        <v>1.166685</v>
      </c>
      <c r="J46">
        <f t="shared" si="1"/>
        <v>3.968253968253968E-3</v>
      </c>
      <c r="K46" s="161">
        <f t="shared" si="2"/>
        <v>1.0006119585750126</v>
      </c>
      <c r="L46" s="198">
        <f t="shared" si="3"/>
        <v>6.1195857501261663E-4</v>
      </c>
      <c r="M46">
        <f t="shared" si="4"/>
        <v>1</v>
      </c>
      <c r="N46">
        <f t="shared" si="5"/>
        <v>1.6768999768884347</v>
      </c>
      <c r="O46" s="161">
        <f t="shared" si="6"/>
        <v>1069.5206193630124</v>
      </c>
      <c r="Q46" s="143">
        <v>1.0128310899999999</v>
      </c>
      <c r="R46" s="143">
        <v>1.0128310899999999</v>
      </c>
      <c r="S46" s="143">
        <v>64968.822332000003</v>
      </c>
      <c r="T46" s="143">
        <v>798.46682599999997</v>
      </c>
      <c r="U46" s="143">
        <v>161.39146935564401</v>
      </c>
      <c r="V46" s="143">
        <f t="shared" si="7"/>
        <v>833.62080653589805</v>
      </c>
      <c r="W46" s="143">
        <v>995.012275891542</v>
      </c>
      <c r="X46" s="143">
        <v>1793.47910189154</v>
      </c>
      <c r="Y46" s="143"/>
      <c r="AA46" s="200">
        <v>1.0024526668260001</v>
      </c>
      <c r="AB46" s="200">
        <f t="shared" si="8"/>
        <v>2.4526668260000939E-3</v>
      </c>
      <c r="AC46">
        <f t="shared" si="9"/>
        <v>159.34687525799046</v>
      </c>
      <c r="AD46" s="200">
        <f t="shared" si="10"/>
        <v>161.39146935564449</v>
      </c>
    </row>
    <row r="47" spans="2:30">
      <c r="B47">
        <v>1810.3341789800299</v>
      </c>
      <c r="C47">
        <v>16.671600000000002</v>
      </c>
      <c r="D47">
        <v>252</v>
      </c>
      <c r="E47">
        <v>100</v>
      </c>
      <c r="F47">
        <v>100</v>
      </c>
      <c r="G47">
        <v>1</v>
      </c>
      <c r="H47">
        <v>867</v>
      </c>
      <c r="I47">
        <f t="shared" si="0"/>
        <v>1.1667160000000001</v>
      </c>
      <c r="J47">
        <f t="shared" si="1"/>
        <v>3.968253968253968E-3</v>
      </c>
      <c r="K47" s="161">
        <f t="shared" si="2"/>
        <v>1.0006120640786618</v>
      </c>
      <c r="L47" s="198">
        <f t="shared" si="3"/>
        <v>6.1206407866176704E-4</v>
      </c>
      <c r="M47">
        <f t="shared" si="4"/>
        <v>1</v>
      </c>
      <c r="N47">
        <f t="shared" si="5"/>
        <v>1.6997772679216365</v>
      </c>
      <c r="O47" s="161">
        <f t="shared" si="6"/>
        <v>1065.0419988223364</v>
      </c>
      <c r="Q47" s="143">
        <v>1.0134461800000001</v>
      </c>
      <c r="R47" s="143">
        <v>1.0134461800000001</v>
      </c>
      <c r="S47" s="143">
        <v>64170.355506</v>
      </c>
      <c r="T47" s="143">
        <v>781.59492999999998</v>
      </c>
      <c r="U47" s="143">
        <v>165.89309818235299</v>
      </c>
      <c r="V47" s="143">
        <f t="shared" si="7"/>
        <v>862.84615079767696</v>
      </c>
      <c r="W47" s="143">
        <v>1028.73924898003</v>
      </c>
      <c r="X47" s="143">
        <v>1810.3341789800299</v>
      </c>
      <c r="Y47" s="143"/>
      <c r="AA47" s="200">
        <v>1.002550898525</v>
      </c>
      <c r="AB47" s="200">
        <f t="shared" si="8"/>
        <v>2.5508985250000116E-3</v>
      </c>
      <c r="AC47">
        <f t="shared" si="9"/>
        <v>163.69206520898177</v>
      </c>
      <c r="AD47" s="200">
        <f t="shared" si="10"/>
        <v>165.8930981823535</v>
      </c>
    </row>
    <row r="48" spans="2:30">
      <c r="B48">
        <v>1669.76220112703</v>
      </c>
      <c r="C48">
        <v>16.667400000000001</v>
      </c>
      <c r="D48">
        <v>252</v>
      </c>
      <c r="E48">
        <v>100</v>
      </c>
      <c r="F48">
        <v>100</v>
      </c>
      <c r="G48">
        <v>1</v>
      </c>
      <c r="H48">
        <v>886</v>
      </c>
      <c r="I48">
        <f t="shared" si="0"/>
        <v>1.166674</v>
      </c>
      <c r="J48">
        <f t="shared" si="1"/>
        <v>3.968253968253968E-3</v>
      </c>
      <c r="K48" s="161">
        <f t="shared" si="2"/>
        <v>1.0006119211375628</v>
      </c>
      <c r="L48" s="198">
        <f t="shared" si="3"/>
        <v>6.1192113756280975E-4</v>
      </c>
      <c r="M48">
        <f t="shared" si="4"/>
        <v>1</v>
      </c>
      <c r="N48">
        <f t="shared" si="5"/>
        <v>1.7194359745723373</v>
      </c>
      <c r="O48" s="161">
        <f t="shared" si="6"/>
        <v>971.11042563962735</v>
      </c>
      <c r="Q48" s="143">
        <v>1.0115682800000001</v>
      </c>
      <c r="R48" s="143">
        <v>1.0115682800000001</v>
      </c>
      <c r="S48" s="143">
        <v>63388.760576000001</v>
      </c>
      <c r="T48" s="143">
        <v>791.78900799999997</v>
      </c>
      <c r="U48" s="143">
        <v>144.674261930895</v>
      </c>
      <c r="V48" s="143">
        <f t="shared" si="7"/>
        <v>733.29893119613598</v>
      </c>
      <c r="W48" s="143">
        <v>877.97319312703098</v>
      </c>
      <c r="X48" s="143">
        <v>1669.76220112703</v>
      </c>
      <c r="Y48" s="143"/>
      <c r="AA48" s="200">
        <v>1.0022562323019999</v>
      </c>
      <c r="AB48" s="200">
        <f t="shared" si="8"/>
        <v>2.2562323019998942E-3</v>
      </c>
      <c r="AC48">
        <f t="shared" si="9"/>
        <v>143.01976919530861</v>
      </c>
      <c r="AD48" s="200">
        <f t="shared" si="10"/>
        <v>144.67426193089534</v>
      </c>
    </row>
    <row r="49" spans="2:30">
      <c r="B49">
        <v>1795.78561345701</v>
      </c>
      <c r="C49">
        <v>16.653700000000001</v>
      </c>
      <c r="D49">
        <v>252</v>
      </c>
      <c r="E49">
        <v>100</v>
      </c>
      <c r="F49">
        <v>100</v>
      </c>
      <c r="G49">
        <v>1</v>
      </c>
      <c r="H49">
        <v>909</v>
      </c>
      <c r="I49">
        <f t="shared" si="0"/>
        <v>1.1665369999999999</v>
      </c>
      <c r="J49">
        <f t="shared" si="1"/>
        <v>3.968253968253968E-3</v>
      </c>
      <c r="K49" s="161">
        <f t="shared" si="2"/>
        <v>1.000611454841682</v>
      </c>
      <c r="L49" s="198">
        <f t="shared" si="3"/>
        <v>6.1145484168201314E-4</v>
      </c>
      <c r="M49">
        <f t="shared" si="4"/>
        <v>1</v>
      </c>
      <c r="N49">
        <f t="shared" si="5"/>
        <v>1.7430607039614303</v>
      </c>
      <c r="O49" s="161">
        <f t="shared" si="6"/>
        <v>1030.2484643109401</v>
      </c>
      <c r="Q49" s="143">
        <v>1.0139060799999999</v>
      </c>
      <c r="R49" s="143">
        <v>1.0139060799999999</v>
      </c>
      <c r="S49" s="143">
        <v>62596.971568000001</v>
      </c>
      <c r="T49" s="143">
        <v>757.17296799999997</v>
      </c>
      <c r="U49" s="143">
        <v>168.13415107467799</v>
      </c>
      <c r="V49" s="143">
        <f t="shared" si="7"/>
        <v>870.47849438233209</v>
      </c>
      <c r="W49" s="143">
        <v>1038.6126454570101</v>
      </c>
      <c r="X49" s="143">
        <v>1795.78561345701</v>
      </c>
      <c r="Y49" s="143"/>
      <c r="AA49" s="200">
        <v>1.0026491398490001</v>
      </c>
      <c r="AB49" s="200">
        <f t="shared" si="8"/>
        <v>2.6491398490000595E-3</v>
      </c>
      <c r="AC49">
        <f t="shared" si="9"/>
        <v>165.82813180751253</v>
      </c>
      <c r="AD49" s="200">
        <f t="shared" si="10"/>
        <v>168.13415107467833</v>
      </c>
    </row>
    <row r="50" spans="2:30">
      <c r="B50">
        <v>1736.04591842785</v>
      </c>
      <c r="C50">
        <v>16.641200000000001</v>
      </c>
      <c r="D50">
        <v>252</v>
      </c>
      <c r="E50">
        <v>100</v>
      </c>
      <c r="F50">
        <v>100</v>
      </c>
      <c r="G50">
        <v>1</v>
      </c>
      <c r="H50">
        <v>931</v>
      </c>
      <c r="I50">
        <f t="shared" si="0"/>
        <v>1.166412</v>
      </c>
      <c r="J50">
        <f t="shared" si="1"/>
        <v>3.968253968253968E-3</v>
      </c>
      <c r="K50" s="161">
        <f t="shared" si="2"/>
        <v>1.0006110293416459</v>
      </c>
      <c r="L50" s="198">
        <f t="shared" si="3"/>
        <v>6.1102934164591893E-4</v>
      </c>
      <c r="M50">
        <f t="shared" si="4"/>
        <v>1</v>
      </c>
      <c r="N50">
        <f t="shared" si="5"/>
        <v>1.765960244323441</v>
      </c>
      <c r="O50" s="161">
        <f t="shared" si="6"/>
        <v>983.06058927897811</v>
      </c>
      <c r="Q50" s="143">
        <v>1.01329746</v>
      </c>
      <c r="R50" s="143">
        <v>1.01329746</v>
      </c>
      <c r="S50" s="143">
        <v>61839.798600000002</v>
      </c>
      <c r="T50" s="143">
        <v>753.88898400000005</v>
      </c>
      <c r="U50" s="143">
        <v>159.844686136294</v>
      </c>
      <c r="V50" s="143">
        <f t="shared" si="7"/>
        <v>822.31224829155508</v>
      </c>
      <c r="W50" s="143">
        <v>982.15693442784902</v>
      </c>
      <c r="X50" s="143">
        <v>1736.04591842785</v>
      </c>
      <c r="Y50" s="143"/>
      <c r="AA50" s="200">
        <v>1.002550898525</v>
      </c>
      <c r="AB50" s="200">
        <f t="shared" si="8"/>
        <v>2.5508985250000116E-3</v>
      </c>
      <c r="AC50">
        <f t="shared" si="9"/>
        <v>157.7470510350378</v>
      </c>
      <c r="AD50" s="200">
        <f t="shared" si="10"/>
        <v>159.84468613629417</v>
      </c>
    </row>
    <row r="51" spans="2:30">
      <c r="B51">
        <v>1677.88168569359</v>
      </c>
      <c r="C51">
        <v>16.629899999999999</v>
      </c>
      <c r="D51">
        <v>252</v>
      </c>
      <c r="E51">
        <v>100</v>
      </c>
      <c r="F51">
        <v>100</v>
      </c>
      <c r="G51">
        <v>1</v>
      </c>
      <c r="H51">
        <v>952</v>
      </c>
      <c r="I51">
        <f t="shared" si="0"/>
        <v>1.166299</v>
      </c>
      <c r="J51">
        <f t="shared" si="1"/>
        <v>3.968253968253968E-3</v>
      </c>
      <c r="K51" s="161">
        <f t="shared" si="2"/>
        <v>1.0006106446505241</v>
      </c>
      <c r="L51" s="198">
        <f t="shared" si="3"/>
        <v>6.1064465052407257E-4</v>
      </c>
      <c r="M51">
        <f t="shared" si="4"/>
        <v>1</v>
      </c>
      <c r="N51">
        <f t="shared" si="5"/>
        <v>1.7881047952700206</v>
      </c>
      <c r="O51" s="161">
        <f t="shared" si="6"/>
        <v>938.35757844394914</v>
      </c>
      <c r="Q51" s="143">
        <v>1.01269078</v>
      </c>
      <c r="R51" s="143">
        <v>1.01269078</v>
      </c>
      <c r="S51" s="143">
        <v>61085.909615999997</v>
      </c>
      <c r="T51" s="143">
        <v>750.92908599999998</v>
      </c>
      <c r="U51" s="143">
        <v>151.724759657053</v>
      </c>
      <c r="V51" s="143">
        <f t="shared" si="7"/>
        <v>775.22784003654101</v>
      </c>
      <c r="W51" s="143">
        <v>926.95259969359404</v>
      </c>
      <c r="X51" s="143">
        <v>1677.88168569359</v>
      </c>
      <c r="Y51" s="143"/>
      <c r="AA51" s="200">
        <v>1.0024526668260001</v>
      </c>
      <c r="AB51" s="200">
        <f t="shared" si="8"/>
        <v>2.4526668260000939E-3</v>
      </c>
      <c r="AC51">
        <f t="shared" si="9"/>
        <v>149.82338405120333</v>
      </c>
      <c r="AD51" s="200">
        <f t="shared" si="10"/>
        <v>151.72475965705266</v>
      </c>
    </row>
    <row r="52" spans="2:30">
      <c r="B52">
        <v>1730.54468837537</v>
      </c>
      <c r="C52">
        <v>16.617999999999999</v>
      </c>
      <c r="D52">
        <v>252</v>
      </c>
      <c r="E52">
        <v>100</v>
      </c>
      <c r="F52">
        <v>100</v>
      </c>
      <c r="G52">
        <v>1</v>
      </c>
      <c r="H52">
        <v>975</v>
      </c>
      <c r="I52">
        <f t="shared" si="0"/>
        <v>1.16618</v>
      </c>
      <c r="J52">
        <f t="shared" si="1"/>
        <v>3.968253968253968E-3</v>
      </c>
      <c r="K52" s="161">
        <f t="shared" si="2"/>
        <v>1.0006102394931897</v>
      </c>
      <c r="L52" s="198">
        <f t="shared" si="3"/>
        <v>6.102394931897237E-4</v>
      </c>
      <c r="M52">
        <f t="shared" si="4"/>
        <v>1</v>
      </c>
      <c r="N52">
        <f t="shared" si="5"/>
        <v>1.812672070094919</v>
      </c>
      <c r="O52" s="161">
        <f t="shared" si="6"/>
        <v>954.69264238442838</v>
      </c>
      <c r="Q52" s="143">
        <v>1.0139132799999999</v>
      </c>
      <c r="R52" s="143">
        <v>1.0139132799999999</v>
      </c>
      <c r="S52" s="143">
        <v>60334.980530000001</v>
      </c>
      <c r="T52" s="143">
        <v>729.02756899999997</v>
      </c>
      <c r="U52" s="143">
        <v>162.05964146693401</v>
      </c>
      <c r="V52" s="143">
        <f t="shared" si="7"/>
        <v>839.45747790843598</v>
      </c>
      <c r="W52" s="143">
        <v>1001.51711937537</v>
      </c>
      <c r="X52" s="143">
        <v>1730.54468837537</v>
      </c>
      <c r="Y52" s="143"/>
      <c r="AA52" s="200">
        <v>1.0026491398490001</v>
      </c>
      <c r="AB52" s="200">
        <f t="shared" si="8"/>
        <v>2.6491398490000595E-3</v>
      </c>
      <c r="AC52">
        <f t="shared" si="9"/>
        <v>159.83580121066572</v>
      </c>
      <c r="AD52" s="200">
        <f t="shared" si="10"/>
        <v>162.05964146693404</v>
      </c>
    </row>
    <row r="53" spans="2:30">
      <c r="B53">
        <v>1600.62811845276</v>
      </c>
      <c r="C53">
        <v>16.6082</v>
      </c>
      <c r="D53">
        <v>252</v>
      </c>
      <c r="E53">
        <v>100</v>
      </c>
      <c r="F53">
        <v>100</v>
      </c>
      <c r="G53">
        <v>1</v>
      </c>
      <c r="H53">
        <v>995</v>
      </c>
      <c r="I53">
        <f t="shared" si="0"/>
        <v>1.1660820000000001</v>
      </c>
      <c r="J53">
        <f t="shared" si="1"/>
        <v>3.968253968253968E-3</v>
      </c>
      <c r="K53" s="161">
        <f t="shared" si="2"/>
        <v>1.0006099058032873</v>
      </c>
      <c r="L53" s="198">
        <f t="shared" si="3"/>
        <v>6.0990580328734723E-4</v>
      </c>
      <c r="M53">
        <f t="shared" si="4"/>
        <v>1</v>
      </c>
      <c r="N53">
        <f t="shared" si="5"/>
        <v>1.8343153156688201</v>
      </c>
      <c r="O53" s="161">
        <f t="shared" si="6"/>
        <v>872.60249357354678</v>
      </c>
      <c r="Q53" s="143">
        <v>1.0120875899999999</v>
      </c>
      <c r="R53" s="143">
        <v>1.0120875899999999</v>
      </c>
      <c r="S53" s="143">
        <v>59605.952961000003</v>
      </c>
      <c r="T53" s="143">
        <v>738.10051499999997</v>
      </c>
      <c r="U53" s="143">
        <v>142.03528250091199</v>
      </c>
      <c r="V53" s="143">
        <f t="shared" si="7"/>
        <v>720.49232095184902</v>
      </c>
      <c r="W53" s="143">
        <v>862.52760345276101</v>
      </c>
      <c r="X53" s="143">
        <v>1600.62811845276</v>
      </c>
      <c r="Y53" s="143"/>
      <c r="AA53" s="200">
        <v>1.0023544447520001</v>
      </c>
      <c r="AB53" s="200">
        <f t="shared" si="8"/>
        <v>2.3544447520000844E-3</v>
      </c>
      <c r="AC53">
        <f t="shared" si="9"/>
        <v>140.33892313699036</v>
      </c>
      <c r="AD53" s="200">
        <f t="shared" si="10"/>
        <v>142.03528250091179</v>
      </c>
    </row>
    <row r="54" spans="2:30">
      <c r="B54">
        <v>1672.7938530501101</v>
      </c>
      <c r="C54">
        <v>16.5974</v>
      </c>
      <c r="D54">
        <v>252</v>
      </c>
      <c r="E54">
        <v>100</v>
      </c>
      <c r="F54">
        <v>100</v>
      </c>
      <c r="G54">
        <v>1</v>
      </c>
      <c r="H54">
        <v>1016</v>
      </c>
      <c r="I54">
        <f t="shared" si="0"/>
        <v>1.1659740000000001</v>
      </c>
      <c r="J54">
        <f t="shared" si="1"/>
        <v>3.968253968253968E-3</v>
      </c>
      <c r="K54" s="161">
        <f t="shared" si="2"/>
        <v>1.0006095380310398</v>
      </c>
      <c r="L54" s="198">
        <f t="shared" si="3"/>
        <v>6.0953803103980242E-4</v>
      </c>
      <c r="M54">
        <f t="shared" si="4"/>
        <v>1</v>
      </c>
      <c r="N54">
        <f t="shared" si="5"/>
        <v>1.8572594284453183</v>
      </c>
      <c r="O54" s="161">
        <f t="shared" si="6"/>
        <v>900.67861679958116</v>
      </c>
      <c r="Q54" s="143">
        <v>1.0126463999999999</v>
      </c>
      <c r="R54" s="143">
        <v>1.0126463999999999</v>
      </c>
      <c r="S54" s="143">
        <v>58867.852445999997</v>
      </c>
      <c r="T54" s="143">
        <v>782.11828700000001</v>
      </c>
      <c r="U54" s="143">
        <v>146.20915687702299</v>
      </c>
      <c r="V54" s="143">
        <f t="shared" si="7"/>
        <v>744.46640917309094</v>
      </c>
      <c r="W54" s="143">
        <v>890.67556605011396</v>
      </c>
      <c r="X54" s="143">
        <v>1672.7938530501101</v>
      </c>
      <c r="Y54" s="143"/>
      <c r="AA54" s="200">
        <v>1.0024526668260001</v>
      </c>
      <c r="AB54" s="200">
        <f t="shared" si="8"/>
        <v>2.4526668260000939E-3</v>
      </c>
      <c r="AC54">
        <f t="shared" si="9"/>
        <v>144.38322881217269</v>
      </c>
      <c r="AD54" s="200">
        <f t="shared" si="10"/>
        <v>146.20915687702293</v>
      </c>
    </row>
    <row r="55" spans="2:30">
      <c r="B55">
        <v>1677.23904927077</v>
      </c>
      <c r="C55">
        <v>16.5854</v>
      </c>
      <c r="D55">
        <v>252</v>
      </c>
      <c r="E55">
        <v>100</v>
      </c>
      <c r="F55">
        <v>100</v>
      </c>
      <c r="G55">
        <v>1</v>
      </c>
      <c r="H55">
        <v>1038</v>
      </c>
      <c r="I55">
        <f t="shared" si="0"/>
        <v>1.1658539999999999</v>
      </c>
      <c r="J55">
        <f t="shared" si="1"/>
        <v>3.968253968253968E-3</v>
      </c>
      <c r="K55" s="161">
        <f t="shared" si="2"/>
        <v>1.0006091293554122</v>
      </c>
      <c r="L55" s="198">
        <f t="shared" si="3"/>
        <v>6.0912935541224122E-4</v>
      </c>
      <c r="M55">
        <f t="shared" si="4"/>
        <v>1</v>
      </c>
      <c r="N55">
        <f t="shared" si="5"/>
        <v>1.8815271860121732</v>
      </c>
      <c r="O55" s="161">
        <f t="shared" si="6"/>
        <v>891.42429710283147</v>
      </c>
      <c r="Q55" s="143">
        <v>1.0130869499999999</v>
      </c>
      <c r="R55" s="143">
        <v>1.0130869499999999</v>
      </c>
      <c r="S55" s="143">
        <v>58085.734159</v>
      </c>
      <c r="T55" s="143">
        <v>766.96403299999997</v>
      </c>
      <c r="U55" s="143">
        <v>150.109917618644</v>
      </c>
      <c r="V55" s="143">
        <f t="shared" si="7"/>
        <v>760.16509865212106</v>
      </c>
      <c r="W55" s="143">
        <v>910.27501627076504</v>
      </c>
      <c r="X55" s="143">
        <v>1677.23904927077</v>
      </c>
      <c r="Y55" s="143"/>
      <c r="AA55" s="200">
        <v>1.002550898525</v>
      </c>
      <c r="AB55" s="200">
        <f t="shared" si="8"/>
        <v>2.5508985250000116E-3</v>
      </c>
      <c r="AC55">
        <f t="shared" si="9"/>
        <v>148.1708135897359</v>
      </c>
      <c r="AD55" s="200">
        <f t="shared" si="10"/>
        <v>150.10991761864409</v>
      </c>
    </row>
    <row r="56" spans="2:30">
      <c r="B56">
        <v>1520.3768940738901</v>
      </c>
      <c r="C56">
        <v>16.575900000000001</v>
      </c>
      <c r="D56">
        <v>252</v>
      </c>
      <c r="E56">
        <v>100</v>
      </c>
      <c r="F56">
        <v>100</v>
      </c>
      <c r="G56">
        <v>1</v>
      </c>
      <c r="H56">
        <v>1056</v>
      </c>
      <c r="I56">
        <f t="shared" si="0"/>
        <v>1.165759</v>
      </c>
      <c r="J56">
        <f t="shared" si="1"/>
        <v>3.968253968253968E-3</v>
      </c>
      <c r="K56" s="161">
        <f t="shared" si="2"/>
        <v>1.0006088057908256</v>
      </c>
      <c r="L56" s="198">
        <f t="shared" si="3"/>
        <v>6.0880579082556174E-4</v>
      </c>
      <c r="M56">
        <f t="shared" si="4"/>
        <v>1</v>
      </c>
      <c r="N56">
        <f t="shared" si="5"/>
        <v>1.9016145608910824</v>
      </c>
      <c r="O56" s="161">
        <f t="shared" si="6"/>
        <v>799.51895896372014</v>
      </c>
      <c r="Q56" s="143">
        <v>1.01069483</v>
      </c>
      <c r="R56" s="143">
        <v>1.01069483</v>
      </c>
      <c r="S56" s="143">
        <v>57318.770126000003</v>
      </c>
      <c r="T56" s="143">
        <v>782.34389299999998</v>
      </c>
      <c r="U56" s="143">
        <v>125.018498767244</v>
      </c>
      <c r="V56" s="143">
        <f t="shared" si="7"/>
        <v>613.01450230665102</v>
      </c>
      <c r="W56" s="143">
        <v>738.03300107389498</v>
      </c>
      <c r="X56" s="143">
        <v>1520.3768940738901</v>
      </c>
      <c r="Y56" s="143"/>
      <c r="AA56" s="200">
        <v>1.0021580294750001</v>
      </c>
      <c r="AB56" s="200">
        <f t="shared" si="8"/>
        <v>2.1580294750001006E-3</v>
      </c>
      <c r="AC56">
        <f t="shared" si="9"/>
        <v>123.69559540266323</v>
      </c>
      <c r="AD56" s="200">
        <f t="shared" si="10"/>
        <v>125.0184987672435</v>
      </c>
    </row>
    <row r="57" spans="2:30">
      <c r="B57">
        <v>1670.70116329704</v>
      </c>
      <c r="C57">
        <v>16.564800000000002</v>
      </c>
      <c r="D57">
        <v>252</v>
      </c>
      <c r="E57">
        <v>100</v>
      </c>
      <c r="F57">
        <v>100</v>
      </c>
      <c r="G57">
        <v>1</v>
      </c>
      <c r="H57">
        <v>1078</v>
      </c>
      <c r="I57">
        <f t="shared" si="0"/>
        <v>1.165648</v>
      </c>
      <c r="J57">
        <f t="shared" si="1"/>
        <v>3.968253968253968E-3</v>
      </c>
      <c r="K57" s="161">
        <f t="shared" si="2"/>
        <v>1.0006084276978784</v>
      </c>
      <c r="L57" s="198">
        <f t="shared" si="3"/>
        <v>6.0842769787838868E-4</v>
      </c>
      <c r="M57">
        <f t="shared" si="4"/>
        <v>1</v>
      </c>
      <c r="N57">
        <f t="shared" si="5"/>
        <v>1.9264628666977748</v>
      </c>
      <c r="O57" s="161">
        <f t="shared" si="6"/>
        <v>867.23766763324852</v>
      </c>
      <c r="Q57" s="143">
        <v>1.0136860700000001</v>
      </c>
      <c r="R57" s="143">
        <v>1.0136860700000001</v>
      </c>
      <c r="S57" s="143">
        <v>56536.426232999998</v>
      </c>
      <c r="T57" s="143">
        <v>750.74720300000001</v>
      </c>
      <c r="U57" s="143">
        <v>146.19247332235699</v>
      </c>
      <c r="V57" s="143">
        <f t="shared" si="7"/>
        <v>773.76148697468102</v>
      </c>
      <c r="W57" s="143">
        <v>919.95396029703795</v>
      </c>
      <c r="X57" s="143">
        <v>1670.70116329704</v>
      </c>
      <c r="Y57" s="143"/>
      <c r="AA57" s="200">
        <v>1.002550898525</v>
      </c>
      <c r="AB57" s="200">
        <f t="shared" si="8"/>
        <v>2.5508985250000116E-3</v>
      </c>
      <c r="AC57">
        <f t="shared" si="9"/>
        <v>144.21868628653166</v>
      </c>
      <c r="AD57" s="200">
        <f t="shared" si="10"/>
        <v>146.19247332235719</v>
      </c>
    </row>
    <row r="58" spans="2:30">
      <c r="B58">
        <v>1511.04894049427</v>
      </c>
      <c r="C58">
        <v>16.555</v>
      </c>
      <c r="D58">
        <v>252</v>
      </c>
      <c r="E58">
        <v>100</v>
      </c>
      <c r="F58">
        <v>100</v>
      </c>
      <c r="G58">
        <v>1</v>
      </c>
      <c r="H58">
        <v>1098</v>
      </c>
      <c r="I58">
        <f t="shared" si="0"/>
        <v>1.1655500000000001</v>
      </c>
      <c r="J58">
        <f t="shared" si="1"/>
        <v>3.968253968253968E-3</v>
      </c>
      <c r="K58" s="161">
        <f t="shared" si="2"/>
        <v>1.0006080938562785</v>
      </c>
      <c r="L58" s="198">
        <f t="shared" si="3"/>
        <v>6.0809385627846879E-4</v>
      </c>
      <c r="M58">
        <f t="shared" si="4"/>
        <v>1</v>
      </c>
      <c r="N58">
        <f t="shared" si="5"/>
        <v>1.9493268897793916</v>
      </c>
      <c r="O58" s="161">
        <f t="shared" si="6"/>
        <v>775.16446749743329</v>
      </c>
      <c r="Q58" s="143">
        <v>1.01129297</v>
      </c>
      <c r="R58" s="143">
        <v>1.01129297</v>
      </c>
      <c r="S58" s="143">
        <v>55785.679029999999</v>
      </c>
      <c r="T58" s="143">
        <v>753.77609500000005</v>
      </c>
      <c r="U58" s="143">
        <v>127.28684577884999</v>
      </c>
      <c r="V58" s="143">
        <f t="shared" si="7"/>
        <v>629.98599971541705</v>
      </c>
      <c r="W58" s="143">
        <v>757.27284549426702</v>
      </c>
      <c r="X58" s="143">
        <v>1511.04894049427</v>
      </c>
      <c r="Y58" s="143"/>
      <c r="AA58" s="200">
        <v>1.0022562323019999</v>
      </c>
      <c r="AB58" s="200">
        <f t="shared" si="8"/>
        <v>2.2562323019998942E-3</v>
      </c>
      <c r="AC58">
        <f t="shared" si="9"/>
        <v>125.86545101648413</v>
      </c>
      <c r="AD58" s="200">
        <f t="shared" si="10"/>
        <v>127.28684577884975</v>
      </c>
    </row>
    <row r="59" spans="2:30">
      <c r="B59">
        <v>1564.2240373832501</v>
      </c>
      <c r="C59">
        <v>16.5456</v>
      </c>
      <c r="D59">
        <v>252</v>
      </c>
      <c r="E59">
        <v>100</v>
      </c>
      <c r="F59">
        <v>100</v>
      </c>
      <c r="G59">
        <v>1</v>
      </c>
      <c r="H59">
        <v>1118</v>
      </c>
      <c r="I59">
        <f t="shared" si="0"/>
        <v>1.165456</v>
      </c>
      <c r="J59">
        <f t="shared" si="1"/>
        <v>3.968253968253968E-3</v>
      </c>
      <c r="K59" s="161">
        <f t="shared" si="2"/>
        <v>1.0006077736145955</v>
      </c>
      <c r="L59" s="198">
        <f t="shared" si="3"/>
        <v>6.0777361459551926E-4</v>
      </c>
      <c r="M59">
        <f t="shared" si="4"/>
        <v>1</v>
      </c>
      <c r="N59">
        <f t="shared" si="5"/>
        <v>1.9724659207940083</v>
      </c>
      <c r="O59" s="161">
        <f t="shared" si="6"/>
        <v>793.02968983797598</v>
      </c>
      <c r="Q59" s="143">
        <v>1.0124891</v>
      </c>
      <c r="R59" s="143">
        <v>1.0124891</v>
      </c>
      <c r="S59" s="143">
        <v>55031.902934999998</v>
      </c>
      <c r="T59" s="143">
        <v>745.73731599999996</v>
      </c>
      <c r="U59" s="143">
        <v>131.187782437744</v>
      </c>
      <c r="V59" s="143">
        <f t="shared" si="7"/>
        <v>687.29893894551003</v>
      </c>
      <c r="W59" s="143">
        <v>818.48672138325401</v>
      </c>
      <c r="X59" s="143">
        <v>1564.2240373832501</v>
      </c>
      <c r="Y59" s="143"/>
      <c r="AA59" s="200">
        <v>1.0023544447520001</v>
      </c>
      <c r="AB59" s="200">
        <f t="shared" si="8"/>
        <v>2.3544447520000844E-3</v>
      </c>
      <c r="AC59">
        <f t="shared" si="9"/>
        <v>129.56957505788878</v>
      </c>
      <c r="AD59" s="200">
        <f t="shared" si="10"/>
        <v>131.18778243774426</v>
      </c>
    </row>
    <row r="60" spans="2:30">
      <c r="B60">
        <v>1506.83677367828</v>
      </c>
      <c r="C60">
        <v>16.536100000000001</v>
      </c>
      <c r="D60">
        <v>252</v>
      </c>
      <c r="E60">
        <v>100</v>
      </c>
      <c r="F60">
        <v>100</v>
      </c>
      <c r="G60">
        <v>1</v>
      </c>
      <c r="H60">
        <v>1139</v>
      </c>
      <c r="I60">
        <f t="shared" si="0"/>
        <v>1.1653610000000001</v>
      </c>
      <c r="J60">
        <f t="shared" si="1"/>
        <v>3.968253968253968E-3</v>
      </c>
      <c r="K60" s="161">
        <f t="shared" si="2"/>
        <v>1.0006074499399467</v>
      </c>
      <c r="L60" s="198">
        <f t="shared" si="3"/>
        <v>6.0744993994665819E-4</v>
      </c>
      <c r="M60">
        <f t="shared" si="4"/>
        <v>1</v>
      </c>
      <c r="N60">
        <f t="shared" si="5"/>
        <v>1.997058651414392</v>
      </c>
      <c r="O60" s="161">
        <f t="shared" si="6"/>
        <v>754.5280518481926</v>
      </c>
      <c r="Q60" s="143">
        <v>1.01188985</v>
      </c>
      <c r="R60" s="143">
        <v>1.01188985</v>
      </c>
      <c r="S60" s="143">
        <v>54286.165618999999</v>
      </c>
      <c r="T60" s="143">
        <v>732.04894300000001</v>
      </c>
      <c r="U60" s="143">
        <v>129.33346439321701</v>
      </c>
      <c r="V60" s="143">
        <f t="shared" si="7"/>
        <v>645.45436628506593</v>
      </c>
      <c r="W60" s="143">
        <v>774.78783067828294</v>
      </c>
      <c r="X60" s="143">
        <v>1506.83677367828</v>
      </c>
      <c r="Y60" s="143"/>
      <c r="AA60" s="200">
        <v>1.0023544447520001</v>
      </c>
      <c r="AB60" s="200">
        <f t="shared" si="8"/>
        <v>2.3544447520000844E-3</v>
      </c>
      <c r="AC60">
        <f t="shared" si="9"/>
        <v>127.81377774786196</v>
      </c>
      <c r="AD60" s="200">
        <f t="shared" si="10"/>
        <v>129.33346439321738</v>
      </c>
    </row>
    <row r="61" spans="2:30">
      <c r="B61">
        <v>1588.9155785041901</v>
      </c>
      <c r="C61">
        <v>16.5259</v>
      </c>
      <c r="D61">
        <v>252</v>
      </c>
      <c r="E61">
        <v>100</v>
      </c>
      <c r="F61">
        <v>100</v>
      </c>
      <c r="G61">
        <v>1</v>
      </c>
      <c r="H61">
        <v>1162</v>
      </c>
      <c r="I61">
        <f t="shared" si="0"/>
        <v>1.165259</v>
      </c>
      <c r="J61">
        <f t="shared" si="1"/>
        <v>3.968253968253968E-3</v>
      </c>
      <c r="K61" s="161">
        <f t="shared" si="2"/>
        <v>1.0006071023863279</v>
      </c>
      <c r="L61" s="198">
        <f t="shared" si="3"/>
        <v>6.071023863278846E-4</v>
      </c>
      <c r="M61">
        <f t="shared" si="4"/>
        <v>1</v>
      </c>
      <c r="N61">
        <f t="shared" si="5"/>
        <v>2.024330277007186</v>
      </c>
      <c r="O61" s="161">
        <f t="shared" si="6"/>
        <v>784.90925939875649</v>
      </c>
      <c r="Q61" s="143">
        <v>1.01368196</v>
      </c>
      <c r="R61" s="143">
        <v>1.01368196</v>
      </c>
      <c r="S61" s="143">
        <v>53554.116675999998</v>
      </c>
      <c r="T61" s="143">
        <v>712.37685999999997</v>
      </c>
      <c r="U61" s="143">
        <v>143.81343630782601</v>
      </c>
      <c r="V61" s="143">
        <f t="shared" si="7"/>
        <v>732.72528219636501</v>
      </c>
      <c r="W61" s="143">
        <v>876.53871850419102</v>
      </c>
      <c r="X61" s="143">
        <v>1588.9155785041901</v>
      </c>
      <c r="Y61" s="143"/>
      <c r="AA61" s="200">
        <v>1.0026491398490001</v>
      </c>
      <c r="AB61" s="200">
        <f t="shared" si="8"/>
        <v>2.6491398490000595E-3</v>
      </c>
      <c r="AC61">
        <f t="shared" si="9"/>
        <v>141.8723445643902</v>
      </c>
      <c r="AD61" s="200">
        <f t="shared" si="10"/>
        <v>143.81343630782641</v>
      </c>
    </row>
    <row r="62" spans="2:30">
      <c r="B62">
        <v>1505.62592547998</v>
      </c>
      <c r="C62">
        <v>16.516999999999999</v>
      </c>
      <c r="D62">
        <v>252</v>
      </c>
      <c r="E62">
        <v>100</v>
      </c>
      <c r="F62">
        <v>100</v>
      </c>
      <c r="G62">
        <v>1</v>
      </c>
      <c r="H62">
        <v>1183</v>
      </c>
      <c r="I62">
        <f t="shared" si="0"/>
        <v>1.16517</v>
      </c>
      <c r="J62">
        <f t="shared" si="1"/>
        <v>3.968253968253968E-3</v>
      </c>
      <c r="K62" s="161">
        <f t="shared" si="2"/>
        <v>1.0006067991040029</v>
      </c>
      <c r="L62" s="198">
        <f t="shared" si="3"/>
        <v>6.0679910400285308E-4</v>
      </c>
      <c r="M62">
        <f t="shared" si="4"/>
        <v>1</v>
      </c>
      <c r="N62">
        <f t="shared" si="5"/>
        <v>2.0495610222905563</v>
      </c>
      <c r="O62" s="161">
        <f t="shared" si="6"/>
        <v>734.60897680290429</v>
      </c>
      <c r="Q62" s="143">
        <v>1.01248483</v>
      </c>
      <c r="R62" s="143">
        <v>1.01248483</v>
      </c>
      <c r="S62" s="143">
        <v>52841.739816000001</v>
      </c>
      <c r="T62" s="143">
        <v>714.68453099999999</v>
      </c>
      <c r="U62" s="143">
        <v>131.221255972992</v>
      </c>
      <c r="V62" s="143">
        <f t="shared" si="7"/>
        <v>659.72013850699102</v>
      </c>
      <c r="W62" s="143">
        <v>790.94139447998305</v>
      </c>
      <c r="X62" s="143">
        <v>1505.62592547998</v>
      </c>
      <c r="Y62" s="143"/>
      <c r="AA62" s="200">
        <v>1.0024526668260001</v>
      </c>
      <c r="AB62" s="200">
        <f t="shared" si="8"/>
        <v>2.4526668260000939E-3</v>
      </c>
      <c r="AC62">
        <f t="shared" si="9"/>
        <v>129.60318227483151</v>
      </c>
      <c r="AD62" s="200">
        <f t="shared" si="10"/>
        <v>131.2212559729918</v>
      </c>
    </row>
    <row r="63" spans="2:30">
      <c r="B63">
        <v>1518.25525372692</v>
      </c>
      <c r="C63">
        <v>16.5075</v>
      </c>
      <c r="D63">
        <v>252</v>
      </c>
      <c r="E63">
        <v>100</v>
      </c>
      <c r="F63">
        <v>100</v>
      </c>
      <c r="G63">
        <v>1</v>
      </c>
      <c r="H63">
        <v>1204</v>
      </c>
      <c r="I63">
        <f t="shared" si="0"/>
        <v>1.1650750000000001</v>
      </c>
      <c r="J63">
        <f t="shared" si="1"/>
        <v>3.968253968253968E-3</v>
      </c>
      <c r="K63" s="161">
        <f t="shared" si="2"/>
        <v>1.0006064753502173</v>
      </c>
      <c r="L63" s="198">
        <f t="shared" si="3"/>
        <v>6.0647535021729482E-4</v>
      </c>
      <c r="M63">
        <f t="shared" si="4"/>
        <v>1</v>
      </c>
      <c r="N63">
        <f t="shared" si="5"/>
        <v>2.0750287066374322</v>
      </c>
      <c r="O63" s="161">
        <f t="shared" si="6"/>
        <v>731.67915647164261</v>
      </c>
      <c r="Q63" s="143">
        <v>1.01308529</v>
      </c>
      <c r="R63" s="143">
        <v>1.01308529</v>
      </c>
      <c r="S63" s="143">
        <v>52127.055285000002</v>
      </c>
      <c r="T63" s="143">
        <v>706.63436100000001</v>
      </c>
      <c r="U63" s="143">
        <v>129.52325747666401</v>
      </c>
      <c r="V63" s="143">
        <f t="shared" si="7"/>
        <v>682.09763525025892</v>
      </c>
      <c r="W63" s="143">
        <v>811.62089272692299</v>
      </c>
      <c r="X63" s="143">
        <v>1518.25525372692</v>
      </c>
      <c r="Y63" s="143"/>
      <c r="AA63" s="200">
        <v>1.0024526668260001</v>
      </c>
      <c r="AB63" s="200">
        <f t="shared" si="8"/>
        <v>2.4526668260000939E-3</v>
      </c>
      <c r="AC63">
        <f t="shared" si="9"/>
        <v>127.85029923459237</v>
      </c>
      <c r="AD63" s="200">
        <f t="shared" si="10"/>
        <v>129.52325747666379</v>
      </c>
    </row>
    <row r="64" spans="2:30">
      <c r="B64">
        <v>1431.9110308132399</v>
      </c>
      <c r="C64">
        <v>16.497299999999999</v>
      </c>
      <c r="D64">
        <v>252</v>
      </c>
      <c r="E64">
        <v>100</v>
      </c>
      <c r="F64">
        <v>100</v>
      </c>
      <c r="G64">
        <v>1</v>
      </c>
      <c r="H64">
        <v>1225</v>
      </c>
      <c r="I64">
        <f t="shared" si="0"/>
        <v>1.164973</v>
      </c>
      <c r="J64">
        <f t="shared" si="1"/>
        <v>3.968253968253968E-3</v>
      </c>
      <c r="K64" s="161">
        <f t="shared" si="2"/>
        <v>1.0006061277116169</v>
      </c>
      <c r="L64" s="198">
        <f t="shared" si="3"/>
        <v>6.061277116169439E-4</v>
      </c>
      <c r="M64">
        <f t="shared" si="4"/>
        <v>1</v>
      </c>
      <c r="N64">
        <f t="shared" si="5"/>
        <v>2.1007228730362293</v>
      </c>
      <c r="O64" s="161">
        <f t="shared" si="6"/>
        <v>681.62776213487962</v>
      </c>
      <c r="Q64" s="143">
        <v>1.01189368</v>
      </c>
      <c r="R64" s="143">
        <v>1.01189368</v>
      </c>
      <c r="S64" s="143">
        <v>51420.420923999998</v>
      </c>
      <c r="T64" s="143">
        <v>697.82653200000004</v>
      </c>
      <c r="U64" s="143">
        <v>122.50646687787599</v>
      </c>
      <c r="V64" s="143">
        <f t="shared" si="7"/>
        <v>611.57803193536097</v>
      </c>
      <c r="W64" s="143">
        <v>734.08449881323702</v>
      </c>
      <c r="X64" s="143">
        <v>1431.9110308132399</v>
      </c>
      <c r="Y64" s="143"/>
      <c r="AA64" s="200">
        <v>1.0023544447520001</v>
      </c>
      <c r="AB64" s="200">
        <f t="shared" si="8"/>
        <v>2.3544447520000844E-3</v>
      </c>
      <c r="AC64">
        <f t="shared" si="9"/>
        <v>121.06654019014712</v>
      </c>
      <c r="AD64" s="200">
        <f t="shared" si="10"/>
        <v>122.50646687787588</v>
      </c>
    </row>
    <row r="65" spans="2:30">
      <c r="B65">
        <v>1421.9636910849799</v>
      </c>
      <c r="C65">
        <v>16.4878</v>
      </c>
      <c r="D65">
        <v>252</v>
      </c>
      <c r="E65">
        <v>100</v>
      </c>
      <c r="F65">
        <v>100</v>
      </c>
      <c r="G65">
        <v>1</v>
      </c>
      <c r="H65">
        <v>1245</v>
      </c>
      <c r="I65">
        <f t="shared" si="0"/>
        <v>1.1648780000000001</v>
      </c>
      <c r="J65">
        <f t="shared" si="1"/>
        <v>3.968253968253968E-3</v>
      </c>
      <c r="K65" s="161">
        <f t="shared" si="2"/>
        <v>1.000605803903299</v>
      </c>
      <c r="L65" s="198">
        <f t="shared" si="3"/>
        <v>6.0580390329900702E-4</v>
      </c>
      <c r="M65">
        <f t="shared" si="4"/>
        <v>1</v>
      </c>
      <c r="N65">
        <f t="shared" si="5"/>
        <v>2.1254796516876953</v>
      </c>
      <c r="O65" s="161">
        <f t="shared" si="6"/>
        <v>669.00837651204881</v>
      </c>
      <c r="Q65" s="143">
        <v>1.01189368</v>
      </c>
      <c r="R65" s="143">
        <v>1.01189368</v>
      </c>
      <c r="S65" s="143">
        <v>50722.594391999999</v>
      </c>
      <c r="T65" s="143">
        <v>697.841453</v>
      </c>
      <c r="U65" s="143">
        <v>120.843931616733</v>
      </c>
      <c r="V65" s="143">
        <f t="shared" si="7"/>
        <v>603.27830646824293</v>
      </c>
      <c r="W65" s="143">
        <v>724.12223808497595</v>
      </c>
      <c r="X65" s="143">
        <v>1421.9636910849799</v>
      </c>
      <c r="Y65" s="143"/>
      <c r="AA65" s="200">
        <v>1.0023544447520001</v>
      </c>
      <c r="AB65" s="200">
        <f t="shared" si="8"/>
        <v>2.3544447520000844E-3</v>
      </c>
      <c r="AC65">
        <f t="shared" si="9"/>
        <v>119.42354617407331</v>
      </c>
      <c r="AD65" s="200">
        <f t="shared" si="10"/>
        <v>120.84393161673296</v>
      </c>
    </row>
    <row r="66" spans="2:30">
      <c r="B66">
        <v>1515.09719871377</v>
      </c>
      <c r="C66">
        <v>16.479900000000001</v>
      </c>
      <c r="D66">
        <v>252</v>
      </c>
      <c r="E66">
        <v>100</v>
      </c>
      <c r="F66">
        <v>100</v>
      </c>
      <c r="G66">
        <v>1</v>
      </c>
      <c r="H66">
        <v>1267</v>
      </c>
      <c r="I66">
        <f t="shared" si="0"/>
        <v>1.1647989999999999</v>
      </c>
      <c r="J66">
        <f t="shared" si="1"/>
        <v>3.968253968253968E-3</v>
      </c>
      <c r="K66" s="161">
        <f t="shared" si="2"/>
        <v>1.0006055346110871</v>
      </c>
      <c r="L66" s="198">
        <f t="shared" si="3"/>
        <v>6.0553461108714401E-4</v>
      </c>
      <c r="M66">
        <f t="shared" si="4"/>
        <v>1</v>
      </c>
      <c r="N66">
        <f t="shared" si="5"/>
        <v>2.1532539414692526</v>
      </c>
      <c r="O66" s="161">
        <f t="shared" si="6"/>
        <v>703.63145262836838</v>
      </c>
      <c r="Q66" s="143">
        <v>1.01311759</v>
      </c>
      <c r="R66" s="143">
        <v>1.01311759</v>
      </c>
      <c r="S66" s="143">
        <v>50024.752938999998</v>
      </c>
      <c r="T66" s="143">
        <v>729.61102100000005</v>
      </c>
      <c r="U66" s="143">
        <v>129.281978808671</v>
      </c>
      <c r="V66" s="143">
        <f t="shared" si="7"/>
        <v>656.20419890509697</v>
      </c>
      <c r="W66" s="143">
        <v>785.48617771376803</v>
      </c>
      <c r="X66" s="143">
        <v>1515.09719871377</v>
      </c>
      <c r="Y66" s="143"/>
      <c r="AA66" s="200">
        <v>1.002550898525</v>
      </c>
      <c r="AB66" s="200">
        <f t="shared" si="8"/>
        <v>2.5508985250000116E-3</v>
      </c>
      <c r="AC66">
        <f t="shared" si="9"/>
        <v>127.60806848558509</v>
      </c>
      <c r="AD66" s="200">
        <f t="shared" si="10"/>
        <v>129.28197880867091</v>
      </c>
    </row>
    <row r="67" spans="2:30">
      <c r="B67">
        <v>1440.5213530813301</v>
      </c>
      <c r="C67">
        <v>16.4755</v>
      </c>
      <c r="D67">
        <v>252</v>
      </c>
      <c r="E67">
        <v>100</v>
      </c>
      <c r="F67">
        <v>100</v>
      </c>
      <c r="G67">
        <v>1</v>
      </c>
      <c r="H67">
        <v>1287</v>
      </c>
      <c r="I67">
        <f t="shared" si="0"/>
        <v>1.164755</v>
      </c>
      <c r="J67">
        <f t="shared" si="1"/>
        <v>3.968253968253968E-3</v>
      </c>
      <c r="K67" s="161">
        <f t="shared" si="2"/>
        <v>1.0006053846176637</v>
      </c>
      <c r="L67" s="198">
        <f t="shared" si="3"/>
        <v>6.0538461766368457E-4</v>
      </c>
      <c r="M67">
        <f t="shared" si="4"/>
        <v>1</v>
      </c>
      <c r="N67">
        <f t="shared" si="5"/>
        <v>2.1790614605407379</v>
      </c>
      <c r="O67" s="161">
        <f t="shared" si="6"/>
        <v>661.07421895473396</v>
      </c>
      <c r="Q67" s="143">
        <v>1.0120006800000001</v>
      </c>
      <c r="R67" s="143">
        <v>1.0120006800000001</v>
      </c>
      <c r="S67" s="143">
        <v>49295.141918000001</v>
      </c>
      <c r="T67" s="143">
        <v>731.49060999999995</v>
      </c>
      <c r="U67" s="143">
        <v>117.455519368818</v>
      </c>
      <c r="V67" s="143">
        <f t="shared" si="7"/>
        <v>591.57522371250798</v>
      </c>
      <c r="W67" s="143">
        <v>709.03074308132602</v>
      </c>
      <c r="X67" s="143">
        <v>1440.5213530813301</v>
      </c>
      <c r="Y67" s="143"/>
      <c r="AA67" s="200">
        <v>1.0023544447520001</v>
      </c>
      <c r="AB67" s="200">
        <f t="shared" si="8"/>
        <v>2.3544447520000844E-3</v>
      </c>
      <c r="AC67">
        <f t="shared" si="9"/>
        <v>116.06268818793448</v>
      </c>
      <c r="AD67" s="200">
        <f t="shared" si="10"/>
        <v>117.45551936881768</v>
      </c>
    </row>
    <row r="68" spans="2:30">
      <c r="B68">
        <v>1363.9821946387101</v>
      </c>
      <c r="C68">
        <v>16.471699999999998</v>
      </c>
      <c r="D68">
        <v>252</v>
      </c>
      <c r="E68">
        <v>100</v>
      </c>
      <c r="F68">
        <v>100</v>
      </c>
      <c r="G68">
        <v>1</v>
      </c>
      <c r="H68">
        <v>1305</v>
      </c>
      <c r="I68">
        <f t="shared" si="0"/>
        <v>1.164717</v>
      </c>
      <c r="J68">
        <f t="shared" si="1"/>
        <v>3.968253968253968E-3</v>
      </c>
      <c r="K68" s="161">
        <f t="shared" si="2"/>
        <v>1.0006052550733471</v>
      </c>
      <c r="L68" s="198">
        <f t="shared" si="3"/>
        <v>6.052550733470774E-4</v>
      </c>
      <c r="M68">
        <f t="shared" si="4"/>
        <v>1</v>
      </c>
      <c r="N68">
        <f t="shared" si="5"/>
        <v>2.2025569475955526</v>
      </c>
      <c r="O68" s="161">
        <f t="shared" si="6"/>
        <v>619.27215826483734</v>
      </c>
      <c r="Q68" s="143">
        <v>1.0107941600000001</v>
      </c>
      <c r="R68" s="143">
        <v>1.0107941600000001</v>
      </c>
      <c r="S68" s="143">
        <v>48563.651308</v>
      </c>
      <c r="T68" s="143">
        <v>733.84533399999998</v>
      </c>
      <c r="U68" s="143">
        <v>105.933038235944</v>
      </c>
      <c r="V68" s="143">
        <f t="shared" si="7"/>
        <v>524.20382240276706</v>
      </c>
      <c r="W68" s="143">
        <v>630.13686063871103</v>
      </c>
      <c r="X68" s="143">
        <v>1363.9821946387101</v>
      </c>
      <c r="Y68" s="143"/>
      <c r="AA68" s="200">
        <v>1.0021580294750001</v>
      </c>
      <c r="AB68" s="200">
        <f t="shared" si="8"/>
        <v>2.1580294750001006E-3</v>
      </c>
      <c r="AC68">
        <f t="shared" si="9"/>
        <v>104.80179093629118</v>
      </c>
      <c r="AD68" s="200">
        <f t="shared" si="10"/>
        <v>105.93303823594407</v>
      </c>
    </row>
    <row r="69" spans="2:30">
      <c r="B69">
        <v>1490.28220274619</v>
      </c>
      <c r="C69">
        <v>16.466999999999999</v>
      </c>
      <c r="D69">
        <v>252</v>
      </c>
      <c r="E69">
        <v>100</v>
      </c>
      <c r="F69">
        <v>100</v>
      </c>
      <c r="G69">
        <v>1</v>
      </c>
      <c r="H69">
        <v>1328</v>
      </c>
      <c r="I69">
        <f t="shared" si="0"/>
        <v>1.1646700000000001</v>
      </c>
      <c r="J69">
        <f t="shared" si="1"/>
        <v>3.968253968253968E-3</v>
      </c>
      <c r="K69" s="161">
        <f t="shared" si="2"/>
        <v>1.0006050948416583</v>
      </c>
      <c r="L69" s="198">
        <f t="shared" si="3"/>
        <v>6.0509484165827132E-4</v>
      </c>
      <c r="M69">
        <f t="shared" si="4"/>
        <v>1</v>
      </c>
      <c r="N69">
        <f t="shared" si="5"/>
        <v>2.2329485480001807</v>
      </c>
      <c r="O69" s="161">
        <f t="shared" si="6"/>
        <v>667.40552713625243</v>
      </c>
      <c r="Q69" s="143">
        <v>1.0138132900000001</v>
      </c>
      <c r="R69" s="143">
        <v>1.0138132900000001</v>
      </c>
      <c r="S69" s="143">
        <v>47829.805974000003</v>
      </c>
      <c r="T69" s="143">
        <v>701.13712499999997</v>
      </c>
      <c r="U69" s="143">
        <v>128.458097183588</v>
      </c>
      <c r="V69" s="143">
        <f t="shared" si="7"/>
        <v>660.68698056259905</v>
      </c>
      <c r="W69" s="143">
        <v>789.14507774618698</v>
      </c>
      <c r="X69" s="143">
        <v>1490.28220274619</v>
      </c>
      <c r="Y69" s="143"/>
      <c r="AA69" s="200">
        <v>1.0026491398490001</v>
      </c>
      <c r="AB69" s="200">
        <f t="shared" si="8"/>
        <v>2.6491398490000595E-3</v>
      </c>
      <c r="AC69">
        <f t="shared" si="9"/>
        <v>126.70784497566451</v>
      </c>
      <c r="AD69" s="200">
        <f t="shared" si="10"/>
        <v>128.45809718358842</v>
      </c>
    </row>
    <row r="70" spans="2:30">
      <c r="B70">
        <v>1385.0112327606801</v>
      </c>
      <c r="C70">
        <v>16.463000000000001</v>
      </c>
      <c r="D70">
        <v>252</v>
      </c>
      <c r="E70">
        <v>100</v>
      </c>
      <c r="F70">
        <v>100</v>
      </c>
      <c r="G70">
        <v>1</v>
      </c>
      <c r="H70">
        <v>1348</v>
      </c>
      <c r="I70">
        <f t="shared" si="0"/>
        <v>1.1646300000000001</v>
      </c>
      <c r="J70">
        <f t="shared" si="1"/>
        <v>3.968253968253968E-3</v>
      </c>
      <c r="K70" s="161">
        <f t="shared" si="2"/>
        <v>1.0006049584691903</v>
      </c>
      <c r="L70" s="198">
        <f t="shared" si="3"/>
        <v>6.0495846919028651E-4</v>
      </c>
      <c r="M70">
        <f t="shared" si="4"/>
        <v>1</v>
      </c>
      <c r="N70">
        <f t="shared" si="5"/>
        <v>2.2597121748765789</v>
      </c>
      <c r="O70" s="161">
        <f t="shared" si="6"/>
        <v>612.91488719634242</v>
      </c>
      <c r="Q70" s="143">
        <v>1.01200117</v>
      </c>
      <c r="R70" s="143">
        <v>1.01200117</v>
      </c>
      <c r="S70" s="143">
        <v>47128.668849000002</v>
      </c>
      <c r="T70" s="143">
        <v>707.11854700000004</v>
      </c>
      <c r="U70" s="143">
        <v>112.293519030122</v>
      </c>
      <c r="V70" s="143">
        <f t="shared" si="7"/>
        <v>565.59916673055307</v>
      </c>
      <c r="W70" s="143">
        <v>677.89268576067502</v>
      </c>
      <c r="X70" s="143">
        <v>1385.0112327606801</v>
      </c>
      <c r="Y70" s="143"/>
      <c r="AA70" s="200">
        <v>1.0023544447520001</v>
      </c>
      <c r="AB70" s="200">
        <f t="shared" si="8"/>
        <v>2.3544447520000844E-3</v>
      </c>
      <c r="AC70">
        <f t="shared" si="9"/>
        <v>110.96184704027792</v>
      </c>
      <c r="AD70" s="200">
        <f t="shared" si="10"/>
        <v>112.29351903012228</v>
      </c>
    </row>
    <row r="71" spans="2:30">
      <c r="B71">
        <v>1394.9017923920101</v>
      </c>
      <c r="C71">
        <v>16.4589</v>
      </c>
      <c r="D71">
        <v>252</v>
      </c>
      <c r="E71">
        <v>100</v>
      </c>
      <c r="F71">
        <v>100</v>
      </c>
      <c r="G71">
        <v>1</v>
      </c>
      <c r="H71">
        <v>1369</v>
      </c>
      <c r="I71">
        <f t="shared" ref="I71:I134" si="11">C71/F71+G71</f>
        <v>1.1645889999999999</v>
      </c>
      <c r="J71">
        <f t="shared" ref="J71:J134" si="12">G71/D71</f>
        <v>3.968253968253968E-3</v>
      </c>
      <c r="K71" s="161">
        <f t="shared" ref="K71:K134" si="13">POWER(I71,J71)</f>
        <v>1.0006048186825691</v>
      </c>
      <c r="L71" s="198">
        <f t="shared" ref="L71:L134" si="14">K71-G71</f>
        <v>6.048186825691193E-4</v>
      </c>
      <c r="M71">
        <f t="shared" ref="M71:M134" si="15">E71/F71</f>
        <v>1</v>
      </c>
      <c r="N71">
        <f t="shared" ref="N71:N134" si="16">POWER((L71*M71)+1,H71)</f>
        <v>2.2881565271504374</v>
      </c>
      <c r="O71" s="161">
        <f t="shared" ref="O71:O134" si="17">B71/N71</f>
        <v>609.61816896729317</v>
      </c>
      <c r="Q71" s="143">
        <v>1.012605</v>
      </c>
      <c r="R71" s="143">
        <v>1.012605</v>
      </c>
      <c r="S71" s="143">
        <v>46421.550302000003</v>
      </c>
      <c r="T71" s="143">
        <v>694.46639200000004</v>
      </c>
      <c r="U71" s="143">
        <v>115.291758835301</v>
      </c>
      <c r="V71" s="143">
        <f t="shared" ref="V71:V134" si="18">W71-U71</f>
        <v>585.14364155670899</v>
      </c>
      <c r="W71" s="143">
        <v>700.43540039201002</v>
      </c>
      <c r="X71" s="143">
        <v>1394.9017923920101</v>
      </c>
      <c r="Y71" s="143"/>
      <c r="AA71" s="200">
        <v>1.0024526668260001</v>
      </c>
      <c r="AB71" s="200">
        <f t="shared" ref="AB71:AB134" si="19">AA71-G71</f>
        <v>2.4526668260000939E-3</v>
      </c>
      <c r="AC71">
        <f t="shared" ref="AC71:AC134" si="20">AB71*S71</f>
        <v>113.85659643721004</v>
      </c>
      <c r="AD71" s="200">
        <f t="shared" ref="AD71:AD134" si="21">AC71*Q71</f>
        <v>115.29175883530107</v>
      </c>
    </row>
    <row r="72" spans="2:30">
      <c r="B72">
        <v>1376.44957022169</v>
      </c>
      <c r="C72">
        <v>16.455100000000002</v>
      </c>
      <c r="D72">
        <v>252</v>
      </c>
      <c r="E72">
        <v>100</v>
      </c>
      <c r="F72">
        <v>100</v>
      </c>
      <c r="G72">
        <v>1</v>
      </c>
      <c r="H72">
        <v>1390</v>
      </c>
      <c r="I72">
        <f t="shared" si="11"/>
        <v>1.1645509999999999</v>
      </c>
      <c r="J72">
        <f t="shared" si="12"/>
        <v>3.968253968253968E-3</v>
      </c>
      <c r="K72" s="161">
        <f t="shared" si="13"/>
        <v>1.0006046891198601</v>
      </c>
      <c r="L72" s="198">
        <f t="shared" si="14"/>
        <v>6.0468911986011342E-4</v>
      </c>
      <c r="M72">
        <f t="shared" si="15"/>
        <v>1</v>
      </c>
      <c r="N72">
        <f t="shared" si="16"/>
        <v>2.3169782377865129</v>
      </c>
      <c r="O72" s="161">
        <f t="shared" si="17"/>
        <v>594.07099634075917</v>
      </c>
      <c r="Q72" s="143">
        <v>1.01260682</v>
      </c>
      <c r="R72" s="143">
        <v>1.01260682</v>
      </c>
      <c r="S72" s="143">
        <v>45727.083910000001</v>
      </c>
      <c r="T72" s="143">
        <v>686.40925600000003</v>
      </c>
      <c r="U72" s="143">
        <v>113.56719824341999</v>
      </c>
      <c r="V72" s="143">
        <f t="shared" si="18"/>
        <v>576.47311597826706</v>
      </c>
      <c r="W72" s="143">
        <v>690.04031422168703</v>
      </c>
      <c r="X72" s="143">
        <v>1376.44957022169</v>
      </c>
      <c r="Y72" s="143"/>
      <c r="AA72" s="200">
        <v>1.0024526668260001</v>
      </c>
      <c r="AB72" s="200">
        <f t="shared" si="19"/>
        <v>2.4526668260000939E-3</v>
      </c>
      <c r="AC72">
        <f t="shared" si="20"/>
        <v>112.15330175577967</v>
      </c>
      <c r="AD72" s="200">
        <f t="shared" si="21"/>
        <v>113.56719824342046</v>
      </c>
    </row>
    <row r="73" spans="2:30">
      <c r="B73">
        <v>1385.48737551626</v>
      </c>
      <c r="C73">
        <v>16.4513</v>
      </c>
      <c r="D73">
        <v>252</v>
      </c>
      <c r="E73">
        <v>100</v>
      </c>
      <c r="F73">
        <v>100</v>
      </c>
      <c r="G73">
        <v>1</v>
      </c>
      <c r="H73">
        <v>1412</v>
      </c>
      <c r="I73">
        <f t="shared" si="11"/>
        <v>1.1645129999999999</v>
      </c>
      <c r="J73">
        <f t="shared" si="12"/>
        <v>3.968253968253968E-3</v>
      </c>
      <c r="K73" s="161">
        <f t="shared" si="13"/>
        <v>1.0006045595529403</v>
      </c>
      <c r="L73" s="198">
        <f t="shared" si="14"/>
        <v>6.0455955294025365E-4</v>
      </c>
      <c r="M73">
        <f t="shared" si="15"/>
        <v>1</v>
      </c>
      <c r="N73">
        <f t="shared" si="16"/>
        <v>2.3475686021662976</v>
      </c>
      <c r="O73" s="161">
        <f t="shared" si="17"/>
        <v>590.17971795914934</v>
      </c>
      <c r="Q73" s="143">
        <v>1.01321719</v>
      </c>
      <c r="R73" s="143">
        <v>1.01321719</v>
      </c>
      <c r="S73" s="143">
        <v>45040.674654000002</v>
      </c>
      <c r="T73" s="143">
        <v>673.76345200000003</v>
      </c>
      <c r="U73" s="143">
        <v>116.412768886156</v>
      </c>
      <c r="V73" s="143">
        <f t="shared" si="18"/>
        <v>595.31115463010201</v>
      </c>
      <c r="W73" s="143">
        <v>711.72392351625797</v>
      </c>
      <c r="X73" s="143">
        <v>1385.48737551626</v>
      </c>
      <c r="Y73" s="143"/>
      <c r="AA73" s="200">
        <v>1.002550898525</v>
      </c>
      <c r="AB73" s="200">
        <f t="shared" si="19"/>
        <v>2.5508985250000116E-3</v>
      </c>
      <c r="AC73">
        <f t="shared" si="20"/>
        <v>114.89419053989401</v>
      </c>
      <c r="AD73" s="200">
        <f t="shared" si="21"/>
        <v>116.41276888615599</v>
      </c>
    </row>
    <row r="74" spans="2:30">
      <c r="B74">
        <v>1366.4921793467299</v>
      </c>
      <c r="C74">
        <v>16.447600000000001</v>
      </c>
      <c r="D74">
        <v>252</v>
      </c>
      <c r="E74">
        <v>100</v>
      </c>
      <c r="F74">
        <v>100</v>
      </c>
      <c r="G74">
        <v>1</v>
      </c>
      <c r="H74">
        <v>1434</v>
      </c>
      <c r="I74">
        <f t="shared" si="11"/>
        <v>1.1644760000000001</v>
      </c>
      <c r="J74">
        <f t="shared" si="12"/>
        <v>3.968253968253968E-3</v>
      </c>
      <c r="K74" s="161">
        <f t="shared" si="13"/>
        <v>1.0006044333916297</v>
      </c>
      <c r="L74" s="198">
        <f t="shared" si="14"/>
        <v>6.0443339162974397E-4</v>
      </c>
      <c r="M74">
        <f t="shared" si="15"/>
        <v>1</v>
      </c>
      <c r="N74">
        <f t="shared" si="16"/>
        <v>2.3785608990132889</v>
      </c>
      <c r="O74" s="161">
        <f t="shared" si="17"/>
        <v>574.50375977911654</v>
      </c>
      <c r="Q74" s="143">
        <v>1.01321719</v>
      </c>
      <c r="R74" s="143">
        <v>1.01321719</v>
      </c>
      <c r="S74" s="143">
        <v>44366.911202000003</v>
      </c>
      <c r="T74" s="143">
        <v>665.41493400000002</v>
      </c>
      <c r="U74" s="143">
        <v>114.67135027677401</v>
      </c>
      <c r="V74" s="143">
        <f t="shared" si="18"/>
        <v>586.40589506996105</v>
      </c>
      <c r="W74" s="143">
        <v>701.07724534673503</v>
      </c>
      <c r="X74" s="143">
        <v>1366.4921793467399</v>
      </c>
      <c r="Y74" s="143"/>
      <c r="AA74" s="200">
        <v>1.002550898525</v>
      </c>
      <c r="AB74" s="200">
        <f t="shared" si="19"/>
        <v>2.5508985250000116E-3</v>
      </c>
      <c r="AC74">
        <f t="shared" si="20"/>
        <v>113.17548834398829</v>
      </c>
      <c r="AD74" s="200">
        <f t="shared" si="21"/>
        <v>114.67135027677357</v>
      </c>
    </row>
    <row r="75" spans="2:30">
      <c r="B75">
        <v>1348.2391904112801</v>
      </c>
      <c r="C75">
        <v>16.443999999999999</v>
      </c>
      <c r="D75">
        <v>252</v>
      </c>
      <c r="E75">
        <v>100</v>
      </c>
      <c r="F75">
        <v>100</v>
      </c>
      <c r="G75">
        <v>1</v>
      </c>
      <c r="H75">
        <v>1455</v>
      </c>
      <c r="I75">
        <f t="shared" si="11"/>
        <v>1.1644399999999999</v>
      </c>
      <c r="J75">
        <f t="shared" si="12"/>
        <v>3.968253968253968E-3</v>
      </c>
      <c r="K75" s="161">
        <f t="shared" si="13"/>
        <v>1.0006043106362519</v>
      </c>
      <c r="L75" s="198">
        <f t="shared" si="14"/>
        <v>6.0431063625188131E-4</v>
      </c>
      <c r="M75">
        <f t="shared" si="15"/>
        <v>1</v>
      </c>
      <c r="N75">
        <f t="shared" si="16"/>
        <v>2.4085054406643951</v>
      </c>
      <c r="O75" s="161">
        <f t="shared" si="17"/>
        <v>559.78249733135885</v>
      </c>
      <c r="Q75" s="143">
        <v>1.0132110299999999</v>
      </c>
      <c r="R75" s="143">
        <v>1.0132110299999999</v>
      </c>
      <c r="S75" s="143">
        <v>43701.496268000003</v>
      </c>
      <c r="T75" s="143">
        <v>662.29617499999995</v>
      </c>
      <c r="U75" s="143">
        <v>108.601237169847</v>
      </c>
      <c r="V75" s="143">
        <f t="shared" si="18"/>
        <v>577.34177824143205</v>
      </c>
      <c r="W75" s="143">
        <v>685.94301541127902</v>
      </c>
      <c r="X75" s="143">
        <v>1348.2391904112801</v>
      </c>
      <c r="Y75" s="143"/>
      <c r="AA75" s="200">
        <v>1.0024526668260001</v>
      </c>
      <c r="AB75" s="200">
        <f t="shared" si="19"/>
        <v>2.4526668260000939E-3</v>
      </c>
      <c r="AC75">
        <f t="shared" si="20"/>
        <v>107.18521014309052</v>
      </c>
      <c r="AD75" s="200">
        <f t="shared" si="21"/>
        <v>108.60123716984718</v>
      </c>
    </row>
    <row r="76" spans="2:30">
      <c r="B76">
        <v>1273.3659428741801</v>
      </c>
      <c r="C76">
        <v>16.4404</v>
      </c>
      <c r="D76">
        <v>252</v>
      </c>
      <c r="E76">
        <v>100</v>
      </c>
      <c r="F76">
        <v>100</v>
      </c>
      <c r="G76">
        <v>1</v>
      </c>
      <c r="H76">
        <v>1475</v>
      </c>
      <c r="I76">
        <f t="shared" si="11"/>
        <v>1.164404</v>
      </c>
      <c r="J76">
        <f t="shared" si="12"/>
        <v>3.968253968253968E-3</v>
      </c>
      <c r="K76" s="161">
        <f t="shared" si="13"/>
        <v>1.0006041878770942</v>
      </c>
      <c r="L76" s="198">
        <f t="shared" si="14"/>
        <v>6.0418787709415334E-4</v>
      </c>
      <c r="M76">
        <f t="shared" si="15"/>
        <v>1</v>
      </c>
      <c r="N76">
        <f t="shared" si="16"/>
        <v>2.437341772406366</v>
      </c>
      <c r="O76" s="161">
        <f t="shared" si="17"/>
        <v>522.44045430567462</v>
      </c>
      <c r="Q76" s="143">
        <v>1.01198791</v>
      </c>
      <c r="R76" s="143">
        <v>1.01198791</v>
      </c>
      <c r="S76" s="143">
        <v>43039.200092999999</v>
      </c>
      <c r="T76" s="143">
        <v>659.14534900000001</v>
      </c>
      <c r="U76" s="143">
        <v>98.2705366873071</v>
      </c>
      <c r="V76" s="143">
        <f t="shared" si="18"/>
        <v>515.95005718687491</v>
      </c>
      <c r="W76" s="143">
        <v>614.22059387418199</v>
      </c>
      <c r="X76" s="143">
        <v>1273.3659428741801</v>
      </c>
      <c r="Y76" s="143"/>
      <c r="AA76" s="200">
        <v>1.0022562323019999</v>
      </c>
      <c r="AB76" s="200">
        <f t="shared" si="19"/>
        <v>2.2562323019998942E-3</v>
      </c>
      <c r="AC76">
        <f t="shared" si="20"/>
        <v>97.106433502063453</v>
      </c>
      <c r="AD76" s="200">
        <f t="shared" si="21"/>
        <v>98.270536687307171</v>
      </c>
    </row>
    <row r="77" spans="2:30">
      <c r="B77">
        <v>1231.1846559591299</v>
      </c>
      <c r="C77">
        <v>16.436900000000001</v>
      </c>
      <c r="D77">
        <v>252</v>
      </c>
      <c r="E77">
        <v>100</v>
      </c>
      <c r="F77">
        <v>100</v>
      </c>
      <c r="G77">
        <v>1</v>
      </c>
      <c r="H77">
        <v>1495</v>
      </c>
      <c r="I77">
        <f t="shared" si="11"/>
        <v>1.164369</v>
      </c>
      <c r="J77">
        <f t="shared" si="12"/>
        <v>3.968253968253968E-3</v>
      </c>
      <c r="K77" s="161">
        <f t="shared" si="13"/>
        <v>1.0006040685242885</v>
      </c>
      <c r="L77" s="198">
        <f t="shared" si="14"/>
        <v>6.0406852428851465E-4</v>
      </c>
      <c r="M77">
        <f t="shared" si="15"/>
        <v>1</v>
      </c>
      <c r="N77">
        <f t="shared" si="16"/>
        <v>2.4665238020246587</v>
      </c>
      <c r="O77" s="161">
        <f t="shared" si="17"/>
        <v>499.15782484989836</v>
      </c>
      <c r="Q77" s="143">
        <v>1.0113851199999999</v>
      </c>
      <c r="R77" s="143">
        <v>1.0113851199999999</v>
      </c>
      <c r="S77" s="143">
        <v>42380.054744000001</v>
      </c>
      <c r="T77" s="143">
        <v>651.97476200000006</v>
      </c>
      <c r="U77" s="143">
        <v>96.707885092122197</v>
      </c>
      <c r="V77" s="143">
        <f t="shared" si="18"/>
        <v>482.50200886700577</v>
      </c>
      <c r="W77" s="143">
        <v>579.20989395912795</v>
      </c>
      <c r="X77" s="143">
        <v>1231.1846559591299</v>
      </c>
      <c r="Y77" s="143"/>
      <c r="AA77" s="200">
        <v>1.0022562323019999</v>
      </c>
      <c r="AB77" s="200">
        <f t="shared" si="19"/>
        <v>2.2562323019998942E-3</v>
      </c>
      <c r="AC77">
        <f t="shared" si="20"/>
        <v>95.619248473936665</v>
      </c>
      <c r="AD77" s="200">
        <f t="shared" si="21"/>
        <v>96.70788509212224</v>
      </c>
    </row>
    <row r="78" spans="2:30">
      <c r="B78">
        <v>1374.56872775699</v>
      </c>
      <c r="C78">
        <v>16.433199999999999</v>
      </c>
      <c r="D78">
        <v>252</v>
      </c>
      <c r="E78">
        <v>100</v>
      </c>
      <c r="F78">
        <v>100</v>
      </c>
      <c r="G78">
        <v>1</v>
      </c>
      <c r="H78">
        <v>1518</v>
      </c>
      <c r="I78">
        <f t="shared" si="11"/>
        <v>1.1643319999999999</v>
      </c>
      <c r="J78">
        <f t="shared" si="12"/>
        <v>3.968253968253968E-3</v>
      </c>
      <c r="K78" s="161">
        <f t="shared" si="13"/>
        <v>1.0006039423474369</v>
      </c>
      <c r="L78" s="198">
        <f t="shared" si="14"/>
        <v>6.0394234743688102E-4</v>
      </c>
      <c r="M78">
        <f t="shared" si="15"/>
        <v>1</v>
      </c>
      <c r="N78">
        <f t="shared" si="16"/>
        <v>2.5005426100334129</v>
      </c>
      <c r="O78" s="161">
        <f t="shared" si="17"/>
        <v>549.7081802331785</v>
      </c>
      <c r="Q78" s="143">
        <v>1.0138033900000001</v>
      </c>
      <c r="R78" s="143">
        <v>1.0138033900000001</v>
      </c>
      <c r="S78" s="143">
        <v>41728.079982000003</v>
      </c>
      <c r="T78" s="143">
        <v>686.51037099999996</v>
      </c>
      <c r="U78" s="143">
        <v>112.069394814245</v>
      </c>
      <c r="V78" s="143">
        <f t="shared" si="18"/>
        <v>575.98896194274198</v>
      </c>
      <c r="W78" s="143">
        <v>688.058356756987</v>
      </c>
      <c r="X78" s="143">
        <v>1374.56872775699</v>
      </c>
      <c r="Y78" s="143"/>
      <c r="AA78" s="200">
        <v>1.0026491398490001</v>
      </c>
      <c r="AB78" s="200">
        <f t="shared" si="19"/>
        <v>2.6491398490000595E-3</v>
      </c>
      <c r="AC78">
        <f t="shared" si="20"/>
        <v>110.54351950257789</v>
      </c>
      <c r="AD78" s="200">
        <f t="shared" si="21"/>
        <v>112.06939481424459</v>
      </c>
    </row>
    <row r="79" spans="2:30">
      <c r="B79">
        <v>1306.12206776127</v>
      </c>
      <c r="C79">
        <v>16.430099999999999</v>
      </c>
      <c r="D79">
        <v>252</v>
      </c>
      <c r="E79">
        <v>100</v>
      </c>
      <c r="F79">
        <v>100</v>
      </c>
      <c r="G79">
        <v>1</v>
      </c>
      <c r="H79">
        <v>1539</v>
      </c>
      <c r="I79">
        <f t="shared" si="11"/>
        <v>1.164301</v>
      </c>
      <c r="J79">
        <f t="shared" si="12"/>
        <v>3.968253968253968E-3</v>
      </c>
      <c r="K79" s="161">
        <f t="shared" si="13"/>
        <v>1.0006038366286216</v>
      </c>
      <c r="L79" s="198">
        <f t="shared" si="14"/>
        <v>6.0383662862162346E-4</v>
      </c>
      <c r="M79">
        <f t="shared" si="15"/>
        <v>1</v>
      </c>
      <c r="N79">
        <f t="shared" si="16"/>
        <v>2.5320369826448705</v>
      </c>
      <c r="O79" s="161">
        <f t="shared" si="17"/>
        <v>515.83846393781505</v>
      </c>
      <c r="Q79" s="143">
        <v>1.0126117699999999</v>
      </c>
      <c r="R79" s="143">
        <v>1.0126117699999999</v>
      </c>
      <c r="S79" s="143">
        <v>41041.569610999999</v>
      </c>
      <c r="T79" s="143">
        <v>686.58441800000003</v>
      </c>
      <c r="U79" s="143">
        <v>101.930813388356</v>
      </c>
      <c r="V79" s="143">
        <f t="shared" si="18"/>
        <v>517.606836372918</v>
      </c>
      <c r="W79" s="143">
        <v>619.537649761274</v>
      </c>
      <c r="X79" s="143">
        <v>1306.12206776127</v>
      </c>
      <c r="Y79" s="143"/>
      <c r="AA79" s="200">
        <v>1.0024526668260001</v>
      </c>
      <c r="AB79" s="200">
        <f t="shared" si="19"/>
        <v>2.4526668260000939E-3</v>
      </c>
      <c r="AC79">
        <f t="shared" si="20"/>
        <v>100.66129627187327</v>
      </c>
      <c r="AD79" s="200">
        <f t="shared" si="21"/>
        <v>101.93081338835599</v>
      </c>
    </row>
    <row r="80" spans="2:30">
      <c r="B80">
        <v>1240.10030017599</v>
      </c>
      <c r="C80">
        <v>16.427399999999999</v>
      </c>
      <c r="D80">
        <v>252</v>
      </c>
      <c r="E80">
        <v>100</v>
      </c>
      <c r="F80">
        <v>100</v>
      </c>
      <c r="G80">
        <v>1</v>
      </c>
      <c r="H80">
        <v>1558</v>
      </c>
      <c r="I80">
        <f t="shared" si="11"/>
        <v>1.164274</v>
      </c>
      <c r="J80">
        <f t="shared" si="12"/>
        <v>3.968253968253968E-3</v>
      </c>
      <c r="K80" s="161">
        <f t="shared" si="13"/>
        <v>1.0006037445486593</v>
      </c>
      <c r="L80" s="198">
        <f t="shared" si="14"/>
        <v>6.0374454865930183E-4</v>
      </c>
      <c r="M80">
        <f t="shared" si="15"/>
        <v>1</v>
      </c>
      <c r="N80">
        <f t="shared" si="16"/>
        <v>2.5608780032796519</v>
      </c>
      <c r="O80" s="161">
        <f t="shared" si="17"/>
        <v>484.24809717129239</v>
      </c>
      <c r="Q80" s="143">
        <v>1.0114038299999999</v>
      </c>
      <c r="R80" s="143">
        <v>1.0114038299999999</v>
      </c>
      <c r="S80" s="143">
        <v>40354.985193</v>
      </c>
      <c r="T80" s="143">
        <v>687.81036700000004</v>
      </c>
      <c r="U80" s="143">
        <v>92.088542382507498</v>
      </c>
      <c r="V80" s="143">
        <f t="shared" si="18"/>
        <v>460.20139079348451</v>
      </c>
      <c r="W80" s="143">
        <v>552.28993317599202</v>
      </c>
      <c r="X80" s="143">
        <v>1240.10030017599</v>
      </c>
      <c r="Y80" s="143"/>
      <c r="AA80" s="200">
        <v>1.0022562323019999</v>
      </c>
      <c r="AB80" s="200">
        <f t="shared" si="19"/>
        <v>2.2562323019998942E-3</v>
      </c>
      <c r="AC80">
        <f t="shared" si="20"/>
        <v>91.050221139174042</v>
      </c>
      <c r="AD80" s="200">
        <f t="shared" si="21"/>
        <v>92.088542382507583</v>
      </c>
    </row>
    <row r="81" spans="2:30">
      <c r="B81">
        <v>1294.5339629656301</v>
      </c>
      <c r="C81">
        <v>16.424399999999999</v>
      </c>
      <c r="D81">
        <v>252</v>
      </c>
      <c r="E81">
        <v>100</v>
      </c>
      <c r="F81">
        <v>100</v>
      </c>
      <c r="G81">
        <v>1</v>
      </c>
      <c r="H81">
        <v>1580</v>
      </c>
      <c r="I81">
        <f t="shared" si="11"/>
        <v>1.1642440000000001</v>
      </c>
      <c r="J81">
        <f t="shared" si="12"/>
        <v>3.968253968253968E-3</v>
      </c>
      <c r="K81" s="161">
        <f t="shared" si="13"/>
        <v>1.0006036422350957</v>
      </c>
      <c r="L81" s="198">
        <f t="shared" si="14"/>
        <v>6.0364223509568049E-4</v>
      </c>
      <c r="M81">
        <f t="shared" si="15"/>
        <v>1</v>
      </c>
      <c r="N81">
        <f t="shared" si="16"/>
        <v>2.5946898311976092</v>
      </c>
      <c r="O81" s="161">
        <f t="shared" si="17"/>
        <v>498.91665177109934</v>
      </c>
      <c r="Q81" s="143">
        <v>1.01321628</v>
      </c>
      <c r="R81" s="143">
        <v>1.01321628</v>
      </c>
      <c r="S81" s="143">
        <v>39667.174826000002</v>
      </c>
      <c r="T81" s="143">
        <v>667.75722099999996</v>
      </c>
      <c r="U81" s="143">
        <v>102.524252656268</v>
      </c>
      <c r="V81" s="143">
        <f t="shared" si="18"/>
        <v>524.25248930936596</v>
      </c>
      <c r="W81" s="143">
        <v>626.77674196563396</v>
      </c>
      <c r="X81" s="143">
        <v>1294.5339629656301</v>
      </c>
      <c r="Y81" s="143"/>
      <c r="AA81" s="200">
        <v>1.002550898525</v>
      </c>
      <c r="AB81" s="200">
        <f t="shared" si="19"/>
        <v>2.5508985250000116E-3</v>
      </c>
      <c r="AC81">
        <f t="shared" si="20"/>
        <v>101.186937754561</v>
      </c>
      <c r="AD81" s="200">
        <f t="shared" si="21"/>
        <v>102.52425265626785</v>
      </c>
    </row>
    <row r="82" spans="2:30">
      <c r="B82">
        <v>1206.1268751360501</v>
      </c>
      <c r="C82">
        <v>16.421800000000001</v>
      </c>
      <c r="D82">
        <v>252</v>
      </c>
      <c r="E82">
        <v>100</v>
      </c>
      <c r="F82">
        <v>100</v>
      </c>
      <c r="G82">
        <v>1</v>
      </c>
      <c r="H82">
        <v>1599</v>
      </c>
      <c r="I82">
        <f t="shared" si="11"/>
        <v>1.164218</v>
      </c>
      <c r="J82">
        <f t="shared" si="12"/>
        <v>3.968253968253968E-3</v>
      </c>
      <c r="K82" s="161">
        <f t="shared" si="13"/>
        <v>1.0006035535612166</v>
      </c>
      <c r="L82" s="198">
        <f t="shared" si="14"/>
        <v>6.0355356121655213E-4</v>
      </c>
      <c r="M82">
        <f t="shared" si="15"/>
        <v>1</v>
      </c>
      <c r="N82">
        <f t="shared" si="16"/>
        <v>2.624239191265811</v>
      </c>
      <c r="O82" s="161">
        <f t="shared" si="17"/>
        <v>459.61011448589431</v>
      </c>
      <c r="Q82" s="143">
        <v>1.0114038299999999</v>
      </c>
      <c r="R82" s="143">
        <v>1.0114038299999999</v>
      </c>
      <c r="S82" s="143">
        <v>38999.417605000002</v>
      </c>
      <c r="T82" s="143">
        <v>672.388958</v>
      </c>
      <c r="U82" s="143">
        <v>88.995188669629798</v>
      </c>
      <c r="V82" s="143">
        <f t="shared" si="18"/>
        <v>444.74272846642327</v>
      </c>
      <c r="W82" s="143">
        <v>533.73791713605306</v>
      </c>
      <c r="X82" s="143">
        <v>1206.1268751360501</v>
      </c>
      <c r="Y82" s="143"/>
      <c r="AA82" s="200">
        <v>1.0022562323019999</v>
      </c>
      <c r="AB82" s="200">
        <f t="shared" si="19"/>
        <v>2.2562323019998942E-3</v>
      </c>
      <c r="AC82">
        <f t="shared" si="20"/>
        <v>87.991745759584362</v>
      </c>
      <c r="AD82" s="200">
        <f t="shared" si="21"/>
        <v>88.995188669629869</v>
      </c>
    </row>
    <row r="83" spans="2:30">
      <c r="B83">
        <v>1258.6938050420799</v>
      </c>
      <c r="C83">
        <v>16.419</v>
      </c>
      <c r="D83">
        <v>252</v>
      </c>
      <c r="E83">
        <v>100</v>
      </c>
      <c r="F83">
        <v>100</v>
      </c>
      <c r="G83">
        <v>1</v>
      </c>
      <c r="H83">
        <v>1621</v>
      </c>
      <c r="I83">
        <f t="shared" si="11"/>
        <v>1.1641900000000001</v>
      </c>
      <c r="J83">
        <f t="shared" si="12"/>
        <v>3.968253968253968E-3</v>
      </c>
      <c r="K83" s="161">
        <f t="shared" si="13"/>
        <v>1.0006034580640637</v>
      </c>
      <c r="L83" s="198">
        <f t="shared" si="14"/>
        <v>6.0345806406369995E-4</v>
      </c>
      <c r="M83">
        <f t="shared" si="15"/>
        <v>1</v>
      </c>
      <c r="N83">
        <f t="shared" si="16"/>
        <v>2.6588946399279885</v>
      </c>
      <c r="O83" s="161">
        <f t="shared" si="17"/>
        <v>473.38987643232434</v>
      </c>
      <c r="Q83" s="143">
        <v>1.01321628</v>
      </c>
      <c r="R83" s="143">
        <v>1.01321628</v>
      </c>
      <c r="S83" s="143">
        <v>38327.028646999999</v>
      </c>
      <c r="T83" s="143">
        <v>653.09256800000003</v>
      </c>
      <c r="U83" s="143">
        <v>99.060494875311093</v>
      </c>
      <c r="V83" s="143">
        <f t="shared" si="18"/>
        <v>506.54074216677191</v>
      </c>
      <c r="W83" s="143">
        <v>605.60123704208297</v>
      </c>
      <c r="X83" s="143">
        <v>1258.6938050420799</v>
      </c>
      <c r="Y83" s="143"/>
      <c r="AA83" s="200">
        <v>1.002550898525</v>
      </c>
      <c r="AB83" s="200">
        <f t="shared" si="19"/>
        <v>2.5508985250000116E-3</v>
      </c>
      <c r="AC83">
        <f t="shared" si="20"/>
        <v>97.768360843265484</v>
      </c>
      <c r="AD83" s="200">
        <f t="shared" si="21"/>
        <v>99.060494875311107</v>
      </c>
    </row>
    <row r="84" spans="2:30">
      <c r="B84">
        <v>1218.0662801179999</v>
      </c>
      <c r="C84">
        <v>16.4162</v>
      </c>
      <c r="D84">
        <v>252</v>
      </c>
      <c r="E84">
        <v>100</v>
      </c>
      <c r="F84">
        <v>100</v>
      </c>
      <c r="G84">
        <v>1</v>
      </c>
      <c r="H84">
        <v>1642</v>
      </c>
      <c r="I84">
        <f t="shared" si="11"/>
        <v>1.1641619999999999</v>
      </c>
      <c r="J84">
        <f t="shared" si="12"/>
        <v>3.968253968253968E-3</v>
      </c>
      <c r="K84" s="161">
        <f t="shared" si="13"/>
        <v>1.0006033625646231</v>
      </c>
      <c r="L84" s="198">
        <f t="shared" si="14"/>
        <v>6.0336256462312221E-4</v>
      </c>
      <c r="M84">
        <f t="shared" si="15"/>
        <v>1</v>
      </c>
      <c r="N84">
        <f t="shared" si="16"/>
        <v>2.6923719454555601</v>
      </c>
      <c r="O84" s="161">
        <f t="shared" si="17"/>
        <v>452.41382126788511</v>
      </c>
      <c r="Q84" s="143">
        <v>1.0126092099999999</v>
      </c>
      <c r="R84" s="143">
        <v>1.0126092099999999</v>
      </c>
      <c r="S84" s="143">
        <v>37673.936078999999</v>
      </c>
      <c r="T84" s="143">
        <v>649.46098400000005</v>
      </c>
      <c r="U84" s="143">
        <v>93.566724571314296</v>
      </c>
      <c r="V84" s="143">
        <f t="shared" si="18"/>
        <v>475.03857154668475</v>
      </c>
      <c r="W84" s="143">
        <v>568.60529611799905</v>
      </c>
      <c r="X84" s="143">
        <v>1218.0662801179999</v>
      </c>
      <c r="Y84" s="143"/>
      <c r="AA84" s="200">
        <v>1.0024526668260001</v>
      </c>
      <c r="AB84" s="200">
        <f t="shared" si="19"/>
        <v>2.4526668260000939E-3</v>
      </c>
      <c r="AC84">
        <f t="shared" si="20"/>
        <v>92.401613225811346</v>
      </c>
      <c r="AD84" s="200">
        <f t="shared" si="21"/>
        <v>93.566724571314367</v>
      </c>
    </row>
    <row r="85" spans="2:30">
      <c r="B85">
        <v>1200.4291130920799</v>
      </c>
      <c r="C85">
        <v>16.413399999999999</v>
      </c>
      <c r="D85">
        <v>252</v>
      </c>
      <c r="E85">
        <v>100</v>
      </c>
      <c r="F85">
        <v>100</v>
      </c>
      <c r="G85">
        <v>1</v>
      </c>
      <c r="H85">
        <v>1663</v>
      </c>
      <c r="I85">
        <f t="shared" si="11"/>
        <v>1.164134</v>
      </c>
      <c r="J85">
        <f t="shared" si="12"/>
        <v>3.968253968253968E-3</v>
      </c>
      <c r="K85" s="161">
        <f t="shared" si="13"/>
        <v>1.0006032670628946</v>
      </c>
      <c r="L85" s="198">
        <f t="shared" si="14"/>
        <v>6.0326706289459686E-4</v>
      </c>
      <c r="M85">
        <f t="shared" si="15"/>
        <v>1</v>
      </c>
      <c r="N85">
        <f t="shared" si="16"/>
        <v>2.7262598144006374</v>
      </c>
      <c r="O85" s="161">
        <f t="shared" si="17"/>
        <v>440.32087725138251</v>
      </c>
      <c r="Q85" s="143">
        <v>1.01260101</v>
      </c>
      <c r="R85" s="143">
        <v>1.01260101</v>
      </c>
      <c r="S85" s="143">
        <v>37024.475095000002</v>
      </c>
      <c r="T85" s="143">
        <v>641.93034899999998</v>
      </c>
      <c r="U85" s="143">
        <v>91.952983175238202</v>
      </c>
      <c r="V85" s="143">
        <f t="shared" si="18"/>
        <v>466.54578091684681</v>
      </c>
      <c r="W85" s="143">
        <v>558.49876409208503</v>
      </c>
      <c r="X85" s="143">
        <v>1200.4291130920799</v>
      </c>
      <c r="Y85" s="143"/>
      <c r="AA85" s="200">
        <v>1.0024526668260001</v>
      </c>
      <c r="AB85" s="200">
        <f t="shared" si="19"/>
        <v>2.4526668260000939E-3</v>
      </c>
      <c r="AC85">
        <f t="shared" si="20"/>
        <v>90.808701815573173</v>
      </c>
      <c r="AD85" s="200">
        <f t="shared" si="21"/>
        <v>91.952983175238231</v>
      </c>
    </row>
    <row r="86" spans="2:30">
      <c r="B86">
        <v>1227.0767333562401</v>
      </c>
      <c r="C86">
        <v>16.410399999999999</v>
      </c>
      <c r="D86">
        <v>252</v>
      </c>
      <c r="E86">
        <v>100</v>
      </c>
      <c r="F86">
        <v>100</v>
      </c>
      <c r="G86">
        <v>1</v>
      </c>
      <c r="H86">
        <v>1686</v>
      </c>
      <c r="I86">
        <f t="shared" si="11"/>
        <v>1.164104</v>
      </c>
      <c r="J86">
        <f t="shared" si="12"/>
        <v>3.968253968253968E-3</v>
      </c>
      <c r="K86" s="161">
        <f t="shared" si="13"/>
        <v>1.0006031647370754</v>
      </c>
      <c r="L86" s="198">
        <f t="shared" si="14"/>
        <v>6.031647370754456E-4</v>
      </c>
      <c r="M86">
        <f t="shared" si="15"/>
        <v>1</v>
      </c>
      <c r="N86">
        <f t="shared" si="16"/>
        <v>2.7638625612502294</v>
      </c>
      <c r="O86" s="161">
        <f t="shared" si="17"/>
        <v>443.97169040170132</v>
      </c>
      <c r="Q86" s="143">
        <v>1.0138093500000001</v>
      </c>
      <c r="R86" s="143">
        <v>1.0138093500000001</v>
      </c>
      <c r="S86" s="143">
        <v>36382.544746</v>
      </c>
      <c r="T86" s="143">
        <v>626.94401100000005</v>
      </c>
      <c r="U86" s="143">
        <v>97.713428068061603</v>
      </c>
      <c r="V86" s="143">
        <f t="shared" si="18"/>
        <v>502.41929428817741</v>
      </c>
      <c r="W86" s="143">
        <v>600.13272235623901</v>
      </c>
      <c r="X86" s="143">
        <v>1227.0767333562401</v>
      </c>
      <c r="Y86" s="143"/>
      <c r="AA86" s="200">
        <v>1.0026491398490001</v>
      </c>
      <c r="AB86" s="200">
        <f t="shared" si="19"/>
        <v>2.6491398490000595E-3</v>
      </c>
      <c r="AC86">
        <f t="shared" si="20"/>
        <v>96.382449094656351</v>
      </c>
      <c r="AD86" s="200">
        <f t="shared" si="21"/>
        <v>97.713428068061646</v>
      </c>
    </row>
    <row r="87" spans="2:30">
      <c r="B87">
        <v>1187.8387527551099</v>
      </c>
      <c r="C87">
        <v>16.407699999999998</v>
      </c>
      <c r="D87">
        <v>252</v>
      </c>
      <c r="E87">
        <v>100</v>
      </c>
      <c r="F87">
        <v>100</v>
      </c>
      <c r="G87">
        <v>1</v>
      </c>
      <c r="H87">
        <v>1707</v>
      </c>
      <c r="I87">
        <f t="shared" si="11"/>
        <v>1.164077</v>
      </c>
      <c r="J87">
        <f t="shared" si="12"/>
        <v>3.968253968253968E-3</v>
      </c>
      <c r="K87" s="161">
        <f t="shared" si="13"/>
        <v>1.0006030726415922</v>
      </c>
      <c r="L87" s="198">
        <f t="shared" si="14"/>
        <v>6.0307264159220608E-4</v>
      </c>
      <c r="M87">
        <f t="shared" si="15"/>
        <v>1</v>
      </c>
      <c r="N87">
        <f t="shared" si="16"/>
        <v>2.7986431456389678</v>
      </c>
      <c r="O87" s="161">
        <f t="shared" si="17"/>
        <v>424.43380271832063</v>
      </c>
      <c r="Q87" s="143">
        <v>1.0132049999999999</v>
      </c>
      <c r="R87" s="143">
        <v>1.0132049999999999</v>
      </c>
      <c r="S87" s="143">
        <v>35755.600735</v>
      </c>
      <c r="T87" s="143">
        <v>626.83143600000005</v>
      </c>
      <c r="U87" s="143">
        <v>88.854609049434899</v>
      </c>
      <c r="V87" s="143">
        <f t="shared" si="18"/>
        <v>472.15270770567213</v>
      </c>
      <c r="W87" s="143">
        <v>561.00731675510701</v>
      </c>
      <c r="X87" s="143">
        <v>1187.8387527551099</v>
      </c>
      <c r="Y87" s="143"/>
      <c r="AA87" s="200">
        <v>1.0024526668260001</v>
      </c>
      <c r="AB87" s="200">
        <f t="shared" si="19"/>
        <v>2.4526668260000939E-3</v>
      </c>
      <c r="AC87">
        <f t="shared" si="20"/>
        <v>87.696575766439068</v>
      </c>
      <c r="AD87" s="200">
        <f t="shared" si="21"/>
        <v>88.854609049434885</v>
      </c>
    </row>
    <row r="88" spans="2:30">
      <c r="B88">
        <v>1125.12779946463</v>
      </c>
      <c r="C88">
        <v>16.4053</v>
      </c>
      <c r="D88">
        <v>252</v>
      </c>
      <c r="E88">
        <v>100</v>
      </c>
      <c r="F88">
        <v>100</v>
      </c>
      <c r="G88">
        <v>1</v>
      </c>
      <c r="H88">
        <v>1727</v>
      </c>
      <c r="I88">
        <f t="shared" si="11"/>
        <v>1.164053</v>
      </c>
      <c r="J88">
        <f t="shared" si="12"/>
        <v>3.968253968253968E-3</v>
      </c>
      <c r="K88" s="161">
        <f t="shared" si="13"/>
        <v>1.0006029907771543</v>
      </c>
      <c r="L88" s="198">
        <f t="shared" si="14"/>
        <v>6.0299077715431082E-4</v>
      </c>
      <c r="M88">
        <f t="shared" si="15"/>
        <v>1</v>
      </c>
      <c r="N88">
        <f t="shared" si="16"/>
        <v>2.8321927403083178</v>
      </c>
      <c r="O88" s="161">
        <f t="shared" si="17"/>
        <v>397.26385265084269</v>
      </c>
      <c r="Q88" s="143">
        <v>1.01199737</v>
      </c>
      <c r="R88" s="143">
        <v>1.01199737</v>
      </c>
      <c r="S88" s="143">
        <v>35128.769299</v>
      </c>
      <c r="T88" s="143">
        <v>623.46539700000005</v>
      </c>
      <c r="U88" s="143">
        <v>80.209559539882505</v>
      </c>
      <c r="V88" s="143">
        <f t="shared" si="18"/>
        <v>421.45284292474349</v>
      </c>
      <c r="W88" s="143">
        <v>501.66240246462598</v>
      </c>
      <c r="X88" s="143">
        <v>1125.12779946463</v>
      </c>
      <c r="Y88" s="143"/>
      <c r="AA88" s="200">
        <v>1.0022562323019999</v>
      </c>
      <c r="AB88" s="200">
        <f t="shared" si="19"/>
        <v>2.2562323019998942E-3</v>
      </c>
      <c r="AC88">
        <f t="shared" si="20"/>
        <v>79.258664021905986</v>
      </c>
      <c r="AD88" s="200">
        <f t="shared" si="21"/>
        <v>80.209559539882477</v>
      </c>
    </row>
    <row r="89" spans="2:30">
      <c r="B89">
        <v>1088.7472347034</v>
      </c>
      <c r="C89">
        <v>16.402799999999999</v>
      </c>
      <c r="D89">
        <v>252</v>
      </c>
      <c r="E89">
        <v>100</v>
      </c>
      <c r="F89">
        <v>100</v>
      </c>
      <c r="G89">
        <v>1</v>
      </c>
      <c r="H89">
        <v>1747</v>
      </c>
      <c r="I89">
        <f t="shared" si="11"/>
        <v>1.1640280000000001</v>
      </c>
      <c r="J89">
        <f t="shared" si="12"/>
        <v>3.968253968253968E-3</v>
      </c>
      <c r="K89" s="161">
        <f t="shared" si="13"/>
        <v>1.0006029054999106</v>
      </c>
      <c r="L89" s="198">
        <f t="shared" si="14"/>
        <v>6.0290549991059983E-4</v>
      </c>
      <c r="M89">
        <f t="shared" si="15"/>
        <v>1</v>
      </c>
      <c r="N89">
        <f t="shared" si="16"/>
        <v>2.866118063235878</v>
      </c>
      <c r="O89" s="161">
        <f t="shared" si="17"/>
        <v>379.86824362503501</v>
      </c>
      <c r="Q89" s="143">
        <v>1.0113941</v>
      </c>
      <c r="R89" s="143">
        <v>1.0113941</v>
      </c>
      <c r="S89" s="143">
        <v>34505.303902</v>
      </c>
      <c r="T89" s="143">
        <v>616.85131699999999</v>
      </c>
      <c r="U89" s="143">
        <v>78.739034513621803</v>
      </c>
      <c r="V89" s="143">
        <f t="shared" si="18"/>
        <v>393.1568831897772</v>
      </c>
      <c r="W89" s="143">
        <v>471.89591770339899</v>
      </c>
      <c r="X89" s="143">
        <v>1088.7472347034</v>
      </c>
      <c r="Y89" s="143"/>
      <c r="AA89" s="200">
        <v>1.0022562323019999</v>
      </c>
      <c r="AB89" s="200">
        <f t="shared" si="19"/>
        <v>2.2562323019998942E-3</v>
      </c>
      <c r="AC89">
        <f t="shared" si="20"/>
        <v>77.851981254015385</v>
      </c>
      <c r="AD89" s="200">
        <f t="shared" si="21"/>
        <v>78.73903451362176</v>
      </c>
    </row>
    <row r="90" spans="2:30">
      <c r="B90">
        <v>1189.4800753311199</v>
      </c>
      <c r="C90">
        <v>16.400600000000001</v>
      </c>
      <c r="D90">
        <v>252</v>
      </c>
      <c r="E90">
        <v>100</v>
      </c>
      <c r="F90">
        <v>100</v>
      </c>
      <c r="G90">
        <v>1</v>
      </c>
      <c r="H90">
        <v>1769</v>
      </c>
      <c r="I90">
        <f t="shared" si="11"/>
        <v>1.1640060000000001</v>
      </c>
      <c r="J90">
        <f t="shared" si="12"/>
        <v>3.968253968253968E-3</v>
      </c>
      <c r="K90" s="161">
        <f t="shared" si="13"/>
        <v>1.000602830454427</v>
      </c>
      <c r="L90" s="198">
        <f t="shared" si="14"/>
        <v>6.0283045442699468E-4</v>
      </c>
      <c r="M90">
        <f t="shared" si="15"/>
        <v>1</v>
      </c>
      <c r="N90">
        <f t="shared" si="16"/>
        <v>2.9039903433712841</v>
      </c>
      <c r="O90" s="161">
        <f t="shared" si="17"/>
        <v>409.6019389479909</v>
      </c>
      <c r="Q90" s="143">
        <v>1.01326413</v>
      </c>
      <c r="R90" s="143">
        <v>1.01326413</v>
      </c>
      <c r="S90" s="143">
        <v>33888.452584999999</v>
      </c>
      <c r="T90" s="143">
        <v>652.38660000000004</v>
      </c>
      <c r="U90" s="143">
        <v>87.592634744847203</v>
      </c>
      <c r="V90" s="143">
        <f t="shared" si="18"/>
        <v>449.50084058627777</v>
      </c>
      <c r="W90" s="143">
        <v>537.09347533112498</v>
      </c>
      <c r="X90" s="143">
        <v>1189.4800753311199</v>
      </c>
      <c r="Y90" s="143"/>
      <c r="AA90" s="200">
        <v>1.002550898525</v>
      </c>
      <c r="AB90" s="200">
        <f t="shared" si="19"/>
        <v>2.5508985250000116E-3</v>
      </c>
      <c r="AC90">
        <f t="shared" si="20"/>
        <v>86.446003713609329</v>
      </c>
      <c r="AD90" s="200">
        <f t="shared" si="21"/>
        <v>87.592634744847132</v>
      </c>
    </row>
    <row r="91" spans="2:30">
      <c r="B91">
        <v>1178.00073871934</v>
      </c>
      <c r="C91">
        <v>16.398900000000001</v>
      </c>
      <c r="D91">
        <v>252</v>
      </c>
      <c r="E91">
        <v>100</v>
      </c>
      <c r="F91">
        <v>100</v>
      </c>
      <c r="G91">
        <v>1</v>
      </c>
      <c r="H91">
        <v>1791</v>
      </c>
      <c r="I91">
        <f t="shared" si="11"/>
        <v>1.1639889999999999</v>
      </c>
      <c r="J91">
        <f t="shared" si="12"/>
        <v>3.968253968253968E-3</v>
      </c>
      <c r="K91" s="161">
        <f t="shared" si="13"/>
        <v>1.0006027724637676</v>
      </c>
      <c r="L91" s="198">
        <f t="shared" si="14"/>
        <v>6.0277246376760907E-4</v>
      </c>
      <c r="M91">
        <f t="shared" si="15"/>
        <v>1</v>
      </c>
      <c r="N91">
        <f t="shared" si="16"/>
        <v>2.9424431719620414</v>
      </c>
      <c r="O91" s="161">
        <f t="shared" si="17"/>
        <v>400.34782997485758</v>
      </c>
      <c r="Q91" s="143">
        <v>1.0134652</v>
      </c>
      <c r="R91" s="143">
        <v>1.0134652</v>
      </c>
      <c r="S91" s="143">
        <v>33236.065985000001</v>
      </c>
      <c r="T91" s="143">
        <v>644.54702699999996</v>
      </c>
      <c r="U91" s="143">
        <v>85.923436018118693</v>
      </c>
      <c r="V91" s="143">
        <f t="shared" si="18"/>
        <v>447.53027570122032</v>
      </c>
      <c r="W91" s="143">
        <v>533.45371171933903</v>
      </c>
      <c r="X91" s="143">
        <v>1178.00073871934</v>
      </c>
      <c r="Y91" s="143"/>
      <c r="AA91" s="200">
        <v>1.002550898525</v>
      </c>
      <c r="AB91" s="200">
        <f t="shared" si="19"/>
        <v>2.5508985250000116E-3</v>
      </c>
      <c r="AC91">
        <f t="shared" si="20"/>
        <v>84.781831697939566</v>
      </c>
      <c r="AD91" s="200">
        <f t="shared" si="21"/>
        <v>85.923436018118664</v>
      </c>
    </row>
    <row r="92" spans="2:30">
      <c r="B92">
        <v>1081.00676094152</v>
      </c>
      <c r="C92">
        <v>16.397600000000001</v>
      </c>
      <c r="D92">
        <v>252</v>
      </c>
      <c r="E92">
        <v>100</v>
      </c>
      <c r="F92">
        <v>100</v>
      </c>
      <c r="G92">
        <v>1</v>
      </c>
      <c r="H92">
        <v>1809</v>
      </c>
      <c r="I92">
        <f t="shared" si="11"/>
        <v>1.1639759999999999</v>
      </c>
      <c r="J92">
        <f t="shared" si="12"/>
        <v>3.968253968253968E-3</v>
      </c>
      <c r="K92" s="161">
        <f t="shared" si="13"/>
        <v>1.0006027281173999</v>
      </c>
      <c r="L92" s="198">
        <f t="shared" si="14"/>
        <v>6.0272811739991994E-4</v>
      </c>
      <c r="M92">
        <f t="shared" si="15"/>
        <v>1</v>
      </c>
      <c r="N92">
        <f t="shared" si="16"/>
        <v>2.9742940256045012</v>
      </c>
      <c r="O92" s="161">
        <f t="shared" si="17"/>
        <v>363.44986461848345</v>
      </c>
      <c r="Q92" s="143">
        <v>1.01100357</v>
      </c>
      <c r="R92" s="143">
        <v>1.01100357</v>
      </c>
      <c r="S92" s="143">
        <v>32591.518958000001</v>
      </c>
      <c r="T92" s="143">
        <v>651.27632300000005</v>
      </c>
      <c r="U92" s="143">
        <v>71.1073776808459</v>
      </c>
      <c r="V92" s="143">
        <f t="shared" si="18"/>
        <v>358.6230602606791</v>
      </c>
      <c r="W92" s="143">
        <v>429.730437941525</v>
      </c>
      <c r="X92" s="143">
        <v>1081.00676094152</v>
      </c>
      <c r="Y92" s="143"/>
      <c r="AA92" s="200">
        <v>1.0021580294750001</v>
      </c>
      <c r="AB92" s="200">
        <f t="shared" si="19"/>
        <v>2.1580294750001006E-3</v>
      </c>
      <c r="AC92">
        <f t="shared" si="20"/>
        <v>70.33345854638857</v>
      </c>
      <c r="AD92" s="200">
        <f t="shared" si="21"/>
        <v>71.107377680845858</v>
      </c>
    </row>
    <row r="93" spans="2:30">
      <c r="B93">
        <v>1162.9120968872401</v>
      </c>
      <c r="C93">
        <v>16.395900000000001</v>
      </c>
      <c r="D93">
        <v>252</v>
      </c>
      <c r="E93">
        <v>100</v>
      </c>
      <c r="F93">
        <v>100</v>
      </c>
      <c r="G93">
        <v>1</v>
      </c>
      <c r="H93">
        <v>1832</v>
      </c>
      <c r="I93">
        <f t="shared" si="11"/>
        <v>1.163959</v>
      </c>
      <c r="J93">
        <f t="shared" si="12"/>
        <v>3.968253968253968E-3</v>
      </c>
      <c r="K93" s="161">
        <f t="shared" si="13"/>
        <v>1.0006026701252517</v>
      </c>
      <c r="L93" s="198">
        <f t="shared" si="14"/>
        <v>6.0267012525172525E-4</v>
      </c>
      <c r="M93">
        <f t="shared" si="15"/>
        <v>1</v>
      </c>
      <c r="N93">
        <f t="shared" si="16"/>
        <v>3.0154802414002408</v>
      </c>
      <c r="O93" s="161">
        <f t="shared" si="17"/>
        <v>385.64739404402161</v>
      </c>
      <c r="Q93" s="143">
        <v>1.01408155</v>
      </c>
      <c r="R93" s="143">
        <v>1.01408155</v>
      </c>
      <c r="S93" s="143">
        <v>31940.242634999999</v>
      </c>
      <c r="T93" s="143">
        <v>627.33830499999999</v>
      </c>
      <c r="U93" s="143">
        <v>85.805668210351598</v>
      </c>
      <c r="V93" s="143">
        <f t="shared" si="18"/>
        <v>449.76812367688439</v>
      </c>
      <c r="W93" s="143">
        <v>535.57379188723598</v>
      </c>
      <c r="X93" s="143">
        <v>1162.9120968872401</v>
      </c>
      <c r="Y93" s="143"/>
      <c r="AA93" s="200">
        <v>1.0026491398490001</v>
      </c>
      <c r="AB93" s="200">
        <f t="shared" si="19"/>
        <v>2.6491398490000595E-3</v>
      </c>
      <c r="AC93">
        <f t="shared" si="20"/>
        <v>84.614169551109157</v>
      </c>
      <c r="AD93" s="200">
        <f t="shared" si="21"/>
        <v>85.805668210351584</v>
      </c>
    </row>
    <row r="94" spans="2:30">
      <c r="B94">
        <v>1049.7133103056599</v>
      </c>
      <c r="C94">
        <v>16.394600000000001</v>
      </c>
      <c r="D94">
        <v>252</v>
      </c>
      <c r="E94">
        <v>100</v>
      </c>
      <c r="F94">
        <v>100</v>
      </c>
      <c r="G94">
        <v>1</v>
      </c>
      <c r="H94">
        <v>1850</v>
      </c>
      <c r="I94">
        <f t="shared" si="11"/>
        <v>1.1639459999999999</v>
      </c>
      <c r="J94">
        <f t="shared" si="12"/>
        <v>3.968253968253968E-3</v>
      </c>
      <c r="K94" s="161">
        <f t="shared" si="13"/>
        <v>1.0006026257777456</v>
      </c>
      <c r="L94" s="198">
        <f t="shared" si="14"/>
        <v>6.0262577774561343E-4</v>
      </c>
      <c r="M94">
        <f t="shared" si="15"/>
        <v>1</v>
      </c>
      <c r="N94">
        <f t="shared" si="16"/>
        <v>3.0481105374486153</v>
      </c>
      <c r="O94" s="161">
        <f t="shared" si="17"/>
        <v>344.38164148217209</v>
      </c>
      <c r="Q94" s="143">
        <v>1.01100357</v>
      </c>
      <c r="R94" s="143">
        <v>1.01100357</v>
      </c>
      <c r="S94" s="143">
        <v>31312.904330000001</v>
      </c>
      <c r="T94" s="143">
        <v>636.84184800000003</v>
      </c>
      <c r="U94" s="143">
        <v>68.317727607198904</v>
      </c>
      <c r="V94" s="143">
        <f t="shared" si="18"/>
        <v>344.55373469845711</v>
      </c>
      <c r="W94" s="143">
        <v>412.871462305656</v>
      </c>
      <c r="X94" s="143">
        <v>1049.7133103056599</v>
      </c>
      <c r="Y94" s="143"/>
      <c r="AA94" s="200">
        <v>1.0021580294750001</v>
      </c>
      <c r="AB94" s="200">
        <f t="shared" si="19"/>
        <v>2.1580294750001006E-3</v>
      </c>
      <c r="AC94">
        <f t="shared" si="20"/>
        <v>67.574170491998274</v>
      </c>
      <c r="AD94" s="200">
        <f t="shared" si="21"/>
        <v>68.317727607198904</v>
      </c>
    </row>
    <row r="95" spans="2:30">
      <c r="B95">
        <v>1109.47485947205</v>
      </c>
      <c r="C95">
        <v>16.393000000000001</v>
      </c>
      <c r="D95">
        <v>252</v>
      </c>
      <c r="E95">
        <v>100</v>
      </c>
      <c r="F95">
        <v>100</v>
      </c>
      <c r="G95">
        <v>1</v>
      </c>
      <c r="H95">
        <v>1872</v>
      </c>
      <c r="I95">
        <f t="shared" si="11"/>
        <v>1.1639300000000001</v>
      </c>
      <c r="J95">
        <f t="shared" si="12"/>
        <v>3.968253968253968E-3</v>
      </c>
      <c r="K95" s="161">
        <f t="shared" si="13"/>
        <v>1.0006025711955224</v>
      </c>
      <c r="L95" s="198">
        <f t="shared" si="14"/>
        <v>6.0257119552242777E-4</v>
      </c>
      <c r="M95">
        <f t="shared" si="15"/>
        <v>1</v>
      </c>
      <c r="N95">
        <f t="shared" si="16"/>
        <v>3.0884630128768999</v>
      </c>
      <c r="O95" s="161">
        <f t="shared" si="17"/>
        <v>359.23203705087451</v>
      </c>
      <c r="Q95" s="143">
        <v>1.0134652</v>
      </c>
      <c r="R95" s="143">
        <v>1.0134652</v>
      </c>
      <c r="S95" s="143">
        <v>30676.062482000001</v>
      </c>
      <c r="T95" s="143">
        <v>617.11034800000004</v>
      </c>
      <c r="U95" s="143">
        <v>79.305194939422606</v>
      </c>
      <c r="V95" s="143">
        <f t="shared" si="18"/>
        <v>413.05931653262536</v>
      </c>
      <c r="W95" s="143">
        <v>492.36451147204798</v>
      </c>
      <c r="X95" s="143">
        <v>1109.47485947205</v>
      </c>
      <c r="Y95" s="143"/>
      <c r="AA95" s="200">
        <v>1.002550898525</v>
      </c>
      <c r="AB95" s="200">
        <f t="shared" si="19"/>
        <v>2.5508985250000116E-3</v>
      </c>
      <c r="AC95">
        <f t="shared" si="20"/>
        <v>78.251522538141998</v>
      </c>
      <c r="AD95" s="200">
        <f t="shared" si="21"/>
        <v>79.305194939422577</v>
      </c>
    </row>
    <row r="96" spans="2:30">
      <c r="B96">
        <v>1074.0229531011501</v>
      </c>
      <c r="C96">
        <v>16.3916</v>
      </c>
      <c r="D96">
        <v>252</v>
      </c>
      <c r="E96">
        <v>100</v>
      </c>
      <c r="F96">
        <v>100</v>
      </c>
      <c r="G96">
        <v>1</v>
      </c>
      <c r="H96">
        <v>1893</v>
      </c>
      <c r="I96">
        <f t="shared" si="11"/>
        <v>1.163916</v>
      </c>
      <c r="J96">
        <f t="shared" si="12"/>
        <v>3.968253968253968E-3</v>
      </c>
      <c r="K96" s="161">
        <f t="shared" si="13"/>
        <v>1.0006025234354641</v>
      </c>
      <c r="L96" s="198">
        <f t="shared" si="14"/>
        <v>6.0252343546407516E-4</v>
      </c>
      <c r="M96">
        <f t="shared" si="15"/>
        <v>1</v>
      </c>
      <c r="N96">
        <f t="shared" si="16"/>
        <v>3.1274982041589845</v>
      </c>
      <c r="O96" s="161">
        <f t="shared" si="17"/>
        <v>343.41281209143511</v>
      </c>
      <c r="Q96" s="143">
        <v>1.0128493700000001</v>
      </c>
      <c r="R96" s="143">
        <v>1.0128493700000001</v>
      </c>
      <c r="S96" s="143">
        <v>30058.952133999999</v>
      </c>
      <c r="T96" s="143">
        <v>613.11244599999998</v>
      </c>
      <c r="U96" s="143">
        <v>74.671909319087405</v>
      </c>
      <c r="V96" s="143">
        <f t="shared" si="18"/>
        <v>386.2385977820586</v>
      </c>
      <c r="W96" s="143">
        <v>460.91050710114598</v>
      </c>
      <c r="X96" s="143">
        <v>1074.0229531011501</v>
      </c>
      <c r="Y96" s="143"/>
      <c r="AA96" s="200">
        <v>1.0024526668260001</v>
      </c>
      <c r="AB96" s="200">
        <f t="shared" si="19"/>
        <v>2.4526668260000939E-3</v>
      </c>
      <c r="AC96">
        <f t="shared" si="20"/>
        <v>73.724594723386531</v>
      </c>
      <c r="AD96" s="200">
        <f t="shared" si="21"/>
        <v>74.671909319087376</v>
      </c>
    </row>
    <row r="97" spans="2:30">
      <c r="B97">
        <v>1057.69465362542</v>
      </c>
      <c r="C97">
        <v>16.3902</v>
      </c>
      <c r="D97">
        <v>252</v>
      </c>
      <c r="E97">
        <v>100</v>
      </c>
      <c r="F97">
        <v>100</v>
      </c>
      <c r="G97">
        <v>1</v>
      </c>
      <c r="H97">
        <v>1914</v>
      </c>
      <c r="I97">
        <f t="shared" si="11"/>
        <v>1.163902</v>
      </c>
      <c r="J97">
        <f t="shared" si="12"/>
        <v>3.968253968253968E-3</v>
      </c>
      <c r="K97" s="161">
        <f t="shared" si="13"/>
        <v>1.0006024756748335</v>
      </c>
      <c r="L97" s="198">
        <f t="shared" si="14"/>
        <v>6.0247567483351361E-4</v>
      </c>
      <c r="M97">
        <f t="shared" si="15"/>
        <v>1</v>
      </c>
      <c r="N97">
        <f t="shared" si="16"/>
        <v>3.167020410121328</v>
      </c>
      <c r="O97" s="161">
        <f t="shared" si="17"/>
        <v>333.97153054182553</v>
      </c>
      <c r="Q97" s="143">
        <v>1.01284982</v>
      </c>
      <c r="R97" s="143">
        <v>1.01284982</v>
      </c>
      <c r="S97" s="143">
        <v>29445.839688</v>
      </c>
      <c r="T97" s="143">
        <v>606.172055</v>
      </c>
      <c r="U97" s="143">
        <v>73.148858885763602</v>
      </c>
      <c r="V97" s="143">
        <f t="shared" si="18"/>
        <v>378.3737397396564</v>
      </c>
      <c r="W97" s="143">
        <v>451.52259862542002</v>
      </c>
      <c r="X97" s="143">
        <v>1057.69465362542</v>
      </c>
      <c r="Y97" s="143"/>
      <c r="AA97" s="200">
        <v>1.0024526668260001</v>
      </c>
      <c r="AB97" s="200">
        <f t="shared" si="19"/>
        <v>2.4526668260000939E-3</v>
      </c>
      <c r="AC97">
        <f t="shared" si="20"/>
        <v>72.22083416647456</v>
      </c>
      <c r="AD97" s="200">
        <f t="shared" si="21"/>
        <v>73.148858885763616</v>
      </c>
    </row>
    <row r="98" spans="2:30">
      <c r="B98">
        <v>1076.5166016235801</v>
      </c>
      <c r="C98">
        <v>16.3887</v>
      </c>
      <c r="D98">
        <v>252</v>
      </c>
      <c r="E98">
        <v>100</v>
      </c>
      <c r="F98">
        <v>100</v>
      </c>
      <c r="G98">
        <v>1</v>
      </c>
      <c r="H98">
        <v>1937</v>
      </c>
      <c r="I98">
        <f t="shared" si="11"/>
        <v>1.1638869999999999</v>
      </c>
      <c r="J98">
        <f t="shared" si="12"/>
        <v>3.968253968253968E-3</v>
      </c>
      <c r="K98" s="161">
        <f t="shared" si="13"/>
        <v>1.0006024245020944</v>
      </c>
      <c r="L98" s="198">
        <f t="shared" si="14"/>
        <v>6.0242450209435638E-4</v>
      </c>
      <c r="M98">
        <f t="shared" si="15"/>
        <v>1</v>
      </c>
      <c r="N98">
        <f t="shared" si="16"/>
        <v>3.2108795997041448</v>
      </c>
      <c r="O98" s="161">
        <f t="shared" si="17"/>
        <v>335.27155665468484</v>
      </c>
      <c r="Q98" s="143">
        <v>1.0140821900000001</v>
      </c>
      <c r="R98" s="143">
        <v>1.0140821900000001</v>
      </c>
      <c r="S98" s="143">
        <v>28839.667633000001</v>
      </c>
      <c r="T98" s="143">
        <v>592.91472599999997</v>
      </c>
      <c r="U98" s="143">
        <v>77.476196478822104</v>
      </c>
      <c r="V98" s="143">
        <f t="shared" si="18"/>
        <v>406.12567914475989</v>
      </c>
      <c r="W98" s="143">
        <v>483.60187562358198</v>
      </c>
      <c r="X98" s="143">
        <v>1076.5166016235801</v>
      </c>
      <c r="Y98" s="143"/>
      <c r="AA98" s="200">
        <v>1.0026491398490001</v>
      </c>
      <c r="AB98" s="200">
        <f t="shared" si="19"/>
        <v>2.6491398490000595E-3</v>
      </c>
      <c r="AC98">
        <f t="shared" si="20"/>
        <v>76.40031275849752</v>
      </c>
      <c r="AD98" s="200">
        <f t="shared" si="21"/>
        <v>77.476196478822118</v>
      </c>
    </row>
    <row r="99" spans="2:30">
      <c r="B99">
        <v>1025.28704824737</v>
      </c>
      <c r="C99">
        <v>16.3874</v>
      </c>
      <c r="D99">
        <v>252</v>
      </c>
      <c r="E99">
        <v>100</v>
      </c>
      <c r="F99">
        <v>100</v>
      </c>
      <c r="G99">
        <v>1</v>
      </c>
      <c r="H99">
        <v>1957</v>
      </c>
      <c r="I99">
        <f t="shared" si="11"/>
        <v>1.1638740000000001</v>
      </c>
      <c r="J99">
        <f t="shared" si="12"/>
        <v>3.968253968253968E-3</v>
      </c>
      <c r="K99" s="161">
        <f t="shared" si="13"/>
        <v>1.0006023801518558</v>
      </c>
      <c r="L99" s="198">
        <f t="shared" si="14"/>
        <v>6.0238015185576366E-4</v>
      </c>
      <c r="M99">
        <f t="shared" si="15"/>
        <v>1</v>
      </c>
      <c r="N99">
        <f t="shared" si="16"/>
        <v>3.249506177419228</v>
      </c>
      <c r="O99" s="161">
        <f t="shared" si="17"/>
        <v>315.52087987155556</v>
      </c>
      <c r="Q99" s="143">
        <v>1.01284982</v>
      </c>
      <c r="R99" s="143">
        <v>1.01284982</v>
      </c>
      <c r="S99" s="143">
        <v>28246.752906999998</v>
      </c>
      <c r="T99" s="143">
        <v>594.96135600000002</v>
      </c>
      <c r="U99" s="143">
        <v>67.360001807940506</v>
      </c>
      <c r="V99" s="143">
        <f t="shared" si="18"/>
        <v>362.96569043942748</v>
      </c>
      <c r="W99" s="143">
        <v>430.32569224736801</v>
      </c>
      <c r="X99" s="143">
        <v>1025.28704824737</v>
      </c>
      <c r="Y99" s="143"/>
      <c r="AA99" s="200">
        <v>1.0023544447520001</v>
      </c>
      <c r="AB99" s="200">
        <f t="shared" si="19"/>
        <v>2.3544447520000844E-3</v>
      </c>
      <c r="AC99">
        <f t="shared" si="20"/>
        <v>66.50541914292927</v>
      </c>
      <c r="AD99" s="200">
        <f t="shared" si="21"/>
        <v>67.360001807940463</v>
      </c>
    </row>
    <row r="100" spans="2:30">
      <c r="B100">
        <v>1006.78842819888</v>
      </c>
      <c r="C100">
        <v>16.385999999999999</v>
      </c>
      <c r="D100">
        <v>252</v>
      </c>
      <c r="E100">
        <v>100</v>
      </c>
      <c r="F100">
        <v>100</v>
      </c>
      <c r="G100">
        <v>1</v>
      </c>
      <c r="H100">
        <v>1978</v>
      </c>
      <c r="I100">
        <f t="shared" si="11"/>
        <v>1.1638600000000001</v>
      </c>
      <c r="J100">
        <f t="shared" si="12"/>
        <v>3.968253968253968E-3</v>
      </c>
      <c r="K100" s="161">
        <f t="shared" si="13"/>
        <v>1.0006023323895086</v>
      </c>
      <c r="L100" s="198">
        <f t="shared" si="14"/>
        <v>6.0233238950857526E-4</v>
      </c>
      <c r="M100">
        <f t="shared" si="15"/>
        <v>1</v>
      </c>
      <c r="N100">
        <f t="shared" si="16"/>
        <v>3.2905502400407349</v>
      </c>
      <c r="O100" s="161">
        <f t="shared" si="17"/>
        <v>305.96354857247724</v>
      </c>
      <c r="Q100" s="143">
        <v>1.01284982</v>
      </c>
      <c r="R100" s="143">
        <v>1.01284982</v>
      </c>
      <c r="S100" s="143">
        <v>27651.791550999998</v>
      </c>
      <c r="T100" s="143">
        <v>585.52668600000004</v>
      </c>
      <c r="U100" s="143">
        <v>65.941198091004793</v>
      </c>
      <c r="V100" s="143">
        <f t="shared" si="18"/>
        <v>355.32054410787123</v>
      </c>
      <c r="W100" s="143">
        <v>421.26174219887599</v>
      </c>
      <c r="X100" s="143">
        <v>1006.78842819888</v>
      </c>
      <c r="Y100" s="143"/>
      <c r="AA100" s="200">
        <v>1.0023544447520001</v>
      </c>
      <c r="AB100" s="200">
        <f t="shared" si="19"/>
        <v>2.3544447520000844E-3</v>
      </c>
      <c r="AC100">
        <f t="shared" si="20"/>
        <v>65.104615500652216</v>
      </c>
      <c r="AD100" s="200">
        <f t="shared" si="21"/>
        <v>65.941198091004807</v>
      </c>
    </row>
    <row r="101" spans="2:30">
      <c r="B101">
        <v>958.21039145777502</v>
      </c>
      <c r="C101">
        <v>16.384799999999998</v>
      </c>
      <c r="D101">
        <v>252</v>
      </c>
      <c r="E101">
        <v>100</v>
      </c>
      <c r="F101">
        <v>100</v>
      </c>
      <c r="G101">
        <v>1</v>
      </c>
      <c r="H101">
        <v>1998</v>
      </c>
      <c r="I101">
        <f t="shared" si="11"/>
        <v>1.163848</v>
      </c>
      <c r="J101">
        <f t="shared" si="12"/>
        <v>3.968253968253968E-3</v>
      </c>
      <c r="K101" s="161">
        <f t="shared" si="13"/>
        <v>1.0006022914498984</v>
      </c>
      <c r="L101" s="198">
        <f t="shared" si="14"/>
        <v>6.0229144989842887E-4</v>
      </c>
      <c r="M101">
        <f t="shared" si="15"/>
        <v>1</v>
      </c>
      <c r="N101">
        <f t="shared" si="16"/>
        <v>3.3301457443488749</v>
      </c>
      <c r="O101" s="161">
        <f t="shared" si="17"/>
        <v>287.7382748439224</v>
      </c>
      <c r="Q101" s="143">
        <v>1.01161894</v>
      </c>
      <c r="R101" s="143">
        <v>1.01161894</v>
      </c>
      <c r="S101" s="143">
        <v>27066.264865000001</v>
      </c>
      <c r="T101" s="143">
        <v>581.95176000000004</v>
      </c>
      <c r="U101" s="143">
        <v>61.777323967233102</v>
      </c>
      <c r="V101" s="143">
        <f t="shared" si="18"/>
        <v>314.48130749054189</v>
      </c>
      <c r="W101" s="143">
        <v>376.25863145777498</v>
      </c>
      <c r="X101" s="143">
        <v>958.21039145777502</v>
      </c>
      <c r="Y101" s="143"/>
      <c r="AA101" s="200">
        <v>1.0022562323019999</v>
      </c>
      <c r="AB101" s="200">
        <f t="shared" si="19"/>
        <v>2.2562323019998942E-3</v>
      </c>
      <c r="AC101">
        <f t="shared" si="20"/>
        <v>61.06778108289781</v>
      </c>
      <c r="AD101" s="200">
        <f t="shared" si="21"/>
        <v>61.77732396723313</v>
      </c>
    </row>
    <row r="102" spans="2:30">
      <c r="B102">
        <v>1014.65162695406</v>
      </c>
      <c r="C102">
        <v>16.383600000000001</v>
      </c>
      <c r="D102">
        <v>252</v>
      </c>
      <c r="E102">
        <v>100</v>
      </c>
      <c r="F102">
        <v>100</v>
      </c>
      <c r="G102">
        <v>1</v>
      </c>
      <c r="H102">
        <v>2018</v>
      </c>
      <c r="I102">
        <f t="shared" si="11"/>
        <v>1.1638360000000001</v>
      </c>
      <c r="J102">
        <f t="shared" si="12"/>
        <v>3.968253968253968E-3</v>
      </c>
      <c r="K102" s="161">
        <f t="shared" si="13"/>
        <v>1.0006022505098677</v>
      </c>
      <c r="L102" s="198">
        <f t="shared" si="14"/>
        <v>6.0225050986772999E-4</v>
      </c>
      <c r="M102">
        <f t="shared" si="15"/>
        <v>1</v>
      </c>
      <c r="N102">
        <f t="shared" si="16"/>
        <v>3.3702121865698009</v>
      </c>
      <c r="O102" s="161">
        <f t="shared" si="17"/>
        <v>301.06461278533669</v>
      </c>
      <c r="Q102" s="143">
        <v>1.0122341699999999</v>
      </c>
      <c r="R102" s="143">
        <v>1.0122341699999999</v>
      </c>
      <c r="S102" s="143">
        <v>26484.313105000001</v>
      </c>
      <c r="T102" s="143">
        <v>627.51931400000001</v>
      </c>
      <c r="U102" s="143">
        <v>63.118724094261999</v>
      </c>
      <c r="V102" s="143">
        <f t="shared" si="18"/>
        <v>324.01358885979602</v>
      </c>
      <c r="W102" s="143">
        <v>387.13231295405802</v>
      </c>
      <c r="X102" s="143">
        <v>1014.65162695406</v>
      </c>
      <c r="Y102" s="143"/>
      <c r="AA102" s="200">
        <v>1.0023544447520001</v>
      </c>
      <c r="AB102" s="200">
        <f t="shared" si="19"/>
        <v>2.3544447520000844E-3</v>
      </c>
      <c r="AC102">
        <f t="shared" si="20"/>
        <v>62.355852000394314</v>
      </c>
      <c r="AD102" s="200">
        <f t="shared" si="21"/>
        <v>63.118724094261971</v>
      </c>
    </row>
    <row r="103" spans="2:30">
      <c r="B103">
        <v>1062.0213582356901</v>
      </c>
      <c r="C103">
        <v>16.382300000000001</v>
      </c>
      <c r="D103">
        <v>252</v>
      </c>
      <c r="E103">
        <v>100</v>
      </c>
      <c r="F103">
        <v>100</v>
      </c>
      <c r="G103">
        <v>1</v>
      </c>
      <c r="H103">
        <v>2040</v>
      </c>
      <c r="I103">
        <f t="shared" si="11"/>
        <v>1.1638230000000001</v>
      </c>
      <c r="J103">
        <f t="shared" si="12"/>
        <v>3.968253968253968E-3</v>
      </c>
      <c r="K103" s="161">
        <f t="shared" si="13"/>
        <v>1.0006022061576934</v>
      </c>
      <c r="L103" s="198">
        <f t="shared" si="14"/>
        <v>6.022061576933524E-4</v>
      </c>
      <c r="M103">
        <f t="shared" si="15"/>
        <v>1</v>
      </c>
      <c r="N103">
        <f t="shared" si="16"/>
        <v>3.4148405635511847</v>
      </c>
      <c r="O103" s="161">
        <f t="shared" si="17"/>
        <v>311.00174033638206</v>
      </c>
      <c r="Q103" s="143">
        <v>1.0146988100000001</v>
      </c>
      <c r="R103" s="143">
        <v>1.0146988100000001</v>
      </c>
      <c r="S103" s="143">
        <v>25856.793791</v>
      </c>
      <c r="T103" s="143">
        <v>615.02969700000006</v>
      </c>
      <c r="U103" s="143">
        <v>66.927562092600894</v>
      </c>
      <c r="V103" s="143">
        <f t="shared" si="18"/>
        <v>380.06409914309012</v>
      </c>
      <c r="W103" s="143">
        <v>446.99166123569103</v>
      </c>
      <c r="X103" s="143">
        <v>1062.0213582356901</v>
      </c>
      <c r="Y103" s="143"/>
      <c r="AA103" s="200">
        <v>1.002550898525</v>
      </c>
      <c r="AB103" s="200">
        <f t="shared" si="19"/>
        <v>2.5508985250000116E-3</v>
      </c>
      <c r="AC103">
        <f t="shared" si="20"/>
        <v>65.958057142691359</v>
      </c>
      <c r="AD103" s="200">
        <f t="shared" si="21"/>
        <v>66.927562092600922</v>
      </c>
    </row>
    <row r="104" spans="2:30">
      <c r="B104">
        <v>931.212014015568</v>
      </c>
      <c r="C104">
        <v>16.3812</v>
      </c>
      <c r="D104">
        <v>252</v>
      </c>
      <c r="E104">
        <v>100</v>
      </c>
      <c r="F104">
        <v>100</v>
      </c>
      <c r="G104">
        <v>1</v>
      </c>
      <c r="H104">
        <v>2059</v>
      </c>
      <c r="I104">
        <f t="shared" si="11"/>
        <v>1.1638120000000001</v>
      </c>
      <c r="J104">
        <f t="shared" si="12"/>
        <v>3.968253968253968E-3</v>
      </c>
      <c r="K104" s="161">
        <f t="shared" si="13"/>
        <v>1.0006021686285449</v>
      </c>
      <c r="L104" s="198">
        <f t="shared" si="14"/>
        <v>6.0216862854489683E-4</v>
      </c>
      <c r="M104">
        <f t="shared" si="15"/>
        <v>1</v>
      </c>
      <c r="N104">
        <f t="shared" si="16"/>
        <v>3.4538586385404142</v>
      </c>
      <c r="O104" s="161">
        <f t="shared" si="17"/>
        <v>269.61497602261284</v>
      </c>
      <c r="Q104" s="143">
        <v>1.01038948</v>
      </c>
      <c r="R104" s="143">
        <v>1.01038948</v>
      </c>
      <c r="S104" s="143">
        <v>25241.764093999998</v>
      </c>
      <c r="T104" s="143">
        <v>616.42912000000001</v>
      </c>
      <c r="U104" s="143">
        <v>52.5340907962389</v>
      </c>
      <c r="V104" s="143">
        <f t="shared" si="18"/>
        <v>262.24880321933011</v>
      </c>
      <c r="W104" s="143">
        <v>314.78289401556901</v>
      </c>
      <c r="X104" s="143">
        <v>931.21201401556903</v>
      </c>
      <c r="Y104" s="143"/>
      <c r="AA104" s="200">
        <v>1.0020598362699999</v>
      </c>
      <c r="AB104" s="200">
        <f t="shared" si="19"/>
        <v>2.0598362699999484E-3</v>
      </c>
      <c r="AC104">
        <f t="shared" si="20"/>
        <v>51.993901199603584</v>
      </c>
      <c r="AD104" s="200">
        <f t="shared" si="21"/>
        <v>52.534090796238843</v>
      </c>
    </row>
    <row r="105" spans="2:30">
      <c r="B105">
        <v>967.43926323812195</v>
      </c>
      <c r="C105">
        <v>16.38</v>
      </c>
      <c r="D105">
        <v>252</v>
      </c>
      <c r="E105">
        <v>100</v>
      </c>
      <c r="F105">
        <v>100</v>
      </c>
      <c r="G105">
        <v>1</v>
      </c>
      <c r="H105">
        <v>2079</v>
      </c>
      <c r="I105">
        <f t="shared" si="11"/>
        <v>1.1637999999999999</v>
      </c>
      <c r="J105">
        <f t="shared" si="12"/>
        <v>3.968253968253968E-3</v>
      </c>
      <c r="K105" s="161">
        <f t="shared" si="13"/>
        <v>1.0006021276872528</v>
      </c>
      <c r="L105" s="198">
        <f t="shared" si="14"/>
        <v>6.0212768725276256E-4</v>
      </c>
      <c r="M105">
        <f t="shared" si="15"/>
        <v>1</v>
      </c>
      <c r="N105">
        <f t="shared" si="16"/>
        <v>3.4953962105804535</v>
      </c>
      <c r="O105" s="161">
        <f t="shared" si="17"/>
        <v>276.77527952617044</v>
      </c>
      <c r="Q105" s="143">
        <v>1.01223409</v>
      </c>
      <c r="R105" s="143">
        <v>1.01223409</v>
      </c>
      <c r="S105" s="143">
        <v>24625.334974000001</v>
      </c>
      <c r="T105" s="143">
        <v>607.48238800000001</v>
      </c>
      <c r="U105" s="143">
        <v>58.688310886059803</v>
      </c>
      <c r="V105" s="143">
        <f t="shared" si="18"/>
        <v>301.26856435206321</v>
      </c>
      <c r="W105" s="143">
        <v>359.95687523812302</v>
      </c>
      <c r="X105" s="143">
        <v>967.43926323812298</v>
      </c>
      <c r="Y105" s="143"/>
      <c r="AA105" s="200">
        <v>1.0023544447520001</v>
      </c>
      <c r="AB105" s="200">
        <f t="shared" si="19"/>
        <v>2.3544447520000844E-3</v>
      </c>
      <c r="AC105">
        <f t="shared" si="20"/>
        <v>57.978990695778435</v>
      </c>
      <c r="AD105" s="200">
        <f t="shared" si="21"/>
        <v>58.688310886059753</v>
      </c>
    </row>
    <row r="106" spans="2:30">
      <c r="B106">
        <v>981.12803275482997</v>
      </c>
      <c r="C106">
        <v>16.378799999999998</v>
      </c>
      <c r="D106">
        <v>252</v>
      </c>
      <c r="E106">
        <v>100</v>
      </c>
      <c r="F106">
        <v>100</v>
      </c>
      <c r="G106">
        <v>1</v>
      </c>
      <c r="H106">
        <v>2101</v>
      </c>
      <c r="I106">
        <f t="shared" si="11"/>
        <v>1.163788</v>
      </c>
      <c r="J106">
        <f t="shared" si="12"/>
        <v>3.968253968253968E-3</v>
      </c>
      <c r="K106" s="161">
        <f t="shared" si="13"/>
        <v>1.0006020867455403</v>
      </c>
      <c r="L106" s="198">
        <f t="shared" si="14"/>
        <v>6.0208674554029784E-4</v>
      </c>
      <c r="M106">
        <f t="shared" si="15"/>
        <v>1</v>
      </c>
      <c r="N106">
        <f t="shared" si="16"/>
        <v>3.541688497209238</v>
      </c>
      <c r="O106" s="161">
        <f t="shared" si="17"/>
        <v>277.0226781739654</v>
      </c>
      <c r="Q106" s="143">
        <v>1.0134657</v>
      </c>
      <c r="R106" s="143">
        <v>1.0134657</v>
      </c>
      <c r="S106" s="143">
        <v>24017.852586000001</v>
      </c>
      <c r="T106" s="143">
        <v>595.61872600000004</v>
      </c>
      <c r="U106" s="143">
        <v>62.092109187529203</v>
      </c>
      <c r="V106" s="143">
        <f t="shared" si="18"/>
        <v>323.41719756730078</v>
      </c>
      <c r="W106" s="143">
        <v>385.50930675482999</v>
      </c>
      <c r="X106" s="143">
        <v>981.12803275482997</v>
      </c>
      <c r="Y106" s="143"/>
      <c r="AA106" s="200">
        <v>1.002550898525</v>
      </c>
      <c r="AB106" s="200">
        <f t="shared" si="19"/>
        <v>2.5508985250000116E-3</v>
      </c>
      <c r="AC106">
        <f t="shared" si="20"/>
        <v>61.267104735295113</v>
      </c>
      <c r="AD106" s="200">
        <f t="shared" si="21"/>
        <v>62.092109187529175</v>
      </c>
    </row>
    <row r="107" spans="2:30">
      <c r="B107">
        <v>950.49516310013996</v>
      </c>
      <c r="C107">
        <v>16.377700000000001</v>
      </c>
      <c r="D107">
        <v>252</v>
      </c>
      <c r="E107">
        <v>100</v>
      </c>
      <c r="F107">
        <v>100</v>
      </c>
      <c r="G107">
        <v>1</v>
      </c>
      <c r="H107">
        <v>2122</v>
      </c>
      <c r="I107">
        <f t="shared" si="11"/>
        <v>1.1637770000000001</v>
      </c>
      <c r="J107">
        <f t="shared" si="12"/>
        <v>3.968253968253968E-3</v>
      </c>
      <c r="K107" s="161">
        <f t="shared" si="13"/>
        <v>1.0006020492152679</v>
      </c>
      <c r="L107" s="198">
        <f t="shared" si="14"/>
        <v>6.0204921526785249E-4</v>
      </c>
      <c r="M107">
        <f t="shared" si="15"/>
        <v>1</v>
      </c>
      <c r="N107">
        <f t="shared" si="16"/>
        <v>3.5864541611750056</v>
      </c>
      <c r="O107" s="161">
        <f t="shared" si="17"/>
        <v>265.0236474202519</v>
      </c>
      <c r="Q107" s="143">
        <v>1.01284971</v>
      </c>
      <c r="R107" s="143">
        <v>1.01284971</v>
      </c>
      <c r="S107" s="143">
        <v>23422.23386</v>
      </c>
      <c r="T107" s="143">
        <v>591.341138</v>
      </c>
      <c r="U107" s="143">
        <v>58.185112446959899</v>
      </c>
      <c r="V107" s="143">
        <f t="shared" si="18"/>
        <v>300.96891265318106</v>
      </c>
      <c r="W107" s="143">
        <v>359.15402510014098</v>
      </c>
      <c r="X107" s="143">
        <v>950.49516310014099</v>
      </c>
      <c r="Y107" s="143"/>
      <c r="AA107" s="200">
        <v>1.0024526668260001</v>
      </c>
      <c r="AB107" s="200">
        <f t="shared" si="19"/>
        <v>2.4526668260000939E-3</v>
      </c>
      <c r="AC107">
        <f t="shared" si="20"/>
        <v>57.446935979238127</v>
      </c>
      <c r="AD107" s="200">
        <f t="shared" si="21"/>
        <v>58.185112446959906</v>
      </c>
    </row>
    <row r="108" spans="2:30">
      <c r="B108">
        <v>921.10747088972698</v>
      </c>
      <c r="C108">
        <v>16.3766</v>
      </c>
      <c r="D108">
        <v>252</v>
      </c>
      <c r="E108">
        <v>100</v>
      </c>
      <c r="F108">
        <v>100</v>
      </c>
      <c r="G108">
        <v>1</v>
      </c>
      <c r="H108">
        <v>2142</v>
      </c>
      <c r="I108">
        <f t="shared" si="11"/>
        <v>1.1637660000000001</v>
      </c>
      <c r="J108">
        <f t="shared" si="12"/>
        <v>3.968253968253968E-3</v>
      </c>
      <c r="K108" s="161">
        <f t="shared" si="13"/>
        <v>1.0006020116846419</v>
      </c>
      <c r="L108" s="198">
        <f t="shared" si="14"/>
        <v>6.0201168464191213E-4</v>
      </c>
      <c r="M108">
        <f t="shared" si="15"/>
        <v>1</v>
      </c>
      <c r="N108">
        <f t="shared" si="16"/>
        <v>3.6295948644614566</v>
      </c>
      <c r="O108" s="161">
        <f t="shared" si="17"/>
        <v>253.77693800170087</v>
      </c>
      <c r="Q108" s="143">
        <v>1.0122325400000001</v>
      </c>
      <c r="R108" s="143">
        <v>1.0122325400000001</v>
      </c>
      <c r="S108" s="143">
        <v>22830.892722000001</v>
      </c>
      <c r="T108" s="143">
        <v>587.41603799999996</v>
      </c>
      <c r="U108" s="143">
        <v>54.411624432152401</v>
      </c>
      <c r="V108" s="143">
        <f t="shared" si="18"/>
        <v>279.2798084575756</v>
      </c>
      <c r="W108" s="143">
        <v>333.69143288972799</v>
      </c>
      <c r="X108" s="143">
        <v>921.10747088972801</v>
      </c>
      <c r="Y108" s="143"/>
      <c r="AA108" s="200">
        <v>1.0023544447520001</v>
      </c>
      <c r="AB108" s="200">
        <f t="shared" si="19"/>
        <v>2.3544447520000844E-3</v>
      </c>
      <c r="AC108">
        <f t="shared" si="20"/>
        <v>53.754075552789821</v>
      </c>
      <c r="AD108" s="200">
        <f t="shared" si="21"/>
        <v>54.411624432152351</v>
      </c>
    </row>
    <row r="109" spans="2:30">
      <c r="B109">
        <v>946.44561420552395</v>
      </c>
      <c r="C109">
        <v>16.375499999999999</v>
      </c>
      <c r="D109">
        <v>252</v>
      </c>
      <c r="E109">
        <v>100</v>
      </c>
      <c r="F109">
        <v>100</v>
      </c>
      <c r="G109">
        <v>1</v>
      </c>
      <c r="H109">
        <v>2165</v>
      </c>
      <c r="I109">
        <f t="shared" si="11"/>
        <v>1.1637550000000001</v>
      </c>
      <c r="J109">
        <f t="shared" si="12"/>
        <v>3.968253968253968E-3</v>
      </c>
      <c r="K109" s="161">
        <f t="shared" si="13"/>
        <v>1.0006019741536627</v>
      </c>
      <c r="L109" s="198">
        <f t="shared" si="14"/>
        <v>6.019741536626988E-4</v>
      </c>
      <c r="M109">
        <f t="shared" si="15"/>
        <v>1</v>
      </c>
      <c r="N109">
        <f t="shared" si="16"/>
        <v>3.6798865812304804</v>
      </c>
      <c r="O109" s="161">
        <f t="shared" si="17"/>
        <v>257.19423501608344</v>
      </c>
      <c r="Q109" s="143">
        <v>1.01407493</v>
      </c>
      <c r="R109" s="143">
        <v>1.01407493</v>
      </c>
      <c r="S109" s="143">
        <v>22243.476684000001</v>
      </c>
      <c r="T109" s="143">
        <v>573.61477600000001</v>
      </c>
      <c r="U109" s="143">
        <v>59.755460921591698</v>
      </c>
      <c r="V109" s="143">
        <f t="shared" si="18"/>
        <v>313.07537728393334</v>
      </c>
      <c r="W109" s="143">
        <v>372.83083820552503</v>
      </c>
      <c r="X109" s="143">
        <v>946.44561420552498</v>
      </c>
      <c r="Y109" s="143"/>
      <c r="AA109" s="200">
        <v>1.0026491398490001</v>
      </c>
      <c r="AB109" s="200">
        <f t="shared" si="19"/>
        <v>2.6491398490000595E-3</v>
      </c>
      <c r="AC109">
        <f t="shared" si="20"/>
        <v>58.926080463888105</v>
      </c>
      <c r="AD109" s="200">
        <f t="shared" si="21"/>
        <v>59.755460921591698</v>
      </c>
    </row>
    <row r="110" spans="2:30">
      <c r="B110">
        <v>916.78924765223303</v>
      </c>
      <c r="C110">
        <v>16.374500000000001</v>
      </c>
      <c r="D110">
        <v>252</v>
      </c>
      <c r="E110">
        <v>100</v>
      </c>
      <c r="F110">
        <v>100</v>
      </c>
      <c r="G110">
        <v>1</v>
      </c>
      <c r="H110">
        <v>2187</v>
      </c>
      <c r="I110">
        <f t="shared" si="11"/>
        <v>1.163745</v>
      </c>
      <c r="J110">
        <f t="shared" si="12"/>
        <v>3.968253968253968E-3</v>
      </c>
      <c r="K110" s="161">
        <f t="shared" si="13"/>
        <v>1.000601940034284</v>
      </c>
      <c r="L110" s="198">
        <f t="shared" si="14"/>
        <v>6.0194003428404308E-4</v>
      </c>
      <c r="M110">
        <f t="shared" si="15"/>
        <v>1</v>
      </c>
      <c r="N110">
        <f t="shared" si="16"/>
        <v>3.7286521112624946</v>
      </c>
      <c r="O110" s="161">
        <f t="shared" si="17"/>
        <v>245.87685316177561</v>
      </c>
      <c r="Q110" s="143">
        <v>1.01345888</v>
      </c>
      <c r="R110" s="143">
        <v>1.01345888</v>
      </c>
      <c r="S110" s="143">
        <v>21669.861907999999</v>
      </c>
      <c r="T110" s="143">
        <v>569.11558300000002</v>
      </c>
      <c r="U110" s="143">
        <v>56.021593615891</v>
      </c>
      <c r="V110" s="143">
        <f t="shared" si="18"/>
        <v>291.65207103634202</v>
      </c>
      <c r="W110" s="143">
        <v>347.67366465223301</v>
      </c>
      <c r="X110" s="143">
        <v>916.78924765223303</v>
      </c>
      <c r="Y110" s="143"/>
      <c r="AA110" s="200">
        <v>1.002550898525</v>
      </c>
      <c r="AB110" s="200">
        <f t="shared" si="19"/>
        <v>2.5508985250000116E-3</v>
      </c>
      <c r="AC110">
        <f t="shared" si="20"/>
        <v>55.277618778071137</v>
      </c>
      <c r="AD110" s="200">
        <f t="shared" si="21"/>
        <v>56.021593615890943</v>
      </c>
    </row>
    <row r="111" spans="2:30">
      <c r="B111">
        <v>888.34916213694805</v>
      </c>
      <c r="C111">
        <v>16.3735</v>
      </c>
      <c r="D111">
        <v>252</v>
      </c>
      <c r="E111">
        <v>100</v>
      </c>
      <c r="F111">
        <v>100</v>
      </c>
      <c r="G111">
        <v>1</v>
      </c>
      <c r="H111">
        <v>2208</v>
      </c>
      <c r="I111">
        <f t="shared" si="11"/>
        <v>1.163735</v>
      </c>
      <c r="J111">
        <f t="shared" si="12"/>
        <v>3.968253968253968E-3</v>
      </c>
      <c r="K111" s="161">
        <f t="shared" si="13"/>
        <v>1.0006019059146134</v>
      </c>
      <c r="L111" s="198">
        <f t="shared" si="14"/>
        <v>6.0190591461339871E-4</v>
      </c>
      <c r="M111">
        <f t="shared" si="15"/>
        <v>1</v>
      </c>
      <c r="N111">
        <f t="shared" si="16"/>
        <v>3.7757855392612902</v>
      </c>
      <c r="O111" s="161">
        <f t="shared" si="17"/>
        <v>235.27532294928707</v>
      </c>
      <c r="Q111" s="143">
        <v>1.0128432000000001</v>
      </c>
      <c r="R111" s="143">
        <v>1.0128432000000001</v>
      </c>
      <c r="S111" s="143">
        <v>21100.746325</v>
      </c>
      <c r="T111" s="143">
        <v>564.93028100000004</v>
      </c>
      <c r="U111" s="143">
        <v>52.417775935707397</v>
      </c>
      <c r="V111" s="143">
        <f t="shared" si="18"/>
        <v>271.00110520124156</v>
      </c>
      <c r="W111" s="143">
        <v>323.41888113694898</v>
      </c>
      <c r="X111" s="143">
        <v>888.34916213694896</v>
      </c>
      <c r="Y111" s="143"/>
      <c r="AA111" s="200">
        <v>1.0024526668260001</v>
      </c>
      <c r="AB111" s="200">
        <f t="shared" si="19"/>
        <v>2.4526668260000939E-3</v>
      </c>
      <c r="AC111">
        <f t="shared" si="20"/>
        <v>51.753100515170892</v>
      </c>
      <c r="AD111" s="200">
        <f t="shared" si="21"/>
        <v>52.41777593570734</v>
      </c>
    </row>
    <row r="112" spans="2:30">
      <c r="B112">
        <v>898.20283876715598</v>
      </c>
      <c r="C112">
        <v>16.372399999999999</v>
      </c>
      <c r="D112">
        <v>252</v>
      </c>
      <c r="E112">
        <v>100</v>
      </c>
      <c r="F112">
        <v>100</v>
      </c>
      <c r="G112">
        <v>1</v>
      </c>
      <c r="H112">
        <v>2231</v>
      </c>
      <c r="I112">
        <f t="shared" si="11"/>
        <v>1.163724</v>
      </c>
      <c r="J112">
        <f t="shared" si="12"/>
        <v>3.968253968253968E-3</v>
      </c>
      <c r="K112" s="161">
        <f t="shared" si="13"/>
        <v>1.0006018683826385</v>
      </c>
      <c r="L112" s="198">
        <f t="shared" si="14"/>
        <v>6.0186838263853737E-4</v>
      </c>
      <c r="M112">
        <f t="shared" si="15"/>
        <v>1</v>
      </c>
      <c r="N112">
        <f t="shared" si="16"/>
        <v>3.8280840838198231</v>
      </c>
      <c r="O112" s="161">
        <f t="shared" si="17"/>
        <v>234.63508614233245</v>
      </c>
      <c r="Q112" s="143">
        <v>1.01407493</v>
      </c>
      <c r="R112" s="143">
        <v>1.01407493</v>
      </c>
      <c r="S112" s="143">
        <v>20535.816043999999</v>
      </c>
      <c r="T112" s="143">
        <v>553.99470899999994</v>
      </c>
      <c r="U112" s="143">
        <v>55.167956454978402</v>
      </c>
      <c r="V112" s="143">
        <f t="shared" si="18"/>
        <v>289.04017331217756</v>
      </c>
      <c r="W112" s="143">
        <v>344.20812976715598</v>
      </c>
      <c r="X112" s="143">
        <v>898.20283876715598</v>
      </c>
      <c r="Y112" s="143"/>
      <c r="AA112" s="200">
        <v>1.0026491398490001</v>
      </c>
      <c r="AB112" s="200">
        <f t="shared" si="19"/>
        <v>2.6491398490000595E-3</v>
      </c>
      <c r="AC112">
        <f t="shared" si="20"/>
        <v>54.402248613895161</v>
      </c>
      <c r="AD112" s="200">
        <f t="shared" si="21"/>
        <v>55.167956454978331</v>
      </c>
    </row>
    <row r="113" spans="2:30">
      <c r="B113">
        <v>846.13271412860399</v>
      </c>
      <c r="C113">
        <v>16.371500000000001</v>
      </c>
      <c r="D113">
        <v>252</v>
      </c>
      <c r="E113">
        <v>100</v>
      </c>
      <c r="F113">
        <v>100</v>
      </c>
      <c r="G113">
        <v>1</v>
      </c>
      <c r="H113">
        <v>2251</v>
      </c>
      <c r="I113">
        <f t="shared" si="11"/>
        <v>1.1637150000000001</v>
      </c>
      <c r="J113">
        <f t="shared" si="12"/>
        <v>3.968253968253968E-3</v>
      </c>
      <c r="K113" s="161">
        <f t="shared" si="13"/>
        <v>1.0006018376743961</v>
      </c>
      <c r="L113" s="198">
        <f t="shared" si="14"/>
        <v>6.01837674396144E-4</v>
      </c>
      <c r="M113">
        <f t="shared" si="15"/>
        <v>1</v>
      </c>
      <c r="N113">
        <f t="shared" si="16"/>
        <v>3.8741609208136021</v>
      </c>
      <c r="O113" s="161">
        <f t="shared" si="17"/>
        <v>218.4041219307199</v>
      </c>
      <c r="Q113" s="143">
        <v>1.0122278899999999</v>
      </c>
      <c r="R113" s="143">
        <v>1.0122278899999999</v>
      </c>
      <c r="S113" s="143">
        <v>19981.821335000001</v>
      </c>
      <c r="T113" s="143">
        <v>554.17583200000001</v>
      </c>
      <c r="U113" s="143">
        <v>47.621368844572899</v>
      </c>
      <c r="V113" s="143">
        <f t="shared" si="18"/>
        <v>244.33551328403109</v>
      </c>
      <c r="W113" s="143">
        <v>291.95688212860398</v>
      </c>
      <c r="X113" s="143">
        <v>846.13271412860399</v>
      </c>
      <c r="Y113" s="143"/>
      <c r="AA113" s="200">
        <v>1.0023544447520001</v>
      </c>
      <c r="AB113" s="200">
        <f t="shared" si="19"/>
        <v>2.3544447520000844E-3</v>
      </c>
      <c r="AC113">
        <f t="shared" si="20"/>
        <v>47.046094377594073</v>
      </c>
      <c r="AD113" s="200">
        <f t="shared" si="21"/>
        <v>47.621368844572906</v>
      </c>
    </row>
    <row r="114" spans="2:30">
      <c r="B114">
        <v>893.07535586618405</v>
      </c>
      <c r="C114">
        <v>16.369</v>
      </c>
      <c r="D114">
        <v>252</v>
      </c>
      <c r="E114">
        <v>100</v>
      </c>
      <c r="F114">
        <v>100</v>
      </c>
      <c r="G114">
        <v>1</v>
      </c>
      <c r="H114">
        <v>2272</v>
      </c>
      <c r="I114">
        <f t="shared" si="11"/>
        <v>1.1636899999999999</v>
      </c>
      <c r="J114">
        <f t="shared" si="12"/>
        <v>3.968253968253968E-3</v>
      </c>
      <c r="K114" s="161">
        <f t="shared" si="13"/>
        <v>1.0006017523724817</v>
      </c>
      <c r="L114" s="198">
        <f t="shared" si="14"/>
        <v>6.0175237248172309E-4</v>
      </c>
      <c r="M114">
        <f t="shared" si="15"/>
        <v>1</v>
      </c>
      <c r="N114">
        <f t="shared" si="16"/>
        <v>3.9226608151182587</v>
      </c>
      <c r="O114" s="161">
        <f t="shared" si="17"/>
        <v>227.67080763756016</v>
      </c>
      <c r="Q114" s="143">
        <v>1.01274039</v>
      </c>
      <c r="R114" s="143">
        <v>1.01274039</v>
      </c>
      <c r="S114" s="143">
        <v>19427.645503</v>
      </c>
      <c r="T114" s="143">
        <v>597.30295999999998</v>
      </c>
      <c r="U114" s="143">
        <v>48.256615376217297</v>
      </c>
      <c r="V114" s="143">
        <f t="shared" si="18"/>
        <v>247.51578048996672</v>
      </c>
      <c r="W114" s="143">
        <v>295.77239586618401</v>
      </c>
      <c r="X114" s="143">
        <v>893.07535586618405</v>
      </c>
      <c r="Y114" s="143"/>
      <c r="AA114" s="200">
        <v>1.0024526668260001</v>
      </c>
      <c r="AB114" s="200">
        <f t="shared" si="19"/>
        <v>2.4526668260000939E-3</v>
      </c>
      <c r="AC114">
        <f t="shared" si="20"/>
        <v>47.649541632498007</v>
      </c>
      <c r="AD114" s="200">
        <f t="shared" si="21"/>
        <v>48.256615376217269</v>
      </c>
    </row>
    <row r="115" spans="2:30">
      <c r="B115">
        <v>882.15289679555997</v>
      </c>
      <c r="C115">
        <v>16.3643</v>
      </c>
      <c r="D115">
        <v>252</v>
      </c>
      <c r="E115">
        <v>100</v>
      </c>
      <c r="F115">
        <v>100</v>
      </c>
      <c r="G115">
        <v>1</v>
      </c>
      <c r="H115">
        <v>2294</v>
      </c>
      <c r="I115">
        <f t="shared" si="11"/>
        <v>1.163643</v>
      </c>
      <c r="J115">
        <f t="shared" si="12"/>
        <v>3.968253968253968E-3</v>
      </c>
      <c r="K115" s="161">
        <f t="shared" si="13"/>
        <v>1.0006015919999409</v>
      </c>
      <c r="L115" s="198">
        <f t="shared" si="14"/>
        <v>6.0159199994092027E-4</v>
      </c>
      <c r="M115">
        <f t="shared" si="15"/>
        <v>1</v>
      </c>
      <c r="N115">
        <f t="shared" si="16"/>
        <v>3.9734593979575958</v>
      </c>
      <c r="O115" s="161">
        <f t="shared" si="17"/>
        <v>222.01130260674032</v>
      </c>
      <c r="Q115" s="143">
        <v>1.01300634</v>
      </c>
      <c r="R115" s="143">
        <v>1.01300634</v>
      </c>
      <c r="S115" s="143">
        <v>18830.342542999999</v>
      </c>
      <c r="T115" s="143">
        <v>588.580016</v>
      </c>
      <c r="U115" s="143">
        <v>48.6590433648378</v>
      </c>
      <c r="V115" s="143">
        <f t="shared" si="18"/>
        <v>244.91383743072319</v>
      </c>
      <c r="W115" s="143">
        <v>293.57288079556099</v>
      </c>
      <c r="X115" s="143">
        <v>882.15289679556099</v>
      </c>
      <c r="Y115" s="143"/>
      <c r="AA115" s="200">
        <v>1.002550898525</v>
      </c>
      <c r="AB115" s="200">
        <f t="shared" si="19"/>
        <v>2.5508985250000116E-3</v>
      </c>
      <c r="AC115">
        <f t="shared" si="20"/>
        <v>48.034293018183661</v>
      </c>
      <c r="AD115" s="200">
        <f t="shared" si="21"/>
        <v>48.659043364837785</v>
      </c>
    </row>
    <row r="116" spans="2:30">
      <c r="B116">
        <v>845.18185009320405</v>
      </c>
      <c r="C116">
        <v>16.36</v>
      </c>
      <c r="D116">
        <v>252</v>
      </c>
      <c r="E116">
        <v>100</v>
      </c>
      <c r="F116">
        <v>100</v>
      </c>
      <c r="G116">
        <v>1</v>
      </c>
      <c r="H116">
        <v>2314</v>
      </c>
      <c r="I116">
        <f t="shared" si="11"/>
        <v>1.1636</v>
      </c>
      <c r="J116">
        <f t="shared" si="12"/>
        <v>3.968253968253968E-3</v>
      </c>
      <c r="K116" s="161">
        <f t="shared" si="13"/>
        <v>1.0006014452704755</v>
      </c>
      <c r="L116" s="198">
        <f t="shared" si="14"/>
        <v>6.014452704754536E-4</v>
      </c>
      <c r="M116">
        <f t="shared" si="15"/>
        <v>1</v>
      </c>
      <c r="N116">
        <f t="shared" si="16"/>
        <v>4.0201772535794174</v>
      </c>
      <c r="O116" s="161">
        <f t="shared" si="17"/>
        <v>210.23497144079539</v>
      </c>
      <c r="Q116" s="143">
        <v>1.0118169800000001</v>
      </c>
      <c r="R116" s="143">
        <v>1.0118169800000001</v>
      </c>
      <c r="S116" s="143">
        <v>18241.762526999999</v>
      </c>
      <c r="T116" s="143">
        <v>586.162555</v>
      </c>
      <c r="U116" s="143">
        <v>43.456752146894701</v>
      </c>
      <c r="V116" s="143">
        <f t="shared" si="18"/>
        <v>215.56254294631032</v>
      </c>
      <c r="W116" s="143">
        <v>259.01929509320502</v>
      </c>
      <c r="X116" s="143">
        <v>845.18185009320496</v>
      </c>
      <c r="Y116" s="143"/>
      <c r="AA116" s="200">
        <v>1.0023544447520001</v>
      </c>
      <c r="AB116" s="200">
        <f t="shared" si="19"/>
        <v>2.3544447520000844E-3</v>
      </c>
      <c r="AC116">
        <f t="shared" si="20"/>
        <v>42.949222048926949</v>
      </c>
      <c r="AD116" s="200">
        <f t="shared" si="21"/>
        <v>43.456752146894679</v>
      </c>
    </row>
    <row r="117" spans="2:30">
      <c r="B117">
        <v>820.63905894954701</v>
      </c>
      <c r="C117">
        <v>16.356000000000002</v>
      </c>
      <c r="D117">
        <v>252</v>
      </c>
      <c r="E117">
        <v>100</v>
      </c>
      <c r="F117">
        <v>100</v>
      </c>
      <c r="G117">
        <v>1</v>
      </c>
      <c r="H117">
        <v>2333</v>
      </c>
      <c r="I117">
        <f t="shared" si="11"/>
        <v>1.1635599999999999</v>
      </c>
      <c r="J117">
        <f t="shared" si="12"/>
        <v>3.968253968253968E-3</v>
      </c>
      <c r="K117" s="161">
        <f t="shared" si="13"/>
        <v>1.0006013087731005</v>
      </c>
      <c r="L117" s="198">
        <f t="shared" si="14"/>
        <v>6.0130877310049513E-4</v>
      </c>
      <c r="M117">
        <f t="shared" si="15"/>
        <v>1</v>
      </c>
      <c r="N117">
        <f t="shared" si="16"/>
        <v>4.0650732504413538</v>
      </c>
      <c r="O117" s="161">
        <f t="shared" si="17"/>
        <v>201.87558953838001</v>
      </c>
      <c r="Q117" s="143">
        <v>1.0112228299999999</v>
      </c>
      <c r="R117" s="143">
        <v>1.0112228299999999</v>
      </c>
      <c r="S117" s="143">
        <v>17655.599972</v>
      </c>
      <c r="T117" s="143">
        <v>582.21106399999996</v>
      </c>
      <c r="U117" s="143">
        <v>40.282197915787897</v>
      </c>
      <c r="V117" s="143">
        <f t="shared" si="18"/>
        <v>198.14579703375912</v>
      </c>
      <c r="W117" s="143">
        <v>238.42799494954701</v>
      </c>
      <c r="X117" s="143">
        <v>820.63905894954701</v>
      </c>
      <c r="Y117" s="143"/>
      <c r="AA117" s="200">
        <v>1.0022562323019999</v>
      </c>
      <c r="AB117" s="200">
        <f t="shared" si="19"/>
        <v>2.2562323019998942E-3</v>
      </c>
      <c r="AC117">
        <f t="shared" si="20"/>
        <v>39.835134968014827</v>
      </c>
      <c r="AD117" s="200">
        <f t="shared" si="21"/>
        <v>40.282197915787911</v>
      </c>
    </row>
    <row r="118" spans="2:30">
      <c r="B118">
        <v>816.93173228013097</v>
      </c>
      <c r="C118">
        <v>16.351900000000001</v>
      </c>
      <c r="D118">
        <v>252</v>
      </c>
      <c r="E118">
        <v>100</v>
      </c>
      <c r="F118">
        <v>100</v>
      </c>
      <c r="G118">
        <v>1</v>
      </c>
      <c r="H118">
        <v>2353</v>
      </c>
      <c r="I118">
        <f t="shared" si="11"/>
        <v>1.163519</v>
      </c>
      <c r="J118">
        <f t="shared" si="12"/>
        <v>3.968253968253968E-3</v>
      </c>
      <c r="K118" s="161">
        <f t="shared" si="13"/>
        <v>1.0006011688584409</v>
      </c>
      <c r="L118" s="198">
        <f t="shared" si="14"/>
        <v>6.0116885844085921E-4</v>
      </c>
      <c r="M118">
        <f t="shared" si="15"/>
        <v>1</v>
      </c>
      <c r="N118">
        <f t="shared" si="16"/>
        <v>4.1128873596033939</v>
      </c>
      <c r="O118" s="161">
        <f t="shared" si="17"/>
        <v>198.62730506650874</v>
      </c>
      <c r="Q118" s="143">
        <v>1.0118169800000001</v>
      </c>
      <c r="R118" s="143">
        <v>1.0118169800000001</v>
      </c>
      <c r="S118" s="143">
        <v>17073.388908000001</v>
      </c>
      <c r="T118" s="143">
        <v>574.50246300000003</v>
      </c>
      <c r="U118" s="143">
        <v>40.673374022072501</v>
      </c>
      <c r="V118" s="143">
        <f t="shared" si="18"/>
        <v>201.7558952580595</v>
      </c>
      <c r="W118" s="143">
        <v>242.42926928013199</v>
      </c>
      <c r="X118" s="143">
        <v>816.931732280132</v>
      </c>
      <c r="Y118" s="143"/>
      <c r="AA118" s="200">
        <v>1.0023544447520001</v>
      </c>
      <c r="AB118" s="200">
        <f t="shared" si="19"/>
        <v>2.3544447520000844E-3</v>
      </c>
      <c r="AC118">
        <f t="shared" si="20"/>
        <v>40.198350913297055</v>
      </c>
      <c r="AD118" s="200">
        <f t="shared" si="21"/>
        <v>40.673374022072473</v>
      </c>
    </row>
    <row r="119" spans="2:30">
      <c r="B119">
        <v>812.38203829628196</v>
      </c>
      <c r="C119">
        <v>16.3477</v>
      </c>
      <c r="D119">
        <v>252</v>
      </c>
      <c r="E119">
        <v>100</v>
      </c>
      <c r="F119">
        <v>100</v>
      </c>
      <c r="G119">
        <v>1</v>
      </c>
      <c r="H119">
        <v>2374</v>
      </c>
      <c r="I119">
        <f t="shared" si="11"/>
        <v>1.1634769999999999</v>
      </c>
      <c r="J119">
        <f t="shared" si="12"/>
        <v>3.968253968253968E-3</v>
      </c>
      <c r="K119" s="161">
        <f t="shared" si="13"/>
        <v>1.0006010255261364</v>
      </c>
      <c r="L119" s="198">
        <f t="shared" si="14"/>
        <v>6.0102552613638949E-4</v>
      </c>
      <c r="M119">
        <f t="shared" si="15"/>
        <v>1</v>
      </c>
      <c r="N119">
        <f t="shared" si="16"/>
        <v>4.163707855746356</v>
      </c>
      <c r="O119" s="161">
        <f t="shared" si="17"/>
        <v>195.11023982508982</v>
      </c>
      <c r="Q119" s="143">
        <v>1.0124114900000001</v>
      </c>
      <c r="R119" s="143">
        <v>1.0124114900000001</v>
      </c>
      <c r="S119" s="143">
        <v>16498.886445</v>
      </c>
      <c r="T119" s="143">
        <v>566.63775599999997</v>
      </c>
      <c r="U119" s="143">
        <v>40.968518173028002</v>
      </c>
      <c r="V119" s="143">
        <f t="shared" si="18"/>
        <v>204.77576412325399</v>
      </c>
      <c r="W119" s="143">
        <v>245.74428229628199</v>
      </c>
      <c r="X119" s="143">
        <v>812.38203829628196</v>
      </c>
      <c r="Y119" s="143"/>
      <c r="AA119" s="200">
        <v>1.0024526668260001</v>
      </c>
      <c r="AB119" s="200">
        <f t="shared" si="19"/>
        <v>2.4526668260000939E-3</v>
      </c>
      <c r="AC119">
        <f t="shared" si="20"/>
        <v>40.466271449594124</v>
      </c>
      <c r="AD119" s="200">
        <f t="shared" si="21"/>
        <v>40.968518173028052</v>
      </c>
    </row>
    <row r="120" spans="2:30">
      <c r="B120">
        <v>788.65024724517104</v>
      </c>
      <c r="C120">
        <v>16.343699999999998</v>
      </c>
      <c r="D120">
        <v>252</v>
      </c>
      <c r="E120">
        <v>100</v>
      </c>
      <c r="F120">
        <v>100</v>
      </c>
      <c r="G120">
        <v>1</v>
      </c>
      <c r="H120">
        <v>2394</v>
      </c>
      <c r="I120">
        <f t="shared" si="11"/>
        <v>1.1634370000000001</v>
      </c>
      <c r="J120">
        <f t="shared" si="12"/>
        <v>3.968253968253968E-3</v>
      </c>
      <c r="K120" s="161">
        <f t="shared" si="13"/>
        <v>1.0006008890143883</v>
      </c>
      <c r="L120" s="198">
        <f t="shared" si="14"/>
        <v>6.008890143882617E-4</v>
      </c>
      <c r="M120">
        <f t="shared" si="15"/>
        <v>1</v>
      </c>
      <c r="N120">
        <f t="shared" si="16"/>
        <v>4.2126684186872714</v>
      </c>
      <c r="O120" s="161">
        <f t="shared" si="17"/>
        <v>187.20919114989968</v>
      </c>
      <c r="Q120" s="143">
        <v>1.0118169800000001</v>
      </c>
      <c r="R120" s="143">
        <v>1.0118169800000001</v>
      </c>
      <c r="S120" s="143">
        <v>15932.248689</v>
      </c>
      <c r="T120" s="143">
        <v>562.42430999999999</v>
      </c>
      <c r="U120" s="143">
        <v>37.954873132230503</v>
      </c>
      <c r="V120" s="143">
        <f t="shared" si="18"/>
        <v>188.27106411294051</v>
      </c>
      <c r="W120" s="143">
        <v>226.225937245171</v>
      </c>
      <c r="X120" s="143">
        <v>788.65024724517104</v>
      </c>
      <c r="Y120" s="143"/>
      <c r="AA120" s="200">
        <v>1.0023544447520001</v>
      </c>
      <c r="AB120" s="200">
        <f t="shared" si="19"/>
        <v>2.3544447520000844E-3</v>
      </c>
      <c r="AC120">
        <f t="shared" si="20"/>
        <v>37.511599313376273</v>
      </c>
      <c r="AD120" s="200">
        <f t="shared" si="21"/>
        <v>37.95487313223046</v>
      </c>
    </row>
    <row r="121" spans="2:30">
      <c r="B121">
        <v>801.42432869596905</v>
      </c>
      <c r="C121">
        <v>16.339200000000002</v>
      </c>
      <c r="D121">
        <v>252</v>
      </c>
      <c r="E121">
        <v>100</v>
      </c>
      <c r="F121">
        <v>100</v>
      </c>
      <c r="G121">
        <v>1</v>
      </c>
      <c r="H121">
        <v>2417</v>
      </c>
      <c r="I121">
        <f t="shared" si="11"/>
        <v>1.163392</v>
      </c>
      <c r="J121">
        <f t="shared" si="12"/>
        <v>3.968253968253968E-3</v>
      </c>
      <c r="K121" s="161">
        <f t="shared" si="13"/>
        <v>1.0006007354330839</v>
      </c>
      <c r="L121" s="198">
        <f t="shared" si="14"/>
        <v>6.0073543308392097E-4</v>
      </c>
      <c r="M121">
        <f t="shared" si="15"/>
        <v>1</v>
      </c>
      <c r="N121">
        <f t="shared" si="16"/>
        <v>4.2696915545850196</v>
      </c>
      <c r="O121" s="161">
        <f t="shared" si="17"/>
        <v>187.70075506633668</v>
      </c>
      <c r="Q121" s="143">
        <v>1.01360154</v>
      </c>
      <c r="R121" s="143">
        <v>1.01360154</v>
      </c>
      <c r="S121" s="143">
        <v>15369.824379</v>
      </c>
      <c r="T121" s="143">
        <v>551.10042199999998</v>
      </c>
      <c r="U121" s="143">
        <v>41.270625612025199</v>
      </c>
      <c r="V121" s="143">
        <f t="shared" si="18"/>
        <v>209.05328108394377</v>
      </c>
      <c r="W121" s="143">
        <v>250.32390669596899</v>
      </c>
      <c r="X121" s="143">
        <v>801.42432869596905</v>
      </c>
      <c r="Y121" s="143"/>
      <c r="AA121" s="200">
        <v>1.0026491398490001</v>
      </c>
      <c r="AB121" s="200">
        <f t="shared" si="19"/>
        <v>2.6491398490000595E-3</v>
      </c>
      <c r="AC121">
        <f t="shared" si="20"/>
        <v>40.716814234541495</v>
      </c>
      <c r="AD121" s="200">
        <f t="shared" si="21"/>
        <v>41.270625612025178</v>
      </c>
    </row>
    <row r="122" spans="2:30">
      <c r="B122">
        <v>768.87820578481603</v>
      </c>
      <c r="C122">
        <v>16.3352</v>
      </c>
      <c r="D122">
        <v>252</v>
      </c>
      <c r="E122">
        <v>100</v>
      </c>
      <c r="F122">
        <v>100</v>
      </c>
      <c r="G122">
        <v>1</v>
      </c>
      <c r="H122">
        <v>2438</v>
      </c>
      <c r="I122">
        <f t="shared" si="11"/>
        <v>1.1633519999999999</v>
      </c>
      <c r="J122">
        <f t="shared" si="12"/>
        <v>3.968253968253968E-3</v>
      </c>
      <c r="K122" s="161">
        <f t="shared" si="13"/>
        <v>1.0006005989114015</v>
      </c>
      <c r="L122" s="198">
        <f t="shared" si="14"/>
        <v>6.0059891140151755E-4</v>
      </c>
      <c r="M122">
        <f t="shared" si="15"/>
        <v>1</v>
      </c>
      <c r="N122">
        <f t="shared" si="16"/>
        <v>4.3224423679714841</v>
      </c>
      <c r="O122" s="161">
        <f t="shared" si="17"/>
        <v>177.88049910903715</v>
      </c>
      <c r="Q122" s="143">
        <v>1.0124114799999999</v>
      </c>
      <c r="R122" s="143">
        <v>1.0124114799999999</v>
      </c>
      <c r="S122" s="143">
        <v>14818.723957</v>
      </c>
      <c r="T122" s="143">
        <v>548.15941699999996</v>
      </c>
      <c r="U122" s="143">
        <v>36.796492766991399</v>
      </c>
      <c r="V122" s="143">
        <f t="shared" si="18"/>
        <v>183.9222960178256</v>
      </c>
      <c r="W122" s="143">
        <v>220.71878878481701</v>
      </c>
      <c r="X122" s="143">
        <v>768.87820578481603</v>
      </c>
      <c r="Y122" s="143"/>
      <c r="AA122" s="200">
        <v>1.0024526668260001</v>
      </c>
      <c r="AB122" s="200">
        <f t="shared" si="19"/>
        <v>2.4526668260000939E-3</v>
      </c>
      <c r="AC122">
        <f t="shared" si="20"/>
        <v>36.345392652986739</v>
      </c>
      <c r="AD122" s="200">
        <f t="shared" si="21"/>
        <v>36.796492766991427</v>
      </c>
    </row>
    <row r="123" spans="2:30">
      <c r="B123">
        <v>763.01021613516605</v>
      </c>
      <c r="C123">
        <v>16.331099999999999</v>
      </c>
      <c r="D123">
        <v>252</v>
      </c>
      <c r="E123">
        <v>100</v>
      </c>
      <c r="F123">
        <v>100</v>
      </c>
      <c r="G123">
        <v>1</v>
      </c>
      <c r="H123">
        <v>2460</v>
      </c>
      <c r="I123">
        <f t="shared" si="11"/>
        <v>1.163311</v>
      </c>
      <c r="J123">
        <f t="shared" si="12"/>
        <v>3.968253968253968E-3</v>
      </c>
      <c r="K123" s="161">
        <f t="shared" si="13"/>
        <v>1.0006004589718247</v>
      </c>
      <c r="L123" s="198">
        <f t="shared" si="14"/>
        <v>6.004589718247022E-4</v>
      </c>
      <c r="M123">
        <f t="shared" si="15"/>
        <v>1</v>
      </c>
      <c r="N123">
        <f t="shared" si="16"/>
        <v>4.3784105501467909</v>
      </c>
      <c r="O123" s="161">
        <f t="shared" si="17"/>
        <v>174.26648492558226</v>
      </c>
      <c r="Q123" s="143">
        <v>1.01300634</v>
      </c>
      <c r="R123" s="143">
        <v>1.01300634</v>
      </c>
      <c r="S123" s="143">
        <v>14270.564539999999</v>
      </c>
      <c r="T123" s="143">
        <v>540.52617299999997</v>
      </c>
      <c r="U123" s="143">
        <v>36.876228735982799</v>
      </c>
      <c r="V123" s="143">
        <f t="shared" si="18"/>
        <v>185.60781439918318</v>
      </c>
      <c r="W123" s="143">
        <v>222.48404313516599</v>
      </c>
      <c r="X123" s="143">
        <v>763.01021613516605</v>
      </c>
      <c r="Y123" s="143"/>
      <c r="AA123" s="200">
        <v>1.002550898525</v>
      </c>
      <c r="AB123" s="200">
        <f t="shared" si="19"/>
        <v>2.5508985250000116E-3</v>
      </c>
      <c r="AC123">
        <f t="shared" si="20"/>
        <v>36.402762036003466</v>
      </c>
      <c r="AD123" s="200">
        <f t="shared" si="21"/>
        <v>36.876228735982821</v>
      </c>
    </row>
    <row r="124" spans="2:30">
      <c r="B124">
        <v>756.37013179872599</v>
      </c>
      <c r="C124">
        <v>16.326799999999999</v>
      </c>
      <c r="D124">
        <v>252</v>
      </c>
      <c r="E124">
        <v>100</v>
      </c>
      <c r="F124">
        <v>100</v>
      </c>
      <c r="G124">
        <v>1</v>
      </c>
      <c r="H124">
        <v>2483</v>
      </c>
      <c r="I124">
        <f t="shared" si="11"/>
        <v>1.163268</v>
      </c>
      <c r="J124">
        <f t="shared" si="12"/>
        <v>3.968253968253968E-3</v>
      </c>
      <c r="K124" s="161">
        <f t="shared" si="13"/>
        <v>1.000600312200649</v>
      </c>
      <c r="L124" s="198">
        <f t="shared" si="14"/>
        <v>6.0031220064904467E-4</v>
      </c>
      <c r="M124">
        <f t="shared" si="15"/>
        <v>1</v>
      </c>
      <c r="N124">
        <f t="shared" si="16"/>
        <v>4.4376633613476253</v>
      </c>
      <c r="O124" s="161">
        <f t="shared" si="17"/>
        <v>170.44333249492638</v>
      </c>
      <c r="Q124" s="143">
        <v>1.01360154</v>
      </c>
      <c r="R124" s="143">
        <v>1.01360154</v>
      </c>
      <c r="S124" s="143">
        <v>13730.038366999999</v>
      </c>
      <c r="T124" s="143">
        <v>532.75294799999995</v>
      </c>
      <c r="U124" s="143">
        <v>36.867517748440697</v>
      </c>
      <c r="V124" s="143">
        <f t="shared" si="18"/>
        <v>186.7496660502853</v>
      </c>
      <c r="W124" s="143">
        <v>223.61718379872599</v>
      </c>
      <c r="X124" s="143">
        <v>756.37013179872599</v>
      </c>
      <c r="Y124" s="143"/>
      <c r="AA124" s="200">
        <v>1.0026491398490001</v>
      </c>
      <c r="AB124" s="200">
        <f t="shared" si="19"/>
        <v>2.6491398490000595E-3</v>
      </c>
      <c r="AC124">
        <f t="shared" si="20"/>
        <v>36.372791766319402</v>
      </c>
      <c r="AD124" s="200">
        <f t="shared" si="21"/>
        <v>36.867517748440669</v>
      </c>
    </row>
    <row r="125" spans="2:30">
      <c r="B125">
        <v>718.71422775019698</v>
      </c>
      <c r="C125">
        <v>16.3232</v>
      </c>
      <c r="D125">
        <v>252</v>
      </c>
      <c r="E125">
        <v>100</v>
      </c>
      <c r="F125">
        <v>100</v>
      </c>
      <c r="G125">
        <v>1</v>
      </c>
      <c r="H125">
        <v>2503</v>
      </c>
      <c r="I125">
        <f t="shared" si="11"/>
        <v>1.163232</v>
      </c>
      <c r="J125">
        <f t="shared" si="12"/>
        <v>3.968253968253968E-3</v>
      </c>
      <c r="K125" s="161">
        <f t="shared" si="13"/>
        <v>1.0006001893182996</v>
      </c>
      <c r="L125" s="198">
        <f t="shared" si="14"/>
        <v>6.0018931829963762E-4</v>
      </c>
      <c r="M125">
        <f t="shared" si="15"/>
        <v>1</v>
      </c>
      <c r="N125">
        <f t="shared" si="16"/>
        <v>4.4898676272873761</v>
      </c>
      <c r="O125" s="161">
        <f t="shared" si="17"/>
        <v>160.07470317881499</v>
      </c>
      <c r="Q125" s="143">
        <v>1.0118169800000001</v>
      </c>
      <c r="R125" s="143">
        <v>1.0118169800000001</v>
      </c>
      <c r="S125" s="143">
        <v>13197.285419</v>
      </c>
      <c r="T125" s="143">
        <v>531.32271000000003</v>
      </c>
      <c r="U125" s="143">
        <v>31.439459899581799</v>
      </c>
      <c r="V125" s="143">
        <f t="shared" si="18"/>
        <v>155.9520578506152</v>
      </c>
      <c r="W125" s="143">
        <v>187.39151775019701</v>
      </c>
      <c r="X125" s="143">
        <v>718.71422775019801</v>
      </c>
      <c r="Y125" s="143"/>
      <c r="AA125" s="200">
        <v>1.0023544447520001</v>
      </c>
      <c r="AB125" s="200">
        <f t="shared" si="19"/>
        <v>2.3544447520000844E-3</v>
      </c>
      <c r="AC125">
        <f t="shared" si="20"/>
        <v>31.072279395411783</v>
      </c>
      <c r="AD125" s="200">
        <f t="shared" si="21"/>
        <v>31.439459899581781</v>
      </c>
    </row>
    <row r="126" spans="2:30">
      <c r="B126">
        <v>768.15618005720705</v>
      </c>
      <c r="C126">
        <v>16.321300000000001</v>
      </c>
      <c r="D126">
        <v>252</v>
      </c>
      <c r="E126">
        <v>100</v>
      </c>
      <c r="F126">
        <v>100</v>
      </c>
      <c r="G126">
        <v>1</v>
      </c>
      <c r="H126">
        <v>2525</v>
      </c>
      <c r="I126">
        <f t="shared" si="11"/>
        <v>1.1632130000000001</v>
      </c>
      <c r="J126">
        <f t="shared" si="12"/>
        <v>3.968253968253968E-3</v>
      </c>
      <c r="K126" s="161">
        <f t="shared" si="13"/>
        <v>1.0006001244621991</v>
      </c>
      <c r="L126" s="198">
        <f t="shared" si="14"/>
        <v>6.001244621991475E-4</v>
      </c>
      <c r="M126">
        <f t="shared" si="15"/>
        <v>1</v>
      </c>
      <c r="N126">
        <f t="shared" si="16"/>
        <v>4.5487831621464467</v>
      </c>
      <c r="O126" s="161">
        <f t="shared" si="17"/>
        <v>168.87069633249678</v>
      </c>
      <c r="Q126" s="143">
        <v>1.01314086</v>
      </c>
      <c r="R126" s="143">
        <v>1.01314086</v>
      </c>
      <c r="S126" s="143">
        <v>12665.962708999999</v>
      </c>
      <c r="T126" s="143">
        <v>568.98037599999998</v>
      </c>
      <c r="U126" s="143">
        <v>32.734161333016999</v>
      </c>
      <c r="V126" s="143">
        <f t="shared" si="18"/>
        <v>166.44164272418999</v>
      </c>
      <c r="W126" s="143">
        <v>199.17580405720699</v>
      </c>
      <c r="X126" s="143">
        <v>768.15618005720705</v>
      </c>
      <c r="Y126" s="143"/>
      <c r="AA126" s="200">
        <v>1.002550898525</v>
      </c>
      <c r="AB126" s="200">
        <f t="shared" si="19"/>
        <v>2.5508985250000116E-3</v>
      </c>
      <c r="AC126">
        <f t="shared" si="20"/>
        <v>32.309585592093249</v>
      </c>
      <c r="AD126" s="200">
        <f t="shared" si="21"/>
        <v>32.734161333016964</v>
      </c>
    </row>
    <row r="127" spans="2:30">
      <c r="B127">
        <v>751.19530287651799</v>
      </c>
      <c r="C127">
        <v>16.322399999999998</v>
      </c>
      <c r="D127">
        <v>252</v>
      </c>
      <c r="E127">
        <v>100</v>
      </c>
      <c r="F127">
        <v>100</v>
      </c>
      <c r="G127">
        <v>1</v>
      </c>
      <c r="H127">
        <v>2546</v>
      </c>
      <c r="I127">
        <f t="shared" si="11"/>
        <v>1.163224</v>
      </c>
      <c r="J127">
        <f t="shared" si="12"/>
        <v>3.968253968253968E-3</v>
      </c>
      <c r="K127" s="161">
        <f t="shared" si="13"/>
        <v>1.0006001620105964</v>
      </c>
      <c r="L127" s="198">
        <f t="shared" si="14"/>
        <v>6.0016201059642782E-4</v>
      </c>
      <c r="M127">
        <f t="shared" si="15"/>
        <v>1</v>
      </c>
      <c r="N127">
        <f t="shared" si="16"/>
        <v>4.606895186791494</v>
      </c>
      <c r="O127" s="161">
        <f t="shared" si="17"/>
        <v>163.05890896547476</v>
      </c>
      <c r="Q127" s="143">
        <v>1.0129762499999999</v>
      </c>
      <c r="R127" s="143">
        <v>1.0129762499999999</v>
      </c>
      <c r="S127" s="143">
        <v>12096.982333</v>
      </c>
      <c r="T127" s="143">
        <v>564.166965</v>
      </c>
      <c r="U127" s="143">
        <v>30.054870877928</v>
      </c>
      <c r="V127" s="143">
        <f t="shared" si="18"/>
        <v>156.97346699859</v>
      </c>
      <c r="W127" s="143">
        <v>187.02833787651801</v>
      </c>
      <c r="X127" s="143">
        <v>751.19530287651799</v>
      </c>
      <c r="Y127" s="143"/>
      <c r="AA127" s="200">
        <v>1.0024526668260001</v>
      </c>
      <c r="AB127" s="200">
        <f t="shared" si="19"/>
        <v>2.4526668260000939E-3</v>
      </c>
      <c r="AC127">
        <f t="shared" si="20"/>
        <v>29.669867262858322</v>
      </c>
      <c r="AD127" s="200">
        <f t="shared" si="21"/>
        <v>30.054870877927986</v>
      </c>
    </row>
    <row r="128" spans="2:30">
      <c r="B128">
        <v>715.810133895788</v>
      </c>
      <c r="C128">
        <v>16.3233</v>
      </c>
      <c r="D128">
        <v>252</v>
      </c>
      <c r="E128">
        <v>100</v>
      </c>
      <c r="F128">
        <v>100</v>
      </c>
      <c r="G128">
        <v>1</v>
      </c>
      <c r="H128">
        <v>2564</v>
      </c>
      <c r="I128">
        <f t="shared" si="11"/>
        <v>1.163233</v>
      </c>
      <c r="J128">
        <f t="shared" si="12"/>
        <v>3.968253968253968E-3</v>
      </c>
      <c r="K128" s="161">
        <f t="shared" si="13"/>
        <v>1.0006001927317494</v>
      </c>
      <c r="L128" s="198">
        <f t="shared" si="14"/>
        <v>6.001927317493827E-4</v>
      </c>
      <c r="M128">
        <f t="shared" si="15"/>
        <v>1</v>
      </c>
      <c r="N128">
        <f t="shared" si="16"/>
        <v>4.6572844040449448</v>
      </c>
      <c r="O128" s="161">
        <f t="shared" si="17"/>
        <v>153.69689110548899</v>
      </c>
      <c r="Q128" s="143">
        <v>1.0111122400000001</v>
      </c>
      <c r="R128" s="143">
        <v>1.0111122400000001</v>
      </c>
      <c r="S128" s="143">
        <v>11532.815368</v>
      </c>
      <c r="T128" s="143">
        <v>562.490003</v>
      </c>
      <c r="U128" s="143">
        <v>25.164718650883401</v>
      </c>
      <c r="V128" s="143">
        <f t="shared" si="18"/>
        <v>128.15541224490559</v>
      </c>
      <c r="W128" s="143">
        <v>153.32013089578899</v>
      </c>
      <c r="X128" s="143">
        <v>715.81013389578902</v>
      </c>
      <c r="Y128" s="143"/>
      <c r="AA128" s="200">
        <v>1.0021580294750001</v>
      </c>
      <c r="AB128" s="200">
        <f t="shared" si="19"/>
        <v>2.1580294750001006E-3</v>
      </c>
      <c r="AC128">
        <f t="shared" si="20"/>
        <v>24.888155493878131</v>
      </c>
      <c r="AD128" s="200">
        <f t="shared" si="21"/>
        <v>25.164718650883426</v>
      </c>
    </row>
    <row r="129" spans="2:30">
      <c r="B129">
        <v>729.07615648596504</v>
      </c>
      <c r="C129">
        <v>16.324400000000001</v>
      </c>
      <c r="D129">
        <v>252</v>
      </c>
      <c r="E129">
        <v>100</v>
      </c>
      <c r="F129">
        <v>100</v>
      </c>
      <c r="G129">
        <v>1</v>
      </c>
      <c r="H129">
        <v>2586</v>
      </c>
      <c r="I129">
        <f t="shared" si="11"/>
        <v>1.1632439999999999</v>
      </c>
      <c r="J129">
        <f t="shared" si="12"/>
        <v>3.968253968253968E-3</v>
      </c>
      <c r="K129" s="161">
        <f t="shared" si="13"/>
        <v>1.0006002302795036</v>
      </c>
      <c r="L129" s="198">
        <f t="shared" si="14"/>
        <v>6.0023027950362184E-4</v>
      </c>
      <c r="M129">
        <f t="shared" si="15"/>
        <v>1</v>
      </c>
      <c r="N129">
        <f t="shared" si="16"/>
        <v>4.7196273808629448</v>
      </c>
      <c r="O129" s="161">
        <f t="shared" si="17"/>
        <v>154.47748257462214</v>
      </c>
      <c r="Q129" s="143">
        <v>1.0135983500000001</v>
      </c>
      <c r="R129" s="143">
        <v>1.0135983500000001</v>
      </c>
      <c r="S129" s="143">
        <v>10970.325365000001</v>
      </c>
      <c r="T129" s="143">
        <v>551.53310699999997</v>
      </c>
      <c r="U129" s="143">
        <v>28.364725558816399</v>
      </c>
      <c r="V129" s="143">
        <f t="shared" si="18"/>
        <v>149.17832392714863</v>
      </c>
      <c r="W129" s="143">
        <v>177.54304948596501</v>
      </c>
      <c r="X129" s="143">
        <v>729.07615648596504</v>
      </c>
      <c r="Y129" s="143"/>
      <c r="AA129" s="200">
        <v>1.002550898525</v>
      </c>
      <c r="AB129" s="200">
        <f t="shared" si="19"/>
        <v>2.5508985250000116E-3</v>
      </c>
      <c r="AC129">
        <f t="shared" si="20"/>
        <v>27.984186792348716</v>
      </c>
      <c r="AD129" s="200">
        <f t="shared" si="21"/>
        <v>28.364725558816453</v>
      </c>
    </row>
    <row r="130" spans="2:30">
      <c r="B130">
        <v>701.49804113932805</v>
      </c>
      <c r="C130">
        <v>16.325399999999998</v>
      </c>
      <c r="D130">
        <v>252</v>
      </c>
      <c r="E130">
        <v>100</v>
      </c>
      <c r="F130">
        <v>100</v>
      </c>
      <c r="G130">
        <v>1</v>
      </c>
      <c r="H130">
        <v>2606</v>
      </c>
      <c r="I130">
        <f t="shared" si="11"/>
        <v>1.163254</v>
      </c>
      <c r="J130">
        <f t="shared" si="12"/>
        <v>3.968253968253968E-3</v>
      </c>
      <c r="K130" s="161">
        <f t="shared" si="13"/>
        <v>1.0006002644135188</v>
      </c>
      <c r="L130" s="198">
        <f t="shared" si="14"/>
        <v>6.0026441351879178E-4</v>
      </c>
      <c r="M130">
        <f t="shared" si="15"/>
        <v>1</v>
      </c>
      <c r="N130">
        <f t="shared" si="16"/>
        <v>4.7770335417744043</v>
      </c>
      <c r="O130" s="161">
        <f t="shared" si="17"/>
        <v>146.84804596929001</v>
      </c>
      <c r="Q130" s="143">
        <v>1.01235454</v>
      </c>
      <c r="R130" s="143">
        <v>1.01235454</v>
      </c>
      <c r="S130" s="143">
        <v>10418.792257999999</v>
      </c>
      <c r="T130" s="143">
        <v>547.94512199999997</v>
      </c>
      <c r="U130" s="143">
        <v>24.833533436176701</v>
      </c>
      <c r="V130" s="143">
        <f t="shared" si="18"/>
        <v>128.71938570315129</v>
      </c>
      <c r="W130" s="143">
        <v>153.552919139328</v>
      </c>
      <c r="X130" s="143">
        <v>701.49804113932805</v>
      </c>
      <c r="Y130" s="143"/>
      <c r="AA130" s="200">
        <v>1.0023544447520001</v>
      </c>
      <c r="AB130" s="200">
        <f t="shared" si="19"/>
        <v>2.3544447520000844E-3</v>
      </c>
      <c r="AC130">
        <f t="shared" si="20"/>
        <v>24.53047075402721</v>
      </c>
      <c r="AD130" s="200">
        <f t="shared" si="21"/>
        <v>24.833533436176669</v>
      </c>
    </row>
    <row r="131" spans="2:30">
      <c r="B131">
        <v>687.88031402233003</v>
      </c>
      <c r="C131">
        <v>16.3263</v>
      </c>
      <c r="D131">
        <v>252</v>
      </c>
      <c r="E131">
        <v>100</v>
      </c>
      <c r="F131">
        <v>100</v>
      </c>
      <c r="G131">
        <v>1</v>
      </c>
      <c r="H131">
        <v>2626</v>
      </c>
      <c r="I131">
        <f t="shared" si="11"/>
        <v>1.1632629999999999</v>
      </c>
      <c r="J131">
        <f t="shared" si="12"/>
        <v>3.968253968253968E-3</v>
      </c>
      <c r="K131" s="161">
        <f t="shared" si="13"/>
        <v>1.0006002951338826</v>
      </c>
      <c r="L131" s="198">
        <f t="shared" si="14"/>
        <v>6.0029513388260014E-4</v>
      </c>
      <c r="M131">
        <f t="shared" si="15"/>
        <v>1</v>
      </c>
      <c r="N131">
        <f t="shared" si="16"/>
        <v>4.8351012305319765</v>
      </c>
      <c r="O131" s="161">
        <f t="shared" si="17"/>
        <v>142.26802733283142</v>
      </c>
      <c r="Q131" s="143">
        <v>1.01235454</v>
      </c>
      <c r="R131" s="143">
        <v>1.01235454</v>
      </c>
      <c r="S131" s="143">
        <v>9870.8471360000003</v>
      </c>
      <c r="T131" s="143">
        <v>542.40305000000001</v>
      </c>
      <c r="U131" s="143">
        <v>23.527488246732698</v>
      </c>
      <c r="V131" s="143">
        <f t="shared" si="18"/>
        <v>121.94977577559729</v>
      </c>
      <c r="W131" s="143">
        <v>145.47726402232999</v>
      </c>
      <c r="X131" s="143">
        <v>687.88031402233003</v>
      </c>
      <c r="Y131" s="143"/>
      <c r="AA131" s="200">
        <v>1.0023544447520001</v>
      </c>
      <c r="AB131" s="200">
        <f t="shared" si="19"/>
        <v>2.3544447520000844E-3</v>
      </c>
      <c r="AC131">
        <f t="shared" si="20"/>
        <v>23.240364237150263</v>
      </c>
      <c r="AD131" s="200">
        <f t="shared" si="21"/>
        <v>23.527488246732705</v>
      </c>
    </row>
    <row r="132" spans="2:30">
      <c r="B132">
        <v>679.97587887873101</v>
      </c>
      <c r="C132">
        <v>16.327300000000001</v>
      </c>
      <c r="D132">
        <v>252</v>
      </c>
      <c r="E132">
        <v>100</v>
      </c>
      <c r="F132">
        <v>100</v>
      </c>
      <c r="G132">
        <v>1</v>
      </c>
      <c r="H132">
        <v>2647</v>
      </c>
      <c r="I132">
        <f t="shared" si="11"/>
        <v>1.163273</v>
      </c>
      <c r="J132">
        <f t="shared" si="12"/>
        <v>3.968253968253968E-3</v>
      </c>
      <c r="K132" s="161">
        <f t="shared" si="13"/>
        <v>1.0006003292673424</v>
      </c>
      <c r="L132" s="198">
        <f t="shared" si="14"/>
        <v>6.0032926734243652E-4</v>
      </c>
      <c r="M132">
        <f t="shared" si="15"/>
        <v>1</v>
      </c>
      <c r="N132">
        <f t="shared" si="16"/>
        <v>4.8968629136426474</v>
      </c>
      <c r="O132" s="161">
        <f t="shared" si="17"/>
        <v>138.85948838476159</v>
      </c>
      <c r="Q132" s="143">
        <v>1.0129762499999999</v>
      </c>
      <c r="R132" s="143">
        <v>1.0129762499999999</v>
      </c>
      <c r="S132" s="143">
        <v>9328.4440859999995</v>
      </c>
      <c r="T132" s="143">
        <v>535.75120000000004</v>
      </c>
      <c r="U132" s="143">
        <v>23.176456307774998</v>
      </c>
      <c r="V132" s="143">
        <f t="shared" si="18"/>
        <v>121.04822257095699</v>
      </c>
      <c r="W132" s="143">
        <v>144.22467887873199</v>
      </c>
      <c r="X132" s="143">
        <v>679.97587887873203</v>
      </c>
      <c r="Y132" s="143"/>
      <c r="AA132" s="200">
        <v>1.0024526668260001</v>
      </c>
      <c r="AB132" s="200">
        <f t="shared" si="19"/>
        <v>2.4526668260000939E-3</v>
      </c>
      <c r="AC132">
        <f t="shared" si="20"/>
        <v>22.879565347928967</v>
      </c>
      <c r="AD132" s="200">
        <f t="shared" si="21"/>
        <v>23.176456307775027</v>
      </c>
    </row>
    <row r="133" spans="2:30">
      <c r="B133">
        <v>676.41881087099</v>
      </c>
      <c r="C133">
        <v>16.328399999999998</v>
      </c>
      <c r="D133">
        <v>252</v>
      </c>
      <c r="E133">
        <v>100</v>
      </c>
      <c r="F133">
        <v>100</v>
      </c>
      <c r="G133">
        <v>1</v>
      </c>
      <c r="H133">
        <v>2670</v>
      </c>
      <c r="I133">
        <f t="shared" si="11"/>
        <v>1.163284</v>
      </c>
      <c r="J133">
        <f t="shared" si="12"/>
        <v>3.968253968253968E-3</v>
      </c>
      <c r="K133" s="161">
        <f t="shared" si="13"/>
        <v>1.0006003668138108</v>
      </c>
      <c r="L133" s="198">
        <f t="shared" si="14"/>
        <v>6.0036681381081536E-4</v>
      </c>
      <c r="M133">
        <f t="shared" si="15"/>
        <v>1</v>
      </c>
      <c r="N133">
        <f t="shared" si="16"/>
        <v>4.9654225398193574</v>
      </c>
      <c r="O133" s="161">
        <f t="shared" si="17"/>
        <v>136.22583082236505</v>
      </c>
      <c r="Q133" s="143">
        <v>1.0142208399999999</v>
      </c>
      <c r="R133" s="143">
        <v>1.0142208399999999</v>
      </c>
      <c r="S133" s="143">
        <v>8792.6928860000007</v>
      </c>
      <c r="T133" s="143">
        <v>527.75501199999997</v>
      </c>
      <c r="U133" s="143">
        <v>23.624320170046801</v>
      </c>
      <c r="V133" s="143">
        <f t="shared" si="18"/>
        <v>125.03947870094321</v>
      </c>
      <c r="W133" s="143">
        <v>148.66379887099001</v>
      </c>
      <c r="X133" s="143">
        <v>676.41881087099</v>
      </c>
      <c r="Y133" s="143"/>
      <c r="AA133" s="200">
        <v>1.0026491398490001</v>
      </c>
      <c r="AB133" s="200">
        <f t="shared" si="19"/>
        <v>2.6491398490000595E-3</v>
      </c>
      <c r="AC133">
        <f t="shared" si="20"/>
        <v>23.293073104321941</v>
      </c>
      <c r="AD133" s="200">
        <f t="shared" si="21"/>
        <v>23.624320170046804</v>
      </c>
    </row>
    <row r="134" spans="2:30">
      <c r="B134">
        <v>651.69649339670605</v>
      </c>
      <c r="C134">
        <v>16.3293</v>
      </c>
      <c r="D134">
        <v>252</v>
      </c>
      <c r="E134">
        <v>100</v>
      </c>
      <c r="F134">
        <v>100</v>
      </c>
      <c r="G134">
        <v>1</v>
      </c>
      <c r="H134">
        <v>2691</v>
      </c>
      <c r="I134">
        <f t="shared" si="11"/>
        <v>1.1632929999999999</v>
      </c>
      <c r="J134">
        <f t="shared" si="12"/>
        <v>3.968253968253968E-3</v>
      </c>
      <c r="K134" s="161">
        <f t="shared" si="13"/>
        <v>1.0006003975333855</v>
      </c>
      <c r="L134" s="198">
        <f t="shared" si="14"/>
        <v>6.0039753338547719E-4</v>
      </c>
      <c r="M134">
        <f t="shared" si="15"/>
        <v>1</v>
      </c>
      <c r="N134">
        <f t="shared" si="16"/>
        <v>5.0288178384885542</v>
      </c>
      <c r="O134" s="161">
        <f t="shared" si="17"/>
        <v>129.59238419989734</v>
      </c>
      <c r="Q134" s="143">
        <v>1.0129762499999999</v>
      </c>
      <c r="R134" s="143">
        <v>1.0129762499999999</v>
      </c>
      <c r="S134" s="143">
        <v>8264.9378739999993</v>
      </c>
      <c r="T134" s="143">
        <v>523.91441099999997</v>
      </c>
      <c r="U134" s="143">
        <v>20.534182309214302</v>
      </c>
      <c r="V134" s="143">
        <f t="shared" si="18"/>
        <v>107.2479000874917</v>
      </c>
      <c r="W134" s="143">
        <v>127.782082396706</v>
      </c>
      <c r="X134" s="143">
        <v>651.69649339670605</v>
      </c>
      <c r="Y134" s="143"/>
      <c r="AA134" s="200">
        <v>1.0024526668260001</v>
      </c>
      <c r="AB134" s="200">
        <f t="shared" si="19"/>
        <v>2.4526668260000939E-3</v>
      </c>
      <c r="AC134">
        <f t="shared" si="20"/>
        <v>20.271138942511541</v>
      </c>
      <c r="AD134" s="200">
        <f t="shared" si="21"/>
        <v>20.534182309214305</v>
      </c>
    </row>
    <row r="135" spans="2:30">
      <c r="B135">
        <v>642.93356018760403</v>
      </c>
      <c r="C135">
        <v>16.330300000000001</v>
      </c>
      <c r="D135">
        <v>252</v>
      </c>
      <c r="E135">
        <v>100</v>
      </c>
      <c r="F135">
        <v>100</v>
      </c>
      <c r="G135">
        <v>1</v>
      </c>
      <c r="H135">
        <v>2712</v>
      </c>
      <c r="I135">
        <f t="shared" ref="I135:I149" si="22">C135/F135+G135</f>
        <v>1.163303</v>
      </c>
      <c r="J135">
        <f t="shared" ref="J135:J149" si="23">G135/D135</f>
        <v>3.968253968253968E-3</v>
      </c>
      <c r="K135" s="161">
        <f t="shared" ref="K135:K149" si="24">POWER(I135,J135)</f>
        <v>1.0006004316659687</v>
      </c>
      <c r="L135" s="198">
        <f t="shared" ref="L135:L149" si="25">K135-G135</f>
        <v>6.0043166596868147E-4</v>
      </c>
      <c r="M135">
        <f t="shared" ref="M135:M149" si="26">E135/F135</f>
        <v>1</v>
      </c>
      <c r="N135">
        <f t="shared" ref="N135:N149" si="27">POWER((L135*M135)+1,H135)</f>
        <v>5.093076207856031</v>
      </c>
      <c r="O135" s="161">
        <f t="shared" ref="O135:O149" si="28">B135/N135</f>
        <v>126.236783811694</v>
      </c>
      <c r="Q135" s="143">
        <v>1.0135983500000001</v>
      </c>
      <c r="R135" s="143">
        <v>1.0135983500000001</v>
      </c>
      <c r="S135" s="143">
        <v>7741.0234630000004</v>
      </c>
      <c r="T135" s="143">
        <v>518.424082</v>
      </c>
      <c r="U135" s="143">
        <v>19.244331779517601</v>
      </c>
      <c r="V135" s="143">
        <f t="shared" ref="V135:V149" si="29">W135-U135</f>
        <v>105.26514640808639</v>
      </c>
      <c r="W135" s="143">
        <v>124.509478187604</v>
      </c>
      <c r="X135" s="143">
        <v>642.93356018760403</v>
      </c>
      <c r="Y135" s="143"/>
      <c r="AA135" s="200">
        <v>1.0024526668260001</v>
      </c>
      <c r="AB135" s="200">
        <f t="shared" ref="AB135:AB149" si="30">AA135-G135</f>
        <v>2.4526668260000939E-3</v>
      </c>
      <c r="AC135">
        <f t="shared" ref="AC135:AC149" si="31">AB135*S135</f>
        <v>18.986151446988465</v>
      </c>
      <c r="AD135" s="200">
        <f t="shared" ref="AD135:AD149" si="32">AC135*Q135</f>
        <v>19.244331779517623</v>
      </c>
    </row>
    <row r="136" spans="2:30">
      <c r="B136">
        <v>619.45398372701595</v>
      </c>
      <c r="C136">
        <v>16.331199999999999</v>
      </c>
      <c r="D136">
        <v>252</v>
      </c>
      <c r="E136">
        <v>100</v>
      </c>
      <c r="F136">
        <v>100</v>
      </c>
      <c r="G136">
        <v>1</v>
      </c>
      <c r="H136">
        <v>2733</v>
      </c>
      <c r="I136">
        <f t="shared" si="22"/>
        <v>1.1633119999999999</v>
      </c>
      <c r="J136">
        <f t="shared" si="23"/>
        <v>3.968253968253968E-3</v>
      </c>
      <c r="K136" s="161">
        <f t="shared" si="24"/>
        <v>1.0006004623850435</v>
      </c>
      <c r="L136" s="198">
        <f t="shared" si="25"/>
        <v>6.004623850435209E-4</v>
      </c>
      <c r="M136">
        <f t="shared" si="26"/>
        <v>1</v>
      </c>
      <c r="N136">
        <f t="shared" si="27"/>
        <v>5.1581149705014893</v>
      </c>
      <c r="O136" s="161">
        <f t="shared" si="28"/>
        <v>120.09309355638317</v>
      </c>
      <c r="Q136" s="143">
        <v>1.01235454</v>
      </c>
      <c r="R136" s="143">
        <v>1.01235454</v>
      </c>
      <c r="S136" s="143">
        <v>7222.599381</v>
      </c>
      <c r="T136" s="143">
        <v>513.00678800000003</v>
      </c>
      <c r="U136" s="143">
        <v>17.215302770477098</v>
      </c>
      <c r="V136" s="143">
        <f t="shared" si="29"/>
        <v>89.231892956539909</v>
      </c>
      <c r="W136" s="143">
        <v>106.447195727017</v>
      </c>
      <c r="X136" s="143">
        <v>619.45398372701698</v>
      </c>
      <c r="Y136" s="143"/>
      <c r="AA136" s="200">
        <v>1.0023544447520001</v>
      </c>
      <c r="AB136" s="200">
        <f t="shared" si="30"/>
        <v>2.3544447520000844E-3</v>
      </c>
      <c r="AC136">
        <f t="shared" si="31"/>
        <v>17.00521120839451</v>
      </c>
      <c r="AD136" s="200">
        <f t="shared" si="32"/>
        <v>17.21530277047707</v>
      </c>
    </row>
    <row r="137" spans="2:30">
      <c r="B137">
        <v>607.49371132120496</v>
      </c>
      <c r="C137">
        <v>16.332000000000001</v>
      </c>
      <c r="D137">
        <v>252</v>
      </c>
      <c r="E137">
        <v>100</v>
      </c>
      <c r="F137">
        <v>100</v>
      </c>
      <c r="G137">
        <v>1</v>
      </c>
      <c r="H137">
        <v>2753</v>
      </c>
      <c r="I137">
        <f t="shared" si="22"/>
        <v>1.1633200000000001</v>
      </c>
      <c r="J137">
        <f t="shared" si="23"/>
        <v>3.968253968253968E-3</v>
      </c>
      <c r="K137" s="161">
        <f t="shared" si="24"/>
        <v>1.000600489690689</v>
      </c>
      <c r="L137" s="198">
        <f t="shared" si="25"/>
        <v>6.0048969068904334E-4</v>
      </c>
      <c r="M137">
        <f t="shared" si="26"/>
        <v>1</v>
      </c>
      <c r="N137">
        <f t="shared" si="27"/>
        <v>5.2208068967924381</v>
      </c>
      <c r="O137" s="161">
        <f t="shared" si="28"/>
        <v>116.36011891082147</v>
      </c>
      <c r="Q137" s="143">
        <v>1.01235454</v>
      </c>
      <c r="R137" s="143">
        <v>1.01235454</v>
      </c>
      <c r="S137" s="143">
        <v>6709.5925930000003</v>
      </c>
      <c r="T137" s="143">
        <v>508.60724699999997</v>
      </c>
      <c r="U137" s="143">
        <v>15.9925342472827</v>
      </c>
      <c r="V137" s="143">
        <f t="shared" si="29"/>
        <v>82.893930073922391</v>
      </c>
      <c r="W137" s="143">
        <v>98.886464321205096</v>
      </c>
      <c r="X137" s="143">
        <v>607.49371132120496</v>
      </c>
      <c r="Y137" s="143"/>
      <c r="AA137" s="200">
        <v>1.0023544447520001</v>
      </c>
      <c r="AB137" s="200">
        <f t="shared" si="30"/>
        <v>2.3544447520000844E-3</v>
      </c>
      <c r="AC137">
        <f t="shared" si="31"/>
        <v>15.797365068647489</v>
      </c>
      <c r="AD137" s="200">
        <f t="shared" si="32"/>
        <v>15.992534247282697</v>
      </c>
    </row>
    <row r="138" spans="2:30">
      <c r="B138">
        <v>645.68165100117096</v>
      </c>
      <c r="C138">
        <v>16.332999999999998</v>
      </c>
      <c r="D138">
        <v>252</v>
      </c>
      <c r="E138">
        <v>100</v>
      </c>
      <c r="F138">
        <v>100</v>
      </c>
      <c r="G138">
        <v>1</v>
      </c>
      <c r="H138">
        <v>2775</v>
      </c>
      <c r="I138">
        <f t="shared" si="22"/>
        <v>1.16333</v>
      </c>
      <c r="J138">
        <f t="shared" si="23"/>
        <v>3.968253968253968E-3</v>
      </c>
      <c r="K138" s="161">
        <f t="shared" si="24"/>
        <v>1.0006005238224831</v>
      </c>
      <c r="L138" s="198">
        <f t="shared" si="25"/>
        <v>6.005238224831011E-4</v>
      </c>
      <c r="M138">
        <f t="shared" si="26"/>
        <v>1</v>
      </c>
      <c r="N138">
        <f t="shared" si="27"/>
        <v>5.2907151992581651</v>
      </c>
      <c r="O138" s="161">
        <f t="shared" si="28"/>
        <v>122.04052319650562</v>
      </c>
      <c r="Q138" s="143">
        <v>1.0135462</v>
      </c>
      <c r="R138" s="143">
        <v>1.0135462</v>
      </c>
      <c r="S138" s="143">
        <v>6200.9853460000004</v>
      </c>
      <c r="T138" s="143">
        <v>545.64950399999998</v>
      </c>
      <c r="U138" s="143">
        <v>16.032359307187001</v>
      </c>
      <c r="V138" s="143">
        <f t="shared" si="29"/>
        <v>83.999787693985013</v>
      </c>
      <c r="W138" s="143">
        <v>100.03214700117201</v>
      </c>
      <c r="X138" s="143">
        <v>645.68165100117199</v>
      </c>
      <c r="Y138" s="143"/>
      <c r="AA138" s="200">
        <v>1.002550898525</v>
      </c>
      <c r="AB138" s="200">
        <f t="shared" si="30"/>
        <v>2.5508985250000116E-3</v>
      </c>
      <c r="AC138">
        <f t="shared" si="31"/>
        <v>15.818084372658088</v>
      </c>
      <c r="AD138" s="200">
        <f t="shared" si="32"/>
        <v>16.03235930718699</v>
      </c>
    </row>
    <row r="139" spans="2:30">
      <c r="B139">
        <v>623.64341641330304</v>
      </c>
      <c r="C139">
        <v>16.3338</v>
      </c>
      <c r="D139">
        <v>252</v>
      </c>
      <c r="E139">
        <v>100</v>
      </c>
      <c r="F139">
        <v>100</v>
      </c>
      <c r="G139">
        <v>1</v>
      </c>
      <c r="H139">
        <v>2795</v>
      </c>
      <c r="I139">
        <f t="shared" si="22"/>
        <v>1.163338</v>
      </c>
      <c r="J139">
        <f t="shared" si="23"/>
        <v>3.968253968253968E-3</v>
      </c>
      <c r="K139" s="161">
        <f t="shared" si="24"/>
        <v>1.0006005511277081</v>
      </c>
      <c r="L139" s="198">
        <f t="shared" si="25"/>
        <v>6.0055112770807106E-4</v>
      </c>
      <c r="M139">
        <f t="shared" si="26"/>
        <v>1</v>
      </c>
      <c r="N139">
        <f t="shared" si="27"/>
        <v>5.35503146116121</v>
      </c>
      <c r="O139" s="161">
        <f t="shared" si="28"/>
        <v>116.45933752890954</v>
      </c>
      <c r="Q139" s="143">
        <v>1.01214618</v>
      </c>
      <c r="R139" s="143">
        <v>1.01214618</v>
      </c>
      <c r="S139" s="143">
        <v>5655.3358420000004</v>
      </c>
      <c r="T139" s="143">
        <v>541.47578499999997</v>
      </c>
      <c r="U139" s="143">
        <v>13.4769043159204</v>
      </c>
      <c r="V139" s="143">
        <f t="shared" si="29"/>
        <v>68.690727097383586</v>
      </c>
      <c r="W139" s="143">
        <v>82.167631413303994</v>
      </c>
      <c r="X139" s="143">
        <v>623.64341641330395</v>
      </c>
      <c r="Y139" s="143"/>
      <c r="AA139" s="200">
        <v>1.0023544447520001</v>
      </c>
      <c r="AB139" s="200">
        <f t="shared" si="30"/>
        <v>2.3544447520000844E-3</v>
      </c>
      <c r="AC139">
        <f t="shared" si="31"/>
        <v>13.315175793994879</v>
      </c>
      <c r="AD139" s="200">
        <f t="shared" si="32"/>
        <v>13.476904315920384</v>
      </c>
    </row>
    <row r="140" spans="2:30">
      <c r="B140">
        <v>604.706566390479</v>
      </c>
      <c r="C140">
        <v>16.334599999999998</v>
      </c>
      <c r="D140">
        <v>252</v>
      </c>
      <c r="E140">
        <v>100</v>
      </c>
      <c r="F140">
        <v>100</v>
      </c>
      <c r="G140">
        <v>1</v>
      </c>
      <c r="H140">
        <v>2813</v>
      </c>
      <c r="I140">
        <f t="shared" si="22"/>
        <v>1.163346</v>
      </c>
      <c r="J140">
        <f t="shared" si="23"/>
        <v>3.968253968253968E-3</v>
      </c>
      <c r="K140" s="161">
        <f t="shared" si="24"/>
        <v>1.0006005784327459</v>
      </c>
      <c r="L140" s="198">
        <f t="shared" si="25"/>
        <v>6.0057843274585743E-4</v>
      </c>
      <c r="M140">
        <f t="shared" si="26"/>
        <v>1</v>
      </c>
      <c r="N140">
        <f t="shared" si="27"/>
        <v>5.4136309207294788</v>
      </c>
      <c r="O140" s="161">
        <f t="shared" si="28"/>
        <v>111.70073749855774</v>
      </c>
      <c r="Q140" s="143">
        <v>1.0109249499999999</v>
      </c>
      <c r="R140" s="143">
        <v>1.0109249499999999</v>
      </c>
      <c r="S140" s="143">
        <v>5113.8600569999999</v>
      </c>
      <c r="T140" s="143">
        <v>537.68147399999998</v>
      </c>
      <c r="U140" s="143">
        <v>11.156426960758001</v>
      </c>
      <c r="V140" s="143">
        <f t="shared" si="29"/>
        <v>55.868665429721702</v>
      </c>
      <c r="W140" s="143">
        <v>67.025092390479699</v>
      </c>
      <c r="X140" s="143">
        <v>604.70656639048002</v>
      </c>
      <c r="Y140" s="143"/>
      <c r="AA140" s="200">
        <v>1.0021580294750001</v>
      </c>
      <c r="AB140" s="200">
        <f t="shared" si="30"/>
        <v>2.1580294750001006E-3</v>
      </c>
      <c r="AC140">
        <f t="shared" si="31"/>
        <v>11.035860734031694</v>
      </c>
      <c r="AD140" s="200">
        <f t="shared" si="32"/>
        <v>11.156426960757953</v>
      </c>
    </row>
    <row r="141" spans="2:30">
      <c r="B141">
        <v>602.66387037746802</v>
      </c>
      <c r="C141">
        <v>16.3355</v>
      </c>
      <c r="D141">
        <v>252</v>
      </c>
      <c r="E141">
        <v>100</v>
      </c>
      <c r="F141">
        <v>100</v>
      </c>
      <c r="G141">
        <v>1</v>
      </c>
      <c r="H141">
        <v>2835</v>
      </c>
      <c r="I141">
        <f t="shared" si="22"/>
        <v>1.1633549999999999</v>
      </c>
      <c r="J141">
        <f t="shared" si="23"/>
        <v>3.968253968253968E-3</v>
      </c>
      <c r="K141" s="161">
        <f t="shared" si="24"/>
        <v>1.0006006091506898</v>
      </c>
      <c r="L141" s="198">
        <f t="shared" si="25"/>
        <v>6.0060915068982368E-4</v>
      </c>
      <c r="M141">
        <f t="shared" si="26"/>
        <v>1</v>
      </c>
      <c r="N141">
        <f t="shared" si="27"/>
        <v>5.4860900679622819</v>
      </c>
      <c r="O141" s="161">
        <f t="shared" si="28"/>
        <v>109.85307621850941</v>
      </c>
      <c r="Q141" s="143">
        <v>1.01336888</v>
      </c>
      <c r="R141" s="143">
        <v>1.01336888</v>
      </c>
      <c r="S141" s="143">
        <v>4576.1785829999999</v>
      </c>
      <c r="T141" s="143">
        <v>529.65606100000002</v>
      </c>
      <c r="U141" s="143">
        <v>11.829427042770799</v>
      </c>
      <c r="V141" s="143">
        <f t="shared" si="29"/>
        <v>61.178382334697204</v>
      </c>
      <c r="W141" s="143">
        <v>73.007809377468007</v>
      </c>
      <c r="X141" s="143">
        <v>602.66387037746802</v>
      </c>
      <c r="Y141" s="143"/>
      <c r="AA141" s="200">
        <v>1.002550898525</v>
      </c>
      <c r="AB141" s="200">
        <f t="shared" si="30"/>
        <v>2.5508985250000116E-3</v>
      </c>
      <c r="AC141">
        <f t="shared" si="31"/>
        <v>11.673367197511343</v>
      </c>
      <c r="AD141" s="200">
        <f t="shared" si="32"/>
        <v>11.829427042770808</v>
      </c>
    </row>
    <row r="142" spans="2:30">
      <c r="B142">
        <v>586.13593986627302</v>
      </c>
      <c r="C142">
        <v>16.336300000000001</v>
      </c>
      <c r="D142">
        <v>252</v>
      </c>
      <c r="E142">
        <v>100</v>
      </c>
      <c r="F142">
        <v>100</v>
      </c>
      <c r="G142">
        <v>1</v>
      </c>
      <c r="H142">
        <v>2856</v>
      </c>
      <c r="I142">
        <f t="shared" si="22"/>
        <v>1.1633629999999999</v>
      </c>
      <c r="J142">
        <f t="shared" si="23"/>
        <v>3.968253968253968E-3</v>
      </c>
      <c r="K142" s="161">
        <f t="shared" si="24"/>
        <v>1.0006006364553302</v>
      </c>
      <c r="L142" s="198">
        <f t="shared" si="25"/>
        <v>6.006364553301502E-4</v>
      </c>
      <c r="M142">
        <f t="shared" si="26"/>
        <v>1</v>
      </c>
      <c r="N142">
        <f t="shared" si="27"/>
        <v>5.5561351597702728</v>
      </c>
      <c r="O142" s="161">
        <f t="shared" si="28"/>
        <v>105.49346317387062</v>
      </c>
      <c r="Q142" s="143">
        <v>1.0127573400000001</v>
      </c>
      <c r="R142" s="143">
        <v>1.0127573400000001</v>
      </c>
      <c r="S142" s="143">
        <v>4046.5225220000002</v>
      </c>
      <c r="T142" s="143">
        <v>524.46169099999997</v>
      </c>
      <c r="U142" s="143">
        <v>10.051385235462099</v>
      </c>
      <c r="V142" s="143">
        <f t="shared" si="29"/>
        <v>51.6228636308117</v>
      </c>
      <c r="W142" s="143">
        <v>61.6742488662738</v>
      </c>
      <c r="X142" s="143">
        <v>586.13593986627404</v>
      </c>
      <c r="Y142" s="143"/>
      <c r="AA142" s="200">
        <v>1.0024526668260001</v>
      </c>
      <c r="AB142" s="200">
        <f t="shared" si="30"/>
        <v>2.4526668260000939E-3</v>
      </c>
      <c r="AC142">
        <f t="shared" si="31"/>
        <v>9.9247715503716361</v>
      </c>
      <c r="AD142" s="200">
        <f t="shared" si="32"/>
        <v>10.051385235462055</v>
      </c>
    </row>
    <row r="143" spans="2:30">
      <c r="B143">
        <v>570.84935763302997</v>
      </c>
      <c r="C143">
        <v>16.3371</v>
      </c>
      <c r="D143">
        <v>252</v>
      </c>
      <c r="E143">
        <v>100</v>
      </c>
      <c r="F143">
        <v>100</v>
      </c>
      <c r="G143">
        <v>1</v>
      </c>
      <c r="H143">
        <v>2876</v>
      </c>
      <c r="I143">
        <f t="shared" si="22"/>
        <v>1.1633709999999999</v>
      </c>
      <c r="J143">
        <f t="shared" si="23"/>
        <v>3.968253968253968E-3</v>
      </c>
      <c r="K143" s="161">
        <f t="shared" si="24"/>
        <v>1.0006006637597835</v>
      </c>
      <c r="L143" s="198">
        <f t="shared" si="25"/>
        <v>6.0066375978351516E-4</v>
      </c>
      <c r="M143">
        <f t="shared" si="26"/>
        <v>1</v>
      </c>
      <c r="N143">
        <f t="shared" si="27"/>
        <v>5.6237030622022095</v>
      </c>
      <c r="O143" s="161">
        <f t="shared" si="28"/>
        <v>101.50773455124224</v>
      </c>
      <c r="Q143" s="143">
        <v>1.01214618</v>
      </c>
      <c r="R143" s="143">
        <v>1.01214618</v>
      </c>
      <c r="S143" s="143">
        <v>3522.0608309999998</v>
      </c>
      <c r="T143" s="143">
        <v>519.67655300000001</v>
      </c>
      <c r="U143" s="143">
        <v>8.3932198087552603</v>
      </c>
      <c r="V143" s="143">
        <f t="shared" si="29"/>
        <v>42.779584824275638</v>
      </c>
      <c r="W143" s="143">
        <v>51.1728046330309</v>
      </c>
      <c r="X143" s="143">
        <v>570.84935763303099</v>
      </c>
      <c r="Y143" s="143"/>
      <c r="AA143" s="200">
        <v>1.0023544447520001</v>
      </c>
      <c r="AB143" s="200">
        <f t="shared" si="30"/>
        <v>2.3544447520000844E-3</v>
      </c>
      <c r="AC143">
        <f t="shared" si="31"/>
        <v>8.2924976397730052</v>
      </c>
      <c r="AD143" s="200">
        <f t="shared" si="32"/>
        <v>8.3932198087552639</v>
      </c>
    </row>
    <row r="144" spans="2:30">
      <c r="B144">
        <v>561.33141203173295</v>
      </c>
      <c r="C144">
        <v>16.338000000000001</v>
      </c>
      <c r="D144">
        <v>252</v>
      </c>
      <c r="E144">
        <v>100</v>
      </c>
      <c r="F144">
        <v>100</v>
      </c>
      <c r="G144">
        <v>1</v>
      </c>
      <c r="H144">
        <v>2898</v>
      </c>
      <c r="I144">
        <f t="shared" si="22"/>
        <v>1.1633800000000001</v>
      </c>
      <c r="J144">
        <f t="shared" si="23"/>
        <v>3.968253968253968E-3</v>
      </c>
      <c r="K144" s="161">
        <f t="shared" si="24"/>
        <v>1.00060069447707</v>
      </c>
      <c r="L144" s="198">
        <f t="shared" si="25"/>
        <v>6.0069447707000734E-4</v>
      </c>
      <c r="M144">
        <f t="shared" si="26"/>
        <v>1</v>
      </c>
      <c r="N144">
        <f t="shared" si="27"/>
        <v>5.6989956387136287</v>
      </c>
      <c r="O144" s="161">
        <f t="shared" si="28"/>
        <v>98.496550553324525</v>
      </c>
      <c r="Q144" s="143">
        <v>1.01336888</v>
      </c>
      <c r="R144" s="143">
        <v>1.01336888</v>
      </c>
      <c r="S144" s="143">
        <v>3002.384278</v>
      </c>
      <c r="T144" s="143">
        <v>513.43173000000002</v>
      </c>
      <c r="U144" s="143">
        <v>7.7611669052652204</v>
      </c>
      <c r="V144" s="143">
        <f t="shared" si="29"/>
        <v>40.138515126468683</v>
      </c>
      <c r="W144" s="143">
        <v>47.899682031733903</v>
      </c>
      <c r="X144" s="143">
        <v>561.33141203173398</v>
      </c>
      <c r="Y144" s="143"/>
      <c r="AA144" s="200">
        <v>1.002550898525</v>
      </c>
      <c r="AB144" s="200">
        <f t="shared" si="30"/>
        <v>2.5508985250000116E-3</v>
      </c>
      <c r="AC144">
        <f t="shared" si="31"/>
        <v>7.6587776262334248</v>
      </c>
      <c r="AD144" s="200">
        <f t="shared" si="32"/>
        <v>7.7611669052652248</v>
      </c>
    </row>
    <row r="145" spans="2:30">
      <c r="B145">
        <v>547.62899921661801</v>
      </c>
      <c r="C145">
        <v>16.338799999999999</v>
      </c>
      <c r="D145">
        <v>252</v>
      </c>
      <c r="E145">
        <v>100</v>
      </c>
      <c r="F145">
        <v>100</v>
      </c>
      <c r="G145">
        <v>1</v>
      </c>
      <c r="H145">
        <v>2920</v>
      </c>
      <c r="I145">
        <f t="shared" si="22"/>
        <v>1.1633879999999999</v>
      </c>
      <c r="J145">
        <f t="shared" si="23"/>
        <v>3.968253968253968E-3</v>
      </c>
      <c r="K145" s="161">
        <f t="shared" si="24"/>
        <v>1.0006007217811261</v>
      </c>
      <c r="L145" s="198">
        <f t="shared" si="25"/>
        <v>6.007217811261345E-4</v>
      </c>
      <c r="M145">
        <f t="shared" si="26"/>
        <v>1</v>
      </c>
      <c r="N145">
        <f t="shared" si="27"/>
        <v>5.7752465403819562</v>
      </c>
      <c r="O145" s="161">
        <f t="shared" si="28"/>
        <v>94.823484224865595</v>
      </c>
      <c r="Q145" s="143">
        <v>1.01336888</v>
      </c>
      <c r="R145" s="143">
        <v>1.01336888</v>
      </c>
      <c r="S145" s="143">
        <v>2488.9525480000002</v>
      </c>
      <c r="T145" s="143">
        <v>507.920546</v>
      </c>
      <c r="U145" s="143">
        <v>6.4339452767122296</v>
      </c>
      <c r="V145" s="143">
        <f t="shared" si="29"/>
        <v>33.274507939906272</v>
      </c>
      <c r="W145" s="143">
        <v>39.708453216618501</v>
      </c>
      <c r="X145" s="143">
        <v>547.62899921661904</v>
      </c>
      <c r="Y145" s="143"/>
      <c r="AA145" s="200">
        <v>1.002550898525</v>
      </c>
      <c r="AB145" s="200">
        <f t="shared" si="30"/>
        <v>2.5508985250000116E-3</v>
      </c>
      <c r="AC145">
        <f t="shared" si="31"/>
        <v>6.3490653834882211</v>
      </c>
      <c r="AD145" s="200">
        <f t="shared" si="32"/>
        <v>6.4339452767122296</v>
      </c>
    </row>
    <row r="146" spans="2:30">
      <c r="B146">
        <v>534.08599217620701</v>
      </c>
      <c r="C146">
        <v>16.339700000000001</v>
      </c>
      <c r="D146">
        <v>252</v>
      </c>
      <c r="E146">
        <v>100</v>
      </c>
      <c r="F146">
        <v>100</v>
      </c>
      <c r="G146">
        <v>1</v>
      </c>
      <c r="H146">
        <v>2942</v>
      </c>
      <c r="I146">
        <f t="shared" si="22"/>
        <v>1.163397</v>
      </c>
      <c r="J146">
        <f t="shared" si="23"/>
        <v>3.968253968253968E-3</v>
      </c>
      <c r="K146" s="161">
        <f t="shared" si="24"/>
        <v>1.0006007524979654</v>
      </c>
      <c r="L146" s="198">
        <f t="shared" si="25"/>
        <v>6.0075249796542884E-4</v>
      </c>
      <c r="M146">
        <f t="shared" si="26"/>
        <v>1</v>
      </c>
      <c r="N146">
        <f t="shared" si="27"/>
        <v>5.8525834105121959</v>
      </c>
      <c r="O146" s="161">
        <f t="shared" si="28"/>
        <v>91.256451162558633</v>
      </c>
      <c r="Q146" s="143">
        <v>1.01336888</v>
      </c>
      <c r="R146" s="143">
        <v>1.01336888</v>
      </c>
      <c r="S146" s="143">
        <v>1981.0320019999999</v>
      </c>
      <c r="T146" s="143">
        <v>502.48084299999999</v>
      </c>
      <c r="U146" s="143">
        <v>5.1209700653094403</v>
      </c>
      <c r="V146" s="143">
        <f t="shared" si="29"/>
        <v>26.48417911089776</v>
      </c>
      <c r="W146" s="143">
        <v>31.605149176207199</v>
      </c>
      <c r="X146" s="143">
        <v>534.08599217620701</v>
      </c>
      <c r="Y146" s="143"/>
      <c r="AA146" s="200">
        <v>1.002550898525</v>
      </c>
      <c r="AB146" s="200">
        <f t="shared" si="30"/>
        <v>2.5508985250000116E-3</v>
      </c>
      <c r="AC146">
        <f t="shared" si="31"/>
        <v>5.0534116118796195</v>
      </c>
      <c r="AD146" s="200">
        <f t="shared" si="32"/>
        <v>5.1209700653094448</v>
      </c>
    </row>
    <row r="147" spans="2:30">
      <c r="B147">
        <v>520.99609021466097</v>
      </c>
      <c r="C147">
        <v>16.340499999999999</v>
      </c>
      <c r="D147">
        <v>252</v>
      </c>
      <c r="E147">
        <v>100</v>
      </c>
      <c r="F147">
        <v>100</v>
      </c>
      <c r="G147">
        <v>1</v>
      </c>
      <c r="H147">
        <v>2963</v>
      </c>
      <c r="I147">
        <f t="shared" si="22"/>
        <v>1.163405</v>
      </c>
      <c r="J147">
        <f t="shared" si="23"/>
        <v>3.968253968253968E-3</v>
      </c>
      <c r="K147" s="161">
        <f t="shared" si="24"/>
        <v>1.0006007798016241</v>
      </c>
      <c r="L147" s="198">
        <f t="shared" si="25"/>
        <v>6.0077980162409617E-4</v>
      </c>
      <c r="M147">
        <f t="shared" si="26"/>
        <v>1</v>
      </c>
      <c r="N147">
        <f t="shared" si="27"/>
        <v>5.9273429238946305</v>
      </c>
      <c r="O147" s="161">
        <f t="shared" si="28"/>
        <v>87.897072415768775</v>
      </c>
      <c r="Q147" s="143">
        <v>1.01336888</v>
      </c>
      <c r="R147" s="143">
        <v>1.01336888</v>
      </c>
      <c r="S147" s="143">
        <v>1478.5511590000001</v>
      </c>
      <c r="T147" s="143">
        <v>497.554643</v>
      </c>
      <c r="U147" s="143">
        <v>3.6748741961295499</v>
      </c>
      <c r="V147" s="143">
        <f t="shared" si="29"/>
        <v>19.76657301853195</v>
      </c>
      <c r="W147" s="143">
        <v>23.441447214661501</v>
      </c>
      <c r="X147" s="143">
        <v>520.99609021466199</v>
      </c>
      <c r="Y147" s="143"/>
      <c r="AA147" s="200">
        <v>1.0024526668260001</v>
      </c>
      <c r="AB147" s="200">
        <f t="shared" si="30"/>
        <v>2.4526668260000939E-3</v>
      </c>
      <c r="AC147">
        <f t="shared" si="31"/>
        <v>3.6263933782232902</v>
      </c>
      <c r="AD147" s="200">
        <f t="shared" si="32"/>
        <v>3.6748741961295521</v>
      </c>
    </row>
    <row r="148" spans="2:30">
      <c r="B148">
        <v>507.03866011097199</v>
      </c>
      <c r="C148">
        <v>16.341200000000001</v>
      </c>
      <c r="D148">
        <v>252</v>
      </c>
      <c r="E148">
        <v>100</v>
      </c>
      <c r="F148">
        <v>100</v>
      </c>
      <c r="G148">
        <v>1</v>
      </c>
      <c r="H148">
        <v>2983</v>
      </c>
      <c r="I148">
        <f t="shared" si="22"/>
        <v>1.1634120000000001</v>
      </c>
      <c r="J148">
        <f t="shared" si="23"/>
        <v>3.968253968253968E-3</v>
      </c>
      <c r="K148" s="161">
        <f t="shared" si="24"/>
        <v>1.0006008036921719</v>
      </c>
      <c r="L148" s="198">
        <f t="shared" si="25"/>
        <v>6.0080369217185847E-4</v>
      </c>
      <c r="M148">
        <f t="shared" si="26"/>
        <v>1</v>
      </c>
      <c r="N148">
        <f t="shared" si="27"/>
        <v>5.9993987140432088</v>
      </c>
      <c r="O148" s="161">
        <f t="shared" si="28"/>
        <v>84.514912956878732</v>
      </c>
      <c r="Q148" s="143">
        <v>1.01214618</v>
      </c>
      <c r="R148" s="143">
        <v>1.01214618</v>
      </c>
      <c r="S148" s="143">
        <v>980.99651599999902</v>
      </c>
      <c r="T148" s="143">
        <v>492.88306</v>
      </c>
      <c r="U148" s="143">
        <v>2.24023984826324</v>
      </c>
      <c r="V148" s="143">
        <f t="shared" si="29"/>
        <v>11.915360262708861</v>
      </c>
      <c r="W148" s="143">
        <v>14.155600110972101</v>
      </c>
      <c r="X148" s="143">
        <v>507.03866011097199</v>
      </c>
      <c r="Y148" s="143"/>
      <c r="AA148" s="200">
        <v>1.0022562323019999</v>
      </c>
      <c r="AB148" s="200">
        <f t="shared" si="30"/>
        <v>2.2562323019998942E-3</v>
      </c>
      <c r="AC148">
        <f t="shared" si="31"/>
        <v>2.2133560275485538</v>
      </c>
      <c r="AD148" s="200">
        <f t="shared" si="32"/>
        <v>2.2402398482632435</v>
      </c>
    </row>
    <row r="149" spans="2:30">
      <c r="B149">
        <v>494.85803142792503</v>
      </c>
      <c r="C149">
        <v>16.341899999999999</v>
      </c>
      <c r="D149">
        <v>252</v>
      </c>
      <c r="E149">
        <v>100</v>
      </c>
      <c r="F149">
        <v>100</v>
      </c>
      <c r="G149">
        <v>1</v>
      </c>
      <c r="H149">
        <v>3003</v>
      </c>
      <c r="I149">
        <f t="shared" si="22"/>
        <v>1.163419</v>
      </c>
      <c r="J149">
        <f t="shared" si="23"/>
        <v>3.968253968253968E-3</v>
      </c>
      <c r="K149" s="161">
        <f t="shared" si="24"/>
        <v>1.0006008275825766</v>
      </c>
      <c r="L149" s="198">
        <f t="shared" si="25"/>
        <v>6.0082758257662405E-4</v>
      </c>
      <c r="M149">
        <f t="shared" si="26"/>
        <v>1</v>
      </c>
      <c r="N149">
        <f t="shared" si="27"/>
        <v>6.0723362477165725</v>
      </c>
      <c r="O149" s="161">
        <f t="shared" si="28"/>
        <v>81.493845406536948</v>
      </c>
      <c r="Q149" s="143">
        <v>1.01153538</v>
      </c>
      <c r="R149" s="143">
        <v>1.01153538</v>
      </c>
      <c r="S149" s="143">
        <v>488.11345599999902</v>
      </c>
      <c r="T149" s="143">
        <v>488.11345599999999</v>
      </c>
      <c r="U149" s="143">
        <v>1.1140012298524999</v>
      </c>
      <c r="V149" s="143">
        <f t="shared" si="29"/>
        <v>5.6305741980732602</v>
      </c>
      <c r="W149" s="143">
        <v>6.7445754279257599</v>
      </c>
      <c r="X149" s="143">
        <v>494.85803142792599</v>
      </c>
      <c r="Y149" s="143"/>
      <c r="AA149" s="200">
        <v>1.0022562323019999</v>
      </c>
      <c r="AB149" s="200">
        <f t="shared" si="30"/>
        <v>2.2562323019998942E-3</v>
      </c>
      <c r="AC149">
        <f t="shared" si="31"/>
        <v>1.1012973464680018</v>
      </c>
      <c r="AD149" s="200">
        <f t="shared" si="32"/>
        <v>1.1140012298525019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936"/>
  <sheetViews>
    <sheetView workbookViewId="0">
      <selection activeCell="P20" sqref="P20"/>
    </sheetView>
  </sheetViews>
  <sheetFormatPr defaultRowHeight="15"/>
  <cols>
    <col min="2" max="3" width="10.7109375" bestFit="1" customWidth="1"/>
    <col min="5" max="5" width="9.140625" style="202"/>
    <col min="12" max="12" width="12" bestFit="1" customWidth="1"/>
    <col min="13" max="13" width="17.28515625" customWidth="1"/>
    <col min="14" max="15" width="18.7109375" customWidth="1"/>
    <col min="16" max="16" width="15.28515625" customWidth="1"/>
    <col min="17" max="17" width="12" bestFit="1" customWidth="1"/>
  </cols>
  <sheetData>
    <row r="1" spans="2:17">
      <c r="M1" s="215"/>
    </row>
    <row r="2" spans="2:17">
      <c r="B2" s="212">
        <v>42354</v>
      </c>
      <c r="C2" s="213"/>
      <c r="M2" s="215"/>
    </row>
    <row r="3" spans="2:17">
      <c r="B3" s="212">
        <v>42384</v>
      </c>
      <c r="C3" s="203">
        <f>NETWORKDAYS(B2,B3,TAB_FERIADOS[FER_DATA])-1</f>
        <v>20</v>
      </c>
      <c r="E3" s="202">
        <f>'Cálculo PU'!M25</f>
        <v>20</v>
      </c>
      <c r="F3" s="210">
        <f>C3-E3</f>
        <v>0</v>
      </c>
      <c r="H3">
        <v>20</v>
      </c>
      <c r="I3" s="210">
        <f>C3-H3</f>
        <v>0</v>
      </c>
      <c r="L3" s="216">
        <v>1.0019616526860928</v>
      </c>
      <c r="M3" s="208">
        <f>'Cálculo PU'!N25</f>
        <v>1.0019616526860928</v>
      </c>
      <c r="N3" s="211">
        <f>L3-M3</f>
        <v>0</v>
      </c>
      <c r="O3" s="219">
        <v>1.0105517260627392</v>
      </c>
      <c r="P3" s="218"/>
      <c r="Q3" s="211"/>
    </row>
    <row r="4" spans="2:17">
      <c r="B4" s="212">
        <v>42416</v>
      </c>
      <c r="C4" s="203">
        <f>NETWORKDAYS(B3,B4,TAB_FERIADOS[FER_DATA])-1</f>
        <v>20</v>
      </c>
      <c r="E4" s="202">
        <f>'Cálculo PU'!M26</f>
        <v>20</v>
      </c>
      <c r="F4" s="210">
        <f t="shared" ref="F4:F67" si="0">C4-E4</f>
        <v>0</v>
      </c>
      <c r="H4">
        <v>20</v>
      </c>
      <c r="I4" s="210">
        <f t="shared" ref="I4:I67" si="1">C4-H4</f>
        <v>0</v>
      </c>
      <c r="L4" s="216">
        <v>1.0019616526860928</v>
      </c>
      <c r="M4" s="208">
        <f>'Cálculo PU'!N26</f>
        <v>1.0019616526860928</v>
      </c>
      <c r="N4" s="211">
        <f t="shared" ref="N4:N67" si="2">L4-M4</f>
        <v>0</v>
      </c>
      <c r="O4" s="219">
        <v>1.0105474839805835</v>
      </c>
      <c r="P4" s="218"/>
      <c r="Q4" s="211"/>
    </row>
    <row r="5" spans="2:17">
      <c r="B5" s="212">
        <v>42443</v>
      </c>
      <c r="C5" s="203">
        <f>NETWORKDAYS(B4,B5,TAB_FERIADOS[FER_DATA])-1</f>
        <v>19</v>
      </c>
      <c r="E5" s="202">
        <f>'Cálculo PU'!M27</f>
        <v>19</v>
      </c>
      <c r="F5" s="210">
        <f t="shared" si="0"/>
        <v>0</v>
      </c>
      <c r="H5">
        <v>19</v>
      </c>
      <c r="I5" s="210">
        <f t="shared" si="1"/>
        <v>0</v>
      </c>
      <c r="L5" s="216">
        <v>1.0018634787225431</v>
      </c>
      <c r="M5" s="208">
        <f>'Cálculo PU'!N27</f>
        <v>1.0018634787225431</v>
      </c>
      <c r="N5" s="211">
        <f t="shared" si="2"/>
        <v>0</v>
      </c>
      <c r="O5" s="219">
        <v>1.0100147920756306</v>
      </c>
      <c r="P5" s="218"/>
      <c r="Q5" s="211"/>
    </row>
    <row r="6" spans="2:17">
      <c r="B6" s="212">
        <v>42474</v>
      </c>
      <c r="C6" s="203">
        <f>NETWORKDAYS(B5,B6,TAB_FERIADOS[FER_DATA])-1</f>
        <v>22</v>
      </c>
      <c r="E6" s="202">
        <f>'Cálculo PU'!M28</f>
        <v>22</v>
      </c>
      <c r="F6" s="210">
        <f t="shared" si="0"/>
        <v>0</v>
      </c>
      <c r="H6">
        <v>22</v>
      </c>
      <c r="I6" s="210">
        <f t="shared" si="1"/>
        <v>0</v>
      </c>
      <c r="L6" s="216">
        <v>1.0021580294747356</v>
      </c>
      <c r="M6" s="208">
        <f>'Cálculo PU'!N28</f>
        <v>1.0021580294747356</v>
      </c>
      <c r="N6" s="211">
        <f t="shared" si="2"/>
        <v>0</v>
      </c>
      <c r="O6" s="219">
        <v>1.0116052177173089</v>
      </c>
      <c r="P6" s="218"/>
      <c r="Q6" s="211"/>
    </row>
    <row r="7" spans="2:17">
      <c r="B7" s="212">
        <v>42503</v>
      </c>
      <c r="C7" s="203">
        <f>NETWORKDAYS(B6,B7,TAB_FERIADOS[FER_DATA])-1</f>
        <v>20</v>
      </c>
      <c r="E7" s="202">
        <f>'Cálculo PU'!M29</f>
        <v>20</v>
      </c>
      <c r="F7" s="210">
        <f t="shared" si="0"/>
        <v>0</v>
      </c>
      <c r="H7">
        <v>20</v>
      </c>
      <c r="I7" s="210">
        <f t="shared" si="1"/>
        <v>0</v>
      </c>
      <c r="L7" s="216">
        <v>1.0019616526860928</v>
      </c>
      <c r="M7" s="208">
        <f>'Cálculo PU'!N29</f>
        <v>1.0019616526860928</v>
      </c>
      <c r="N7" s="211">
        <f t="shared" si="2"/>
        <v>0</v>
      </c>
      <c r="O7" s="219">
        <v>1.0105446559357014</v>
      </c>
      <c r="P7" s="218"/>
      <c r="Q7" s="211"/>
    </row>
    <row r="8" spans="2:17">
      <c r="B8" s="212">
        <v>42535</v>
      </c>
      <c r="C8" s="203">
        <f>NETWORKDAYS(B7,B8,TAB_FERIADOS[FER_DATA])-1</f>
        <v>21</v>
      </c>
      <c r="E8" s="202">
        <f>'Cálculo PU'!M30</f>
        <v>21</v>
      </c>
      <c r="F8" s="210">
        <f t="shared" si="0"/>
        <v>0</v>
      </c>
      <c r="H8">
        <v>21</v>
      </c>
      <c r="I8" s="210">
        <f t="shared" si="1"/>
        <v>0</v>
      </c>
      <c r="L8" s="216">
        <v>1.0020598362698427</v>
      </c>
      <c r="M8" s="208">
        <f>'Cálculo PU'!N30</f>
        <v>1.0020598362698427</v>
      </c>
      <c r="N8" s="211">
        <f t="shared" si="2"/>
        <v>0</v>
      </c>
      <c r="O8" s="219">
        <v>1.011074797767652</v>
      </c>
      <c r="P8" s="218"/>
      <c r="Q8" s="211"/>
    </row>
    <row r="9" spans="2:17">
      <c r="B9" s="212">
        <v>42565</v>
      </c>
      <c r="C9" s="203">
        <f>NETWORKDAYS(B8,B9,TAB_FERIADOS[FER_DATA])-1</f>
        <v>22</v>
      </c>
      <c r="E9" s="202">
        <f>'Cálculo PU'!M31</f>
        <v>22</v>
      </c>
      <c r="F9" s="210">
        <f t="shared" si="0"/>
        <v>0</v>
      </c>
      <c r="H9">
        <v>22</v>
      </c>
      <c r="I9" s="210">
        <f t="shared" si="1"/>
        <v>0</v>
      </c>
      <c r="L9" s="216">
        <v>1.0021580294747356</v>
      </c>
      <c r="M9" s="208">
        <f>'Cálculo PU'!N31</f>
        <v>1.0021580294747356</v>
      </c>
      <c r="N9" s="211">
        <f t="shared" si="2"/>
        <v>0</v>
      </c>
      <c r="O9" s="219">
        <v>1.0116052177173041</v>
      </c>
      <c r="P9" s="218"/>
      <c r="Q9" s="211"/>
    </row>
    <row r="10" spans="2:17">
      <c r="B10" s="212">
        <v>42594</v>
      </c>
      <c r="C10" s="203">
        <f>NETWORKDAYS(B9,B10,TAB_FERIADOS[FER_DATA])-1</f>
        <v>21</v>
      </c>
      <c r="E10" s="202">
        <f>'Cálculo PU'!M32</f>
        <v>21</v>
      </c>
      <c r="F10" s="210">
        <f t="shared" si="0"/>
        <v>0</v>
      </c>
      <c r="H10">
        <v>21</v>
      </c>
      <c r="I10" s="210">
        <f t="shared" si="1"/>
        <v>0</v>
      </c>
      <c r="L10" s="216">
        <v>1.0020598362698427</v>
      </c>
      <c r="M10" s="208">
        <f>'Cálculo PU'!N32</f>
        <v>1.0020598362698427</v>
      </c>
      <c r="N10" s="211">
        <f t="shared" si="2"/>
        <v>0</v>
      </c>
      <c r="O10" s="219">
        <v>1.011074797767652</v>
      </c>
      <c r="P10" s="218"/>
      <c r="Q10" s="211"/>
    </row>
    <row r="11" spans="2:17">
      <c r="B11" s="212">
        <v>42628</v>
      </c>
      <c r="C11" s="203">
        <f>NETWORKDAYS(B10,B11,TAB_FERIADOS[FER_DATA])-1</f>
        <v>23</v>
      </c>
      <c r="E11" s="202">
        <f>'Cálculo PU'!M33</f>
        <v>23</v>
      </c>
      <c r="F11" s="210">
        <f t="shared" si="0"/>
        <v>0</v>
      </c>
      <c r="H11">
        <v>23</v>
      </c>
      <c r="I11" s="210">
        <f t="shared" si="1"/>
        <v>0</v>
      </c>
      <c r="L11" s="216">
        <v>1.0022562323017139</v>
      </c>
      <c r="M11" s="208">
        <f>'Cálculo PU'!N33</f>
        <v>1.0022562323017139</v>
      </c>
      <c r="N11" s="211">
        <f t="shared" si="2"/>
        <v>0</v>
      </c>
      <c r="O11" s="219">
        <v>1.0121359159305705</v>
      </c>
      <c r="P11" s="218"/>
      <c r="Q11" s="211"/>
    </row>
    <row r="12" spans="2:17">
      <c r="B12" s="212">
        <v>42660</v>
      </c>
      <c r="C12" s="203">
        <f>NETWORKDAYS(B11,B12,TAB_FERIADOS[FER_DATA])-1</f>
        <v>21</v>
      </c>
      <c r="E12" s="202">
        <f>'Cálculo PU'!M34</f>
        <v>21</v>
      </c>
      <c r="F12" s="210">
        <f t="shared" si="0"/>
        <v>0</v>
      </c>
      <c r="H12">
        <v>21</v>
      </c>
      <c r="I12" s="210">
        <f t="shared" si="1"/>
        <v>0</v>
      </c>
      <c r="L12" s="216">
        <v>1.0020598362698427</v>
      </c>
      <c r="M12" s="208">
        <f>'Cálculo PU'!N34</f>
        <v>1.0020598362698427</v>
      </c>
      <c r="N12" s="211">
        <f t="shared" si="2"/>
        <v>0</v>
      </c>
      <c r="O12" s="219">
        <v>1.011074797767652</v>
      </c>
      <c r="P12" s="218"/>
      <c r="Q12" s="211"/>
    </row>
    <row r="13" spans="2:17">
      <c r="B13" s="212">
        <v>42690</v>
      </c>
      <c r="C13" s="203">
        <f>NETWORKDAYS(B12,B13,TAB_FERIADOS[FER_DATA])-1</f>
        <v>20</v>
      </c>
      <c r="E13" s="202">
        <f>'Cálculo PU'!M35</f>
        <v>20</v>
      </c>
      <c r="F13" s="210">
        <f t="shared" si="0"/>
        <v>0</v>
      </c>
      <c r="H13">
        <v>20</v>
      </c>
      <c r="I13" s="210">
        <f t="shared" si="1"/>
        <v>0</v>
      </c>
      <c r="L13" s="216">
        <v>1.0019616526860928</v>
      </c>
      <c r="M13" s="208">
        <f>'Cálculo PU'!N35</f>
        <v>1.0019616526860928</v>
      </c>
      <c r="N13" s="211">
        <f t="shared" si="2"/>
        <v>0</v>
      </c>
      <c r="O13" s="219">
        <v>1.0104304292223441</v>
      </c>
      <c r="P13" s="218"/>
      <c r="Q13" s="211"/>
    </row>
    <row r="14" spans="2:17">
      <c r="B14" s="212">
        <v>42718</v>
      </c>
      <c r="C14" s="203">
        <f>NETWORKDAYS(B13,B14,TAB_FERIADOS[FER_DATA])-1</f>
        <v>20</v>
      </c>
      <c r="E14" s="202">
        <f>'Cálculo PU'!M36</f>
        <v>20</v>
      </c>
      <c r="F14" s="210">
        <f t="shared" si="0"/>
        <v>0</v>
      </c>
      <c r="H14">
        <v>20</v>
      </c>
      <c r="I14" s="210">
        <f t="shared" si="1"/>
        <v>0</v>
      </c>
      <c r="L14" s="216">
        <v>1.0019616526860928</v>
      </c>
      <c r="M14" s="208">
        <f>'Cálculo PU'!N36</f>
        <v>1.0019616526860928</v>
      </c>
      <c r="N14" s="211">
        <f t="shared" si="2"/>
        <v>0</v>
      </c>
      <c r="O14" s="219">
        <v>1.0103248487853991</v>
      </c>
      <c r="P14" s="218"/>
      <c r="Q14" s="211"/>
    </row>
    <row r="15" spans="2:17">
      <c r="B15" s="212">
        <v>42748</v>
      </c>
      <c r="C15" s="203">
        <f>NETWORKDAYS(B14,B15,TAB_FERIADOS[FER_DATA])-1</f>
        <v>22</v>
      </c>
      <c r="E15" s="202">
        <f>'Cálculo PU'!M37</f>
        <v>22</v>
      </c>
      <c r="F15" s="210">
        <f t="shared" si="0"/>
        <v>0</v>
      </c>
      <c r="H15">
        <v>22</v>
      </c>
      <c r="I15" s="210">
        <f t="shared" si="1"/>
        <v>0</v>
      </c>
      <c r="L15" s="216">
        <v>1.0021580294747356</v>
      </c>
      <c r="M15" s="208">
        <f>'Cálculo PU'!N37</f>
        <v>1.0021580294747356</v>
      </c>
      <c r="N15" s="211">
        <f t="shared" si="2"/>
        <v>0</v>
      </c>
      <c r="O15" s="219">
        <v>1.011217581886066</v>
      </c>
      <c r="P15" s="218"/>
      <c r="Q15" s="211"/>
    </row>
    <row r="16" spans="2:17">
      <c r="B16" s="212">
        <v>42780</v>
      </c>
      <c r="C16" s="203">
        <f>NETWORKDAYS(B15,B16,TAB_FERIADOS[FER_DATA])-1</f>
        <v>22</v>
      </c>
      <c r="E16" s="202">
        <f>'Cálculo PU'!M38</f>
        <v>22</v>
      </c>
      <c r="F16" s="210">
        <f t="shared" si="0"/>
        <v>0</v>
      </c>
      <c r="H16">
        <v>22</v>
      </c>
      <c r="I16" s="210">
        <f t="shared" si="1"/>
        <v>0</v>
      </c>
      <c r="L16" s="216">
        <v>1.0021580294747356</v>
      </c>
      <c r="M16" s="208">
        <f>'Cálculo PU'!N38</f>
        <v>1.0021580294747356</v>
      </c>
      <c r="N16" s="211">
        <f t="shared" si="2"/>
        <v>0</v>
      </c>
      <c r="O16" s="219">
        <v>1.0107128440211754</v>
      </c>
      <c r="P16" s="218"/>
      <c r="Q16" s="211"/>
    </row>
    <row r="17" spans="2:17">
      <c r="B17" s="212">
        <v>42808</v>
      </c>
      <c r="C17" s="203">
        <f>NETWORKDAYS(B16,B17,TAB_FERIADOS[FER_DATA])-1</f>
        <v>18</v>
      </c>
      <c r="E17" s="202">
        <f>'Cálculo PU'!M39</f>
        <v>18</v>
      </c>
      <c r="F17" s="210">
        <f t="shared" si="0"/>
        <v>0</v>
      </c>
      <c r="H17">
        <v>18</v>
      </c>
      <c r="I17" s="210">
        <f t="shared" si="1"/>
        <v>0</v>
      </c>
      <c r="L17" s="216">
        <v>1.0017653143782506</v>
      </c>
      <c r="M17" s="208">
        <f>'Cálculo PU'!N39</f>
        <v>1.0017653143782506</v>
      </c>
      <c r="N17" s="211">
        <f t="shared" si="2"/>
        <v>0</v>
      </c>
      <c r="O17" s="219">
        <v>1.0085046971697087</v>
      </c>
      <c r="P17" s="218"/>
      <c r="Q17" s="211"/>
    </row>
    <row r="18" spans="2:17">
      <c r="B18" s="212">
        <v>42842</v>
      </c>
      <c r="C18" s="203">
        <f>NETWORKDAYS(B17,B18,TAB_FERIADOS[FER_DATA])-1</f>
        <v>23</v>
      </c>
      <c r="E18" s="202">
        <f>'Cálculo PU'!M40</f>
        <v>23</v>
      </c>
      <c r="F18" s="210">
        <f t="shared" si="0"/>
        <v>0</v>
      </c>
      <c r="H18">
        <v>23</v>
      </c>
      <c r="I18" s="210">
        <f t="shared" si="1"/>
        <v>0</v>
      </c>
      <c r="L18" s="216">
        <v>1.0022562323017139</v>
      </c>
      <c r="M18" s="208">
        <f>'Cálculo PU'!N40</f>
        <v>1.0022562323017139</v>
      </c>
      <c r="N18" s="211">
        <f t="shared" si="2"/>
        <v>0</v>
      </c>
      <c r="O18" s="219">
        <v>1.0105040704395889</v>
      </c>
      <c r="P18" s="218"/>
      <c r="Q18" s="211"/>
    </row>
    <row r="19" spans="2:17">
      <c r="B19" s="212">
        <v>42870</v>
      </c>
      <c r="C19" s="203">
        <f>NETWORKDAYS(B18,B19,TAB_FERIADOS[FER_DATA])-1</f>
        <v>18</v>
      </c>
      <c r="E19" s="202">
        <f>'Cálculo PU'!M41</f>
        <v>18</v>
      </c>
      <c r="F19" s="210">
        <f t="shared" si="0"/>
        <v>0</v>
      </c>
      <c r="H19">
        <v>18</v>
      </c>
      <c r="I19" s="210">
        <f t="shared" si="1"/>
        <v>0</v>
      </c>
      <c r="L19" s="216">
        <v>1.0017653143782506</v>
      </c>
      <c r="M19" s="208">
        <f>'Cálculo PU'!N41</f>
        <v>1.0017653143782506</v>
      </c>
      <c r="N19" s="211">
        <f t="shared" si="2"/>
        <v>0</v>
      </c>
      <c r="O19" s="219">
        <v>1.0076738289427867</v>
      </c>
      <c r="P19" s="218"/>
      <c r="Q19" s="211"/>
    </row>
    <row r="20" spans="2:17">
      <c r="B20" s="212">
        <v>42900</v>
      </c>
      <c r="C20" s="203">
        <f>NETWORKDAYS(B19,B20,TAB_FERIADOS[FER_DATA])-1</f>
        <v>22</v>
      </c>
      <c r="E20" s="202">
        <f>'Cálculo PU'!M42</f>
        <v>22</v>
      </c>
      <c r="F20" s="210">
        <f t="shared" si="0"/>
        <v>0</v>
      </c>
      <c r="H20">
        <v>22</v>
      </c>
      <c r="I20" s="210">
        <f t="shared" si="1"/>
        <v>0</v>
      </c>
      <c r="L20" s="216">
        <v>1.0021580294747356</v>
      </c>
      <c r="M20" s="208">
        <f>'Cálculo PU'!N42</f>
        <v>1.0021580294747356</v>
      </c>
      <c r="N20" s="211">
        <f t="shared" si="2"/>
        <v>0</v>
      </c>
      <c r="O20" s="219">
        <v>1.0090764048704521</v>
      </c>
      <c r="P20" s="218"/>
      <c r="Q20" s="211"/>
    </row>
    <row r="21" spans="2:17">
      <c r="B21" s="212">
        <v>42930</v>
      </c>
      <c r="C21" s="203">
        <f>NETWORKDAYS(B20,B21,TAB_FERIADOS[FER_DATA])-1</f>
        <v>21</v>
      </c>
      <c r="E21" s="202">
        <f>'Cálculo PU'!M43</f>
        <v>21</v>
      </c>
      <c r="F21" s="210">
        <f t="shared" si="0"/>
        <v>0</v>
      </c>
      <c r="H21">
        <v>21</v>
      </c>
      <c r="I21" s="210">
        <f t="shared" si="1"/>
        <v>0</v>
      </c>
      <c r="L21" s="216">
        <v>1.0020598362698427</v>
      </c>
      <c r="M21" s="208">
        <f>'Cálculo PU'!N43</f>
        <v>1.0020598362698427</v>
      </c>
      <c r="N21" s="211">
        <f t="shared" si="2"/>
        <v>0</v>
      </c>
      <c r="O21" s="219">
        <v>1.0080810744571695</v>
      </c>
      <c r="P21" s="218"/>
      <c r="Q21" s="211"/>
    </row>
    <row r="22" spans="2:17">
      <c r="B22" s="212">
        <v>42961</v>
      </c>
      <c r="C22" s="203">
        <f>NETWORKDAYS(B21,B22,TAB_FERIADOS[FER_DATA])-1</f>
        <v>21</v>
      </c>
      <c r="E22" s="202">
        <f>'Cálculo PU'!M44</f>
        <v>21</v>
      </c>
      <c r="F22" s="210">
        <f t="shared" si="0"/>
        <v>0</v>
      </c>
      <c r="H22">
        <v>21</v>
      </c>
      <c r="I22" s="210">
        <f t="shared" si="1"/>
        <v>0</v>
      </c>
      <c r="L22" s="216">
        <v>1.0020598362698427</v>
      </c>
      <c r="M22" s="208">
        <f>'Cálculo PU'!N44</f>
        <v>1.0020598362698427</v>
      </c>
      <c r="N22" s="211">
        <f t="shared" si="2"/>
        <v>0</v>
      </c>
      <c r="O22" s="219">
        <v>1.0077892024101622</v>
      </c>
      <c r="P22" s="218"/>
      <c r="Q22" s="211"/>
    </row>
    <row r="23" spans="2:17">
      <c r="B23" s="212">
        <v>42993</v>
      </c>
      <c r="C23" s="203">
        <f>NETWORKDAYS(B22,B23,TAB_FERIADOS[FER_DATA])-1</f>
        <v>23</v>
      </c>
      <c r="E23" s="202">
        <f>'Cálculo PU'!M45</f>
        <v>23</v>
      </c>
      <c r="F23" s="210">
        <f t="shared" si="0"/>
        <v>0</v>
      </c>
      <c r="H23">
        <v>23</v>
      </c>
      <c r="I23" s="210">
        <f t="shared" si="1"/>
        <v>0</v>
      </c>
      <c r="L23" s="216">
        <v>1.0022562323017139</v>
      </c>
      <c r="M23" s="208">
        <f>'Cálculo PU'!N45</f>
        <v>1.0022562323017139</v>
      </c>
      <c r="N23" s="211">
        <f t="shared" si="2"/>
        <v>0</v>
      </c>
      <c r="O23" s="219">
        <v>1.0079777304443343</v>
      </c>
      <c r="P23" s="218"/>
      <c r="Q23" s="211"/>
    </row>
    <row r="24" spans="2:17">
      <c r="B24" s="212">
        <v>43024</v>
      </c>
      <c r="C24" s="203">
        <f>NETWORKDAYS(B23,B24,TAB_FERIADOS[FER_DATA])-1</f>
        <v>20</v>
      </c>
      <c r="E24" s="202">
        <f>'Cálculo PU'!M46</f>
        <v>20</v>
      </c>
      <c r="F24" s="210">
        <f t="shared" si="0"/>
        <v>0</v>
      </c>
      <c r="H24">
        <v>20</v>
      </c>
      <c r="I24" s="210">
        <f t="shared" si="1"/>
        <v>0</v>
      </c>
      <c r="L24" s="216">
        <v>1.0019616526860928</v>
      </c>
      <c r="M24" s="208">
        <f>'Cálculo PU'!N46</f>
        <v>1.0019616526860928</v>
      </c>
      <c r="N24" s="211">
        <f t="shared" si="2"/>
        <v>0</v>
      </c>
      <c r="O24" s="219">
        <v>1.00623016276929</v>
      </c>
      <c r="P24" s="218"/>
      <c r="Q24" s="211"/>
    </row>
    <row r="25" spans="2:17">
      <c r="B25" s="212">
        <v>43055</v>
      </c>
      <c r="C25" s="203">
        <f>NETWORKDAYS(B24,B25,TAB_FERIADOS[FER_DATA])-1</f>
        <v>21</v>
      </c>
      <c r="E25" s="202">
        <f>'Cálculo PU'!M47</f>
        <v>21</v>
      </c>
      <c r="F25" s="210">
        <f t="shared" si="0"/>
        <v>0</v>
      </c>
      <c r="H25">
        <v>21</v>
      </c>
      <c r="I25" s="210">
        <f t="shared" si="1"/>
        <v>0</v>
      </c>
      <c r="L25" s="216">
        <v>1.0020598362698427</v>
      </c>
      <c r="M25" s="208">
        <f>'Cálculo PU'!N47</f>
        <v>1.0020598362698427</v>
      </c>
      <c r="N25" s="211">
        <f t="shared" si="2"/>
        <v>0</v>
      </c>
      <c r="O25" s="219">
        <v>1.0062924961848323</v>
      </c>
      <c r="P25" s="218"/>
      <c r="Q25" s="211"/>
    </row>
    <row r="26" spans="2:17">
      <c r="B26" s="212">
        <v>43083</v>
      </c>
      <c r="C26" s="203">
        <f>NETWORKDAYS(B25,B26,TAB_FERIADOS[FER_DATA])-1</f>
        <v>20</v>
      </c>
      <c r="E26" s="202">
        <f>'Cálculo PU'!M48</f>
        <v>20</v>
      </c>
      <c r="F26" s="210">
        <f t="shared" si="0"/>
        <v>0</v>
      </c>
      <c r="H26">
        <v>20</v>
      </c>
      <c r="I26" s="210">
        <f t="shared" si="1"/>
        <v>0</v>
      </c>
      <c r="L26" s="216">
        <v>1.0019616526860928</v>
      </c>
      <c r="M26" s="208">
        <f>'Cálculo PU'!N48</f>
        <v>1.0019616526860928</v>
      </c>
      <c r="N26" s="211">
        <f t="shared" si="2"/>
        <v>0</v>
      </c>
      <c r="O26" s="219">
        <v>1.0056558186452176</v>
      </c>
      <c r="P26" s="218"/>
      <c r="Q26" s="211"/>
    </row>
    <row r="27" spans="2:17">
      <c r="B27" s="212">
        <v>43115</v>
      </c>
      <c r="C27" s="203">
        <f>NETWORKDAYS(B26,B27,TAB_FERIADOS[FER_DATA])-1</f>
        <v>20</v>
      </c>
      <c r="E27" s="202">
        <f>'Cálculo PU'!M49</f>
        <v>20</v>
      </c>
      <c r="F27" s="210">
        <f t="shared" si="0"/>
        <v>0</v>
      </c>
      <c r="H27">
        <v>20</v>
      </c>
      <c r="I27" s="210">
        <f t="shared" si="1"/>
        <v>0</v>
      </c>
      <c r="L27" s="216">
        <v>1.0019616526860928</v>
      </c>
      <c r="M27" s="208">
        <f>'Cálculo PU'!N49</f>
        <v>1.0019616526860928</v>
      </c>
      <c r="N27" s="211">
        <f t="shared" si="2"/>
        <v>0</v>
      </c>
      <c r="O27" s="219">
        <v>1.0053021075220538</v>
      </c>
      <c r="P27" s="218"/>
      <c r="Q27" s="211"/>
    </row>
    <row r="28" spans="2:17">
      <c r="B28" s="212">
        <v>43147</v>
      </c>
      <c r="C28" s="203">
        <f>NETWORKDAYS(B27,B28,TAB_FERIADOS[FER_DATA])-1</f>
        <v>22</v>
      </c>
      <c r="E28" s="202">
        <f>'Cálculo PU'!M50</f>
        <v>22</v>
      </c>
      <c r="F28" s="210">
        <f t="shared" si="0"/>
        <v>0</v>
      </c>
      <c r="H28">
        <v>22</v>
      </c>
      <c r="I28" s="210">
        <f t="shared" si="1"/>
        <v>0</v>
      </c>
      <c r="L28" s="216">
        <v>1.0021580294747356</v>
      </c>
      <c r="M28" s="208">
        <f>'Cálculo PU'!N50</f>
        <v>1.0021580294747356</v>
      </c>
      <c r="N28" s="211">
        <f t="shared" si="2"/>
        <v>0</v>
      </c>
      <c r="O28" s="219">
        <v>1.0058338619999521</v>
      </c>
      <c r="P28" s="218"/>
      <c r="Q28" s="211"/>
    </row>
    <row r="29" spans="2:17">
      <c r="B29" s="212">
        <v>43173</v>
      </c>
      <c r="C29" s="203">
        <f>NETWORKDAYS(B28,B29,TAB_FERIADOS[FER_DATA])-1</f>
        <v>18</v>
      </c>
      <c r="E29" s="202">
        <f>'Cálculo PU'!M51</f>
        <v>18</v>
      </c>
      <c r="F29" s="210">
        <f t="shared" si="0"/>
        <v>0</v>
      </c>
      <c r="H29">
        <v>18</v>
      </c>
      <c r="I29" s="210">
        <f t="shared" si="1"/>
        <v>0</v>
      </c>
      <c r="L29" s="216">
        <v>1.0017653143782506</v>
      </c>
      <c r="M29" s="208">
        <f>'Cálculo PU'!N51</f>
        <v>1.0017653143782506</v>
      </c>
      <c r="N29" s="211">
        <f t="shared" si="2"/>
        <v>0</v>
      </c>
      <c r="O29" s="219">
        <v>1.0046026741002116</v>
      </c>
      <c r="P29" s="218"/>
      <c r="Q29" s="211"/>
    </row>
    <row r="30" spans="2:17">
      <c r="B30" s="212">
        <v>43203</v>
      </c>
      <c r="C30" s="203">
        <f>NETWORKDAYS(B29,B30,TAB_FERIADOS[FER_DATA])-1</f>
        <v>21</v>
      </c>
      <c r="E30" s="202">
        <f>'Cálculo PU'!M52</f>
        <v>21</v>
      </c>
      <c r="F30" s="210">
        <f t="shared" si="0"/>
        <v>0</v>
      </c>
      <c r="H30">
        <v>21</v>
      </c>
      <c r="I30" s="210">
        <f t="shared" si="1"/>
        <v>0</v>
      </c>
      <c r="L30" s="216">
        <v>1.0020598362698427</v>
      </c>
      <c r="M30" s="208">
        <f>'Cálculo PU'!N52</f>
        <v>1.0020598362698427</v>
      </c>
      <c r="N30" s="211">
        <f t="shared" si="2"/>
        <v>0</v>
      </c>
      <c r="O30" s="219">
        <v>1.0052688038081952</v>
      </c>
      <c r="P30" s="218"/>
      <c r="Q30" s="211"/>
    </row>
    <row r="31" spans="2:17">
      <c r="B31" s="212">
        <v>43235</v>
      </c>
      <c r="C31" s="203">
        <f>NETWORKDAYS(B30,B31,TAB_FERIADOS[FER_DATA])-1</f>
        <v>21</v>
      </c>
      <c r="E31" s="202">
        <f>'Cálculo PU'!M53</f>
        <v>21</v>
      </c>
      <c r="F31" s="210">
        <f t="shared" si="0"/>
        <v>0</v>
      </c>
      <c r="H31">
        <v>21</v>
      </c>
      <c r="I31" s="210">
        <f t="shared" si="1"/>
        <v>0</v>
      </c>
      <c r="L31" s="216">
        <v>1.0020598362698427</v>
      </c>
      <c r="M31" s="208">
        <f>'Cálculo PU'!N53</f>
        <v>1.0020598362698427</v>
      </c>
      <c r="N31" s="211">
        <f t="shared" si="2"/>
        <v>0</v>
      </c>
      <c r="O31" s="219">
        <v>1.0051751405821618</v>
      </c>
      <c r="P31" s="218"/>
      <c r="Q31" s="211"/>
    </row>
    <row r="32" spans="2:17">
      <c r="B32" s="212">
        <v>43265</v>
      </c>
      <c r="C32" s="203">
        <f>NETWORKDAYS(B31,B32,TAB_FERIADOS[FER_DATA])-1</f>
        <v>21</v>
      </c>
      <c r="E32" s="202">
        <f>'Cálculo PU'!M54</f>
        <v>21</v>
      </c>
      <c r="F32" s="210">
        <f t="shared" si="0"/>
        <v>0</v>
      </c>
      <c r="H32">
        <v>21</v>
      </c>
      <c r="I32" s="210">
        <f t="shared" si="1"/>
        <v>0</v>
      </c>
      <c r="L32" s="216">
        <v>1.0020598362698427</v>
      </c>
      <c r="M32" s="208">
        <f>'Cálculo PU'!N54</f>
        <v>1.0020598362698427</v>
      </c>
      <c r="N32" s="211">
        <f t="shared" si="2"/>
        <v>0</v>
      </c>
      <c r="O32" s="219">
        <v>1.0051751405821479</v>
      </c>
      <c r="P32" s="218"/>
      <c r="Q32" s="211"/>
    </row>
    <row r="33" spans="2:17">
      <c r="B33" s="212">
        <v>43294</v>
      </c>
      <c r="C33" s="203">
        <f>NETWORKDAYS(B32,B33,TAB_FERIADOS[FER_DATA])-1</f>
        <v>21</v>
      </c>
      <c r="E33" s="202">
        <f>'Cálculo PU'!M55</f>
        <v>21</v>
      </c>
      <c r="F33" s="210">
        <f t="shared" si="0"/>
        <v>0</v>
      </c>
      <c r="H33">
        <v>21</v>
      </c>
      <c r="I33" s="210">
        <f t="shared" si="1"/>
        <v>0</v>
      </c>
      <c r="L33" s="216">
        <v>1.0020598362698427</v>
      </c>
      <c r="M33" s="208">
        <f>'Cálculo PU'!N55</f>
        <v>1.0020598362698427</v>
      </c>
      <c r="N33" s="211">
        <f t="shared" si="2"/>
        <v>0</v>
      </c>
      <c r="O33" s="219">
        <v>1.0051751405821525</v>
      </c>
      <c r="P33" s="218"/>
      <c r="Q33" s="211"/>
    </row>
    <row r="34" spans="2:17">
      <c r="B34" s="212">
        <v>43326</v>
      </c>
      <c r="C34" s="203">
        <f>NETWORKDAYS(B33,B34,TAB_FERIADOS[FER_DATA])-1</f>
        <v>22</v>
      </c>
      <c r="E34" s="202">
        <f>'Cálculo PU'!M56</f>
        <v>22</v>
      </c>
      <c r="F34" s="210">
        <f t="shared" si="0"/>
        <v>0</v>
      </c>
      <c r="H34">
        <v>22</v>
      </c>
      <c r="I34" s="210">
        <f t="shared" si="1"/>
        <v>0</v>
      </c>
      <c r="L34" s="216">
        <v>1.0021580294747356</v>
      </c>
      <c r="M34" s="208">
        <f>'Cálculo PU'!N56</f>
        <v>1.0021580294747356</v>
      </c>
      <c r="N34" s="211">
        <f t="shared" si="2"/>
        <v>0</v>
      </c>
      <c r="O34" s="219">
        <v>1.0054222427869719</v>
      </c>
      <c r="P34" s="218"/>
      <c r="Q34" s="211"/>
    </row>
    <row r="35" spans="2:17">
      <c r="B35" s="212">
        <v>43360</v>
      </c>
      <c r="C35" s="203">
        <f>NETWORKDAYS(B34,B35,TAB_FERIADOS[FER_DATA])-1</f>
        <v>23</v>
      </c>
      <c r="E35" s="202">
        <f>'Cálculo PU'!M57</f>
        <v>23</v>
      </c>
      <c r="F35" s="210">
        <f t="shared" si="0"/>
        <v>0</v>
      </c>
      <c r="H35">
        <v>23</v>
      </c>
      <c r="I35" s="210">
        <f t="shared" si="1"/>
        <v>0</v>
      </c>
      <c r="L35" s="216">
        <v>1.0022562323017139</v>
      </c>
      <c r="M35" s="208">
        <f>'Cálculo PU'!N57</f>
        <v>1.0022562323017139</v>
      </c>
      <c r="N35" s="211">
        <f t="shared" si="2"/>
        <v>0</v>
      </c>
      <c r="O35" s="219">
        <v>1.0056694057368807</v>
      </c>
      <c r="P35" s="218"/>
      <c r="Q35" s="211"/>
    </row>
    <row r="36" spans="2:17">
      <c r="B36" s="212">
        <v>43388</v>
      </c>
      <c r="C36" s="203">
        <f>NETWORKDAYS(B35,B36,TAB_FERIADOS[FER_DATA])-1</f>
        <v>19</v>
      </c>
      <c r="E36" s="202">
        <f>'Cálculo PU'!M58</f>
        <v>19</v>
      </c>
      <c r="F36" s="210">
        <f t="shared" si="0"/>
        <v>0</v>
      </c>
      <c r="H36">
        <v>19</v>
      </c>
      <c r="I36" s="210">
        <f t="shared" si="1"/>
        <v>0</v>
      </c>
      <c r="L36" s="216">
        <v>1.0018634787225431</v>
      </c>
      <c r="M36" s="208">
        <f>'Cálculo PU'!N58</f>
        <v>1.0018634787225431</v>
      </c>
      <c r="N36" s="211">
        <f t="shared" si="2"/>
        <v>0</v>
      </c>
      <c r="O36" s="219">
        <v>1.0046829765528753</v>
      </c>
      <c r="P36" s="218"/>
      <c r="Q36" s="211"/>
    </row>
    <row r="37" spans="2:17">
      <c r="B37" s="214">
        <v>43420</v>
      </c>
      <c r="C37" s="203">
        <f>NETWORKDAYS(B36,B37,TAB_FERIADOS[FER_DATA])-1</f>
        <v>22</v>
      </c>
      <c r="E37" s="202">
        <f>'Cálculo PU'!M59</f>
        <v>22</v>
      </c>
      <c r="F37" s="210">
        <f t="shared" si="0"/>
        <v>0</v>
      </c>
      <c r="H37">
        <v>22</v>
      </c>
      <c r="I37" s="210">
        <f t="shared" si="1"/>
        <v>0</v>
      </c>
      <c r="L37" s="217">
        <v>1.0021580294747356</v>
      </c>
      <c r="M37" s="208">
        <f>'Cálculo PU'!N59</f>
        <v>1.0021580294747356</v>
      </c>
      <c r="N37" s="211">
        <f t="shared" si="2"/>
        <v>0</v>
      </c>
      <c r="O37" s="220">
        <v>1.005430424944415</v>
      </c>
      <c r="P37" s="218"/>
      <c r="Q37" s="211"/>
    </row>
    <row r="38" spans="2:17">
      <c r="B38" s="212">
        <v>43448</v>
      </c>
      <c r="C38" s="203">
        <f>NETWORKDAYS(B37,B38,TAB_FERIADOS[FER_DATA])-1</f>
        <v>20</v>
      </c>
      <c r="E38" s="202">
        <f>'Cálculo PU'!M60</f>
        <v>20</v>
      </c>
      <c r="F38" s="210">
        <f t="shared" si="0"/>
        <v>0</v>
      </c>
      <c r="H38">
        <v>20</v>
      </c>
      <c r="I38" s="210">
        <f t="shared" si="1"/>
        <v>0</v>
      </c>
      <c r="L38" s="216">
        <v>1.0019616526860928</v>
      </c>
      <c r="M38" s="208">
        <f>'Cálculo PU'!N60</f>
        <v>1.0019616526860928</v>
      </c>
      <c r="N38" s="211">
        <f t="shared" si="2"/>
        <v>0</v>
      </c>
      <c r="O38" s="219">
        <v>1.0012316086960193</v>
      </c>
      <c r="P38" s="218"/>
      <c r="Q38" s="211"/>
    </row>
    <row r="39" spans="2:17">
      <c r="B39" s="212">
        <v>43480</v>
      </c>
      <c r="C39" s="203">
        <f>NETWORKDAYS(B38,B39,TAB_FERIADOS[FER_DATA])-1</f>
        <v>20</v>
      </c>
      <c r="E39" s="202">
        <f>'Cálculo PU'!M61</f>
        <v>20</v>
      </c>
      <c r="F39" s="210">
        <f t="shared" si="0"/>
        <v>0</v>
      </c>
      <c r="H39">
        <v>20</v>
      </c>
      <c r="I39" s="210">
        <f t="shared" si="1"/>
        <v>0</v>
      </c>
      <c r="L39" s="216">
        <v>1.0019616526860928</v>
      </c>
      <c r="M39" s="208">
        <f>'Cálculo PU'!N61</f>
        <v>1.0019616526860928</v>
      </c>
      <c r="N39" s="211">
        <f t="shared" si="2"/>
        <v>0</v>
      </c>
      <c r="O39" s="219">
        <v>1.004945675524934</v>
      </c>
      <c r="P39" s="218"/>
      <c r="Q39" s="211"/>
    </row>
    <row r="40" spans="2:17">
      <c r="B40" s="212">
        <v>43510</v>
      </c>
      <c r="C40" s="203">
        <f>NETWORKDAYS(B39,B40,TAB_FERIADOS[FER_DATA])-1</f>
        <v>22</v>
      </c>
      <c r="E40" s="202">
        <f>'Cálculo PU'!M62</f>
        <v>22</v>
      </c>
      <c r="F40" s="210">
        <f t="shared" si="0"/>
        <v>0</v>
      </c>
      <c r="H40">
        <v>22</v>
      </c>
      <c r="I40" s="210">
        <f t="shared" si="1"/>
        <v>0</v>
      </c>
      <c r="L40" s="216">
        <v>1.0021580294747356</v>
      </c>
      <c r="M40" s="208">
        <f>'Cálculo PU'!N62</f>
        <v>1.0021580294747356</v>
      </c>
      <c r="N40" s="211">
        <f t="shared" si="2"/>
        <v>0</v>
      </c>
      <c r="O40" s="219">
        <v>1.0054564687631837</v>
      </c>
      <c r="P40" s="218"/>
      <c r="Q40" s="211"/>
    </row>
    <row r="41" spans="2:17">
      <c r="B41" s="212">
        <v>43542</v>
      </c>
      <c r="C41" s="203">
        <f>NETWORKDAYS(B40,B41,TAB_FERIADOS[FER_DATA])-1</f>
        <v>20</v>
      </c>
      <c r="E41" s="202">
        <f>'Cálculo PU'!M63</f>
        <v>20</v>
      </c>
      <c r="F41" s="210">
        <f t="shared" si="0"/>
        <v>0</v>
      </c>
      <c r="H41">
        <v>20</v>
      </c>
      <c r="I41" s="210">
        <f t="shared" si="1"/>
        <v>0</v>
      </c>
      <c r="L41" s="216">
        <v>1.0019616526860928</v>
      </c>
      <c r="M41" s="208">
        <f>'Cálculo PU'!N63</f>
        <v>1.0019616526860928</v>
      </c>
      <c r="N41" s="211">
        <f t="shared" si="2"/>
        <v>0</v>
      </c>
      <c r="O41" s="219">
        <v>1.0049862678881039</v>
      </c>
      <c r="P41" s="218"/>
      <c r="Q41" s="211"/>
    </row>
    <row r="42" spans="2:17">
      <c r="B42" s="212">
        <v>43567</v>
      </c>
      <c r="C42" s="203">
        <f>NETWORKDAYS(B41,B42,TAB_FERIADOS[FER_DATA])-1</f>
        <v>19</v>
      </c>
      <c r="E42" s="202">
        <f>'Cálculo PU'!M64</f>
        <v>19</v>
      </c>
      <c r="F42" s="210">
        <f t="shared" si="0"/>
        <v>0</v>
      </c>
      <c r="H42">
        <v>19</v>
      </c>
      <c r="I42" s="210">
        <f t="shared" si="1"/>
        <v>0</v>
      </c>
      <c r="L42" s="216">
        <v>1.0018634787225431</v>
      </c>
      <c r="M42" s="208">
        <f>'Cálculo PU'!N64</f>
        <v>1.0018634787225431</v>
      </c>
      <c r="N42" s="211">
        <f t="shared" si="2"/>
        <v>0</v>
      </c>
      <c r="O42" s="219">
        <v>1.0047590503431207</v>
      </c>
      <c r="P42" s="218"/>
      <c r="Q42" s="211"/>
    </row>
    <row r="43" spans="2:17">
      <c r="B43" s="212">
        <v>43600</v>
      </c>
      <c r="C43" s="203">
        <f>NETWORKDAYS(B42,B43,TAB_FERIADOS[FER_DATA])-1</f>
        <v>21</v>
      </c>
      <c r="E43" s="202">
        <f>'Cálculo PU'!M65</f>
        <v>21</v>
      </c>
      <c r="F43" s="210">
        <f t="shared" si="0"/>
        <v>0</v>
      </c>
      <c r="H43">
        <v>21</v>
      </c>
      <c r="I43" s="210">
        <f t="shared" si="1"/>
        <v>0</v>
      </c>
      <c r="L43" s="216">
        <v>1.0020598362698427</v>
      </c>
      <c r="M43" s="208">
        <f>'Cálculo PU'!N65</f>
        <v>1.0020598362698427</v>
      </c>
      <c r="N43" s="211">
        <f t="shared" si="2"/>
        <v>0</v>
      </c>
      <c r="O43" s="219">
        <v>1.0053240707911884</v>
      </c>
      <c r="P43" s="218"/>
      <c r="Q43" s="211"/>
    </row>
    <row r="44" spans="2:17">
      <c r="B44" s="212">
        <v>43630</v>
      </c>
      <c r="C44" s="203">
        <f>NETWORKDAYS(B43,B44,TAB_FERIADOS[FER_DATA])-1</f>
        <v>22</v>
      </c>
      <c r="E44" s="202">
        <f>'Cálculo PU'!M66</f>
        <v>22</v>
      </c>
      <c r="F44" s="210">
        <f t="shared" si="0"/>
        <v>0</v>
      </c>
      <c r="H44">
        <v>22</v>
      </c>
      <c r="I44" s="210">
        <f t="shared" si="1"/>
        <v>0</v>
      </c>
      <c r="L44" s="216">
        <v>1.0021580294747356</v>
      </c>
      <c r="M44" s="208">
        <f>'Cálculo PU'!N66</f>
        <v>1.0021580294747356</v>
      </c>
      <c r="N44" s="211">
        <f t="shared" si="2"/>
        <v>0</v>
      </c>
      <c r="O44" s="219">
        <v>1.005689288650395</v>
      </c>
      <c r="P44" s="218"/>
      <c r="Q44" s="211"/>
    </row>
    <row r="45" spans="2:17">
      <c r="B45" s="212">
        <v>43658</v>
      </c>
      <c r="C45" s="203">
        <f>NETWORKDAYS(B44,B45,TAB_FERIADOS[FER_DATA])-1</f>
        <v>19</v>
      </c>
      <c r="E45" s="202">
        <f>'Cálculo PU'!M67</f>
        <v>19</v>
      </c>
      <c r="F45" s="210">
        <f t="shared" si="0"/>
        <v>0</v>
      </c>
      <c r="H45">
        <v>19</v>
      </c>
      <c r="I45" s="210">
        <f t="shared" si="1"/>
        <v>0</v>
      </c>
      <c r="L45" s="216">
        <v>1.0018634787225431</v>
      </c>
      <c r="M45" s="208">
        <f>'Cálculo PU'!N67</f>
        <v>1.0018634787225431</v>
      </c>
      <c r="N45" s="211">
        <f t="shared" si="2"/>
        <v>0</v>
      </c>
      <c r="O45" s="219">
        <v>1.0048912805303287</v>
      </c>
      <c r="P45" s="218"/>
      <c r="Q45" s="211"/>
    </row>
    <row r="46" spans="2:17">
      <c r="B46" s="212">
        <v>43691</v>
      </c>
      <c r="C46" s="203">
        <f>NETWORKDAYS(B45,B46,TAB_FERIADOS[FER_DATA])-1</f>
        <v>23</v>
      </c>
      <c r="E46" s="202">
        <f>'Cálculo PU'!M68</f>
        <v>23</v>
      </c>
      <c r="F46" s="210">
        <f t="shared" si="0"/>
        <v>0</v>
      </c>
      <c r="H46">
        <v>23</v>
      </c>
      <c r="I46" s="210">
        <f t="shared" si="1"/>
        <v>0</v>
      </c>
      <c r="L46" s="216">
        <v>1.0022562323017139</v>
      </c>
      <c r="M46" s="208">
        <f>'Cálculo PU'!N68</f>
        <v>1.0022562323017139</v>
      </c>
      <c r="N46" s="211">
        <f t="shared" si="2"/>
        <v>0</v>
      </c>
      <c r="O46" s="219">
        <v>1.0059168123728819</v>
      </c>
      <c r="P46" s="218"/>
      <c r="Q46" s="211"/>
    </row>
    <row r="47" spans="2:17">
      <c r="B47" s="212">
        <v>43721</v>
      </c>
      <c r="C47" s="203">
        <f>NETWORKDAYS(B46,B47,TAB_FERIADOS[FER_DATA])-1</f>
        <v>22</v>
      </c>
      <c r="E47" s="202">
        <f>'Cálculo PU'!M69</f>
        <v>22</v>
      </c>
      <c r="F47" s="210">
        <f t="shared" si="0"/>
        <v>0</v>
      </c>
      <c r="H47">
        <v>22</v>
      </c>
      <c r="I47" s="210">
        <f t="shared" si="1"/>
        <v>0</v>
      </c>
      <c r="L47" s="216">
        <v>1.0021580294747356</v>
      </c>
      <c r="M47" s="208">
        <f>'Cálculo PU'!N69</f>
        <v>1.0021580294747356</v>
      </c>
      <c r="N47" s="211">
        <f t="shared" si="2"/>
        <v>0</v>
      </c>
      <c r="O47" s="219">
        <v>1.0060624381866725</v>
      </c>
      <c r="P47" s="218"/>
      <c r="Q47" s="211"/>
    </row>
    <row r="48" spans="2:17">
      <c r="B48" s="212">
        <v>43752</v>
      </c>
      <c r="C48" s="203">
        <f>NETWORKDAYS(B47,B48,TAB_FERIADOS[FER_DATA])-1</f>
        <v>21</v>
      </c>
      <c r="E48" s="202">
        <f>'Cálculo PU'!M70</f>
        <v>21</v>
      </c>
      <c r="F48" s="210">
        <f t="shared" si="0"/>
        <v>0</v>
      </c>
      <c r="H48">
        <v>21</v>
      </c>
      <c r="I48" s="210">
        <f t="shared" si="1"/>
        <v>0</v>
      </c>
      <c r="L48" s="216">
        <v>1.0020598362698427</v>
      </c>
      <c r="M48" s="208">
        <f>'Cálculo PU'!N70</f>
        <v>1.0020598362698427</v>
      </c>
      <c r="N48" s="211">
        <f t="shared" si="2"/>
        <v>0</v>
      </c>
      <c r="O48" s="219">
        <v>1.0057971311830334</v>
      </c>
      <c r="P48" s="218"/>
      <c r="Q48" s="211"/>
    </row>
    <row r="49" spans="2:17">
      <c r="B49" s="212">
        <v>43783</v>
      </c>
      <c r="C49" s="203">
        <f>NETWORKDAYS(B48,B49,TAB_FERIADOS[FER_DATA])-1</f>
        <v>23</v>
      </c>
      <c r="E49" s="202">
        <f>'Cálculo PU'!M71</f>
        <v>23</v>
      </c>
      <c r="F49" s="210">
        <f t="shared" si="0"/>
        <v>0</v>
      </c>
      <c r="H49">
        <v>23</v>
      </c>
      <c r="I49" s="210">
        <f t="shared" si="1"/>
        <v>0</v>
      </c>
      <c r="L49" s="216">
        <v>1.0022562323017139</v>
      </c>
      <c r="M49" s="208">
        <f>'Cálculo PU'!N71</f>
        <v>1.0022562323017139</v>
      </c>
      <c r="N49" s="211">
        <f t="shared" si="2"/>
        <v>0</v>
      </c>
      <c r="O49" s="219">
        <v>1.0065128735919879</v>
      </c>
      <c r="P49" s="218"/>
      <c r="Q49" s="211"/>
    </row>
    <row r="50" spans="2:17">
      <c r="B50" s="212">
        <v>43812</v>
      </c>
      <c r="C50" s="203">
        <f>NETWORKDAYS(B49,B50,TAB_FERIADOS[FER_DATA])-1</f>
        <v>20</v>
      </c>
      <c r="E50" s="202">
        <f>'Cálculo PU'!M72</f>
        <v>20</v>
      </c>
      <c r="F50" s="210">
        <f t="shared" si="0"/>
        <v>0</v>
      </c>
      <c r="H50">
        <v>20</v>
      </c>
      <c r="I50" s="210">
        <f t="shared" si="1"/>
        <v>0</v>
      </c>
      <c r="L50" s="216">
        <v>1.0019616526860928</v>
      </c>
      <c r="M50" s="208">
        <f>'Cálculo PU'!N72</f>
        <v>1.0019616526860928</v>
      </c>
      <c r="N50" s="211">
        <f t="shared" si="2"/>
        <v>0</v>
      </c>
      <c r="O50" s="219">
        <v>1.0059287220172402</v>
      </c>
      <c r="P50" s="218"/>
      <c r="Q50" s="211"/>
    </row>
    <row r="51" spans="2:17">
      <c r="B51" s="212">
        <v>43845</v>
      </c>
      <c r="C51" s="203">
        <f>NETWORKDAYS(B50,B51,TAB_FERIADOS[FER_DATA])-1</f>
        <v>21</v>
      </c>
      <c r="E51" s="202">
        <f>'Cálculo PU'!M73</f>
        <v>21</v>
      </c>
      <c r="F51" s="210">
        <f t="shared" si="0"/>
        <v>0</v>
      </c>
      <c r="H51">
        <v>21</v>
      </c>
      <c r="I51" s="210">
        <f t="shared" si="1"/>
        <v>0</v>
      </c>
      <c r="L51" s="216">
        <v>1.0020598362698427</v>
      </c>
      <c r="M51" s="208">
        <f>'Cálculo PU'!N73</f>
        <v>1.0020598362698427</v>
      </c>
      <c r="N51" s="211">
        <f t="shared" si="2"/>
        <v>0</v>
      </c>
      <c r="O51" s="219">
        <v>1.0062988478751369</v>
      </c>
      <c r="P51" s="218"/>
      <c r="Q51" s="211"/>
    </row>
    <row r="52" spans="2:17">
      <c r="B52" s="212">
        <v>43875</v>
      </c>
      <c r="C52" s="203">
        <f>NETWORKDAYS(B51,B52,TAB_FERIADOS[FER_DATA])-1</f>
        <v>22</v>
      </c>
      <c r="E52" s="202">
        <f>'Cálculo PU'!M74</f>
        <v>22</v>
      </c>
      <c r="F52" s="210">
        <f t="shared" si="0"/>
        <v>0</v>
      </c>
      <c r="H52">
        <v>22</v>
      </c>
      <c r="I52" s="210">
        <f t="shared" si="1"/>
        <v>0</v>
      </c>
      <c r="L52" s="216">
        <v>1.0021580294747356</v>
      </c>
      <c r="M52" s="208">
        <f>'Cálculo PU'!N74</f>
        <v>1.0021580294747356</v>
      </c>
      <c r="N52" s="211">
        <f t="shared" si="2"/>
        <v>0</v>
      </c>
      <c r="O52" s="219">
        <v>1.0069248202338805</v>
      </c>
      <c r="P52" s="218"/>
      <c r="Q52" s="211"/>
    </row>
    <row r="53" spans="2:17">
      <c r="B53" s="212">
        <v>43903</v>
      </c>
      <c r="C53" s="203">
        <f>NETWORKDAYS(B52,B53,TAB_FERIADOS[FER_DATA])-1</f>
        <v>18</v>
      </c>
      <c r="E53" s="202">
        <f>'Cálculo PU'!M75</f>
        <v>18</v>
      </c>
      <c r="F53" s="210">
        <f t="shared" si="0"/>
        <v>0</v>
      </c>
      <c r="H53">
        <v>18</v>
      </c>
      <c r="I53" s="210">
        <f t="shared" si="1"/>
        <v>0</v>
      </c>
      <c r="L53" s="216">
        <v>1.0017653143782506</v>
      </c>
      <c r="M53" s="208">
        <f>'Cálculo PU'!N75</f>
        <v>1.0017653143782506</v>
      </c>
      <c r="N53" s="211">
        <f t="shared" si="2"/>
        <v>0</v>
      </c>
      <c r="O53" s="219">
        <v>1.0056622050684003</v>
      </c>
      <c r="P53" s="218"/>
      <c r="Q53" s="211"/>
    </row>
    <row r="54" spans="2:17">
      <c r="B54" s="212">
        <v>43936</v>
      </c>
      <c r="C54" s="203">
        <f>NETWORKDAYS(B53,B54,TAB_FERIADOS[FER_DATA])-1</f>
        <v>22</v>
      </c>
      <c r="E54" s="202">
        <f>'Cálculo PU'!M76</f>
        <v>22</v>
      </c>
      <c r="F54" s="210">
        <f t="shared" si="0"/>
        <v>0</v>
      </c>
      <c r="H54">
        <v>22</v>
      </c>
      <c r="I54" s="210">
        <f t="shared" si="1"/>
        <v>0</v>
      </c>
      <c r="L54" s="216">
        <v>1.0021580294747356</v>
      </c>
      <c r="M54" s="208">
        <f>'Cálculo PU'!N76</f>
        <v>1.0021580294747356</v>
      </c>
      <c r="N54" s="211">
        <f t="shared" si="2"/>
        <v>0</v>
      </c>
      <c r="O54" s="219">
        <v>1.0070335559331529</v>
      </c>
      <c r="P54" s="218"/>
      <c r="Q54" s="211"/>
    </row>
    <row r="55" spans="2:17">
      <c r="B55" s="212">
        <v>43966</v>
      </c>
      <c r="C55" s="203">
        <f>NETWORKDAYS(B54,B55,TAB_FERIADOS[FER_DATA])-1</f>
        <v>20</v>
      </c>
      <c r="E55" s="202">
        <f>'Cálculo PU'!M77</f>
        <v>20</v>
      </c>
      <c r="F55" s="210">
        <f t="shared" si="0"/>
        <v>0</v>
      </c>
      <c r="H55">
        <v>20</v>
      </c>
      <c r="I55" s="210">
        <f t="shared" si="1"/>
        <v>0</v>
      </c>
      <c r="L55" s="216">
        <v>1.0019616526860928</v>
      </c>
      <c r="M55" s="208">
        <f>'Cálculo PU'!N77</f>
        <v>1.0019616526860928</v>
      </c>
      <c r="N55" s="211">
        <f t="shared" si="2"/>
        <v>0</v>
      </c>
      <c r="O55" s="219">
        <v>1.0067280551221411</v>
      </c>
      <c r="P55" s="218"/>
      <c r="Q55" s="211"/>
    </row>
    <row r="56" spans="2:17">
      <c r="B56" s="212">
        <v>43997</v>
      </c>
      <c r="C56" s="203">
        <f>NETWORKDAYS(B55,B56,TAB_FERIADOS[FER_DATA])-1</f>
        <v>20</v>
      </c>
      <c r="E56" s="202">
        <f>'Cálculo PU'!M78</f>
        <v>20</v>
      </c>
      <c r="F56" s="210">
        <f t="shared" si="0"/>
        <v>0</v>
      </c>
      <c r="H56">
        <v>20</v>
      </c>
      <c r="I56" s="210">
        <f t="shared" si="1"/>
        <v>0</v>
      </c>
      <c r="L56" s="216">
        <v>1.0019616526860928</v>
      </c>
      <c r="M56" s="208">
        <f>'Cálculo PU'!N78</f>
        <v>1.0019616526860928</v>
      </c>
      <c r="N56" s="211">
        <f t="shared" si="2"/>
        <v>0</v>
      </c>
      <c r="O56" s="219">
        <v>1.0067280551402396</v>
      </c>
      <c r="P56" s="218"/>
      <c r="Q56" s="211"/>
    </row>
    <row r="57" spans="2:17">
      <c r="B57" s="212">
        <v>44026</v>
      </c>
      <c r="C57" s="203">
        <f>NETWORKDAYS(B56,B57,TAB_FERIADOS[FER_DATA])-1</f>
        <v>21</v>
      </c>
      <c r="E57" s="202">
        <f>'Cálculo PU'!M79</f>
        <v>21</v>
      </c>
      <c r="F57" s="210">
        <f t="shared" si="0"/>
        <v>0</v>
      </c>
      <c r="H57">
        <v>21</v>
      </c>
      <c r="I57" s="210">
        <f t="shared" si="1"/>
        <v>0</v>
      </c>
      <c r="L57" s="216">
        <v>1.0020598362698427</v>
      </c>
      <c r="M57" s="208">
        <f>'Cálculo PU'!N79</f>
        <v>1.0020598362698427</v>
      </c>
      <c r="N57" s="211">
        <f t="shared" si="2"/>
        <v>0</v>
      </c>
      <c r="O57" s="219">
        <v>1.0071817295931442</v>
      </c>
      <c r="P57" s="218"/>
      <c r="Q57" s="211"/>
    </row>
    <row r="58" spans="2:17">
      <c r="B58" s="212">
        <v>44057</v>
      </c>
      <c r="C58" s="203">
        <f>NETWORKDAYS(B57,B58,TAB_FERIADOS[FER_DATA])-1</f>
        <v>23</v>
      </c>
      <c r="E58" s="202">
        <f>'Cálculo PU'!M80</f>
        <v>23</v>
      </c>
      <c r="F58" s="210">
        <f t="shared" si="0"/>
        <v>0</v>
      </c>
      <c r="H58">
        <v>23</v>
      </c>
      <c r="I58" s="210">
        <f t="shared" si="1"/>
        <v>0</v>
      </c>
      <c r="L58" s="216">
        <v>1.0022562323017139</v>
      </c>
      <c r="M58" s="208">
        <f>'Cálculo PU'!N80</f>
        <v>1.0022562323017139</v>
      </c>
      <c r="N58" s="211">
        <f t="shared" si="2"/>
        <v>0</v>
      </c>
      <c r="O58" s="219">
        <v>1.0082756249607487</v>
      </c>
      <c r="P58" s="218"/>
      <c r="Q58" s="211"/>
    </row>
    <row r="59" spans="2:17">
      <c r="B59" s="212">
        <v>44089</v>
      </c>
      <c r="C59" s="203">
        <f>NETWORKDAYS(B58,B59,TAB_FERIADOS[FER_DATA])-1</f>
        <v>21</v>
      </c>
      <c r="E59" s="202">
        <f>'Cálculo PU'!M81</f>
        <v>21</v>
      </c>
      <c r="F59" s="210">
        <f t="shared" si="0"/>
        <v>0</v>
      </c>
      <c r="H59">
        <v>21</v>
      </c>
      <c r="I59" s="210">
        <f t="shared" si="1"/>
        <v>0</v>
      </c>
      <c r="L59" s="216">
        <v>1.0020598362698427</v>
      </c>
      <c r="M59" s="208">
        <f>'Cálculo PU'!N81</f>
        <v>1.0020598362698427</v>
      </c>
      <c r="N59" s="211">
        <f t="shared" si="2"/>
        <v>0</v>
      </c>
      <c r="O59" s="219">
        <v>1.0075532948889385</v>
      </c>
      <c r="P59" s="218"/>
      <c r="Q59" s="211"/>
    </row>
    <row r="60" spans="2:17">
      <c r="B60" s="212">
        <v>44119</v>
      </c>
      <c r="C60" s="203">
        <f>NETWORKDAYS(B59,B60,TAB_FERIADOS[FER_DATA])-1</f>
        <v>21</v>
      </c>
      <c r="E60" s="202">
        <f>'Cálculo PU'!M82</f>
        <v>21</v>
      </c>
      <c r="F60" s="210">
        <f t="shared" si="0"/>
        <v>0</v>
      </c>
      <c r="H60">
        <v>21</v>
      </c>
      <c r="I60" s="210">
        <f t="shared" si="1"/>
        <v>0</v>
      </c>
      <c r="L60" s="216">
        <v>1.0020598362698427</v>
      </c>
      <c r="M60" s="208">
        <f>'Cálculo PU'!N82</f>
        <v>1.0020598362698427</v>
      </c>
      <c r="N60" s="211">
        <f t="shared" si="2"/>
        <v>0</v>
      </c>
      <c r="O60" s="219">
        <v>1.0075800893365225</v>
      </c>
      <c r="P60" s="218"/>
      <c r="Q60" s="211"/>
    </row>
    <row r="61" spans="2:17">
      <c r="B61" s="212">
        <v>44151</v>
      </c>
      <c r="C61" s="203">
        <f>NETWORKDAYS(B60,B61,TAB_FERIADOS[FER_DATA])-1</f>
        <v>21</v>
      </c>
      <c r="E61" s="202">
        <f>'Cálculo PU'!M83</f>
        <v>21</v>
      </c>
      <c r="F61" s="210">
        <f t="shared" si="0"/>
        <v>0</v>
      </c>
      <c r="H61">
        <v>21</v>
      </c>
      <c r="I61" s="210">
        <f t="shared" si="1"/>
        <v>0</v>
      </c>
      <c r="L61" s="216">
        <v>1.0020598362698427</v>
      </c>
      <c r="M61" s="208">
        <f>'Cálculo PU'!N83</f>
        <v>1.0020598362698427</v>
      </c>
      <c r="N61" s="211">
        <f t="shared" si="2"/>
        <v>0</v>
      </c>
      <c r="O61" s="219">
        <v>1.0076658364754132</v>
      </c>
      <c r="P61" s="218"/>
      <c r="Q61" s="211"/>
    </row>
    <row r="62" spans="2:17">
      <c r="B62" s="212">
        <v>44179</v>
      </c>
      <c r="C62" s="203">
        <f>NETWORKDAYS(B61,B62,TAB_FERIADOS[FER_DATA])-1</f>
        <v>20</v>
      </c>
      <c r="E62" s="202">
        <f>'Cálculo PU'!M84</f>
        <v>20</v>
      </c>
      <c r="F62" s="210">
        <f t="shared" si="0"/>
        <v>0</v>
      </c>
      <c r="H62">
        <v>20</v>
      </c>
      <c r="I62" s="210">
        <f t="shared" si="1"/>
        <v>0</v>
      </c>
      <c r="L62" s="216">
        <v>1.0019616526860928</v>
      </c>
      <c r="M62" s="208">
        <f>'Cálculo PU'!N84</f>
        <v>1.0019616526860928</v>
      </c>
      <c r="N62" s="211">
        <f t="shared" si="2"/>
        <v>0</v>
      </c>
      <c r="O62" s="219">
        <v>1.007299467666807</v>
      </c>
      <c r="P62" s="218"/>
      <c r="Q62" s="211"/>
    </row>
    <row r="63" spans="2:17">
      <c r="B63" s="212">
        <v>44211</v>
      </c>
      <c r="C63" s="203">
        <f>NETWORKDAYS(B62,B63,TAB_FERIADOS[FER_DATA])-1</f>
        <v>22</v>
      </c>
      <c r="E63" s="202">
        <f>'Cálculo PU'!M85</f>
        <v>22</v>
      </c>
      <c r="F63" s="210">
        <f t="shared" si="0"/>
        <v>0</v>
      </c>
      <c r="H63">
        <v>22</v>
      </c>
      <c r="I63" s="210">
        <f t="shared" si="1"/>
        <v>0</v>
      </c>
      <c r="L63" s="216">
        <v>1.0021580294747356</v>
      </c>
      <c r="M63" s="208">
        <f>'Cálculo PU'!N85</f>
        <v>1.0021580294747356</v>
      </c>
      <c r="N63" s="211">
        <f t="shared" si="2"/>
        <v>0</v>
      </c>
      <c r="O63" s="219">
        <v>1.0081107372388265</v>
      </c>
      <c r="P63" s="218"/>
      <c r="Q63" s="211"/>
    </row>
    <row r="64" spans="2:17">
      <c r="B64" s="212">
        <v>44239</v>
      </c>
      <c r="C64" s="203">
        <f>NETWORKDAYS(B63,B64,TAB_FERIADOS[FER_DATA])-1</f>
        <v>20</v>
      </c>
      <c r="E64" s="202">
        <f>'Cálculo PU'!M86</f>
        <v>20</v>
      </c>
      <c r="F64" s="210">
        <f t="shared" si="0"/>
        <v>0</v>
      </c>
      <c r="H64">
        <v>20</v>
      </c>
      <c r="I64" s="210">
        <f t="shared" si="1"/>
        <v>0</v>
      </c>
      <c r="L64" s="216">
        <v>1.0019616526860928</v>
      </c>
      <c r="M64" s="208">
        <f>'Cálculo PU'!N86</f>
        <v>1.0019616526860928</v>
      </c>
      <c r="N64" s="211">
        <f t="shared" si="2"/>
        <v>0</v>
      </c>
      <c r="O64" s="219">
        <v>1.0076128707100596</v>
      </c>
      <c r="P64" s="218"/>
      <c r="Q64" s="211"/>
    </row>
    <row r="65" spans="2:17">
      <c r="B65" s="212">
        <v>44267</v>
      </c>
      <c r="C65" s="203">
        <f>NETWORKDAYS(B64,B65,TAB_FERIADOS[FER_DATA])-1</f>
        <v>18</v>
      </c>
      <c r="E65" s="202">
        <f>'Cálculo PU'!M87</f>
        <v>18</v>
      </c>
      <c r="F65" s="210">
        <f t="shared" si="0"/>
        <v>0</v>
      </c>
      <c r="H65">
        <v>18</v>
      </c>
      <c r="I65" s="210">
        <f t="shared" si="1"/>
        <v>0</v>
      </c>
      <c r="L65" s="216">
        <v>1.0017653143782506</v>
      </c>
      <c r="M65" s="208">
        <f>'Cálculo PU'!N87</f>
        <v>1.0017653143782506</v>
      </c>
      <c r="N65" s="211">
        <f t="shared" si="2"/>
        <v>0</v>
      </c>
      <c r="O65" s="219">
        <v>1.0068489828474612</v>
      </c>
      <c r="P65" s="218"/>
      <c r="Q65" s="211"/>
    </row>
    <row r="66" spans="2:17">
      <c r="B66" s="212">
        <v>44301</v>
      </c>
      <c r="C66" s="203">
        <f>NETWORKDAYS(B65,B66,TAB_FERIADOS[FER_DATA])-1</f>
        <v>23</v>
      </c>
      <c r="E66" s="202">
        <f>'Cálculo PU'!M88</f>
        <v>23</v>
      </c>
      <c r="F66" s="210">
        <f t="shared" si="0"/>
        <v>0</v>
      </c>
      <c r="H66">
        <v>23</v>
      </c>
      <c r="I66" s="210">
        <f t="shared" si="1"/>
        <v>0</v>
      </c>
      <c r="L66" s="216">
        <v>1.0022562323017139</v>
      </c>
      <c r="M66" s="208">
        <f>'Cálculo PU'!N88</f>
        <v>1.0022562323017139</v>
      </c>
      <c r="N66" s="211">
        <f t="shared" si="2"/>
        <v>0</v>
      </c>
      <c r="O66" s="219">
        <v>1.0088150023793157</v>
      </c>
      <c r="P66" s="218"/>
      <c r="Q66" s="211"/>
    </row>
    <row r="67" spans="2:17">
      <c r="B67" s="212">
        <v>44330</v>
      </c>
      <c r="C67" s="203">
        <f>NETWORKDAYS(B66,B67,TAB_FERIADOS[FER_DATA])-1</f>
        <v>20</v>
      </c>
      <c r="E67" s="202">
        <f>'Cálculo PU'!M89</f>
        <v>20</v>
      </c>
      <c r="F67" s="210">
        <f t="shared" si="0"/>
        <v>0</v>
      </c>
      <c r="H67">
        <v>20</v>
      </c>
      <c r="I67" s="210">
        <f t="shared" si="1"/>
        <v>0</v>
      </c>
      <c r="L67" s="216">
        <v>1.0019616526860928</v>
      </c>
      <c r="M67" s="208">
        <f>'Cálculo PU'!N89</f>
        <v>1.0019616526860928</v>
      </c>
      <c r="N67" s="211">
        <f t="shared" si="2"/>
        <v>0</v>
      </c>
      <c r="O67" s="219">
        <v>1.0078334900360424</v>
      </c>
      <c r="P67" s="218"/>
      <c r="Q67" s="211"/>
    </row>
    <row r="68" spans="2:17">
      <c r="B68" s="212">
        <v>44362</v>
      </c>
      <c r="C68" s="203">
        <f>NETWORKDAYS(B67,B68,TAB_FERIADOS[FER_DATA])-1</f>
        <v>21</v>
      </c>
      <c r="E68" s="202">
        <f>'Cálculo PU'!M90</f>
        <v>21</v>
      </c>
      <c r="F68" s="210">
        <f t="shared" ref="F68:F131" si="3">C68-E68</f>
        <v>0</v>
      </c>
      <c r="H68">
        <v>21</v>
      </c>
      <c r="I68" s="210">
        <f t="shared" ref="I68:I131" si="4">C68-H68</f>
        <v>0</v>
      </c>
      <c r="L68" s="216">
        <v>1.0020598362698427</v>
      </c>
      <c r="M68" s="208">
        <f>'Cálculo PU'!N90</f>
        <v>1.0020598362698427</v>
      </c>
      <c r="N68" s="211">
        <f t="shared" ref="N68:N131" si="5">L68-M68</f>
        <v>0</v>
      </c>
      <c r="O68" s="219">
        <v>1.008226771404428</v>
      </c>
      <c r="P68" s="218"/>
      <c r="Q68" s="211"/>
    </row>
    <row r="69" spans="2:17">
      <c r="B69" s="212">
        <v>44391</v>
      </c>
      <c r="C69" s="203">
        <f>NETWORKDAYS(B68,B69,TAB_FERIADOS[FER_DATA])-1</f>
        <v>21</v>
      </c>
      <c r="E69" s="202">
        <f>'Cálculo PU'!M91</f>
        <v>21</v>
      </c>
      <c r="F69" s="210">
        <f t="shared" si="3"/>
        <v>0</v>
      </c>
      <c r="H69">
        <v>21</v>
      </c>
      <c r="I69" s="210">
        <f t="shared" si="4"/>
        <v>0</v>
      </c>
      <c r="L69" s="216">
        <v>1.0020598362698427</v>
      </c>
      <c r="M69" s="208">
        <f>'Cálculo PU'!N91</f>
        <v>1.0020598362698427</v>
      </c>
      <c r="N69" s="211">
        <f t="shared" si="5"/>
        <v>0</v>
      </c>
      <c r="O69" s="219">
        <v>1.0082548118198171</v>
      </c>
      <c r="P69" s="218"/>
      <c r="Q69" s="211"/>
    </row>
    <row r="70" spans="2:17">
      <c r="B70" s="212">
        <v>44421</v>
      </c>
      <c r="C70" s="203">
        <f>NETWORKDAYS(B69,B70,TAB_FERIADOS[FER_DATA])-1</f>
        <v>22</v>
      </c>
      <c r="E70" s="202">
        <f>'Cálculo PU'!M92</f>
        <v>22</v>
      </c>
      <c r="F70" s="210">
        <f t="shared" si="3"/>
        <v>0</v>
      </c>
      <c r="H70">
        <v>22</v>
      </c>
      <c r="I70" s="210">
        <f t="shared" si="4"/>
        <v>0</v>
      </c>
      <c r="L70" s="216">
        <v>1.0021580294747356</v>
      </c>
      <c r="M70" s="208">
        <f>'Cálculo PU'!N92</f>
        <v>1.0021580294747356</v>
      </c>
      <c r="N70" s="211">
        <f t="shared" si="5"/>
        <v>0</v>
      </c>
      <c r="O70" s="219">
        <v>1.0087436380585224</v>
      </c>
      <c r="P70" s="218"/>
      <c r="Q70" s="211"/>
    </row>
    <row r="71" spans="2:17">
      <c r="B71" s="212">
        <v>44454</v>
      </c>
      <c r="C71" s="203">
        <f>NETWORKDAYS(B70,B71,TAB_FERIADOS[FER_DATA])-1</f>
        <v>22</v>
      </c>
      <c r="E71" s="202">
        <f>'Cálculo PU'!M93</f>
        <v>22</v>
      </c>
      <c r="F71" s="210">
        <f t="shared" si="3"/>
        <v>0</v>
      </c>
      <c r="H71">
        <v>22</v>
      </c>
      <c r="I71" s="210">
        <f t="shared" si="4"/>
        <v>0</v>
      </c>
      <c r="L71" s="216">
        <v>1.0021580294747356</v>
      </c>
      <c r="M71" s="208">
        <f>'Cálculo PU'!N93</f>
        <v>1.0021580294747356</v>
      </c>
      <c r="N71" s="211">
        <f t="shared" si="5"/>
        <v>0</v>
      </c>
      <c r="O71" s="219">
        <v>1.0087436380986532</v>
      </c>
      <c r="P71" s="218"/>
      <c r="Q71" s="211"/>
    </row>
    <row r="72" spans="2:17">
      <c r="B72" s="212">
        <v>44484</v>
      </c>
      <c r="C72" s="203">
        <f>NETWORKDAYS(B71,B72,TAB_FERIADOS[FER_DATA])-1</f>
        <v>21</v>
      </c>
      <c r="E72" s="202">
        <f>'Cálculo PU'!M94</f>
        <v>21</v>
      </c>
      <c r="F72" s="210">
        <f t="shared" si="3"/>
        <v>0</v>
      </c>
      <c r="H72">
        <v>21</v>
      </c>
      <c r="I72" s="210">
        <f t="shared" si="4"/>
        <v>0</v>
      </c>
      <c r="L72" s="216">
        <v>1.0020598362698427</v>
      </c>
      <c r="M72" s="208">
        <f>'Cálculo PU'!N94</f>
        <v>1.0020598362698427</v>
      </c>
      <c r="N72" s="211">
        <f t="shared" si="5"/>
        <v>0</v>
      </c>
      <c r="O72" s="219">
        <v>1.0082928549681363</v>
      </c>
      <c r="P72" s="218"/>
      <c r="Q72" s="211"/>
    </row>
    <row r="73" spans="2:17">
      <c r="B73" s="212">
        <v>44516</v>
      </c>
      <c r="C73" s="203">
        <f>NETWORKDAYS(B72,B73,TAB_FERIADOS[FER_DATA])-1</f>
        <v>20</v>
      </c>
      <c r="E73" s="202">
        <f>'Cálculo PU'!M95</f>
        <v>20</v>
      </c>
      <c r="F73" s="210">
        <f t="shared" si="3"/>
        <v>0</v>
      </c>
      <c r="H73">
        <v>20</v>
      </c>
      <c r="I73" s="210">
        <f t="shared" si="4"/>
        <v>0</v>
      </c>
      <c r="L73" s="216">
        <v>1.0019616526860928</v>
      </c>
      <c r="M73" s="208">
        <f>'Cálculo PU'!N95</f>
        <v>1.0019616526860928</v>
      </c>
      <c r="N73" s="211">
        <f t="shared" si="5"/>
        <v>0</v>
      </c>
      <c r="O73" s="219">
        <v>1.0077389444645357</v>
      </c>
      <c r="P73" s="218"/>
      <c r="Q73" s="211"/>
    </row>
    <row r="74" spans="2:17">
      <c r="B74" s="212">
        <v>44544</v>
      </c>
      <c r="C74" s="203">
        <f>NETWORKDAYS(B73,B74,TAB_FERIADOS[FER_DATA])-1</f>
        <v>20</v>
      </c>
      <c r="E74" s="202">
        <f>'Cálculo PU'!M96</f>
        <v>20</v>
      </c>
      <c r="F74" s="210">
        <f t="shared" si="3"/>
        <v>0</v>
      </c>
      <c r="H74">
        <v>20</v>
      </c>
      <c r="I74" s="210">
        <f t="shared" si="4"/>
        <v>0</v>
      </c>
      <c r="L74" s="216">
        <v>1.0019616526860928</v>
      </c>
      <c r="M74" s="208">
        <f>'Cálculo PU'!N96</f>
        <v>1.0019616526860928</v>
      </c>
      <c r="N74" s="211">
        <f t="shared" si="5"/>
        <v>0</v>
      </c>
      <c r="O74" s="219">
        <v>1.0077389443883027</v>
      </c>
      <c r="P74" s="218"/>
      <c r="Q74" s="211"/>
    </row>
    <row r="75" spans="2:17">
      <c r="B75" s="212">
        <v>44575</v>
      </c>
      <c r="C75" s="203">
        <f>NETWORKDAYS(B74,B75,TAB_FERIADOS[FER_DATA])-1</f>
        <v>23</v>
      </c>
      <c r="E75" s="202">
        <f>'Cálculo PU'!M97</f>
        <v>23</v>
      </c>
      <c r="F75" s="210">
        <f t="shared" si="3"/>
        <v>0</v>
      </c>
      <c r="H75">
        <v>23</v>
      </c>
      <c r="I75" s="210">
        <f t="shared" si="4"/>
        <v>0</v>
      </c>
      <c r="L75" s="216">
        <v>1.0022562323017139</v>
      </c>
      <c r="M75" s="208">
        <f>'Cálculo PU'!N97</f>
        <v>1.0022562323017139</v>
      </c>
      <c r="N75" s="211">
        <f t="shared" si="5"/>
        <v>0</v>
      </c>
      <c r="O75" s="219">
        <v>1.0090334428340728</v>
      </c>
      <c r="P75" s="218"/>
      <c r="Q75" s="211"/>
    </row>
    <row r="76" spans="2:17">
      <c r="B76" s="212">
        <v>44606</v>
      </c>
      <c r="C76" s="203">
        <f>NETWORKDAYS(B75,B76,TAB_FERIADOS[FER_DATA])-1</f>
        <v>21</v>
      </c>
      <c r="E76" s="202">
        <f>'Cálculo PU'!M98</f>
        <v>21</v>
      </c>
      <c r="F76" s="210">
        <f t="shared" si="3"/>
        <v>0</v>
      </c>
      <c r="H76">
        <v>21</v>
      </c>
      <c r="I76" s="210">
        <f t="shared" si="4"/>
        <v>0</v>
      </c>
      <c r="L76" s="216">
        <v>1.0020598362698427</v>
      </c>
      <c r="M76" s="208">
        <f>'Cálculo PU'!N98</f>
        <v>1.0020598362698427</v>
      </c>
      <c r="N76" s="211">
        <f t="shared" si="5"/>
        <v>0</v>
      </c>
      <c r="O76" s="219">
        <v>1.0086668639044754</v>
      </c>
      <c r="P76" s="218"/>
      <c r="Q76" s="211"/>
    </row>
    <row r="77" spans="2:17">
      <c r="B77" s="212">
        <v>44635</v>
      </c>
      <c r="C77" s="203">
        <f>NETWORKDAYS(B76,B77,TAB_FERIADOS[FER_DATA])-1</f>
        <v>19</v>
      </c>
      <c r="E77" s="202">
        <f>'Cálculo PU'!M99</f>
        <v>19</v>
      </c>
      <c r="F77" s="210">
        <f t="shared" si="3"/>
        <v>0</v>
      </c>
      <c r="H77">
        <v>19</v>
      </c>
      <c r="I77" s="210">
        <f t="shared" si="4"/>
        <v>0</v>
      </c>
      <c r="L77" s="216">
        <v>1.0018634787225431</v>
      </c>
      <c r="M77" s="208">
        <f>'Cálculo PU'!N99</f>
        <v>1.0018634787225431</v>
      </c>
      <c r="N77" s="211">
        <f t="shared" si="5"/>
        <v>0</v>
      </c>
      <c r="O77" s="219">
        <v>1.0078382222335083</v>
      </c>
      <c r="P77" s="218"/>
      <c r="Q77" s="211"/>
    </row>
    <row r="78" spans="2:17">
      <c r="B78" s="212">
        <v>44665</v>
      </c>
      <c r="C78" s="203">
        <f>NETWORKDAYS(B77,B78,TAB_FERIADOS[FER_DATA])-1</f>
        <v>22</v>
      </c>
      <c r="E78" s="202">
        <f>'Cálculo PU'!M100</f>
        <v>22</v>
      </c>
      <c r="F78" s="210">
        <f t="shared" si="3"/>
        <v>0</v>
      </c>
      <c r="H78">
        <v>22</v>
      </c>
      <c r="I78" s="210">
        <f t="shared" si="4"/>
        <v>0</v>
      </c>
      <c r="L78" s="216">
        <v>1.0021580294747356</v>
      </c>
      <c r="M78" s="208">
        <f>'Cálculo PU'!N100</f>
        <v>1.0021580294747356</v>
      </c>
      <c r="N78" s="211">
        <f t="shared" si="5"/>
        <v>0</v>
      </c>
      <c r="O78" s="219">
        <v>1.0090087750476355</v>
      </c>
      <c r="P78" s="218"/>
      <c r="Q78" s="211"/>
    </row>
    <row r="79" spans="2:17">
      <c r="B79" s="212">
        <v>44694</v>
      </c>
      <c r="C79" s="203">
        <f>NETWORKDAYS(B78,B79,TAB_FERIADOS[FER_DATA])-1</f>
        <v>19</v>
      </c>
      <c r="E79" s="202">
        <f>'Cálculo PU'!M101</f>
        <v>19</v>
      </c>
      <c r="F79" s="210">
        <f t="shared" si="3"/>
        <v>0</v>
      </c>
      <c r="H79">
        <v>19</v>
      </c>
      <c r="I79" s="210">
        <f t="shared" si="4"/>
        <v>0</v>
      </c>
      <c r="L79" s="216">
        <v>1.0018634787225431</v>
      </c>
      <c r="M79" s="208">
        <f>'Cálculo PU'!N101</f>
        <v>1.0018634787225431</v>
      </c>
      <c r="N79" s="211">
        <f t="shared" si="5"/>
        <v>0</v>
      </c>
      <c r="O79" s="219">
        <v>1.0075624627933368</v>
      </c>
      <c r="P79" s="218"/>
      <c r="Q79" s="211"/>
    </row>
    <row r="80" spans="2:17">
      <c r="B80" s="212">
        <v>44726</v>
      </c>
      <c r="C80" s="203">
        <f>NETWORKDAYS(B79,B80,TAB_FERIADOS[FER_DATA])-1</f>
        <v>22</v>
      </c>
      <c r="E80" s="202">
        <f>'Cálculo PU'!M102</f>
        <v>22</v>
      </c>
      <c r="F80" s="210">
        <f t="shared" si="3"/>
        <v>0</v>
      </c>
      <c r="H80">
        <v>22</v>
      </c>
      <c r="I80" s="210">
        <f t="shared" si="4"/>
        <v>0</v>
      </c>
      <c r="L80" s="216">
        <v>1.0021580294747356</v>
      </c>
      <c r="M80" s="208">
        <f>'Cálculo PU'!N102</f>
        <v>1.0021580294747356</v>
      </c>
      <c r="N80" s="211">
        <f t="shared" si="5"/>
        <v>0</v>
      </c>
      <c r="O80" s="219">
        <v>1.0087617527145245</v>
      </c>
      <c r="P80" s="218"/>
      <c r="Q80" s="211"/>
    </row>
    <row r="81" spans="2:17">
      <c r="B81" s="212">
        <v>44756</v>
      </c>
      <c r="C81" s="203">
        <f>NETWORKDAYS(B80,B81,TAB_FERIADOS[FER_DATA])-1</f>
        <v>21</v>
      </c>
      <c r="E81" s="202">
        <f>'Cálculo PU'!M103</f>
        <v>21</v>
      </c>
      <c r="F81" s="210">
        <f t="shared" si="3"/>
        <v>0</v>
      </c>
      <c r="H81">
        <v>21</v>
      </c>
      <c r="I81" s="210">
        <f t="shared" si="4"/>
        <v>0</v>
      </c>
      <c r="L81" s="216">
        <v>1.0020598362698427</v>
      </c>
      <c r="M81" s="208">
        <f>'Cálculo PU'!N103</f>
        <v>1.0020598362698427</v>
      </c>
      <c r="N81" s="211">
        <f t="shared" si="5"/>
        <v>0</v>
      </c>
      <c r="O81" s="219">
        <v>1.0083761131704734</v>
      </c>
      <c r="P81" s="218"/>
      <c r="Q81" s="211"/>
    </row>
    <row r="82" spans="2:17">
      <c r="B82" s="212">
        <v>44785</v>
      </c>
      <c r="C82" s="203">
        <f>NETWORKDAYS(B81,B82,TAB_FERIADOS[FER_DATA])-1</f>
        <v>21</v>
      </c>
      <c r="E82" s="202">
        <f>'Cálculo PU'!M104</f>
        <v>21</v>
      </c>
      <c r="F82" s="210">
        <f t="shared" si="3"/>
        <v>0</v>
      </c>
      <c r="H82">
        <v>21</v>
      </c>
      <c r="I82" s="210">
        <f t="shared" si="4"/>
        <v>0</v>
      </c>
      <c r="L82" s="216">
        <v>1.0020598362698427</v>
      </c>
      <c r="M82" s="208">
        <f>'Cálculo PU'!N104</f>
        <v>1.0020598362698427</v>
      </c>
      <c r="N82" s="211">
        <f t="shared" si="5"/>
        <v>0</v>
      </c>
      <c r="O82" s="219">
        <v>1.0084218177321349</v>
      </c>
      <c r="P82" s="218"/>
      <c r="Q82" s="211"/>
    </row>
    <row r="83" spans="2:17">
      <c r="B83" s="212">
        <v>44819</v>
      </c>
      <c r="C83" s="203">
        <f>NETWORKDAYS(B82,B83,TAB_FERIADOS[FER_DATA])-1</f>
        <v>23</v>
      </c>
      <c r="E83" s="202">
        <f>'Cálculo PU'!M105</f>
        <v>23</v>
      </c>
      <c r="F83" s="210">
        <f t="shared" si="3"/>
        <v>0</v>
      </c>
      <c r="H83">
        <v>23</v>
      </c>
      <c r="I83" s="210">
        <f t="shared" si="4"/>
        <v>0</v>
      </c>
      <c r="L83" s="216">
        <v>1.0022562323017139</v>
      </c>
      <c r="M83" s="208">
        <f>'Cálculo PU'!N105</f>
        <v>1.0022562323017139</v>
      </c>
      <c r="N83" s="211">
        <f t="shared" si="5"/>
        <v>0</v>
      </c>
      <c r="O83" s="219">
        <v>1.0092275853154018</v>
      </c>
      <c r="P83" s="218"/>
      <c r="Q83" s="211"/>
    </row>
    <row r="84" spans="2:17">
      <c r="B84" s="212">
        <v>44851</v>
      </c>
      <c r="C84" s="203">
        <f>NETWORKDAYS(B83,B84,TAB_FERIADOS[FER_DATA])-1</f>
        <v>21</v>
      </c>
      <c r="E84" s="202">
        <f>'Cálculo PU'!M106</f>
        <v>21</v>
      </c>
      <c r="F84" s="210">
        <f t="shared" si="3"/>
        <v>0</v>
      </c>
      <c r="H84">
        <v>21</v>
      </c>
      <c r="I84" s="210">
        <f t="shared" si="4"/>
        <v>0</v>
      </c>
      <c r="L84" s="216">
        <v>1.0020598362698427</v>
      </c>
      <c r="M84" s="208">
        <f>'Cálculo PU'!N106</f>
        <v>1.0020598362698427</v>
      </c>
      <c r="N84" s="211">
        <f t="shared" si="5"/>
        <v>0</v>
      </c>
      <c r="O84" s="219">
        <v>1.0083553266353003</v>
      </c>
      <c r="P84" s="218"/>
      <c r="Q84" s="211"/>
    </row>
    <row r="85" spans="2:17">
      <c r="B85" s="212">
        <v>44881</v>
      </c>
      <c r="C85" s="203">
        <f>NETWORKDAYS(B84,B85,TAB_FERIADOS[FER_DATA])-1</f>
        <v>20</v>
      </c>
      <c r="E85" s="202">
        <f>'Cálculo PU'!M107</f>
        <v>20</v>
      </c>
      <c r="F85" s="210">
        <f t="shared" si="3"/>
        <v>0</v>
      </c>
      <c r="H85">
        <v>20</v>
      </c>
      <c r="I85" s="210">
        <f t="shared" si="4"/>
        <v>0</v>
      </c>
      <c r="L85" s="216">
        <v>1.0019616526860928</v>
      </c>
      <c r="M85" s="208">
        <f>'Cálculo PU'!N107</f>
        <v>1.0019616526860928</v>
      </c>
      <c r="N85" s="211">
        <f t="shared" si="5"/>
        <v>0</v>
      </c>
      <c r="O85" s="219">
        <v>1.0077533430912815</v>
      </c>
      <c r="P85" s="218"/>
      <c r="Q85" s="211"/>
    </row>
    <row r="86" spans="2:17">
      <c r="B86" s="212">
        <v>44909</v>
      </c>
      <c r="C86" s="203">
        <f>NETWORKDAYS(B85,B86,TAB_FERIADOS[FER_DATA])-1</f>
        <v>20</v>
      </c>
      <c r="E86" s="202">
        <f>'Cálculo PU'!M108</f>
        <v>20</v>
      </c>
      <c r="F86" s="210">
        <f t="shared" si="3"/>
        <v>0</v>
      </c>
      <c r="H86">
        <v>20</v>
      </c>
      <c r="I86" s="210">
        <f t="shared" si="4"/>
        <v>0</v>
      </c>
      <c r="L86" s="216">
        <v>1.0019616526860928</v>
      </c>
      <c r="M86" s="208">
        <f>'Cálculo PU'!N108</f>
        <v>1.0019616526860928</v>
      </c>
      <c r="N86" s="211">
        <f t="shared" si="5"/>
        <v>0</v>
      </c>
      <c r="O86" s="219">
        <v>1.0077533431230812</v>
      </c>
      <c r="P86" s="218"/>
      <c r="Q86" s="211"/>
    </row>
    <row r="87" spans="2:17">
      <c r="B87" s="212">
        <v>44939</v>
      </c>
      <c r="C87" s="203">
        <f>NETWORKDAYS(B86,B87,TAB_FERIADOS[FER_DATA])-1</f>
        <v>22</v>
      </c>
      <c r="E87" s="202">
        <f>'Cálculo PU'!M109</f>
        <v>22</v>
      </c>
      <c r="F87" s="210">
        <f t="shared" si="3"/>
        <v>0</v>
      </c>
      <c r="H87">
        <v>22</v>
      </c>
      <c r="I87" s="210">
        <f t="shared" si="4"/>
        <v>0</v>
      </c>
      <c r="L87" s="216">
        <v>1.0021580294747356</v>
      </c>
      <c r="M87" s="208">
        <f>'Cálculo PU'!N109</f>
        <v>1.0021580294747356</v>
      </c>
      <c r="N87" s="211">
        <f t="shared" si="5"/>
        <v>0</v>
      </c>
      <c r="O87" s="219">
        <v>1.0086646910815251</v>
      </c>
      <c r="P87" s="218"/>
      <c r="Q87" s="211"/>
    </row>
    <row r="88" spans="2:17">
      <c r="B88" s="212">
        <v>44971</v>
      </c>
      <c r="C88" s="203">
        <f>NETWORKDAYS(B87,B88,TAB_FERIADOS[FER_DATA])-1</f>
        <v>22</v>
      </c>
      <c r="E88" s="202">
        <f>'Cálculo PU'!M110</f>
        <v>22</v>
      </c>
      <c r="F88" s="210">
        <f t="shared" si="3"/>
        <v>0</v>
      </c>
      <c r="H88">
        <v>22</v>
      </c>
      <c r="I88" s="210">
        <f t="shared" si="4"/>
        <v>0</v>
      </c>
      <c r="L88" s="216">
        <v>1.0021580294747356</v>
      </c>
      <c r="M88" s="208">
        <f>'Cálculo PU'!N110</f>
        <v>1.0021580294747356</v>
      </c>
      <c r="N88" s="211">
        <f t="shared" si="5"/>
        <v>0</v>
      </c>
      <c r="O88" s="219">
        <v>1.0091160527864858</v>
      </c>
      <c r="P88" s="218"/>
      <c r="Q88" s="211"/>
    </row>
    <row r="89" spans="2:17">
      <c r="B89" s="212">
        <v>44999</v>
      </c>
      <c r="C89" s="203">
        <f>NETWORKDAYS(B88,B89,TAB_FERIADOS[FER_DATA])-1</f>
        <v>18</v>
      </c>
      <c r="E89" s="202">
        <f>'Cálculo PU'!M111</f>
        <v>18</v>
      </c>
      <c r="F89" s="210">
        <f t="shared" si="3"/>
        <v>0</v>
      </c>
      <c r="H89">
        <v>18</v>
      </c>
      <c r="I89" s="210">
        <f t="shared" si="4"/>
        <v>0</v>
      </c>
      <c r="L89" s="216">
        <v>1.0017653143782506</v>
      </c>
      <c r="M89" s="208">
        <f>'Cálculo PU'!N111</f>
        <v>1.0017653143782506</v>
      </c>
      <c r="N89" s="211">
        <f t="shared" si="5"/>
        <v>0</v>
      </c>
      <c r="O89" s="219">
        <v>1.0074524295763629</v>
      </c>
      <c r="P89" s="218"/>
      <c r="Q89" s="211"/>
    </row>
    <row r="90" spans="2:17">
      <c r="B90" s="212">
        <v>45033</v>
      </c>
      <c r="C90" s="203">
        <f>NETWORKDAYS(B89,B90,TAB_FERIADOS[FER_DATA])-1</f>
        <v>23</v>
      </c>
      <c r="E90" s="202">
        <f>'Cálculo PU'!M112</f>
        <v>23</v>
      </c>
      <c r="F90" s="210">
        <f t="shared" si="3"/>
        <v>0</v>
      </c>
      <c r="H90">
        <v>23</v>
      </c>
      <c r="I90" s="210">
        <f t="shared" si="4"/>
        <v>0</v>
      </c>
      <c r="L90" s="216">
        <v>1.0022562323017139</v>
      </c>
      <c r="M90" s="208">
        <f>'Cálculo PU'!N112</f>
        <v>1.0022562323017139</v>
      </c>
      <c r="N90" s="211">
        <f t="shared" si="5"/>
        <v>0</v>
      </c>
      <c r="O90" s="219">
        <v>1.0094264215046453</v>
      </c>
      <c r="P90" s="218"/>
      <c r="Q90" s="211"/>
    </row>
    <row r="91" spans="2:17">
      <c r="B91" s="212">
        <v>45061</v>
      </c>
      <c r="C91" s="203">
        <f>NETWORKDAYS(B90,B91,TAB_FERIADOS[FER_DATA])-1</f>
        <v>18</v>
      </c>
      <c r="E91" s="202">
        <f>'Cálculo PU'!M113</f>
        <v>18</v>
      </c>
      <c r="F91" s="210">
        <f t="shared" si="3"/>
        <v>0</v>
      </c>
      <c r="H91">
        <v>18</v>
      </c>
      <c r="I91" s="210">
        <f t="shared" si="4"/>
        <v>0</v>
      </c>
      <c r="L91" s="216">
        <v>1.0017653143782506</v>
      </c>
      <c r="M91" s="208">
        <f>'Cálculo PU'!N113</f>
        <v>1.0017653143782506</v>
      </c>
      <c r="N91" s="211">
        <f t="shared" si="5"/>
        <v>0</v>
      </c>
      <c r="O91" s="219">
        <v>1.0070717893565224</v>
      </c>
      <c r="P91" s="218"/>
      <c r="Q91" s="211"/>
    </row>
    <row r="92" spans="2:17">
      <c r="B92" s="212">
        <v>45092</v>
      </c>
      <c r="C92" s="203">
        <f>NETWORKDAYS(B91,B92,TAB_FERIADOS[FER_DATA])-1</f>
        <v>22</v>
      </c>
      <c r="E92" s="202">
        <f>'Cálculo PU'!M114</f>
        <v>22</v>
      </c>
      <c r="F92" s="210">
        <f t="shared" si="3"/>
        <v>0</v>
      </c>
      <c r="H92">
        <v>22</v>
      </c>
      <c r="I92" s="210">
        <f t="shared" si="4"/>
        <v>0</v>
      </c>
      <c r="L92" s="216">
        <v>1.0021580294747356</v>
      </c>
      <c r="M92" s="208">
        <f>'Cálculo PU'!N114</f>
        <v>1.0021580294747356</v>
      </c>
      <c r="N92" s="211">
        <f t="shared" si="5"/>
        <v>0</v>
      </c>
      <c r="O92" s="219">
        <v>1.0086500771623685</v>
      </c>
      <c r="P92" s="218"/>
      <c r="Q92" s="211"/>
    </row>
    <row r="93" spans="2:17">
      <c r="B93" s="212">
        <v>45121</v>
      </c>
      <c r="C93" s="203">
        <f>NETWORKDAYS(B92,B93,TAB_FERIADOS[FER_DATA])-1</f>
        <v>21</v>
      </c>
      <c r="E93" s="202">
        <f>'Cálculo PU'!M115</f>
        <v>21</v>
      </c>
      <c r="F93" s="210">
        <f t="shared" si="3"/>
        <v>0</v>
      </c>
      <c r="H93">
        <v>21</v>
      </c>
      <c r="I93" s="210">
        <f t="shared" si="4"/>
        <v>0</v>
      </c>
      <c r="L93" s="216">
        <v>1.0020598362698427</v>
      </c>
      <c r="M93" s="208">
        <f>'Cálculo PU'!N115</f>
        <v>1.0020598362698427</v>
      </c>
      <c r="N93" s="211">
        <f t="shared" si="5"/>
        <v>0</v>
      </c>
      <c r="O93" s="219">
        <v>1.0083401377028385</v>
      </c>
      <c r="P93" s="218"/>
      <c r="Q93" s="211"/>
    </row>
    <row r="94" spans="2:17">
      <c r="B94" s="212">
        <v>45152</v>
      </c>
      <c r="C94" s="203">
        <f>NETWORKDAYS(B93,B94,TAB_FERIADOS[FER_DATA])-1</f>
        <v>21</v>
      </c>
      <c r="E94" s="202">
        <f>'Cálculo PU'!M116</f>
        <v>21</v>
      </c>
      <c r="F94" s="210">
        <f t="shared" si="3"/>
        <v>0</v>
      </c>
      <c r="H94">
        <v>21</v>
      </c>
      <c r="I94" s="210">
        <f t="shared" si="4"/>
        <v>0</v>
      </c>
      <c r="L94" s="216">
        <v>1.0020598362698427</v>
      </c>
      <c r="M94" s="208">
        <f>'Cálculo PU'!N116</f>
        <v>1.0020598362698427</v>
      </c>
      <c r="N94" s="211">
        <f t="shared" si="5"/>
        <v>0</v>
      </c>
      <c r="O94" s="219">
        <v>1.0086117512503934</v>
      </c>
      <c r="P94" s="218"/>
      <c r="Q94" s="211"/>
    </row>
    <row r="95" spans="2:17">
      <c r="B95" s="212">
        <v>45184</v>
      </c>
      <c r="C95" s="203">
        <f>NETWORKDAYS(B94,B95,TAB_FERIADOS[FER_DATA])-1</f>
        <v>23</v>
      </c>
      <c r="E95" s="202">
        <f>'Cálculo PU'!M117</f>
        <v>23</v>
      </c>
      <c r="F95" s="210">
        <f t="shared" si="3"/>
        <v>0</v>
      </c>
      <c r="H95">
        <v>23</v>
      </c>
      <c r="I95" s="210">
        <f t="shared" si="4"/>
        <v>0</v>
      </c>
      <c r="L95" s="216">
        <v>1.0022562323017139</v>
      </c>
      <c r="M95" s="208">
        <f>'Cálculo PU'!N117</f>
        <v>1.0022562323017139</v>
      </c>
      <c r="N95" s="211">
        <f t="shared" si="5"/>
        <v>0</v>
      </c>
      <c r="O95" s="219">
        <v>1.0094357758484827</v>
      </c>
      <c r="P95" s="218"/>
      <c r="Q95" s="211"/>
    </row>
    <row r="96" spans="2:17">
      <c r="B96" s="212">
        <v>45215</v>
      </c>
      <c r="C96" s="203">
        <f>NETWORKDAYS(B95,B96,TAB_FERIADOS[FER_DATA])-1</f>
        <v>20</v>
      </c>
      <c r="E96" s="202">
        <f>'Cálculo PU'!M118</f>
        <v>20</v>
      </c>
      <c r="F96" s="210">
        <f t="shared" si="3"/>
        <v>0</v>
      </c>
      <c r="H96">
        <v>20</v>
      </c>
      <c r="I96" s="210">
        <f t="shared" si="4"/>
        <v>0</v>
      </c>
      <c r="L96" s="216">
        <v>1.0019616526860928</v>
      </c>
      <c r="M96" s="208">
        <f>'Cálculo PU'!N118</f>
        <v>1.0019616526860928</v>
      </c>
      <c r="N96" s="211">
        <f t="shared" si="5"/>
        <v>0</v>
      </c>
      <c r="O96" s="219">
        <v>1.0083308420316845</v>
      </c>
      <c r="P96" s="218"/>
      <c r="Q96" s="211"/>
    </row>
    <row r="97" spans="2:17">
      <c r="B97" s="212">
        <v>45246</v>
      </c>
      <c r="C97" s="203">
        <f>NETWORKDAYS(B96,B97,TAB_FERIADOS[FER_DATA])-1</f>
        <v>21</v>
      </c>
      <c r="E97" s="202">
        <f>'Cálculo PU'!M119</f>
        <v>21</v>
      </c>
      <c r="F97" s="210">
        <f t="shared" si="3"/>
        <v>0</v>
      </c>
      <c r="H97">
        <v>21</v>
      </c>
      <c r="I97" s="210">
        <f t="shared" si="4"/>
        <v>0</v>
      </c>
      <c r="L97" s="216">
        <v>1.0020598362698427</v>
      </c>
      <c r="M97" s="208">
        <f>'Cálculo PU'!N119</f>
        <v>1.0020598362698427</v>
      </c>
      <c r="N97" s="211">
        <f t="shared" si="5"/>
        <v>0</v>
      </c>
      <c r="O97" s="219">
        <v>1.0091616633791385</v>
      </c>
      <c r="P97" s="218"/>
      <c r="Q97" s="211"/>
    </row>
    <row r="98" spans="2:17">
      <c r="B98" s="212">
        <v>45274</v>
      </c>
      <c r="C98" s="203">
        <f>NETWORKDAYS(B97,B98,TAB_FERIADOS[FER_DATA])-1</f>
        <v>20</v>
      </c>
      <c r="E98" s="202">
        <f>'Cálculo PU'!M120</f>
        <v>20</v>
      </c>
      <c r="F98" s="210">
        <f t="shared" si="3"/>
        <v>0</v>
      </c>
      <c r="H98">
        <v>20</v>
      </c>
      <c r="I98" s="210">
        <f t="shared" si="4"/>
        <v>0</v>
      </c>
      <c r="L98" s="216">
        <v>1.0019616526860928</v>
      </c>
      <c r="M98" s="208">
        <f>'Cálculo PU'!N120</f>
        <v>1.0019616526860928</v>
      </c>
      <c r="N98" s="211">
        <f t="shared" si="5"/>
        <v>0</v>
      </c>
      <c r="O98" s="219">
        <v>1.0087234963591225</v>
      </c>
      <c r="P98" s="218"/>
      <c r="Q98" s="211"/>
    </row>
    <row r="99" spans="2:17">
      <c r="B99" s="212">
        <v>45306</v>
      </c>
      <c r="C99" s="203">
        <f>NETWORKDAYS(B98,B99,TAB_FERIADOS[FER_DATA])-1</f>
        <v>20</v>
      </c>
      <c r="E99" s="202">
        <f>'Cálculo PU'!M121</f>
        <v>20</v>
      </c>
      <c r="F99" s="210">
        <f t="shared" si="3"/>
        <v>0</v>
      </c>
      <c r="H99">
        <v>20</v>
      </c>
      <c r="I99" s="210">
        <f t="shared" si="4"/>
        <v>0</v>
      </c>
      <c r="L99" s="216">
        <v>1.0019616526860928</v>
      </c>
      <c r="M99" s="208">
        <f>'Cálculo PU'!N121</f>
        <v>1.0019616526860928</v>
      </c>
      <c r="N99" s="211">
        <f t="shared" si="5"/>
        <v>0</v>
      </c>
      <c r="O99" s="219">
        <v>1.0085310447299403</v>
      </c>
      <c r="P99" s="218"/>
      <c r="Q99" s="211"/>
    </row>
    <row r="100" spans="2:17">
      <c r="B100" s="212">
        <v>45338</v>
      </c>
      <c r="C100" s="203">
        <f>NETWORKDAYS(B99,B100,TAB_FERIADOS[FER_DATA])-1</f>
        <v>22</v>
      </c>
      <c r="E100" s="202">
        <f>'Cálculo PU'!M122</f>
        <v>22</v>
      </c>
      <c r="F100" s="210">
        <f t="shared" si="3"/>
        <v>0</v>
      </c>
      <c r="H100">
        <v>22</v>
      </c>
      <c r="I100" s="210">
        <f t="shared" si="4"/>
        <v>0</v>
      </c>
      <c r="L100" s="216">
        <v>1.0021580294747356</v>
      </c>
      <c r="M100" s="208">
        <f>'Cálculo PU'!N122</f>
        <v>1.0021580294747356</v>
      </c>
      <c r="N100" s="211">
        <f t="shared" si="5"/>
        <v>0</v>
      </c>
      <c r="O100" s="219">
        <v>1.008752772067447</v>
      </c>
      <c r="P100" s="218"/>
      <c r="Q100" s="211"/>
    </row>
    <row r="101" spans="2:17">
      <c r="B101" s="212">
        <v>45365</v>
      </c>
      <c r="C101" s="203">
        <f>NETWORKDAYS(B100,B101,TAB_FERIADOS[FER_DATA])-1</f>
        <v>19</v>
      </c>
      <c r="E101" s="202">
        <f>'Cálculo PU'!M123</f>
        <v>19</v>
      </c>
      <c r="F101" s="210">
        <f t="shared" si="3"/>
        <v>0</v>
      </c>
      <c r="H101">
        <v>19</v>
      </c>
      <c r="I101" s="210">
        <f t="shared" si="4"/>
        <v>0</v>
      </c>
      <c r="L101" s="216">
        <v>1.0018634787225431</v>
      </c>
      <c r="M101" s="208">
        <f>'Cálculo PU'!N123</f>
        <v>1.0018634787225431</v>
      </c>
      <c r="N101" s="211">
        <f t="shared" si="5"/>
        <v>0</v>
      </c>
      <c r="O101" s="219">
        <v>1.0075547159564471</v>
      </c>
      <c r="P101" s="218"/>
      <c r="Q101" s="211"/>
    </row>
    <row r="102" spans="2:17">
      <c r="B102" s="212">
        <v>45394</v>
      </c>
      <c r="C102" s="203">
        <f>NETWORKDAYS(B101,B102,TAB_FERIADOS[FER_DATA])-1</f>
        <v>20</v>
      </c>
      <c r="E102" s="202">
        <f>'Cálculo PU'!M124</f>
        <v>20</v>
      </c>
      <c r="F102" s="210">
        <f t="shared" si="3"/>
        <v>0</v>
      </c>
      <c r="H102">
        <v>20</v>
      </c>
      <c r="I102" s="210">
        <f t="shared" si="4"/>
        <v>0</v>
      </c>
      <c r="L102" s="216">
        <v>1.0019616526860928</v>
      </c>
      <c r="M102" s="208">
        <f>'Cálculo PU'!N124</f>
        <v>1.0019616526860928</v>
      </c>
      <c r="N102" s="211">
        <f t="shared" si="5"/>
        <v>0</v>
      </c>
      <c r="O102" s="219">
        <v>1.0079539098192631</v>
      </c>
      <c r="P102" s="218"/>
      <c r="Q102" s="211"/>
    </row>
    <row r="103" spans="2:17">
      <c r="B103" s="212">
        <v>45427</v>
      </c>
      <c r="C103" s="203">
        <f>NETWORKDAYS(B102,B103,TAB_FERIADOS[FER_DATA])-1</f>
        <v>22</v>
      </c>
      <c r="E103" s="202">
        <f>'Cálculo PU'!M125</f>
        <v>22</v>
      </c>
      <c r="F103" s="210">
        <f t="shared" si="3"/>
        <v>0</v>
      </c>
      <c r="H103">
        <v>22</v>
      </c>
      <c r="I103" s="210">
        <f t="shared" si="4"/>
        <v>0</v>
      </c>
      <c r="L103" s="216">
        <v>1.0021580294747356</v>
      </c>
      <c r="M103" s="208">
        <f>'Cálculo PU'!N125</f>
        <v>1.0021580294747356</v>
      </c>
      <c r="N103" s="211">
        <f t="shared" si="5"/>
        <v>0</v>
      </c>
      <c r="O103" s="219">
        <v>1.0087527720585689</v>
      </c>
      <c r="P103" s="218"/>
      <c r="Q103" s="211"/>
    </row>
    <row r="104" spans="2:17">
      <c r="B104" s="212">
        <v>45457</v>
      </c>
      <c r="C104" s="203">
        <f>NETWORKDAYS(B103,B104,TAB_FERIADOS[FER_DATA])-1</f>
        <v>21</v>
      </c>
      <c r="E104" s="202">
        <f>'Cálculo PU'!M126</f>
        <v>21</v>
      </c>
      <c r="F104" s="210">
        <f t="shared" si="3"/>
        <v>0</v>
      </c>
      <c r="H104">
        <v>21</v>
      </c>
      <c r="I104" s="210">
        <f t="shared" si="4"/>
        <v>0</v>
      </c>
      <c r="L104" s="216">
        <v>1.0020598362698427</v>
      </c>
      <c r="M104" s="208">
        <f>'Cálculo PU'!N126</f>
        <v>1.0020598362698427</v>
      </c>
      <c r="N104" s="211">
        <f t="shared" si="5"/>
        <v>0</v>
      </c>
      <c r="O104" s="219">
        <v>1.0083532618518849</v>
      </c>
      <c r="P104" s="218"/>
      <c r="Q104" s="211"/>
    </row>
    <row r="105" spans="2:17">
      <c r="B105" s="212">
        <v>45485</v>
      </c>
      <c r="C105" s="203">
        <f>NETWORKDAYS(B104,B105,TAB_FERIADOS[FER_DATA])-1</f>
        <v>20</v>
      </c>
      <c r="E105" s="202">
        <f>'Cálculo PU'!M127</f>
        <v>20</v>
      </c>
      <c r="F105" s="210">
        <f t="shared" si="3"/>
        <v>0</v>
      </c>
      <c r="H105">
        <v>20</v>
      </c>
      <c r="I105" s="210">
        <f t="shared" si="4"/>
        <v>0</v>
      </c>
      <c r="L105" s="216">
        <v>1.0019616526860928</v>
      </c>
      <c r="M105" s="208">
        <f>'Cálculo PU'!N127</f>
        <v>1.0019616526860928</v>
      </c>
      <c r="N105" s="211">
        <f t="shared" si="5"/>
        <v>0</v>
      </c>
      <c r="O105" s="219">
        <v>1.0080636980235593</v>
      </c>
      <c r="P105" s="218"/>
      <c r="Q105" s="211"/>
    </row>
    <row r="106" spans="2:17">
      <c r="B106" s="212">
        <v>45518</v>
      </c>
      <c r="C106" s="203">
        <f>NETWORKDAYS(B105,B106,TAB_FERIADOS[FER_DATA])-1</f>
        <v>23</v>
      </c>
      <c r="E106" s="202">
        <f>'Cálculo PU'!M128</f>
        <v>23</v>
      </c>
      <c r="F106" s="210">
        <f t="shared" si="3"/>
        <v>0</v>
      </c>
      <c r="H106">
        <v>23</v>
      </c>
      <c r="I106" s="210">
        <f t="shared" si="4"/>
        <v>0</v>
      </c>
      <c r="L106" s="216">
        <v>1.0022562323017139</v>
      </c>
      <c r="M106" s="208">
        <f>'Cálculo PU'!N128</f>
        <v>1.0022562323017139</v>
      </c>
      <c r="N106" s="211">
        <f t="shared" si="5"/>
        <v>0</v>
      </c>
      <c r="O106" s="219">
        <v>1.0096581659205288</v>
      </c>
      <c r="P106" s="218"/>
      <c r="Q106" s="211"/>
    </row>
    <row r="107" spans="2:17">
      <c r="B107" s="212">
        <v>45548</v>
      </c>
      <c r="C107" s="203">
        <f>NETWORKDAYS(B106,B107,TAB_FERIADOS[FER_DATA])-1</f>
        <v>22</v>
      </c>
      <c r="E107" s="202">
        <f>'Cálculo PU'!M129</f>
        <v>22</v>
      </c>
      <c r="F107" s="210">
        <f t="shared" si="3"/>
        <v>0</v>
      </c>
      <c r="H107">
        <v>22</v>
      </c>
      <c r="I107" s="210">
        <f t="shared" si="4"/>
        <v>0</v>
      </c>
      <c r="L107" s="216">
        <v>1.0021580294747356</v>
      </c>
      <c r="M107" s="208">
        <f>'Cálculo PU'!N129</f>
        <v>1.0021580294747356</v>
      </c>
      <c r="N107" s="211">
        <f t="shared" si="5"/>
        <v>0</v>
      </c>
      <c r="O107" s="219">
        <v>1.0092363125433266</v>
      </c>
      <c r="P107" s="218"/>
      <c r="Q107" s="211"/>
    </row>
    <row r="108" spans="2:17">
      <c r="B108" s="212">
        <v>45579</v>
      </c>
      <c r="C108" s="203">
        <f>NETWORKDAYS(B107,B108,TAB_FERIADOS[FER_DATA])-1</f>
        <v>21</v>
      </c>
      <c r="E108" s="202">
        <f>'Cálculo PU'!M130</f>
        <v>21</v>
      </c>
      <c r="F108" s="210">
        <f t="shared" si="3"/>
        <v>0</v>
      </c>
      <c r="H108">
        <v>21</v>
      </c>
      <c r="I108" s="210">
        <f t="shared" si="4"/>
        <v>0</v>
      </c>
      <c r="L108" s="216">
        <v>1.0020598362698427</v>
      </c>
      <c r="M108" s="208">
        <f>'Cálculo PU'!N130</f>
        <v>1.0020598362698427</v>
      </c>
      <c r="N108" s="211">
        <f t="shared" si="5"/>
        <v>0</v>
      </c>
      <c r="O108" s="219">
        <v>1.008814635323412</v>
      </c>
      <c r="P108" s="218"/>
      <c r="Q108" s="211"/>
    </row>
    <row r="109" spans="2:17">
      <c r="B109" s="212">
        <v>45610</v>
      </c>
      <c r="C109" s="203">
        <f>NETWORKDAYS(B108,B109,TAB_FERIADOS[FER_DATA])-1</f>
        <v>23</v>
      </c>
      <c r="E109" s="202">
        <f>'Cálculo PU'!M131</f>
        <v>23</v>
      </c>
      <c r="F109" s="210">
        <f t="shared" si="3"/>
        <v>0</v>
      </c>
      <c r="H109">
        <v>23</v>
      </c>
      <c r="I109" s="210">
        <f t="shared" si="4"/>
        <v>0</v>
      </c>
      <c r="L109" s="216">
        <v>1.0022562323017139</v>
      </c>
      <c r="M109" s="208">
        <f>'Cálculo PU'!N131</f>
        <v>1.0022562323017139</v>
      </c>
      <c r="N109" s="211">
        <f t="shared" si="5"/>
        <v>0</v>
      </c>
      <c r="O109" s="219">
        <v>1.0096581659710486</v>
      </c>
      <c r="P109" s="218"/>
      <c r="Q109" s="211"/>
    </row>
    <row r="110" spans="2:17">
      <c r="B110" s="212">
        <v>45639</v>
      </c>
      <c r="C110" s="203">
        <f>NETWORKDAYS(B109,B110,TAB_FERIADOS[FER_DATA])-1</f>
        <v>20</v>
      </c>
      <c r="E110" s="202">
        <f>'Cálculo PU'!M132</f>
        <v>20</v>
      </c>
      <c r="F110" s="210">
        <f t="shared" si="3"/>
        <v>0</v>
      </c>
      <c r="H110">
        <v>20</v>
      </c>
      <c r="I110" s="210">
        <f t="shared" si="4"/>
        <v>0</v>
      </c>
      <c r="L110" s="216">
        <v>1.0019616526860928</v>
      </c>
      <c r="M110" s="208">
        <f>'Cálculo PU'!N132</f>
        <v>1.0019616526860928</v>
      </c>
      <c r="N110" s="211">
        <f t="shared" si="5"/>
        <v>0</v>
      </c>
      <c r="O110" s="219">
        <v>1.0083931343420125</v>
      </c>
      <c r="P110" s="218"/>
      <c r="Q110" s="211"/>
    </row>
    <row r="111" spans="2:17">
      <c r="B111" s="212">
        <v>45672</v>
      </c>
      <c r="C111" s="203">
        <f>NETWORKDAYS(B110,B111,TAB_FERIADOS[FER_DATA])-1</f>
        <v>21</v>
      </c>
      <c r="E111" s="202">
        <f>'Cálculo PU'!M133</f>
        <v>21</v>
      </c>
      <c r="F111" s="210">
        <f t="shared" si="3"/>
        <v>0</v>
      </c>
      <c r="H111">
        <v>21</v>
      </c>
      <c r="I111" s="210">
        <f t="shared" si="4"/>
        <v>0</v>
      </c>
      <c r="L111" s="216">
        <v>1.0020598362698427</v>
      </c>
      <c r="M111" s="208">
        <f>'Cálculo PU'!N133</f>
        <v>1.0020598362698427</v>
      </c>
      <c r="N111" s="211">
        <f t="shared" si="5"/>
        <v>0</v>
      </c>
      <c r="O111" s="219">
        <v>1.0088135235378495</v>
      </c>
      <c r="P111" s="218"/>
      <c r="Q111" s="211"/>
    </row>
    <row r="112" spans="2:17">
      <c r="B112" s="212">
        <v>45702</v>
      </c>
      <c r="C112" s="203">
        <f>NETWORKDAYS(B111,B112,TAB_FERIADOS[FER_DATA])-1</f>
        <v>22</v>
      </c>
      <c r="E112" s="202">
        <f>'Cálculo PU'!M134</f>
        <v>22</v>
      </c>
      <c r="F112" s="210">
        <f t="shared" si="3"/>
        <v>0</v>
      </c>
      <c r="H112">
        <v>22</v>
      </c>
      <c r="I112" s="210">
        <f t="shared" si="4"/>
        <v>0</v>
      </c>
      <c r="L112" s="216">
        <v>1.0021580294747356</v>
      </c>
      <c r="M112" s="208">
        <f>'Cálculo PU'!N134</f>
        <v>1.0021580294747356</v>
      </c>
      <c r="N112" s="211">
        <f t="shared" si="5"/>
        <v>0</v>
      </c>
      <c r="O112" s="219">
        <v>1.0092314185570823</v>
      </c>
      <c r="P112" s="218"/>
      <c r="Q112" s="211"/>
    </row>
    <row r="113" spans="2:17">
      <c r="B113" s="212">
        <v>45734</v>
      </c>
      <c r="C113" s="203">
        <f>NETWORKDAYS(B112,B113,TAB_FERIADOS[FER_DATA])-1</f>
        <v>20</v>
      </c>
      <c r="E113" s="202">
        <f>'Cálculo PU'!M135</f>
        <v>20</v>
      </c>
      <c r="F113" s="210">
        <f t="shared" si="3"/>
        <v>0</v>
      </c>
      <c r="H113">
        <v>20</v>
      </c>
      <c r="I113" s="210">
        <f t="shared" si="4"/>
        <v>0</v>
      </c>
      <c r="L113" s="216">
        <v>1.0019616526860928</v>
      </c>
      <c r="M113" s="208">
        <f>'Cálculo PU'!N135</f>
        <v>1.0019616526860928</v>
      </c>
      <c r="N113" s="211">
        <f t="shared" si="5"/>
        <v>0</v>
      </c>
      <c r="O113" s="219">
        <v>1.0083886890298941</v>
      </c>
      <c r="P113" s="218"/>
      <c r="Q113" s="211"/>
    </row>
    <row r="114" spans="2:17">
      <c r="B114" s="212">
        <v>45761</v>
      </c>
      <c r="C114" s="203">
        <f>NETWORKDAYS(B113,B114,TAB_FERIADOS[FER_DATA])-1</f>
        <v>19</v>
      </c>
      <c r="E114" s="202">
        <f>'Cálculo PU'!M136</f>
        <v>19</v>
      </c>
      <c r="F114" s="210">
        <f t="shared" si="3"/>
        <v>0</v>
      </c>
      <c r="H114">
        <v>19</v>
      </c>
      <c r="I114" s="210">
        <f t="shared" si="4"/>
        <v>0</v>
      </c>
      <c r="L114" s="216">
        <v>1.0018634787225431</v>
      </c>
      <c r="M114" s="208">
        <f>'Cálculo PU'!N136</f>
        <v>1.0018634787225431</v>
      </c>
      <c r="N114" s="211">
        <f t="shared" si="5"/>
        <v>0</v>
      </c>
      <c r="O114" s="219">
        <v>1.0079675881823833</v>
      </c>
      <c r="P114" s="218"/>
      <c r="Q114" s="211"/>
    </row>
    <row r="115" spans="2:17">
      <c r="B115" s="212">
        <v>45792</v>
      </c>
      <c r="C115" s="203">
        <f>NETWORKDAYS(B114,B115,TAB_FERIADOS[FER_DATA])-1</f>
        <v>20</v>
      </c>
      <c r="E115" s="202">
        <f>'Cálculo PU'!M137</f>
        <v>20</v>
      </c>
      <c r="F115" s="210">
        <f t="shared" si="3"/>
        <v>0</v>
      </c>
      <c r="H115">
        <v>20</v>
      </c>
      <c r="I115" s="210">
        <f t="shared" si="4"/>
        <v>0</v>
      </c>
      <c r="L115" s="216">
        <v>1.0019616526860928</v>
      </c>
      <c r="M115" s="208">
        <f>'Cálculo PU'!N137</f>
        <v>1.0019616526860928</v>
      </c>
      <c r="N115" s="211">
        <f t="shared" si="5"/>
        <v>0</v>
      </c>
      <c r="O115" s="219">
        <v>1.0083886889739193</v>
      </c>
      <c r="P115" s="218"/>
      <c r="Q115" s="211"/>
    </row>
    <row r="116" spans="2:17">
      <c r="B116" s="212">
        <v>45821</v>
      </c>
      <c r="C116" s="203">
        <f>NETWORKDAYS(B115,B116,TAB_FERIADOS[FER_DATA])-1</f>
        <v>21</v>
      </c>
      <c r="E116" s="202">
        <f>'Cálculo PU'!M138</f>
        <v>21</v>
      </c>
      <c r="F116" s="210">
        <f t="shared" si="3"/>
        <v>0</v>
      </c>
      <c r="H116">
        <v>21</v>
      </c>
      <c r="I116" s="210">
        <f t="shared" si="4"/>
        <v>0</v>
      </c>
      <c r="L116" s="216">
        <v>1.0020598362698427</v>
      </c>
      <c r="M116" s="208">
        <f>'Cálculo PU'!N138</f>
        <v>1.0020598362698427</v>
      </c>
      <c r="N116" s="211">
        <f t="shared" si="5"/>
        <v>0</v>
      </c>
      <c r="O116" s="219">
        <v>1.0088099657659073</v>
      </c>
      <c r="P116" s="218"/>
      <c r="Q116" s="211"/>
    </row>
    <row r="117" spans="2:17">
      <c r="B117" s="212">
        <v>45852</v>
      </c>
      <c r="C117" s="203">
        <f>NETWORKDAYS(B116,B117,TAB_FERIADOS[FER_DATA])-1</f>
        <v>20</v>
      </c>
      <c r="E117" s="202">
        <f>'Cálculo PU'!M139</f>
        <v>20</v>
      </c>
      <c r="F117" s="210">
        <f t="shared" si="3"/>
        <v>0</v>
      </c>
      <c r="H117">
        <v>20</v>
      </c>
      <c r="I117" s="210">
        <f t="shared" si="4"/>
        <v>0</v>
      </c>
      <c r="L117" s="216">
        <v>1.0019616526860928</v>
      </c>
      <c r="M117" s="208">
        <f>'Cálculo PU'!N139</f>
        <v>1.0019616526860928</v>
      </c>
      <c r="N117" s="211">
        <f t="shared" si="5"/>
        <v>0</v>
      </c>
      <c r="O117" s="219">
        <v>1.0083319240608521</v>
      </c>
      <c r="P117" s="218"/>
      <c r="Q117" s="211"/>
    </row>
    <row r="118" spans="2:17">
      <c r="B118" s="212">
        <v>45883</v>
      </c>
      <c r="C118" s="203">
        <f>NETWORKDAYS(B117,B118,TAB_FERIADOS[FER_DATA])-1</f>
        <v>23</v>
      </c>
      <c r="E118" s="202">
        <f>'Cálculo PU'!M140</f>
        <v>23</v>
      </c>
      <c r="F118" s="210">
        <f t="shared" si="3"/>
        <v>0</v>
      </c>
      <c r="H118">
        <v>23</v>
      </c>
      <c r="I118" s="210">
        <f t="shared" si="4"/>
        <v>0</v>
      </c>
      <c r="L118" s="216">
        <v>1.0022562323017139</v>
      </c>
      <c r="M118" s="208">
        <f>'Cálculo PU'!N140</f>
        <v>1.0022562323017139</v>
      </c>
      <c r="N118" s="211">
        <f t="shared" si="5"/>
        <v>0</v>
      </c>
      <c r="O118" s="219">
        <v>1.0093916276269472</v>
      </c>
      <c r="P118" s="218"/>
      <c r="Q118" s="211"/>
    </row>
    <row r="119" spans="2:17">
      <c r="B119" s="212">
        <v>45912</v>
      </c>
      <c r="C119" s="203">
        <f>NETWORKDAYS(B118,B119,TAB_FERIADOS[FER_DATA])-1</f>
        <v>21</v>
      </c>
      <c r="E119" s="202">
        <f>'Cálculo PU'!M141</f>
        <v>21</v>
      </c>
      <c r="F119" s="210">
        <f t="shared" si="3"/>
        <v>0</v>
      </c>
      <c r="H119">
        <v>21</v>
      </c>
      <c r="I119" s="210">
        <f t="shared" si="4"/>
        <v>0</v>
      </c>
      <c r="L119" s="216">
        <v>1.0020598362698427</v>
      </c>
      <c r="M119" s="208">
        <f>'Cálculo PU'!N141</f>
        <v>1.0020598362698427</v>
      </c>
      <c r="N119" s="211">
        <f t="shared" si="5"/>
        <v>0</v>
      </c>
      <c r="O119" s="219">
        <v>1.0085714747767223</v>
      </c>
      <c r="P119" s="218"/>
      <c r="Q119" s="211"/>
    </row>
    <row r="120" spans="2:17">
      <c r="B120" s="212">
        <v>45944</v>
      </c>
      <c r="C120" s="203">
        <f>NETWORKDAYS(B119,B120,TAB_FERIADOS[FER_DATA])-1</f>
        <v>22</v>
      </c>
      <c r="E120" s="202">
        <f>'Cálculo PU'!M142</f>
        <v>22</v>
      </c>
      <c r="F120" s="210">
        <f t="shared" si="3"/>
        <v>0</v>
      </c>
      <c r="H120">
        <v>22</v>
      </c>
      <c r="I120" s="210">
        <f t="shared" si="4"/>
        <v>0</v>
      </c>
      <c r="L120" s="216">
        <v>1.0021580294747356</v>
      </c>
      <c r="M120" s="208">
        <f>'Cálculo PU'!N142</f>
        <v>1.0021580294747356</v>
      </c>
      <c r="N120" s="211">
        <f t="shared" si="5"/>
        <v>0</v>
      </c>
      <c r="O120" s="219">
        <v>1.008981467833348</v>
      </c>
      <c r="P120" s="218"/>
      <c r="Q120" s="211"/>
    </row>
    <row r="121" spans="2:17">
      <c r="B121" s="212">
        <v>45975</v>
      </c>
      <c r="C121" s="203">
        <f>NETWORKDAYS(B120,B121,TAB_FERIADOS[FER_DATA])-1</f>
        <v>23</v>
      </c>
      <c r="E121" s="202">
        <f>'Cálculo PU'!M143</f>
        <v>23</v>
      </c>
      <c r="F121" s="210">
        <f t="shared" si="3"/>
        <v>0</v>
      </c>
      <c r="H121">
        <v>23</v>
      </c>
      <c r="I121" s="210">
        <f t="shared" si="4"/>
        <v>0</v>
      </c>
      <c r="L121" s="216">
        <v>1.0022562323017139</v>
      </c>
      <c r="M121" s="208">
        <f>'Cálculo PU'!N143</f>
        <v>1.0022562323017139</v>
      </c>
      <c r="N121" s="211">
        <f t="shared" si="5"/>
        <v>0</v>
      </c>
      <c r="O121" s="219">
        <v>1.0093916276125823</v>
      </c>
      <c r="P121" s="218"/>
      <c r="Q121" s="211"/>
    </row>
    <row r="122" spans="2:17">
      <c r="B122" s="212">
        <v>46003</v>
      </c>
      <c r="C122" s="203">
        <f>NETWORKDAYS(B121,B122,TAB_FERIADOS[FER_DATA])-1</f>
        <v>20</v>
      </c>
      <c r="E122" s="202">
        <f>'Cálculo PU'!M144</f>
        <v>20</v>
      </c>
      <c r="F122" s="210">
        <f t="shared" si="3"/>
        <v>0</v>
      </c>
      <c r="H122">
        <v>20</v>
      </c>
      <c r="I122" s="210">
        <f t="shared" si="4"/>
        <v>0</v>
      </c>
      <c r="L122" s="216">
        <v>1.0019616526860928</v>
      </c>
      <c r="M122" s="208">
        <f>'Cálculo PU'!N144</f>
        <v>1.0019616526860928</v>
      </c>
      <c r="N122" s="211">
        <f t="shared" si="5"/>
        <v>0</v>
      </c>
      <c r="O122" s="219">
        <v>1.0081616483162115</v>
      </c>
      <c r="P122" s="218"/>
      <c r="Q122" s="211"/>
    </row>
    <row r="123" spans="2:17">
      <c r="B123" s="212">
        <v>46037</v>
      </c>
      <c r="C123" s="203">
        <f>NETWORKDAYS(B122,B123,TAB_FERIADOS[FER_DATA])-1</f>
        <v>22</v>
      </c>
      <c r="E123" s="202">
        <f>'Cálculo PU'!M145</f>
        <v>22</v>
      </c>
      <c r="F123" s="210">
        <f t="shared" si="3"/>
        <v>0</v>
      </c>
      <c r="H123">
        <v>22</v>
      </c>
      <c r="I123" s="210">
        <f t="shared" si="4"/>
        <v>0</v>
      </c>
      <c r="L123" s="216">
        <v>1.0021580294747356</v>
      </c>
      <c r="M123" s="208">
        <f>'Cálculo PU'!N145</f>
        <v>1.0021580294747356</v>
      </c>
      <c r="N123" s="211">
        <f t="shared" si="5"/>
        <v>0</v>
      </c>
      <c r="O123" s="219">
        <v>1.0090632865788951</v>
      </c>
      <c r="P123" s="218"/>
      <c r="Q123" s="211"/>
    </row>
    <row r="124" spans="2:17">
      <c r="B124" s="212">
        <v>46066</v>
      </c>
      <c r="C124" s="203">
        <f>NETWORKDAYS(B123,B124,TAB_FERIADOS[FER_DATA])-1</f>
        <v>21</v>
      </c>
      <c r="E124" s="202">
        <f>'Cálculo PU'!M146</f>
        <v>21</v>
      </c>
      <c r="F124" s="210">
        <f t="shared" si="3"/>
        <v>0</v>
      </c>
      <c r="H124">
        <v>21</v>
      </c>
      <c r="I124" s="210">
        <f t="shared" si="4"/>
        <v>0</v>
      </c>
      <c r="L124" s="216">
        <v>1.0020598362698427</v>
      </c>
      <c r="M124" s="208">
        <f>'Cálculo PU'!N146</f>
        <v>1.0020598362698427</v>
      </c>
      <c r="N124" s="211">
        <f t="shared" si="5"/>
        <v>0</v>
      </c>
      <c r="O124" s="219">
        <v>1.0089150184497597</v>
      </c>
      <c r="P124" s="218"/>
      <c r="Q124" s="211"/>
    </row>
    <row r="125" spans="2:17">
      <c r="B125" s="212">
        <v>46094</v>
      </c>
      <c r="C125" s="203">
        <f>NETWORKDAYS(B124,B125,TAB_FERIADOS[FER_DATA])-1</f>
        <v>18</v>
      </c>
      <c r="E125" s="202">
        <f>'Cálculo PU'!M147</f>
        <v>18</v>
      </c>
      <c r="F125" s="210">
        <f t="shared" si="3"/>
        <v>0</v>
      </c>
      <c r="H125">
        <v>18</v>
      </c>
      <c r="I125" s="210">
        <f t="shared" si="4"/>
        <v>0</v>
      </c>
      <c r="L125" s="216">
        <v>1.0017653143782506</v>
      </c>
      <c r="M125" s="208">
        <f>'Cálculo PU'!N147</f>
        <v>1.0017653143782506</v>
      </c>
      <c r="N125" s="211">
        <f t="shared" si="5"/>
        <v>0</v>
      </c>
      <c r="O125" s="219">
        <v>1.0076365948824904</v>
      </c>
      <c r="P125" s="218"/>
      <c r="Q125" s="211"/>
    </row>
    <row r="126" spans="2:17">
      <c r="B126" s="212">
        <v>46127</v>
      </c>
      <c r="C126" s="203">
        <f>NETWORKDAYS(B125,B126,TAB_FERIADOS[FER_DATA])-1</f>
        <v>22</v>
      </c>
      <c r="E126" s="202">
        <f>'Cálculo PU'!M148</f>
        <v>22</v>
      </c>
      <c r="F126" s="210">
        <f t="shared" si="3"/>
        <v>0</v>
      </c>
      <c r="H126">
        <v>22</v>
      </c>
      <c r="I126" s="210">
        <f t="shared" si="4"/>
        <v>0</v>
      </c>
      <c r="L126" s="216">
        <v>1.0021580294747356</v>
      </c>
      <c r="M126" s="208">
        <f>'Cálculo PU'!N148</f>
        <v>1.0021580294747356</v>
      </c>
      <c r="N126" s="211">
        <f t="shared" si="5"/>
        <v>0</v>
      </c>
      <c r="O126" s="219">
        <v>1.0093415200148448</v>
      </c>
      <c r="P126" s="218"/>
      <c r="Q126" s="211"/>
    </row>
    <row r="127" spans="2:17">
      <c r="B127" s="212">
        <v>46157</v>
      </c>
      <c r="C127" s="203">
        <f>NETWORKDAYS(B126,B127,TAB_FERIADOS[FER_DATA])-1</f>
        <v>20</v>
      </c>
      <c r="E127" s="202">
        <f>'Cálculo PU'!M149</f>
        <v>20</v>
      </c>
      <c r="F127" s="210">
        <f t="shared" si="3"/>
        <v>0</v>
      </c>
      <c r="H127">
        <v>20</v>
      </c>
      <c r="I127" s="210">
        <f t="shared" si="4"/>
        <v>0</v>
      </c>
      <c r="L127" s="216">
        <v>1.0019616526860928</v>
      </c>
      <c r="M127" s="208">
        <f>'Cálculo PU'!N149</f>
        <v>1.0019616526860928</v>
      </c>
      <c r="N127" s="211">
        <f t="shared" si="5"/>
        <v>0</v>
      </c>
      <c r="O127" s="219">
        <v>1.0084886971327627</v>
      </c>
      <c r="P127" s="218"/>
      <c r="Q127" s="211"/>
    </row>
    <row r="128" spans="2:17">
      <c r="B128" s="212">
        <v>46188</v>
      </c>
      <c r="C128" s="203">
        <f>NETWORKDAYS(B127,B128,TAB_FERIADOS[FER_DATA])-1</f>
        <v>20</v>
      </c>
      <c r="E128" s="202">
        <f>'Cálculo PU'!M150</f>
        <v>20</v>
      </c>
      <c r="F128" s="210">
        <f t="shared" si="3"/>
        <v>0</v>
      </c>
      <c r="H128">
        <v>20</v>
      </c>
      <c r="I128" s="210">
        <f t="shared" si="4"/>
        <v>0</v>
      </c>
      <c r="L128" s="216">
        <v>1.0019616526860928</v>
      </c>
      <c r="M128" s="208">
        <f>'Cálculo PU'!N150</f>
        <v>1.0019616526860928</v>
      </c>
      <c r="N128" s="211">
        <f t="shared" si="5"/>
        <v>0</v>
      </c>
      <c r="O128" s="219">
        <v>1.0084886971442053</v>
      </c>
      <c r="P128" s="218"/>
      <c r="Q128" s="211"/>
    </row>
    <row r="129" spans="2:17">
      <c r="B129" s="212">
        <v>46217</v>
      </c>
      <c r="C129" s="203">
        <f>NETWORKDAYS(B128,B129,TAB_FERIADOS[FER_DATA])-1</f>
        <v>21</v>
      </c>
      <c r="E129" s="202">
        <f>'Cálculo PU'!M151</f>
        <v>21</v>
      </c>
      <c r="F129" s="210">
        <f t="shared" si="3"/>
        <v>0</v>
      </c>
      <c r="H129">
        <v>21</v>
      </c>
      <c r="I129" s="210">
        <f t="shared" si="4"/>
        <v>0</v>
      </c>
      <c r="L129" s="216">
        <v>1.0020598362698427</v>
      </c>
      <c r="M129" s="208">
        <f>'Cálculo PU'!N151</f>
        <v>1.0020598362698427</v>
      </c>
      <c r="N129" s="211">
        <f t="shared" si="5"/>
        <v>0</v>
      </c>
      <c r="O129" s="219">
        <v>1.0088513086176085</v>
      </c>
      <c r="P129" s="218"/>
      <c r="Q129" s="211"/>
    </row>
    <row r="130" spans="2:17">
      <c r="B130" s="212">
        <v>46248</v>
      </c>
      <c r="C130" s="203">
        <f>NETWORKDAYS(B129,B130,TAB_FERIADOS[FER_DATA])-1</f>
        <v>23</v>
      </c>
      <c r="E130" s="202">
        <f>'Cálculo PU'!M152</f>
        <v>23</v>
      </c>
      <c r="F130" s="210">
        <f t="shared" si="3"/>
        <v>0</v>
      </c>
      <c r="H130">
        <v>23</v>
      </c>
      <c r="I130" s="210">
        <f t="shared" si="4"/>
        <v>0</v>
      </c>
      <c r="L130" s="216">
        <v>1.0022562323017139</v>
      </c>
      <c r="M130" s="208">
        <f>'Cálculo PU'!N152</f>
        <v>1.0022562323017139</v>
      </c>
      <c r="N130" s="211">
        <f t="shared" si="5"/>
        <v>0</v>
      </c>
      <c r="O130" s="219">
        <v>1.0094749220836507</v>
      </c>
      <c r="P130" s="218"/>
      <c r="Q130" s="211"/>
    </row>
    <row r="131" spans="2:17">
      <c r="B131" s="212">
        <v>46280</v>
      </c>
      <c r="C131" s="203">
        <f>NETWORKDAYS(B130,B131,TAB_FERIADOS[FER_DATA])-1</f>
        <v>21</v>
      </c>
      <c r="E131" s="202">
        <f>'Cálculo PU'!M153</f>
        <v>21</v>
      </c>
      <c r="F131" s="210">
        <f t="shared" si="3"/>
        <v>0</v>
      </c>
      <c r="H131">
        <v>21</v>
      </c>
      <c r="I131" s="210">
        <f t="shared" si="4"/>
        <v>0</v>
      </c>
      <c r="L131" s="216">
        <v>1.0020598362698427</v>
      </c>
      <c r="M131" s="208">
        <f>'Cálculo PU'!N153</f>
        <v>1.0020598362698427</v>
      </c>
      <c r="N131" s="211">
        <f t="shared" si="5"/>
        <v>0</v>
      </c>
      <c r="O131" s="219">
        <v>1.0086474641746681</v>
      </c>
      <c r="P131" s="218"/>
      <c r="Q131" s="211"/>
    </row>
    <row r="132" spans="2:17">
      <c r="B132" s="212">
        <v>46310</v>
      </c>
      <c r="C132" s="203">
        <f>NETWORKDAYS(B131,B132,TAB_FERIADOS[FER_DATA])-1</f>
        <v>21</v>
      </c>
      <c r="E132" s="202">
        <f>'Cálculo PU'!M154</f>
        <v>21</v>
      </c>
      <c r="F132" s="210">
        <f t="shared" ref="F132:F146" si="6">C132-E132</f>
        <v>0</v>
      </c>
      <c r="H132">
        <v>21</v>
      </c>
      <c r="I132" s="210">
        <f t="shared" ref="I132:I146" si="7">C132-H132</f>
        <v>0</v>
      </c>
      <c r="L132" s="216">
        <v>1.0020598362698427</v>
      </c>
      <c r="M132" s="208">
        <f>'Cálculo PU'!N154</f>
        <v>1.0020598362698427</v>
      </c>
      <c r="N132" s="211">
        <f t="shared" ref="N132:N146" si="8">L132-M132</f>
        <v>0</v>
      </c>
      <c r="O132" s="219">
        <v>1.0086474642343612</v>
      </c>
      <c r="P132" s="218"/>
      <c r="Q132" s="211"/>
    </row>
    <row r="133" spans="2:17">
      <c r="B133" s="212">
        <v>46342</v>
      </c>
      <c r="C133" s="203">
        <f>NETWORKDAYS(B132,B133,TAB_FERIADOS[FER_DATA])-1</f>
        <v>21</v>
      </c>
      <c r="E133" s="202">
        <f>'Cálculo PU'!M155</f>
        <v>21</v>
      </c>
      <c r="F133" s="210">
        <f t="shared" si="6"/>
        <v>0</v>
      </c>
      <c r="H133">
        <v>21</v>
      </c>
      <c r="I133" s="210">
        <f t="shared" si="7"/>
        <v>0</v>
      </c>
      <c r="L133" s="216">
        <v>1.0020598362698427</v>
      </c>
      <c r="M133" s="208">
        <f>'Cálculo PU'!N155</f>
        <v>1.0020598362698427</v>
      </c>
      <c r="N133" s="211">
        <f t="shared" si="8"/>
        <v>0</v>
      </c>
      <c r="O133" s="219">
        <v>1.008647464162449</v>
      </c>
      <c r="P133" s="218"/>
      <c r="Q133" s="211"/>
    </row>
    <row r="134" spans="2:17">
      <c r="B134" s="212">
        <v>46370</v>
      </c>
      <c r="C134" s="203">
        <f>NETWORKDAYS(B133,B134,TAB_FERIADOS[FER_DATA])-1</f>
        <v>20</v>
      </c>
      <c r="E134" s="202">
        <f>'Cálculo PU'!M156</f>
        <v>20</v>
      </c>
      <c r="F134" s="210">
        <f t="shared" si="6"/>
        <v>0</v>
      </c>
      <c r="H134">
        <v>20</v>
      </c>
      <c r="I134" s="210">
        <f t="shared" si="7"/>
        <v>0</v>
      </c>
      <c r="L134" s="216">
        <v>1.0019616526860928</v>
      </c>
      <c r="M134" s="208">
        <f>'Cálculo PU'!N156</f>
        <v>1.0019616526860928</v>
      </c>
      <c r="N134" s="211">
        <f t="shared" si="8"/>
        <v>0</v>
      </c>
      <c r="O134" s="219">
        <v>1.0082339896181327</v>
      </c>
      <c r="P134" s="218"/>
      <c r="Q134" s="211"/>
    </row>
    <row r="135" spans="2:17">
      <c r="B135" s="212">
        <v>46402</v>
      </c>
      <c r="C135" s="203">
        <f>NETWORKDAYS(B134,B135,TAB_FERIADOS[FER_DATA])-1</f>
        <v>22</v>
      </c>
      <c r="E135" s="202">
        <f>'Cálculo PU'!M157</f>
        <v>22</v>
      </c>
      <c r="F135" s="210">
        <f t="shared" si="6"/>
        <v>0</v>
      </c>
      <c r="H135">
        <v>22</v>
      </c>
      <c r="I135" s="210">
        <f t="shared" si="7"/>
        <v>0</v>
      </c>
      <c r="L135" s="216">
        <v>1.0021580294747356</v>
      </c>
      <c r="M135" s="208">
        <f>'Cálculo PU'!N157</f>
        <v>1.0021580294747356</v>
      </c>
      <c r="N135" s="211">
        <f t="shared" si="8"/>
        <v>0</v>
      </c>
      <c r="O135" s="219">
        <v>1.0090199891446732</v>
      </c>
      <c r="P135" s="218"/>
      <c r="Q135" s="211"/>
    </row>
    <row r="136" spans="2:17">
      <c r="B136" s="212">
        <v>46434</v>
      </c>
      <c r="C136" s="203">
        <f>NETWORKDAYS(B135,B136,TAB_FERIADOS[FER_DATA])-1</f>
        <v>20</v>
      </c>
      <c r="E136" s="202">
        <f>'Cálculo PU'!M158</f>
        <v>20</v>
      </c>
      <c r="F136" s="210">
        <f t="shared" si="6"/>
        <v>0</v>
      </c>
      <c r="H136">
        <v>20</v>
      </c>
      <c r="I136" s="210">
        <f t="shared" si="7"/>
        <v>0</v>
      </c>
      <c r="L136" s="216">
        <v>1.0019616526860928</v>
      </c>
      <c r="M136" s="208">
        <f>'Cálculo PU'!N158</f>
        <v>1.0019616526860928</v>
      </c>
      <c r="N136" s="211">
        <f t="shared" si="8"/>
        <v>0</v>
      </c>
      <c r="O136" s="219">
        <v>1.0080696578075388</v>
      </c>
      <c r="P136" s="218"/>
      <c r="Q136" s="211"/>
    </row>
    <row r="137" spans="2:17">
      <c r="B137" s="212">
        <v>46458</v>
      </c>
      <c r="C137" s="203">
        <f>NETWORKDAYS(B136,B137,TAB_FERIADOS[FER_DATA])-1</f>
        <v>18</v>
      </c>
      <c r="E137" s="202">
        <f>'Cálculo PU'!M159</f>
        <v>18</v>
      </c>
      <c r="F137" s="210">
        <f t="shared" si="6"/>
        <v>0</v>
      </c>
      <c r="H137">
        <v>18</v>
      </c>
      <c r="I137" s="210">
        <f t="shared" si="7"/>
        <v>0</v>
      </c>
      <c r="L137" s="216">
        <v>1.0017653143782506</v>
      </c>
      <c r="M137" s="208">
        <f>'Cálculo PU'!N159</f>
        <v>1.0017653143782506</v>
      </c>
      <c r="N137" s="211">
        <f t="shared" si="8"/>
        <v>0</v>
      </c>
      <c r="O137" s="219">
        <v>1.0072597703144321</v>
      </c>
      <c r="P137" s="218"/>
      <c r="Q137" s="211"/>
    </row>
    <row r="138" spans="2:17">
      <c r="B138" s="212">
        <v>46491</v>
      </c>
      <c r="C138" s="203">
        <f>NETWORKDAYS(B137,B138,TAB_FERIADOS[FER_DATA])-1</f>
        <v>22</v>
      </c>
      <c r="E138" s="202">
        <f>'Cálculo PU'!M160</f>
        <v>22</v>
      </c>
      <c r="F138" s="210">
        <f t="shared" si="6"/>
        <v>0</v>
      </c>
      <c r="H138">
        <v>22</v>
      </c>
      <c r="I138" s="210">
        <f t="shared" si="7"/>
        <v>0</v>
      </c>
      <c r="L138" s="216">
        <v>1.0021580294747356</v>
      </c>
      <c r="M138" s="208">
        <f>'Cálculo PU'!N160</f>
        <v>1.0021580294747356</v>
      </c>
      <c r="N138" s="211">
        <f t="shared" si="8"/>
        <v>0</v>
      </c>
      <c r="O138" s="219">
        <v>1.0088801964911278</v>
      </c>
      <c r="P138" s="218"/>
      <c r="Q138" s="211"/>
    </row>
    <row r="139" spans="2:17">
      <c r="B139" s="212">
        <v>46521</v>
      </c>
      <c r="C139" s="203">
        <f>NETWORKDAYS(B138,B139,TAB_FERIADOS[FER_DATA])-1</f>
        <v>21</v>
      </c>
      <c r="E139" s="202">
        <f>'Cálculo PU'!M161</f>
        <v>21</v>
      </c>
      <c r="F139" s="210">
        <f t="shared" si="6"/>
        <v>0</v>
      </c>
      <c r="H139">
        <v>21</v>
      </c>
      <c r="I139" s="210">
        <f t="shared" si="7"/>
        <v>0</v>
      </c>
      <c r="L139" s="216">
        <v>1.0020598362698427</v>
      </c>
      <c r="M139" s="208">
        <f>'Cálculo PU'!N161</f>
        <v>1.0020598362698427</v>
      </c>
      <c r="N139" s="211">
        <f t="shared" si="8"/>
        <v>0</v>
      </c>
      <c r="O139" s="219">
        <v>1.0084748457342643</v>
      </c>
      <c r="P139" s="218"/>
      <c r="Q139" s="211"/>
    </row>
    <row r="140" spans="2:17">
      <c r="B140" s="212">
        <v>46552</v>
      </c>
      <c r="C140" s="203">
        <f>NETWORKDAYS(B139,B140,TAB_FERIADOS[FER_DATA])-1</f>
        <v>20</v>
      </c>
      <c r="E140" s="202">
        <f>'Cálculo PU'!M162</f>
        <v>20</v>
      </c>
      <c r="F140" s="210">
        <f t="shared" si="6"/>
        <v>0</v>
      </c>
      <c r="H140">
        <v>20</v>
      </c>
      <c r="I140" s="210">
        <f t="shared" si="7"/>
        <v>0</v>
      </c>
      <c r="L140" s="216">
        <v>1.0019616526860928</v>
      </c>
      <c r="M140" s="208">
        <f>'Cálculo PU'!N162</f>
        <v>1.0019616526860928</v>
      </c>
      <c r="N140" s="211">
        <f t="shared" si="8"/>
        <v>0</v>
      </c>
      <c r="O140" s="219">
        <v>1.0080696578089703</v>
      </c>
      <c r="P140" s="218"/>
      <c r="Q140" s="211"/>
    </row>
    <row r="141" spans="2:17">
      <c r="B141" s="212">
        <v>46582</v>
      </c>
      <c r="C141" s="203">
        <f>NETWORKDAYS(B140,B141,TAB_FERIADOS[FER_DATA])-1</f>
        <v>22</v>
      </c>
      <c r="E141" s="202">
        <f>'Cálculo PU'!M163</f>
        <v>22</v>
      </c>
      <c r="F141" s="210">
        <f t="shared" si="6"/>
        <v>0</v>
      </c>
      <c r="H141">
        <v>22</v>
      </c>
      <c r="I141" s="210">
        <f t="shared" si="7"/>
        <v>0</v>
      </c>
      <c r="L141" s="216">
        <v>1.0021580294747356</v>
      </c>
      <c r="M141" s="208">
        <f>'Cálculo PU'!N163</f>
        <v>1.0021580294747356</v>
      </c>
      <c r="N141" s="211">
        <f t="shared" si="8"/>
        <v>0</v>
      </c>
      <c r="O141" s="219">
        <v>1.0088801965370895</v>
      </c>
      <c r="P141" s="218"/>
      <c r="Q141" s="211"/>
    </row>
    <row r="142" spans="2:17">
      <c r="B142" s="212">
        <v>46612</v>
      </c>
      <c r="C142" s="203">
        <f>NETWORKDAYS(B141,B142,TAB_FERIADOS[FER_DATA])-1</f>
        <v>22</v>
      </c>
      <c r="E142" s="202">
        <f>'Cálculo PU'!M164</f>
        <v>22</v>
      </c>
      <c r="F142" s="210">
        <f t="shared" si="6"/>
        <v>0</v>
      </c>
      <c r="H142">
        <v>22</v>
      </c>
      <c r="I142" s="210">
        <f t="shared" si="7"/>
        <v>0</v>
      </c>
      <c r="L142" s="216">
        <v>1.0021580294747356</v>
      </c>
      <c r="M142" s="208">
        <f>'Cálculo PU'!N164</f>
        <v>1.0021580294747356</v>
      </c>
      <c r="N142" s="211">
        <f t="shared" si="8"/>
        <v>0</v>
      </c>
      <c r="O142" s="219">
        <v>1.0088801964981908</v>
      </c>
      <c r="P142" s="218"/>
      <c r="Q142" s="211"/>
    </row>
    <row r="143" spans="2:17">
      <c r="B143" s="212">
        <v>46645</v>
      </c>
      <c r="C143" s="203">
        <f>NETWORKDAYS(B142,B143,TAB_FERIADOS[FER_DATA])-1</f>
        <v>22</v>
      </c>
      <c r="E143" s="202">
        <f>'Cálculo PU'!M165</f>
        <v>22</v>
      </c>
      <c r="F143" s="210">
        <f t="shared" si="6"/>
        <v>0</v>
      </c>
      <c r="H143">
        <v>22</v>
      </c>
      <c r="I143" s="210">
        <f t="shared" si="7"/>
        <v>0</v>
      </c>
      <c r="L143" s="216">
        <v>1.0021580294747356</v>
      </c>
      <c r="M143" s="208">
        <f>'Cálculo PU'!N165</f>
        <v>1.0021580294747356</v>
      </c>
      <c r="N143" s="211">
        <f t="shared" si="8"/>
        <v>0</v>
      </c>
      <c r="O143" s="219">
        <v>1.0088801965259153</v>
      </c>
      <c r="P143" s="218"/>
      <c r="Q143" s="211"/>
    </row>
    <row r="144" spans="2:17">
      <c r="B144" s="212">
        <v>46675</v>
      </c>
      <c r="C144" s="203">
        <f>NETWORKDAYS(B143,B144,TAB_FERIADOS[FER_DATA])-1</f>
        <v>21</v>
      </c>
      <c r="E144" s="202">
        <f>'Cálculo PU'!M166</f>
        <v>21</v>
      </c>
      <c r="F144" s="210">
        <f t="shared" si="6"/>
        <v>0</v>
      </c>
      <c r="H144">
        <v>21</v>
      </c>
      <c r="I144" s="210">
        <f t="shared" si="7"/>
        <v>0</v>
      </c>
      <c r="L144" s="216">
        <v>1.0020598362698427</v>
      </c>
      <c r="M144" s="208">
        <f>'Cálculo PU'!N166</f>
        <v>1.0020598362698427</v>
      </c>
      <c r="N144" s="211">
        <f t="shared" si="8"/>
        <v>0</v>
      </c>
      <c r="O144" s="219">
        <v>1.0084748457296877</v>
      </c>
      <c r="P144" s="218"/>
      <c r="Q144" s="211"/>
    </row>
    <row r="145" spans="2:17">
      <c r="B145" s="212">
        <v>46707</v>
      </c>
      <c r="C145" s="203">
        <f>NETWORKDAYS(B144,B145,TAB_FERIADOS[FER_DATA])-1</f>
        <v>20</v>
      </c>
      <c r="E145" s="202">
        <f>'Cálculo PU'!M167</f>
        <v>20</v>
      </c>
      <c r="F145" s="210">
        <f t="shared" si="6"/>
        <v>0</v>
      </c>
      <c r="H145">
        <v>20</v>
      </c>
      <c r="I145" s="210">
        <f t="shared" si="7"/>
        <v>0</v>
      </c>
      <c r="L145" s="216">
        <v>1.0019616526860928</v>
      </c>
      <c r="M145" s="208">
        <f>'Cálculo PU'!N167</f>
        <v>1.0019616526860928</v>
      </c>
      <c r="N145" s="211">
        <f t="shared" si="8"/>
        <v>0</v>
      </c>
      <c r="O145" s="219">
        <v>1.0080696578016008</v>
      </c>
      <c r="P145" s="218"/>
      <c r="Q145" s="211"/>
    </row>
    <row r="146" spans="2:17">
      <c r="B146" s="212">
        <v>46735</v>
      </c>
      <c r="C146" s="203">
        <f>NETWORKDAYS(B145,B146,TAB_FERIADOS[FER_DATA])-1</f>
        <v>20</v>
      </c>
      <c r="E146" s="202">
        <f>'Cálculo PU'!M168</f>
        <v>20</v>
      </c>
      <c r="F146" s="210">
        <f t="shared" si="6"/>
        <v>0</v>
      </c>
      <c r="H146">
        <v>20</v>
      </c>
      <c r="I146" s="210">
        <f t="shared" si="7"/>
        <v>0</v>
      </c>
      <c r="L146" s="216">
        <v>1.0019616526860928</v>
      </c>
      <c r="M146" s="208">
        <f>'Cálculo PU'!N168</f>
        <v>1.0019616526860928</v>
      </c>
      <c r="N146" s="211">
        <f t="shared" si="8"/>
        <v>0</v>
      </c>
      <c r="O146" s="219">
        <v>1.0080696577879735</v>
      </c>
      <c r="P146" s="218"/>
      <c r="Q146" s="211"/>
    </row>
    <row r="147" spans="2:17">
      <c r="M147" s="215"/>
    </row>
    <row r="148" spans="2:17">
      <c r="M148" s="215"/>
    </row>
    <row r="149" spans="2:17">
      <c r="M149" s="215"/>
    </row>
    <row r="150" spans="2:17">
      <c r="M150" s="215"/>
    </row>
    <row r="151" spans="2:17">
      <c r="M151" s="215"/>
    </row>
    <row r="152" spans="2:17">
      <c r="M152" s="215"/>
    </row>
    <row r="153" spans="2:17">
      <c r="M153" s="215"/>
    </row>
    <row r="154" spans="2:17">
      <c r="M154" s="215"/>
    </row>
    <row r="155" spans="2:17">
      <c r="M155" s="215"/>
    </row>
    <row r="156" spans="2:17">
      <c r="M156" s="215"/>
    </row>
    <row r="157" spans="2:17">
      <c r="M157" s="215"/>
    </row>
    <row r="158" spans="2:17">
      <c r="M158" s="215"/>
    </row>
    <row r="159" spans="2:17">
      <c r="M159" s="215"/>
    </row>
    <row r="160" spans="2:17">
      <c r="M160" s="215"/>
    </row>
    <row r="161" spans="13:13">
      <c r="M161" s="215"/>
    </row>
    <row r="162" spans="13:13">
      <c r="M162" s="215"/>
    </row>
    <row r="163" spans="13:13">
      <c r="M163" s="215"/>
    </row>
    <row r="164" spans="13:13">
      <c r="M164" s="215"/>
    </row>
    <row r="165" spans="13:13">
      <c r="M165" s="215"/>
    </row>
    <row r="166" spans="13:13">
      <c r="M166" s="215"/>
    </row>
    <row r="167" spans="13:13">
      <c r="M167" s="215"/>
    </row>
    <row r="168" spans="13:13">
      <c r="M168" s="215"/>
    </row>
    <row r="169" spans="13:13">
      <c r="M169" s="215"/>
    </row>
    <row r="170" spans="13:13">
      <c r="M170" s="215"/>
    </row>
    <row r="171" spans="13:13">
      <c r="M171" s="215"/>
    </row>
    <row r="172" spans="13:13">
      <c r="M172" s="215"/>
    </row>
    <row r="173" spans="13:13">
      <c r="M173" s="215"/>
    </row>
    <row r="174" spans="13:13">
      <c r="M174" s="215"/>
    </row>
    <row r="175" spans="13:13">
      <c r="M175" s="215"/>
    </row>
    <row r="176" spans="13:13">
      <c r="M176" s="215"/>
    </row>
    <row r="177" spans="13:13">
      <c r="M177" s="215"/>
    </row>
    <row r="178" spans="13:13">
      <c r="M178" s="215"/>
    </row>
    <row r="179" spans="13:13">
      <c r="M179" s="215"/>
    </row>
    <row r="180" spans="13:13">
      <c r="M180" s="215"/>
    </row>
    <row r="181" spans="13:13">
      <c r="M181" s="215"/>
    </row>
    <row r="182" spans="13:13">
      <c r="M182" s="215"/>
    </row>
    <row r="183" spans="13:13">
      <c r="M183" s="215"/>
    </row>
    <row r="184" spans="13:13">
      <c r="M184" s="215"/>
    </row>
    <row r="185" spans="13:13">
      <c r="M185" s="215"/>
    </row>
    <row r="186" spans="13:13">
      <c r="M186" s="215"/>
    </row>
    <row r="187" spans="13:13">
      <c r="M187" s="215"/>
    </row>
    <row r="188" spans="13:13">
      <c r="M188" s="215"/>
    </row>
    <row r="189" spans="13:13">
      <c r="M189" s="215"/>
    </row>
    <row r="190" spans="13:13">
      <c r="M190" s="215"/>
    </row>
    <row r="191" spans="13:13">
      <c r="M191" s="215"/>
    </row>
    <row r="192" spans="13:13">
      <c r="M192" s="215"/>
    </row>
    <row r="193" spans="13:13">
      <c r="M193" s="215"/>
    </row>
    <row r="194" spans="13:13">
      <c r="M194" s="215"/>
    </row>
    <row r="195" spans="13:13">
      <c r="M195" s="215"/>
    </row>
    <row r="196" spans="13:13">
      <c r="M196" s="215"/>
    </row>
    <row r="197" spans="13:13">
      <c r="M197" s="215"/>
    </row>
    <row r="198" spans="13:13">
      <c r="M198" s="215"/>
    </row>
    <row r="199" spans="13:13">
      <c r="M199" s="215"/>
    </row>
    <row r="200" spans="13:13">
      <c r="M200" s="215"/>
    </row>
    <row r="201" spans="13:13">
      <c r="M201" s="215"/>
    </row>
    <row r="202" spans="13:13">
      <c r="M202" s="215"/>
    </row>
    <row r="203" spans="13:13">
      <c r="M203" s="215"/>
    </row>
    <row r="204" spans="13:13">
      <c r="M204" s="215"/>
    </row>
    <row r="205" spans="13:13">
      <c r="M205" s="215"/>
    </row>
    <row r="206" spans="13:13">
      <c r="M206" s="215"/>
    </row>
    <row r="207" spans="13:13">
      <c r="M207" s="215"/>
    </row>
    <row r="208" spans="13:13">
      <c r="M208" s="215"/>
    </row>
    <row r="209" spans="13:13">
      <c r="M209" s="215"/>
    </row>
    <row r="210" spans="13:13">
      <c r="M210" s="215"/>
    </row>
    <row r="211" spans="13:13">
      <c r="M211" s="215"/>
    </row>
    <row r="212" spans="13:13">
      <c r="M212" s="215"/>
    </row>
    <row r="213" spans="13:13">
      <c r="M213" s="215"/>
    </row>
    <row r="214" spans="13:13">
      <c r="M214" s="215"/>
    </row>
    <row r="215" spans="13:13">
      <c r="M215" s="215"/>
    </row>
    <row r="216" spans="13:13">
      <c r="M216" s="215"/>
    </row>
    <row r="217" spans="13:13">
      <c r="M217" s="215"/>
    </row>
    <row r="218" spans="13:13">
      <c r="M218" s="215"/>
    </row>
    <row r="219" spans="13:13">
      <c r="M219" s="215"/>
    </row>
    <row r="220" spans="13:13">
      <c r="M220" s="215"/>
    </row>
    <row r="221" spans="13:13">
      <c r="M221" s="215"/>
    </row>
    <row r="222" spans="13:13">
      <c r="M222" s="215"/>
    </row>
    <row r="223" spans="13:13">
      <c r="M223" s="215"/>
    </row>
    <row r="224" spans="13:13">
      <c r="M224" s="215"/>
    </row>
    <row r="225" spans="13:13">
      <c r="M225" s="215"/>
    </row>
    <row r="226" spans="13:13">
      <c r="M226" s="215"/>
    </row>
    <row r="227" spans="13:13">
      <c r="M227" s="215"/>
    </row>
    <row r="228" spans="13:13">
      <c r="M228" s="215"/>
    </row>
    <row r="229" spans="13:13">
      <c r="M229" s="215"/>
    </row>
    <row r="230" spans="13:13">
      <c r="M230" s="215"/>
    </row>
    <row r="231" spans="13:13">
      <c r="M231" s="215"/>
    </row>
    <row r="232" spans="13:13">
      <c r="M232" s="215"/>
    </row>
    <row r="233" spans="13:13">
      <c r="M233" s="215"/>
    </row>
    <row r="234" spans="13:13">
      <c r="M234" s="215"/>
    </row>
    <row r="235" spans="13:13">
      <c r="M235" s="215"/>
    </row>
    <row r="236" spans="13:13">
      <c r="M236" s="215"/>
    </row>
    <row r="237" spans="13:13">
      <c r="M237" s="215"/>
    </row>
    <row r="238" spans="13:13">
      <c r="M238" s="215"/>
    </row>
    <row r="239" spans="13:13">
      <c r="M239" s="215"/>
    </row>
    <row r="240" spans="13:13">
      <c r="M240" s="215"/>
    </row>
    <row r="241" spans="13:13">
      <c r="M241" s="215"/>
    </row>
    <row r="242" spans="13:13">
      <c r="M242" s="215"/>
    </row>
    <row r="243" spans="13:13">
      <c r="M243" s="215"/>
    </row>
    <row r="244" spans="13:13">
      <c r="M244" s="215"/>
    </row>
    <row r="245" spans="13:13">
      <c r="M245" s="215"/>
    </row>
    <row r="246" spans="13:13">
      <c r="M246" s="215"/>
    </row>
    <row r="247" spans="13:13">
      <c r="M247" s="215"/>
    </row>
    <row r="248" spans="13:13">
      <c r="M248" s="215"/>
    </row>
    <row r="249" spans="13:13">
      <c r="M249" s="215"/>
    </row>
    <row r="250" spans="13:13">
      <c r="M250" s="215"/>
    </row>
    <row r="251" spans="13:13">
      <c r="M251" s="215"/>
    </row>
    <row r="252" spans="13:13">
      <c r="M252" s="215"/>
    </row>
    <row r="253" spans="13:13">
      <c r="M253" s="215"/>
    </row>
    <row r="254" spans="13:13">
      <c r="M254" s="215"/>
    </row>
    <row r="255" spans="13:13">
      <c r="M255" s="215"/>
    </row>
    <row r="256" spans="13:13">
      <c r="M256" s="215"/>
    </row>
    <row r="257" spans="13:13">
      <c r="M257" s="215"/>
    </row>
    <row r="258" spans="13:13">
      <c r="M258" s="215"/>
    </row>
    <row r="259" spans="13:13">
      <c r="M259" s="215"/>
    </row>
    <row r="260" spans="13:13">
      <c r="M260" s="215"/>
    </row>
    <row r="261" spans="13:13">
      <c r="M261" s="215"/>
    </row>
    <row r="262" spans="13:13">
      <c r="M262" s="215"/>
    </row>
    <row r="263" spans="13:13">
      <c r="M263" s="215"/>
    </row>
    <row r="264" spans="13:13">
      <c r="M264" s="215"/>
    </row>
    <row r="265" spans="13:13">
      <c r="M265" s="215"/>
    </row>
    <row r="266" spans="13:13">
      <c r="M266" s="215"/>
    </row>
    <row r="267" spans="13:13">
      <c r="M267" s="215"/>
    </row>
    <row r="268" spans="13:13">
      <c r="M268" s="215"/>
    </row>
    <row r="269" spans="13:13">
      <c r="M269" s="215"/>
    </row>
    <row r="270" spans="13:13">
      <c r="M270" s="215"/>
    </row>
    <row r="271" spans="13:13">
      <c r="M271" s="215"/>
    </row>
    <row r="272" spans="13:13">
      <c r="M272" s="215"/>
    </row>
    <row r="273" spans="13:13">
      <c r="M273" s="215"/>
    </row>
    <row r="274" spans="13:13">
      <c r="M274" s="215"/>
    </row>
    <row r="275" spans="13:13">
      <c r="M275" s="215"/>
    </row>
    <row r="276" spans="13:13">
      <c r="M276" s="215"/>
    </row>
    <row r="277" spans="13:13">
      <c r="M277" s="215"/>
    </row>
    <row r="278" spans="13:13">
      <c r="M278" s="215"/>
    </row>
    <row r="279" spans="13:13">
      <c r="M279" s="215"/>
    </row>
    <row r="280" spans="13:13">
      <c r="M280" s="215"/>
    </row>
    <row r="281" spans="13:13">
      <c r="M281" s="215"/>
    </row>
    <row r="282" spans="13:13">
      <c r="M282" s="215"/>
    </row>
    <row r="283" spans="13:13">
      <c r="M283" s="215"/>
    </row>
    <row r="284" spans="13:13">
      <c r="M284" s="215"/>
    </row>
    <row r="285" spans="13:13">
      <c r="M285" s="215"/>
    </row>
    <row r="286" spans="13:13">
      <c r="M286" s="215"/>
    </row>
    <row r="287" spans="13:13">
      <c r="M287" s="215"/>
    </row>
    <row r="288" spans="13:13">
      <c r="M288" s="215"/>
    </row>
    <row r="289" spans="13:13">
      <c r="M289" s="215"/>
    </row>
    <row r="290" spans="13:13">
      <c r="M290" s="215"/>
    </row>
    <row r="291" spans="13:13">
      <c r="M291" s="215"/>
    </row>
    <row r="292" spans="13:13">
      <c r="M292" s="215"/>
    </row>
    <row r="293" spans="13:13">
      <c r="M293" s="215"/>
    </row>
    <row r="294" spans="13:13">
      <c r="M294" s="215"/>
    </row>
    <row r="295" spans="13:13">
      <c r="M295" s="215"/>
    </row>
    <row r="296" spans="13:13">
      <c r="M296" s="215"/>
    </row>
    <row r="297" spans="13:13">
      <c r="M297" s="215"/>
    </row>
    <row r="298" spans="13:13">
      <c r="M298" s="215"/>
    </row>
    <row r="299" spans="13:13">
      <c r="M299" s="215"/>
    </row>
    <row r="300" spans="13:13">
      <c r="M300" s="215"/>
    </row>
    <row r="301" spans="13:13">
      <c r="M301" s="215"/>
    </row>
    <row r="302" spans="13:13">
      <c r="M302" s="215"/>
    </row>
    <row r="303" spans="13:13">
      <c r="M303" s="215"/>
    </row>
    <row r="304" spans="13:13">
      <c r="M304" s="215"/>
    </row>
    <row r="305" spans="13:13">
      <c r="M305" s="215"/>
    </row>
    <row r="306" spans="13:13">
      <c r="M306" s="215"/>
    </row>
    <row r="307" spans="13:13">
      <c r="M307" s="215"/>
    </row>
    <row r="308" spans="13:13">
      <c r="M308" s="215"/>
    </row>
    <row r="309" spans="13:13">
      <c r="M309" s="215"/>
    </row>
    <row r="310" spans="13:13">
      <c r="M310" s="215"/>
    </row>
    <row r="311" spans="13:13">
      <c r="M311" s="215"/>
    </row>
    <row r="312" spans="13:13">
      <c r="M312" s="215"/>
    </row>
    <row r="313" spans="13:13">
      <c r="M313" s="215"/>
    </row>
    <row r="314" spans="13:13">
      <c r="M314" s="215"/>
    </row>
    <row r="315" spans="13:13">
      <c r="M315" s="215"/>
    </row>
    <row r="316" spans="13:13">
      <c r="M316" s="215"/>
    </row>
    <row r="317" spans="13:13">
      <c r="M317" s="215"/>
    </row>
    <row r="318" spans="13:13">
      <c r="M318" s="215"/>
    </row>
    <row r="319" spans="13:13">
      <c r="M319" s="215"/>
    </row>
    <row r="320" spans="13:13">
      <c r="M320" s="215"/>
    </row>
    <row r="321" spans="13:13">
      <c r="M321" s="215"/>
    </row>
    <row r="322" spans="13:13">
      <c r="M322" s="215"/>
    </row>
    <row r="323" spans="13:13">
      <c r="M323" s="215"/>
    </row>
    <row r="324" spans="13:13">
      <c r="M324" s="215"/>
    </row>
    <row r="325" spans="13:13">
      <c r="M325" s="215"/>
    </row>
    <row r="326" spans="13:13">
      <c r="M326" s="215"/>
    </row>
    <row r="327" spans="13:13">
      <c r="M327" s="215"/>
    </row>
    <row r="328" spans="13:13">
      <c r="M328" s="215"/>
    </row>
    <row r="329" spans="13:13">
      <c r="M329" s="215"/>
    </row>
    <row r="330" spans="13:13">
      <c r="M330" s="215"/>
    </row>
    <row r="331" spans="13:13">
      <c r="M331" s="215"/>
    </row>
    <row r="332" spans="13:13">
      <c r="M332" s="215"/>
    </row>
    <row r="333" spans="13:13">
      <c r="M333" s="215"/>
    </row>
    <row r="334" spans="13:13">
      <c r="M334" s="215"/>
    </row>
    <row r="335" spans="13:13">
      <c r="M335" s="215"/>
    </row>
    <row r="336" spans="13:13">
      <c r="M336" s="215"/>
    </row>
    <row r="337" spans="13:13">
      <c r="M337" s="215"/>
    </row>
    <row r="338" spans="13:13">
      <c r="M338" s="215"/>
    </row>
    <row r="339" spans="13:13">
      <c r="M339" s="215"/>
    </row>
    <row r="340" spans="13:13">
      <c r="M340" s="215"/>
    </row>
    <row r="341" spans="13:13">
      <c r="M341" s="215"/>
    </row>
    <row r="342" spans="13:13">
      <c r="M342" s="215"/>
    </row>
    <row r="343" spans="13:13">
      <c r="M343" s="215"/>
    </row>
    <row r="344" spans="13:13">
      <c r="M344" s="215"/>
    </row>
    <row r="345" spans="13:13">
      <c r="M345" s="215"/>
    </row>
    <row r="346" spans="13:13">
      <c r="M346" s="215"/>
    </row>
    <row r="347" spans="13:13">
      <c r="M347" s="215"/>
    </row>
    <row r="348" spans="13:13">
      <c r="M348" s="215"/>
    </row>
    <row r="349" spans="13:13">
      <c r="M349" s="215"/>
    </row>
    <row r="350" spans="13:13">
      <c r="M350" s="215"/>
    </row>
    <row r="351" spans="13:13">
      <c r="M351" s="215"/>
    </row>
    <row r="352" spans="13:13">
      <c r="M352" s="215"/>
    </row>
    <row r="353" spans="13:13">
      <c r="M353" s="215"/>
    </row>
    <row r="354" spans="13:13">
      <c r="M354" s="215"/>
    </row>
    <row r="355" spans="13:13">
      <c r="M355" s="215"/>
    </row>
    <row r="356" spans="13:13">
      <c r="M356" s="215"/>
    </row>
    <row r="357" spans="13:13">
      <c r="M357" s="215"/>
    </row>
    <row r="358" spans="13:13">
      <c r="M358" s="215"/>
    </row>
    <row r="359" spans="13:13">
      <c r="M359" s="215"/>
    </row>
    <row r="360" spans="13:13">
      <c r="M360" s="215"/>
    </row>
    <row r="361" spans="13:13">
      <c r="M361" s="215"/>
    </row>
    <row r="362" spans="13:13">
      <c r="M362" s="215"/>
    </row>
    <row r="363" spans="13:13">
      <c r="M363" s="215"/>
    </row>
    <row r="364" spans="13:13">
      <c r="M364" s="215"/>
    </row>
    <row r="365" spans="13:13">
      <c r="M365" s="215"/>
    </row>
    <row r="366" spans="13:13">
      <c r="M366" s="215"/>
    </row>
    <row r="367" spans="13:13">
      <c r="M367" s="215"/>
    </row>
    <row r="368" spans="13:13">
      <c r="M368" s="215"/>
    </row>
    <row r="369" spans="13:13">
      <c r="M369" s="215"/>
    </row>
    <row r="370" spans="13:13">
      <c r="M370" s="215"/>
    </row>
    <row r="371" spans="13:13">
      <c r="M371" s="215"/>
    </row>
    <row r="372" spans="13:13">
      <c r="M372" s="215"/>
    </row>
    <row r="373" spans="13:13">
      <c r="M373" s="215"/>
    </row>
    <row r="374" spans="13:13">
      <c r="M374" s="215"/>
    </row>
    <row r="375" spans="13:13">
      <c r="M375" s="215"/>
    </row>
    <row r="376" spans="13:13">
      <c r="M376" s="215"/>
    </row>
    <row r="377" spans="13:13">
      <c r="M377" s="215"/>
    </row>
    <row r="378" spans="13:13">
      <c r="M378" s="215"/>
    </row>
    <row r="379" spans="13:13">
      <c r="M379" s="215"/>
    </row>
    <row r="380" spans="13:13">
      <c r="M380" s="215"/>
    </row>
    <row r="381" spans="13:13">
      <c r="M381" s="215"/>
    </row>
    <row r="382" spans="13:13">
      <c r="M382" s="215"/>
    </row>
    <row r="383" spans="13:13">
      <c r="M383" s="215"/>
    </row>
    <row r="384" spans="13:13">
      <c r="M384" s="215"/>
    </row>
    <row r="385" spans="13:13">
      <c r="M385" s="215"/>
    </row>
    <row r="386" spans="13:13">
      <c r="M386" s="215"/>
    </row>
    <row r="387" spans="13:13">
      <c r="M387" s="215"/>
    </row>
    <row r="388" spans="13:13">
      <c r="M388" s="215"/>
    </row>
    <row r="389" spans="13:13">
      <c r="M389" s="215"/>
    </row>
    <row r="390" spans="13:13">
      <c r="M390" s="215"/>
    </row>
    <row r="391" spans="13:13">
      <c r="M391" s="215"/>
    </row>
    <row r="392" spans="13:13">
      <c r="M392" s="215"/>
    </row>
    <row r="393" spans="13:13">
      <c r="M393" s="215"/>
    </row>
    <row r="394" spans="13:13">
      <c r="M394" s="215"/>
    </row>
    <row r="395" spans="13:13">
      <c r="M395" s="215"/>
    </row>
    <row r="396" spans="13:13">
      <c r="M396" s="215"/>
    </row>
    <row r="397" spans="13:13">
      <c r="M397" s="215"/>
    </row>
    <row r="398" spans="13:13">
      <c r="M398" s="215"/>
    </row>
    <row r="399" spans="13:13">
      <c r="M399" s="215"/>
    </row>
    <row r="400" spans="13:13">
      <c r="M400" s="215"/>
    </row>
    <row r="401" spans="13:13">
      <c r="M401" s="215"/>
    </row>
    <row r="402" spans="13:13">
      <c r="M402" s="215"/>
    </row>
    <row r="403" spans="13:13">
      <c r="M403" s="215"/>
    </row>
    <row r="404" spans="13:13">
      <c r="M404" s="215"/>
    </row>
    <row r="405" spans="13:13">
      <c r="M405" s="215"/>
    </row>
    <row r="406" spans="13:13">
      <c r="M406" s="215"/>
    </row>
    <row r="407" spans="13:13">
      <c r="M407" s="215"/>
    </row>
    <row r="408" spans="13:13">
      <c r="M408" s="215"/>
    </row>
    <row r="409" spans="13:13">
      <c r="M409" s="215"/>
    </row>
    <row r="410" spans="13:13">
      <c r="M410" s="215"/>
    </row>
    <row r="411" spans="13:13">
      <c r="M411" s="215"/>
    </row>
    <row r="412" spans="13:13">
      <c r="M412" s="215"/>
    </row>
    <row r="413" spans="13:13">
      <c r="M413" s="215"/>
    </row>
    <row r="414" spans="13:13">
      <c r="M414" s="215"/>
    </row>
    <row r="415" spans="13:13">
      <c r="M415" s="215"/>
    </row>
    <row r="416" spans="13:13">
      <c r="M416" s="215"/>
    </row>
    <row r="417" spans="13:13">
      <c r="M417" s="215"/>
    </row>
    <row r="418" spans="13:13">
      <c r="M418" s="215"/>
    </row>
    <row r="419" spans="13:13">
      <c r="M419" s="215"/>
    </row>
    <row r="420" spans="13:13">
      <c r="M420" s="215"/>
    </row>
    <row r="421" spans="13:13">
      <c r="M421" s="215"/>
    </row>
    <row r="422" spans="13:13">
      <c r="M422" s="215"/>
    </row>
    <row r="423" spans="13:13">
      <c r="M423" s="215"/>
    </row>
    <row r="424" spans="13:13">
      <c r="M424" s="215"/>
    </row>
    <row r="425" spans="13:13">
      <c r="M425" s="215"/>
    </row>
    <row r="426" spans="13:13">
      <c r="M426" s="215"/>
    </row>
    <row r="427" spans="13:13">
      <c r="M427" s="215"/>
    </row>
    <row r="428" spans="13:13">
      <c r="M428" s="215"/>
    </row>
    <row r="429" spans="13:13">
      <c r="M429" s="215"/>
    </row>
    <row r="430" spans="13:13">
      <c r="M430" s="215"/>
    </row>
    <row r="431" spans="13:13">
      <c r="M431" s="215"/>
    </row>
    <row r="432" spans="13:13">
      <c r="M432" s="215"/>
    </row>
    <row r="433" spans="13:13">
      <c r="M433" s="215"/>
    </row>
    <row r="434" spans="13:13">
      <c r="M434" s="215"/>
    </row>
    <row r="435" spans="13:13">
      <c r="M435" s="215"/>
    </row>
    <row r="436" spans="13:13">
      <c r="M436" s="215"/>
    </row>
    <row r="437" spans="13:13">
      <c r="M437" s="215"/>
    </row>
    <row r="438" spans="13:13">
      <c r="M438" s="215"/>
    </row>
    <row r="439" spans="13:13">
      <c r="M439" s="215"/>
    </row>
    <row r="440" spans="13:13">
      <c r="M440" s="215"/>
    </row>
    <row r="441" spans="13:13">
      <c r="M441" s="215"/>
    </row>
    <row r="442" spans="13:13">
      <c r="M442" s="215"/>
    </row>
    <row r="443" spans="13:13">
      <c r="M443" s="215"/>
    </row>
    <row r="444" spans="13:13">
      <c r="M444" s="215"/>
    </row>
    <row r="445" spans="13:13">
      <c r="M445" s="215"/>
    </row>
    <row r="446" spans="13:13">
      <c r="M446" s="215"/>
    </row>
    <row r="447" spans="13:13">
      <c r="M447" s="215"/>
    </row>
    <row r="448" spans="13:13">
      <c r="M448" s="215"/>
    </row>
    <row r="449" spans="13:13">
      <c r="M449" s="215"/>
    </row>
    <row r="450" spans="13:13">
      <c r="M450" s="215"/>
    </row>
    <row r="451" spans="13:13">
      <c r="M451" s="215"/>
    </row>
    <row r="452" spans="13:13">
      <c r="M452" s="215"/>
    </row>
    <row r="453" spans="13:13">
      <c r="M453" s="215"/>
    </row>
    <row r="454" spans="13:13">
      <c r="M454" s="215"/>
    </row>
    <row r="455" spans="13:13">
      <c r="M455" s="215"/>
    </row>
    <row r="456" spans="13:13">
      <c r="M456" s="215"/>
    </row>
    <row r="457" spans="13:13">
      <c r="M457" s="215"/>
    </row>
    <row r="458" spans="13:13">
      <c r="M458" s="215"/>
    </row>
    <row r="459" spans="13:13">
      <c r="M459" s="215"/>
    </row>
    <row r="460" spans="13:13">
      <c r="M460" s="215"/>
    </row>
    <row r="461" spans="13:13">
      <c r="M461" s="215"/>
    </row>
    <row r="462" spans="13:13">
      <c r="M462" s="215"/>
    </row>
    <row r="463" spans="13:13">
      <c r="M463" s="215"/>
    </row>
    <row r="464" spans="13:13">
      <c r="M464" s="215"/>
    </row>
    <row r="465" spans="13:13">
      <c r="M465" s="215"/>
    </row>
    <row r="466" spans="13:13">
      <c r="M466" s="215"/>
    </row>
    <row r="467" spans="13:13">
      <c r="M467" s="215"/>
    </row>
    <row r="468" spans="13:13">
      <c r="M468" s="215"/>
    </row>
    <row r="469" spans="13:13">
      <c r="M469" s="215"/>
    </row>
    <row r="470" spans="13:13">
      <c r="M470" s="215"/>
    </row>
    <row r="471" spans="13:13">
      <c r="M471" s="215"/>
    </row>
    <row r="472" spans="13:13">
      <c r="M472" s="215"/>
    </row>
    <row r="473" spans="13:13">
      <c r="M473" s="215"/>
    </row>
    <row r="474" spans="13:13">
      <c r="M474" s="215"/>
    </row>
    <row r="475" spans="13:13">
      <c r="M475" s="215"/>
    </row>
    <row r="476" spans="13:13">
      <c r="M476" s="215"/>
    </row>
    <row r="477" spans="13:13">
      <c r="M477" s="215"/>
    </row>
    <row r="478" spans="13:13">
      <c r="M478" s="215"/>
    </row>
    <row r="479" spans="13:13">
      <c r="M479" s="215"/>
    </row>
    <row r="480" spans="13:13">
      <c r="M480" s="215"/>
    </row>
    <row r="481" spans="13:13">
      <c r="M481" s="215"/>
    </row>
    <row r="482" spans="13:13">
      <c r="M482" s="215"/>
    </row>
    <row r="483" spans="13:13">
      <c r="M483" s="215"/>
    </row>
    <row r="484" spans="13:13">
      <c r="M484" s="215"/>
    </row>
    <row r="485" spans="13:13">
      <c r="M485" s="215"/>
    </row>
    <row r="486" spans="13:13">
      <c r="M486" s="215"/>
    </row>
    <row r="487" spans="13:13">
      <c r="M487" s="215"/>
    </row>
    <row r="488" spans="13:13">
      <c r="M488" s="215"/>
    </row>
    <row r="489" spans="13:13">
      <c r="M489" s="215"/>
    </row>
    <row r="490" spans="13:13">
      <c r="M490" s="215"/>
    </row>
    <row r="491" spans="13:13">
      <c r="M491" s="215"/>
    </row>
    <row r="492" spans="13:13">
      <c r="M492" s="215"/>
    </row>
    <row r="493" spans="13:13">
      <c r="M493" s="215"/>
    </row>
    <row r="494" spans="13:13">
      <c r="M494" s="215"/>
    </row>
    <row r="495" spans="13:13">
      <c r="M495" s="215"/>
    </row>
    <row r="496" spans="13:13">
      <c r="M496" s="215"/>
    </row>
    <row r="497" spans="13:13">
      <c r="M497" s="215"/>
    </row>
    <row r="498" spans="13:13">
      <c r="M498" s="215"/>
    </row>
    <row r="499" spans="13:13">
      <c r="M499" s="215"/>
    </row>
    <row r="500" spans="13:13">
      <c r="M500" s="215"/>
    </row>
    <row r="501" spans="13:13">
      <c r="M501" s="215"/>
    </row>
    <row r="502" spans="13:13">
      <c r="M502" s="215"/>
    </row>
    <row r="503" spans="13:13">
      <c r="M503" s="215"/>
    </row>
    <row r="504" spans="13:13">
      <c r="M504" s="215"/>
    </row>
    <row r="505" spans="13:13">
      <c r="M505" s="215"/>
    </row>
    <row r="506" spans="13:13">
      <c r="M506" s="215"/>
    </row>
    <row r="507" spans="13:13">
      <c r="M507" s="215"/>
    </row>
    <row r="508" spans="13:13">
      <c r="M508" s="215"/>
    </row>
    <row r="509" spans="13:13">
      <c r="M509" s="215"/>
    </row>
    <row r="510" spans="13:13">
      <c r="M510" s="215"/>
    </row>
    <row r="511" spans="13:13">
      <c r="M511" s="215"/>
    </row>
    <row r="512" spans="13:13">
      <c r="M512" s="215"/>
    </row>
    <row r="513" spans="13:13">
      <c r="M513" s="215"/>
    </row>
    <row r="514" spans="13:13">
      <c r="M514" s="215"/>
    </row>
    <row r="515" spans="13:13">
      <c r="M515" s="215"/>
    </row>
    <row r="516" spans="13:13">
      <c r="M516" s="215"/>
    </row>
    <row r="517" spans="13:13">
      <c r="M517" s="215"/>
    </row>
    <row r="518" spans="13:13">
      <c r="M518" s="215"/>
    </row>
    <row r="519" spans="13:13">
      <c r="M519" s="215"/>
    </row>
    <row r="520" spans="13:13">
      <c r="M520" s="215"/>
    </row>
    <row r="521" spans="13:13">
      <c r="M521" s="215"/>
    </row>
    <row r="522" spans="13:13">
      <c r="M522" s="215"/>
    </row>
    <row r="523" spans="13:13">
      <c r="M523" s="215"/>
    </row>
    <row r="524" spans="13:13">
      <c r="M524" s="215"/>
    </row>
    <row r="525" spans="13:13">
      <c r="M525" s="215"/>
    </row>
    <row r="526" spans="13:13">
      <c r="M526" s="215"/>
    </row>
    <row r="527" spans="13:13">
      <c r="M527" s="215"/>
    </row>
    <row r="528" spans="13:13">
      <c r="M528" s="215"/>
    </row>
    <row r="529" spans="13:13">
      <c r="M529" s="215"/>
    </row>
    <row r="530" spans="13:13">
      <c r="M530" s="215"/>
    </row>
    <row r="531" spans="13:13">
      <c r="M531" s="215"/>
    </row>
    <row r="532" spans="13:13">
      <c r="M532" s="215"/>
    </row>
    <row r="533" spans="13:13">
      <c r="M533" s="215"/>
    </row>
    <row r="534" spans="13:13">
      <c r="M534" s="215"/>
    </row>
    <row r="535" spans="13:13">
      <c r="M535" s="215"/>
    </row>
    <row r="536" spans="13:13">
      <c r="M536" s="215"/>
    </row>
    <row r="537" spans="13:13">
      <c r="M537" s="215"/>
    </row>
    <row r="538" spans="13:13">
      <c r="M538" s="215"/>
    </row>
    <row r="539" spans="13:13">
      <c r="M539" s="215"/>
    </row>
    <row r="540" spans="13:13">
      <c r="M540" s="215"/>
    </row>
    <row r="541" spans="13:13">
      <c r="M541" s="215"/>
    </row>
    <row r="542" spans="13:13">
      <c r="M542" s="215"/>
    </row>
    <row r="543" spans="13:13">
      <c r="M543" s="215"/>
    </row>
    <row r="544" spans="13:13">
      <c r="M544" s="215"/>
    </row>
    <row r="545" spans="13:13">
      <c r="M545" s="215"/>
    </row>
    <row r="546" spans="13:13">
      <c r="M546" s="215"/>
    </row>
    <row r="547" spans="13:13">
      <c r="M547" s="215"/>
    </row>
    <row r="548" spans="13:13">
      <c r="M548" s="215"/>
    </row>
    <row r="549" spans="13:13">
      <c r="M549" s="215"/>
    </row>
    <row r="550" spans="13:13">
      <c r="M550" s="215"/>
    </row>
    <row r="551" spans="13:13">
      <c r="M551" s="215"/>
    </row>
    <row r="552" spans="13:13">
      <c r="M552" s="215"/>
    </row>
    <row r="553" spans="13:13">
      <c r="M553" s="215"/>
    </row>
    <row r="554" spans="13:13">
      <c r="M554" s="215"/>
    </row>
    <row r="555" spans="13:13">
      <c r="M555" s="215"/>
    </row>
    <row r="556" spans="13:13">
      <c r="M556" s="215"/>
    </row>
    <row r="557" spans="13:13">
      <c r="M557" s="215"/>
    </row>
    <row r="558" spans="13:13">
      <c r="M558" s="215"/>
    </row>
    <row r="559" spans="13:13">
      <c r="M559" s="215"/>
    </row>
    <row r="560" spans="13:13">
      <c r="M560" s="215"/>
    </row>
    <row r="561" spans="13:13">
      <c r="M561" s="215"/>
    </row>
    <row r="562" spans="13:13">
      <c r="M562" s="215"/>
    </row>
    <row r="563" spans="13:13">
      <c r="M563" s="215"/>
    </row>
    <row r="564" spans="13:13">
      <c r="M564" s="215"/>
    </row>
    <row r="565" spans="13:13">
      <c r="M565" s="215"/>
    </row>
    <row r="566" spans="13:13">
      <c r="M566" s="215"/>
    </row>
    <row r="567" spans="13:13">
      <c r="M567" s="215"/>
    </row>
    <row r="568" spans="13:13">
      <c r="M568" s="215"/>
    </row>
    <row r="569" spans="13:13">
      <c r="M569" s="215"/>
    </row>
    <row r="570" spans="13:13">
      <c r="M570" s="215"/>
    </row>
    <row r="571" spans="13:13">
      <c r="M571" s="215"/>
    </row>
    <row r="572" spans="13:13">
      <c r="M572" s="215"/>
    </row>
    <row r="573" spans="13:13">
      <c r="M573" s="215"/>
    </row>
    <row r="574" spans="13:13">
      <c r="M574" s="215"/>
    </row>
    <row r="575" spans="13:13">
      <c r="M575" s="215"/>
    </row>
    <row r="576" spans="13:13">
      <c r="M576" s="215"/>
    </row>
    <row r="577" spans="13:13">
      <c r="M577" s="215"/>
    </row>
    <row r="578" spans="13:13">
      <c r="M578" s="215"/>
    </row>
    <row r="579" spans="13:13">
      <c r="M579" s="215"/>
    </row>
    <row r="580" spans="13:13">
      <c r="M580" s="215"/>
    </row>
    <row r="581" spans="13:13">
      <c r="M581" s="215"/>
    </row>
    <row r="582" spans="13:13">
      <c r="M582" s="215"/>
    </row>
    <row r="583" spans="13:13">
      <c r="M583" s="215"/>
    </row>
    <row r="584" spans="13:13">
      <c r="M584" s="215"/>
    </row>
    <row r="585" spans="13:13">
      <c r="M585" s="215"/>
    </row>
    <row r="586" spans="13:13">
      <c r="M586" s="215"/>
    </row>
    <row r="587" spans="13:13">
      <c r="M587" s="215"/>
    </row>
    <row r="588" spans="13:13">
      <c r="M588" s="215"/>
    </row>
    <row r="589" spans="13:13">
      <c r="M589" s="215"/>
    </row>
    <row r="590" spans="13:13">
      <c r="M590" s="215"/>
    </row>
    <row r="591" spans="13:13">
      <c r="M591" s="215"/>
    </row>
    <row r="592" spans="13:13">
      <c r="M592" s="215"/>
    </row>
    <row r="593" spans="13:13">
      <c r="M593" s="215"/>
    </row>
    <row r="594" spans="13:13">
      <c r="M594" s="215"/>
    </row>
    <row r="595" spans="13:13">
      <c r="M595" s="215"/>
    </row>
    <row r="596" spans="13:13">
      <c r="M596" s="215"/>
    </row>
    <row r="597" spans="13:13">
      <c r="M597" s="215"/>
    </row>
    <row r="598" spans="13:13">
      <c r="M598" s="215"/>
    </row>
    <row r="599" spans="13:13">
      <c r="M599" s="215"/>
    </row>
    <row r="600" spans="13:13">
      <c r="M600" s="215"/>
    </row>
    <row r="601" spans="13:13">
      <c r="M601" s="215"/>
    </row>
    <row r="602" spans="13:13">
      <c r="M602" s="215"/>
    </row>
    <row r="603" spans="13:13">
      <c r="M603" s="215"/>
    </row>
    <row r="604" spans="13:13">
      <c r="M604" s="215"/>
    </row>
    <row r="605" spans="13:13">
      <c r="M605" s="215"/>
    </row>
    <row r="606" spans="13:13">
      <c r="M606" s="215"/>
    </row>
    <row r="607" spans="13:13">
      <c r="M607" s="215"/>
    </row>
    <row r="608" spans="13:13">
      <c r="M608" s="215"/>
    </row>
    <row r="609" spans="13:13">
      <c r="M609" s="215"/>
    </row>
    <row r="610" spans="13:13">
      <c r="M610" s="215"/>
    </row>
    <row r="611" spans="13:13">
      <c r="M611" s="215"/>
    </row>
    <row r="612" spans="13:13">
      <c r="M612" s="215"/>
    </row>
    <row r="613" spans="13:13">
      <c r="M613" s="215"/>
    </row>
    <row r="614" spans="13:13">
      <c r="M614" s="215"/>
    </row>
    <row r="615" spans="13:13">
      <c r="M615" s="215"/>
    </row>
    <row r="616" spans="13:13">
      <c r="M616" s="215"/>
    </row>
    <row r="617" spans="13:13">
      <c r="M617" s="215"/>
    </row>
    <row r="618" spans="13:13">
      <c r="M618" s="215"/>
    </row>
    <row r="619" spans="13:13">
      <c r="M619" s="215"/>
    </row>
    <row r="620" spans="13:13">
      <c r="M620" s="215"/>
    </row>
    <row r="621" spans="13:13">
      <c r="M621" s="215"/>
    </row>
    <row r="622" spans="13:13">
      <c r="M622" s="215"/>
    </row>
    <row r="623" spans="13:13">
      <c r="M623" s="215"/>
    </row>
    <row r="624" spans="13:13">
      <c r="M624" s="215"/>
    </row>
    <row r="625" spans="13:13">
      <c r="M625" s="215"/>
    </row>
    <row r="626" spans="13:13">
      <c r="M626" s="215"/>
    </row>
    <row r="627" spans="13:13">
      <c r="M627" s="215"/>
    </row>
    <row r="628" spans="13:13">
      <c r="M628" s="215"/>
    </row>
    <row r="629" spans="13:13">
      <c r="M629" s="215"/>
    </row>
    <row r="630" spans="13:13">
      <c r="M630" s="215"/>
    </row>
    <row r="631" spans="13:13">
      <c r="M631" s="215"/>
    </row>
    <row r="632" spans="13:13">
      <c r="M632" s="215"/>
    </row>
    <row r="633" spans="13:13">
      <c r="M633" s="215"/>
    </row>
    <row r="634" spans="13:13">
      <c r="M634" s="215"/>
    </row>
    <row r="635" spans="13:13">
      <c r="M635" s="215"/>
    </row>
    <row r="636" spans="13:13">
      <c r="M636" s="215"/>
    </row>
    <row r="637" spans="13:13">
      <c r="M637" s="215"/>
    </row>
    <row r="638" spans="13:13">
      <c r="M638" s="215"/>
    </row>
    <row r="639" spans="13:13">
      <c r="M639" s="215"/>
    </row>
    <row r="640" spans="13:13">
      <c r="M640" s="215"/>
    </row>
    <row r="641" spans="13:13">
      <c r="M641" s="215"/>
    </row>
    <row r="642" spans="13:13">
      <c r="M642" s="215"/>
    </row>
    <row r="643" spans="13:13">
      <c r="M643" s="215"/>
    </row>
    <row r="644" spans="13:13">
      <c r="M644" s="215"/>
    </row>
    <row r="645" spans="13:13">
      <c r="M645" s="215"/>
    </row>
    <row r="646" spans="13:13">
      <c r="M646" s="215"/>
    </row>
    <row r="647" spans="13:13">
      <c r="M647" s="215"/>
    </row>
    <row r="648" spans="13:13">
      <c r="M648" s="215"/>
    </row>
    <row r="649" spans="13:13">
      <c r="M649" s="215"/>
    </row>
    <row r="650" spans="13:13">
      <c r="M650" s="215"/>
    </row>
    <row r="651" spans="13:13">
      <c r="M651" s="215"/>
    </row>
    <row r="652" spans="13:13">
      <c r="M652" s="215"/>
    </row>
    <row r="653" spans="13:13">
      <c r="M653" s="215"/>
    </row>
    <row r="654" spans="13:13">
      <c r="M654" s="215"/>
    </row>
    <row r="655" spans="13:13">
      <c r="M655" s="215"/>
    </row>
    <row r="656" spans="13:13">
      <c r="M656" s="215"/>
    </row>
    <row r="657" spans="13:13">
      <c r="M657" s="215"/>
    </row>
    <row r="658" spans="13:13">
      <c r="M658" s="215"/>
    </row>
    <row r="659" spans="13:13">
      <c r="M659" s="215"/>
    </row>
    <row r="660" spans="13:13">
      <c r="M660" s="215"/>
    </row>
    <row r="661" spans="13:13">
      <c r="M661" s="215"/>
    </row>
    <row r="662" spans="13:13">
      <c r="M662" s="215"/>
    </row>
    <row r="663" spans="13:13">
      <c r="M663" s="215"/>
    </row>
    <row r="664" spans="13:13">
      <c r="M664" s="215"/>
    </row>
    <row r="665" spans="13:13">
      <c r="M665" s="215"/>
    </row>
    <row r="666" spans="13:13">
      <c r="M666" s="215"/>
    </row>
    <row r="667" spans="13:13">
      <c r="M667" s="215"/>
    </row>
    <row r="668" spans="13:13">
      <c r="M668" s="215"/>
    </row>
    <row r="669" spans="13:13">
      <c r="M669" s="215"/>
    </row>
    <row r="670" spans="13:13">
      <c r="M670" s="215"/>
    </row>
    <row r="671" spans="13:13">
      <c r="M671" s="215"/>
    </row>
    <row r="672" spans="13:13">
      <c r="M672" s="215"/>
    </row>
    <row r="673" spans="13:13">
      <c r="M673" s="215"/>
    </row>
    <row r="674" spans="13:13">
      <c r="M674" s="215"/>
    </row>
    <row r="675" spans="13:13">
      <c r="M675" s="215"/>
    </row>
    <row r="676" spans="13:13">
      <c r="M676" s="215"/>
    </row>
    <row r="677" spans="13:13">
      <c r="M677" s="215"/>
    </row>
    <row r="678" spans="13:13">
      <c r="M678" s="215"/>
    </row>
    <row r="679" spans="13:13">
      <c r="M679" s="215"/>
    </row>
    <row r="680" spans="13:13">
      <c r="M680" s="215"/>
    </row>
    <row r="681" spans="13:13">
      <c r="M681" s="215"/>
    </row>
    <row r="682" spans="13:13">
      <c r="M682" s="215"/>
    </row>
    <row r="683" spans="13:13">
      <c r="M683" s="215"/>
    </row>
    <row r="684" spans="13:13">
      <c r="M684" s="215"/>
    </row>
    <row r="685" spans="13:13">
      <c r="M685" s="215"/>
    </row>
    <row r="686" spans="13:13">
      <c r="M686" s="215"/>
    </row>
    <row r="687" spans="13:13">
      <c r="M687" s="215"/>
    </row>
    <row r="688" spans="13:13">
      <c r="M688" s="215"/>
    </row>
    <row r="689" spans="13:13">
      <c r="M689" s="215"/>
    </row>
    <row r="690" spans="13:13">
      <c r="M690" s="215"/>
    </row>
    <row r="691" spans="13:13">
      <c r="M691" s="215"/>
    </row>
    <row r="692" spans="13:13">
      <c r="M692" s="215"/>
    </row>
    <row r="693" spans="13:13">
      <c r="M693" s="215"/>
    </row>
    <row r="694" spans="13:13">
      <c r="M694" s="215"/>
    </row>
    <row r="695" spans="13:13">
      <c r="M695" s="215"/>
    </row>
    <row r="696" spans="13:13">
      <c r="M696" s="215"/>
    </row>
    <row r="697" spans="13:13">
      <c r="M697" s="215"/>
    </row>
    <row r="698" spans="13:13">
      <c r="M698" s="215"/>
    </row>
    <row r="699" spans="13:13">
      <c r="M699" s="215"/>
    </row>
    <row r="700" spans="13:13">
      <c r="M700" s="215"/>
    </row>
    <row r="701" spans="13:13">
      <c r="M701" s="215"/>
    </row>
    <row r="702" spans="13:13">
      <c r="M702" s="215"/>
    </row>
    <row r="703" spans="13:13">
      <c r="M703" s="215"/>
    </row>
    <row r="704" spans="13:13">
      <c r="M704" s="215"/>
    </row>
    <row r="705" spans="13:13">
      <c r="M705" s="215"/>
    </row>
    <row r="706" spans="13:13">
      <c r="M706" s="215"/>
    </row>
    <row r="707" spans="13:13">
      <c r="M707" s="215"/>
    </row>
    <row r="708" spans="13:13">
      <c r="M708" s="215"/>
    </row>
    <row r="709" spans="13:13">
      <c r="M709" s="215"/>
    </row>
    <row r="710" spans="13:13">
      <c r="M710" s="215"/>
    </row>
    <row r="711" spans="13:13">
      <c r="M711" s="215"/>
    </row>
    <row r="712" spans="13:13">
      <c r="M712" s="215"/>
    </row>
    <row r="713" spans="13:13">
      <c r="M713" s="215"/>
    </row>
    <row r="714" spans="13:13">
      <c r="M714" s="215"/>
    </row>
    <row r="715" spans="13:13">
      <c r="M715" s="215"/>
    </row>
    <row r="716" spans="13:13">
      <c r="M716" s="215"/>
    </row>
    <row r="717" spans="13:13">
      <c r="M717" s="215"/>
    </row>
    <row r="718" spans="13:13">
      <c r="M718" s="215"/>
    </row>
    <row r="719" spans="13:13">
      <c r="M719" s="215"/>
    </row>
    <row r="720" spans="13:13">
      <c r="M720" s="215"/>
    </row>
    <row r="721" spans="13:13">
      <c r="M721" s="215"/>
    </row>
    <row r="722" spans="13:13">
      <c r="M722" s="215"/>
    </row>
    <row r="723" spans="13:13">
      <c r="M723" s="215"/>
    </row>
    <row r="724" spans="13:13">
      <c r="M724" s="215"/>
    </row>
    <row r="725" spans="13:13">
      <c r="M725" s="215"/>
    </row>
    <row r="726" spans="13:13">
      <c r="M726" s="215"/>
    </row>
    <row r="727" spans="13:13">
      <c r="M727" s="215"/>
    </row>
    <row r="728" spans="13:13">
      <c r="M728" s="215"/>
    </row>
    <row r="729" spans="13:13">
      <c r="M729" s="215"/>
    </row>
    <row r="730" spans="13:13">
      <c r="M730" s="215"/>
    </row>
    <row r="731" spans="13:13">
      <c r="M731" s="215"/>
    </row>
    <row r="732" spans="13:13">
      <c r="M732" s="215"/>
    </row>
    <row r="733" spans="13:13">
      <c r="M733" s="215"/>
    </row>
    <row r="734" spans="13:13">
      <c r="M734" s="215"/>
    </row>
    <row r="735" spans="13:13">
      <c r="M735" s="215"/>
    </row>
    <row r="736" spans="13:13">
      <c r="M736" s="215"/>
    </row>
    <row r="737" spans="13:13">
      <c r="M737" s="215"/>
    </row>
    <row r="738" spans="13:13">
      <c r="M738" s="215"/>
    </row>
    <row r="739" spans="13:13">
      <c r="M739" s="215"/>
    </row>
    <row r="740" spans="13:13">
      <c r="M740" s="215"/>
    </row>
    <row r="741" spans="13:13">
      <c r="M741" s="215"/>
    </row>
    <row r="742" spans="13:13">
      <c r="M742" s="215"/>
    </row>
    <row r="743" spans="13:13">
      <c r="M743" s="215"/>
    </row>
    <row r="744" spans="13:13">
      <c r="M744" s="215"/>
    </row>
    <row r="745" spans="13:13">
      <c r="M745" s="215"/>
    </row>
    <row r="746" spans="13:13">
      <c r="M746" s="215"/>
    </row>
    <row r="747" spans="13:13">
      <c r="M747" s="215"/>
    </row>
    <row r="748" spans="13:13">
      <c r="M748" s="215"/>
    </row>
    <row r="749" spans="13:13">
      <c r="M749" s="215"/>
    </row>
    <row r="750" spans="13:13">
      <c r="M750" s="215"/>
    </row>
    <row r="751" spans="13:13">
      <c r="M751" s="215"/>
    </row>
    <row r="752" spans="13:13">
      <c r="M752" s="215"/>
    </row>
    <row r="753" spans="13:13">
      <c r="M753" s="215"/>
    </row>
    <row r="754" spans="13:13">
      <c r="M754" s="215"/>
    </row>
    <row r="755" spans="13:13">
      <c r="M755" s="215"/>
    </row>
    <row r="756" spans="13:13">
      <c r="M756" s="215"/>
    </row>
    <row r="757" spans="13:13">
      <c r="M757" s="215"/>
    </row>
    <row r="758" spans="13:13">
      <c r="M758" s="215"/>
    </row>
    <row r="759" spans="13:13">
      <c r="M759" s="215"/>
    </row>
    <row r="760" spans="13:13">
      <c r="M760" s="215"/>
    </row>
    <row r="761" spans="13:13">
      <c r="M761" s="215"/>
    </row>
    <row r="762" spans="13:13">
      <c r="M762" s="215"/>
    </row>
    <row r="763" spans="13:13">
      <c r="M763" s="215"/>
    </row>
    <row r="764" spans="13:13">
      <c r="M764" s="215"/>
    </row>
    <row r="765" spans="13:13">
      <c r="M765" s="215"/>
    </row>
    <row r="766" spans="13:13">
      <c r="M766" s="215"/>
    </row>
    <row r="767" spans="13:13">
      <c r="M767" s="215"/>
    </row>
    <row r="768" spans="13:13">
      <c r="M768" s="215"/>
    </row>
    <row r="769" spans="13:13">
      <c r="M769" s="215"/>
    </row>
    <row r="770" spans="13:13">
      <c r="M770" s="215"/>
    </row>
    <row r="771" spans="13:13">
      <c r="M771" s="215"/>
    </row>
    <row r="772" spans="13:13">
      <c r="M772" s="215"/>
    </row>
    <row r="773" spans="13:13">
      <c r="M773" s="215"/>
    </row>
    <row r="774" spans="13:13">
      <c r="M774" s="215"/>
    </row>
    <row r="775" spans="13:13">
      <c r="M775" s="215"/>
    </row>
    <row r="776" spans="13:13">
      <c r="M776" s="215"/>
    </row>
    <row r="777" spans="13:13">
      <c r="M777" s="215"/>
    </row>
    <row r="778" spans="13:13">
      <c r="M778" s="215"/>
    </row>
    <row r="779" spans="13:13">
      <c r="M779" s="215"/>
    </row>
    <row r="780" spans="13:13">
      <c r="M780" s="215"/>
    </row>
    <row r="781" spans="13:13">
      <c r="M781" s="215"/>
    </row>
    <row r="782" spans="13:13">
      <c r="M782" s="215"/>
    </row>
    <row r="783" spans="13:13">
      <c r="M783" s="215"/>
    </row>
    <row r="784" spans="13:13">
      <c r="M784" s="215"/>
    </row>
    <row r="785" spans="13:13">
      <c r="M785" s="215"/>
    </row>
    <row r="786" spans="13:13">
      <c r="M786" s="215"/>
    </row>
    <row r="787" spans="13:13">
      <c r="M787" s="215"/>
    </row>
    <row r="788" spans="13:13">
      <c r="M788" s="215"/>
    </row>
    <row r="789" spans="13:13">
      <c r="M789" s="215"/>
    </row>
    <row r="790" spans="13:13">
      <c r="M790" s="215"/>
    </row>
    <row r="791" spans="13:13">
      <c r="M791" s="215"/>
    </row>
    <row r="792" spans="13:13">
      <c r="M792" s="215"/>
    </row>
    <row r="793" spans="13:13">
      <c r="M793" s="215"/>
    </row>
    <row r="794" spans="13:13">
      <c r="M794" s="215"/>
    </row>
    <row r="795" spans="13:13">
      <c r="M795" s="215"/>
    </row>
    <row r="796" spans="13:13">
      <c r="M796" s="215"/>
    </row>
    <row r="797" spans="13:13">
      <c r="M797" s="215"/>
    </row>
    <row r="798" spans="13:13">
      <c r="M798" s="215"/>
    </row>
    <row r="799" spans="13:13">
      <c r="M799" s="215"/>
    </row>
    <row r="800" spans="13:13">
      <c r="M800" s="215"/>
    </row>
    <row r="801" spans="13:13">
      <c r="M801" s="215"/>
    </row>
    <row r="802" spans="13:13">
      <c r="M802" s="215"/>
    </row>
    <row r="803" spans="13:13">
      <c r="M803" s="215"/>
    </row>
    <row r="804" spans="13:13">
      <c r="M804" s="215"/>
    </row>
    <row r="805" spans="13:13">
      <c r="M805" s="215"/>
    </row>
    <row r="806" spans="13:13">
      <c r="M806" s="215"/>
    </row>
    <row r="807" spans="13:13">
      <c r="M807" s="215"/>
    </row>
    <row r="808" spans="13:13">
      <c r="M808" s="215"/>
    </row>
    <row r="809" spans="13:13">
      <c r="M809" s="215"/>
    </row>
    <row r="810" spans="13:13">
      <c r="M810" s="215"/>
    </row>
    <row r="811" spans="13:13">
      <c r="M811" s="215"/>
    </row>
    <row r="812" spans="13:13">
      <c r="M812" s="215"/>
    </row>
    <row r="813" spans="13:13">
      <c r="M813" s="215"/>
    </row>
    <row r="814" spans="13:13">
      <c r="M814" s="215"/>
    </row>
    <row r="815" spans="13:13">
      <c r="M815" s="215"/>
    </row>
    <row r="816" spans="13:13">
      <c r="M816" s="215"/>
    </row>
    <row r="817" spans="13:13">
      <c r="M817" s="215"/>
    </row>
    <row r="818" spans="13:13">
      <c r="M818" s="215"/>
    </row>
    <row r="819" spans="13:13">
      <c r="M819" s="215"/>
    </row>
    <row r="820" spans="13:13">
      <c r="M820" s="215"/>
    </row>
    <row r="821" spans="13:13">
      <c r="M821" s="215"/>
    </row>
    <row r="822" spans="13:13">
      <c r="M822" s="215"/>
    </row>
    <row r="823" spans="13:13">
      <c r="M823" s="215"/>
    </row>
    <row r="824" spans="13:13">
      <c r="M824" s="215"/>
    </row>
    <row r="825" spans="13:13">
      <c r="M825" s="215"/>
    </row>
    <row r="826" spans="13:13">
      <c r="M826" s="215"/>
    </row>
    <row r="827" spans="13:13">
      <c r="M827" s="215"/>
    </row>
    <row r="828" spans="13:13">
      <c r="M828" s="215"/>
    </row>
    <row r="829" spans="13:13">
      <c r="M829" s="215"/>
    </row>
    <row r="830" spans="13:13">
      <c r="M830" s="215"/>
    </row>
    <row r="831" spans="13:13">
      <c r="M831" s="215"/>
    </row>
    <row r="832" spans="13:13">
      <c r="M832" s="215"/>
    </row>
    <row r="833" spans="13:13">
      <c r="M833" s="215"/>
    </row>
    <row r="834" spans="13:13">
      <c r="M834" s="215"/>
    </row>
    <row r="835" spans="13:13">
      <c r="M835" s="215"/>
    </row>
    <row r="836" spans="13:13">
      <c r="M836" s="215"/>
    </row>
    <row r="837" spans="13:13">
      <c r="M837" s="215"/>
    </row>
    <row r="838" spans="13:13">
      <c r="M838" s="215"/>
    </row>
    <row r="839" spans="13:13">
      <c r="M839" s="215"/>
    </row>
    <row r="840" spans="13:13">
      <c r="M840" s="215"/>
    </row>
    <row r="841" spans="13:13">
      <c r="M841" s="215"/>
    </row>
    <row r="842" spans="13:13">
      <c r="M842" s="215"/>
    </row>
    <row r="843" spans="13:13">
      <c r="M843" s="215"/>
    </row>
    <row r="844" spans="13:13">
      <c r="M844" s="215"/>
    </row>
    <row r="845" spans="13:13">
      <c r="M845" s="215"/>
    </row>
    <row r="846" spans="13:13">
      <c r="M846" s="215"/>
    </row>
    <row r="847" spans="13:13">
      <c r="M847" s="215"/>
    </row>
    <row r="848" spans="13:13">
      <c r="M848" s="215"/>
    </row>
    <row r="849" spans="13:13">
      <c r="M849" s="215"/>
    </row>
    <row r="850" spans="13:13">
      <c r="M850" s="215"/>
    </row>
    <row r="851" spans="13:13">
      <c r="M851" s="215"/>
    </row>
    <row r="852" spans="13:13">
      <c r="M852" s="215"/>
    </row>
    <row r="853" spans="13:13">
      <c r="M853" s="215"/>
    </row>
    <row r="854" spans="13:13">
      <c r="M854" s="215"/>
    </row>
    <row r="855" spans="13:13">
      <c r="M855" s="215"/>
    </row>
    <row r="856" spans="13:13">
      <c r="M856" s="215"/>
    </row>
    <row r="857" spans="13:13">
      <c r="M857" s="215"/>
    </row>
    <row r="858" spans="13:13">
      <c r="M858" s="215"/>
    </row>
    <row r="859" spans="13:13">
      <c r="M859" s="215"/>
    </row>
    <row r="860" spans="13:13">
      <c r="M860" s="215"/>
    </row>
    <row r="861" spans="13:13">
      <c r="M861" s="215"/>
    </row>
    <row r="862" spans="13:13">
      <c r="M862" s="215"/>
    </row>
    <row r="863" spans="13:13">
      <c r="M863" s="215"/>
    </row>
    <row r="864" spans="13:13">
      <c r="M864" s="215"/>
    </row>
    <row r="865" spans="13:13">
      <c r="M865" s="215"/>
    </row>
    <row r="866" spans="13:13">
      <c r="M866" s="215"/>
    </row>
    <row r="867" spans="13:13">
      <c r="M867" s="215"/>
    </row>
    <row r="868" spans="13:13">
      <c r="M868" s="215"/>
    </row>
    <row r="869" spans="13:13">
      <c r="M869" s="215"/>
    </row>
    <row r="870" spans="13:13">
      <c r="M870" s="215"/>
    </row>
    <row r="871" spans="13:13">
      <c r="M871" s="215"/>
    </row>
    <row r="872" spans="13:13">
      <c r="M872" s="215"/>
    </row>
    <row r="873" spans="13:13">
      <c r="M873" s="215"/>
    </row>
    <row r="874" spans="13:13">
      <c r="M874" s="215"/>
    </row>
    <row r="875" spans="13:13">
      <c r="M875" s="215"/>
    </row>
    <row r="876" spans="13:13">
      <c r="M876" s="215"/>
    </row>
    <row r="877" spans="13:13">
      <c r="M877" s="215"/>
    </row>
    <row r="878" spans="13:13">
      <c r="M878" s="215"/>
    </row>
    <row r="879" spans="13:13">
      <c r="M879" s="215"/>
    </row>
    <row r="880" spans="13:13">
      <c r="M880" s="215"/>
    </row>
    <row r="881" spans="13:13">
      <c r="M881" s="215"/>
    </row>
    <row r="882" spans="13:13">
      <c r="M882" s="215"/>
    </row>
    <row r="883" spans="13:13">
      <c r="M883" s="215"/>
    </row>
    <row r="884" spans="13:13">
      <c r="M884" s="215"/>
    </row>
    <row r="885" spans="13:13">
      <c r="M885" s="215"/>
    </row>
    <row r="886" spans="13:13">
      <c r="M886" s="215"/>
    </row>
    <row r="887" spans="13:13">
      <c r="M887" s="215"/>
    </row>
    <row r="888" spans="13:13">
      <c r="M888" s="215"/>
    </row>
    <row r="889" spans="13:13">
      <c r="M889" s="215"/>
    </row>
    <row r="890" spans="13:13">
      <c r="M890" s="215"/>
    </row>
    <row r="891" spans="13:13">
      <c r="M891" s="215"/>
    </row>
    <row r="892" spans="13:13">
      <c r="M892" s="215"/>
    </row>
    <row r="893" spans="13:13">
      <c r="M893" s="215"/>
    </row>
    <row r="894" spans="13:13">
      <c r="M894" s="215"/>
    </row>
    <row r="895" spans="13:13">
      <c r="M895" s="215"/>
    </row>
    <row r="896" spans="13:13">
      <c r="M896" s="215"/>
    </row>
    <row r="897" spans="13:13">
      <c r="M897" s="215"/>
    </row>
    <row r="898" spans="13:13">
      <c r="M898" s="215"/>
    </row>
    <row r="899" spans="13:13">
      <c r="M899" s="215"/>
    </row>
    <row r="900" spans="13:13">
      <c r="M900" s="215"/>
    </row>
    <row r="901" spans="13:13">
      <c r="M901" s="215"/>
    </row>
    <row r="902" spans="13:13">
      <c r="M902" s="215"/>
    </row>
    <row r="903" spans="13:13">
      <c r="M903" s="215"/>
    </row>
    <row r="904" spans="13:13">
      <c r="M904" s="215"/>
    </row>
    <row r="905" spans="13:13">
      <c r="M905" s="215"/>
    </row>
    <row r="906" spans="13:13">
      <c r="M906" s="215"/>
    </row>
    <row r="907" spans="13:13">
      <c r="M907" s="215"/>
    </row>
    <row r="908" spans="13:13">
      <c r="M908" s="215"/>
    </row>
    <row r="909" spans="13:13">
      <c r="M909" s="215"/>
    </row>
    <row r="910" spans="13:13">
      <c r="M910" s="215"/>
    </row>
    <row r="911" spans="13:13">
      <c r="M911" s="215"/>
    </row>
    <row r="912" spans="13:13">
      <c r="M912" s="215"/>
    </row>
    <row r="913" spans="13:13">
      <c r="M913" s="215"/>
    </row>
    <row r="914" spans="13:13">
      <c r="M914" s="215"/>
    </row>
    <row r="915" spans="13:13">
      <c r="M915" s="215"/>
    </row>
    <row r="916" spans="13:13">
      <c r="M916" s="215"/>
    </row>
    <row r="917" spans="13:13">
      <c r="M917" s="215"/>
    </row>
    <row r="918" spans="13:13">
      <c r="M918" s="215"/>
    </row>
    <row r="919" spans="13:13">
      <c r="M919" s="215"/>
    </row>
    <row r="920" spans="13:13">
      <c r="M920" s="215"/>
    </row>
    <row r="921" spans="13:13">
      <c r="M921" s="215"/>
    </row>
    <row r="922" spans="13:13">
      <c r="M922" s="215"/>
    </row>
    <row r="923" spans="13:13">
      <c r="M923" s="215"/>
    </row>
    <row r="924" spans="13:13">
      <c r="M924" s="215"/>
    </row>
    <row r="925" spans="13:13">
      <c r="M925" s="215"/>
    </row>
    <row r="926" spans="13:13">
      <c r="M926" s="215"/>
    </row>
    <row r="927" spans="13:13">
      <c r="M927" s="215"/>
    </row>
    <row r="928" spans="13:13">
      <c r="M928" s="215"/>
    </row>
    <row r="929" spans="13:13">
      <c r="M929" s="215"/>
    </row>
    <row r="930" spans="13:13">
      <c r="M930" s="215"/>
    </row>
    <row r="931" spans="13:13">
      <c r="M931" s="215"/>
    </row>
    <row r="932" spans="13:13">
      <c r="M932" s="215"/>
    </row>
    <row r="933" spans="13:13">
      <c r="M933" s="215"/>
    </row>
    <row r="934" spans="13:13">
      <c r="M934" s="215"/>
    </row>
    <row r="935" spans="13:13">
      <c r="M935" s="215"/>
    </row>
    <row r="936" spans="13:13">
      <c r="M936" s="215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46"/>
  <sheetViews>
    <sheetView workbookViewId="0">
      <selection activeCell="L3" sqref="L3:L146"/>
    </sheetView>
  </sheetViews>
  <sheetFormatPr defaultRowHeight="15"/>
  <cols>
    <col min="3" max="4" width="13.28515625" customWidth="1"/>
    <col min="5" max="5" width="12.140625" bestFit="1" customWidth="1"/>
    <col min="6" max="6" width="10.7109375" bestFit="1" customWidth="1"/>
    <col min="10" max="10" width="15.7109375" customWidth="1"/>
    <col min="11" max="11" width="17.5703125" customWidth="1"/>
    <col min="12" max="12" width="18.28515625" customWidth="1"/>
  </cols>
  <sheetData>
    <row r="2" spans="2:12">
      <c r="B2" t="s">
        <v>1704</v>
      </c>
      <c r="C2" t="s">
        <v>1705</v>
      </c>
      <c r="E2" t="s">
        <v>1706</v>
      </c>
      <c r="G2" t="s">
        <v>1707</v>
      </c>
      <c r="H2" t="s">
        <v>1708</v>
      </c>
      <c r="I2" t="s">
        <v>1709</v>
      </c>
      <c r="J2" t="s">
        <v>1710</v>
      </c>
    </row>
    <row r="3" spans="2:12">
      <c r="B3">
        <v>1</v>
      </c>
      <c r="C3" s="215">
        <v>42354</v>
      </c>
      <c r="D3" s="215">
        <f>Plan2!B2</f>
        <v>42354</v>
      </c>
      <c r="E3" s="215">
        <v>42384</v>
      </c>
      <c r="F3" s="215">
        <f>Plan2!B3</f>
        <v>42384</v>
      </c>
      <c r="G3" t="s">
        <v>822</v>
      </c>
      <c r="H3" t="s">
        <v>947</v>
      </c>
      <c r="I3" t="s">
        <v>1711</v>
      </c>
      <c r="J3">
        <v>1.0019616526860899</v>
      </c>
      <c r="K3">
        <f>Plan2!L3</f>
        <v>1.0019616526860928</v>
      </c>
      <c r="L3" s="221">
        <f>J3-K3</f>
        <v>-2.886579864025407E-15</v>
      </c>
    </row>
    <row r="4" spans="2:12">
      <c r="B4">
        <v>21</v>
      </c>
      <c r="C4" s="215">
        <v>42384</v>
      </c>
      <c r="D4" s="215">
        <f>Plan2!B3</f>
        <v>42384</v>
      </c>
      <c r="E4" s="215">
        <v>42416</v>
      </c>
      <c r="F4" s="215">
        <f>Plan2!B4</f>
        <v>42416</v>
      </c>
      <c r="G4" t="s">
        <v>822</v>
      </c>
      <c r="H4" t="s">
        <v>947</v>
      </c>
      <c r="I4" t="s">
        <v>1711</v>
      </c>
      <c r="J4">
        <v>1.0019616526860899</v>
      </c>
      <c r="K4">
        <f>Plan2!L4</f>
        <v>1.0019616526860928</v>
      </c>
      <c r="L4" s="221">
        <f t="shared" ref="L4:L67" si="0">J4-K4</f>
        <v>-2.886579864025407E-15</v>
      </c>
    </row>
    <row r="5" spans="2:12">
      <c r="B5">
        <v>41</v>
      </c>
      <c r="C5" s="215">
        <v>42416</v>
      </c>
      <c r="D5" s="215">
        <f>Plan2!B4</f>
        <v>42416</v>
      </c>
      <c r="E5" s="215">
        <v>42443</v>
      </c>
      <c r="F5" s="215">
        <f>Plan2!B5</f>
        <v>42443</v>
      </c>
      <c r="G5" t="s">
        <v>822</v>
      </c>
      <c r="H5" t="s">
        <v>947</v>
      </c>
      <c r="I5" t="s">
        <v>1711</v>
      </c>
      <c r="J5">
        <v>1.00186347872254</v>
      </c>
      <c r="K5">
        <f>Plan2!L5</f>
        <v>1.0018634787225431</v>
      </c>
      <c r="L5" s="221">
        <f t="shared" si="0"/>
        <v>-3.1086244689504383E-15</v>
      </c>
    </row>
    <row r="6" spans="2:12">
      <c r="B6">
        <v>61</v>
      </c>
      <c r="C6" s="215">
        <v>42443</v>
      </c>
      <c r="D6" s="215">
        <f>Plan2!B5</f>
        <v>42443</v>
      </c>
      <c r="E6" s="215">
        <v>42474</v>
      </c>
      <c r="F6" s="215">
        <f>Plan2!B6</f>
        <v>42474</v>
      </c>
      <c r="G6" t="s">
        <v>822</v>
      </c>
      <c r="H6" t="s">
        <v>947</v>
      </c>
      <c r="I6" t="s">
        <v>1711</v>
      </c>
      <c r="J6">
        <v>1.0021580294747401</v>
      </c>
      <c r="K6">
        <f>Plan2!L6</f>
        <v>1.0021580294747356</v>
      </c>
      <c r="L6" s="221">
        <f t="shared" si="0"/>
        <v>4.4408920985006262E-15</v>
      </c>
    </row>
    <row r="7" spans="2:12">
      <c r="B7">
        <v>81</v>
      </c>
      <c r="C7" s="215">
        <v>42474</v>
      </c>
      <c r="D7" s="215">
        <f>Plan2!B6</f>
        <v>42474</v>
      </c>
      <c r="E7" s="215">
        <v>42503</v>
      </c>
      <c r="F7" s="215">
        <f>Plan2!B7</f>
        <v>42503</v>
      </c>
      <c r="G7" t="s">
        <v>822</v>
      </c>
      <c r="H7" t="s">
        <v>947</v>
      </c>
      <c r="I7" t="s">
        <v>1711</v>
      </c>
      <c r="J7">
        <v>1.0019616526860899</v>
      </c>
      <c r="K7">
        <f>Plan2!L7</f>
        <v>1.0019616526860928</v>
      </c>
      <c r="L7" s="221">
        <f t="shared" si="0"/>
        <v>-2.886579864025407E-15</v>
      </c>
    </row>
    <row r="8" spans="2:12">
      <c r="B8">
        <v>101</v>
      </c>
      <c r="C8" s="215">
        <v>42503</v>
      </c>
      <c r="D8" s="215">
        <f>Plan2!B7</f>
        <v>42503</v>
      </c>
      <c r="E8" s="215">
        <v>42535</v>
      </c>
      <c r="F8" s="215">
        <f>Plan2!B8</f>
        <v>42535</v>
      </c>
      <c r="G8" t="s">
        <v>822</v>
      </c>
      <c r="H8" t="s">
        <v>947</v>
      </c>
      <c r="I8" t="s">
        <v>1711</v>
      </c>
      <c r="J8">
        <v>1.0020598362698401</v>
      </c>
      <c r="K8">
        <f>Plan2!L8</f>
        <v>1.0020598362698427</v>
      </c>
      <c r="L8" s="221">
        <f t="shared" si="0"/>
        <v>-2.6645352591003757E-15</v>
      </c>
    </row>
    <row r="9" spans="2:12">
      <c r="B9">
        <v>121</v>
      </c>
      <c r="C9" s="215">
        <v>42535</v>
      </c>
      <c r="D9" s="215">
        <f>Plan2!B8</f>
        <v>42535</v>
      </c>
      <c r="E9" s="215">
        <v>42565</v>
      </c>
      <c r="F9" s="215">
        <f>Plan2!B9</f>
        <v>42565</v>
      </c>
      <c r="G9" t="s">
        <v>822</v>
      </c>
      <c r="H9" t="s">
        <v>947</v>
      </c>
      <c r="I9" t="s">
        <v>1711</v>
      </c>
      <c r="J9">
        <v>1.0021580294747401</v>
      </c>
      <c r="K9">
        <f>Plan2!L9</f>
        <v>1.0021580294747356</v>
      </c>
      <c r="L9" s="221">
        <f t="shared" si="0"/>
        <v>4.4408920985006262E-15</v>
      </c>
    </row>
    <row r="10" spans="2:12">
      <c r="B10">
        <v>141</v>
      </c>
      <c r="C10" s="215">
        <v>42565</v>
      </c>
      <c r="D10" s="215">
        <f>Plan2!B9</f>
        <v>42565</v>
      </c>
      <c r="E10" s="215">
        <v>42594</v>
      </c>
      <c r="F10" s="215">
        <f>Plan2!B10</f>
        <v>42594</v>
      </c>
      <c r="G10" t="s">
        <v>822</v>
      </c>
      <c r="H10" t="s">
        <v>947</v>
      </c>
      <c r="I10" t="s">
        <v>1711</v>
      </c>
      <c r="J10">
        <v>1.0020598362698401</v>
      </c>
      <c r="K10">
        <f>Plan2!L10</f>
        <v>1.0020598362698427</v>
      </c>
      <c r="L10" s="221">
        <f t="shared" si="0"/>
        <v>-2.6645352591003757E-15</v>
      </c>
    </row>
    <row r="11" spans="2:12">
      <c r="B11">
        <v>161</v>
      </c>
      <c r="C11" s="215">
        <v>42594</v>
      </c>
      <c r="D11" s="215">
        <f>Plan2!B10</f>
        <v>42594</v>
      </c>
      <c r="E11" s="215">
        <v>42628</v>
      </c>
      <c r="F11" s="215">
        <f>Plan2!B11</f>
        <v>42628</v>
      </c>
      <c r="G11" t="s">
        <v>822</v>
      </c>
      <c r="H11" t="s">
        <v>947</v>
      </c>
      <c r="I11" t="s">
        <v>1711</v>
      </c>
      <c r="J11">
        <v>1.0022562323017099</v>
      </c>
      <c r="K11">
        <f>Plan2!L11</f>
        <v>1.0022562323017139</v>
      </c>
      <c r="L11" s="221">
        <f t="shared" si="0"/>
        <v>-3.9968028886505635E-15</v>
      </c>
    </row>
    <row r="12" spans="2:12">
      <c r="B12">
        <v>181</v>
      </c>
      <c r="C12" s="215">
        <v>42628</v>
      </c>
      <c r="D12" s="215">
        <f>Plan2!B11</f>
        <v>42628</v>
      </c>
      <c r="E12" s="215">
        <v>42660</v>
      </c>
      <c r="F12" s="215">
        <f>Plan2!B12</f>
        <v>42660</v>
      </c>
      <c r="G12" t="s">
        <v>822</v>
      </c>
      <c r="H12" t="s">
        <v>947</v>
      </c>
      <c r="I12" t="s">
        <v>1711</v>
      </c>
      <c r="J12">
        <v>1.0020598362698401</v>
      </c>
      <c r="K12">
        <f>Plan2!L12</f>
        <v>1.0020598362698427</v>
      </c>
      <c r="L12" s="221">
        <f t="shared" si="0"/>
        <v>-2.6645352591003757E-15</v>
      </c>
    </row>
    <row r="13" spans="2:12">
      <c r="B13">
        <v>201</v>
      </c>
      <c r="C13" s="215">
        <v>42660</v>
      </c>
      <c r="D13" s="215">
        <f>Plan2!B12</f>
        <v>42660</v>
      </c>
      <c r="E13" s="215">
        <v>42690</v>
      </c>
      <c r="F13" s="215">
        <f>Plan2!B13</f>
        <v>42690</v>
      </c>
      <c r="G13" t="s">
        <v>822</v>
      </c>
      <c r="H13" t="s">
        <v>947</v>
      </c>
      <c r="I13" t="s">
        <v>1711</v>
      </c>
      <c r="J13">
        <v>1.0019616526860899</v>
      </c>
      <c r="K13">
        <f>Plan2!L13</f>
        <v>1.0019616526860928</v>
      </c>
      <c r="L13" s="221">
        <f t="shared" si="0"/>
        <v>-2.886579864025407E-15</v>
      </c>
    </row>
    <row r="14" spans="2:12">
      <c r="B14">
        <v>221</v>
      </c>
      <c r="C14" s="215">
        <v>42690</v>
      </c>
      <c r="D14" s="215">
        <f>Plan2!B13</f>
        <v>42690</v>
      </c>
      <c r="E14" s="215">
        <v>42718</v>
      </c>
      <c r="F14" s="215">
        <f>Plan2!B14</f>
        <v>42718</v>
      </c>
      <c r="G14" t="s">
        <v>822</v>
      </c>
      <c r="H14" t="s">
        <v>947</v>
      </c>
      <c r="I14" t="s">
        <v>1711</v>
      </c>
      <c r="J14">
        <v>1.0019616526860899</v>
      </c>
      <c r="K14">
        <f>Plan2!L14</f>
        <v>1.0019616526860928</v>
      </c>
      <c r="L14" s="221">
        <f t="shared" si="0"/>
        <v>-2.886579864025407E-15</v>
      </c>
    </row>
    <row r="15" spans="2:12">
      <c r="B15">
        <v>241</v>
      </c>
      <c r="C15" s="215">
        <v>42718</v>
      </c>
      <c r="D15" s="215">
        <f>Plan2!B14</f>
        <v>42718</v>
      </c>
      <c r="E15" s="215">
        <v>42748</v>
      </c>
      <c r="F15" s="215">
        <f>Plan2!B15</f>
        <v>42748</v>
      </c>
      <c r="G15" t="s">
        <v>822</v>
      </c>
      <c r="H15" t="s">
        <v>947</v>
      </c>
      <c r="I15" t="s">
        <v>1711</v>
      </c>
      <c r="J15">
        <v>1.0021580294747401</v>
      </c>
      <c r="K15">
        <f>Plan2!L15</f>
        <v>1.0021580294747356</v>
      </c>
      <c r="L15" s="221">
        <f t="shared" si="0"/>
        <v>4.4408920985006262E-15</v>
      </c>
    </row>
    <row r="16" spans="2:12">
      <c r="B16">
        <v>261</v>
      </c>
      <c r="C16" s="215">
        <v>42748</v>
      </c>
      <c r="D16" s="215">
        <f>Plan2!B15</f>
        <v>42748</v>
      </c>
      <c r="E16" s="215">
        <v>42780</v>
      </c>
      <c r="F16" s="215">
        <f>Plan2!B16</f>
        <v>42780</v>
      </c>
      <c r="G16" t="s">
        <v>822</v>
      </c>
      <c r="H16" t="s">
        <v>947</v>
      </c>
      <c r="I16" t="s">
        <v>1711</v>
      </c>
      <c r="J16">
        <v>1.0021580294747401</v>
      </c>
      <c r="K16">
        <f>Plan2!L16</f>
        <v>1.0021580294747356</v>
      </c>
      <c r="L16" s="221">
        <f t="shared" si="0"/>
        <v>4.4408920985006262E-15</v>
      </c>
    </row>
    <row r="17" spans="2:12">
      <c r="B17">
        <v>281</v>
      </c>
      <c r="C17" s="215">
        <v>42780</v>
      </c>
      <c r="D17" s="215">
        <f>Plan2!B16</f>
        <v>42780</v>
      </c>
      <c r="E17" s="215">
        <v>42808</v>
      </c>
      <c r="F17" s="215">
        <f>Plan2!B17</f>
        <v>42808</v>
      </c>
      <c r="G17" t="s">
        <v>822</v>
      </c>
      <c r="H17" t="s">
        <v>947</v>
      </c>
      <c r="I17" t="s">
        <v>1711</v>
      </c>
      <c r="J17">
        <v>1.0017653143782499</v>
      </c>
      <c r="K17">
        <f>Plan2!L17</f>
        <v>1.0017653143782506</v>
      </c>
      <c r="L17" s="221">
        <f t="shared" si="0"/>
        <v>0</v>
      </c>
    </row>
    <row r="18" spans="2:12">
      <c r="B18">
        <v>301</v>
      </c>
      <c r="C18" s="215">
        <v>42808</v>
      </c>
      <c r="D18" s="215">
        <f>Plan2!B17</f>
        <v>42808</v>
      </c>
      <c r="E18" s="215">
        <v>42842</v>
      </c>
      <c r="F18" s="215">
        <f>Plan2!B18</f>
        <v>42842</v>
      </c>
      <c r="G18" t="s">
        <v>822</v>
      </c>
      <c r="H18" t="s">
        <v>947</v>
      </c>
      <c r="I18" t="s">
        <v>1711</v>
      </c>
      <c r="J18">
        <v>1.0022562323017099</v>
      </c>
      <c r="K18">
        <f>Plan2!L18</f>
        <v>1.0022562323017139</v>
      </c>
      <c r="L18" s="221">
        <f t="shared" si="0"/>
        <v>-3.9968028886505635E-15</v>
      </c>
    </row>
    <row r="19" spans="2:12">
      <c r="B19">
        <v>321</v>
      </c>
      <c r="C19" s="215">
        <v>42842</v>
      </c>
      <c r="D19" s="215">
        <f>Plan2!B18</f>
        <v>42842</v>
      </c>
      <c r="E19" s="215">
        <v>42870</v>
      </c>
      <c r="F19" s="215">
        <f>Plan2!B19</f>
        <v>42870</v>
      </c>
      <c r="G19" t="s">
        <v>822</v>
      </c>
      <c r="H19" t="s">
        <v>947</v>
      </c>
      <c r="I19" t="s">
        <v>1711</v>
      </c>
      <c r="J19">
        <v>1.0017653143782499</v>
      </c>
      <c r="K19">
        <f>Plan2!L19</f>
        <v>1.0017653143782506</v>
      </c>
      <c r="L19" s="221">
        <f t="shared" si="0"/>
        <v>0</v>
      </c>
    </row>
    <row r="20" spans="2:12">
      <c r="B20">
        <v>341</v>
      </c>
      <c r="C20" s="215">
        <v>42870</v>
      </c>
      <c r="D20" s="215">
        <f>Plan2!B19</f>
        <v>42870</v>
      </c>
      <c r="E20" s="215">
        <v>42900</v>
      </c>
      <c r="F20" s="215">
        <f>Plan2!B20</f>
        <v>42900</v>
      </c>
      <c r="G20" t="s">
        <v>822</v>
      </c>
      <c r="H20" t="s">
        <v>947</v>
      </c>
      <c r="I20" t="s">
        <v>1711</v>
      </c>
      <c r="J20">
        <v>1.0021580294747401</v>
      </c>
      <c r="K20">
        <f>Plan2!L20</f>
        <v>1.0021580294747356</v>
      </c>
      <c r="L20" s="221">
        <f t="shared" si="0"/>
        <v>4.4408920985006262E-15</v>
      </c>
    </row>
    <row r="21" spans="2:12">
      <c r="B21">
        <v>361</v>
      </c>
      <c r="C21" s="215">
        <v>42900</v>
      </c>
      <c r="D21" s="215">
        <f>Plan2!B20</f>
        <v>42900</v>
      </c>
      <c r="E21" s="215">
        <v>42930</v>
      </c>
      <c r="F21" s="215">
        <f>Plan2!B21</f>
        <v>42930</v>
      </c>
      <c r="G21" t="s">
        <v>822</v>
      </c>
      <c r="H21" t="s">
        <v>947</v>
      </c>
      <c r="I21" t="s">
        <v>1711</v>
      </c>
      <c r="J21">
        <v>1.0020598362698401</v>
      </c>
      <c r="K21">
        <f>Plan2!L21</f>
        <v>1.0020598362698427</v>
      </c>
      <c r="L21" s="221">
        <f t="shared" si="0"/>
        <v>-2.6645352591003757E-15</v>
      </c>
    </row>
    <row r="22" spans="2:12">
      <c r="B22">
        <v>381</v>
      </c>
      <c r="C22" s="215">
        <v>42930</v>
      </c>
      <c r="D22" s="215">
        <f>Plan2!B21</f>
        <v>42930</v>
      </c>
      <c r="E22" s="215">
        <v>42961</v>
      </c>
      <c r="F22" s="215">
        <f>Plan2!B22</f>
        <v>42961</v>
      </c>
      <c r="G22" t="s">
        <v>822</v>
      </c>
      <c r="H22" t="s">
        <v>947</v>
      </c>
      <c r="I22" t="s">
        <v>1711</v>
      </c>
      <c r="J22">
        <v>1.0020598362698401</v>
      </c>
      <c r="K22">
        <f>Plan2!L22</f>
        <v>1.0020598362698427</v>
      </c>
      <c r="L22" s="221">
        <f t="shared" si="0"/>
        <v>-2.6645352591003757E-15</v>
      </c>
    </row>
    <row r="23" spans="2:12">
      <c r="B23">
        <v>401</v>
      </c>
      <c r="C23" s="215">
        <v>42961</v>
      </c>
      <c r="D23" s="215">
        <f>Plan2!B22</f>
        <v>42961</v>
      </c>
      <c r="E23" s="215">
        <v>42993</v>
      </c>
      <c r="F23" s="215">
        <f>Plan2!B23</f>
        <v>42993</v>
      </c>
      <c r="G23" t="s">
        <v>822</v>
      </c>
      <c r="H23" t="s">
        <v>947</v>
      </c>
      <c r="I23" t="s">
        <v>1711</v>
      </c>
      <c r="J23">
        <v>1.0022562323017099</v>
      </c>
      <c r="K23">
        <f>Plan2!L23</f>
        <v>1.0022562323017139</v>
      </c>
      <c r="L23" s="221">
        <f t="shared" si="0"/>
        <v>-3.9968028886505635E-15</v>
      </c>
    </row>
    <row r="24" spans="2:12">
      <c r="B24">
        <v>421</v>
      </c>
      <c r="C24" s="215">
        <v>42993</v>
      </c>
      <c r="D24" s="215">
        <f>Plan2!B23</f>
        <v>42993</v>
      </c>
      <c r="E24" s="215">
        <v>43024</v>
      </c>
      <c r="F24" s="215">
        <f>Plan2!B24</f>
        <v>43024</v>
      </c>
      <c r="G24" t="s">
        <v>822</v>
      </c>
      <c r="H24" t="s">
        <v>947</v>
      </c>
      <c r="I24" t="s">
        <v>1711</v>
      </c>
      <c r="J24">
        <v>1.0019616526860899</v>
      </c>
      <c r="K24">
        <f>Plan2!L24</f>
        <v>1.0019616526860928</v>
      </c>
      <c r="L24" s="221">
        <f t="shared" si="0"/>
        <v>-2.886579864025407E-15</v>
      </c>
    </row>
    <row r="25" spans="2:12">
      <c r="B25">
        <v>441</v>
      </c>
      <c r="C25" s="215">
        <v>43024</v>
      </c>
      <c r="D25" s="215">
        <f>Plan2!B24</f>
        <v>43024</v>
      </c>
      <c r="E25" s="215">
        <v>43055</v>
      </c>
      <c r="F25" s="215">
        <f>Plan2!B25</f>
        <v>43055</v>
      </c>
      <c r="G25" t="s">
        <v>822</v>
      </c>
      <c r="H25" t="s">
        <v>947</v>
      </c>
      <c r="I25" t="s">
        <v>1711</v>
      </c>
      <c r="J25">
        <v>1.0020598362698401</v>
      </c>
      <c r="K25">
        <f>Plan2!L25</f>
        <v>1.0020598362698427</v>
      </c>
      <c r="L25" s="221">
        <f t="shared" si="0"/>
        <v>-2.6645352591003757E-15</v>
      </c>
    </row>
    <row r="26" spans="2:12">
      <c r="B26">
        <v>461</v>
      </c>
      <c r="C26" s="215">
        <v>43055</v>
      </c>
      <c r="D26" s="215">
        <f>Plan2!B25</f>
        <v>43055</v>
      </c>
      <c r="E26" s="215">
        <v>43083</v>
      </c>
      <c r="F26" s="215">
        <f>Plan2!B26</f>
        <v>43083</v>
      </c>
      <c r="G26" t="s">
        <v>822</v>
      </c>
      <c r="H26" t="s">
        <v>947</v>
      </c>
      <c r="I26" t="s">
        <v>1711</v>
      </c>
      <c r="J26">
        <v>1.0019616526860899</v>
      </c>
      <c r="K26">
        <f>Plan2!L26</f>
        <v>1.0019616526860928</v>
      </c>
      <c r="L26" s="221">
        <f t="shared" si="0"/>
        <v>-2.886579864025407E-15</v>
      </c>
    </row>
    <row r="27" spans="2:12">
      <c r="B27">
        <v>481</v>
      </c>
      <c r="C27" s="215">
        <v>43083</v>
      </c>
      <c r="D27" s="215">
        <f>Plan2!B26</f>
        <v>43083</v>
      </c>
      <c r="E27" s="215">
        <v>43115</v>
      </c>
      <c r="F27" s="215">
        <f>Plan2!B27</f>
        <v>43115</v>
      </c>
      <c r="G27" t="s">
        <v>822</v>
      </c>
      <c r="H27" t="s">
        <v>947</v>
      </c>
      <c r="I27" t="s">
        <v>1711</v>
      </c>
      <c r="J27">
        <v>1.0019616526860899</v>
      </c>
      <c r="K27">
        <f>Plan2!L27</f>
        <v>1.0019616526860928</v>
      </c>
      <c r="L27" s="221">
        <f t="shared" si="0"/>
        <v>-2.886579864025407E-15</v>
      </c>
    </row>
    <row r="28" spans="2:12">
      <c r="B28">
        <v>501</v>
      </c>
      <c r="C28" s="215">
        <v>43115</v>
      </c>
      <c r="D28" s="215">
        <f>Plan2!B27</f>
        <v>43115</v>
      </c>
      <c r="E28" s="215">
        <v>43147</v>
      </c>
      <c r="F28" s="215">
        <f>Plan2!B28</f>
        <v>43147</v>
      </c>
      <c r="G28" t="s">
        <v>822</v>
      </c>
      <c r="H28" t="s">
        <v>947</v>
      </c>
      <c r="I28" t="s">
        <v>1711</v>
      </c>
      <c r="J28">
        <v>1.0021580294747401</v>
      </c>
      <c r="K28">
        <f>Plan2!L28</f>
        <v>1.0021580294747356</v>
      </c>
      <c r="L28" s="221">
        <f t="shared" si="0"/>
        <v>4.4408920985006262E-15</v>
      </c>
    </row>
    <row r="29" spans="2:12">
      <c r="B29">
        <v>521</v>
      </c>
      <c r="C29" s="215">
        <v>43147</v>
      </c>
      <c r="D29" s="215">
        <f>Plan2!B28</f>
        <v>43147</v>
      </c>
      <c r="E29" s="215">
        <v>43173</v>
      </c>
      <c r="F29" s="215">
        <f>Plan2!B29</f>
        <v>43173</v>
      </c>
      <c r="G29" t="s">
        <v>822</v>
      </c>
      <c r="H29" t="s">
        <v>947</v>
      </c>
      <c r="I29" t="s">
        <v>1711</v>
      </c>
      <c r="J29">
        <v>1.0017653143782499</v>
      </c>
      <c r="K29">
        <f>Plan2!L29</f>
        <v>1.0017653143782506</v>
      </c>
      <c r="L29" s="221">
        <f t="shared" si="0"/>
        <v>0</v>
      </c>
    </row>
    <row r="30" spans="2:12">
      <c r="B30">
        <v>541</v>
      </c>
      <c r="C30" s="215">
        <v>43173</v>
      </c>
      <c r="D30" s="215">
        <f>Plan2!B29</f>
        <v>43173</v>
      </c>
      <c r="E30" s="215">
        <v>43203</v>
      </c>
      <c r="F30" s="215">
        <f>Plan2!B30</f>
        <v>43203</v>
      </c>
      <c r="G30" t="s">
        <v>822</v>
      </c>
      <c r="H30" t="s">
        <v>947</v>
      </c>
      <c r="I30" t="s">
        <v>1711</v>
      </c>
      <c r="J30">
        <v>1.0020598362698401</v>
      </c>
      <c r="K30">
        <f>Plan2!L30</f>
        <v>1.0020598362698427</v>
      </c>
      <c r="L30" s="221">
        <f t="shared" si="0"/>
        <v>-2.6645352591003757E-15</v>
      </c>
    </row>
    <row r="31" spans="2:12">
      <c r="B31">
        <v>561</v>
      </c>
      <c r="C31" s="215">
        <v>43203</v>
      </c>
      <c r="D31" s="215">
        <f>Plan2!B30</f>
        <v>43203</v>
      </c>
      <c r="E31" s="215">
        <v>43235</v>
      </c>
      <c r="F31" s="215">
        <f>Plan2!B31</f>
        <v>43235</v>
      </c>
      <c r="G31" t="s">
        <v>822</v>
      </c>
      <c r="H31" t="s">
        <v>947</v>
      </c>
      <c r="I31" t="s">
        <v>1711</v>
      </c>
      <c r="J31">
        <v>1.0020598362698401</v>
      </c>
      <c r="K31">
        <f>Plan2!L31</f>
        <v>1.0020598362698427</v>
      </c>
      <c r="L31" s="221">
        <f t="shared" si="0"/>
        <v>-2.6645352591003757E-15</v>
      </c>
    </row>
    <row r="32" spans="2:12">
      <c r="B32">
        <v>581</v>
      </c>
      <c r="C32" s="215">
        <v>43235</v>
      </c>
      <c r="D32" s="215">
        <f>Plan2!B31</f>
        <v>43235</v>
      </c>
      <c r="E32" s="215">
        <v>43265</v>
      </c>
      <c r="F32" s="215">
        <f>Plan2!B32</f>
        <v>43265</v>
      </c>
      <c r="G32" t="s">
        <v>822</v>
      </c>
      <c r="H32" t="s">
        <v>947</v>
      </c>
      <c r="I32" t="s">
        <v>1711</v>
      </c>
      <c r="J32">
        <v>1.0020598362698401</v>
      </c>
      <c r="K32">
        <f>Plan2!L32</f>
        <v>1.0020598362698427</v>
      </c>
      <c r="L32" s="221">
        <f t="shared" si="0"/>
        <v>-2.6645352591003757E-15</v>
      </c>
    </row>
    <row r="33" spans="2:12">
      <c r="B33">
        <v>601</v>
      </c>
      <c r="C33" s="215">
        <v>43265</v>
      </c>
      <c r="D33" s="215">
        <f>Plan2!B32</f>
        <v>43265</v>
      </c>
      <c r="E33" s="215">
        <v>43294</v>
      </c>
      <c r="F33" s="215">
        <f>Plan2!B33</f>
        <v>43294</v>
      </c>
      <c r="G33" t="s">
        <v>822</v>
      </c>
      <c r="H33" t="s">
        <v>947</v>
      </c>
      <c r="I33" t="s">
        <v>1711</v>
      </c>
      <c r="J33">
        <v>1.0020598362698401</v>
      </c>
      <c r="K33">
        <f>Plan2!L33</f>
        <v>1.0020598362698427</v>
      </c>
      <c r="L33" s="221">
        <f t="shared" si="0"/>
        <v>-2.6645352591003757E-15</v>
      </c>
    </row>
    <row r="34" spans="2:12">
      <c r="B34">
        <v>621</v>
      </c>
      <c r="C34" s="215">
        <v>43294</v>
      </c>
      <c r="D34" s="215">
        <f>Plan2!B33</f>
        <v>43294</v>
      </c>
      <c r="E34" s="215">
        <v>43326</v>
      </c>
      <c r="F34" s="215">
        <f>Plan2!B34</f>
        <v>43326</v>
      </c>
      <c r="G34" t="s">
        <v>822</v>
      </c>
      <c r="H34" t="s">
        <v>947</v>
      </c>
      <c r="I34" t="s">
        <v>1711</v>
      </c>
      <c r="J34">
        <v>1.0021580294747401</v>
      </c>
      <c r="K34">
        <f>Plan2!L34</f>
        <v>1.0021580294747356</v>
      </c>
      <c r="L34" s="221">
        <f t="shared" si="0"/>
        <v>4.4408920985006262E-15</v>
      </c>
    </row>
    <row r="35" spans="2:12">
      <c r="B35">
        <v>641</v>
      </c>
      <c r="C35" s="215">
        <v>43326</v>
      </c>
      <c r="D35" s="215">
        <f>Plan2!B34</f>
        <v>43326</v>
      </c>
      <c r="E35" s="215">
        <v>43360</v>
      </c>
      <c r="F35" s="215">
        <f>Plan2!B35</f>
        <v>43360</v>
      </c>
      <c r="G35" t="s">
        <v>822</v>
      </c>
      <c r="H35" t="s">
        <v>947</v>
      </c>
      <c r="I35" t="s">
        <v>1711</v>
      </c>
      <c r="J35">
        <v>1.0022562323017099</v>
      </c>
      <c r="K35">
        <f>Plan2!L35</f>
        <v>1.0022562323017139</v>
      </c>
      <c r="L35" s="221">
        <f t="shared" si="0"/>
        <v>-3.9968028886505635E-15</v>
      </c>
    </row>
    <row r="36" spans="2:12">
      <c r="B36">
        <v>661</v>
      </c>
      <c r="C36" s="215">
        <v>43360</v>
      </c>
      <c r="D36" s="215">
        <f>Plan2!B35</f>
        <v>43360</v>
      </c>
      <c r="E36" s="215">
        <v>43388</v>
      </c>
      <c r="F36" s="215">
        <f>Plan2!B36</f>
        <v>43388</v>
      </c>
      <c r="G36" t="s">
        <v>822</v>
      </c>
      <c r="H36" t="s">
        <v>947</v>
      </c>
      <c r="I36" t="s">
        <v>1711</v>
      </c>
      <c r="J36">
        <v>1.00186347872254</v>
      </c>
      <c r="K36">
        <f>Plan2!L36</f>
        <v>1.0018634787225431</v>
      </c>
      <c r="L36" s="221">
        <f t="shared" si="0"/>
        <v>-3.1086244689504383E-15</v>
      </c>
    </row>
    <row r="37" spans="2:12">
      <c r="B37">
        <v>681</v>
      </c>
      <c r="C37" s="215">
        <v>43388</v>
      </c>
      <c r="D37" s="215">
        <f>Plan2!B36</f>
        <v>43388</v>
      </c>
      <c r="E37" s="215">
        <v>43420</v>
      </c>
      <c r="F37" s="215">
        <f>Plan2!B37</f>
        <v>43420</v>
      </c>
      <c r="G37" t="s">
        <v>822</v>
      </c>
      <c r="H37" t="s">
        <v>947</v>
      </c>
      <c r="I37" t="s">
        <v>1711</v>
      </c>
      <c r="J37">
        <v>1.0021580294747401</v>
      </c>
      <c r="K37">
        <f>Plan2!L37</f>
        <v>1.0021580294747356</v>
      </c>
      <c r="L37" s="221">
        <f t="shared" si="0"/>
        <v>4.4408920985006262E-15</v>
      </c>
    </row>
    <row r="38" spans="2:12">
      <c r="B38">
        <v>701</v>
      </c>
      <c r="C38" s="215">
        <v>43420</v>
      </c>
      <c r="D38" s="215">
        <f>Plan2!B37</f>
        <v>43420</v>
      </c>
      <c r="E38" s="215">
        <v>43448</v>
      </c>
      <c r="F38" s="215">
        <f>Plan2!B38</f>
        <v>43448</v>
      </c>
      <c r="G38" t="s">
        <v>822</v>
      </c>
      <c r="H38" t="s">
        <v>947</v>
      </c>
      <c r="I38" t="s">
        <v>1711</v>
      </c>
      <c r="J38">
        <v>1.0019616526860899</v>
      </c>
      <c r="K38">
        <f>Plan2!L38</f>
        <v>1.0019616526860928</v>
      </c>
      <c r="L38" s="221">
        <f t="shared" si="0"/>
        <v>-2.886579864025407E-15</v>
      </c>
    </row>
    <row r="39" spans="2:12">
      <c r="B39">
        <v>721</v>
      </c>
      <c r="C39" s="215">
        <v>43448</v>
      </c>
      <c r="D39" s="215">
        <f>Plan2!B38</f>
        <v>43448</v>
      </c>
      <c r="E39" s="215">
        <v>43480</v>
      </c>
      <c r="F39" s="215">
        <f>Plan2!B39</f>
        <v>43480</v>
      </c>
      <c r="G39" t="s">
        <v>822</v>
      </c>
      <c r="H39" t="s">
        <v>947</v>
      </c>
      <c r="I39" t="s">
        <v>1711</v>
      </c>
      <c r="J39">
        <v>1.0019616526860899</v>
      </c>
      <c r="K39">
        <f>Plan2!L39</f>
        <v>1.0019616526860928</v>
      </c>
      <c r="L39" s="221">
        <f t="shared" si="0"/>
        <v>-2.886579864025407E-15</v>
      </c>
    </row>
    <row r="40" spans="2:12">
      <c r="B40">
        <v>741</v>
      </c>
      <c r="C40" s="215">
        <v>43480</v>
      </c>
      <c r="D40" s="215">
        <f>Plan2!B39</f>
        <v>43480</v>
      </c>
      <c r="E40" s="215">
        <v>43510</v>
      </c>
      <c r="F40" s="215">
        <f>Plan2!B40</f>
        <v>43510</v>
      </c>
      <c r="G40" t="s">
        <v>822</v>
      </c>
      <c r="H40" t="s">
        <v>947</v>
      </c>
      <c r="I40" t="s">
        <v>1711</v>
      </c>
      <c r="J40">
        <v>1.0021580294747401</v>
      </c>
      <c r="K40">
        <f>Plan2!L40</f>
        <v>1.0021580294747356</v>
      </c>
      <c r="L40" s="221">
        <f t="shared" si="0"/>
        <v>4.4408920985006262E-15</v>
      </c>
    </row>
    <row r="41" spans="2:12">
      <c r="B41">
        <v>761</v>
      </c>
      <c r="C41" s="215">
        <v>43510</v>
      </c>
      <c r="D41" s="215">
        <f>Plan2!B40</f>
        <v>43510</v>
      </c>
      <c r="E41" s="215">
        <v>43542</v>
      </c>
      <c r="F41" s="215">
        <f>Plan2!B41</f>
        <v>43542</v>
      </c>
      <c r="G41" t="s">
        <v>822</v>
      </c>
      <c r="H41" t="s">
        <v>947</v>
      </c>
      <c r="I41" t="s">
        <v>1711</v>
      </c>
      <c r="J41">
        <v>1.0019616526860899</v>
      </c>
      <c r="K41">
        <f>Plan2!L41</f>
        <v>1.0019616526860928</v>
      </c>
      <c r="L41" s="221">
        <f t="shared" si="0"/>
        <v>-2.886579864025407E-15</v>
      </c>
    </row>
    <row r="42" spans="2:12">
      <c r="B42">
        <v>781</v>
      </c>
      <c r="C42" s="215">
        <v>43542</v>
      </c>
      <c r="D42" s="215">
        <f>Plan2!B41</f>
        <v>43542</v>
      </c>
      <c r="E42" s="215">
        <v>43567</v>
      </c>
      <c r="F42" s="215">
        <f>Plan2!B42</f>
        <v>43567</v>
      </c>
      <c r="G42" t="s">
        <v>822</v>
      </c>
      <c r="H42" t="s">
        <v>947</v>
      </c>
      <c r="I42" t="s">
        <v>1711</v>
      </c>
      <c r="J42">
        <v>1.00186347872254</v>
      </c>
      <c r="K42">
        <f>Plan2!L42</f>
        <v>1.0018634787225431</v>
      </c>
      <c r="L42" s="221">
        <f t="shared" si="0"/>
        <v>-3.1086244689504383E-15</v>
      </c>
    </row>
    <row r="43" spans="2:12">
      <c r="B43">
        <v>801</v>
      </c>
      <c r="C43" s="215">
        <v>43567</v>
      </c>
      <c r="D43" s="215">
        <f>Plan2!B42</f>
        <v>43567</v>
      </c>
      <c r="E43" s="215">
        <v>43600</v>
      </c>
      <c r="F43" s="215">
        <f>Plan2!B43</f>
        <v>43600</v>
      </c>
      <c r="G43" t="s">
        <v>822</v>
      </c>
      <c r="H43" t="s">
        <v>947</v>
      </c>
      <c r="I43" t="s">
        <v>1711</v>
      </c>
      <c r="J43">
        <v>1.0020598362698401</v>
      </c>
      <c r="K43">
        <f>Plan2!L43</f>
        <v>1.0020598362698427</v>
      </c>
      <c r="L43" s="221">
        <f t="shared" si="0"/>
        <v>-2.6645352591003757E-15</v>
      </c>
    </row>
    <row r="44" spans="2:12">
      <c r="B44">
        <v>821</v>
      </c>
      <c r="C44" s="215">
        <v>43600</v>
      </c>
      <c r="D44" s="215">
        <f>Plan2!B43</f>
        <v>43600</v>
      </c>
      <c r="E44" s="215">
        <v>43630</v>
      </c>
      <c r="F44" s="215">
        <f>Plan2!B44</f>
        <v>43630</v>
      </c>
      <c r="G44" t="s">
        <v>822</v>
      </c>
      <c r="H44" t="s">
        <v>947</v>
      </c>
      <c r="I44" t="s">
        <v>1711</v>
      </c>
      <c r="J44">
        <v>1.0021580294747401</v>
      </c>
      <c r="K44">
        <f>Plan2!L44</f>
        <v>1.0021580294747356</v>
      </c>
      <c r="L44" s="221">
        <f t="shared" si="0"/>
        <v>4.4408920985006262E-15</v>
      </c>
    </row>
    <row r="45" spans="2:12">
      <c r="B45">
        <v>841</v>
      </c>
      <c r="C45" s="215">
        <v>43630</v>
      </c>
      <c r="D45" s="215">
        <f>Plan2!B44</f>
        <v>43630</v>
      </c>
      <c r="E45" s="215">
        <v>43658</v>
      </c>
      <c r="F45" s="215">
        <f>Plan2!B45</f>
        <v>43658</v>
      </c>
      <c r="G45" t="s">
        <v>822</v>
      </c>
      <c r="H45" t="s">
        <v>947</v>
      </c>
      <c r="I45" t="s">
        <v>1711</v>
      </c>
      <c r="J45">
        <v>1.00186347872254</v>
      </c>
      <c r="K45">
        <f>Plan2!L45</f>
        <v>1.0018634787225431</v>
      </c>
      <c r="L45" s="221">
        <f t="shared" si="0"/>
        <v>-3.1086244689504383E-15</v>
      </c>
    </row>
    <row r="46" spans="2:12">
      <c r="B46">
        <v>861</v>
      </c>
      <c r="C46" s="215">
        <v>43658</v>
      </c>
      <c r="D46" s="215">
        <f>Plan2!B45</f>
        <v>43658</v>
      </c>
      <c r="E46" s="215">
        <v>43691</v>
      </c>
      <c r="F46" s="215">
        <f>Plan2!B46</f>
        <v>43691</v>
      </c>
      <c r="G46" t="s">
        <v>822</v>
      </c>
      <c r="H46" t="s">
        <v>947</v>
      </c>
      <c r="I46" t="s">
        <v>1711</v>
      </c>
      <c r="J46">
        <v>1.0022562323017099</v>
      </c>
      <c r="K46">
        <f>Plan2!L46</f>
        <v>1.0022562323017139</v>
      </c>
      <c r="L46" s="221">
        <f t="shared" si="0"/>
        <v>-3.9968028886505635E-15</v>
      </c>
    </row>
    <row r="47" spans="2:12">
      <c r="B47">
        <v>881</v>
      </c>
      <c r="C47" s="215">
        <v>43691</v>
      </c>
      <c r="D47" s="215">
        <f>Plan2!B46</f>
        <v>43691</v>
      </c>
      <c r="E47" s="215">
        <v>43721</v>
      </c>
      <c r="F47" s="215">
        <f>Plan2!B47</f>
        <v>43721</v>
      </c>
      <c r="G47" t="s">
        <v>822</v>
      </c>
      <c r="H47" t="s">
        <v>947</v>
      </c>
      <c r="I47" t="s">
        <v>1711</v>
      </c>
      <c r="J47">
        <v>1.0021580294747401</v>
      </c>
      <c r="K47">
        <f>Plan2!L47</f>
        <v>1.0021580294747356</v>
      </c>
      <c r="L47" s="221">
        <f t="shared" si="0"/>
        <v>4.4408920985006262E-15</v>
      </c>
    </row>
    <row r="48" spans="2:12">
      <c r="B48">
        <v>901</v>
      </c>
      <c r="C48" s="215">
        <v>43721</v>
      </c>
      <c r="D48" s="215">
        <f>Plan2!B47</f>
        <v>43721</v>
      </c>
      <c r="E48" s="215">
        <v>43752</v>
      </c>
      <c r="F48" s="215">
        <f>Plan2!B48</f>
        <v>43752</v>
      </c>
      <c r="G48" t="s">
        <v>822</v>
      </c>
      <c r="H48" t="s">
        <v>947</v>
      </c>
      <c r="I48" t="s">
        <v>1711</v>
      </c>
      <c r="J48">
        <v>1.0020598362698401</v>
      </c>
      <c r="K48">
        <f>Plan2!L48</f>
        <v>1.0020598362698427</v>
      </c>
      <c r="L48" s="221">
        <f t="shared" si="0"/>
        <v>-2.6645352591003757E-15</v>
      </c>
    </row>
    <row r="49" spans="2:12">
      <c r="B49">
        <v>921</v>
      </c>
      <c r="C49" s="215">
        <v>43752</v>
      </c>
      <c r="D49" s="215">
        <f>Plan2!B48</f>
        <v>43752</v>
      </c>
      <c r="E49" s="215">
        <v>43783</v>
      </c>
      <c r="F49" s="215">
        <f>Plan2!B49</f>
        <v>43783</v>
      </c>
      <c r="G49" t="s">
        <v>822</v>
      </c>
      <c r="H49" t="s">
        <v>947</v>
      </c>
      <c r="I49" t="s">
        <v>1711</v>
      </c>
      <c r="J49">
        <v>1.0022562323017099</v>
      </c>
      <c r="K49">
        <f>Plan2!L49</f>
        <v>1.0022562323017139</v>
      </c>
      <c r="L49" s="221">
        <f t="shared" si="0"/>
        <v>-3.9968028886505635E-15</v>
      </c>
    </row>
    <row r="50" spans="2:12">
      <c r="B50">
        <v>941</v>
      </c>
      <c r="C50" s="215">
        <v>43783</v>
      </c>
      <c r="D50" s="215">
        <f>Plan2!B49</f>
        <v>43783</v>
      </c>
      <c r="E50" s="215">
        <v>43812</v>
      </c>
      <c r="F50" s="215">
        <f>Plan2!B50</f>
        <v>43812</v>
      </c>
      <c r="G50" t="s">
        <v>822</v>
      </c>
      <c r="H50" t="s">
        <v>947</v>
      </c>
      <c r="I50" t="s">
        <v>1711</v>
      </c>
      <c r="J50">
        <v>1.0019616526860899</v>
      </c>
      <c r="K50">
        <f>Plan2!L50</f>
        <v>1.0019616526860928</v>
      </c>
      <c r="L50" s="221">
        <f t="shared" si="0"/>
        <v>-2.886579864025407E-15</v>
      </c>
    </row>
    <row r="51" spans="2:12">
      <c r="B51">
        <v>961</v>
      </c>
      <c r="C51" s="215">
        <v>43812</v>
      </c>
      <c r="D51" s="215">
        <f>Plan2!B50</f>
        <v>43812</v>
      </c>
      <c r="E51" s="215">
        <v>43845</v>
      </c>
      <c r="F51" s="215">
        <f>Plan2!B51</f>
        <v>43845</v>
      </c>
      <c r="G51" t="s">
        <v>822</v>
      </c>
      <c r="H51" t="s">
        <v>947</v>
      </c>
      <c r="I51" t="s">
        <v>1711</v>
      </c>
      <c r="J51">
        <v>1.0020598362698401</v>
      </c>
      <c r="K51">
        <f>Plan2!L51</f>
        <v>1.0020598362698427</v>
      </c>
      <c r="L51" s="221">
        <f t="shared" si="0"/>
        <v>-2.6645352591003757E-15</v>
      </c>
    </row>
    <row r="52" spans="2:12">
      <c r="B52">
        <v>981</v>
      </c>
      <c r="C52" s="215">
        <v>43845</v>
      </c>
      <c r="D52" s="215">
        <f>Plan2!B51</f>
        <v>43845</v>
      </c>
      <c r="E52" s="215">
        <v>43875</v>
      </c>
      <c r="F52" s="215">
        <f>Plan2!B52</f>
        <v>43875</v>
      </c>
      <c r="G52" t="s">
        <v>822</v>
      </c>
      <c r="H52" t="s">
        <v>947</v>
      </c>
      <c r="I52" t="s">
        <v>1711</v>
      </c>
      <c r="J52">
        <v>1.0021580294747401</v>
      </c>
      <c r="K52">
        <f>Plan2!L52</f>
        <v>1.0021580294747356</v>
      </c>
      <c r="L52" s="221">
        <f t="shared" si="0"/>
        <v>4.4408920985006262E-15</v>
      </c>
    </row>
    <row r="53" spans="2:12">
      <c r="B53">
        <v>1001</v>
      </c>
      <c r="C53" s="215">
        <v>43875</v>
      </c>
      <c r="D53" s="215">
        <f>Plan2!B52</f>
        <v>43875</v>
      </c>
      <c r="E53" s="215">
        <v>43903</v>
      </c>
      <c r="F53" s="215">
        <f>Plan2!B53</f>
        <v>43903</v>
      </c>
      <c r="G53" t="s">
        <v>822</v>
      </c>
      <c r="H53" t="s">
        <v>947</v>
      </c>
      <c r="I53" t="s">
        <v>1711</v>
      </c>
      <c r="J53">
        <v>1.0017653143782499</v>
      </c>
      <c r="K53">
        <f>Plan2!L53</f>
        <v>1.0017653143782506</v>
      </c>
      <c r="L53" s="221">
        <f t="shared" si="0"/>
        <v>0</v>
      </c>
    </row>
    <row r="54" spans="2:12">
      <c r="B54">
        <v>1021</v>
      </c>
      <c r="C54" s="215">
        <v>43903</v>
      </c>
      <c r="D54" s="215">
        <f>Plan2!B53</f>
        <v>43903</v>
      </c>
      <c r="E54" s="215">
        <v>43936</v>
      </c>
      <c r="F54" s="215">
        <f>Plan2!B54</f>
        <v>43936</v>
      </c>
      <c r="G54" t="s">
        <v>822</v>
      </c>
      <c r="H54" t="s">
        <v>947</v>
      </c>
      <c r="I54" t="s">
        <v>1711</v>
      </c>
      <c r="J54">
        <v>1.0021580294747401</v>
      </c>
      <c r="K54">
        <f>Plan2!L54</f>
        <v>1.0021580294747356</v>
      </c>
      <c r="L54" s="221">
        <f t="shared" si="0"/>
        <v>4.4408920985006262E-15</v>
      </c>
    </row>
    <row r="55" spans="2:12">
      <c r="B55">
        <v>1041</v>
      </c>
      <c r="C55" s="215">
        <v>43936</v>
      </c>
      <c r="D55" s="215">
        <f>Plan2!B54</f>
        <v>43936</v>
      </c>
      <c r="E55" s="215">
        <v>43966</v>
      </c>
      <c r="F55" s="215">
        <f>Plan2!B55</f>
        <v>43966</v>
      </c>
      <c r="G55" t="s">
        <v>822</v>
      </c>
      <c r="H55" t="s">
        <v>947</v>
      </c>
      <c r="I55" t="s">
        <v>1711</v>
      </c>
      <c r="J55">
        <v>1.0019616526860899</v>
      </c>
      <c r="K55">
        <f>Plan2!L55</f>
        <v>1.0019616526860928</v>
      </c>
      <c r="L55" s="221">
        <f t="shared" si="0"/>
        <v>-2.886579864025407E-15</v>
      </c>
    </row>
    <row r="56" spans="2:12">
      <c r="B56">
        <v>1061</v>
      </c>
      <c r="C56" s="215">
        <v>43966</v>
      </c>
      <c r="D56" s="215">
        <f>Plan2!B55</f>
        <v>43966</v>
      </c>
      <c r="E56" s="215">
        <v>43997</v>
      </c>
      <c r="F56" s="215">
        <f>Plan2!B56</f>
        <v>43997</v>
      </c>
      <c r="G56" t="s">
        <v>822</v>
      </c>
      <c r="H56" t="s">
        <v>947</v>
      </c>
      <c r="I56" t="s">
        <v>1711</v>
      </c>
      <c r="J56">
        <v>1.0019616526860899</v>
      </c>
      <c r="K56">
        <f>Plan2!L56</f>
        <v>1.0019616526860928</v>
      </c>
      <c r="L56" s="221">
        <f t="shared" si="0"/>
        <v>-2.886579864025407E-15</v>
      </c>
    </row>
    <row r="57" spans="2:12">
      <c r="B57">
        <v>1081</v>
      </c>
      <c r="C57" s="215">
        <v>43997</v>
      </c>
      <c r="D57" s="215">
        <f>Plan2!B56</f>
        <v>43997</v>
      </c>
      <c r="E57" s="215">
        <v>44026</v>
      </c>
      <c r="F57" s="215">
        <f>Plan2!B57</f>
        <v>44026</v>
      </c>
      <c r="G57" t="s">
        <v>822</v>
      </c>
      <c r="H57" t="s">
        <v>947</v>
      </c>
      <c r="I57" t="s">
        <v>1711</v>
      </c>
      <c r="J57">
        <v>1.0020598362698401</v>
      </c>
      <c r="K57">
        <f>Plan2!L57</f>
        <v>1.0020598362698427</v>
      </c>
      <c r="L57" s="221">
        <f t="shared" si="0"/>
        <v>-2.6645352591003757E-15</v>
      </c>
    </row>
    <row r="58" spans="2:12">
      <c r="B58">
        <v>1101</v>
      </c>
      <c r="C58" s="215">
        <v>44026</v>
      </c>
      <c r="D58" s="215">
        <f>Plan2!B57</f>
        <v>44026</v>
      </c>
      <c r="E58" s="215">
        <v>44057</v>
      </c>
      <c r="F58" s="215">
        <f>Plan2!B58</f>
        <v>44057</v>
      </c>
      <c r="G58" t="s">
        <v>822</v>
      </c>
      <c r="H58" t="s">
        <v>947</v>
      </c>
      <c r="I58" t="s">
        <v>1711</v>
      </c>
      <c r="J58">
        <v>1.0022562323017099</v>
      </c>
      <c r="K58">
        <f>Plan2!L58</f>
        <v>1.0022562323017139</v>
      </c>
      <c r="L58" s="221">
        <f t="shared" si="0"/>
        <v>-3.9968028886505635E-15</v>
      </c>
    </row>
    <row r="59" spans="2:12">
      <c r="B59">
        <v>1121</v>
      </c>
      <c r="C59" s="215">
        <v>44057</v>
      </c>
      <c r="D59" s="215">
        <f>Plan2!B58</f>
        <v>44057</v>
      </c>
      <c r="E59" s="215">
        <v>44089</v>
      </c>
      <c r="F59" s="215">
        <f>Plan2!B59</f>
        <v>44089</v>
      </c>
      <c r="G59" t="s">
        <v>822</v>
      </c>
      <c r="H59" t="s">
        <v>947</v>
      </c>
      <c r="I59" t="s">
        <v>1711</v>
      </c>
      <c r="J59">
        <v>1.0020598362698401</v>
      </c>
      <c r="K59">
        <f>Plan2!L59</f>
        <v>1.0020598362698427</v>
      </c>
      <c r="L59" s="221">
        <f t="shared" si="0"/>
        <v>-2.6645352591003757E-15</v>
      </c>
    </row>
    <row r="60" spans="2:12">
      <c r="B60">
        <v>1141</v>
      </c>
      <c r="C60" s="215">
        <v>44089</v>
      </c>
      <c r="D60" s="215">
        <f>Plan2!B59</f>
        <v>44089</v>
      </c>
      <c r="E60" s="215">
        <v>44119</v>
      </c>
      <c r="F60" s="215">
        <f>Plan2!B60</f>
        <v>44119</v>
      </c>
      <c r="G60" t="s">
        <v>822</v>
      </c>
      <c r="H60" t="s">
        <v>947</v>
      </c>
      <c r="I60" t="s">
        <v>1711</v>
      </c>
      <c r="J60">
        <v>1.0020598362698401</v>
      </c>
      <c r="K60">
        <f>Plan2!L60</f>
        <v>1.0020598362698427</v>
      </c>
      <c r="L60" s="221">
        <f t="shared" si="0"/>
        <v>-2.6645352591003757E-15</v>
      </c>
    </row>
    <row r="61" spans="2:12">
      <c r="B61">
        <v>1161</v>
      </c>
      <c r="C61" s="215">
        <v>44119</v>
      </c>
      <c r="D61" s="215">
        <f>Plan2!B60</f>
        <v>44119</v>
      </c>
      <c r="E61" s="215">
        <v>44151</v>
      </c>
      <c r="F61" s="215">
        <f>Plan2!B61</f>
        <v>44151</v>
      </c>
      <c r="G61" t="s">
        <v>822</v>
      </c>
      <c r="H61" t="s">
        <v>947</v>
      </c>
      <c r="I61" t="s">
        <v>1711</v>
      </c>
      <c r="J61">
        <v>1.0020598362698401</v>
      </c>
      <c r="K61">
        <f>Plan2!L61</f>
        <v>1.0020598362698427</v>
      </c>
      <c r="L61" s="221">
        <f t="shared" si="0"/>
        <v>-2.6645352591003757E-15</v>
      </c>
    </row>
    <row r="62" spans="2:12">
      <c r="B62">
        <v>1181</v>
      </c>
      <c r="C62" s="215">
        <v>44151</v>
      </c>
      <c r="D62" s="215">
        <f>Plan2!B61</f>
        <v>44151</v>
      </c>
      <c r="E62" s="215">
        <v>44179</v>
      </c>
      <c r="F62" s="215">
        <f>Plan2!B62</f>
        <v>44179</v>
      </c>
      <c r="G62" t="s">
        <v>822</v>
      </c>
      <c r="H62" t="s">
        <v>947</v>
      </c>
      <c r="I62" t="s">
        <v>1711</v>
      </c>
      <c r="J62">
        <v>1.0019616526860899</v>
      </c>
      <c r="K62">
        <f>Plan2!L62</f>
        <v>1.0019616526860928</v>
      </c>
      <c r="L62" s="221">
        <f t="shared" si="0"/>
        <v>-2.886579864025407E-15</v>
      </c>
    </row>
    <row r="63" spans="2:12">
      <c r="B63">
        <v>1201</v>
      </c>
      <c r="C63" s="215">
        <v>44179</v>
      </c>
      <c r="D63" s="215">
        <f>Plan2!B62</f>
        <v>44179</v>
      </c>
      <c r="E63" s="215">
        <v>44211</v>
      </c>
      <c r="F63" s="215">
        <f>Plan2!B63</f>
        <v>44211</v>
      </c>
      <c r="G63" t="s">
        <v>822</v>
      </c>
      <c r="H63" t="s">
        <v>947</v>
      </c>
      <c r="I63" t="s">
        <v>1711</v>
      </c>
      <c r="J63">
        <v>1.0021580294747401</v>
      </c>
      <c r="K63">
        <f>Plan2!L63</f>
        <v>1.0021580294747356</v>
      </c>
      <c r="L63" s="221">
        <f t="shared" si="0"/>
        <v>4.4408920985006262E-15</v>
      </c>
    </row>
    <row r="64" spans="2:12">
      <c r="B64">
        <v>1221</v>
      </c>
      <c r="C64" s="215">
        <v>44211</v>
      </c>
      <c r="D64" s="215">
        <f>Plan2!B63</f>
        <v>44211</v>
      </c>
      <c r="E64" s="215">
        <v>44239</v>
      </c>
      <c r="F64" s="215">
        <f>Plan2!B64</f>
        <v>44239</v>
      </c>
      <c r="G64" t="s">
        <v>822</v>
      </c>
      <c r="H64" t="s">
        <v>947</v>
      </c>
      <c r="I64" t="s">
        <v>1711</v>
      </c>
      <c r="J64">
        <v>1.0019616526860899</v>
      </c>
      <c r="K64">
        <f>Plan2!L64</f>
        <v>1.0019616526860928</v>
      </c>
      <c r="L64" s="221">
        <f t="shared" si="0"/>
        <v>-2.886579864025407E-15</v>
      </c>
    </row>
    <row r="65" spans="2:12">
      <c r="B65">
        <v>1241</v>
      </c>
      <c r="C65" s="215">
        <v>44239</v>
      </c>
      <c r="D65" s="215">
        <f>Plan2!B64</f>
        <v>44239</v>
      </c>
      <c r="E65" s="215">
        <v>44267</v>
      </c>
      <c r="F65" s="215">
        <f>Plan2!B65</f>
        <v>44267</v>
      </c>
      <c r="G65" t="s">
        <v>822</v>
      </c>
      <c r="H65" t="s">
        <v>947</v>
      </c>
      <c r="I65" t="s">
        <v>1711</v>
      </c>
      <c r="J65">
        <v>1.0017653143782499</v>
      </c>
      <c r="K65">
        <f>Plan2!L65</f>
        <v>1.0017653143782506</v>
      </c>
      <c r="L65" s="221">
        <f t="shared" si="0"/>
        <v>0</v>
      </c>
    </row>
    <row r="66" spans="2:12">
      <c r="B66">
        <v>1261</v>
      </c>
      <c r="C66" s="215">
        <v>44267</v>
      </c>
      <c r="D66" s="215">
        <f>Plan2!B65</f>
        <v>44267</v>
      </c>
      <c r="E66" s="215">
        <v>44301</v>
      </c>
      <c r="F66" s="215">
        <f>Plan2!B66</f>
        <v>44301</v>
      </c>
      <c r="G66" t="s">
        <v>822</v>
      </c>
      <c r="H66" t="s">
        <v>947</v>
      </c>
      <c r="I66" t="s">
        <v>1711</v>
      </c>
      <c r="J66">
        <v>1.0022562323017099</v>
      </c>
      <c r="K66">
        <f>Plan2!L66</f>
        <v>1.0022562323017139</v>
      </c>
      <c r="L66" s="221">
        <f t="shared" si="0"/>
        <v>-3.9968028886505635E-15</v>
      </c>
    </row>
    <row r="67" spans="2:12">
      <c r="B67">
        <v>1281</v>
      </c>
      <c r="C67" s="215">
        <v>44301</v>
      </c>
      <c r="D67" s="215">
        <f>Plan2!B66</f>
        <v>44301</v>
      </c>
      <c r="E67" s="215">
        <v>44330</v>
      </c>
      <c r="F67" s="215">
        <f>Plan2!B67</f>
        <v>44330</v>
      </c>
      <c r="G67" t="s">
        <v>822</v>
      </c>
      <c r="H67" t="s">
        <v>947</v>
      </c>
      <c r="I67" t="s">
        <v>1711</v>
      </c>
      <c r="J67">
        <v>1.0019616526860899</v>
      </c>
      <c r="K67">
        <f>Plan2!L67</f>
        <v>1.0019616526860928</v>
      </c>
      <c r="L67" s="221">
        <f t="shared" si="0"/>
        <v>-2.886579864025407E-15</v>
      </c>
    </row>
    <row r="68" spans="2:12">
      <c r="B68">
        <v>1301</v>
      </c>
      <c r="C68" s="215">
        <v>44330</v>
      </c>
      <c r="D68" s="215">
        <f>Plan2!B67</f>
        <v>44330</v>
      </c>
      <c r="E68" s="215">
        <v>44362</v>
      </c>
      <c r="F68" s="215">
        <f>Plan2!B68</f>
        <v>44362</v>
      </c>
      <c r="G68" t="s">
        <v>822</v>
      </c>
      <c r="H68" t="s">
        <v>947</v>
      </c>
      <c r="I68" t="s">
        <v>1711</v>
      </c>
      <c r="J68">
        <v>1.0020598362698401</v>
      </c>
      <c r="K68">
        <f>Plan2!L68</f>
        <v>1.0020598362698427</v>
      </c>
      <c r="L68" s="221">
        <f t="shared" ref="L68:L131" si="1">J68-K68</f>
        <v>-2.6645352591003757E-15</v>
      </c>
    </row>
    <row r="69" spans="2:12">
      <c r="B69">
        <v>1321</v>
      </c>
      <c r="C69" s="215">
        <v>44362</v>
      </c>
      <c r="D69" s="215">
        <f>Plan2!B68</f>
        <v>44362</v>
      </c>
      <c r="E69" s="215">
        <v>44391</v>
      </c>
      <c r="F69" s="215">
        <f>Plan2!B69</f>
        <v>44391</v>
      </c>
      <c r="G69" t="s">
        <v>822</v>
      </c>
      <c r="H69" t="s">
        <v>947</v>
      </c>
      <c r="I69" t="s">
        <v>1711</v>
      </c>
      <c r="J69">
        <v>1.0020598362698401</v>
      </c>
      <c r="K69">
        <f>Plan2!L69</f>
        <v>1.0020598362698427</v>
      </c>
      <c r="L69" s="221">
        <f t="shared" si="1"/>
        <v>-2.6645352591003757E-15</v>
      </c>
    </row>
    <row r="70" spans="2:12">
      <c r="B70">
        <v>1341</v>
      </c>
      <c r="C70" s="215">
        <v>44391</v>
      </c>
      <c r="D70" s="215">
        <f>Plan2!B69</f>
        <v>44391</v>
      </c>
      <c r="E70" s="215">
        <v>44421</v>
      </c>
      <c r="F70" s="215">
        <f>Plan2!B70</f>
        <v>44421</v>
      </c>
      <c r="G70" t="s">
        <v>822</v>
      </c>
      <c r="H70" t="s">
        <v>947</v>
      </c>
      <c r="I70" t="s">
        <v>1711</v>
      </c>
      <c r="J70">
        <v>1.0021580294747401</v>
      </c>
      <c r="K70">
        <f>Plan2!L70</f>
        <v>1.0021580294747356</v>
      </c>
      <c r="L70" s="221">
        <f t="shared" si="1"/>
        <v>4.4408920985006262E-15</v>
      </c>
    </row>
    <row r="71" spans="2:12">
      <c r="B71">
        <v>1361</v>
      </c>
      <c r="C71" s="215">
        <v>44421</v>
      </c>
      <c r="D71" s="215">
        <f>Plan2!B70</f>
        <v>44421</v>
      </c>
      <c r="E71" s="215">
        <v>44454</v>
      </c>
      <c r="F71" s="215">
        <f>Plan2!B71</f>
        <v>44454</v>
      </c>
      <c r="G71" t="s">
        <v>822</v>
      </c>
      <c r="H71" t="s">
        <v>947</v>
      </c>
      <c r="I71" t="s">
        <v>1711</v>
      </c>
      <c r="J71">
        <v>1.0021580294747401</v>
      </c>
      <c r="K71">
        <f>Plan2!L71</f>
        <v>1.0021580294747356</v>
      </c>
      <c r="L71" s="221">
        <f t="shared" si="1"/>
        <v>4.4408920985006262E-15</v>
      </c>
    </row>
    <row r="72" spans="2:12">
      <c r="B72">
        <v>1381</v>
      </c>
      <c r="C72" s="215">
        <v>44454</v>
      </c>
      <c r="D72" s="215">
        <f>Plan2!B71</f>
        <v>44454</v>
      </c>
      <c r="E72" s="215">
        <v>44484</v>
      </c>
      <c r="F72" s="215">
        <f>Plan2!B72</f>
        <v>44484</v>
      </c>
      <c r="G72" t="s">
        <v>822</v>
      </c>
      <c r="H72" t="s">
        <v>947</v>
      </c>
      <c r="I72" t="s">
        <v>1711</v>
      </c>
      <c r="J72">
        <v>1.0020598362698401</v>
      </c>
      <c r="K72">
        <f>Plan2!L72</f>
        <v>1.0020598362698427</v>
      </c>
      <c r="L72" s="221">
        <f t="shared" si="1"/>
        <v>-2.6645352591003757E-15</v>
      </c>
    </row>
    <row r="73" spans="2:12">
      <c r="B73">
        <v>1401</v>
      </c>
      <c r="C73" s="215">
        <v>44484</v>
      </c>
      <c r="D73" s="215">
        <f>Plan2!B72</f>
        <v>44484</v>
      </c>
      <c r="E73" s="215">
        <v>44516</v>
      </c>
      <c r="F73" s="215">
        <f>Plan2!B73</f>
        <v>44516</v>
      </c>
      <c r="G73" t="s">
        <v>822</v>
      </c>
      <c r="H73" t="s">
        <v>947</v>
      </c>
      <c r="I73" t="s">
        <v>1711</v>
      </c>
      <c r="J73">
        <v>1.0019616526860899</v>
      </c>
      <c r="K73">
        <f>Plan2!L73</f>
        <v>1.0019616526860928</v>
      </c>
      <c r="L73" s="221">
        <f t="shared" si="1"/>
        <v>-2.886579864025407E-15</v>
      </c>
    </row>
    <row r="74" spans="2:12">
      <c r="B74">
        <v>1421</v>
      </c>
      <c r="C74" s="215">
        <v>44516</v>
      </c>
      <c r="D74" s="215">
        <f>Plan2!B73</f>
        <v>44516</v>
      </c>
      <c r="E74" s="215">
        <v>44544</v>
      </c>
      <c r="F74" s="215">
        <f>Plan2!B74</f>
        <v>44544</v>
      </c>
      <c r="G74" t="s">
        <v>822</v>
      </c>
      <c r="H74" t="s">
        <v>947</v>
      </c>
      <c r="I74" t="s">
        <v>1711</v>
      </c>
      <c r="J74">
        <v>1.0019616526860899</v>
      </c>
      <c r="K74">
        <f>Plan2!L74</f>
        <v>1.0019616526860928</v>
      </c>
      <c r="L74" s="221">
        <f t="shared" si="1"/>
        <v>-2.886579864025407E-15</v>
      </c>
    </row>
    <row r="75" spans="2:12">
      <c r="B75">
        <v>1441</v>
      </c>
      <c r="C75" s="215">
        <v>44544</v>
      </c>
      <c r="D75" s="215">
        <f>Plan2!B74</f>
        <v>44544</v>
      </c>
      <c r="E75" s="215">
        <v>44575</v>
      </c>
      <c r="F75" s="215">
        <f>Plan2!B75</f>
        <v>44575</v>
      </c>
      <c r="G75" t="s">
        <v>822</v>
      </c>
      <c r="H75" t="s">
        <v>947</v>
      </c>
      <c r="I75" t="s">
        <v>1711</v>
      </c>
      <c r="J75">
        <v>1.0022562323017099</v>
      </c>
      <c r="K75">
        <f>Plan2!L75</f>
        <v>1.0022562323017139</v>
      </c>
      <c r="L75" s="221">
        <f t="shared" si="1"/>
        <v>-3.9968028886505635E-15</v>
      </c>
    </row>
    <row r="76" spans="2:12">
      <c r="B76">
        <v>1461</v>
      </c>
      <c r="C76" s="215">
        <v>44575</v>
      </c>
      <c r="D76" s="215">
        <f>Plan2!B75</f>
        <v>44575</v>
      </c>
      <c r="E76" s="215">
        <v>44606</v>
      </c>
      <c r="F76" s="215">
        <f>Plan2!B76</f>
        <v>44606</v>
      </c>
      <c r="G76" t="s">
        <v>822</v>
      </c>
      <c r="H76" t="s">
        <v>947</v>
      </c>
      <c r="I76" t="s">
        <v>1711</v>
      </c>
      <c r="J76">
        <v>1.0020598362698401</v>
      </c>
      <c r="K76">
        <f>Plan2!L76</f>
        <v>1.0020598362698427</v>
      </c>
      <c r="L76" s="221">
        <f t="shared" si="1"/>
        <v>-2.6645352591003757E-15</v>
      </c>
    </row>
    <row r="77" spans="2:12">
      <c r="B77">
        <v>1481</v>
      </c>
      <c r="C77" s="215">
        <v>44606</v>
      </c>
      <c r="D77" s="215">
        <f>Plan2!B76</f>
        <v>44606</v>
      </c>
      <c r="E77" s="215">
        <v>44635</v>
      </c>
      <c r="F77" s="215">
        <f>Plan2!B77</f>
        <v>44635</v>
      </c>
      <c r="G77" t="s">
        <v>822</v>
      </c>
      <c r="H77" t="s">
        <v>947</v>
      </c>
      <c r="I77" t="s">
        <v>1711</v>
      </c>
      <c r="J77">
        <v>1.00186347872254</v>
      </c>
      <c r="K77">
        <f>Plan2!L77</f>
        <v>1.0018634787225431</v>
      </c>
      <c r="L77" s="221">
        <f t="shared" si="1"/>
        <v>-3.1086244689504383E-15</v>
      </c>
    </row>
    <row r="78" spans="2:12">
      <c r="B78">
        <v>1501</v>
      </c>
      <c r="C78" s="215">
        <v>44635</v>
      </c>
      <c r="D78" s="215">
        <f>Plan2!B77</f>
        <v>44635</v>
      </c>
      <c r="E78" s="215">
        <v>44665</v>
      </c>
      <c r="F78" s="215">
        <f>Plan2!B78</f>
        <v>44665</v>
      </c>
      <c r="G78" t="s">
        <v>822</v>
      </c>
      <c r="H78" t="s">
        <v>947</v>
      </c>
      <c r="I78" t="s">
        <v>1711</v>
      </c>
      <c r="J78">
        <v>1.0021580294747401</v>
      </c>
      <c r="K78">
        <f>Plan2!L78</f>
        <v>1.0021580294747356</v>
      </c>
      <c r="L78" s="221">
        <f t="shared" si="1"/>
        <v>4.4408920985006262E-15</v>
      </c>
    </row>
    <row r="79" spans="2:12">
      <c r="B79">
        <v>1521</v>
      </c>
      <c r="C79" s="215">
        <v>44665</v>
      </c>
      <c r="D79" s="215">
        <f>Plan2!B78</f>
        <v>44665</v>
      </c>
      <c r="E79" s="215">
        <v>44694</v>
      </c>
      <c r="F79" s="215">
        <f>Plan2!B79</f>
        <v>44694</v>
      </c>
      <c r="G79" t="s">
        <v>822</v>
      </c>
      <c r="H79" t="s">
        <v>947</v>
      </c>
      <c r="I79" t="s">
        <v>1711</v>
      </c>
      <c r="J79">
        <v>1.00186347872254</v>
      </c>
      <c r="K79">
        <f>Plan2!L79</f>
        <v>1.0018634787225431</v>
      </c>
      <c r="L79" s="221">
        <f t="shared" si="1"/>
        <v>-3.1086244689504383E-15</v>
      </c>
    </row>
    <row r="80" spans="2:12">
      <c r="B80">
        <v>1541</v>
      </c>
      <c r="C80" s="215">
        <v>44694</v>
      </c>
      <c r="D80" s="215">
        <f>Plan2!B79</f>
        <v>44694</v>
      </c>
      <c r="E80" s="215">
        <v>44726</v>
      </c>
      <c r="F80" s="215">
        <f>Plan2!B80</f>
        <v>44726</v>
      </c>
      <c r="G80" t="s">
        <v>822</v>
      </c>
      <c r="H80" t="s">
        <v>947</v>
      </c>
      <c r="I80" t="s">
        <v>1711</v>
      </c>
      <c r="J80">
        <v>1.0021580294747401</v>
      </c>
      <c r="K80">
        <f>Plan2!L80</f>
        <v>1.0021580294747356</v>
      </c>
      <c r="L80" s="221">
        <f t="shared" si="1"/>
        <v>4.4408920985006262E-15</v>
      </c>
    </row>
    <row r="81" spans="2:12">
      <c r="B81">
        <v>1561</v>
      </c>
      <c r="C81" s="215">
        <v>44726</v>
      </c>
      <c r="D81" s="215">
        <f>Plan2!B80</f>
        <v>44726</v>
      </c>
      <c r="E81" s="215">
        <v>44756</v>
      </c>
      <c r="F81" s="215">
        <f>Plan2!B81</f>
        <v>44756</v>
      </c>
      <c r="G81" t="s">
        <v>822</v>
      </c>
      <c r="H81" t="s">
        <v>947</v>
      </c>
      <c r="I81" t="s">
        <v>1711</v>
      </c>
      <c r="J81">
        <v>1.0020598362698401</v>
      </c>
      <c r="K81">
        <f>Plan2!L81</f>
        <v>1.0020598362698427</v>
      </c>
      <c r="L81" s="221">
        <f t="shared" si="1"/>
        <v>-2.6645352591003757E-15</v>
      </c>
    </row>
    <row r="82" spans="2:12">
      <c r="B82">
        <v>1581</v>
      </c>
      <c r="C82" s="215">
        <v>44756</v>
      </c>
      <c r="D82" s="215">
        <f>Plan2!B81</f>
        <v>44756</v>
      </c>
      <c r="E82" s="215">
        <v>44785</v>
      </c>
      <c r="F82" s="215">
        <f>Plan2!B82</f>
        <v>44785</v>
      </c>
      <c r="G82" t="s">
        <v>822</v>
      </c>
      <c r="H82" t="s">
        <v>947</v>
      </c>
      <c r="I82" t="s">
        <v>1711</v>
      </c>
      <c r="J82">
        <v>1.0020598362698401</v>
      </c>
      <c r="K82">
        <f>Plan2!L82</f>
        <v>1.0020598362698427</v>
      </c>
      <c r="L82" s="221">
        <f t="shared" si="1"/>
        <v>-2.6645352591003757E-15</v>
      </c>
    </row>
    <row r="83" spans="2:12">
      <c r="B83">
        <v>1601</v>
      </c>
      <c r="C83" s="215">
        <v>44785</v>
      </c>
      <c r="D83" s="215">
        <f>Plan2!B82</f>
        <v>44785</v>
      </c>
      <c r="E83" s="215">
        <v>44819</v>
      </c>
      <c r="F83" s="215">
        <f>Plan2!B83</f>
        <v>44819</v>
      </c>
      <c r="G83" t="s">
        <v>822</v>
      </c>
      <c r="H83" t="s">
        <v>947</v>
      </c>
      <c r="I83" t="s">
        <v>1711</v>
      </c>
      <c r="J83">
        <v>1.0022562323017099</v>
      </c>
      <c r="K83">
        <f>Plan2!L83</f>
        <v>1.0022562323017139</v>
      </c>
      <c r="L83" s="221">
        <f t="shared" si="1"/>
        <v>-3.9968028886505635E-15</v>
      </c>
    </row>
    <row r="84" spans="2:12">
      <c r="B84">
        <v>1621</v>
      </c>
      <c r="C84" s="215">
        <v>44819</v>
      </c>
      <c r="D84" s="215">
        <f>Plan2!B83</f>
        <v>44819</v>
      </c>
      <c r="E84" s="215">
        <v>44851</v>
      </c>
      <c r="F84" s="215">
        <f>Plan2!B84</f>
        <v>44851</v>
      </c>
      <c r="G84" t="s">
        <v>822</v>
      </c>
      <c r="H84" t="s">
        <v>947</v>
      </c>
      <c r="I84" t="s">
        <v>1711</v>
      </c>
      <c r="J84">
        <v>1.0020598362698401</v>
      </c>
      <c r="K84">
        <f>Plan2!L84</f>
        <v>1.0020598362698427</v>
      </c>
      <c r="L84" s="221">
        <f t="shared" si="1"/>
        <v>-2.6645352591003757E-15</v>
      </c>
    </row>
    <row r="85" spans="2:12">
      <c r="B85">
        <v>1641</v>
      </c>
      <c r="C85" s="215">
        <v>44851</v>
      </c>
      <c r="D85" s="215">
        <f>Plan2!B84</f>
        <v>44851</v>
      </c>
      <c r="E85" s="215">
        <v>44881</v>
      </c>
      <c r="F85" s="215">
        <f>Plan2!B85</f>
        <v>44881</v>
      </c>
      <c r="G85" t="s">
        <v>822</v>
      </c>
      <c r="H85" t="s">
        <v>947</v>
      </c>
      <c r="I85" t="s">
        <v>1711</v>
      </c>
      <c r="J85">
        <v>1.0019616526860899</v>
      </c>
      <c r="K85">
        <f>Plan2!L85</f>
        <v>1.0019616526860928</v>
      </c>
      <c r="L85" s="221">
        <f t="shared" si="1"/>
        <v>-2.886579864025407E-15</v>
      </c>
    </row>
    <row r="86" spans="2:12">
      <c r="B86">
        <v>1661</v>
      </c>
      <c r="C86" s="215">
        <v>44881</v>
      </c>
      <c r="D86" s="215">
        <f>Plan2!B85</f>
        <v>44881</v>
      </c>
      <c r="E86" s="215">
        <v>44909</v>
      </c>
      <c r="F86" s="215">
        <f>Plan2!B86</f>
        <v>44909</v>
      </c>
      <c r="G86" t="s">
        <v>822</v>
      </c>
      <c r="H86" t="s">
        <v>947</v>
      </c>
      <c r="I86" t="s">
        <v>1711</v>
      </c>
      <c r="J86">
        <v>1.0019616526860899</v>
      </c>
      <c r="K86">
        <f>Plan2!L86</f>
        <v>1.0019616526860928</v>
      </c>
      <c r="L86" s="221">
        <f t="shared" si="1"/>
        <v>-2.886579864025407E-15</v>
      </c>
    </row>
    <row r="87" spans="2:12">
      <c r="B87">
        <v>1681</v>
      </c>
      <c r="C87" s="215">
        <v>44909</v>
      </c>
      <c r="D87" s="215">
        <f>Plan2!B86</f>
        <v>44909</v>
      </c>
      <c r="E87" s="215">
        <v>44939</v>
      </c>
      <c r="F87" s="215">
        <f>Plan2!B87</f>
        <v>44939</v>
      </c>
      <c r="G87" t="s">
        <v>822</v>
      </c>
      <c r="H87" t="s">
        <v>947</v>
      </c>
      <c r="I87" t="s">
        <v>1711</v>
      </c>
      <c r="J87">
        <v>1.0021580294747401</v>
      </c>
      <c r="K87">
        <f>Plan2!L87</f>
        <v>1.0021580294747356</v>
      </c>
      <c r="L87" s="221">
        <f t="shared" si="1"/>
        <v>4.4408920985006262E-15</v>
      </c>
    </row>
    <row r="88" spans="2:12">
      <c r="B88">
        <v>1701</v>
      </c>
      <c r="C88" s="215">
        <v>44939</v>
      </c>
      <c r="D88" s="215">
        <f>Plan2!B87</f>
        <v>44939</v>
      </c>
      <c r="E88" s="215">
        <v>44971</v>
      </c>
      <c r="F88" s="215">
        <f>Plan2!B88</f>
        <v>44971</v>
      </c>
      <c r="G88" t="s">
        <v>822</v>
      </c>
      <c r="H88" t="s">
        <v>947</v>
      </c>
      <c r="I88" t="s">
        <v>1711</v>
      </c>
      <c r="J88">
        <v>1.0021580294747401</v>
      </c>
      <c r="K88">
        <f>Plan2!L88</f>
        <v>1.0021580294747356</v>
      </c>
      <c r="L88" s="221">
        <f t="shared" si="1"/>
        <v>4.4408920985006262E-15</v>
      </c>
    </row>
    <row r="89" spans="2:12">
      <c r="B89">
        <v>1721</v>
      </c>
      <c r="C89" s="215">
        <v>44971</v>
      </c>
      <c r="D89" s="215">
        <f>Plan2!B88</f>
        <v>44971</v>
      </c>
      <c r="E89" s="215">
        <v>44999</v>
      </c>
      <c r="F89" s="215">
        <f>Plan2!B89</f>
        <v>44999</v>
      </c>
      <c r="G89" t="s">
        <v>822</v>
      </c>
      <c r="H89" t="s">
        <v>947</v>
      </c>
      <c r="I89" t="s">
        <v>1711</v>
      </c>
      <c r="J89">
        <v>1.0017653143782499</v>
      </c>
      <c r="K89">
        <f>Plan2!L89</f>
        <v>1.0017653143782506</v>
      </c>
      <c r="L89" s="221">
        <f t="shared" si="1"/>
        <v>0</v>
      </c>
    </row>
    <row r="90" spans="2:12">
      <c r="B90">
        <v>1741</v>
      </c>
      <c r="C90" s="215">
        <v>44999</v>
      </c>
      <c r="D90" s="215">
        <f>Plan2!B89</f>
        <v>44999</v>
      </c>
      <c r="E90" s="215">
        <v>45033</v>
      </c>
      <c r="F90" s="215">
        <f>Plan2!B90</f>
        <v>45033</v>
      </c>
      <c r="G90" t="s">
        <v>822</v>
      </c>
      <c r="H90" t="s">
        <v>947</v>
      </c>
      <c r="I90" t="s">
        <v>1711</v>
      </c>
      <c r="J90">
        <v>1.0022562323017099</v>
      </c>
      <c r="K90">
        <f>Plan2!L90</f>
        <v>1.0022562323017139</v>
      </c>
      <c r="L90" s="221">
        <f t="shared" si="1"/>
        <v>-3.9968028886505635E-15</v>
      </c>
    </row>
    <row r="91" spans="2:12">
      <c r="B91">
        <v>1761</v>
      </c>
      <c r="C91" s="215">
        <v>45033</v>
      </c>
      <c r="D91" s="215">
        <f>Plan2!B90</f>
        <v>45033</v>
      </c>
      <c r="E91" s="215">
        <v>45061</v>
      </c>
      <c r="F91" s="215">
        <f>Plan2!B91</f>
        <v>45061</v>
      </c>
      <c r="G91" t="s">
        <v>822</v>
      </c>
      <c r="H91" t="s">
        <v>947</v>
      </c>
      <c r="I91" t="s">
        <v>1711</v>
      </c>
      <c r="J91">
        <v>1.0017653143782499</v>
      </c>
      <c r="K91">
        <f>Plan2!L91</f>
        <v>1.0017653143782506</v>
      </c>
      <c r="L91" s="221">
        <f t="shared" si="1"/>
        <v>0</v>
      </c>
    </row>
    <row r="92" spans="2:12">
      <c r="B92">
        <v>1781</v>
      </c>
      <c r="C92" s="215">
        <v>45061</v>
      </c>
      <c r="D92" s="215">
        <f>Plan2!B91</f>
        <v>45061</v>
      </c>
      <c r="E92" s="215">
        <v>45092</v>
      </c>
      <c r="F92" s="215">
        <f>Plan2!B92</f>
        <v>45092</v>
      </c>
      <c r="G92" t="s">
        <v>822</v>
      </c>
      <c r="H92" t="s">
        <v>947</v>
      </c>
      <c r="I92" t="s">
        <v>1711</v>
      </c>
      <c r="J92">
        <v>1.0021580294747401</v>
      </c>
      <c r="K92">
        <f>Plan2!L92</f>
        <v>1.0021580294747356</v>
      </c>
      <c r="L92" s="221">
        <f t="shared" si="1"/>
        <v>4.4408920985006262E-15</v>
      </c>
    </row>
    <row r="93" spans="2:12">
      <c r="B93">
        <v>1801</v>
      </c>
      <c r="C93" s="215">
        <v>45092</v>
      </c>
      <c r="D93" s="215">
        <f>Plan2!B92</f>
        <v>45092</v>
      </c>
      <c r="E93" s="215">
        <v>45121</v>
      </c>
      <c r="F93" s="215">
        <f>Plan2!B93</f>
        <v>45121</v>
      </c>
      <c r="G93" t="s">
        <v>822</v>
      </c>
      <c r="H93" t="s">
        <v>947</v>
      </c>
      <c r="I93" t="s">
        <v>1711</v>
      </c>
      <c r="J93">
        <v>1.0020598362698401</v>
      </c>
      <c r="K93">
        <f>Plan2!L93</f>
        <v>1.0020598362698427</v>
      </c>
      <c r="L93" s="221">
        <f t="shared" si="1"/>
        <v>-2.6645352591003757E-15</v>
      </c>
    </row>
    <row r="94" spans="2:12">
      <c r="B94">
        <v>1821</v>
      </c>
      <c r="C94" s="215">
        <v>45121</v>
      </c>
      <c r="D94" s="215">
        <f>Plan2!B93</f>
        <v>45121</v>
      </c>
      <c r="E94" s="215">
        <v>45152</v>
      </c>
      <c r="F94" s="215">
        <f>Plan2!B94</f>
        <v>45152</v>
      </c>
      <c r="G94" t="s">
        <v>822</v>
      </c>
      <c r="H94" t="s">
        <v>947</v>
      </c>
      <c r="I94" t="s">
        <v>1711</v>
      </c>
      <c r="J94">
        <v>1.0020598362698401</v>
      </c>
      <c r="K94">
        <f>Plan2!L94</f>
        <v>1.0020598362698427</v>
      </c>
      <c r="L94" s="221">
        <f t="shared" si="1"/>
        <v>-2.6645352591003757E-15</v>
      </c>
    </row>
    <row r="95" spans="2:12">
      <c r="B95">
        <v>1841</v>
      </c>
      <c r="C95" s="215">
        <v>45152</v>
      </c>
      <c r="D95" s="215">
        <f>Plan2!B94</f>
        <v>45152</v>
      </c>
      <c r="E95" s="215">
        <v>45184</v>
      </c>
      <c r="F95" s="215">
        <f>Plan2!B95</f>
        <v>45184</v>
      </c>
      <c r="G95" t="s">
        <v>822</v>
      </c>
      <c r="H95" t="s">
        <v>947</v>
      </c>
      <c r="I95" t="s">
        <v>1711</v>
      </c>
      <c r="J95">
        <v>1.0022562323017099</v>
      </c>
      <c r="K95">
        <f>Plan2!L95</f>
        <v>1.0022562323017139</v>
      </c>
      <c r="L95" s="221">
        <f t="shared" si="1"/>
        <v>-3.9968028886505635E-15</v>
      </c>
    </row>
    <row r="96" spans="2:12">
      <c r="B96">
        <v>1861</v>
      </c>
      <c r="C96" s="215">
        <v>45184</v>
      </c>
      <c r="D96" s="215">
        <f>Plan2!B95</f>
        <v>45184</v>
      </c>
      <c r="E96" s="215">
        <v>45215</v>
      </c>
      <c r="F96" s="215">
        <f>Plan2!B96</f>
        <v>45215</v>
      </c>
      <c r="G96" t="s">
        <v>822</v>
      </c>
      <c r="H96" t="s">
        <v>947</v>
      </c>
      <c r="I96" t="s">
        <v>1711</v>
      </c>
      <c r="J96">
        <v>1.0019616526860899</v>
      </c>
      <c r="K96">
        <f>Plan2!L96</f>
        <v>1.0019616526860928</v>
      </c>
      <c r="L96" s="221">
        <f t="shared" si="1"/>
        <v>-2.886579864025407E-15</v>
      </c>
    </row>
    <row r="97" spans="2:12">
      <c r="B97">
        <v>1881</v>
      </c>
      <c r="C97" s="215">
        <v>45215</v>
      </c>
      <c r="D97" s="215">
        <f>Plan2!B96</f>
        <v>45215</v>
      </c>
      <c r="E97" s="215">
        <v>45246</v>
      </c>
      <c r="F97" s="215">
        <f>Plan2!B97</f>
        <v>45246</v>
      </c>
      <c r="G97" t="s">
        <v>822</v>
      </c>
      <c r="H97" t="s">
        <v>947</v>
      </c>
      <c r="I97" t="s">
        <v>1711</v>
      </c>
      <c r="J97">
        <v>1.0020598362698401</v>
      </c>
      <c r="K97">
        <f>Plan2!L97</f>
        <v>1.0020598362698427</v>
      </c>
      <c r="L97" s="221">
        <f t="shared" si="1"/>
        <v>-2.6645352591003757E-15</v>
      </c>
    </row>
    <row r="98" spans="2:12">
      <c r="B98">
        <v>1901</v>
      </c>
      <c r="C98" s="215">
        <v>45246</v>
      </c>
      <c r="D98" s="215">
        <f>Plan2!B97</f>
        <v>45246</v>
      </c>
      <c r="E98" s="215">
        <v>45274</v>
      </c>
      <c r="F98" s="215">
        <f>Plan2!B98</f>
        <v>45274</v>
      </c>
      <c r="G98" t="s">
        <v>822</v>
      </c>
      <c r="H98" t="s">
        <v>947</v>
      </c>
      <c r="I98" t="s">
        <v>1711</v>
      </c>
      <c r="J98">
        <v>1.0019616526860899</v>
      </c>
      <c r="K98">
        <f>Plan2!L98</f>
        <v>1.0019616526860928</v>
      </c>
      <c r="L98" s="221">
        <f t="shared" si="1"/>
        <v>-2.886579864025407E-15</v>
      </c>
    </row>
    <row r="99" spans="2:12">
      <c r="B99">
        <v>1921</v>
      </c>
      <c r="C99" s="215">
        <v>45274</v>
      </c>
      <c r="D99" s="215">
        <f>Plan2!B98</f>
        <v>45274</v>
      </c>
      <c r="E99" s="215">
        <v>45306</v>
      </c>
      <c r="F99" s="215">
        <f>Plan2!B99</f>
        <v>45306</v>
      </c>
      <c r="G99" t="s">
        <v>822</v>
      </c>
      <c r="H99" t="s">
        <v>947</v>
      </c>
      <c r="I99" t="s">
        <v>1711</v>
      </c>
      <c r="J99">
        <v>1.0019616526860899</v>
      </c>
      <c r="K99">
        <f>Plan2!L99</f>
        <v>1.0019616526860928</v>
      </c>
      <c r="L99" s="221">
        <f t="shared" si="1"/>
        <v>-2.886579864025407E-15</v>
      </c>
    </row>
    <row r="100" spans="2:12">
      <c r="B100">
        <v>1941</v>
      </c>
      <c r="C100" s="215">
        <v>45306</v>
      </c>
      <c r="D100" s="215">
        <f>Plan2!B99</f>
        <v>45306</v>
      </c>
      <c r="E100" s="215">
        <v>45338</v>
      </c>
      <c r="F100" s="215">
        <f>Plan2!B100</f>
        <v>45338</v>
      </c>
      <c r="G100" t="s">
        <v>822</v>
      </c>
      <c r="H100" t="s">
        <v>947</v>
      </c>
      <c r="I100" t="s">
        <v>1711</v>
      </c>
      <c r="J100">
        <v>1.0021580294747401</v>
      </c>
      <c r="K100">
        <f>Plan2!L100</f>
        <v>1.0021580294747356</v>
      </c>
      <c r="L100" s="221">
        <f t="shared" si="1"/>
        <v>4.4408920985006262E-15</v>
      </c>
    </row>
    <row r="101" spans="2:12">
      <c r="B101">
        <v>1961</v>
      </c>
      <c r="C101" s="215">
        <v>45338</v>
      </c>
      <c r="D101" s="215">
        <f>Plan2!B100</f>
        <v>45338</v>
      </c>
      <c r="E101" s="215">
        <v>45365</v>
      </c>
      <c r="F101" s="215">
        <f>Plan2!B101</f>
        <v>45365</v>
      </c>
      <c r="G101" t="s">
        <v>822</v>
      </c>
      <c r="H101" t="s">
        <v>947</v>
      </c>
      <c r="I101" t="s">
        <v>1711</v>
      </c>
      <c r="J101">
        <v>1.00186347872254</v>
      </c>
      <c r="K101">
        <f>Plan2!L101</f>
        <v>1.0018634787225431</v>
      </c>
      <c r="L101" s="221">
        <f t="shared" si="1"/>
        <v>-3.1086244689504383E-15</v>
      </c>
    </row>
    <row r="102" spans="2:12">
      <c r="B102">
        <v>1981</v>
      </c>
      <c r="C102" s="215">
        <v>45365</v>
      </c>
      <c r="D102" s="215">
        <f>Plan2!B101</f>
        <v>45365</v>
      </c>
      <c r="E102" s="215">
        <v>45394</v>
      </c>
      <c r="F102" s="215">
        <f>Plan2!B102</f>
        <v>45394</v>
      </c>
      <c r="G102" t="s">
        <v>822</v>
      </c>
      <c r="H102" t="s">
        <v>947</v>
      </c>
      <c r="I102" t="s">
        <v>1711</v>
      </c>
      <c r="J102">
        <v>1.0019616526860899</v>
      </c>
      <c r="K102">
        <f>Plan2!L102</f>
        <v>1.0019616526860928</v>
      </c>
      <c r="L102" s="221">
        <f t="shared" si="1"/>
        <v>-2.886579864025407E-15</v>
      </c>
    </row>
    <row r="103" spans="2:12">
      <c r="B103">
        <v>2001</v>
      </c>
      <c r="C103" s="215">
        <v>45394</v>
      </c>
      <c r="D103" s="215">
        <f>Plan2!B102</f>
        <v>45394</v>
      </c>
      <c r="E103" s="215">
        <v>45427</v>
      </c>
      <c r="F103" s="215">
        <f>Plan2!B103</f>
        <v>45427</v>
      </c>
      <c r="G103" t="s">
        <v>822</v>
      </c>
      <c r="H103" t="s">
        <v>947</v>
      </c>
      <c r="I103" t="s">
        <v>1711</v>
      </c>
      <c r="J103">
        <v>1.0021580294747401</v>
      </c>
      <c r="K103">
        <f>Plan2!L103</f>
        <v>1.0021580294747356</v>
      </c>
      <c r="L103" s="221">
        <f t="shared" si="1"/>
        <v>4.4408920985006262E-15</v>
      </c>
    </row>
    <row r="104" spans="2:12">
      <c r="B104">
        <v>2021</v>
      </c>
      <c r="C104" s="215">
        <v>45427</v>
      </c>
      <c r="D104" s="215">
        <f>Plan2!B103</f>
        <v>45427</v>
      </c>
      <c r="E104" s="215">
        <v>45457</v>
      </c>
      <c r="F104" s="215">
        <f>Plan2!B104</f>
        <v>45457</v>
      </c>
      <c r="G104" t="s">
        <v>822</v>
      </c>
      <c r="H104" t="s">
        <v>947</v>
      </c>
      <c r="I104" t="s">
        <v>1711</v>
      </c>
      <c r="J104">
        <v>1.0020598362698401</v>
      </c>
      <c r="K104">
        <f>Plan2!L104</f>
        <v>1.0020598362698427</v>
      </c>
      <c r="L104" s="221">
        <f t="shared" si="1"/>
        <v>-2.6645352591003757E-15</v>
      </c>
    </row>
    <row r="105" spans="2:12">
      <c r="B105">
        <v>2041</v>
      </c>
      <c r="C105" s="215">
        <v>45457</v>
      </c>
      <c r="D105" s="215">
        <f>Plan2!B104</f>
        <v>45457</v>
      </c>
      <c r="E105" s="215">
        <v>45485</v>
      </c>
      <c r="F105" s="215">
        <f>Plan2!B105</f>
        <v>45485</v>
      </c>
      <c r="G105" t="s">
        <v>822</v>
      </c>
      <c r="H105" t="s">
        <v>947</v>
      </c>
      <c r="I105" t="s">
        <v>1711</v>
      </c>
      <c r="J105">
        <v>1.0019616526860899</v>
      </c>
      <c r="K105">
        <f>Plan2!L105</f>
        <v>1.0019616526860928</v>
      </c>
      <c r="L105" s="221">
        <f t="shared" si="1"/>
        <v>-2.886579864025407E-15</v>
      </c>
    </row>
    <row r="106" spans="2:12">
      <c r="B106">
        <v>2061</v>
      </c>
      <c r="C106" s="215">
        <v>45485</v>
      </c>
      <c r="D106" s="215">
        <f>Plan2!B105</f>
        <v>45485</v>
      </c>
      <c r="E106" s="215">
        <v>45518</v>
      </c>
      <c r="F106" s="215">
        <f>Plan2!B106</f>
        <v>45518</v>
      </c>
      <c r="G106" t="s">
        <v>822</v>
      </c>
      <c r="H106" t="s">
        <v>947</v>
      </c>
      <c r="I106" t="s">
        <v>1711</v>
      </c>
      <c r="J106">
        <v>1.0022562323017099</v>
      </c>
      <c r="K106">
        <f>Plan2!L106</f>
        <v>1.0022562323017139</v>
      </c>
      <c r="L106" s="221">
        <f t="shared" si="1"/>
        <v>-3.9968028886505635E-15</v>
      </c>
    </row>
    <row r="107" spans="2:12">
      <c r="B107">
        <v>2081</v>
      </c>
      <c r="C107" s="215">
        <v>45518</v>
      </c>
      <c r="D107" s="215">
        <f>Plan2!B106</f>
        <v>45518</v>
      </c>
      <c r="E107" s="215">
        <v>45548</v>
      </c>
      <c r="F107" s="215">
        <f>Plan2!B107</f>
        <v>45548</v>
      </c>
      <c r="G107" t="s">
        <v>822</v>
      </c>
      <c r="H107" t="s">
        <v>947</v>
      </c>
      <c r="I107" t="s">
        <v>1711</v>
      </c>
      <c r="J107">
        <v>1.0021580294747401</v>
      </c>
      <c r="K107">
        <f>Plan2!L107</f>
        <v>1.0021580294747356</v>
      </c>
      <c r="L107" s="221">
        <f t="shared" si="1"/>
        <v>4.4408920985006262E-15</v>
      </c>
    </row>
    <row r="108" spans="2:12">
      <c r="B108">
        <v>2101</v>
      </c>
      <c r="C108" s="215">
        <v>45548</v>
      </c>
      <c r="D108" s="215">
        <f>Plan2!B107</f>
        <v>45548</v>
      </c>
      <c r="E108" s="215">
        <v>45579</v>
      </c>
      <c r="F108" s="215">
        <f>Plan2!B108</f>
        <v>45579</v>
      </c>
      <c r="G108" t="s">
        <v>822</v>
      </c>
      <c r="H108" t="s">
        <v>947</v>
      </c>
      <c r="I108" t="s">
        <v>1711</v>
      </c>
      <c r="J108">
        <v>1.0020598362698401</v>
      </c>
      <c r="K108">
        <f>Plan2!L108</f>
        <v>1.0020598362698427</v>
      </c>
      <c r="L108" s="221">
        <f t="shared" si="1"/>
        <v>-2.6645352591003757E-15</v>
      </c>
    </row>
    <row r="109" spans="2:12">
      <c r="B109">
        <v>2121</v>
      </c>
      <c r="C109" s="215">
        <v>45579</v>
      </c>
      <c r="D109" s="215">
        <f>Plan2!B108</f>
        <v>45579</v>
      </c>
      <c r="E109" s="215">
        <v>45610</v>
      </c>
      <c r="F109" s="215">
        <f>Plan2!B109</f>
        <v>45610</v>
      </c>
      <c r="G109" t="s">
        <v>822</v>
      </c>
      <c r="H109" t="s">
        <v>947</v>
      </c>
      <c r="I109" t="s">
        <v>1711</v>
      </c>
      <c r="J109">
        <v>1.0022562323017099</v>
      </c>
      <c r="K109">
        <f>Plan2!L109</f>
        <v>1.0022562323017139</v>
      </c>
      <c r="L109" s="221">
        <f t="shared" si="1"/>
        <v>-3.9968028886505635E-15</v>
      </c>
    </row>
    <row r="110" spans="2:12">
      <c r="B110">
        <v>2141</v>
      </c>
      <c r="C110" s="215">
        <v>45610</v>
      </c>
      <c r="D110" s="215">
        <f>Plan2!B109</f>
        <v>45610</v>
      </c>
      <c r="E110" s="215">
        <v>45639</v>
      </c>
      <c r="F110" s="215">
        <f>Plan2!B110</f>
        <v>45639</v>
      </c>
      <c r="G110" t="s">
        <v>822</v>
      </c>
      <c r="H110" t="s">
        <v>947</v>
      </c>
      <c r="I110" t="s">
        <v>1711</v>
      </c>
      <c r="J110">
        <v>1.0019616526860899</v>
      </c>
      <c r="K110">
        <f>Plan2!L110</f>
        <v>1.0019616526860928</v>
      </c>
      <c r="L110" s="221">
        <f t="shared" si="1"/>
        <v>-2.886579864025407E-15</v>
      </c>
    </row>
    <row r="111" spans="2:12">
      <c r="B111">
        <v>2161</v>
      </c>
      <c r="C111" s="215">
        <v>45639</v>
      </c>
      <c r="D111" s="215">
        <f>Plan2!B110</f>
        <v>45639</v>
      </c>
      <c r="E111" s="215">
        <v>45672</v>
      </c>
      <c r="F111" s="215">
        <f>Plan2!B111</f>
        <v>45672</v>
      </c>
      <c r="G111" t="s">
        <v>822</v>
      </c>
      <c r="H111" t="s">
        <v>947</v>
      </c>
      <c r="I111" t="s">
        <v>1711</v>
      </c>
      <c r="J111">
        <v>1.0020598362698401</v>
      </c>
      <c r="K111">
        <f>Plan2!L111</f>
        <v>1.0020598362698427</v>
      </c>
      <c r="L111" s="221">
        <f t="shared" si="1"/>
        <v>-2.6645352591003757E-15</v>
      </c>
    </row>
    <row r="112" spans="2:12">
      <c r="B112">
        <v>2181</v>
      </c>
      <c r="C112" s="215">
        <v>45672</v>
      </c>
      <c r="D112" s="215">
        <f>Plan2!B111</f>
        <v>45672</v>
      </c>
      <c r="E112" s="215">
        <v>45702</v>
      </c>
      <c r="F112" s="215">
        <f>Plan2!B112</f>
        <v>45702</v>
      </c>
      <c r="G112" t="s">
        <v>822</v>
      </c>
      <c r="H112" t="s">
        <v>947</v>
      </c>
      <c r="I112" t="s">
        <v>1711</v>
      </c>
      <c r="J112">
        <v>1.0021580294747401</v>
      </c>
      <c r="K112">
        <f>Plan2!L112</f>
        <v>1.0021580294747356</v>
      </c>
      <c r="L112" s="221">
        <f t="shared" si="1"/>
        <v>4.4408920985006262E-15</v>
      </c>
    </row>
    <row r="113" spans="2:12">
      <c r="B113">
        <v>2201</v>
      </c>
      <c r="C113" s="215">
        <v>45702</v>
      </c>
      <c r="D113" s="215">
        <f>Plan2!B112</f>
        <v>45702</v>
      </c>
      <c r="E113" s="215">
        <v>45734</v>
      </c>
      <c r="F113" s="215">
        <f>Plan2!B113</f>
        <v>45734</v>
      </c>
      <c r="G113" t="s">
        <v>822</v>
      </c>
      <c r="H113" t="s">
        <v>947</v>
      </c>
      <c r="I113" t="s">
        <v>1711</v>
      </c>
      <c r="J113">
        <v>1.0019616526860899</v>
      </c>
      <c r="K113">
        <f>Plan2!L113</f>
        <v>1.0019616526860928</v>
      </c>
      <c r="L113" s="221">
        <f t="shared" si="1"/>
        <v>-2.886579864025407E-15</v>
      </c>
    </row>
    <row r="114" spans="2:12">
      <c r="B114">
        <v>2221</v>
      </c>
      <c r="C114" s="215">
        <v>45734</v>
      </c>
      <c r="D114" s="215">
        <f>Plan2!B113</f>
        <v>45734</v>
      </c>
      <c r="E114" s="215">
        <v>45761</v>
      </c>
      <c r="F114" s="215">
        <f>Plan2!B114</f>
        <v>45761</v>
      </c>
      <c r="G114" t="s">
        <v>822</v>
      </c>
      <c r="H114" t="s">
        <v>947</v>
      </c>
      <c r="I114" t="s">
        <v>1711</v>
      </c>
      <c r="J114">
        <v>1.00186347872254</v>
      </c>
      <c r="K114">
        <f>Plan2!L114</f>
        <v>1.0018634787225431</v>
      </c>
      <c r="L114" s="221">
        <f t="shared" si="1"/>
        <v>-3.1086244689504383E-15</v>
      </c>
    </row>
    <row r="115" spans="2:12">
      <c r="B115">
        <v>2241</v>
      </c>
      <c r="C115" s="215">
        <v>45761</v>
      </c>
      <c r="D115" s="215">
        <f>Plan2!B114</f>
        <v>45761</v>
      </c>
      <c r="E115" s="215">
        <v>45792</v>
      </c>
      <c r="F115" s="215">
        <f>Plan2!B115</f>
        <v>45792</v>
      </c>
      <c r="G115" t="s">
        <v>822</v>
      </c>
      <c r="H115" t="s">
        <v>947</v>
      </c>
      <c r="I115" t="s">
        <v>1711</v>
      </c>
      <c r="J115">
        <v>1.0019616526860899</v>
      </c>
      <c r="K115">
        <f>Plan2!L115</f>
        <v>1.0019616526860928</v>
      </c>
      <c r="L115" s="221">
        <f t="shared" si="1"/>
        <v>-2.886579864025407E-15</v>
      </c>
    </row>
    <row r="116" spans="2:12">
      <c r="B116">
        <v>2261</v>
      </c>
      <c r="C116" s="215">
        <v>45792</v>
      </c>
      <c r="D116" s="215">
        <f>Plan2!B115</f>
        <v>45792</v>
      </c>
      <c r="E116" s="215">
        <v>45821</v>
      </c>
      <c r="F116" s="215">
        <f>Plan2!B116</f>
        <v>45821</v>
      </c>
      <c r="G116" t="s">
        <v>822</v>
      </c>
      <c r="H116" t="s">
        <v>947</v>
      </c>
      <c r="I116" t="s">
        <v>1711</v>
      </c>
      <c r="J116">
        <v>1.0020598362698401</v>
      </c>
      <c r="K116">
        <f>Plan2!L116</f>
        <v>1.0020598362698427</v>
      </c>
      <c r="L116" s="221">
        <f t="shared" si="1"/>
        <v>-2.6645352591003757E-15</v>
      </c>
    </row>
    <row r="117" spans="2:12">
      <c r="B117">
        <v>2281</v>
      </c>
      <c r="C117" s="215">
        <v>45821</v>
      </c>
      <c r="D117" s="215">
        <f>Plan2!B116</f>
        <v>45821</v>
      </c>
      <c r="E117" s="215">
        <v>45852</v>
      </c>
      <c r="F117" s="215">
        <f>Plan2!B117</f>
        <v>45852</v>
      </c>
      <c r="G117" t="s">
        <v>822</v>
      </c>
      <c r="H117" t="s">
        <v>947</v>
      </c>
      <c r="I117" t="s">
        <v>1711</v>
      </c>
      <c r="J117">
        <v>1.0019616526860899</v>
      </c>
      <c r="K117">
        <f>Plan2!L117</f>
        <v>1.0019616526860928</v>
      </c>
      <c r="L117" s="221">
        <f t="shared" si="1"/>
        <v>-2.886579864025407E-15</v>
      </c>
    </row>
    <row r="118" spans="2:12">
      <c r="B118">
        <v>2301</v>
      </c>
      <c r="C118" s="215">
        <v>45852</v>
      </c>
      <c r="D118" s="215">
        <f>Plan2!B117</f>
        <v>45852</v>
      </c>
      <c r="E118" s="215">
        <v>45883</v>
      </c>
      <c r="F118" s="215">
        <f>Plan2!B118</f>
        <v>45883</v>
      </c>
      <c r="G118" t="s">
        <v>822</v>
      </c>
      <c r="H118" t="s">
        <v>947</v>
      </c>
      <c r="I118" t="s">
        <v>1711</v>
      </c>
      <c r="J118">
        <v>1.0022562323017099</v>
      </c>
      <c r="K118">
        <f>Plan2!L118</f>
        <v>1.0022562323017139</v>
      </c>
      <c r="L118" s="221">
        <f t="shared" si="1"/>
        <v>-3.9968028886505635E-15</v>
      </c>
    </row>
    <row r="119" spans="2:12">
      <c r="B119">
        <v>2321</v>
      </c>
      <c r="C119" s="215">
        <v>45883</v>
      </c>
      <c r="D119" s="215">
        <f>Plan2!B118</f>
        <v>45883</v>
      </c>
      <c r="E119" s="215">
        <v>45912</v>
      </c>
      <c r="F119" s="215">
        <f>Plan2!B119</f>
        <v>45912</v>
      </c>
      <c r="G119" t="s">
        <v>822</v>
      </c>
      <c r="H119" t="s">
        <v>947</v>
      </c>
      <c r="I119" t="s">
        <v>1711</v>
      </c>
      <c r="J119">
        <v>1.0020598362698401</v>
      </c>
      <c r="K119">
        <f>Plan2!L119</f>
        <v>1.0020598362698427</v>
      </c>
      <c r="L119" s="221">
        <f t="shared" si="1"/>
        <v>-2.6645352591003757E-15</v>
      </c>
    </row>
    <row r="120" spans="2:12">
      <c r="B120">
        <v>2341</v>
      </c>
      <c r="C120" s="215">
        <v>45912</v>
      </c>
      <c r="D120" s="215">
        <f>Plan2!B119</f>
        <v>45912</v>
      </c>
      <c r="E120" s="215">
        <v>45944</v>
      </c>
      <c r="F120" s="215">
        <f>Plan2!B120</f>
        <v>45944</v>
      </c>
      <c r="G120" t="s">
        <v>822</v>
      </c>
      <c r="H120" t="s">
        <v>947</v>
      </c>
      <c r="I120" t="s">
        <v>1711</v>
      </c>
      <c r="J120">
        <v>1.0021580294747401</v>
      </c>
      <c r="K120">
        <f>Plan2!L120</f>
        <v>1.0021580294747356</v>
      </c>
      <c r="L120" s="221">
        <f t="shared" si="1"/>
        <v>4.4408920985006262E-15</v>
      </c>
    </row>
    <row r="121" spans="2:12">
      <c r="B121">
        <v>2361</v>
      </c>
      <c r="C121" s="215">
        <v>45944</v>
      </c>
      <c r="D121" s="215">
        <f>Plan2!B120</f>
        <v>45944</v>
      </c>
      <c r="E121" s="215">
        <v>45975</v>
      </c>
      <c r="F121" s="215">
        <f>Plan2!B121</f>
        <v>45975</v>
      </c>
      <c r="G121" t="s">
        <v>822</v>
      </c>
      <c r="H121" t="s">
        <v>947</v>
      </c>
      <c r="I121" t="s">
        <v>1711</v>
      </c>
      <c r="J121">
        <v>1.0022562323017099</v>
      </c>
      <c r="K121">
        <f>Plan2!L121</f>
        <v>1.0022562323017139</v>
      </c>
      <c r="L121" s="221">
        <f t="shared" si="1"/>
        <v>-3.9968028886505635E-15</v>
      </c>
    </row>
    <row r="122" spans="2:12">
      <c r="B122">
        <v>2381</v>
      </c>
      <c r="C122" s="215">
        <v>45975</v>
      </c>
      <c r="D122" s="215">
        <f>Plan2!B121</f>
        <v>45975</v>
      </c>
      <c r="E122" s="215">
        <v>46003</v>
      </c>
      <c r="F122" s="215">
        <f>Plan2!B122</f>
        <v>46003</v>
      </c>
      <c r="G122" t="s">
        <v>822</v>
      </c>
      <c r="H122" t="s">
        <v>947</v>
      </c>
      <c r="I122" t="s">
        <v>1711</v>
      </c>
      <c r="J122">
        <v>1.0019616526860899</v>
      </c>
      <c r="K122">
        <f>Plan2!L122</f>
        <v>1.0019616526860928</v>
      </c>
      <c r="L122" s="221">
        <f t="shared" si="1"/>
        <v>-2.886579864025407E-15</v>
      </c>
    </row>
    <row r="123" spans="2:12">
      <c r="B123">
        <v>2401</v>
      </c>
      <c r="C123" s="215">
        <v>46003</v>
      </c>
      <c r="D123" s="215">
        <f>Plan2!B122</f>
        <v>46003</v>
      </c>
      <c r="E123" s="215">
        <v>46037</v>
      </c>
      <c r="F123" s="215">
        <f>Plan2!B123</f>
        <v>46037</v>
      </c>
      <c r="G123" t="s">
        <v>822</v>
      </c>
      <c r="H123" t="s">
        <v>947</v>
      </c>
      <c r="I123" t="s">
        <v>1711</v>
      </c>
      <c r="J123">
        <v>1.0021580294747401</v>
      </c>
      <c r="K123">
        <f>Plan2!L123</f>
        <v>1.0021580294747356</v>
      </c>
      <c r="L123" s="221">
        <f t="shared" si="1"/>
        <v>4.4408920985006262E-15</v>
      </c>
    </row>
    <row r="124" spans="2:12">
      <c r="B124">
        <v>2421</v>
      </c>
      <c r="C124" s="215">
        <v>46037</v>
      </c>
      <c r="D124" s="215">
        <f>Plan2!B123</f>
        <v>46037</v>
      </c>
      <c r="E124" s="215">
        <v>46066</v>
      </c>
      <c r="F124" s="215">
        <f>Plan2!B124</f>
        <v>46066</v>
      </c>
      <c r="G124" t="s">
        <v>822</v>
      </c>
      <c r="H124" t="s">
        <v>947</v>
      </c>
      <c r="I124" t="s">
        <v>1711</v>
      </c>
      <c r="J124">
        <v>1.0020598362698401</v>
      </c>
      <c r="K124">
        <f>Plan2!L124</f>
        <v>1.0020598362698427</v>
      </c>
      <c r="L124" s="221">
        <f t="shared" si="1"/>
        <v>-2.6645352591003757E-15</v>
      </c>
    </row>
    <row r="125" spans="2:12">
      <c r="B125">
        <v>2441</v>
      </c>
      <c r="C125" s="215">
        <v>46066</v>
      </c>
      <c r="D125" s="215">
        <f>Plan2!B124</f>
        <v>46066</v>
      </c>
      <c r="E125" s="215">
        <v>46094</v>
      </c>
      <c r="F125" s="215">
        <f>Plan2!B125</f>
        <v>46094</v>
      </c>
      <c r="G125" t="s">
        <v>822</v>
      </c>
      <c r="H125" t="s">
        <v>947</v>
      </c>
      <c r="I125" t="s">
        <v>1711</v>
      </c>
      <c r="J125">
        <v>1.0017653143782499</v>
      </c>
      <c r="K125">
        <f>Plan2!L125</f>
        <v>1.0017653143782506</v>
      </c>
      <c r="L125" s="221">
        <f t="shared" si="1"/>
        <v>0</v>
      </c>
    </row>
    <row r="126" spans="2:12">
      <c r="B126">
        <v>2461</v>
      </c>
      <c r="C126" s="215">
        <v>46094</v>
      </c>
      <c r="D126" s="215">
        <f>Plan2!B125</f>
        <v>46094</v>
      </c>
      <c r="E126" s="215">
        <v>46127</v>
      </c>
      <c r="F126" s="215">
        <f>Plan2!B126</f>
        <v>46127</v>
      </c>
      <c r="G126" t="s">
        <v>822</v>
      </c>
      <c r="H126" t="s">
        <v>947</v>
      </c>
      <c r="I126" t="s">
        <v>1711</v>
      </c>
      <c r="J126">
        <v>1.0021580294747401</v>
      </c>
      <c r="K126">
        <f>Plan2!L126</f>
        <v>1.0021580294747356</v>
      </c>
      <c r="L126" s="221">
        <f t="shared" si="1"/>
        <v>4.4408920985006262E-15</v>
      </c>
    </row>
    <row r="127" spans="2:12">
      <c r="B127">
        <v>2481</v>
      </c>
      <c r="C127" s="215">
        <v>46127</v>
      </c>
      <c r="D127" s="215">
        <f>Plan2!B126</f>
        <v>46127</v>
      </c>
      <c r="E127" s="215">
        <v>46157</v>
      </c>
      <c r="F127" s="215">
        <f>Plan2!B127</f>
        <v>46157</v>
      </c>
      <c r="G127" t="s">
        <v>822</v>
      </c>
      <c r="H127" t="s">
        <v>947</v>
      </c>
      <c r="I127" t="s">
        <v>1711</v>
      </c>
      <c r="J127">
        <v>1.0019616526860899</v>
      </c>
      <c r="K127">
        <f>Plan2!L127</f>
        <v>1.0019616526860928</v>
      </c>
      <c r="L127" s="221">
        <f t="shared" si="1"/>
        <v>-2.886579864025407E-15</v>
      </c>
    </row>
    <row r="128" spans="2:12">
      <c r="B128">
        <v>2501</v>
      </c>
      <c r="C128" s="215">
        <v>46157</v>
      </c>
      <c r="D128" s="215">
        <f>Plan2!B127</f>
        <v>46157</v>
      </c>
      <c r="E128" s="215">
        <v>46188</v>
      </c>
      <c r="F128" s="215">
        <f>Plan2!B128</f>
        <v>46188</v>
      </c>
      <c r="G128" t="s">
        <v>822</v>
      </c>
      <c r="H128" t="s">
        <v>947</v>
      </c>
      <c r="I128" t="s">
        <v>1711</v>
      </c>
      <c r="J128">
        <v>1.0019616526860899</v>
      </c>
      <c r="K128">
        <f>Plan2!L128</f>
        <v>1.0019616526860928</v>
      </c>
      <c r="L128" s="221">
        <f t="shared" si="1"/>
        <v>-2.886579864025407E-15</v>
      </c>
    </row>
    <row r="129" spans="2:12">
      <c r="B129">
        <v>2521</v>
      </c>
      <c r="C129" s="215">
        <v>46188</v>
      </c>
      <c r="D129" s="215">
        <f>Plan2!B128</f>
        <v>46188</v>
      </c>
      <c r="E129" s="215">
        <v>46217</v>
      </c>
      <c r="F129" s="215">
        <f>Plan2!B129</f>
        <v>46217</v>
      </c>
      <c r="G129" t="s">
        <v>822</v>
      </c>
      <c r="H129" t="s">
        <v>947</v>
      </c>
      <c r="I129" t="s">
        <v>1711</v>
      </c>
      <c r="J129">
        <v>1.0020598362698401</v>
      </c>
      <c r="K129">
        <f>Plan2!L129</f>
        <v>1.0020598362698427</v>
      </c>
      <c r="L129" s="221">
        <f t="shared" si="1"/>
        <v>-2.6645352591003757E-15</v>
      </c>
    </row>
    <row r="130" spans="2:12">
      <c r="B130">
        <v>2541</v>
      </c>
      <c r="C130" s="215">
        <v>46217</v>
      </c>
      <c r="D130" s="215">
        <f>Plan2!B129</f>
        <v>46217</v>
      </c>
      <c r="E130" s="215">
        <v>46248</v>
      </c>
      <c r="F130" s="215">
        <f>Plan2!B130</f>
        <v>46248</v>
      </c>
      <c r="G130" t="s">
        <v>822</v>
      </c>
      <c r="H130" t="s">
        <v>947</v>
      </c>
      <c r="I130" t="s">
        <v>1711</v>
      </c>
      <c r="J130">
        <v>1.0022562323017099</v>
      </c>
      <c r="K130">
        <f>Plan2!L130</f>
        <v>1.0022562323017139</v>
      </c>
      <c r="L130" s="221">
        <f t="shared" si="1"/>
        <v>-3.9968028886505635E-15</v>
      </c>
    </row>
    <row r="131" spans="2:12">
      <c r="B131">
        <v>2561</v>
      </c>
      <c r="C131" s="215">
        <v>46248</v>
      </c>
      <c r="D131" s="215">
        <f>Plan2!B130</f>
        <v>46248</v>
      </c>
      <c r="E131" s="215">
        <v>46280</v>
      </c>
      <c r="F131" s="215">
        <f>Plan2!B131</f>
        <v>46280</v>
      </c>
      <c r="G131" t="s">
        <v>822</v>
      </c>
      <c r="H131" t="s">
        <v>947</v>
      </c>
      <c r="I131" t="s">
        <v>1711</v>
      </c>
      <c r="J131">
        <v>1.0020598362698401</v>
      </c>
      <c r="K131">
        <f>Plan2!L131</f>
        <v>1.0020598362698427</v>
      </c>
      <c r="L131" s="221">
        <f t="shared" si="1"/>
        <v>-2.6645352591003757E-15</v>
      </c>
    </row>
    <row r="132" spans="2:12">
      <c r="B132">
        <v>2581</v>
      </c>
      <c r="C132" s="215">
        <v>46280</v>
      </c>
      <c r="D132" s="215">
        <f>Plan2!B131</f>
        <v>46280</v>
      </c>
      <c r="E132" s="215">
        <v>46310</v>
      </c>
      <c r="F132" s="215">
        <f>Plan2!B132</f>
        <v>46310</v>
      </c>
      <c r="G132" t="s">
        <v>822</v>
      </c>
      <c r="H132" t="s">
        <v>947</v>
      </c>
      <c r="I132" t="s">
        <v>1711</v>
      </c>
      <c r="J132">
        <v>1.0020598362698401</v>
      </c>
      <c r="K132">
        <f>Plan2!L132</f>
        <v>1.0020598362698427</v>
      </c>
      <c r="L132" s="221">
        <f t="shared" ref="L132:L146" si="2">J132-K132</f>
        <v>-2.6645352591003757E-15</v>
      </c>
    </row>
    <row r="133" spans="2:12">
      <c r="B133">
        <v>2601</v>
      </c>
      <c r="C133" s="215">
        <v>46310</v>
      </c>
      <c r="D133" s="215">
        <f>Plan2!B132</f>
        <v>46310</v>
      </c>
      <c r="E133" s="215">
        <v>46342</v>
      </c>
      <c r="F133" s="215">
        <f>Plan2!B133</f>
        <v>46342</v>
      </c>
      <c r="G133" t="s">
        <v>822</v>
      </c>
      <c r="H133" t="s">
        <v>947</v>
      </c>
      <c r="I133" t="s">
        <v>1711</v>
      </c>
      <c r="J133">
        <v>1.0020598362698401</v>
      </c>
      <c r="K133">
        <f>Plan2!L133</f>
        <v>1.0020598362698427</v>
      </c>
      <c r="L133" s="221">
        <f t="shared" si="2"/>
        <v>-2.6645352591003757E-15</v>
      </c>
    </row>
    <row r="134" spans="2:12">
      <c r="B134">
        <v>2621</v>
      </c>
      <c r="C134" s="215">
        <v>46342</v>
      </c>
      <c r="D134" s="215">
        <f>Plan2!B133</f>
        <v>46342</v>
      </c>
      <c r="E134" s="215">
        <v>46370</v>
      </c>
      <c r="F134" s="215">
        <f>Plan2!B134</f>
        <v>46370</v>
      </c>
      <c r="G134" t="s">
        <v>822</v>
      </c>
      <c r="H134" t="s">
        <v>947</v>
      </c>
      <c r="I134" t="s">
        <v>1711</v>
      </c>
      <c r="J134">
        <v>1.0019616526860899</v>
      </c>
      <c r="K134">
        <f>Plan2!L134</f>
        <v>1.0019616526860928</v>
      </c>
      <c r="L134" s="221">
        <f t="shared" si="2"/>
        <v>-2.886579864025407E-15</v>
      </c>
    </row>
    <row r="135" spans="2:12">
      <c r="B135">
        <v>2641</v>
      </c>
      <c r="C135" s="215">
        <v>46370</v>
      </c>
      <c r="D135" s="215">
        <f>Plan2!B134</f>
        <v>46370</v>
      </c>
      <c r="E135" s="215">
        <v>46402</v>
      </c>
      <c r="F135" s="215">
        <f>Plan2!B135</f>
        <v>46402</v>
      </c>
      <c r="G135" t="s">
        <v>822</v>
      </c>
      <c r="H135" t="s">
        <v>947</v>
      </c>
      <c r="I135" t="s">
        <v>1711</v>
      </c>
      <c r="J135">
        <v>1.0021580294747401</v>
      </c>
      <c r="K135">
        <f>Plan2!L135</f>
        <v>1.0021580294747356</v>
      </c>
      <c r="L135" s="221">
        <f t="shared" si="2"/>
        <v>4.4408920985006262E-15</v>
      </c>
    </row>
    <row r="136" spans="2:12">
      <c r="B136">
        <v>2661</v>
      </c>
      <c r="C136" s="215">
        <v>46402</v>
      </c>
      <c r="D136" s="215">
        <f>Plan2!B135</f>
        <v>46402</v>
      </c>
      <c r="E136" s="215">
        <v>46434</v>
      </c>
      <c r="F136" s="215">
        <f>Plan2!B136</f>
        <v>46434</v>
      </c>
      <c r="G136" t="s">
        <v>822</v>
      </c>
      <c r="H136" t="s">
        <v>947</v>
      </c>
      <c r="I136" t="s">
        <v>1711</v>
      </c>
      <c r="J136">
        <v>1.0019616526860899</v>
      </c>
      <c r="K136">
        <f>Plan2!L136</f>
        <v>1.0019616526860928</v>
      </c>
      <c r="L136" s="221">
        <f t="shared" si="2"/>
        <v>-2.886579864025407E-15</v>
      </c>
    </row>
    <row r="137" spans="2:12">
      <c r="B137">
        <v>2681</v>
      </c>
      <c r="C137" s="215">
        <v>46434</v>
      </c>
      <c r="D137" s="215">
        <f>Plan2!B136</f>
        <v>46434</v>
      </c>
      <c r="E137" s="215">
        <v>46458</v>
      </c>
      <c r="F137" s="215">
        <f>Plan2!B137</f>
        <v>46458</v>
      </c>
      <c r="G137" t="s">
        <v>822</v>
      </c>
      <c r="H137" t="s">
        <v>947</v>
      </c>
      <c r="I137" t="s">
        <v>1711</v>
      </c>
      <c r="J137">
        <v>1.0017653143782499</v>
      </c>
      <c r="K137">
        <f>Plan2!L137</f>
        <v>1.0017653143782506</v>
      </c>
      <c r="L137" s="221">
        <f t="shared" si="2"/>
        <v>0</v>
      </c>
    </row>
    <row r="138" spans="2:12">
      <c r="B138">
        <v>2701</v>
      </c>
      <c r="C138" s="215">
        <v>46458</v>
      </c>
      <c r="D138" s="215">
        <f>Plan2!B137</f>
        <v>46458</v>
      </c>
      <c r="E138" s="215">
        <v>46491</v>
      </c>
      <c r="F138" s="215">
        <f>Plan2!B138</f>
        <v>46491</v>
      </c>
      <c r="G138" t="s">
        <v>822</v>
      </c>
      <c r="H138" t="s">
        <v>947</v>
      </c>
      <c r="I138" t="s">
        <v>1711</v>
      </c>
      <c r="J138">
        <v>1.0021580294747401</v>
      </c>
      <c r="K138">
        <f>Plan2!L138</f>
        <v>1.0021580294747356</v>
      </c>
      <c r="L138" s="221">
        <f t="shared" si="2"/>
        <v>4.4408920985006262E-15</v>
      </c>
    </row>
    <row r="139" spans="2:12">
      <c r="B139">
        <v>2721</v>
      </c>
      <c r="C139" s="215">
        <v>46491</v>
      </c>
      <c r="D139" s="215">
        <f>Plan2!B138</f>
        <v>46491</v>
      </c>
      <c r="E139" s="215">
        <v>46521</v>
      </c>
      <c r="F139" s="215">
        <f>Plan2!B139</f>
        <v>46521</v>
      </c>
      <c r="G139" t="s">
        <v>822</v>
      </c>
      <c r="H139" t="s">
        <v>947</v>
      </c>
      <c r="I139" t="s">
        <v>1711</v>
      </c>
      <c r="J139">
        <v>1.0020598362698401</v>
      </c>
      <c r="K139">
        <f>Plan2!L139</f>
        <v>1.0020598362698427</v>
      </c>
      <c r="L139" s="221">
        <f t="shared" si="2"/>
        <v>-2.6645352591003757E-15</v>
      </c>
    </row>
    <row r="140" spans="2:12">
      <c r="B140">
        <v>2741</v>
      </c>
      <c r="C140" s="215">
        <v>46521</v>
      </c>
      <c r="D140" s="215">
        <f>Plan2!B139</f>
        <v>46521</v>
      </c>
      <c r="E140" s="215">
        <v>46552</v>
      </c>
      <c r="F140" s="215">
        <f>Plan2!B140</f>
        <v>46552</v>
      </c>
      <c r="G140" t="s">
        <v>822</v>
      </c>
      <c r="H140" t="s">
        <v>947</v>
      </c>
      <c r="I140" t="s">
        <v>1711</v>
      </c>
      <c r="J140">
        <v>1.0019616526860899</v>
      </c>
      <c r="K140">
        <f>Plan2!L140</f>
        <v>1.0019616526860928</v>
      </c>
      <c r="L140" s="221">
        <f t="shared" si="2"/>
        <v>-2.886579864025407E-15</v>
      </c>
    </row>
    <row r="141" spans="2:12">
      <c r="B141">
        <v>2761</v>
      </c>
      <c r="C141" s="215">
        <v>46552</v>
      </c>
      <c r="D141" s="215">
        <f>Plan2!B140</f>
        <v>46552</v>
      </c>
      <c r="E141" s="215">
        <v>46582</v>
      </c>
      <c r="F141" s="215">
        <f>Plan2!B141</f>
        <v>46582</v>
      </c>
      <c r="G141" t="s">
        <v>822</v>
      </c>
      <c r="H141" t="s">
        <v>947</v>
      </c>
      <c r="I141" t="s">
        <v>1711</v>
      </c>
      <c r="J141">
        <v>1.0021580294747401</v>
      </c>
      <c r="K141">
        <f>Plan2!L141</f>
        <v>1.0021580294747356</v>
      </c>
      <c r="L141" s="221">
        <f t="shared" si="2"/>
        <v>4.4408920985006262E-15</v>
      </c>
    </row>
    <row r="142" spans="2:12">
      <c r="B142">
        <v>2781</v>
      </c>
      <c r="C142" s="215">
        <v>46582</v>
      </c>
      <c r="D142" s="215">
        <f>Plan2!B141</f>
        <v>46582</v>
      </c>
      <c r="E142" s="215">
        <v>46612</v>
      </c>
      <c r="F142" s="215">
        <f>Plan2!B142</f>
        <v>46612</v>
      </c>
      <c r="G142" t="s">
        <v>822</v>
      </c>
      <c r="H142" t="s">
        <v>947</v>
      </c>
      <c r="I142" t="s">
        <v>1711</v>
      </c>
      <c r="J142">
        <v>1.0021580294747401</v>
      </c>
      <c r="K142">
        <f>Plan2!L142</f>
        <v>1.0021580294747356</v>
      </c>
      <c r="L142" s="221">
        <f t="shared" si="2"/>
        <v>4.4408920985006262E-15</v>
      </c>
    </row>
    <row r="143" spans="2:12">
      <c r="B143">
        <v>2801</v>
      </c>
      <c r="C143" s="215">
        <v>46612</v>
      </c>
      <c r="D143" s="215">
        <f>Plan2!B142</f>
        <v>46612</v>
      </c>
      <c r="E143" s="215">
        <v>46645</v>
      </c>
      <c r="F143" s="215">
        <f>Plan2!B143</f>
        <v>46645</v>
      </c>
      <c r="G143" t="s">
        <v>822</v>
      </c>
      <c r="H143" t="s">
        <v>947</v>
      </c>
      <c r="I143" t="s">
        <v>1711</v>
      </c>
      <c r="J143">
        <v>1.0021580294747401</v>
      </c>
      <c r="K143">
        <f>Plan2!L143</f>
        <v>1.0021580294747356</v>
      </c>
      <c r="L143" s="221">
        <f t="shared" si="2"/>
        <v>4.4408920985006262E-15</v>
      </c>
    </row>
    <row r="144" spans="2:12">
      <c r="B144">
        <v>2821</v>
      </c>
      <c r="C144" s="215">
        <v>46645</v>
      </c>
      <c r="D144" s="215">
        <f>Plan2!B143</f>
        <v>46645</v>
      </c>
      <c r="E144" s="215">
        <v>46675</v>
      </c>
      <c r="F144" s="215">
        <f>Plan2!B144</f>
        <v>46675</v>
      </c>
      <c r="G144" t="s">
        <v>822</v>
      </c>
      <c r="H144" t="s">
        <v>947</v>
      </c>
      <c r="I144" t="s">
        <v>1711</v>
      </c>
      <c r="J144">
        <v>1.0020598362698401</v>
      </c>
      <c r="K144">
        <f>Plan2!L144</f>
        <v>1.0020598362698427</v>
      </c>
      <c r="L144" s="221">
        <f t="shared" si="2"/>
        <v>-2.6645352591003757E-15</v>
      </c>
    </row>
    <row r="145" spans="2:12">
      <c r="B145">
        <v>2841</v>
      </c>
      <c r="C145" s="215">
        <v>46675</v>
      </c>
      <c r="D145" s="215">
        <f>Plan2!B144</f>
        <v>46675</v>
      </c>
      <c r="E145" s="215">
        <v>46707</v>
      </c>
      <c r="F145" s="215">
        <f>Plan2!B145</f>
        <v>46707</v>
      </c>
      <c r="G145" t="s">
        <v>822</v>
      </c>
      <c r="H145" t="s">
        <v>947</v>
      </c>
      <c r="I145" t="s">
        <v>1711</v>
      </c>
      <c r="J145">
        <v>1.0019616526860899</v>
      </c>
      <c r="K145">
        <f>Plan2!L145</f>
        <v>1.0019616526860928</v>
      </c>
      <c r="L145" s="221">
        <f t="shared" si="2"/>
        <v>-2.886579864025407E-15</v>
      </c>
    </row>
    <row r="146" spans="2:12">
      <c r="B146">
        <v>2861</v>
      </c>
      <c r="C146" s="215">
        <v>46707</v>
      </c>
      <c r="D146" s="215">
        <f>Plan2!B145</f>
        <v>46707</v>
      </c>
      <c r="E146" s="215">
        <v>46735</v>
      </c>
      <c r="F146" s="215">
        <f>Plan2!B146</f>
        <v>46735</v>
      </c>
      <c r="G146" t="s">
        <v>822</v>
      </c>
      <c r="H146" t="s">
        <v>947</v>
      </c>
      <c r="I146" t="s">
        <v>1711</v>
      </c>
      <c r="J146">
        <v>1.0019616526860899</v>
      </c>
      <c r="K146">
        <f>Plan2!L146</f>
        <v>1.0019616526860928</v>
      </c>
      <c r="L146" s="221">
        <f t="shared" si="2"/>
        <v>-2.886579864025407E-15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12</vt:i4>
      </vt:variant>
    </vt:vector>
  </HeadingPairs>
  <TitlesOfParts>
    <vt:vector size="26" baseType="lpstr">
      <vt:lpstr>Feriados</vt:lpstr>
      <vt:lpstr>Cadastro</vt:lpstr>
      <vt:lpstr>Cotações</vt:lpstr>
      <vt:lpstr>Testes</vt:lpstr>
      <vt:lpstr>Cálculo TIR</vt:lpstr>
      <vt:lpstr>Cálculo PU</vt:lpstr>
      <vt:lpstr>&lt;&gt; TAB_JUROS_U</vt:lpstr>
      <vt:lpstr>TAB_CORRECAO_U</vt:lpstr>
      <vt:lpstr>TAB_AMORTIZACAO_U</vt:lpstr>
      <vt:lpstr>TAB_JUROS_C</vt:lpstr>
      <vt:lpstr>Plan1</vt:lpstr>
      <vt:lpstr>Rastreio Calculo TIR</vt:lpstr>
      <vt:lpstr>Plan2</vt:lpstr>
      <vt:lpstr>Plan3</vt:lpstr>
      <vt:lpstr>DT_B_CORC</vt:lpstr>
      <vt:lpstr>DT_B_JURS</vt:lpstr>
      <vt:lpstr>DT_CALCULO_C</vt:lpstr>
      <vt:lpstr>DT_CALCULO_U</vt:lpstr>
      <vt:lpstr>PC_IDXR</vt:lpstr>
      <vt:lpstr>PU_COMPRA</vt:lpstr>
      <vt:lpstr>PU_EMISSAO</vt:lpstr>
      <vt:lpstr>TIR_C</vt:lpstr>
      <vt:lpstr>TIR_C_CALC</vt:lpstr>
      <vt:lpstr>TIR_U</vt:lpstr>
      <vt:lpstr>TIR_U_CALC</vt:lpstr>
      <vt:lpstr>TX_EMISSAO</vt:lpstr>
    </vt:vector>
  </TitlesOfParts>
  <Company>Banco Safra S/A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Cleiton Faria Gualberto</dc:creator>
  <cp:lastModifiedBy>Banco Safra S/A</cp:lastModifiedBy>
  <dcterms:created xsi:type="dcterms:W3CDTF">2017-11-07T20:03:50Z</dcterms:created>
  <dcterms:modified xsi:type="dcterms:W3CDTF">2019-03-12T15:08:30Z</dcterms:modified>
</cp:coreProperties>
</file>